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i\Desktop\"/>
    </mc:Choice>
  </mc:AlternateContent>
  <xr:revisionPtr revIDLastSave="0" documentId="13_ncr:1_{B2A86A6B-A320-42B7-A1DE-E9B39F6AF87B}" xr6:coauthVersionLast="47" xr6:coauthVersionMax="47" xr10:uidLastSave="{00000000-0000-0000-0000-000000000000}"/>
  <bookViews>
    <workbookView xWindow="-17460" yWindow="21480" windowWidth="38640" windowHeight="21240" xr2:uid="{D30E880B-9D63-4813-B793-D49177778248}"/>
  </bookViews>
  <sheets>
    <sheet name="Main Sheet" sheetId="7" r:id="rId1"/>
    <sheet name="Sheet1" sheetId="14" r:id="rId2"/>
  </sheets>
  <functionGroups builtInGroupCount="19"/>
  <definedNames>
    <definedName name="_xlpm.askc" hidden="1" xlm="1">#NAME?</definedName>
    <definedName name="_xlpm.ATM" hidden="1" xlm="1">#NAME?</definedName>
    <definedName name="_xlpm.bidc" hidden="1" xlm="1">#NAME?</definedName>
    <definedName name="_xlpm.C" hidden="1" xlm="1">#NAME?</definedName>
    <definedName name="_xlpm.calls" hidden="1" xlm="1">#NAME?</definedName>
    <definedName name="_xlpm.cg" hidden="1" xlm="1">#NAME?</definedName>
    <definedName name="_xlpm.ch" hidden="1" xlm="1">#NAME?</definedName>
    <definedName name="_xlpm.charm" hidden="1" xlm="1">#NAME?</definedName>
    <definedName name="_xlpm.Charm_All" hidden="1" xlm="1">#NAME?</definedName>
    <definedName name="_xlpm.Charm_Call" hidden="1" xlm="1">#NAME?</definedName>
    <definedName name="_xlpm.Charm_Put" hidden="1" xlm="1">#NAME?</definedName>
    <definedName name="_xlpm.charmRaw" hidden="1" xlm="1">#NAME?</definedName>
    <definedName name="_xlpm.colIndex" hidden="1" xlm="1">#NAME?</definedName>
    <definedName name="_xlpm.cv" hidden="1" xlm="1">#NAME?</definedName>
    <definedName name="_xlpm.d" hidden="1" xlm="1">#NAME?</definedName>
    <definedName name="_xlpm.data" hidden="1" xlm="1">#NAME?</definedName>
    <definedName name="_xlpm.dates" hidden="1" xlm="1">#NAME?</definedName>
    <definedName name="_xlpm.dC" hidden="1" xlm="1">#NAME?</definedName>
    <definedName name="_xlpm.delta" hidden="1" xlm="1">#NAME?</definedName>
    <definedName name="_xlpm.Delta_All" hidden="1" xlm="1">#NAME?</definedName>
    <definedName name="_xlpm.Delta_Call" hidden="1" xlm="1">#NAME?</definedName>
    <definedName name="_xlpm.Delta_Put" hidden="1" xlm="1">#NAME?</definedName>
    <definedName name="_xlpm.dgamma_All" hidden="1" xlm="1">#NAME?</definedName>
    <definedName name="_xlpm.dgamma_Call" hidden="1" xlm="1">#NAME?</definedName>
    <definedName name="_xlpm.dgamma_Put" hidden="1" xlm="1">#NAME?</definedName>
    <definedName name="_xlpm.dP" hidden="1" xlm="1">#NAME?</definedName>
    <definedName name="_xlpm.gamma_all" hidden="1" xlm="1">#NAME?</definedName>
    <definedName name="_xlpm.gamma_calls" hidden="1" xlm="1">#NAME?</definedName>
    <definedName name="_xlpm.gamma_puts" hidden="1" xlm="1">#NAME?</definedName>
    <definedName name="_xlpm.gamma_selected" hidden="1" xlm="1">#NAME?</definedName>
    <definedName name="_xlpm.gDAdj_All" hidden="1" xlm="1">#NAME?</definedName>
    <definedName name="_xlpm.gDAdj_Call" hidden="1" xlm="1">#NAME?</definedName>
    <definedName name="_xlpm.gDAdj_Put" hidden="1" xlm="1">#NAME?</definedName>
    <definedName name="_xlpm.gGamma_All" hidden="1" xlm="1">#NAME?</definedName>
    <definedName name="_xlpm.gGamma_Call" hidden="1" xlm="1">#NAME?</definedName>
    <definedName name="_xlpm.gGamma_Put" hidden="1" xlm="1">#NAME?</definedName>
    <definedName name="_xlpm.groupIndex" hidden="1" xlm="1">#NAME?</definedName>
    <definedName name="_xlpm.gVanna_All" hidden="1" xlm="1">#NAME?</definedName>
    <definedName name="_xlpm.gVanna_Call" hidden="1" xlm="1">#NAME?</definedName>
    <definedName name="_xlpm.gVanna_Put" hidden="1" xlm="1">#NAME?</definedName>
    <definedName name="_xlpm.HC" hidden="1" xlm="1">#NAME?</definedName>
    <definedName name="_xlpm.idx" hidden="1" xlm="1">#NAME?</definedName>
    <definedName name="_xlpm.IV" hidden="1" xlm="1">#NAME?</definedName>
    <definedName name="_xlpm.ivC" hidden="1" xlm="1">#NAME?</definedName>
    <definedName name="_xlpm.ivP" hidden="1" xlm="1">#NAME?</definedName>
    <definedName name="_xlpm.k" hidden="1" xlm="1">#NAME?</definedName>
    <definedName name="_xlpm.LC" hidden="1" xlm="1">#NAME?</definedName>
    <definedName name="_xlpm.mask" hidden="1" xlm="1">#NAME?</definedName>
    <definedName name="_xlpm.metricCol" hidden="1" xlm="1">#NAME?</definedName>
    <definedName name="_xlpm.metricIndex" hidden="1" xlm="1">#NAME?</definedName>
    <definedName name="_xlpm.minIV" hidden="1" xlm="1">#NAME?</definedName>
    <definedName name="_xlpm.n" hidden="1" xlm="1">#NAME?</definedName>
    <definedName name="_xlpm.nd" hidden="1" xlm="1">#NAME?</definedName>
    <definedName name="_xlpm.O" hidden="1" xlm="1">#NAME?</definedName>
    <definedName name="_xlpm.OI" hidden="1" xlm="1">#NAME?</definedName>
    <definedName name="_xlpm.oi_All" hidden="1" xlm="1">#NAME?</definedName>
    <definedName name="_xlpm.oi_Call" hidden="1" xlm="1">#NAME?</definedName>
    <definedName name="_xlpm.oi_Put" hidden="1" xlm="1">#NAME?</definedName>
    <definedName name="_xlpm.op" hidden="1" xlm="1">#NAME?</definedName>
    <definedName name="_xlpm.puts" hidden="1" xlm="1">#NAME?</definedName>
    <definedName name="_xlpm.r" hidden="1" xlm="1">#NAME?</definedName>
    <definedName name="_xlpm.raw" hidden="1" xlm="1">#NAME?</definedName>
    <definedName name="_xlpm.rng" hidden="1" xlm="1">#NAME?</definedName>
    <definedName name="_xlpm.SGC" hidden="1" xlm="1">#NAME?</definedName>
    <definedName name="_xlpm.SGP" hidden="1" xlm="1">#NAME?</definedName>
    <definedName name="_xlpm.sigma" hidden="1" xlm="1">#NAME?</definedName>
    <definedName name="_xlpm.strike" hidden="1" xlm="1">#NAME?</definedName>
    <definedName name="_xlpm.strikes" hidden="1" xlm="1">#NAME?</definedName>
    <definedName name="_xlpm.T" hidden="1" xlm="1">#NAME?</definedName>
    <definedName name="_xlpm.useAlt" hidden="1" xlm="1">#NAME?</definedName>
    <definedName name="_xlpm.v" hidden="1" xlm="1">#NAME?</definedName>
    <definedName name="_xlpm.vanna" hidden="1" xlm="1">#NAME?</definedName>
    <definedName name="_xlpm.vannaRaw" hidden="1" xlm="1">#NAME?</definedName>
    <definedName name="_xlpm.vol" hidden="1" xlm="1">#NAME?</definedName>
    <definedName name="_xlpm.vol_All" hidden="1" xlm="1">#NAME?</definedName>
    <definedName name="_xlpm.vol_Call" hidden="1" xlm="1">#NAME?</definedName>
    <definedName name="_xlpm.vol_Put" hidden="1" xlm="1">#NAME?</definedName>
    <definedName name="call_helper_single_1">IFERROR(INDEX(_xlfn.ANCHORARRAY(Sheet1!$BV$10), , 2), NA())</definedName>
    <definedName name="calls_2">INDEX(_xlfn.ANCHORARRAY(Sheet1!$BV$213), , 2)</definedName>
    <definedName name="charm1">IFERROR(INDEX(_xlfn.ANCHORARRAY(Sheet1!$BV$10), , 7), NA())</definedName>
    <definedName name="IV_1">IFERROR(INDEX(_xlfn.ANCHORARRAY(Sheet1!$BV$10), , 4), NA())</definedName>
    <definedName name="IV_2">IFERROR(INDEX(_xlfn.ANCHORARRAY(Sheet1!$BV$213), , 4), NA())</definedName>
    <definedName name="onedteindex">Sheet1!$X$1:INDEX(Sheet1!$1:$1, MAX(COLUMN(Sheet1!$X$1:$AE$1)*(Sheet1!$X$1:$AE$1&lt;&gt;"")))</definedName>
    <definedName name="put_helper_single_1">IFERROR(INDEX(_xlfn.ANCHORARRAY(Sheet1!$BV$10), , 3), NA())</definedName>
    <definedName name="puts_2">INDEX(_xlfn.ANCHORARRAY(Sheet1!$BV$213), , 3)</definedName>
    <definedName name="SPX_Switch_view">#REF!</definedName>
    <definedName name="strike_2">INDEX(_xlfn.ANCHORARRAY(Sheet1!$BV$213), , 1)</definedName>
    <definedName name="valid_strike_single1">IFERROR(INDEX(_xlfn.ANCHORARRAY(Sheet1!$BV$10), , 1), NA())</definedName>
    <definedName name="vanna1">IFERROR(INDEX(_xlfn.ANCHORARRAY(Sheet1!$BV$10), , 6), NA())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7" l="1"/>
  <c r="R1" i="7"/>
  <c r="O1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AC5" i="14" a="1"/>
  <c r="AA5" i="14" a="1"/>
  <c r="Z5" i="14" a="1"/>
  <c r="AD5" i="14" a="1"/>
  <c r="N1" i="7" a="1"/>
  <c r="Z3" i="14" a="1"/>
  <c r="X3" i="14" a="1"/>
  <c r="Y3" i="14" a="1"/>
  <c r="AE5" i="14" a="1"/>
  <c r="X5" i="14" a="1"/>
  <c r="AA3" i="14" a="1"/>
  <c r="AB5" i="14" a="1"/>
  <c r="Y5" i="14" a="1"/>
  <c r="X3" i="14" l="1"/>
  <c r="K1" i="7" a="1"/>
  <c r="K1" i="7" s="1"/>
  <c r="AD5" i="14"/>
  <c r="AC5" i="14"/>
  <c r="AB5" i="14"/>
  <c r="AA5" i="14"/>
  <c r="Z5" i="14"/>
  <c r="AE5" i="14"/>
  <c r="Y5" i="14"/>
  <c r="X5" i="14"/>
  <c r="AA3" i="14"/>
  <c r="Z3" i="14"/>
  <c r="Y3" i="14"/>
  <c r="N1" i="7"/>
  <c r="T124" i="7" l="1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Q124" i="7"/>
  <c r="Q125" i="7"/>
  <c r="Q126" i="7"/>
  <c r="Q127" i="7"/>
  <c r="Q128" i="7"/>
  <c r="Q129" i="7"/>
  <c r="Q130" i="7"/>
  <c r="Q131" i="7"/>
  <c r="Q132" i="7"/>
  <c r="Q133" i="7"/>
  <c r="Q134" i="7"/>
  <c r="Q135" i="7"/>
  <c r="Q136" i="7"/>
  <c r="Q137" i="7"/>
  <c r="Q138" i="7"/>
  <c r="Q139" i="7"/>
  <c r="Q140" i="7"/>
  <c r="Q141" i="7"/>
  <c r="Q142" i="7"/>
  <c r="Q143" i="7"/>
  <c r="Q144" i="7"/>
  <c r="Q145" i="7"/>
  <c r="Q146" i="7"/>
  <c r="Q147" i="7"/>
  <c r="Q148" i="7"/>
  <c r="Q149" i="7"/>
  <c r="Q150" i="7"/>
  <c r="Q151" i="7"/>
  <c r="Q152" i="7"/>
  <c r="Q153" i="7"/>
  <c r="Q154" i="7"/>
  <c r="Q155" i="7"/>
  <c r="Q156" i="7"/>
  <c r="Q157" i="7"/>
  <c r="Q158" i="7"/>
  <c r="Q159" i="7"/>
  <c r="Q160" i="7"/>
  <c r="Q161" i="7"/>
  <c r="Q162" i="7"/>
  <c r="K2" i="7"/>
  <c r="K124" i="7"/>
  <c r="K125" i="7"/>
  <c r="K126" i="7"/>
  <c r="K127" i="7"/>
  <c r="K128" i="7"/>
  <c r="K129" i="7"/>
  <c r="M1" i="14"/>
  <c r="Y763" i="14" s="1"/>
  <c r="AA4" i="14" a="1"/>
  <c r="Q1" i="7" a="1"/>
  <c r="Y4" i="14" a="1"/>
  <c r="AD3" i="14" a="1"/>
  <c r="AB4" i="14" a="1"/>
  <c r="X4" i="14" a="1"/>
  <c r="AD4" i="14" a="1"/>
  <c r="Z4" i="14" a="1"/>
  <c r="AE4" i="14" a="1"/>
  <c r="AC3" i="14" a="1"/>
  <c r="AE3" i="14" a="1"/>
  <c r="AB3" i="14" a="1"/>
  <c r="AC4" i="14" a="1"/>
  <c r="I1" i="14"/>
  <c r="I2" i="14"/>
  <c r="AT332" i="14" l="1" a="1"/>
  <c r="AT332" i="14" s="1"/>
  <c r="AT1620" i="14" a="1"/>
  <c r="AT1620" i="14" s="1"/>
  <c r="AT375" i="14" a="1"/>
  <c r="AT375" i="14" s="1"/>
  <c r="Y189" i="14"/>
  <c r="AT172" i="14" a="1"/>
  <c r="AT172" i="14" s="1"/>
  <c r="AT528" i="14" a="1"/>
  <c r="AT528" i="14" s="1"/>
  <c r="AT157" i="14" a="1"/>
  <c r="AT157" i="14" s="1"/>
  <c r="AT585" i="14" a="1"/>
  <c r="AT585" i="14" s="1"/>
  <c r="AT429" i="14" a="1"/>
  <c r="AT429" i="14" s="1"/>
  <c r="AT482" i="14" a="1"/>
  <c r="AT482" i="14" s="1"/>
  <c r="AT664" i="14" a="1"/>
  <c r="AT664" i="14" s="1"/>
  <c r="AT1058" i="14" a="1"/>
  <c r="AT1058" i="14" s="1"/>
  <c r="Y384" i="14"/>
  <c r="AT142" i="14" a="1"/>
  <c r="AT142" i="14" s="1"/>
  <c r="AT100" i="14" a="1"/>
  <c r="AT100" i="14" s="1"/>
  <c r="AT71" i="14" a="1"/>
  <c r="AT71" i="14" s="1"/>
  <c r="AT30" i="14" a="1"/>
  <c r="AT30" i="14" s="1"/>
  <c r="AT235" i="14" a="1"/>
  <c r="AT235" i="14" s="1"/>
  <c r="AT1219" i="14" a="1"/>
  <c r="AT1219" i="14" s="1"/>
  <c r="AT762" i="14" a="1"/>
  <c r="AT762" i="14" s="1"/>
  <c r="AT905" i="14" a="1"/>
  <c r="AT905" i="14" s="1"/>
  <c r="AT278" i="14" a="1"/>
  <c r="AT278" i="14" s="1"/>
  <c r="AT1436" i="14" a="1"/>
  <c r="AT1436" i="14" s="1"/>
  <c r="Y579" i="14"/>
  <c r="AT199" i="14" a="1"/>
  <c r="AT199" i="14" s="1"/>
  <c r="AT183" i="14" a="1"/>
  <c r="AT183" i="14" s="1"/>
  <c r="AT170" i="14" a="1"/>
  <c r="AT170" i="14" s="1"/>
  <c r="AT127" i="14" a="1"/>
  <c r="AT127" i="14" s="1"/>
  <c r="AT111" i="14" a="1"/>
  <c r="AT111" i="14" s="1"/>
  <c r="AT98" i="14" a="1"/>
  <c r="AT98" i="14" s="1"/>
  <c r="AT24" i="14" a="1"/>
  <c r="AT24" i="14" s="1"/>
  <c r="AT242" i="14" a="1"/>
  <c r="AT242" i="14" s="1"/>
  <c r="AT279" i="14" a="1"/>
  <c r="AT279" i="14" s="1"/>
  <c r="AT333" i="14" a="1"/>
  <c r="AT333" i="14" s="1"/>
  <c r="AT376" i="14" a="1"/>
  <c r="AT376" i="14" s="1"/>
  <c r="AT430" i="14" a="1"/>
  <c r="AT430" i="14" s="1"/>
  <c r="AT483" i="14" a="1"/>
  <c r="AT483" i="14" s="1"/>
  <c r="AT536" i="14" a="1"/>
  <c r="AT536" i="14" s="1"/>
  <c r="AT599" i="14" a="1"/>
  <c r="AT599" i="14" s="1"/>
  <c r="AT668" i="14" a="1"/>
  <c r="AT668" i="14" s="1"/>
  <c r="AT779" i="14" a="1"/>
  <c r="AT779" i="14" s="1"/>
  <c r="AT911" i="14" a="1"/>
  <c r="AT911" i="14" s="1"/>
  <c r="AT1067" i="14" a="1"/>
  <c r="AT1067" i="14" s="1"/>
  <c r="AT1254" i="14" a="1"/>
  <c r="AT1254" i="14" s="1"/>
  <c r="AT1437" i="14" a="1"/>
  <c r="AT1437" i="14" s="1"/>
  <c r="AT1621" i="14" a="1"/>
  <c r="AT1621" i="14" s="1"/>
  <c r="Y190" i="14"/>
  <c r="Y385" i="14"/>
  <c r="Y580" i="14"/>
  <c r="AT198" i="14" a="1"/>
  <c r="AT198" i="14" s="1"/>
  <c r="AT182" i="14" a="1"/>
  <c r="AT182" i="14" s="1"/>
  <c r="AT168" i="14" a="1"/>
  <c r="AT168" i="14" s="1"/>
  <c r="AT156" i="14" a="1"/>
  <c r="AT156" i="14" s="1"/>
  <c r="AT141" i="14" a="1"/>
  <c r="AT141" i="14" s="1"/>
  <c r="AT126" i="14" a="1"/>
  <c r="AT126" i="14" s="1"/>
  <c r="AT110" i="14" a="1"/>
  <c r="AT110" i="14" s="1"/>
  <c r="AT96" i="14" a="1"/>
  <c r="AT96" i="14" s="1"/>
  <c r="AT63" i="14" a="1"/>
  <c r="AT63" i="14" s="1"/>
  <c r="AT23" i="14" a="1"/>
  <c r="AT23" i="14" s="1"/>
  <c r="AT243" i="14" a="1"/>
  <c r="AT243" i="14" s="1"/>
  <c r="AT287" i="14" a="1"/>
  <c r="AT287" i="14" s="1"/>
  <c r="AT334" i="14" a="1"/>
  <c r="AT334" i="14" s="1"/>
  <c r="AT385" i="14" a="1"/>
  <c r="AT385" i="14" s="1"/>
  <c r="AT439" i="14" a="1"/>
  <c r="AT439" i="14" s="1"/>
  <c r="AT485" i="14" a="1"/>
  <c r="AT485" i="14" s="1"/>
  <c r="AT537" i="14" a="1"/>
  <c r="AT537" i="14" s="1"/>
  <c r="AT600" i="14" a="1"/>
  <c r="AT600" i="14" s="1"/>
  <c r="AT677" i="14" a="1"/>
  <c r="AT677" i="14" s="1"/>
  <c r="AT780" i="14" a="1"/>
  <c r="AT780" i="14" s="1"/>
  <c r="AT930" i="14" a="1"/>
  <c r="AT930" i="14" s="1"/>
  <c r="AT1094" i="14" a="1"/>
  <c r="AT1094" i="14" s="1"/>
  <c r="AT1255" i="14" a="1"/>
  <c r="AT1255" i="14" s="1"/>
  <c r="AT1447" i="14" a="1"/>
  <c r="AT1447" i="14" s="1"/>
  <c r="AT1631" i="14" a="1"/>
  <c r="AT1631" i="14" s="1"/>
  <c r="Y201" i="14"/>
  <c r="Y396" i="14"/>
  <c r="Y591" i="14"/>
  <c r="AT197" i="14" a="1"/>
  <c r="AT197" i="14" s="1"/>
  <c r="AT167" i="14" a="1"/>
  <c r="AT167" i="14" s="1"/>
  <c r="AT154" i="14" a="1"/>
  <c r="AT154" i="14" s="1"/>
  <c r="AT140" i="14" a="1"/>
  <c r="AT140" i="14" s="1"/>
  <c r="AT125" i="14" a="1"/>
  <c r="AT125" i="14" s="1"/>
  <c r="AT95" i="14" a="1"/>
  <c r="AT95" i="14" s="1"/>
  <c r="AT251" i="14" a="1"/>
  <c r="AT251" i="14" s="1"/>
  <c r="AT295" i="14" a="1"/>
  <c r="AT295" i="14" s="1"/>
  <c r="AT342" i="14" a="1"/>
  <c r="AT342" i="14" s="1"/>
  <c r="AT386" i="14" a="1"/>
  <c r="AT386" i="14" s="1"/>
  <c r="AT440" i="14" a="1"/>
  <c r="AT440" i="14" s="1"/>
  <c r="AT493" i="14" a="1"/>
  <c r="AT493" i="14" s="1"/>
  <c r="AT539" i="14" a="1"/>
  <c r="AT539" i="14" s="1"/>
  <c r="AT605" i="14" a="1"/>
  <c r="AT605" i="14" s="1"/>
  <c r="AT679" i="14" a="1"/>
  <c r="AT679" i="14" s="1"/>
  <c r="AT804" i="14" a="1"/>
  <c r="AT804" i="14" s="1"/>
  <c r="AT932" i="14" a="1"/>
  <c r="AT932" i="14" s="1"/>
  <c r="AT1095" i="14" a="1"/>
  <c r="AT1095" i="14" s="1"/>
  <c r="AT1264" i="14" a="1"/>
  <c r="AT1264" i="14" s="1"/>
  <c r="AT1480" i="14" a="1"/>
  <c r="AT1480" i="14" s="1"/>
  <c r="Y44" i="14"/>
  <c r="Y239" i="14"/>
  <c r="Y434" i="14"/>
  <c r="Y629" i="14"/>
  <c r="AT196" i="14" a="1"/>
  <c r="AT196" i="14" s="1"/>
  <c r="AT181" i="14" a="1"/>
  <c r="AT181" i="14" s="1"/>
  <c r="AT166" i="14" a="1"/>
  <c r="AT166" i="14" s="1"/>
  <c r="AT124" i="14" a="1"/>
  <c r="AT124" i="14" s="1"/>
  <c r="AT109" i="14" a="1"/>
  <c r="AT109" i="14" s="1"/>
  <c r="AT94" i="14" a="1"/>
  <c r="AT94" i="14" s="1"/>
  <c r="AT55" i="14" a="1"/>
  <c r="AT55" i="14" s="1"/>
  <c r="AT15" i="14" a="1"/>
  <c r="AT15" i="14" s="1"/>
  <c r="AT252" i="14" a="1"/>
  <c r="AT252" i="14" s="1"/>
  <c r="AT296" i="14" a="1"/>
  <c r="AT296" i="14" s="1"/>
  <c r="AT343" i="14" a="1"/>
  <c r="AT343" i="14" s="1"/>
  <c r="AT395" i="14" a="1"/>
  <c r="AT395" i="14" s="1"/>
  <c r="AT442" i="14" a="1"/>
  <c r="AT442" i="14" s="1"/>
  <c r="AT494" i="14" a="1"/>
  <c r="AT494" i="14" s="1"/>
  <c r="AT547" i="14" a="1"/>
  <c r="AT547" i="14" s="1"/>
  <c r="AT620" i="14" a="1"/>
  <c r="AT620" i="14" s="1"/>
  <c r="AT689" i="14" a="1"/>
  <c r="AT689" i="14" s="1"/>
  <c r="AT806" i="14" a="1"/>
  <c r="AT806" i="14" s="1"/>
  <c r="AT939" i="14" a="1"/>
  <c r="AT939" i="14" s="1"/>
  <c r="AT1130" i="14" a="1"/>
  <c r="AT1130" i="14" s="1"/>
  <c r="AT1300" i="14" a="1"/>
  <c r="AT1300" i="14" s="1"/>
  <c r="AT1481" i="14" a="1"/>
  <c r="AT1481" i="14" s="1"/>
  <c r="Y45" i="14"/>
  <c r="Y240" i="14"/>
  <c r="Y435" i="14"/>
  <c r="Y630" i="14"/>
  <c r="AT207" i="14" a="1"/>
  <c r="AT207" i="14" s="1"/>
  <c r="AT194" i="14" a="1"/>
  <c r="AT194" i="14" s="1"/>
  <c r="AT151" i="14" a="1"/>
  <c r="AT151" i="14" s="1"/>
  <c r="AT135" i="14" a="1"/>
  <c r="AT135" i="14" s="1"/>
  <c r="AT122" i="14" a="1"/>
  <c r="AT122" i="14" s="1"/>
  <c r="AT54" i="14" a="1"/>
  <c r="AT54" i="14" s="1"/>
  <c r="AT216" i="14" a="1"/>
  <c r="AT216" i="14" s="1"/>
  <c r="AT253" i="14" a="1"/>
  <c r="AT253" i="14" s="1"/>
  <c r="AT298" i="14" a="1"/>
  <c r="AT298" i="14" s="1"/>
  <c r="AT345" i="14" a="1"/>
  <c r="AT345" i="14" s="1"/>
  <c r="AT396" i="14" a="1"/>
  <c r="AT396" i="14" s="1"/>
  <c r="AT450" i="14" a="1"/>
  <c r="AT450" i="14" s="1"/>
  <c r="AT496" i="14" a="1"/>
  <c r="AT496" i="14" s="1"/>
  <c r="AT548" i="14" a="1"/>
  <c r="AT548" i="14" s="1"/>
  <c r="AT621" i="14" a="1"/>
  <c r="AT621" i="14" s="1"/>
  <c r="AT702" i="14" a="1"/>
  <c r="AT702" i="14" s="1"/>
  <c r="AT812" i="14" a="1"/>
  <c r="AT812" i="14" s="1"/>
  <c r="AT965" i="14" a="1"/>
  <c r="AT965" i="14" s="1"/>
  <c r="AT1131" i="14" a="1"/>
  <c r="AT1131" i="14" s="1"/>
  <c r="AT1310" i="14" a="1"/>
  <c r="AT1310" i="14" s="1"/>
  <c r="AT1491" i="14" a="1"/>
  <c r="AT1491" i="14" s="1"/>
  <c r="Y56" i="14"/>
  <c r="Y251" i="14"/>
  <c r="Y446" i="14"/>
  <c r="Y641" i="14"/>
  <c r="AT206" i="14" a="1"/>
  <c r="AT206" i="14" s="1"/>
  <c r="AT192" i="14" a="1"/>
  <c r="AT192" i="14" s="1"/>
  <c r="AT180" i="14" a="1"/>
  <c r="AT180" i="14" s="1"/>
  <c r="AT165" i="14" a="1"/>
  <c r="AT165" i="14" s="1"/>
  <c r="AT150" i="14" a="1"/>
  <c r="AT150" i="14" s="1"/>
  <c r="AT134" i="14" a="1"/>
  <c r="AT134" i="14" s="1"/>
  <c r="AT120" i="14" a="1"/>
  <c r="AT120" i="14" s="1"/>
  <c r="AT108" i="14" a="1"/>
  <c r="AT108" i="14" s="1"/>
  <c r="AT87" i="14" a="1"/>
  <c r="AT87" i="14" s="1"/>
  <c r="AT48" i="14" a="1"/>
  <c r="AT48" i="14" s="1"/>
  <c r="AT217" i="14" a="1"/>
  <c r="AT217" i="14" s="1"/>
  <c r="AT259" i="14" a="1"/>
  <c r="AT259" i="14" s="1"/>
  <c r="AT303" i="14" a="1"/>
  <c r="AT303" i="14" s="1"/>
  <c r="AT353" i="14" a="1"/>
  <c r="AT353" i="14" s="1"/>
  <c r="AT398" i="14" a="1"/>
  <c r="AT398" i="14" s="1"/>
  <c r="AT452" i="14" a="1"/>
  <c r="AT452" i="14" s="1"/>
  <c r="AT504" i="14" a="1"/>
  <c r="AT504" i="14" s="1"/>
  <c r="AT550" i="14" a="1"/>
  <c r="AT550" i="14" s="1"/>
  <c r="AT623" i="14" a="1"/>
  <c r="AT623" i="14" s="1"/>
  <c r="AT703" i="14" a="1"/>
  <c r="AT703" i="14" s="1"/>
  <c r="AT832" i="14" a="1"/>
  <c r="AT832" i="14" s="1"/>
  <c r="AT984" i="14" a="1"/>
  <c r="AT984" i="14" s="1"/>
  <c r="AT1140" i="14" a="1"/>
  <c r="AT1140" i="14" s="1"/>
  <c r="AT1343" i="14" a="1"/>
  <c r="AT1343" i="14" s="1"/>
  <c r="AT1527" i="14" a="1"/>
  <c r="AT1527" i="14" s="1"/>
  <c r="Y92" i="14"/>
  <c r="Y287" i="14"/>
  <c r="Y482" i="14"/>
  <c r="Y677" i="14"/>
  <c r="AT191" i="14" a="1"/>
  <c r="AT191" i="14" s="1"/>
  <c r="AT178" i="14" a="1"/>
  <c r="AT178" i="14" s="1"/>
  <c r="AT164" i="14" a="1"/>
  <c r="AT164" i="14" s="1"/>
  <c r="AT149" i="14" a="1"/>
  <c r="AT149" i="14" s="1"/>
  <c r="AT119" i="14" a="1"/>
  <c r="AT119" i="14" s="1"/>
  <c r="AT106" i="14" a="1"/>
  <c r="AT106" i="14" s="1"/>
  <c r="AT47" i="14" a="1"/>
  <c r="AT47" i="14" s="1"/>
  <c r="AT224" i="14" a="1"/>
  <c r="AT224" i="14" s="1"/>
  <c r="AT260" i="14" a="1"/>
  <c r="AT260" i="14" s="1"/>
  <c r="AT304" i="14" a="1"/>
  <c r="AT304" i="14" s="1"/>
  <c r="AT354" i="14" a="1"/>
  <c r="AT354" i="14" s="1"/>
  <c r="AT406" i="14" a="1"/>
  <c r="AT406" i="14" s="1"/>
  <c r="AT461" i="14" a="1"/>
  <c r="AT461" i="14" s="1"/>
  <c r="AT506" i="14" a="1"/>
  <c r="AT506" i="14" s="1"/>
  <c r="AT558" i="14" a="1"/>
  <c r="AT558" i="14" s="1"/>
  <c r="AT635" i="14" a="1"/>
  <c r="AT635" i="14" s="1"/>
  <c r="AT704" i="14" a="1"/>
  <c r="AT704" i="14" s="1"/>
  <c r="AT834" i="14" a="1"/>
  <c r="AT834" i="14" s="1"/>
  <c r="AT986" i="14" a="1"/>
  <c r="AT986" i="14" s="1"/>
  <c r="AT1169" i="14" a="1"/>
  <c r="AT1169" i="14" s="1"/>
  <c r="AT1344" i="14" a="1"/>
  <c r="AT1344" i="14" s="1"/>
  <c r="AT1528" i="14" a="1"/>
  <c r="AT1528" i="14" s="1"/>
  <c r="Y93" i="14"/>
  <c r="Y288" i="14"/>
  <c r="Y483" i="14"/>
  <c r="Y678" i="14"/>
  <c r="AT205" i="14" a="1"/>
  <c r="AT205" i="14" s="1"/>
  <c r="AT190" i="14" a="1"/>
  <c r="AT190" i="14" s="1"/>
  <c r="AT148" i="14" a="1"/>
  <c r="AT148" i="14" s="1"/>
  <c r="AT133" i="14" a="1"/>
  <c r="AT133" i="14" s="1"/>
  <c r="AT118" i="14" a="1"/>
  <c r="AT118" i="14" s="1"/>
  <c r="AT79" i="14" a="1"/>
  <c r="AT79" i="14" s="1"/>
  <c r="AT225" i="14" a="1"/>
  <c r="AT225" i="14" s="1"/>
  <c r="AT262" i="14" a="1"/>
  <c r="AT262" i="14" s="1"/>
  <c r="AT306" i="14" a="1"/>
  <c r="AT306" i="14" s="1"/>
  <c r="AT356" i="14" a="1"/>
  <c r="AT356" i="14" s="1"/>
  <c r="AT408" i="14" a="1"/>
  <c r="AT408" i="14" s="1"/>
  <c r="AT463" i="14" a="1"/>
  <c r="AT463" i="14" s="1"/>
  <c r="AT515" i="14" a="1"/>
  <c r="AT515" i="14" s="1"/>
  <c r="AT560" i="14" a="1"/>
  <c r="AT560" i="14" s="1"/>
  <c r="AT636" i="14" a="1"/>
  <c r="AT636" i="14" s="1"/>
  <c r="AT720" i="14" a="1"/>
  <c r="AT720" i="14" s="1"/>
  <c r="AT857" i="14" a="1"/>
  <c r="AT857" i="14" s="1"/>
  <c r="AT993" i="14" a="1"/>
  <c r="AT993" i="14" s="1"/>
  <c r="AT1170" i="14" a="1"/>
  <c r="AT1170" i="14" s="1"/>
  <c r="AT1355" i="14" a="1"/>
  <c r="AT1355" i="14" s="1"/>
  <c r="AT1539" i="14" a="1"/>
  <c r="AT1539" i="14" s="1"/>
  <c r="Y104" i="14"/>
  <c r="Y299" i="14"/>
  <c r="Y494" i="14"/>
  <c r="Y689" i="14"/>
  <c r="AT175" i="14" a="1"/>
  <c r="AT175" i="14" s="1"/>
  <c r="AT159" i="14" a="1"/>
  <c r="AT159" i="14" s="1"/>
  <c r="AT146" i="14" a="1"/>
  <c r="AT146" i="14" s="1"/>
  <c r="AT103" i="14" a="1"/>
  <c r="AT103" i="14" s="1"/>
  <c r="AT78" i="14" a="1"/>
  <c r="AT78" i="14" s="1"/>
  <c r="AT39" i="14" a="1"/>
  <c r="AT39" i="14" s="1"/>
  <c r="AT227" i="14" a="1"/>
  <c r="AT227" i="14" s="1"/>
  <c r="AT268" i="14" a="1"/>
  <c r="AT268" i="14" s="1"/>
  <c r="AT313" i="14" a="1"/>
  <c r="AT313" i="14" s="1"/>
  <c r="AT364" i="14" a="1"/>
  <c r="AT364" i="14" s="1"/>
  <c r="AT418" i="14" a="1"/>
  <c r="AT418" i="14" s="1"/>
  <c r="AT471" i="14" a="1"/>
  <c r="AT471" i="14" s="1"/>
  <c r="AT517" i="14" a="1"/>
  <c r="AT517" i="14" s="1"/>
  <c r="AT568" i="14" a="1"/>
  <c r="AT568" i="14" s="1"/>
  <c r="AT640" i="14" a="1"/>
  <c r="AT640" i="14" s="1"/>
  <c r="AT737" i="14" a="1"/>
  <c r="AT737" i="14" s="1"/>
  <c r="AT863" i="14" a="1"/>
  <c r="AT863" i="14" s="1"/>
  <c r="AT1019" i="14" a="1"/>
  <c r="AT1019" i="14" s="1"/>
  <c r="AT1178" i="14" a="1"/>
  <c r="AT1178" i="14" s="1"/>
  <c r="AT1388" i="14" a="1"/>
  <c r="AT1388" i="14" s="1"/>
  <c r="AT1575" i="14" a="1"/>
  <c r="AT1575" i="14" s="1"/>
  <c r="Y141" i="14"/>
  <c r="Y336" i="14"/>
  <c r="Y531" i="14"/>
  <c r="Y726" i="14"/>
  <c r="AT204" i="14" a="1"/>
  <c r="AT204" i="14" s="1"/>
  <c r="AT189" i="14" a="1"/>
  <c r="AT189" i="14" s="1"/>
  <c r="AT174" i="14" a="1"/>
  <c r="AT174" i="14" s="1"/>
  <c r="AT158" i="14" a="1"/>
  <c r="AT158" i="14" s="1"/>
  <c r="AT144" i="14" a="1"/>
  <c r="AT144" i="14" s="1"/>
  <c r="AT132" i="14" a="1"/>
  <c r="AT132" i="14" s="1"/>
  <c r="AT117" i="14" a="1"/>
  <c r="AT117" i="14" s="1"/>
  <c r="AT102" i="14" a="1"/>
  <c r="AT102" i="14" s="1"/>
  <c r="AT74" i="14" a="1"/>
  <c r="AT74" i="14" s="1"/>
  <c r="AT232" i="14" a="1"/>
  <c r="AT232" i="14" s="1"/>
  <c r="AT270" i="14" a="1"/>
  <c r="AT270" i="14" s="1"/>
  <c r="AT322" i="14" a="1"/>
  <c r="AT322" i="14" s="1"/>
  <c r="AT366" i="14" a="1"/>
  <c r="AT366" i="14" s="1"/>
  <c r="AT419" i="14" a="1"/>
  <c r="AT419" i="14" s="1"/>
  <c r="AT472" i="14" a="1"/>
  <c r="AT472" i="14" s="1"/>
  <c r="AT525" i="14" a="1"/>
  <c r="AT525" i="14" s="1"/>
  <c r="AT582" i="14" a="1"/>
  <c r="AT582" i="14" s="1"/>
  <c r="AT651" i="14" a="1"/>
  <c r="AT651" i="14" s="1"/>
  <c r="AT742" i="14" a="1"/>
  <c r="AT742" i="14" s="1"/>
  <c r="AT881" i="14" a="1"/>
  <c r="AT881" i="14" s="1"/>
  <c r="AT1030" i="14" a="1"/>
  <c r="AT1030" i="14" s="1"/>
  <c r="AT1209" i="14" a="1"/>
  <c r="AT1209" i="14" s="1"/>
  <c r="AT1389" i="14" a="1"/>
  <c r="AT1389" i="14" s="1"/>
  <c r="AT1576" i="14" a="1"/>
  <c r="AT1576" i="14" s="1"/>
  <c r="Y142" i="14"/>
  <c r="Y337" i="14"/>
  <c r="Y532" i="14"/>
  <c r="Y727" i="14"/>
  <c r="AT202" i="14" a="1"/>
  <c r="AT202" i="14" s="1"/>
  <c r="AT188" i="14" a="1"/>
  <c r="AT188" i="14" s="1"/>
  <c r="AT173" i="14" a="1"/>
  <c r="AT173" i="14" s="1"/>
  <c r="AT143" i="14" a="1"/>
  <c r="AT143" i="14" s="1"/>
  <c r="AT130" i="14" a="1"/>
  <c r="AT130" i="14" s="1"/>
  <c r="AT116" i="14" a="1"/>
  <c r="AT116" i="14" s="1"/>
  <c r="AT101" i="14" a="1"/>
  <c r="AT101" i="14" s="1"/>
  <c r="AT72" i="14" a="1"/>
  <c r="AT72" i="14" s="1"/>
  <c r="AT31" i="14" a="1"/>
  <c r="AT31" i="14" s="1"/>
  <c r="AT233" i="14" a="1"/>
  <c r="AT233" i="14" s="1"/>
  <c r="AT277" i="14" a="1"/>
  <c r="AT277" i="14" s="1"/>
  <c r="AT324" i="14" a="1"/>
  <c r="AT324" i="14" s="1"/>
  <c r="AT374" i="14" a="1"/>
  <c r="AT374" i="14" s="1"/>
  <c r="AT421" i="14" a="1"/>
  <c r="AT421" i="14" s="1"/>
  <c r="AT474" i="14" a="1"/>
  <c r="AT474" i="14" s="1"/>
  <c r="AT526" i="14" a="1"/>
  <c r="AT526" i="14" s="1"/>
  <c r="AT583" i="14" a="1"/>
  <c r="AT583" i="14" s="1"/>
  <c r="AT652" i="14" a="1"/>
  <c r="AT652" i="14" s="1"/>
  <c r="AT760" i="14" a="1"/>
  <c r="AT760" i="14" s="1"/>
  <c r="AT887" i="14" a="1"/>
  <c r="AT887" i="14" s="1"/>
  <c r="AT1057" i="14" a="1"/>
  <c r="AT1057" i="14" s="1"/>
  <c r="AT1210" i="14" a="1"/>
  <c r="AT1210" i="14" s="1"/>
  <c r="AT1400" i="14" a="1"/>
  <c r="AT1400" i="14" s="1"/>
  <c r="AT1587" i="14" a="1"/>
  <c r="AT1587" i="14" s="1"/>
  <c r="Y153" i="14"/>
  <c r="Y348" i="14"/>
  <c r="Y543" i="14"/>
  <c r="Y738" i="14"/>
  <c r="AT86" i="14" a="1"/>
  <c r="AT86" i="14" s="1"/>
  <c r="AT70" i="14" a="1"/>
  <c r="AT70" i="14" s="1"/>
  <c r="AT62" i="14" a="1"/>
  <c r="AT62" i="14" s="1"/>
  <c r="AT46" i="14" a="1"/>
  <c r="AT46" i="14" s="1"/>
  <c r="AT38" i="14" a="1"/>
  <c r="AT38" i="14" s="1"/>
  <c r="AT22" i="14" a="1"/>
  <c r="AT22" i="14" s="1"/>
  <c r="AT14" i="14" a="1"/>
  <c r="AT14" i="14" s="1"/>
  <c r="AT226" i="14" a="1"/>
  <c r="AT226" i="14" s="1"/>
  <c r="AT234" i="14" a="1"/>
  <c r="AT234" i="14" s="1"/>
  <c r="AT261" i="14" a="1"/>
  <c r="AT261" i="14" s="1"/>
  <c r="AT269" i="14" a="1"/>
  <c r="AT269" i="14" s="1"/>
  <c r="AT288" i="14" a="1"/>
  <c r="AT288" i="14" s="1"/>
  <c r="AT297" i="14" a="1"/>
  <c r="AT297" i="14" s="1"/>
  <c r="AT305" i="14" a="1"/>
  <c r="AT305" i="14" s="1"/>
  <c r="AT314" i="14" a="1"/>
  <c r="AT314" i="14" s="1"/>
  <c r="AT323" i="14" a="1"/>
  <c r="AT323" i="14" s="1"/>
  <c r="AT344" i="14" a="1"/>
  <c r="AT344" i="14" s="1"/>
  <c r="AT355" i="14" a="1"/>
  <c r="AT355" i="14" s="1"/>
  <c r="AT365" i="14" a="1"/>
  <c r="AT365" i="14" s="1"/>
  <c r="AT387" i="14" a="1"/>
  <c r="AT387" i="14" s="1"/>
  <c r="AT397" i="14" a="1"/>
  <c r="AT397" i="14" s="1"/>
  <c r="AT407" i="14" a="1"/>
  <c r="AT407" i="14" s="1"/>
  <c r="AT420" i="14" a="1"/>
  <c r="AT420" i="14" s="1"/>
  <c r="AT431" i="14" a="1"/>
  <c r="AT431" i="14" s="1"/>
  <c r="AT441" i="14" a="1"/>
  <c r="AT441" i="14" s="1"/>
  <c r="AT451" i="14" a="1"/>
  <c r="AT451" i="14" s="1"/>
  <c r="AT462" i="14" a="1"/>
  <c r="AT462" i="14" s="1"/>
  <c r="AT473" i="14" a="1"/>
  <c r="AT473" i="14" s="1"/>
  <c r="AT484" i="14" a="1"/>
  <c r="AT484" i="14" s="1"/>
  <c r="AT495" i="14" a="1"/>
  <c r="AT495" i="14" s="1"/>
  <c r="AT505" i="14" a="1"/>
  <c r="AT505" i="14" s="1"/>
  <c r="AT516" i="14" a="1"/>
  <c r="AT516" i="14" s="1"/>
  <c r="AT527" i="14" a="1"/>
  <c r="AT527" i="14" s="1"/>
  <c r="AT538" i="14" a="1"/>
  <c r="AT538" i="14" s="1"/>
  <c r="AT549" i="14" a="1"/>
  <c r="AT549" i="14" s="1"/>
  <c r="AT559" i="14" a="1"/>
  <c r="AT559" i="14" s="1"/>
  <c r="AT569" i="14" a="1"/>
  <c r="AT569" i="14" s="1"/>
  <c r="AT584" i="14" a="1"/>
  <c r="AT584" i="14" s="1"/>
  <c r="AT601" i="14" a="1"/>
  <c r="AT601" i="14" s="1"/>
  <c r="AT622" i="14" a="1"/>
  <c r="AT622" i="14" s="1"/>
  <c r="AT637" i="14" a="1"/>
  <c r="AT637" i="14" s="1"/>
  <c r="AT653" i="14" a="1"/>
  <c r="AT653" i="14" s="1"/>
  <c r="AT665" i="14" a="1"/>
  <c r="AT665" i="14" s="1"/>
  <c r="AT678" i="14" a="1"/>
  <c r="AT678" i="14" s="1"/>
  <c r="AT690" i="14" a="1"/>
  <c r="AT690" i="14" s="1"/>
  <c r="AT721" i="14" a="1"/>
  <c r="AT721" i="14" s="1"/>
  <c r="AT743" i="14" a="1"/>
  <c r="AT743" i="14" s="1"/>
  <c r="AT761" i="14" a="1"/>
  <c r="AT761" i="14" s="1"/>
  <c r="AT786" i="14" a="1"/>
  <c r="AT786" i="14" s="1"/>
  <c r="AT838" i="14" a="1"/>
  <c r="AT838" i="14" s="1"/>
  <c r="AT938" i="14" a="1"/>
  <c r="AT938" i="14" s="1"/>
  <c r="AT992" i="14" a="1"/>
  <c r="AT992" i="14" s="1"/>
  <c r="AT1020" i="14" a="1"/>
  <c r="AT1020" i="14" s="1"/>
  <c r="AT1059" i="14" a="1"/>
  <c r="AT1059" i="14" s="1"/>
  <c r="AT1096" i="14" a="1"/>
  <c r="AT1096" i="14" s="1"/>
  <c r="AT1132" i="14" a="1"/>
  <c r="AT1132" i="14" s="1"/>
  <c r="AT1211" i="14" a="1"/>
  <c r="AT1211" i="14" s="1"/>
  <c r="AT1256" i="14" a="1"/>
  <c r="AT1256" i="14" s="1"/>
  <c r="AT1301" i="14" a="1"/>
  <c r="AT1301" i="14" s="1"/>
  <c r="AT1345" i="14" a="1"/>
  <c r="AT1345" i="14" s="1"/>
  <c r="AT1390" i="14" a="1"/>
  <c r="AT1390" i="14" s="1"/>
  <c r="AT1438" i="14" a="1"/>
  <c r="AT1438" i="14" s="1"/>
  <c r="AT1529" i="14" a="1"/>
  <c r="AT1529" i="14" s="1"/>
  <c r="AT1577" i="14" a="1"/>
  <c r="AT1577" i="14" s="1"/>
  <c r="AT1622" i="14" a="1"/>
  <c r="AT1622" i="14" s="1"/>
  <c r="Y46" i="14"/>
  <c r="Y94" i="14"/>
  <c r="Y143" i="14"/>
  <c r="Y191" i="14"/>
  <c r="Y241" i="14"/>
  <c r="Y289" i="14"/>
  <c r="Y338" i="14"/>
  <c r="Y386" i="14"/>
  <c r="Y436" i="14"/>
  <c r="Y484" i="14"/>
  <c r="Y533" i="14"/>
  <c r="Y581" i="14"/>
  <c r="Y631" i="14"/>
  <c r="Y679" i="14"/>
  <c r="Y728" i="14"/>
  <c r="AT93" i="14" a="1"/>
  <c r="AT93" i="14" s="1"/>
  <c r="AT85" i="14" a="1"/>
  <c r="AT85" i="14" s="1"/>
  <c r="AT77" i="14" a="1"/>
  <c r="AT77" i="14" s="1"/>
  <c r="AT69" i="14" a="1"/>
  <c r="AT69" i="14" s="1"/>
  <c r="AT61" i="14" a="1"/>
  <c r="AT61" i="14" s="1"/>
  <c r="AT53" i="14" a="1"/>
  <c r="AT53" i="14" s="1"/>
  <c r="AT45" i="14" a="1"/>
  <c r="AT45" i="14" s="1"/>
  <c r="AT37" i="14" a="1"/>
  <c r="AT37" i="14" s="1"/>
  <c r="AT29" i="14" a="1"/>
  <c r="AT29" i="14" s="1"/>
  <c r="AT21" i="14" a="1"/>
  <c r="AT21" i="14" s="1"/>
  <c r="AT13" i="14" a="1"/>
  <c r="AT13" i="14" s="1"/>
  <c r="AT236" i="14" a="1"/>
  <c r="AT236" i="14" s="1"/>
  <c r="AT263" i="14" a="1"/>
  <c r="AT263" i="14" s="1"/>
  <c r="AT271" i="14" a="1"/>
  <c r="AT271" i="14" s="1"/>
  <c r="AT289" i="14" a="1"/>
  <c r="AT289" i="14" s="1"/>
  <c r="AT299" i="14" a="1"/>
  <c r="AT299" i="14" s="1"/>
  <c r="AT307" i="14" a="1"/>
  <c r="AT307" i="14" s="1"/>
  <c r="AT315" i="14" a="1"/>
  <c r="AT315" i="14" s="1"/>
  <c r="AT325" i="14" a="1"/>
  <c r="AT325" i="14" s="1"/>
  <c r="AT335" i="14" a="1"/>
  <c r="AT335" i="14" s="1"/>
  <c r="AT346" i="14" a="1"/>
  <c r="AT346" i="14" s="1"/>
  <c r="AT357" i="14" a="1"/>
  <c r="AT357" i="14" s="1"/>
  <c r="AT367" i="14" a="1"/>
  <c r="AT367" i="14" s="1"/>
  <c r="AT377" i="14" a="1"/>
  <c r="AT377" i="14" s="1"/>
  <c r="AT388" i="14" a="1"/>
  <c r="AT388" i="14" s="1"/>
  <c r="AT399" i="14" a="1"/>
  <c r="AT399" i="14" s="1"/>
  <c r="AT409" i="14" a="1"/>
  <c r="AT409" i="14" s="1"/>
  <c r="AT422" i="14" a="1"/>
  <c r="AT422" i="14" s="1"/>
  <c r="AT432" i="14" a="1"/>
  <c r="AT432" i="14" s="1"/>
  <c r="AT443" i="14" a="1"/>
  <c r="AT443" i="14" s="1"/>
  <c r="AT453" i="14" a="1"/>
  <c r="AT453" i="14" s="1"/>
  <c r="AT464" i="14" a="1"/>
  <c r="AT464" i="14" s="1"/>
  <c r="AT475" i="14" a="1"/>
  <c r="AT475" i="14" s="1"/>
  <c r="AT497" i="14" a="1"/>
  <c r="AT497" i="14" s="1"/>
  <c r="AT507" i="14" a="1"/>
  <c r="AT507" i="14" s="1"/>
  <c r="AT518" i="14" a="1"/>
  <c r="AT518" i="14" s="1"/>
  <c r="AT529" i="14" a="1"/>
  <c r="AT529" i="14" s="1"/>
  <c r="AT551" i="14" a="1"/>
  <c r="AT551" i="14" s="1"/>
  <c r="AT570" i="14" a="1"/>
  <c r="AT570" i="14" s="1"/>
  <c r="AT587" i="14" a="1"/>
  <c r="AT587" i="14" s="1"/>
  <c r="AT606" i="14" a="1"/>
  <c r="AT606" i="14" s="1"/>
  <c r="AT624" i="14" a="1"/>
  <c r="AT624" i="14" s="1"/>
  <c r="AT641" i="14" a="1"/>
  <c r="AT641" i="14" s="1"/>
  <c r="AT655" i="14" a="1"/>
  <c r="AT655" i="14" s="1"/>
  <c r="AT680" i="14" a="1"/>
  <c r="AT680" i="14" s="1"/>
  <c r="AT693" i="14" a="1"/>
  <c r="AT693" i="14" s="1"/>
  <c r="AT707" i="14" a="1"/>
  <c r="AT707" i="14" s="1"/>
  <c r="AT727" i="14" a="1"/>
  <c r="AT727" i="14" s="1"/>
  <c r="AT744" i="14" a="1"/>
  <c r="AT744" i="14" s="1"/>
  <c r="AT768" i="14" a="1"/>
  <c r="AT768" i="14" s="1"/>
  <c r="AT787" i="14" a="1"/>
  <c r="AT787" i="14" s="1"/>
  <c r="AT839" i="14" a="1"/>
  <c r="AT839" i="14" s="1"/>
  <c r="AT864" i="14" a="1"/>
  <c r="AT864" i="14" s="1"/>
  <c r="AT888" i="14" a="1"/>
  <c r="AT888" i="14" s="1"/>
  <c r="AT912" i="14" a="1"/>
  <c r="AT912" i="14" s="1"/>
  <c r="AT966" i="14" a="1"/>
  <c r="AT966" i="14" s="1"/>
  <c r="AT1031" i="14" a="1"/>
  <c r="AT1031" i="14" s="1"/>
  <c r="AT1104" i="14" a="1"/>
  <c r="AT1104" i="14" s="1"/>
  <c r="AT1141" i="14" a="1"/>
  <c r="AT1141" i="14" s="1"/>
  <c r="AT1179" i="14" a="1"/>
  <c r="AT1179" i="14" s="1"/>
  <c r="AT1220" i="14" a="1"/>
  <c r="AT1220" i="14" s="1"/>
  <c r="AT1265" i="14" a="1"/>
  <c r="AT1265" i="14" s="1"/>
  <c r="AT1311" i="14" a="1"/>
  <c r="AT1311" i="14" s="1"/>
  <c r="AT1356" i="14" a="1"/>
  <c r="AT1356" i="14" s="1"/>
  <c r="AT1401" i="14" a="1"/>
  <c r="AT1401" i="14" s="1"/>
  <c r="AT1448" i="14" a="1"/>
  <c r="AT1448" i="14" s="1"/>
  <c r="AT1492" i="14" a="1"/>
  <c r="AT1492" i="14" s="1"/>
  <c r="AT1540" i="14" a="1"/>
  <c r="AT1540" i="14" s="1"/>
  <c r="AT1588" i="14" a="1"/>
  <c r="AT1588" i="14" s="1"/>
  <c r="Y57" i="14"/>
  <c r="Y105" i="14"/>
  <c r="Y154" i="14"/>
  <c r="Y202" i="14"/>
  <c r="Y252" i="14"/>
  <c r="Y300" i="14"/>
  <c r="Y349" i="14"/>
  <c r="Y397" i="14"/>
  <c r="Y447" i="14"/>
  <c r="Y495" i="14"/>
  <c r="Y544" i="14"/>
  <c r="Y592" i="14"/>
  <c r="Y642" i="14"/>
  <c r="Y690" i="14"/>
  <c r="Y739" i="14"/>
  <c r="AT92" i="14" a="1"/>
  <c r="AT92" i="14" s="1"/>
  <c r="AT76" i="14" a="1"/>
  <c r="AT76" i="14" s="1"/>
  <c r="AT68" i="14" a="1"/>
  <c r="AT68" i="14" s="1"/>
  <c r="AT52" i="14" a="1"/>
  <c r="AT52" i="14" s="1"/>
  <c r="AT44" i="14" a="1"/>
  <c r="AT44" i="14" s="1"/>
  <c r="AT28" i="14" a="1"/>
  <c r="AT28" i="14" s="1"/>
  <c r="AT20" i="14" a="1"/>
  <c r="AT20" i="14" s="1"/>
  <c r="AT218" i="14" a="1"/>
  <c r="AT218" i="14" s="1"/>
  <c r="AT228" i="14" a="1"/>
  <c r="AT228" i="14" s="1"/>
  <c r="AT237" i="14" a="1"/>
  <c r="AT237" i="14" s="1"/>
  <c r="AT244" i="14" a="1"/>
  <c r="AT244" i="14" s="1"/>
  <c r="AT254" i="14" a="1"/>
  <c r="AT254" i="14" s="1"/>
  <c r="AT272" i="14" a="1"/>
  <c r="AT272" i="14" s="1"/>
  <c r="AT280" i="14" a="1"/>
  <c r="AT280" i="14" s="1"/>
  <c r="AT308" i="14" a="1"/>
  <c r="AT308" i="14" s="1"/>
  <c r="AT326" i="14" a="1"/>
  <c r="AT326" i="14" s="1"/>
  <c r="AT336" i="14" a="1"/>
  <c r="AT336" i="14" s="1"/>
  <c r="AT347" i="14" a="1"/>
  <c r="AT347" i="14" s="1"/>
  <c r="AT368" i="14" a="1"/>
  <c r="AT368" i="14" s="1"/>
  <c r="AT378" i="14" a="1"/>
  <c r="AT378" i="14" s="1"/>
  <c r="AT389" i="14" a="1"/>
  <c r="AT389" i="14" s="1"/>
  <c r="AT410" i="14" a="1"/>
  <c r="AT410" i="14" s="1"/>
  <c r="AT423" i="14" a="1"/>
  <c r="AT423" i="14" s="1"/>
  <c r="AT433" i="14" a="1"/>
  <c r="AT433" i="14" s="1"/>
  <c r="AT454" i="14" a="1"/>
  <c r="AT454" i="14" s="1"/>
  <c r="AT465" i="14" a="1"/>
  <c r="AT465" i="14" s="1"/>
  <c r="AT476" i="14" a="1"/>
  <c r="AT476" i="14" s="1"/>
  <c r="AT486" i="14" a="1"/>
  <c r="AT486" i="14" s="1"/>
  <c r="AT508" i="14" a="1"/>
  <c r="AT508" i="14" s="1"/>
  <c r="AT519" i="14" a="1"/>
  <c r="AT519" i="14" s="1"/>
  <c r="AT530" i="14" a="1"/>
  <c r="AT530" i="14" s="1"/>
  <c r="AT540" i="14" a="1"/>
  <c r="AT540" i="14" s="1"/>
  <c r="AT561" i="14" a="1"/>
  <c r="AT561" i="14" s="1"/>
  <c r="AT571" i="14" a="1"/>
  <c r="AT571" i="14" s="1"/>
  <c r="AT588" i="14" a="1"/>
  <c r="AT588" i="14" s="1"/>
  <c r="AT607" i="14" a="1"/>
  <c r="AT607" i="14" s="1"/>
  <c r="AT625" i="14" a="1"/>
  <c r="AT625" i="14" s="1"/>
  <c r="AT642" i="14" a="1"/>
  <c r="AT642" i="14" s="1"/>
  <c r="AT669" i="14" a="1"/>
  <c r="AT669" i="14" s="1"/>
  <c r="AT694" i="14" a="1"/>
  <c r="AT694" i="14" s="1"/>
  <c r="AT745" i="14" a="1"/>
  <c r="AT745" i="14" s="1"/>
  <c r="AT769" i="14" a="1"/>
  <c r="AT769" i="14" s="1"/>
  <c r="AT814" i="14" a="1"/>
  <c r="AT814" i="14" s="1"/>
  <c r="AT841" i="14" a="1"/>
  <c r="AT841" i="14" s="1"/>
  <c r="AT865" i="14" a="1"/>
  <c r="AT865" i="14" s="1"/>
  <c r="AT890" i="14" a="1"/>
  <c r="AT890" i="14" s="1"/>
  <c r="AT914" i="14" a="1"/>
  <c r="AT914" i="14" s="1"/>
  <c r="AT968" i="14" a="1"/>
  <c r="AT968" i="14" s="1"/>
  <c r="AT1068" i="14" a="1"/>
  <c r="AT1068" i="14" s="1"/>
  <c r="AT1180" i="14" a="1"/>
  <c r="AT1180" i="14" s="1"/>
  <c r="AT1221" i="14" a="1"/>
  <c r="AT1221" i="14" s="1"/>
  <c r="AT1266" i="14" a="1"/>
  <c r="AT1266" i="14" s="1"/>
  <c r="AT1357" i="14" a="1"/>
  <c r="AT1357" i="14" s="1"/>
  <c r="AT1449" i="14" a="1"/>
  <c r="AT1449" i="14" s="1"/>
  <c r="AT1493" i="14" a="1"/>
  <c r="AT1493" i="14" s="1"/>
  <c r="AT1541" i="14" a="1"/>
  <c r="AT1541" i="14" s="1"/>
  <c r="AT1589" i="14" a="1"/>
  <c r="AT1589" i="14" s="1"/>
  <c r="Y10" i="14"/>
  <c r="Y58" i="14"/>
  <c r="Y106" i="14"/>
  <c r="Y155" i="14"/>
  <c r="Y203" i="14"/>
  <c r="Y253" i="14"/>
  <c r="Y301" i="14"/>
  <c r="Y350" i="14"/>
  <c r="Y398" i="14"/>
  <c r="Y448" i="14"/>
  <c r="Y496" i="14"/>
  <c r="Y545" i="14"/>
  <c r="Y593" i="14"/>
  <c r="Y643" i="14"/>
  <c r="Y691" i="14"/>
  <c r="Y740" i="14"/>
  <c r="AT84" i="14" a="1"/>
  <c r="AT84" i="14" s="1"/>
  <c r="AT60" i="14" a="1"/>
  <c r="AT60" i="14" s="1"/>
  <c r="AT36" i="14" a="1"/>
  <c r="AT36" i="14" s="1"/>
  <c r="AT12" i="14" a="1"/>
  <c r="AT12" i="14" s="1"/>
  <c r="AT219" i="14" a="1"/>
  <c r="AT219" i="14" s="1"/>
  <c r="AT238" i="14" a="1"/>
  <c r="AT238" i="14" s="1"/>
  <c r="AT245" i="14" a="1"/>
  <c r="AT245" i="14" s="1"/>
  <c r="AT264" i="14" a="1"/>
  <c r="AT264" i="14" s="1"/>
  <c r="AT273" i="14" a="1"/>
  <c r="AT273" i="14" s="1"/>
  <c r="AT281" i="14" a="1"/>
  <c r="AT281" i="14" s="1"/>
  <c r="AT290" i="14" a="1"/>
  <c r="AT290" i="14" s="1"/>
  <c r="AT300" i="14" a="1"/>
  <c r="AT300" i="14" s="1"/>
  <c r="AT309" i="14" a="1"/>
  <c r="AT309" i="14" s="1"/>
  <c r="AT316" i="14" a="1"/>
  <c r="AT316" i="14" s="1"/>
  <c r="AT327" i="14" a="1"/>
  <c r="AT327" i="14" s="1"/>
  <c r="AT337" i="14" a="1"/>
  <c r="AT337" i="14" s="1"/>
  <c r="AT348" i="14" a="1"/>
  <c r="AT348" i="14" s="1"/>
  <c r="AT358" i="14" a="1"/>
  <c r="AT358" i="14" s="1"/>
  <c r="AT369" i="14" a="1"/>
  <c r="AT369" i="14" s="1"/>
  <c r="AT379" i="14" a="1"/>
  <c r="AT379" i="14" s="1"/>
  <c r="AT390" i="14" a="1"/>
  <c r="AT390" i="14" s="1"/>
  <c r="AT400" i="14" a="1"/>
  <c r="AT400" i="14" s="1"/>
  <c r="AT411" i="14" a="1"/>
  <c r="AT411" i="14" s="1"/>
  <c r="AT424" i="14" a="1"/>
  <c r="AT424" i="14" s="1"/>
  <c r="AT434" i="14" a="1"/>
  <c r="AT434" i="14" s="1"/>
  <c r="AT444" i="14" a="1"/>
  <c r="AT444" i="14" s="1"/>
  <c r="AT455" i="14" a="1"/>
  <c r="AT455" i="14" s="1"/>
  <c r="AT466" i="14" a="1"/>
  <c r="AT466" i="14" s="1"/>
  <c r="AT477" i="14" a="1"/>
  <c r="AT477" i="14" s="1"/>
  <c r="AT487" i="14" a="1"/>
  <c r="AT487" i="14" s="1"/>
  <c r="AT498" i="14" a="1"/>
  <c r="AT498" i="14" s="1"/>
  <c r="AT509" i="14" a="1"/>
  <c r="AT509" i="14" s="1"/>
  <c r="AT520" i="14" a="1"/>
  <c r="AT520" i="14" s="1"/>
  <c r="AT531" i="14" a="1"/>
  <c r="AT531" i="14" s="1"/>
  <c r="AT541" i="14" a="1"/>
  <c r="AT541" i="14" s="1"/>
  <c r="AT552" i="14" a="1"/>
  <c r="AT552" i="14" s="1"/>
  <c r="AT562" i="14" a="1"/>
  <c r="AT562" i="14" s="1"/>
  <c r="AT572" i="14" a="1"/>
  <c r="AT572" i="14" s="1"/>
  <c r="AT589" i="14" a="1"/>
  <c r="AT589" i="14" s="1"/>
  <c r="AT608" i="14" a="1"/>
  <c r="AT608" i="14" s="1"/>
  <c r="AT626" i="14" a="1"/>
  <c r="AT626" i="14" s="1"/>
  <c r="AT643" i="14" a="1"/>
  <c r="AT643" i="14" s="1"/>
  <c r="AT656" i="14" a="1"/>
  <c r="AT656" i="14" s="1"/>
  <c r="AT670" i="14" a="1"/>
  <c r="AT670" i="14" s="1"/>
  <c r="AT681" i="14" a="1"/>
  <c r="AT681" i="14" s="1"/>
  <c r="AT695" i="14" a="1"/>
  <c r="AT695" i="14" s="1"/>
  <c r="AT711" i="14" a="1"/>
  <c r="AT711" i="14" s="1"/>
  <c r="AT728" i="14" a="1"/>
  <c r="AT728" i="14" s="1"/>
  <c r="AT751" i="14" a="1"/>
  <c r="AT751" i="14" s="1"/>
  <c r="AT794" i="14" a="1"/>
  <c r="AT794" i="14" s="1"/>
  <c r="AT847" i="14" a="1"/>
  <c r="AT847" i="14" s="1"/>
  <c r="AT920" i="14" a="1"/>
  <c r="AT920" i="14" s="1"/>
  <c r="AT974" i="14" a="1"/>
  <c r="AT974" i="14" s="1"/>
  <c r="AT1075" i="14" a="1"/>
  <c r="AT1075" i="14" s="1"/>
  <c r="AT1112" i="14" a="1"/>
  <c r="AT1112" i="14" s="1"/>
  <c r="AT1150" i="14" a="1"/>
  <c r="AT1150" i="14" s="1"/>
  <c r="AT1188" i="14" a="1"/>
  <c r="AT1188" i="14" s="1"/>
  <c r="AT1232" i="14" a="1"/>
  <c r="AT1232" i="14" s="1"/>
  <c r="AT1276" i="14" a="1"/>
  <c r="AT1276" i="14" s="1"/>
  <c r="AT1321" i="14" a="1"/>
  <c r="AT1321" i="14" s="1"/>
  <c r="AT1367" i="14" a="1"/>
  <c r="AT1367" i="14" s="1"/>
  <c r="AT1410" i="14" a="1"/>
  <c r="AT1410" i="14" s="1"/>
  <c r="AT1503" i="14" a="1"/>
  <c r="AT1503" i="14" s="1"/>
  <c r="AT1551" i="14" a="1"/>
  <c r="AT1551" i="14" s="1"/>
  <c r="AT1599" i="14" a="1"/>
  <c r="AT1599" i="14" s="1"/>
  <c r="Y20" i="14"/>
  <c r="Y68" i="14"/>
  <c r="Y117" i="14"/>
  <c r="Y165" i="14"/>
  <c r="Y215" i="14"/>
  <c r="Y263" i="14"/>
  <c r="Y311" i="14"/>
  <c r="Y360" i="14"/>
  <c r="Y408" i="14"/>
  <c r="Y458" i="14"/>
  <c r="Y506" i="14"/>
  <c r="Y555" i="14"/>
  <c r="Y603" i="14"/>
  <c r="Y653" i="14"/>
  <c r="Y701" i="14"/>
  <c r="Y750" i="14"/>
  <c r="AT203" i="14" a="1"/>
  <c r="AT203" i="14" s="1"/>
  <c r="AT195" i="14" a="1"/>
  <c r="AT195" i="14" s="1"/>
  <c r="AT187" i="14" a="1"/>
  <c r="AT187" i="14" s="1"/>
  <c r="AT179" i="14" a="1"/>
  <c r="AT179" i="14" s="1"/>
  <c r="AT171" i="14" a="1"/>
  <c r="AT171" i="14" s="1"/>
  <c r="AT163" i="14" a="1"/>
  <c r="AT163" i="14" s="1"/>
  <c r="AT155" i="14" a="1"/>
  <c r="AT155" i="14" s="1"/>
  <c r="AT147" i="14" a="1"/>
  <c r="AT147" i="14" s="1"/>
  <c r="AT139" i="14" a="1"/>
  <c r="AT139" i="14" s="1"/>
  <c r="AT131" i="14" a="1"/>
  <c r="AT131" i="14" s="1"/>
  <c r="AT123" i="14" a="1"/>
  <c r="AT123" i="14" s="1"/>
  <c r="AT115" i="14" a="1"/>
  <c r="AT115" i="14" s="1"/>
  <c r="AT107" i="14" a="1"/>
  <c r="AT107" i="14" s="1"/>
  <c r="AT99" i="14" a="1"/>
  <c r="AT99" i="14" s="1"/>
  <c r="AT91" i="14" a="1"/>
  <c r="AT91" i="14" s="1"/>
  <c r="AT83" i="14" a="1"/>
  <c r="AT83" i="14" s="1"/>
  <c r="AT75" i="14" a="1"/>
  <c r="AT75" i="14" s="1"/>
  <c r="AT67" i="14" a="1"/>
  <c r="AT67" i="14" s="1"/>
  <c r="AT59" i="14" a="1"/>
  <c r="AT59" i="14" s="1"/>
  <c r="AT51" i="14" a="1"/>
  <c r="AT51" i="14" s="1"/>
  <c r="AT43" i="14" a="1"/>
  <c r="AT43" i="14" s="1"/>
  <c r="AT35" i="14" a="1"/>
  <c r="AT35" i="14" s="1"/>
  <c r="AT27" i="14" a="1"/>
  <c r="AT27" i="14" s="1"/>
  <c r="AT19" i="14" a="1"/>
  <c r="AT19" i="14" s="1"/>
  <c r="AT11" i="14" a="1"/>
  <c r="AT11" i="14" s="1"/>
  <c r="AT229" i="14" a="1"/>
  <c r="AT229" i="14" s="1"/>
  <c r="AT239" i="14" a="1"/>
  <c r="AT239" i="14" s="1"/>
  <c r="AT246" i="14" a="1"/>
  <c r="AT246" i="14" s="1"/>
  <c r="AT255" i="14" a="1"/>
  <c r="AT255" i="14" s="1"/>
  <c r="AT265" i="14" a="1"/>
  <c r="AT265" i="14" s="1"/>
  <c r="AT274" i="14" a="1"/>
  <c r="AT274" i="14" s="1"/>
  <c r="AT282" i="14" a="1"/>
  <c r="AT282" i="14" s="1"/>
  <c r="AT291" i="14" a="1"/>
  <c r="AT291" i="14" s="1"/>
  <c r="AT310" i="14" a="1"/>
  <c r="AT310" i="14" s="1"/>
  <c r="AT317" i="14" a="1"/>
  <c r="AT317" i="14" s="1"/>
  <c r="AT338" i="14" a="1"/>
  <c r="AT338" i="14" s="1"/>
  <c r="AT349" i="14" a="1"/>
  <c r="AT349" i="14" s="1"/>
  <c r="AT359" i="14" a="1"/>
  <c r="AT359" i="14" s="1"/>
  <c r="AT380" i="14" a="1"/>
  <c r="AT380" i="14" s="1"/>
  <c r="AT391" i="14" a="1"/>
  <c r="AT391" i="14" s="1"/>
  <c r="AT401" i="14" a="1"/>
  <c r="AT401" i="14" s="1"/>
  <c r="AT425" i="14" a="1"/>
  <c r="AT425" i="14" s="1"/>
  <c r="AT435" i="14" a="1"/>
  <c r="AT435" i="14" s="1"/>
  <c r="AT445" i="14" a="1"/>
  <c r="AT445" i="14" s="1"/>
  <c r="AT456" i="14" a="1"/>
  <c r="AT456" i="14" s="1"/>
  <c r="AT467" i="14" a="1"/>
  <c r="AT467" i="14" s="1"/>
  <c r="AT478" i="14" a="1"/>
  <c r="AT478" i="14" s="1"/>
  <c r="AT488" i="14" a="1"/>
  <c r="AT488" i="14" s="1"/>
  <c r="AT499" i="14" a="1"/>
  <c r="AT499" i="14" s="1"/>
  <c r="AT510" i="14" a="1"/>
  <c r="AT510" i="14" s="1"/>
  <c r="AT521" i="14" a="1"/>
  <c r="AT521" i="14" s="1"/>
  <c r="AT532" i="14" a="1"/>
  <c r="AT532" i="14" s="1"/>
  <c r="AT542" i="14" a="1"/>
  <c r="AT542" i="14" s="1"/>
  <c r="AT553" i="14" a="1"/>
  <c r="AT553" i="14" s="1"/>
  <c r="AT563" i="14" a="1"/>
  <c r="AT563" i="14" s="1"/>
  <c r="AT573" i="14" a="1"/>
  <c r="AT573" i="14" s="1"/>
  <c r="AT593" i="14" a="1"/>
  <c r="AT593" i="14" s="1"/>
  <c r="AT609" i="14" a="1"/>
  <c r="AT609" i="14" s="1"/>
  <c r="AT630" i="14" a="1"/>
  <c r="AT630" i="14" s="1"/>
  <c r="AT644" i="14" a="1"/>
  <c r="AT644" i="14" s="1"/>
  <c r="AT659" i="14" a="1"/>
  <c r="AT659" i="14" s="1"/>
  <c r="AT671" i="14" a="1"/>
  <c r="AT671" i="14" s="1"/>
  <c r="AT712" i="14" a="1"/>
  <c r="AT712" i="14" s="1"/>
  <c r="AT729" i="14" a="1"/>
  <c r="AT729" i="14" s="1"/>
  <c r="AT770" i="14" a="1"/>
  <c r="AT770" i="14" s="1"/>
  <c r="AT795" i="14" a="1"/>
  <c r="AT795" i="14" s="1"/>
  <c r="AT823" i="14" a="1"/>
  <c r="AT823" i="14" s="1"/>
  <c r="AT872" i="14" a="1"/>
  <c r="AT872" i="14" s="1"/>
  <c r="AT896" i="14" a="1"/>
  <c r="AT896" i="14" s="1"/>
  <c r="AT921" i="14" a="1"/>
  <c r="AT921" i="14" s="1"/>
  <c r="AT947" i="14" a="1"/>
  <c r="AT947" i="14" s="1"/>
  <c r="AT975" i="14" a="1"/>
  <c r="AT975" i="14" s="1"/>
  <c r="AT1001" i="14" a="1"/>
  <c r="AT1001" i="14" s="1"/>
  <c r="AT1039" i="14" a="1"/>
  <c r="AT1039" i="14" s="1"/>
  <c r="AT1076" i="14" a="1"/>
  <c r="AT1076" i="14" s="1"/>
  <c r="AT1113" i="14" a="1"/>
  <c r="AT1113" i="14" s="1"/>
  <c r="AT1151" i="14" a="1"/>
  <c r="AT1151" i="14" s="1"/>
  <c r="AT1189" i="14" a="1"/>
  <c r="AT1189" i="14" s="1"/>
  <c r="AT1233" i="14" a="1"/>
  <c r="AT1233" i="14" s="1"/>
  <c r="AT1277" i="14" a="1"/>
  <c r="AT1277" i="14" s="1"/>
  <c r="AT1322" i="14" a="1"/>
  <c r="AT1322" i="14" s="1"/>
  <c r="AT1368" i="14" a="1"/>
  <c r="AT1368" i="14" s="1"/>
  <c r="AT1411" i="14" a="1"/>
  <c r="AT1411" i="14" s="1"/>
  <c r="AT1458" i="14" a="1"/>
  <c r="AT1458" i="14" s="1"/>
  <c r="AT1504" i="14" a="1"/>
  <c r="AT1504" i="14" s="1"/>
  <c r="AT1552" i="14" a="1"/>
  <c r="AT1552" i="14" s="1"/>
  <c r="AT1600" i="14" a="1"/>
  <c r="AT1600" i="14" s="1"/>
  <c r="Y21" i="14"/>
  <c r="Y69" i="14"/>
  <c r="Y118" i="14"/>
  <c r="Y166" i="14"/>
  <c r="Y216" i="14"/>
  <c r="Y264" i="14"/>
  <c r="Y312" i="14"/>
  <c r="Y361" i="14"/>
  <c r="Y409" i="14"/>
  <c r="Y459" i="14"/>
  <c r="Y507" i="14"/>
  <c r="Y556" i="14"/>
  <c r="Y604" i="14"/>
  <c r="Y654" i="14"/>
  <c r="Y702" i="14"/>
  <c r="Y751" i="14"/>
  <c r="AT82" i="14" a="1"/>
  <c r="AT82" i="14" s="1"/>
  <c r="AT58" i="14" a="1"/>
  <c r="AT58" i="14" s="1"/>
  <c r="AT50" i="14" a="1"/>
  <c r="AT50" i="14" s="1"/>
  <c r="AT34" i="14" a="1"/>
  <c r="AT34" i="14" s="1"/>
  <c r="AT26" i="14" a="1"/>
  <c r="AT26" i="14" s="1"/>
  <c r="AT10" i="14" a="1"/>
  <c r="AT10" i="14" s="1"/>
  <c r="AT220" i="14" a="1"/>
  <c r="AT220" i="14" s="1"/>
  <c r="AT247" i="14" a="1"/>
  <c r="AT247" i="14" s="1"/>
  <c r="AT275" i="14" a="1"/>
  <c r="AT275" i="14" s="1"/>
  <c r="AT283" i="14" a="1"/>
  <c r="AT283" i="14" s="1"/>
  <c r="AT301" i="14" a="1"/>
  <c r="AT301" i="14" s="1"/>
  <c r="AT311" i="14" a="1"/>
  <c r="AT311" i="14" s="1"/>
  <c r="AT318" i="14" a="1"/>
  <c r="AT318" i="14" s="1"/>
  <c r="AT328" i="14" a="1"/>
  <c r="AT328" i="14" s="1"/>
  <c r="AT339" i="14" a="1"/>
  <c r="AT339" i="14" s="1"/>
  <c r="AT350" i="14" a="1"/>
  <c r="AT350" i="14" s="1"/>
  <c r="AT360" i="14" a="1"/>
  <c r="AT360" i="14" s="1"/>
  <c r="AT370" i="14" a="1"/>
  <c r="AT370" i="14" s="1"/>
  <c r="AT381" i="14" a="1"/>
  <c r="AT381" i="14" s="1"/>
  <c r="AT392" i="14" a="1"/>
  <c r="AT392" i="14" s="1"/>
  <c r="AT402" i="14" a="1"/>
  <c r="AT402" i="14" s="1"/>
  <c r="AT412" i="14" a="1"/>
  <c r="AT412" i="14" s="1"/>
  <c r="AT436" i="14" a="1"/>
  <c r="AT436" i="14" s="1"/>
  <c r="AT446" i="14" a="1"/>
  <c r="AT446" i="14" s="1"/>
  <c r="AT457" i="14" a="1"/>
  <c r="AT457" i="14" s="1"/>
  <c r="AT479" i="14" a="1"/>
  <c r="AT479" i="14" s="1"/>
  <c r="AT489" i="14" a="1"/>
  <c r="AT489" i="14" s="1"/>
  <c r="AT500" i="14" a="1"/>
  <c r="AT500" i="14" s="1"/>
  <c r="AT511" i="14" a="1"/>
  <c r="AT511" i="14" s="1"/>
  <c r="AT533" i="14" a="1"/>
  <c r="AT533" i="14" s="1"/>
  <c r="AT543" i="14" a="1"/>
  <c r="AT543" i="14" s="1"/>
  <c r="AT554" i="14" a="1"/>
  <c r="AT554" i="14" s="1"/>
  <c r="AT564" i="14" a="1"/>
  <c r="AT564" i="14" s="1"/>
  <c r="AT575" i="14" a="1"/>
  <c r="AT575" i="14" s="1"/>
  <c r="AT594" i="14" a="1"/>
  <c r="AT594" i="14" s="1"/>
  <c r="AT611" i="14" a="1"/>
  <c r="AT611" i="14" s="1"/>
  <c r="AT631" i="14" a="1"/>
  <c r="AT631" i="14" s="1"/>
  <c r="AT660" i="14" a="1"/>
  <c r="AT660" i="14" s="1"/>
  <c r="AT672" i="14" a="1"/>
  <c r="AT672" i="14" s="1"/>
  <c r="AT685" i="14" a="1"/>
  <c r="AT685" i="14" s="1"/>
  <c r="AT697" i="14" a="1"/>
  <c r="AT697" i="14" s="1"/>
  <c r="AT752" i="14" a="1"/>
  <c r="AT752" i="14" s="1"/>
  <c r="AT771" i="14" a="1"/>
  <c r="AT771" i="14" s="1"/>
  <c r="AT796" i="14" a="1"/>
  <c r="AT796" i="14" s="1"/>
  <c r="AT848" i="14" a="1"/>
  <c r="AT848" i="14" s="1"/>
  <c r="AT948" i="14" a="1"/>
  <c r="AT948" i="14" s="1"/>
  <c r="AT1002" i="14" a="1"/>
  <c r="AT1002" i="14" s="1"/>
  <c r="AT1040" i="14" a="1"/>
  <c r="AT1040" i="14" s="1"/>
  <c r="AT1077" i="14" a="1"/>
  <c r="AT1077" i="14" s="1"/>
  <c r="AT1278" i="14" a="1"/>
  <c r="AT1278" i="14" s="1"/>
  <c r="AT1323" i="14" a="1"/>
  <c r="AT1323" i="14" s="1"/>
  <c r="AT1369" i="14" a="1"/>
  <c r="AT1369" i="14" s="1"/>
  <c r="AT1412" i="14" a="1"/>
  <c r="AT1412" i="14" s="1"/>
  <c r="AT1459" i="14" a="1"/>
  <c r="AT1459" i="14" s="1"/>
  <c r="AT1505" i="14" a="1"/>
  <c r="AT1505" i="14" s="1"/>
  <c r="AT1553" i="14" a="1"/>
  <c r="AT1553" i="14" s="1"/>
  <c r="AT1601" i="14" a="1"/>
  <c r="AT1601" i="14" s="1"/>
  <c r="Y22" i="14"/>
  <c r="Y70" i="14"/>
  <c r="Y119" i="14"/>
  <c r="Y167" i="14"/>
  <c r="Y217" i="14"/>
  <c r="Y265" i="14"/>
  <c r="Y314" i="14"/>
  <c r="Y362" i="14"/>
  <c r="Y410" i="14"/>
  <c r="Y460" i="14"/>
  <c r="Y508" i="14"/>
  <c r="Y557" i="14"/>
  <c r="Y605" i="14"/>
  <c r="Y655" i="14"/>
  <c r="Y703" i="14"/>
  <c r="Y752" i="14"/>
  <c r="AT210" i="14" a="1"/>
  <c r="AT210" i="14" s="1"/>
  <c r="AT186" i="14" a="1"/>
  <c r="AT186" i="14" s="1"/>
  <c r="AT162" i="14" a="1"/>
  <c r="AT162" i="14" s="1"/>
  <c r="AT138" i="14" a="1"/>
  <c r="AT138" i="14" s="1"/>
  <c r="AT114" i="14" a="1"/>
  <c r="AT114" i="14" s="1"/>
  <c r="AT90" i="14" a="1"/>
  <c r="AT90" i="14" s="1"/>
  <c r="AT66" i="14" a="1"/>
  <c r="AT66" i="14" s="1"/>
  <c r="AT42" i="14" a="1"/>
  <c r="AT42" i="14" s="1"/>
  <c r="AT18" i="14" a="1"/>
  <c r="AT18" i="14" s="1"/>
  <c r="AT213" i="14" a="1"/>
  <c r="AT213" i="14" s="1"/>
  <c r="AT221" i="14" a="1"/>
  <c r="AT221" i="14" s="1"/>
  <c r="AT230" i="14" a="1"/>
  <c r="AT230" i="14" s="1"/>
  <c r="AT240" i="14" a="1"/>
  <c r="AT240" i="14" s="1"/>
  <c r="AT248" i="14" a="1"/>
  <c r="AT248" i="14" s="1"/>
  <c r="AT256" i="14" a="1"/>
  <c r="AT256" i="14" s="1"/>
  <c r="AT266" i="14" a="1"/>
  <c r="AT266" i="14" s="1"/>
  <c r="AT284" i="14" a="1"/>
  <c r="AT284" i="14" s="1"/>
  <c r="AT292" i="14" a="1"/>
  <c r="AT292" i="14" s="1"/>
  <c r="AT319" i="14" a="1"/>
  <c r="AT319" i="14" s="1"/>
  <c r="AT329" i="14" a="1"/>
  <c r="AT329" i="14" s="1"/>
  <c r="AT351" i="14" a="1"/>
  <c r="AT351" i="14" s="1"/>
  <c r="AT361" i="14" a="1"/>
  <c r="AT361" i="14" s="1"/>
  <c r="AT371" i="14" a="1"/>
  <c r="AT371" i="14" s="1"/>
  <c r="AT382" i="14" a="1"/>
  <c r="AT382" i="14" s="1"/>
  <c r="AT393" i="14" a="1"/>
  <c r="AT393" i="14" s="1"/>
  <c r="AT403" i="14" a="1"/>
  <c r="AT403" i="14" s="1"/>
  <c r="AT413" i="14" a="1"/>
  <c r="AT413" i="14" s="1"/>
  <c r="AT426" i="14" a="1"/>
  <c r="AT426" i="14" s="1"/>
  <c r="AT437" i="14" a="1"/>
  <c r="AT437" i="14" s="1"/>
  <c r="AT447" i="14" a="1"/>
  <c r="AT447" i="14" s="1"/>
  <c r="AT458" i="14" a="1"/>
  <c r="AT458" i="14" s="1"/>
  <c r="AT468" i="14" a="1"/>
  <c r="AT468" i="14" s="1"/>
  <c r="AT490" i="14" a="1"/>
  <c r="AT490" i="14" s="1"/>
  <c r="AT501" i="14" a="1"/>
  <c r="AT501" i="14" s="1"/>
  <c r="AT512" i="14" a="1"/>
  <c r="AT512" i="14" s="1"/>
  <c r="AT522" i="14" a="1"/>
  <c r="AT522" i="14" s="1"/>
  <c r="AT544" i="14" a="1"/>
  <c r="AT544" i="14" s="1"/>
  <c r="AT555" i="14" a="1"/>
  <c r="AT555" i="14" s="1"/>
  <c r="AT565" i="14" a="1"/>
  <c r="AT565" i="14" s="1"/>
  <c r="AT576" i="14" a="1"/>
  <c r="AT576" i="14" s="1"/>
  <c r="AT595" i="14" a="1"/>
  <c r="AT595" i="14" s="1"/>
  <c r="AT612" i="14" a="1"/>
  <c r="AT612" i="14" s="1"/>
  <c r="AT646" i="14" a="1"/>
  <c r="AT646" i="14" s="1"/>
  <c r="AT673" i="14" a="1"/>
  <c r="AT673" i="14" s="1"/>
  <c r="AT686" i="14" a="1"/>
  <c r="AT686" i="14" s="1"/>
  <c r="AT713" i="14" a="1"/>
  <c r="AT713" i="14" s="1"/>
  <c r="AT735" i="14" a="1"/>
  <c r="AT735" i="14" s="1"/>
  <c r="AT753" i="14" a="1"/>
  <c r="AT753" i="14" s="1"/>
  <c r="AT777" i="14" a="1"/>
  <c r="AT777" i="14" s="1"/>
  <c r="AT825" i="14" a="1"/>
  <c r="AT825" i="14" s="1"/>
  <c r="AT849" i="14" a="1"/>
  <c r="AT849" i="14" s="1"/>
  <c r="AT950" i="14" a="1"/>
  <c r="AT950" i="14" s="1"/>
  <c r="AT1010" i="14" a="1"/>
  <c r="AT1010" i="14" s="1"/>
  <c r="AT1048" i="14" a="1"/>
  <c r="AT1048" i="14" s="1"/>
  <c r="AT1085" i="14" a="1"/>
  <c r="AT1085" i="14" s="1"/>
  <c r="AT1121" i="14" a="1"/>
  <c r="AT1121" i="14" s="1"/>
  <c r="AT1159" i="14" a="1"/>
  <c r="AT1159" i="14" s="1"/>
  <c r="AT1198" i="14" a="1"/>
  <c r="AT1198" i="14" s="1"/>
  <c r="AT1242" i="14" a="1"/>
  <c r="AT1242" i="14" s="1"/>
  <c r="AT1288" i="14" a="1"/>
  <c r="AT1288" i="14" s="1"/>
  <c r="AT1332" i="14" a="1"/>
  <c r="AT1332" i="14" s="1"/>
  <c r="AT1422" i="14" a="1"/>
  <c r="AT1422" i="14" s="1"/>
  <c r="AT1469" i="14" a="1"/>
  <c r="AT1469" i="14" s="1"/>
  <c r="AT1515" i="14" a="1"/>
  <c r="AT1515" i="14" s="1"/>
  <c r="AT1563" i="14" a="1"/>
  <c r="AT1563" i="14" s="1"/>
  <c r="AT1610" i="14" a="1"/>
  <c r="AT1610" i="14" s="1"/>
  <c r="Y32" i="14"/>
  <c r="Y80" i="14"/>
  <c r="Y129" i="14"/>
  <c r="Y177" i="14"/>
  <c r="Y227" i="14"/>
  <c r="Y275" i="14"/>
  <c r="Y324" i="14"/>
  <c r="Y372" i="14"/>
  <c r="Y422" i="14"/>
  <c r="Y470" i="14"/>
  <c r="Y519" i="14"/>
  <c r="Y567" i="14"/>
  <c r="Y615" i="14"/>
  <c r="Y665" i="14"/>
  <c r="Y713" i="14"/>
  <c r="Y762" i="14"/>
  <c r="AT209" i="14" a="1"/>
  <c r="AT209" i="14" s="1"/>
  <c r="AT201" i="14" a="1"/>
  <c r="AT201" i="14" s="1"/>
  <c r="AT193" i="14" a="1"/>
  <c r="AT193" i="14" s="1"/>
  <c r="AT185" i="14" a="1"/>
  <c r="AT185" i="14" s="1"/>
  <c r="AT177" i="14" a="1"/>
  <c r="AT177" i="14" s="1"/>
  <c r="AT169" i="14" a="1"/>
  <c r="AT169" i="14" s="1"/>
  <c r="AT161" i="14" a="1"/>
  <c r="AT161" i="14" s="1"/>
  <c r="AT153" i="14" a="1"/>
  <c r="AT153" i="14" s="1"/>
  <c r="AT145" i="14" a="1"/>
  <c r="AT145" i="14" s="1"/>
  <c r="AT137" i="14" a="1"/>
  <c r="AT137" i="14" s="1"/>
  <c r="AT129" i="14" a="1"/>
  <c r="AT129" i="14" s="1"/>
  <c r="AT121" i="14" a="1"/>
  <c r="AT121" i="14" s="1"/>
  <c r="AT113" i="14" a="1"/>
  <c r="AT113" i="14" s="1"/>
  <c r="AT105" i="14" a="1"/>
  <c r="AT105" i="14" s="1"/>
  <c r="AT97" i="14" a="1"/>
  <c r="AT97" i="14" s="1"/>
  <c r="AT89" i="14" a="1"/>
  <c r="AT89" i="14" s="1"/>
  <c r="AT81" i="14" a="1"/>
  <c r="AT81" i="14" s="1"/>
  <c r="AT73" i="14" a="1"/>
  <c r="AT73" i="14" s="1"/>
  <c r="AT65" i="14" a="1"/>
  <c r="AT65" i="14" s="1"/>
  <c r="AT57" i="14" a="1"/>
  <c r="AT57" i="14" s="1"/>
  <c r="AT49" i="14" a="1"/>
  <c r="AT49" i="14" s="1"/>
  <c r="AT41" i="14" a="1"/>
  <c r="AT41" i="14" s="1"/>
  <c r="AT33" i="14" a="1"/>
  <c r="AT33" i="14" s="1"/>
  <c r="AT25" i="14" a="1"/>
  <c r="AT25" i="14" s="1"/>
  <c r="AT17" i="14" a="1"/>
  <c r="AT17" i="14" s="1"/>
  <c r="AT214" i="14" a="1"/>
  <c r="AT214" i="14" s="1"/>
  <c r="AT222" i="14" a="1"/>
  <c r="AT222" i="14" s="1"/>
  <c r="AT249" i="14" a="1"/>
  <c r="AT249" i="14" s="1"/>
  <c r="AT257" i="14" a="1"/>
  <c r="AT257" i="14" s="1"/>
  <c r="AT276" i="14" a="1"/>
  <c r="AT276" i="14" s="1"/>
  <c r="AT285" i="14" a="1"/>
  <c r="AT285" i="14" s="1"/>
  <c r="AT293" i="14" a="1"/>
  <c r="AT293" i="14" s="1"/>
  <c r="AT302" i="14" a="1"/>
  <c r="AT302" i="14" s="1"/>
  <c r="AT312" i="14" a="1"/>
  <c r="AT312" i="14" s="1"/>
  <c r="AT320" i="14" a="1"/>
  <c r="AT320" i="14" s="1"/>
  <c r="AT330" i="14" a="1"/>
  <c r="AT330" i="14" s="1"/>
  <c r="AT340" i="14" a="1"/>
  <c r="AT340" i="14" s="1"/>
  <c r="AT362" i="14" a="1"/>
  <c r="AT362" i="14" s="1"/>
  <c r="AT372" i="14" a="1"/>
  <c r="AT372" i="14" s="1"/>
  <c r="AT383" i="14" a="1"/>
  <c r="AT383" i="14" s="1"/>
  <c r="AT404" i="14" a="1"/>
  <c r="AT404" i="14" s="1"/>
  <c r="AT416" i="14" a="1"/>
  <c r="AT416" i="14" s="1"/>
  <c r="AT427" i="14" a="1"/>
  <c r="AT427" i="14" s="1"/>
  <c r="AT448" i="14" a="1"/>
  <c r="AT448" i="14" s="1"/>
  <c r="AT459" i="14" a="1"/>
  <c r="AT459" i="14" s="1"/>
  <c r="AT469" i="14" a="1"/>
  <c r="AT469" i="14" s="1"/>
  <c r="AT480" i="14" a="1"/>
  <c r="AT480" i="14" s="1"/>
  <c r="AT491" i="14" a="1"/>
  <c r="AT491" i="14" s="1"/>
  <c r="AT502" i="14" a="1"/>
  <c r="AT502" i="14" s="1"/>
  <c r="AT513" i="14" a="1"/>
  <c r="AT513" i="14" s="1"/>
  <c r="AT523" i="14" a="1"/>
  <c r="AT523" i="14" s="1"/>
  <c r="AT534" i="14" a="1"/>
  <c r="AT534" i="14" s="1"/>
  <c r="AT545" i="14" a="1"/>
  <c r="AT545" i="14" s="1"/>
  <c r="AT556" i="14" a="1"/>
  <c r="AT556" i="14" s="1"/>
  <c r="AT566" i="14" a="1"/>
  <c r="AT566" i="14" s="1"/>
  <c r="AT577" i="14" a="1"/>
  <c r="AT577" i="14" s="1"/>
  <c r="AT596" i="14" a="1"/>
  <c r="AT596" i="14" s="1"/>
  <c r="AT613" i="14" a="1"/>
  <c r="AT613" i="14" s="1"/>
  <c r="AT632" i="14" a="1"/>
  <c r="AT632" i="14" s="1"/>
  <c r="AT647" i="14" a="1"/>
  <c r="AT647" i="14" s="1"/>
  <c r="AT661" i="14" a="1"/>
  <c r="AT661" i="14" s="1"/>
  <c r="AT698" i="14" a="1"/>
  <c r="AT698" i="14" s="1"/>
  <c r="AT736" i="14" a="1"/>
  <c r="AT736" i="14" s="1"/>
  <c r="AT754" i="14" a="1"/>
  <c r="AT754" i="14" s="1"/>
  <c r="AT778" i="14" a="1"/>
  <c r="AT778" i="14" s="1"/>
  <c r="AT803" i="14" a="1"/>
  <c r="AT803" i="14" s="1"/>
  <c r="AT831" i="14" a="1"/>
  <c r="AT831" i="14" s="1"/>
  <c r="AT855" i="14" a="1"/>
  <c r="AT855" i="14" s="1"/>
  <c r="AT879" i="14" a="1"/>
  <c r="AT879" i="14" s="1"/>
  <c r="AT956" i="14" a="1"/>
  <c r="AT956" i="14" s="1"/>
  <c r="AT1011" i="14" a="1"/>
  <c r="AT1011" i="14" s="1"/>
  <c r="AT1049" i="14" a="1"/>
  <c r="AT1049" i="14" s="1"/>
  <c r="AT1122" i="14" a="1"/>
  <c r="AT1122" i="14" s="1"/>
  <c r="AT1160" i="14" a="1"/>
  <c r="AT1160" i="14" s="1"/>
  <c r="AT1199" i="14" a="1"/>
  <c r="AT1199" i="14" s="1"/>
  <c r="AT1243" i="14" a="1"/>
  <c r="AT1243" i="14" s="1"/>
  <c r="AT1289" i="14" a="1"/>
  <c r="AT1289" i="14" s="1"/>
  <c r="AT1333" i="14" a="1"/>
  <c r="AT1333" i="14" s="1"/>
  <c r="AT1378" i="14" a="1"/>
  <c r="AT1378" i="14" s="1"/>
  <c r="AT1423" i="14" a="1"/>
  <c r="AT1423" i="14" s="1"/>
  <c r="AT1470" i="14" a="1"/>
  <c r="AT1470" i="14" s="1"/>
  <c r="AT1516" i="14" a="1"/>
  <c r="AT1516" i="14" s="1"/>
  <c r="AT1564" i="14" a="1"/>
  <c r="AT1564" i="14" s="1"/>
  <c r="AT1611" i="14" a="1"/>
  <c r="AT1611" i="14" s="1"/>
  <c r="Y33" i="14"/>
  <c r="Y81" i="14"/>
  <c r="Y130" i="14"/>
  <c r="Y178" i="14"/>
  <c r="Y228" i="14"/>
  <c r="Y276" i="14"/>
  <c r="Y325" i="14"/>
  <c r="Y373" i="14"/>
  <c r="Y423" i="14"/>
  <c r="Y471" i="14"/>
  <c r="Y520" i="14"/>
  <c r="Y568" i="14"/>
  <c r="Y616" i="14"/>
  <c r="Y666" i="14"/>
  <c r="Y714" i="14"/>
  <c r="Y1625" i="14"/>
  <c r="Y1613" i="14"/>
  <c r="Y1601" i="14"/>
  <c r="Y1589" i="14"/>
  <c r="Y1577" i="14"/>
  <c r="Y1565" i="14"/>
  <c r="Y1553" i="14"/>
  <c r="Y1541" i="14"/>
  <c r="Y1528" i="14"/>
  <c r="Y1516" i="14"/>
  <c r="Y1504" i="14"/>
  <c r="Y1492" i="14"/>
  <c r="Y1480" i="14"/>
  <c r="Y1468" i="14"/>
  <c r="Y1456" i="14"/>
  <c r="Y1444" i="14"/>
  <c r="Y1432" i="14"/>
  <c r="Y1418" i="14"/>
  <c r="Y1406" i="14"/>
  <c r="Y1394" i="14"/>
  <c r="Y1382" i="14"/>
  <c r="Y1370" i="14"/>
  <c r="Y1358" i="14"/>
  <c r="Y1346" i="14"/>
  <c r="Y1334" i="14"/>
  <c r="Y1321" i="14"/>
  <c r="Y1309" i="14"/>
  <c r="Y1297" i="14"/>
  <c r="Y1285" i="14"/>
  <c r="Y1273" i="14"/>
  <c r="Y1261" i="14"/>
  <c r="Y1249" i="14"/>
  <c r="Y1237" i="14"/>
  <c r="Y1223" i="14"/>
  <c r="Y1211" i="14"/>
  <c r="Y1199" i="14"/>
  <c r="Y1187" i="14"/>
  <c r="Y1175" i="14"/>
  <c r="Y1163" i="14"/>
  <c r="Y1151" i="14"/>
  <c r="Y1139" i="14"/>
  <c r="Y1127" i="14"/>
  <c r="Y1114" i="14"/>
  <c r="Y1102" i="14"/>
  <c r="Y1090" i="14"/>
  <c r="Y1078" i="14"/>
  <c r="Y1066" i="14"/>
  <c r="Y1054" i="14"/>
  <c r="Y1042" i="14"/>
  <c r="Y1030" i="14"/>
  <c r="Y1016" i="14"/>
  <c r="Y1004" i="14"/>
  <c r="Y992" i="14"/>
  <c r="Y980" i="14"/>
  <c r="Y968" i="14"/>
  <c r="Y956" i="14"/>
  <c r="Y944" i="14"/>
  <c r="Y932" i="14"/>
  <c r="Y919" i="14"/>
  <c r="Y907" i="14"/>
  <c r="Y895" i="14"/>
  <c r="Y883" i="14"/>
  <c r="Y871" i="14"/>
  <c r="Y859" i="14"/>
  <c r="Y847" i="14"/>
  <c r="Y835" i="14"/>
  <c r="Y823" i="14"/>
  <c r="Y809" i="14"/>
  <c r="Y797" i="14"/>
  <c r="Y785" i="14"/>
  <c r="Y1624" i="14"/>
  <c r="Y1612" i="14"/>
  <c r="Y1600" i="14"/>
  <c r="Y1588" i="14"/>
  <c r="Y1576" i="14"/>
  <c r="Y1564" i="14"/>
  <c r="Y1552" i="14"/>
  <c r="Y1540" i="14"/>
  <c r="Y1527" i="14"/>
  <c r="Y1515" i="14"/>
  <c r="Y1503" i="14"/>
  <c r="Y1491" i="14"/>
  <c r="Y1479" i="14"/>
  <c r="Y1467" i="14"/>
  <c r="Y1455" i="14"/>
  <c r="Y1443" i="14"/>
  <c r="Y1431" i="14"/>
  <c r="Y1417" i="14"/>
  <c r="Y1405" i="14"/>
  <c r="Y1393" i="14"/>
  <c r="Y1381" i="14"/>
  <c r="Y1369" i="14"/>
  <c r="Y1357" i="14"/>
  <c r="Y1345" i="14"/>
  <c r="Y1333" i="14"/>
  <c r="Y1320" i="14"/>
  <c r="Y1308" i="14"/>
  <c r="Y1296" i="14"/>
  <c r="Y1284" i="14"/>
  <c r="Y1272" i="14"/>
  <c r="Y1260" i="14"/>
  <c r="Y1248" i="14"/>
  <c r="Y1236" i="14"/>
  <c r="Y1222" i="14"/>
  <c r="Y1210" i="14"/>
  <c r="Y1198" i="14"/>
  <c r="Y1186" i="14"/>
  <c r="Y1174" i="14"/>
  <c r="Y1162" i="14"/>
  <c r="Y1150" i="14"/>
  <c r="Y1138" i="14"/>
  <c r="Y1126" i="14"/>
  <c r="Y1113" i="14"/>
  <c r="Y1101" i="14"/>
  <c r="Y1089" i="14"/>
  <c r="Y1077" i="14"/>
  <c r="Y1065" i="14"/>
  <c r="Y1053" i="14"/>
  <c r="Y1041" i="14"/>
  <c r="Y1029" i="14"/>
  <c r="Y1015" i="14"/>
  <c r="Y1003" i="14"/>
  <c r="Y991" i="14"/>
  <c r="Y979" i="14"/>
  <c r="Y967" i="14"/>
  <c r="Y955" i="14"/>
  <c r="Y943" i="14"/>
  <c r="Y931" i="14"/>
  <c r="Y918" i="14"/>
  <c r="Y906" i="14"/>
  <c r="Y894" i="14"/>
  <c r="Y882" i="14"/>
  <c r="Y870" i="14"/>
  <c r="Y858" i="14"/>
  <c r="Y846" i="14"/>
  <c r="Y834" i="14"/>
  <c r="Y822" i="14"/>
  <c r="Y808" i="14"/>
  <c r="Y796" i="14"/>
  <c r="Y784" i="14"/>
  <c r="Y1623" i="14"/>
  <c r="Y1611" i="14"/>
  <c r="Y1599" i="14"/>
  <c r="Y1587" i="14"/>
  <c r="Y1575" i="14"/>
  <c r="Y1563" i="14"/>
  <c r="Y1551" i="14"/>
  <c r="Y1539" i="14"/>
  <c r="Y1526" i="14"/>
  <c r="Y1514" i="14"/>
  <c r="Y1502" i="14"/>
  <c r="Y1490" i="14"/>
  <c r="Y1478" i="14"/>
  <c r="Y1466" i="14"/>
  <c r="Y1454" i="14"/>
  <c r="Y1442" i="14"/>
  <c r="Y1428" i="14"/>
  <c r="Y1416" i="14"/>
  <c r="Y1404" i="14"/>
  <c r="Y1392" i="14"/>
  <c r="Y1380" i="14"/>
  <c r="Y1368" i="14"/>
  <c r="Y1356" i="14"/>
  <c r="Y1344" i="14"/>
  <c r="Y1332" i="14"/>
  <c r="Y1319" i="14"/>
  <c r="Y1307" i="14"/>
  <c r="Y1295" i="14"/>
  <c r="Y1283" i="14"/>
  <c r="Y1271" i="14"/>
  <c r="Y1259" i="14"/>
  <c r="Y1247" i="14"/>
  <c r="Y1235" i="14"/>
  <c r="Y1221" i="14"/>
  <c r="Y1209" i="14"/>
  <c r="Y1197" i="14"/>
  <c r="Y1185" i="14"/>
  <c r="Y1173" i="14"/>
  <c r="Y1161" i="14"/>
  <c r="Y1149" i="14"/>
  <c r="Y1137" i="14"/>
  <c r="Y1124" i="14"/>
  <c r="Y1112" i="14"/>
  <c r="Y1100" i="14"/>
  <c r="Y1088" i="14"/>
  <c r="Y1076" i="14"/>
  <c r="Y1064" i="14"/>
  <c r="Y1052" i="14"/>
  <c r="Y1040" i="14"/>
  <c r="Y1028" i="14"/>
  <c r="Y1014" i="14"/>
  <c r="Y1002" i="14"/>
  <c r="Y990" i="14"/>
  <c r="Y978" i="14"/>
  <c r="Y966" i="14"/>
  <c r="Y954" i="14"/>
  <c r="Y942" i="14"/>
  <c r="Y930" i="14"/>
  <c r="Y917" i="14"/>
  <c r="Y905" i="14"/>
  <c r="Y893" i="14"/>
  <c r="Y881" i="14"/>
  <c r="Y869" i="14"/>
  <c r="Y857" i="14"/>
  <c r="Y845" i="14"/>
  <c r="Y833" i="14"/>
  <c r="Y819" i="14"/>
  <c r="Y807" i="14"/>
  <c r="Y795" i="14"/>
  <c r="Y783" i="14"/>
  <c r="Y1622" i="14"/>
  <c r="Y1610" i="14"/>
  <c r="Y1598" i="14"/>
  <c r="Y1586" i="14"/>
  <c r="Y1574" i="14"/>
  <c r="Y1562" i="14"/>
  <c r="Y1550" i="14"/>
  <c r="Y1538" i="14"/>
  <c r="Y1525" i="14"/>
  <c r="Y1513" i="14"/>
  <c r="Y1501" i="14"/>
  <c r="Y1489" i="14"/>
  <c r="Y1477" i="14"/>
  <c r="Y1465" i="14"/>
  <c r="Y1453" i="14"/>
  <c r="Y1441" i="14"/>
  <c r="Y1427" i="14"/>
  <c r="Y1415" i="14"/>
  <c r="Y1403" i="14"/>
  <c r="Y1391" i="14"/>
  <c r="Y1379" i="14"/>
  <c r="Y1367" i="14"/>
  <c r="Y1355" i="14"/>
  <c r="Y1343" i="14"/>
  <c r="Y1331" i="14"/>
  <c r="Y1318" i="14"/>
  <c r="Y1306" i="14"/>
  <c r="Y1294" i="14"/>
  <c r="Y1282" i="14"/>
  <c r="Y1270" i="14"/>
  <c r="Y1258" i="14"/>
  <c r="Y1246" i="14"/>
  <c r="Y1234" i="14"/>
  <c r="Y1220" i="14"/>
  <c r="Y1208" i="14"/>
  <c r="Y1196" i="14"/>
  <c r="Y1184" i="14"/>
  <c r="Y1172" i="14"/>
  <c r="Y1160" i="14"/>
  <c r="Y1148" i="14"/>
  <c r="Y1136" i="14"/>
  <c r="Y1123" i="14"/>
  <c r="Y1111" i="14"/>
  <c r="Y1099" i="14"/>
  <c r="Y1087" i="14"/>
  <c r="Y1075" i="14"/>
  <c r="Y1063" i="14"/>
  <c r="Y1051" i="14"/>
  <c r="Y1039" i="14"/>
  <c r="Y1027" i="14"/>
  <c r="Y1013" i="14"/>
  <c r="Y1001" i="14"/>
  <c r="Y989" i="14"/>
  <c r="Y977" i="14"/>
  <c r="Y965" i="14"/>
  <c r="Y953" i="14"/>
  <c r="Y941" i="14"/>
  <c r="Y929" i="14"/>
  <c r="Y916" i="14"/>
  <c r="Y904" i="14"/>
  <c r="Y892" i="14"/>
  <c r="Y880" i="14"/>
  <c r="Y868" i="14"/>
  <c r="Y856" i="14"/>
  <c r="Y844" i="14"/>
  <c r="Y832" i="14"/>
  <c r="Y818" i="14"/>
  <c r="Y806" i="14"/>
  <c r="Y794" i="14"/>
  <c r="Y782" i="14"/>
  <c r="Y1621" i="14"/>
  <c r="Y1609" i="14"/>
  <c r="Y1597" i="14"/>
  <c r="Y1585" i="14"/>
  <c r="Y1573" i="14"/>
  <c r="Y1561" i="14"/>
  <c r="Y1549" i="14"/>
  <c r="Y1537" i="14"/>
  <c r="Y1524" i="14"/>
  <c r="Y1512" i="14"/>
  <c r="Y1500" i="14"/>
  <c r="Y1488" i="14"/>
  <c r="Y1476" i="14"/>
  <c r="Y1464" i="14"/>
  <c r="Y1452" i="14"/>
  <c r="Y1440" i="14"/>
  <c r="Y1426" i="14"/>
  <c r="Y1414" i="14"/>
  <c r="Y1402" i="14"/>
  <c r="Y1390" i="14"/>
  <c r="Y1378" i="14"/>
  <c r="Y1366" i="14"/>
  <c r="Y1354" i="14"/>
  <c r="Y1342" i="14"/>
  <c r="Y1330" i="14"/>
  <c r="Y1317" i="14"/>
  <c r="Y1305" i="14"/>
  <c r="Y1293" i="14"/>
  <c r="Y1281" i="14"/>
  <c r="Y1269" i="14"/>
  <c r="Y1257" i="14"/>
  <c r="Y1245" i="14"/>
  <c r="Y1233" i="14"/>
  <c r="Y1219" i="14"/>
  <c r="Y1207" i="14"/>
  <c r="Y1195" i="14"/>
  <c r="Y1183" i="14"/>
  <c r="Y1171" i="14"/>
  <c r="Y1159" i="14"/>
  <c r="Y1147" i="14"/>
  <c r="Y1135" i="14"/>
  <c r="Y1122" i="14"/>
  <c r="Y1110" i="14"/>
  <c r="Y1098" i="14"/>
  <c r="Y1086" i="14"/>
  <c r="Y1074" i="14"/>
  <c r="Y1062" i="14"/>
  <c r="Y1050" i="14"/>
  <c r="Y1038" i="14"/>
  <c r="Y1026" i="14"/>
  <c r="Y1012" i="14"/>
  <c r="Y1000" i="14"/>
  <c r="Y988" i="14"/>
  <c r="Y976" i="14"/>
  <c r="Y964" i="14"/>
  <c r="Y952" i="14"/>
  <c r="Y940" i="14"/>
  <c r="Y928" i="14"/>
  <c r="Y915" i="14"/>
  <c r="Y903" i="14"/>
  <c r="Y891" i="14"/>
  <c r="Y879" i="14"/>
  <c r="Y867" i="14"/>
  <c r="Y855" i="14"/>
  <c r="Y843" i="14"/>
  <c r="Y831" i="14"/>
  <c r="Y817" i="14"/>
  <c r="Y805" i="14"/>
  <c r="Y793" i="14"/>
  <c r="Y781" i="14"/>
  <c r="Y1620" i="14"/>
  <c r="Y1608" i="14"/>
  <c r="Y1596" i="14"/>
  <c r="Y1584" i="14"/>
  <c r="Y1572" i="14"/>
  <c r="Y1560" i="14"/>
  <c r="Y1548" i="14"/>
  <c r="Y1536" i="14"/>
  <c r="Y1523" i="14"/>
  <c r="Y1511" i="14"/>
  <c r="Y1499" i="14"/>
  <c r="Y1487" i="14"/>
  <c r="Y1475" i="14"/>
  <c r="Y1463" i="14"/>
  <c r="Y1451" i="14"/>
  <c r="Y1439" i="14"/>
  <c r="Y1425" i="14"/>
  <c r="Y1413" i="14"/>
  <c r="Y1401" i="14"/>
  <c r="Y1389" i="14"/>
  <c r="Y1377" i="14"/>
  <c r="Y1365" i="14"/>
  <c r="Y1353" i="14"/>
  <c r="Y1341" i="14"/>
  <c r="Y1329" i="14"/>
  <c r="Y1316" i="14"/>
  <c r="Y1304" i="14"/>
  <c r="Y1292" i="14"/>
  <c r="Y1280" i="14"/>
  <c r="Y1268" i="14"/>
  <c r="Y1256" i="14"/>
  <c r="Y1244" i="14"/>
  <c r="Y1232" i="14"/>
  <c r="Y1218" i="14"/>
  <c r="Y1206" i="14"/>
  <c r="Y1194" i="14"/>
  <c r="Y1182" i="14"/>
  <c r="Y1170" i="14"/>
  <c r="Y1158" i="14"/>
  <c r="Y1146" i="14"/>
  <c r="Y1134" i="14"/>
  <c r="Y1121" i="14"/>
  <c r="Y1109" i="14"/>
  <c r="Y1097" i="14"/>
  <c r="Y1085" i="14"/>
  <c r="Y1073" i="14"/>
  <c r="Y1061" i="14"/>
  <c r="Y1049" i="14"/>
  <c r="Y1037" i="14"/>
  <c r="Y1025" i="14"/>
  <c r="Y1011" i="14"/>
  <c r="Y999" i="14"/>
  <c r="Y987" i="14"/>
  <c r="Y975" i="14"/>
  <c r="Y963" i="14"/>
  <c r="Y951" i="14"/>
  <c r="Y939" i="14"/>
  <c r="Y927" i="14"/>
  <c r="Y914" i="14"/>
  <c r="Y902" i="14"/>
  <c r="Y890" i="14"/>
  <c r="Y878" i="14"/>
  <c r="Y866" i="14"/>
  <c r="Y854" i="14"/>
  <c r="Y842" i="14"/>
  <c r="Y830" i="14"/>
  <c r="Y816" i="14"/>
  <c r="Y804" i="14"/>
  <c r="Y792" i="14"/>
  <c r="Y780" i="14"/>
  <c r="Y1631" i="14"/>
  <c r="Y1619" i="14"/>
  <c r="Y1607" i="14"/>
  <c r="Y1595" i="14"/>
  <c r="Y1583" i="14"/>
  <c r="Y1571" i="14"/>
  <c r="Y1559" i="14"/>
  <c r="Y1547" i="14"/>
  <c r="Y1535" i="14"/>
  <c r="Y1522" i="14"/>
  <c r="Y1510" i="14"/>
  <c r="Y1498" i="14"/>
  <c r="Y1486" i="14"/>
  <c r="Y1474" i="14"/>
  <c r="Y1462" i="14"/>
  <c r="Y1450" i="14"/>
  <c r="Y1438" i="14"/>
  <c r="Y1424" i="14"/>
  <c r="Y1412" i="14"/>
  <c r="Y1400" i="14"/>
  <c r="Y1388" i="14"/>
  <c r="Y1376" i="14"/>
  <c r="Y1364" i="14"/>
  <c r="Y1352" i="14"/>
  <c r="Y1340" i="14"/>
  <c r="Y1327" i="14"/>
  <c r="Y1315" i="14"/>
  <c r="Y1303" i="14"/>
  <c r="Y1291" i="14"/>
  <c r="Y1279" i="14"/>
  <c r="Y1267" i="14"/>
  <c r="Y1255" i="14"/>
  <c r="Y1243" i="14"/>
  <c r="Y1231" i="14"/>
  <c r="Y1217" i="14"/>
  <c r="Y1205" i="14"/>
  <c r="Y1193" i="14"/>
  <c r="Y1181" i="14"/>
  <c r="Y1169" i="14"/>
  <c r="Y1157" i="14"/>
  <c r="Y1145" i="14"/>
  <c r="Y1133" i="14"/>
  <c r="Y1120" i="14"/>
  <c r="Y1108" i="14"/>
  <c r="Y1096" i="14"/>
  <c r="Y1084" i="14"/>
  <c r="Y1072" i="14"/>
  <c r="Y1060" i="14"/>
  <c r="Y1048" i="14"/>
  <c r="Y1036" i="14"/>
  <c r="Y1022" i="14"/>
  <c r="Y1010" i="14"/>
  <c r="Y998" i="14"/>
  <c r="Y986" i="14"/>
  <c r="Y974" i="14"/>
  <c r="Y962" i="14"/>
  <c r="Y950" i="14"/>
  <c r="Y938" i="14"/>
  <c r="Y926" i="14"/>
  <c r="Y913" i="14"/>
  <c r="Y901" i="14"/>
  <c r="Y889" i="14"/>
  <c r="Y877" i="14"/>
  <c r="Y865" i="14"/>
  <c r="Y853" i="14"/>
  <c r="Y841" i="14"/>
  <c r="Y829" i="14"/>
  <c r="Y815" i="14"/>
  <c r="Y803" i="14"/>
  <c r="Y791" i="14"/>
  <c r="Y779" i="14"/>
  <c r="Y1630" i="14"/>
  <c r="Y1618" i="14"/>
  <c r="Y1606" i="14"/>
  <c r="Y1594" i="14"/>
  <c r="Y1582" i="14"/>
  <c r="Y1570" i="14"/>
  <c r="Y1558" i="14"/>
  <c r="Y1546" i="14"/>
  <c r="Y1534" i="14"/>
  <c r="Y1521" i="14"/>
  <c r="Y1509" i="14"/>
  <c r="Y1497" i="14"/>
  <c r="Y1485" i="14"/>
  <c r="Y1473" i="14"/>
  <c r="Y1461" i="14"/>
  <c r="Y1449" i="14"/>
  <c r="Y1437" i="14"/>
  <c r="Y1423" i="14"/>
  <c r="Y1411" i="14"/>
  <c r="Y1399" i="14"/>
  <c r="Y1387" i="14"/>
  <c r="Y1375" i="14"/>
  <c r="Y1363" i="14"/>
  <c r="Y1351" i="14"/>
  <c r="Y1339" i="14"/>
  <c r="Y1326" i="14"/>
  <c r="Y1314" i="14"/>
  <c r="Y1302" i="14"/>
  <c r="Y1290" i="14"/>
  <c r="Y1278" i="14"/>
  <c r="Y1266" i="14"/>
  <c r="Y1254" i="14"/>
  <c r="Y1242" i="14"/>
  <c r="Y1230" i="14"/>
  <c r="Y1216" i="14"/>
  <c r="Y1204" i="14"/>
  <c r="Y1192" i="14"/>
  <c r="Y1180" i="14"/>
  <c r="Y1168" i="14"/>
  <c r="Y1156" i="14"/>
  <c r="Y1144" i="14"/>
  <c r="Y1132" i="14"/>
  <c r="Y1119" i="14"/>
  <c r="Y1107" i="14"/>
  <c r="Y1095" i="14"/>
  <c r="Y1083" i="14"/>
  <c r="Y1071" i="14"/>
  <c r="Y1059" i="14"/>
  <c r="Y1047" i="14"/>
  <c r="Y1035" i="14"/>
  <c r="Y1021" i="14"/>
  <c r="Y1009" i="14"/>
  <c r="Y997" i="14"/>
  <c r="Y985" i="14"/>
  <c r="Y973" i="14"/>
  <c r="Y961" i="14"/>
  <c r="Y949" i="14"/>
  <c r="Y937" i="14"/>
  <c r="Y925" i="14"/>
  <c r="Y912" i="14"/>
  <c r="Y900" i="14"/>
  <c r="Y888" i="14"/>
  <c r="Y876" i="14"/>
  <c r="Y864" i="14"/>
  <c r="Y852" i="14"/>
  <c r="Y840" i="14"/>
  <c r="Y828" i="14"/>
  <c r="Y814" i="14"/>
  <c r="Y802" i="14"/>
  <c r="Y790" i="14"/>
  <c r="Y778" i="14"/>
  <c r="Y1629" i="14"/>
  <c r="Y1617" i="14"/>
  <c r="Y1605" i="14"/>
  <c r="Y1593" i="14"/>
  <c r="Y1581" i="14"/>
  <c r="Y1569" i="14"/>
  <c r="Y1557" i="14"/>
  <c r="Y1545" i="14"/>
  <c r="Y1533" i="14"/>
  <c r="Y1520" i="14"/>
  <c r="Y1508" i="14"/>
  <c r="Y1496" i="14"/>
  <c r="Y1484" i="14"/>
  <c r="Y1472" i="14"/>
  <c r="Y1460" i="14"/>
  <c r="Y1448" i="14"/>
  <c r="Y1436" i="14"/>
  <c r="Y1422" i="14"/>
  <c r="Y1410" i="14"/>
  <c r="Y1398" i="14"/>
  <c r="Y1386" i="14"/>
  <c r="Y1374" i="14"/>
  <c r="Y1362" i="14"/>
  <c r="Y1350" i="14"/>
  <c r="Y1338" i="14"/>
  <c r="Y1325" i="14"/>
  <c r="Y1313" i="14"/>
  <c r="Y1301" i="14"/>
  <c r="Y1289" i="14"/>
  <c r="Y1277" i="14"/>
  <c r="Y1265" i="14"/>
  <c r="Y1253" i="14"/>
  <c r="Y1241" i="14"/>
  <c r="Y1229" i="14"/>
  <c r="Y1215" i="14"/>
  <c r="Y1203" i="14"/>
  <c r="Y1191" i="14"/>
  <c r="Y1179" i="14"/>
  <c r="Y1167" i="14"/>
  <c r="Y1155" i="14"/>
  <c r="Y1143" i="14"/>
  <c r="Y1131" i="14"/>
  <c r="Y1118" i="14"/>
  <c r="Y1106" i="14"/>
  <c r="Y1094" i="14"/>
  <c r="Y1082" i="14"/>
  <c r="Y1070" i="14"/>
  <c r="Y1058" i="14"/>
  <c r="Y1046" i="14"/>
  <c r="Y1034" i="14"/>
  <c r="Y1020" i="14"/>
  <c r="Y1008" i="14"/>
  <c r="Y996" i="14"/>
  <c r="Y984" i="14"/>
  <c r="Y972" i="14"/>
  <c r="Y960" i="14"/>
  <c r="Y948" i="14"/>
  <c r="Y936" i="14"/>
  <c r="Y924" i="14"/>
  <c r="Y911" i="14"/>
  <c r="Y899" i="14"/>
  <c r="Y887" i="14"/>
  <c r="Y875" i="14"/>
  <c r="Y863" i="14"/>
  <c r="Y851" i="14"/>
  <c r="Y839" i="14"/>
  <c r="Y827" i="14"/>
  <c r="Y813" i="14"/>
  <c r="Y801" i="14"/>
  <c r="Y789" i="14"/>
  <c r="Y777" i="14"/>
  <c r="Y1628" i="14"/>
  <c r="Y1616" i="14"/>
  <c r="Y1604" i="14"/>
  <c r="Y1592" i="14"/>
  <c r="Y1580" i="14"/>
  <c r="Y1568" i="14"/>
  <c r="Y1556" i="14"/>
  <c r="Y1544" i="14"/>
  <c r="Y1532" i="14"/>
  <c r="Y1519" i="14"/>
  <c r="Y1507" i="14"/>
  <c r="Y1495" i="14"/>
  <c r="Y1483" i="14"/>
  <c r="Y1471" i="14"/>
  <c r="Y1459" i="14"/>
  <c r="Y1447" i="14"/>
  <c r="Y1435" i="14"/>
  <c r="Y1421" i="14"/>
  <c r="Y1409" i="14"/>
  <c r="Y1397" i="14"/>
  <c r="Y1385" i="14"/>
  <c r="Y1373" i="14"/>
  <c r="Y1361" i="14"/>
  <c r="Y1349" i="14"/>
  <c r="Y1337" i="14"/>
  <c r="Y1324" i="14"/>
  <c r="Y1312" i="14"/>
  <c r="Y1300" i="14"/>
  <c r="Y1288" i="14"/>
  <c r="Y1276" i="14"/>
  <c r="Y1264" i="14"/>
  <c r="Y1252" i="14"/>
  <c r="Y1240" i="14"/>
  <c r="Y1228" i="14"/>
  <c r="Y1214" i="14"/>
  <c r="Y1202" i="14"/>
  <c r="Y1190" i="14"/>
  <c r="Y1178" i="14"/>
  <c r="Y1166" i="14"/>
  <c r="Y1154" i="14"/>
  <c r="Y1142" i="14"/>
  <c r="Y1130" i="14"/>
  <c r="Y1117" i="14"/>
  <c r="Y1105" i="14"/>
  <c r="Y1093" i="14"/>
  <c r="Y1081" i="14"/>
  <c r="Y1069" i="14"/>
  <c r="Y1057" i="14"/>
  <c r="Y1045" i="14"/>
  <c r="Y1033" i="14"/>
  <c r="Y1019" i="14"/>
  <c r="Y1007" i="14"/>
  <c r="Y995" i="14"/>
  <c r="Y983" i="14"/>
  <c r="Y971" i="14"/>
  <c r="Y959" i="14"/>
  <c r="Y947" i="14"/>
  <c r="Y935" i="14"/>
  <c r="Y923" i="14"/>
  <c r="Y910" i="14"/>
  <c r="Y898" i="14"/>
  <c r="Y886" i="14"/>
  <c r="Y874" i="14"/>
  <c r="Y862" i="14"/>
  <c r="Y850" i="14"/>
  <c r="Y838" i="14"/>
  <c r="Y826" i="14"/>
  <c r="Y812" i="14"/>
  <c r="Y800" i="14"/>
  <c r="Y788" i="14"/>
  <c r="Y776" i="14"/>
  <c r="Y1627" i="14"/>
  <c r="Y1615" i="14"/>
  <c r="Y1603" i="14"/>
  <c r="Y1591" i="14"/>
  <c r="Y1579" i="14"/>
  <c r="Y1567" i="14"/>
  <c r="Y1555" i="14"/>
  <c r="Y1543" i="14"/>
  <c r="Y1530" i="14"/>
  <c r="Y1518" i="14"/>
  <c r="Y1506" i="14"/>
  <c r="Y1494" i="14"/>
  <c r="Y1482" i="14"/>
  <c r="Y1470" i="14"/>
  <c r="Y1458" i="14"/>
  <c r="Y1446" i="14"/>
  <c r="Y1434" i="14"/>
  <c r="Y1420" i="14"/>
  <c r="Y1408" i="14"/>
  <c r="Y1396" i="14"/>
  <c r="Y1384" i="14"/>
  <c r="Y1372" i="14"/>
  <c r="Y1360" i="14"/>
  <c r="Y1348" i="14"/>
  <c r="Y1336" i="14"/>
  <c r="Y1323" i="14"/>
  <c r="Y1311" i="14"/>
  <c r="Y1299" i="14"/>
  <c r="Y1287" i="14"/>
  <c r="Y1275" i="14"/>
  <c r="Y1263" i="14"/>
  <c r="Y1251" i="14"/>
  <c r="Y1239" i="14"/>
  <c r="Y1225" i="14"/>
  <c r="Y1213" i="14"/>
  <c r="Y1201" i="14"/>
  <c r="Y1189" i="14"/>
  <c r="Y1177" i="14"/>
  <c r="Y1165" i="14"/>
  <c r="Y1153" i="14"/>
  <c r="Y1141" i="14"/>
  <c r="Y1129" i="14"/>
  <c r="Y1116" i="14"/>
  <c r="Y1104" i="14"/>
  <c r="Y1092" i="14"/>
  <c r="Y1080" i="14"/>
  <c r="Y1068" i="14"/>
  <c r="Y1056" i="14"/>
  <c r="Y1044" i="14"/>
  <c r="Y1032" i="14"/>
  <c r="Y1018" i="14"/>
  <c r="Y1006" i="14"/>
  <c r="Y994" i="14"/>
  <c r="Y982" i="14"/>
  <c r="Y970" i="14"/>
  <c r="Y958" i="14"/>
  <c r="Y946" i="14"/>
  <c r="Y934" i="14"/>
  <c r="Y921" i="14"/>
  <c r="Y909" i="14"/>
  <c r="Y897" i="14"/>
  <c r="Y885" i="14"/>
  <c r="Y873" i="14"/>
  <c r="Y861" i="14"/>
  <c r="Y849" i="14"/>
  <c r="Y837" i="14"/>
  <c r="Y825" i="14"/>
  <c r="Y811" i="14"/>
  <c r="Y799" i="14"/>
  <c r="Y787" i="14"/>
  <c r="Y775" i="14"/>
  <c r="Y1626" i="14"/>
  <c r="Y1614" i="14"/>
  <c r="Y1602" i="14"/>
  <c r="Y1590" i="14"/>
  <c r="Y1578" i="14"/>
  <c r="Y1566" i="14"/>
  <c r="Y1554" i="14"/>
  <c r="Y1542" i="14"/>
  <c r="Y1529" i="14"/>
  <c r="Y1517" i="14"/>
  <c r="Y1505" i="14"/>
  <c r="Y1493" i="14"/>
  <c r="Y1481" i="14"/>
  <c r="Y1469" i="14"/>
  <c r="Y1457" i="14"/>
  <c r="Y1445" i="14"/>
  <c r="Y1433" i="14"/>
  <c r="Y1419" i="14"/>
  <c r="Y1407" i="14"/>
  <c r="Y1395" i="14"/>
  <c r="Y1383" i="14"/>
  <c r="Y1371" i="14"/>
  <c r="Y1359" i="14"/>
  <c r="Y1347" i="14"/>
  <c r="Y1335" i="14"/>
  <c r="Y1322" i="14"/>
  <c r="Y1310" i="14"/>
  <c r="Y1298" i="14"/>
  <c r="Y1286" i="14"/>
  <c r="Y1274" i="14"/>
  <c r="Y1262" i="14"/>
  <c r="Y1250" i="14"/>
  <c r="Y1238" i="14"/>
  <c r="Y1224" i="14"/>
  <c r="Y1212" i="14"/>
  <c r="Y1200" i="14"/>
  <c r="Y1188" i="14"/>
  <c r="Y1176" i="14"/>
  <c r="Y1164" i="14"/>
  <c r="Y1152" i="14"/>
  <c r="Y1140" i="14"/>
  <c r="Y1128" i="14"/>
  <c r="Y1115" i="14"/>
  <c r="Y1103" i="14"/>
  <c r="Y1091" i="14"/>
  <c r="Y1079" i="14"/>
  <c r="Y1067" i="14"/>
  <c r="Y1055" i="14"/>
  <c r="Y1043" i="14"/>
  <c r="Y1031" i="14"/>
  <c r="Y1017" i="14"/>
  <c r="Y1005" i="14"/>
  <c r="Y993" i="14"/>
  <c r="Y981" i="14"/>
  <c r="Y969" i="14"/>
  <c r="Y957" i="14"/>
  <c r="Y945" i="14"/>
  <c r="Y933" i="14"/>
  <c r="Y920" i="14"/>
  <c r="Y908" i="14"/>
  <c r="Y896" i="14"/>
  <c r="Y884" i="14"/>
  <c r="Y872" i="14"/>
  <c r="Y860" i="14"/>
  <c r="Y848" i="14"/>
  <c r="Y836" i="14"/>
  <c r="Y824" i="14"/>
  <c r="Y810" i="14"/>
  <c r="Y798" i="14"/>
  <c r="Y786" i="14"/>
  <c r="Y774" i="14"/>
  <c r="Y773" i="14"/>
  <c r="Y761" i="14"/>
  <c r="Y749" i="14"/>
  <c r="Y737" i="14"/>
  <c r="Y725" i="14"/>
  <c r="Y712" i="14"/>
  <c r="Y700" i="14"/>
  <c r="Y688" i="14"/>
  <c r="Y676" i="14"/>
  <c r="Y664" i="14"/>
  <c r="Y652" i="14"/>
  <c r="Y640" i="14"/>
  <c r="Y628" i="14"/>
  <c r="Y614" i="14"/>
  <c r="Y602" i="14"/>
  <c r="Y590" i="14"/>
  <c r="Y578" i="14"/>
  <c r="Y566" i="14"/>
  <c r="Y554" i="14"/>
  <c r="Y542" i="14"/>
  <c r="Y530" i="14"/>
  <c r="Y518" i="14"/>
  <c r="Y505" i="14"/>
  <c r="Y493" i="14"/>
  <c r="Y481" i="14"/>
  <c r="Y469" i="14"/>
  <c r="Y457" i="14"/>
  <c r="Y445" i="14"/>
  <c r="Y433" i="14"/>
  <c r="Y421" i="14"/>
  <c r="Y407" i="14"/>
  <c r="Y395" i="14"/>
  <c r="Y383" i="14"/>
  <c r="Y371" i="14"/>
  <c r="Y359" i="14"/>
  <c r="Y347" i="14"/>
  <c r="Y335" i="14"/>
  <c r="Y323" i="14"/>
  <c r="Y310" i="14"/>
  <c r="Y298" i="14"/>
  <c r="Y286" i="14"/>
  <c r="Y274" i="14"/>
  <c r="Y262" i="14"/>
  <c r="Y250" i="14"/>
  <c r="Y238" i="14"/>
  <c r="Y226" i="14"/>
  <c r="Y214" i="14"/>
  <c r="Y200" i="14"/>
  <c r="Y188" i="14"/>
  <c r="Y176" i="14"/>
  <c r="Y164" i="14"/>
  <c r="Y152" i="14"/>
  <c r="Y140" i="14"/>
  <c r="Y128" i="14"/>
  <c r="Y116" i="14"/>
  <c r="Y103" i="14"/>
  <c r="Y91" i="14"/>
  <c r="Y79" i="14"/>
  <c r="Y67" i="14"/>
  <c r="Y55" i="14"/>
  <c r="Y43" i="14"/>
  <c r="Y31" i="14"/>
  <c r="Y19" i="14"/>
  <c r="AT1630" i="14" a="1"/>
  <c r="AT1630" i="14" s="1"/>
  <c r="AT1609" i="14" a="1"/>
  <c r="AT1609" i="14" s="1"/>
  <c r="AT1598" i="14" a="1"/>
  <c r="AT1598" i="14" s="1"/>
  <c r="AT1586" i="14" a="1"/>
  <c r="AT1586" i="14" s="1"/>
  <c r="AT1574" i="14" a="1"/>
  <c r="AT1574" i="14" s="1"/>
  <c r="AT1562" i="14" a="1"/>
  <c r="AT1562" i="14" s="1"/>
  <c r="AT1550" i="14" a="1"/>
  <c r="AT1550" i="14" s="1"/>
  <c r="AT1538" i="14" a="1"/>
  <c r="AT1538" i="14" s="1"/>
  <c r="AT1526" i="14" a="1"/>
  <c r="AT1526" i="14" s="1"/>
  <c r="AT1514" i="14" a="1"/>
  <c r="AT1514" i="14" s="1"/>
  <c r="AT1502" i="14" a="1"/>
  <c r="AT1502" i="14" s="1"/>
  <c r="AT1490" i="14" a="1"/>
  <c r="AT1490" i="14" s="1"/>
  <c r="AT1479" i="14" a="1"/>
  <c r="AT1479" i="14" s="1"/>
  <c r="AT1468" i="14" a="1"/>
  <c r="AT1468" i="14" s="1"/>
  <c r="AT1457" i="14" a="1"/>
  <c r="AT1457" i="14" s="1"/>
  <c r="AT1446" i="14" a="1"/>
  <c r="AT1446" i="14" s="1"/>
  <c r="AT1435" i="14" a="1"/>
  <c r="AT1435" i="14" s="1"/>
  <c r="AT1421" i="14" a="1"/>
  <c r="AT1421" i="14" s="1"/>
  <c r="AT1409" i="14" a="1"/>
  <c r="AT1409" i="14" s="1"/>
  <c r="AT1399" i="14" a="1"/>
  <c r="AT1399" i="14" s="1"/>
  <c r="AT1387" i="14" a="1"/>
  <c r="AT1387" i="14" s="1"/>
  <c r="AT1377" i="14" a="1"/>
  <c r="AT1377" i="14" s="1"/>
  <c r="AT1366" i="14" a="1"/>
  <c r="AT1366" i="14" s="1"/>
  <c r="AT1354" i="14" a="1"/>
  <c r="AT1354" i="14" s="1"/>
  <c r="AT1342" i="14" a="1"/>
  <c r="AT1342" i="14" s="1"/>
  <c r="AT1331" i="14" a="1"/>
  <c r="AT1331" i="14" s="1"/>
  <c r="AT1320" i="14" a="1"/>
  <c r="AT1320" i="14" s="1"/>
  <c r="AT1309" i="14" a="1"/>
  <c r="AT1309" i="14" s="1"/>
  <c r="AT1299" i="14" a="1"/>
  <c r="AT1299" i="14" s="1"/>
  <c r="AT1287" i="14" a="1"/>
  <c r="AT1287" i="14" s="1"/>
  <c r="AT1275" i="14" a="1"/>
  <c r="AT1275" i="14" s="1"/>
  <c r="AT1253" i="14" a="1"/>
  <c r="AT1253" i="14" s="1"/>
  <c r="AT1241" i="14" a="1"/>
  <c r="AT1241" i="14" s="1"/>
  <c r="AT1231" i="14" a="1"/>
  <c r="AT1231" i="14" s="1"/>
  <c r="AT1208" i="14" a="1"/>
  <c r="AT1208" i="14" s="1"/>
  <c r="AT1197" i="14" a="1"/>
  <c r="AT1197" i="14" s="1"/>
  <c r="AT1168" i="14" a="1"/>
  <c r="AT1168" i="14" s="1"/>
  <c r="AT1158" i="14" a="1"/>
  <c r="AT1158" i="14" s="1"/>
  <c r="AT1149" i="14" a="1"/>
  <c r="AT1149" i="14" s="1"/>
  <c r="AT1120" i="14" a="1"/>
  <c r="AT1120" i="14" s="1"/>
  <c r="AT1111" i="14" a="1"/>
  <c r="AT1111" i="14" s="1"/>
  <c r="AT1103" i="14" a="1"/>
  <c r="AT1103" i="14" s="1"/>
  <c r="AT1093" i="14" a="1"/>
  <c r="AT1093" i="14" s="1"/>
  <c r="AT1084" i="14" a="1"/>
  <c r="AT1084" i="14" s="1"/>
  <c r="AT1066" i="14" a="1"/>
  <c r="AT1066" i="14" s="1"/>
  <c r="AT1056" i="14" a="1"/>
  <c r="AT1056" i="14" s="1"/>
  <c r="AT1047" i="14" a="1"/>
  <c r="AT1047" i="14" s="1"/>
  <c r="AT1038" i="14" a="1"/>
  <c r="AT1038" i="14" s="1"/>
  <c r="AT1029" i="14" a="1"/>
  <c r="AT1029" i="14" s="1"/>
  <c r="AT1018" i="14" a="1"/>
  <c r="AT1018" i="14" s="1"/>
  <c r="AT1009" i="14" a="1"/>
  <c r="AT1009" i="14" s="1"/>
  <c r="AT1000" i="14" a="1"/>
  <c r="AT1000" i="14" s="1"/>
  <c r="AT991" i="14" a="1"/>
  <c r="AT991" i="14" s="1"/>
  <c r="AT982" i="14" a="1"/>
  <c r="AT982" i="14" s="1"/>
  <c r="AT973" i="14" a="1"/>
  <c r="AT973" i="14" s="1"/>
  <c r="AT964" i="14" a="1"/>
  <c r="AT964" i="14" s="1"/>
  <c r="AT955" i="14" a="1"/>
  <c r="AT955" i="14" s="1"/>
  <c r="AT946" i="14" a="1"/>
  <c r="AT946" i="14" s="1"/>
  <c r="AT937" i="14" a="1"/>
  <c r="AT937" i="14" s="1"/>
  <c r="AT928" i="14" a="1"/>
  <c r="AT928" i="14" s="1"/>
  <c r="AT919" i="14" a="1"/>
  <c r="AT919" i="14" s="1"/>
  <c r="AT910" i="14" a="1"/>
  <c r="AT910" i="14" s="1"/>
  <c r="AT903" i="14" a="1"/>
  <c r="AT903" i="14" s="1"/>
  <c r="AT895" i="14" a="1"/>
  <c r="AT895" i="14" s="1"/>
  <c r="AT886" i="14" a="1"/>
  <c r="AT886" i="14" s="1"/>
  <c r="AT878" i="14" a="1"/>
  <c r="AT878" i="14" s="1"/>
  <c r="AT871" i="14" a="1"/>
  <c r="AT871" i="14" s="1"/>
  <c r="AT862" i="14" a="1"/>
  <c r="AT862" i="14" s="1"/>
  <c r="AT854" i="14" a="1"/>
  <c r="AT854" i="14" s="1"/>
  <c r="AT830" i="14" a="1"/>
  <c r="AT830" i="14" s="1"/>
  <c r="AT822" i="14" a="1"/>
  <c r="AT822" i="14" s="1"/>
  <c r="AT811" i="14" a="1"/>
  <c r="AT811" i="14" s="1"/>
  <c r="AT793" i="14" a="1"/>
  <c r="AT793" i="14" s="1"/>
  <c r="AT785" i="14" a="1"/>
  <c r="AT785" i="14" s="1"/>
  <c r="AT776" i="14" a="1"/>
  <c r="AT776" i="14" s="1"/>
  <c r="AT767" i="14" a="1"/>
  <c r="AT767" i="14" s="1"/>
  <c r="AT750" i="14" a="1"/>
  <c r="AT750" i="14" s="1"/>
  <c r="AT741" i="14" a="1"/>
  <c r="AT741" i="14" s="1"/>
  <c r="AT734" i="14" a="1"/>
  <c r="AT734" i="14" s="1"/>
  <c r="AT726" i="14" a="1"/>
  <c r="AT726" i="14" s="1"/>
  <c r="AT718" i="14" a="1"/>
  <c r="AT718" i="14" s="1"/>
  <c r="AT710" i="14" a="1"/>
  <c r="AT710" i="14" s="1"/>
  <c r="AT701" i="14" a="1"/>
  <c r="AT701" i="14" s="1"/>
  <c r="AT692" i="14" a="1"/>
  <c r="AT692" i="14" s="1"/>
  <c r="AT684" i="14" a="1"/>
  <c r="AT684" i="14" s="1"/>
  <c r="AT676" i="14" a="1"/>
  <c r="AT676" i="14" s="1"/>
  <c r="AT667" i="14" a="1"/>
  <c r="AT667" i="14" s="1"/>
  <c r="AT649" i="14" a="1"/>
  <c r="AT649" i="14" s="1"/>
  <c r="AT629" i="14" a="1"/>
  <c r="AT629" i="14" s="1"/>
  <c r="AT616" i="14" a="1"/>
  <c r="AT616" i="14" s="1"/>
  <c r="AT604" i="14" a="1"/>
  <c r="AT604" i="14" s="1"/>
  <c r="AT592" i="14" a="1"/>
  <c r="AT592" i="14" s="1"/>
  <c r="AT580" i="14" a="1"/>
  <c r="AT580" i="14" s="1"/>
  <c r="Y772" i="14"/>
  <c r="Y760" i="14"/>
  <c r="Y748" i="14"/>
  <c r="Y736" i="14"/>
  <c r="Y724" i="14"/>
  <c r="Y711" i="14"/>
  <c r="Y699" i="14"/>
  <c r="Y687" i="14"/>
  <c r="Y675" i="14"/>
  <c r="Y663" i="14"/>
  <c r="Y651" i="14"/>
  <c r="Y639" i="14"/>
  <c r="Y627" i="14"/>
  <c r="Y613" i="14"/>
  <c r="Y601" i="14"/>
  <c r="Y589" i="14"/>
  <c r="Y577" i="14"/>
  <c r="Y565" i="14"/>
  <c r="Y553" i="14"/>
  <c r="Y541" i="14"/>
  <c r="Y529" i="14"/>
  <c r="Y517" i="14"/>
  <c r="Y504" i="14"/>
  <c r="Y492" i="14"/>
  <c r="Y480" i="14"/>
  <c r="Y468" i="14"/>
  <c r="Y456" i="14"/>
  <c r="Y444" i="14"/>
  <c r="Y432" i="14"/>
  <c r="Y420" i="14"/>
  <c r="Y406" i="14"/>
  <c r="Y394" i="14"/>
  <c r="Y382" i="14"/>
  <c r="Y370" i="14"/>
  <c r="Y358" i="14"/>
  <c r="Y346" i="14"/>
  <c r="Y334" i="14"/>
  <c r="Y322" i="14"/>
  <c r="Y309" i="14"/>
  <c r="Y297" i="14"/>
  <c r="Y285" i="14"/>
  <c r="Y273" i="14"/>
  <c r="Y261" i="14"/>
  <c r="Y249" i="14"/>
  <c r="Y237" i="14"/>
  <c r="Y225" i="14"/>
  <c r="Y213" i="14"/>
  <c r="Y199" i="14"/>
  <c r="Y187" i="14"/>
  <c r="Y175" i="14"/>
  <c r="Y163" i="14"/>
  <c r="Y151" i="14"/>
  <c r="Y139" i="14"/>
  <c r="Y127" i="14"/>
  <c r="Y115" i="14"/>
  <c r="Y102" i="14"/>
  <c r="Y90" i="14"/>
  <c r="Y78" i="14"/>
  <c r="Y66" i="14"/>
  <c r="Y54" i="14"/>
  <c r="Y42" i="14"/>
  <c r="Y30" i="14"/>
  <c r="Y18" i="14"/>
  <c r="AT1629" i="14" a="1"/>
  <c r="AT1629" i="14" s="1"/>
  <c r="AT1619" i="14" a="1"/>
  <c r="AT1619" i="14" s="1"/>
  <c r="AT1608" i="14" a="1"/>
  <c r="AT1608" i="14" s="1"/>
  <c r="AT1597" i="14" a="1"/>
  <c r="AT1597" i="14" s="1"/>
  <c r="AT1585" i="14" a="1"/>
  <c r="AT1585" i="14" s="1"/>
  <c r="AT1573" i="14" a="1"/>
  <c r="AT1573" i="14" s="1"/>
  <c r="AT1561" i="14" a="1"/>
  <c r="AT1561" i="14" s="1"/>
  <c r="AT1549" i="14" a="1"/>
  <c r="AT1549" i="14" s="1"/>
  <c r="AT1537" i="14" a="1"/>
  <c r="AT1537" i="14" s="1"/>
  <c r="AT1525" i="14" a="1"/>
  <c r="AT1525" i="14" s="1"/>
  <c r="AT1513" i="14" a="1"/>
  <c r="AT1513" i="14" s="1"/>
  <c r="AT1501" i="14" a="1"/>
  <c r="AT1501" i="14" s="1"/>
  <c r="AT1489" i="14" a="1"/>
  <c r="AT1489" i="14" s="1"/>
  <c r="AT1478" i="14" a="1"/>
  <c r="AT1478" i="14" s="1"/>
  <c r="AT1467" i="14" a="1"/>
  <c r="AT1467" i="14" s="1"/>
  <c r="AT1456" i="14" a="1"/>
  <c r="AT1456" i="14" s="1"/>
  <c r="AT1434" i="14" a="1"/>
  <c r="AT1434" i="14" s="1"/>
  <c r="AT1420" i="14" a="1"/>
  <c r="AT1420" i="14" s="1"/>
  <c r="AT1408" i="14" a="1"/>
  <c r="AT1408" i="14" s="1"/>
  <c r="AT1398" i="14" a="1"/>
  <c r="AT1398" i="14" s="1"/>
  <c r="AT1386" i="14" a="1"/>
  <c r="AT1386" i="14" s="1"/>
  <c r="AT1376" i="14" a="1"/>
  <c r="AT1376" i="14" s="1"/>
  <c r="AT1365" i="14" a="1"/>
  <c r="AT1365" i="14" s="1"/>
  <c r="AT1353" i="14" a="1"/>
  <c r="AT1353" i="14" s="1"/>
  <c r="AT1341" i="14" a="1"/>
  <c r="AT1341" i="14" s="1"/>
  <c r="AT1330" i="14" a="1"/>
  <c r="AT1330" i="14" s="1"/>
  <c r="AT1319" i="14" a="1"/>
  <c r="AT1319" i="14" s="1"/>
  <c r="AT1308" i="14" a="1"/>
  <c r="AT1308" i="14" s="1"/>
  <c r="AT1298" i="14" a="1"/>
  <c r="AT1298" i="14" s="1"/>
  <c r="AT1286" i="14" a="1"/>
  <c r="AT1286" i="14" s="1"/>
  <c r="AT1274" i="14" a="1"/>
  <c r="AT1274" i="14" s="1"/>
  <c r="AT1263" i="14" a="1"/>
  <c r="AT1263" i="14" s="1"/>
  <c r="AT1252" i="14" a="1"/>
  <c r="AT1252" i="14" s="1"/>
  <c r="AT1240" i="14" a="1"/>
  <c r="AT1240" i="14" s="1"/>
  <c r="AT1230" i="14" a="1"/>
  <c r="AT1230" i="14" s="1"/>
  <c r="AT1218" i="14" a="1"/>
  <c r="AT1218" i="14" s="1"/>
  <c r="AT1207" i="14" a="1"/>
  <c r="AT1207" i="14" s="1"/>
  <c r="AT1196" i="14" a="1"/>
  <c r="AT1196" i="14" s="1"/>
  <c r="AT1187" i="14" a="1"/>
  <c r="AT1187" i="14" s="1"/>
  <c r="AT1177" i="14" a="1"/>
  <c r="AT1177" i="14" s="1"/>
  <c r="AT1167" i="14" a="1"/>
  <c r="AT1167" i="14" s="1"/>
  <c r="AT1148" i="14" a="1"/>
  <c r="AT1148" i="14" s="1"/>
  <c r="AT1139" i="14" a="1"/>
  <c r="AT1139" i="14" s="1"/>
  <c r="AT1129" i="14" a="1"/>
  <c r="AT1129" i="14" s="1"/>
  <c r="AT1119" i="14" a="1"/>
  <c r="AT1119" i="14" s="1"/>
  <c r="AT1102" i="14" a="1"/>
  <c r="AT1102" i="14" s="1"/>
  <c r="AT1092" i="14" a="1"/>
  <c r="AT1092" i="14" s="1"/>
  <c r="AT1083" i="14" a="1"/>
  <c r="AT1083" i="14" s="1"/>
  <c r="AT1074" i="14" a="1"/>
  <c r="AT1074" i="14" s="1"/>
  <c r="AT1065" i="14" a="1"/>
  <c r="AT1065" i="14" s="1"/>
  <c r="AT1046" i="14" a="1"/>
  <c r="AT1046" i="14" s="1"/>
  <c r="AT1028" i="14" a="1"/>
  <c r="AT1028" i="14" s="1"/>
  <c r="AT1008" i="14" a="1"/>
  <c r="AT1008" i="14" s="1"/>
  <c r="AT990" i="14" a="1"/>
  <c r="AT990" i="14" s="1"/>
  <c r="AT972" i="14" a="1"/>
  <c r="AT972" i="14" s="1"/>
  <c r="AT954" i="14" a="1"/>
  <c r="AT954" i="14" s="1"/>
  <c r="AT936" i="14" a="1"/>
  <c r="AT936" i="14" s="1"/>
  <c r="AT918" i="14" a="1"/>
  <c r="AT918" i="14" s="1"/>
  <c r="AT902" i="14" a="1"/>
  <c r="AT902" i="14" s="1"/>
  <c r="AT853" i="14" a="1"/>
  <c r="AT853" i="14" s="1"/>
  <c r="AT846" i="14" a="1"/>
  <c r="AT846" i="14" s="1"/>
  <c r="AT837" i="14" a="1"/>
  <c r="AT837" i="14" s="1"/>
  <c r="AT829" i="14" a="1"/>
  <c r="AT829" i="14" s="1"/>
  <c r="AT819" i="14" a="1"/>
  <c r="AT819" i="14" s="1"/>
  <c r="AT802" i="14" a="1"/>
  <c r="AT802" i="14" s="1"/>
  <c r="AT792" i="14" a="1"/>
  <c r="AT792" i="14" s="1"/>
  <c r="AT766" i="14" a="1"/>
  <c r="AT766" i="14" s="1"/>
  <c r="AT758" i="14" a="1"/>
  <c r="AT758" i="14" s="1"/>
  <c r="AT733" i="14" a="1"/>
  <c r="AT733" i="14" s="1"/>
  <c r="AT717" i="14" a="1"/>
  <c r="AT717" i="14" s="1"/>
  <c r="AT709" i="14" a="1"/>
  <c r="AT709" i="14" s="1"/>
  <c r="AT700" i="14" a="1"/>
  <c r="AT700" i="14" s="1"/>
  <c r="AT691" i="14" a="1"/>
  <c r="AT691" i="14" s="1"/>
  <c r="AT683" i="14" a="1"/>
  <c r="AT683" i="14" s="1"/>
  <c r="AT675" i="14" a="1"/>
  <c r="AT675" i="14" s="1"/>
  <c r="AT658" i="14" a="1"/>
  <c r="AT658" i="14" s="1"/>
  <c r="AT648" i="14" a="1"/>
  <c r="AT648" i="14" s="1"/>
  <c r="AT639" i="14" a="1"/>
  <c r="AT639" i="14" s="1"/>
  <c r="AT628" i="14" a="1"/>
  <c r="AT628" i="14" s="1"/>
  <c r="AT615" i="14" a="1"/>
  <c r="AT615" i="14" s="1"/>
  <c r="AT603" i="14" a="1"/>
  <c r="AT603" i="14" s="1"/>
  <c r="AT591" i="14" a="1"/>
  <c r="AT591" i="14" s="1"/>
  <c r="AT579" i="14" a="1"/>
  <c r="AT579" i="14" s="1"/>
  <c r="Y771" i="14"/>
  <c r="Y759" i="14"/>
  <c r="Y747" i="14"/>
  <c r="Y735" i="14"/>
  <c r="Y723" i="14"/>
  <c r="Y710" i="14"/>
  <c r="Y698" i="14"/>
  <c r="Y686" i="14"/>
  <c r="Y674" i="14"/>
  <c r="Y662" i="14"/>
  <c r="Y650" i="14"/>
  <c r="Y638" i="14"/>
  <c r="Y626" i="14"/>
  <c r="Y612" i="14"/>
  <c r="Y600" i="14"/>
  <c r="Y588" i="14"/>
  <c r="Y576" i="14"/>
  <c r="Y564" i="14"/>
  <c r="Y552" i="14"/>
  <c r="Y540" i="14"/>
  <c r="Y528" i="14"/>
  <c r="Y515" i="14"/>
  <c r="Y503" i="14"/>
  <c r="Y491" i="14"/>
  <c r="Y479" i="14"/>
  <c r="Y467" i="14"/>
  <c r="Y455" i="14"/>
  <c r="Y443" i="14"/>
  <c r="Y431" i="14"/>
  <c r="Y419" i="14"/>
  <c r="Y405" i="14"/>
  <c r="Y393" i="14"/>
  <c r="Y381" i="14"/>
  <c r="Y369" i="14"/>
  <c r="Y357" i="14"/>
  <c r="Y345" i="14"/>
  <c r="Y333" i="14"/>
  <c r="Y321" i="14"/>
  <c r="Y308" i="14"/>
  <c r="Y296" i="14"/>
  <c r="Y284" i="14"/>
  <c r="Y272" i="14"/>
  <c r="Y260" i="14"/>
  <c r="Y248" i="14"/>
  <c r="Y236" i="14"/>
  <c r="Y224" i="14"/>
  <c r="Y210" i="14"/>
  <c r="Y198" i="14"/>
  <c r="Y186" i="14"/>
  <c r="Y174" i="14"/>
  <c r="Y162" i="14"/>
  <c r="Y150" i="14"/>
  <c r="Y138" i="14"/>
  <c r="Y126" i="14"/>
  <c r="Y114" i="14"/>
  <c r="Y101" i="14"/>
  <c r="Y89" i="14"/>
  <c r="Y77" i="14"/>
  <c r="Y65" i="14"/>
  <c r="Y53" i="14"/>
  <c r="Y41" i="14"/>
  <c r="Y29" i="14"/>
  <c r="Y17" i="14"/>
  <c r="AT1628" i="14" a="1"/>
  <c r="AT1628" i="14" s="1"/>
  <c r="AT1618" i="14" a="1"/>
  <c r="AT1618" i="14" s="1"/>
  <c r="AT1596" i="14" a="1"/>
  <c r="AT1596" i="14" s="1"/>
  <c r="AT1584" i="14" a="1"/>
  <c r="AT1584" i="14" s="1"/>
  <c r="AT1572" i="14" a="1"/>
  <c r="AT1572" i="14" s="1"/>
  <c r="AT1560" i="14" a="1"/>
  <c r="AT1560" i="14" s="1"/>
  <c r="AT1548" i="14" a="1"/>
  <c r="AT1548" i="14" s="1"/>
  <c r="AT1536" i="14" a="1"/>
  <c r="AT1536" i="14" s="1"/>
  <c r="AT1524" i="14" a="1"/>
  <c r="AT1524" i="14" s="1"/>
  <c r="AT1512" i="14" a="1"/>
  <c r="AT1512" i="14" s="1"/>
  <c r="AT1500" i="14" a="1"/>
  <c r="AT1500" i="14" s="1"/>
  <c r="AT1488" i="14" a="1"/>
  <c r="AT1488" i="14" s="1"/>
  <c r="AT1477" i="14" a="1"/>
  <c r="AT1477" i="14" s="1"/>
  <c r="AT1466" i="14" a="1"/>
  <c r="AT1466" i="14" s="1"/>
  <c r="AT1455" i="14" a="1"/>
  <c r="AT1455" i="14" s="1"/>
  <c r="AT1445" i="14" a="1"/>
  <c r="AT1445" i="14" s="1"/>
  <c r="AT1433" i="14" a="1"/>
  <c r="AT1433" i="14" s="1"/>
  <c r="AT1419" i="14" a="1"/>
  <c r="AT1419" i="14" s="1"/>
  <c r="AT1397" i="14" a="1"/>
  <c r="AT1397" i="14" s="1"/>
  <c r="AT1385" i="14" a="1"/>
  <c r="AT1385" i="14" s="1"/>
  <c r="AT1375" i="14" a="1"/>
  <c r="AT1375" i="14" s="1"/>
  <c r="AT1364" i="14" a="1"/>
  <c r="AT1364" i="14" s="1"/>
  <c r="AT1352" i="14" a="1"/>
  <c r="AT1352" i="14" s="1"/>
  <c r="AT1340" i="14" a="1"/>
  <c r="AT1340" i="14" s="1"/>
  <c r="AT1318" i="14" a="1"/>
  <c r="AT1318" i="14" s="1"/>
  <c r="AT1307" i="14" a="1"/>
  <c r="AT1307" i="14" s="1"/>
  <c r="AT1297" i="14" a="1"/>
  <c r="AT1297" i="14" s="1"/>
  <c r="AT1285" i="14" a="1"/>
  <c r="AT1285" i="14" s="1"/>
  <c r="AT1273" i="14" a="1"/>
  <c r="AT1273" i="14" s="1"/>
  <c r="AT1262" i="14" a="1"/>
  <c r="AT1262" i="14" s="1"/>
  <c r="AT1251" i="14" a="1"/>
  <c r="AT1251" i="14" s="1"/>
  <c r="AT1229" i="14" a="1"/>
  <c r="AT1229" i="14" s="1"/>
  <c r="AT1217" i="14" a="1"/>
  <c r="AT1217" i="14" s="1"/>
  <c r="AT1195" i="14" a="1"/>
  <c r="AT1195" i="14" s="1"/>
  <c r="AT1186" i="14" a="1"/>
  <c r="AT1186" i="14" s="1"/>
  <c r="AT1176" i="14" a="1"/>
  <c r="AT1176" i="14" s="1"/>
  <c r="AT1166" i="14" a="1"/>
  <c r="AT1166" i="14" s="1"/>
  <c r="AT1157" i="14" a="1"/>
  <c r="AT1157" i="14" s="1"/>
  <c r="AT1147" i="14" a="1"/>
  <c r="AT1147" i="14" s="1"/>
  <c r="AT1138" i="14" a="1"/>
  <c r="AT1138" i="14" s="1"/>
  <c r="AT1128" i="14" a="1"/>
  <c r="AT1128" i="14" s="1"/>
  <c r="AT1110" i="14" a="1"/>
  <c r="AT1110" i="14" s="1"/>
  <c r="AT1101" i="14" a="1"/>
  <c r="AT1101" i="14" s="1"/>
  <c r="AT1082" i="14" a="1"/>
  <c r="AT1082" i="14" s="1"/>
  <c r="AT1064" i="14" a="1"/>
  <c r="AT1064" i="14" s="1"/>
  <c r="AT1055" i="14" a="1"/>
  <c r="AT1055" i="14" s="1"/>
  <c r="AT1045" i="14" a="1"/>
  <c r="AT1045" i="14" s="1"/>
  <c r="AT1037" i="14" a="1"/>
  <c r="AT1037" i="14" s="1"/>
  <c r="AT1027" i="14" a="1"/>
  <c r="AT1027" i="14" s="1"/>
  <c r="AT1017" i="14" a="1"/>
  <c r="AT1017" i="14" s="1"/>
  <c r="AT1007" i="14" a="1"/>
  <c r="AT1007" i="14" s="1"/>
  <c r="AT999" i="14" a="1"/>
  <c r="AT999" i="14" s="1"/>
  <c r="AT989" i="14" a="1"/>
  <c r="AT989" i="14" s="1"/>
  <c r="AT981" i="14" a="1"/>
  <c r="AT981" i="14" s="1"/>
  <c r="AT971" i="14" a="1"/>
  <c r="AT971" i="14" s="1"/>
  <c r="AT963" i="14" a="1"/>
  <c r="AT963" i="14" s="1"/>
  <c r="AT953" i="14" a="1"/>
  <c r="AT953" i="14" s="1"/>
  <c r="AT945" i="14" a="1"/>
  <c r="AT945" i="14" s="1"/>
  <c r="AT935" i="14" a="1"/>
  <c r="AT935" i="14" s="1"/>
  <c r="AT927" i="14" a="1"/>
  <c r="AT927" i="14" s="1"/>
  <c r="AT917" i="14" a="1"/>
  <c r="AT917" i="14" s="1"/>
  <c r="AT909" i="14" a="1"/>
  <c r="AT909" i="14" s="1"/>
  <c r="AT901" i="14" a="1"/>
  <c r="AT901" i="14" s="1"/>
  <c r="AT894" i="14" a="1"/>
  <c r="AT894" i="14" s="1"/>
  <c r="AT885" i="14" a="1"/>
  <c r="AT885" i="14" s="1"/>
  <c r="AT877" i="14" a="1"/>
  <c r="AT877" i="14" s="1"/>
  <c r="AT870" i="14" a="1"/>
  <c r="AT870" i="14" s="1"/>
  <c r="AT861" i="14" a="1"/>
  <c r="AT861" i="14" s="1"/>
  <c r="AT852" i="14" a="1"/>
  <c r="AT852" i="14" s="1"/>
  <c r="AT845" i="14" a="1"/>
  <c r="AT845" i="14" s="1"/>
  <c r="AT828" i="14" a="1"/>
  <c r="AT828" i="14" s="1"/>
  <c r="AT818" i="14" a="1"/>
  <c r="AT818" i="14" s="1"/>
  <c r="AT810" i="14" a="1"/>
  <c r="AT810" i="14" s="1"/>
  <c r="AT801" i="14" a="1"/>
  <c r="AT801" i="14" s="1"/>
  <c r="AT784" i="14" a="1"/>
  <c r="AT784" i="14" s="1"/>
  <c r="AT775" i="14" a="1"/>
  <c r="AT775" i="14" s="1"/>
  <c r="AT765" i="14" a="1"/>
  <c r="AT765" i="14" s="1"/>
  <c r="AT749" i="14" a="1"/>
  <c r="AT749" i="14" s="1"/>
  <c r="AT740" i="14" a="1"/>
  <c r="AT740" i="14" s="1"/>
  <c r="AT725" i="14" a="1"/>
  <c r="AT725" i="14" s="1"/>
  <c r="AT708" i="14" a="1"/>
  <c r="AT708" i="14" s="1"/>
  <c r="AT699" i="14" a="1"/>
  <c r="AT699" i="14" s="1"/>
  <c r="AT682" i="14" a="1"/>
  <c r="AT682" i="14" s="1"/>
  <c r="AT674" i="14" a="1"/>
  <c r="AT674" i="14" s="1"/>
  <c r="AT666" i="14" a="1"/>
  <c r="AT666" i="14" s="1"/>
  <c r="AT657" i="14" a="1"/>
  <c r="AT657" i="14" s="1"/>
  <c r="AT638" i="14" a="1"/>
  <c r="AT638" i="14" s="1"/>
  <c r="AT627" i="14" a="1"/>
  <c r="AT627" i="14" s="1"/>
  <c r="AT614" i="14" a="1"/>
  <c r="AT614" i="14" s="1"/>
  <c r="AT602" i="14" a="1"/>
  <c r="AT602" i="14" s="1"/>
  <c r="AT590" i="14" a="1"/>
  <c r="AT590" i="14" s="1"/>
  <c r="AT578" i="14" a="1"/>
  <c r="AT578" i="14" s="1"/>
  <c r="Y770" i="14"/>
  <c r="Y758" i="14"/>
  <c r="Y746" i="14"/>
  <c r="Y734" i="14"/>
  <c r="Y722" i="14"/>
  <c r="Y709" i="14"/>
  <c r="Y697" i="14"/>
  <c r="Y685" i="14"/>
  <c r="Y673" i="14"/>
  <c r="Y661" i="14"/>
  <c r="Y649" i="14"/>
  <c r="Y637" i="14"/>
  <c r="Y625" i="14"/>
  <c r="Y611" i="14"/>
  <c r="Y599" i="14"/>
  <c r="Y587" i="14"/>
  <c r="Y575" i="14"/>
  <c r="Y563" i="14"/>
  <c r="Y551" i="14"/>
  <c r="Y539" i="14"/>
  <c r="Y527" i="14"/>
  <c r="Y514" i="14"/>
  <c r="Y502" i="14"/>
  <c r="Y490" i="14"/>
  <c r="Y478" i="14"/>
  <c r="Y466" i="14"/>
  <c r="Y454" i="14"/>
  <c r="Y442" i="14"/>
  <c r="Y430" i="14"/>
  <c r="Y418" i="14"/>
  <c r="Y404" i="14"/>
  <c r="Y392" i="14"/>
  <c r="Y380" i="14"/>
  <c r="Y368" i="14"/>
  <c r="Y356" i="14"/>
  <c r="Y344" i="14"/>
  <c r="Y332" i="14"/>
  <c r="Y320" i="14"/>
  <c r="Y307" i="14"/>
  <c r="Y295" i="14"/>
  <c r="Y283" i="14"/>
  <c r="Y271" i="14"/>
  <c r="Y259" i="14"/>
  <c r="Y247" i="14"/>
  <c r="Y235" i="14"/>
  <c r="Y223" i="14"/>
  <c r="Y209" i="14"/>
  <c r="Y197" i="14"/>
  <c r="Y185" i="14"/>
  <c r="Y173" i="14"/>
  <c r="Y161" i="14"/>
  <c r="Y149" i="14"/>
  <c r="Y137" i="14"/>
  <c r="Y125" i="14"/>
  <c r="Y113" i="14"/>
  <c r="Y100" i="14"/>
  <c r="Y88" i="14"/>
  <c r="Y76" i="14"/>
  <c r="Y64" i="14"/>
  <c r="Y52" i="14"/>
  <c r="Y40" i="14"/>
  <c r="Y28" i="14"/>
  <c r="Y16" i="14"/>
  <c r="AT1627" i="14" a="1"/>
  <c r="AT1627" i="14" s="1"/>
  <c r="AT1617" i="14" a="1"/>
  <c r="AT1617" i="14" s="1"/>
  <c r="AT1607" i="14" a="1"/>
  <c r="AT1607" i="14" s="1"/>
  <c r="AT1595" i="14" a="1"/>
  <c r="AT1595" i="14" s="1"/>
  <c r="AT1583" i="14" a="1"/>
  <c r="AT1583" i="14" s="1"/>
  <c r="AT1571" i="14" a="1"/>
  <c r="AT1571" i="14" s="1"/>
  <c r="AT1559" i="14" a="1"/>
  <c r="AT1559" i="14" s="1"/>
  <c r="AT1547" i="14" a="1"/>
  <c r="AT1547" i="14" s="1"/>
  <c r="AT1535" i="14" a="1"/>
  <c r="AT1535" i="14" s="1"/>
  <c r="AT1523" i="14" a="1"/>
  <c r="AT1523" i="14" s="1"/>
  <c r="AT1511" i="14" a="1"/>
  <c r="AT1511" i="14" s="1"/>
  <c r="AT1499" i="14" a="1"/>
  <c r="AT1499" i="14" s="1"/>
  <c r="AT1487" i="14" a="1"/>
  <c r="AT1487" i="14" s="1"/>
  <c r="AT1476" i="14" a="1"/>
  <c r="AT1476" i="14" s="1"/>
  <c r="AT1465" i="14" a="1"/>
  <c r="AT1465" i="14" s="1"/>
  <c r="AT1454" i="14" a="1"/>
  <c r="AT1454" i="14" s="1"/>
  <c r="AT1444" i="14" a="1"/>
  <c r="AT1444" i="14" s="1"/>
  <c r="AT1432" i="14" a="1"/>
  <c r="AT1432" i="14" s="1"/>
  <c r="AT1418" i="14" a="1"/>
  <c r="AT1418" i="14" s="1"/>
  <c r="AT1407" i="14" a="1"/>
  <c r="AT1407" i="14" s="1"/>
  <c r="AT1396" i="14" a="1"/>
  <c r="AT1396" i="14" s="1"/>
  <c r="AT1384" i="14" a="1"/>
  <c r="AT1384" i="14" s="1"/>
  <c r="AT1374" i="14" a="1"/>
  <c r="AT1374" i="14" s="1"/>
  <c r="AT1363" i="14" a="1"/>
  <c r="AT1363" i="14" s="1"/>
  <c r="AT1351" i="14" a="1"/>
  <c r="AT1351" i="14" s="1"/>
  <c r="AT1339" i="14" a="1"/>
  <c r="AT1339" i="14" s="1"/>
  <c r="AT1329" i="14" a="1"/>
  <c r="AT1329" i="14" s="1"/>
  <c r="AT1317" i="14" a="1"/>
  <c r="AT1317" i="14" s="1"/>
  <c r="AT1306" i="14" a="1"/>
  <c r="AT1306" i="14" s="1"/>
  <c r="AT1296" i="14" a="1"/>
  <c r="AT1296" i="14" s="1"/>
  <c r="AT1284" i="14" a="1"/>
  <c r="AT1284" i="14" s="1"/>
  <c r="AT1272" i="14" a="1"/>
  <c r="AT1272" i="14" s="1"/>
  <c r="AT1261" i="14" a="1"/>
  <c r="AT1261" i="14" s="1"/>
  <c r="AT1250" i="14" a="1"/>
  <c r="AT1250" i="14" s="1"/>
  <c r="AT1239" i="14" a="1"/>
  <c r="AT1239" i="14" s="1"/>
  <c r="AT1228" i="14" a="1"/>
  <c r="AT1228" i="14" s="1"/>
  <c r="AT1216" i="14" a="1"/>
  <c r="AT1216" i="14" s="1"/>
  <c r="AT1206" i="14" a="1"/>
  <c r="AT1206" i="14" s="1"/>
  <c r="AT1185" i="14" a="1"/>
  <c r="AT1185" i="14" s="1"/>
  <c r="AT1156" i="14" a="1"/>
  <c r="AT1156" i="14" s="1"/>
  <c r="AT1137" i="14" a="1"/>
  <c r="AT1137" i="14" s="1"/>
  <c r="AT1118" i="14" a="1"/>
  <c r="AT1118" i="14" s="1"/>
  <c r="AT1100" i="14" a="1"/>
  <c r="AT1100" i="14" s="1"/>
  <c r="AT1091" i="14" a="1"/>
  <c r="AT1091" i="14" s="1"/>
  <c r="AT1081" i="14" a="1"/>
  <c r="AT1081" i="14" s="1"/>
  <c r="AT1073" i="14" a="1"/>
  <c r="AT1073" i="14" s="1"/>
  <c r="AT1063" i="14" a="1"/>
  <c r="AT1063" i="14" s="1"/>
  <c r="AT1054" i="14" a="1"/>
  <c r="AT1054" i="14" s="1"/>
  <c r="AT1036" i="14" a="1"/>
  <c r="AT1036" i="14" s="1"/>
  <c r="AT1016" i="14" a="1"/>
  <c r="AT1016" i="14" s="1"/>
  <c r="AT998" i="14" a="1"/>
  <c r="AT998" i="14" s="1"/>
  <c r="AT980" i="14" a="1"/>
  <c r="AT980" i="14" s="1"/>
  <c r="AT962" i="14" a="1"/>
  <c r="AT962" i="14" s="1"/>
  <c r="AT944" i="14" a="1"/>
  <c r="AT944" i="14" s="1"/>
  <c r="AT926" i="14" a="1"/>
  <c r="AT926" i="14" s="1"/>
  <c r="AT900" i="14" a="1"/>
  <c r="AT900" i="14" s="1"/>
  <c r="AT893" i="14" a="1"/>
  <c r="AT893" i="14" s="1"/>
  <c r="AT876" i="14" a="1"/>
  <c r="AT876" i="14" s="1"/>
  <c r="AT869" i="14" a="1"/>
  <c r="AT869" i="14" s="1"/>
  <c r="AT851" i="14" a="1"/>
  <c r="AT851" i="14" s="1"/>
  <c r="AT836" i="14" a="1"/>
  <c r="AT836" i="14" s="1"/>
  <c r="AT827" i="14" a="1"/>
  <c r="AT827" i="14" s="1"/>
  <c r="AT817" i="14" a="1"/>
  <c r="AT817" i="14" s="1"/>
  <c r="AT809" i="14" a="1"/>
  <c r="AT809" i="14" s="1"/>
  <c r="AT800" i="14" a="1"/>
  <c r="AT800" i="14" s="1"/>
  <c r="AT791" i="14" a="1"/>
  <c r="AT791" i="14" s="1"/>
  <c r="AT783" i="14" a="1"/>
  <c r="AT783" i="14" s="1"/>
  <c r="AT774" i="14" a="1"/>
  <c r="AT774" i="14" s="1"/>
  <c r="AT757" i="14" a="1"/>
  <c r="AT757" i="14" s="1"/>
  <c r="AT748" i="14" a="1"/>
  <c r="AT748" i="14" s="1"/>
  <c r="AT732" i="14" a="1"/>
  <c r="AT732" i="14" s="1"/>
  <c r="AT724" i="14" a="1"/>
  <c r="AT724" i="14" s="1"/>
  <c r="AT716" i="14" a="1"/>
  <c r="AT716" i="14" s="1"/>
  <c r="Y769" i="14"/>
  <c r="Y757" i="14"/>
  <c r="Y745" i="14"/>
  <c r="Y733" i="14"/>
  <c r="Y721" i="14"/>
  <c r="Y708" i="14"/>
  <c r="Y696" i="14"/>
  <c r="Y684" i="14"/>
  <c r="Y672" i="14"/>
  <c r="Y660" i="14"/>
  <c r="Y648" i="14"/>
  <c r="Y636" i="14"/>
  <c r="Y624" i="14"/>
  <c r="Y610" i="14"/>
  <c r="Y598" i="14"/>
  <c r="Y586" i="14"/>
  <c r="Y574" i="14"/>
  <c r="Y562" i="14"/>
  <c r="Y550" i="14"/>
  <c r="Y538" i="14"/>
  <c r="Y526" i="14"/>
  <c r="Y513" i="14"/>
  <c r="Y501" i="14"/>
  <c r="Y489" i="14"/>
  <c r="Y477" i="14"/>
  <c r="Y465" i="14"/>
  <c r="Y453" i="14"/>
  <c r="Y441" i="14"/>
  <c r="Y429" i="14"/>
  <c r="Y417" i="14"/>
  <c r="Y403" i="14"/>
  <c r="Y391" i="14"/>
  <c r="Y379" i="14"/>
  <c r="Y367" i="14"/>
  <c r="Y355" i="14"/>
  <c r="Y343" i="14"/>
  <c r="Y331" i="14"/>
  <c r="Y319" i="14"/>
  <c r="Y306" i="14"/>
  <c r="Y294" i="14"/>
  <c r="Y282" i="14"/>
  <c r="Y270" i="14"/>
  <c r="Y258" i="14"/>
  <c r="Y246" i="14"/>
  <c r="Y234" i="14"/>
  <c r="Y222" i="14"/>
  <c r="Y208" i="14"/>
  <c r="Y196" i="14"/>
  <c r="Y184" i="14"/>
  <c r="Y172" i="14"/>
  <c r="Y160" i="14"/>
  <c r="Y148" i="14"/>
  <c r="Y136" i="14"/>
  <c r="Y124" i="14"/>
  <c r="Y112" i="14"/>
  <c r="Y99" i="14"/>
  <c r="Y87" i="14"/>
  <c r="Y75" i="14"/>
  <c r="Y63" i="14"/>
  <c r="Y51" i="14"/>
  <c r="Y39" i="14"/>
  <c r="Y27" i="14"/>
  <c r="Y15" i="14"/>
  <c r="AT1626" i="14" a="1"/>
  <c r="AT1626" i="14" s="1"/>
  <c r="AT1616" i="14" a="1"/>
  <c r="AT1616" i="14" s="1"/>
  <c r="AT1606" i="14" a="1"/>
  <c r="AT1606" i="14" s="1"/>
  <c r="AT1594" i="14" a="1"/>
  <c r="AT1594" i="14" s="1"/>
  <c r="AT1582" i="14" a="1"/>
  <c r="AT1582" i="14" s="1"/>
  <c r="AT1570" i="14" a="1"/>
  <c r="AT1570" i="14" s="1"/>
  <c r="AT1558" i="14" a="1"/>
  <c r="AT1558" i="14" s="1"/>
  <c r="AT1546" i="14" a="1"/>
  <c r="AT1546" i="14" s="1"/>
  <c r="AT1534" i="14" a="1"/>
  <c r="AT1534" i="14" s="1"/>
  <c r="AT1522" i="14" a="1"/>
  <c r="AT1522" i="14" s="1"/>
  <c r="AT1510" i="14" a="1"/>
  <c r="AT1510" i="14" s="1"/>
  <c r="AT1498" i="14" a="1"/>
  <c r="AT1498" i="14" s="1"/>
  <c r="AT1486" i="14" a="1"/>
  <c r="AT1486" i="14" s="1"/>
  <c r="AT1464" i="14" a="1"/>
  <c r="AT1464" i="14" s="1"/>
  <c r="AT1453" i="14" a="1"/>
  <c r="AT1453" i="14" s="1"/>
  <c r="AT1443" i="14" a="1"/>
  <c r="AT1443" i="14" s="1"/>
  <c r="AT1431" i="14" a="1"/>
  <c r="AT1431" i="14" s="1"/>
  <c r="AT1417" i="14" a="1"/>
  <c r="AT1417" i="14" s="1"/>
  <c r="AT1406" i="14" a="1"/>
  <c r="AT1406" i="14" s="1"/>
  <c r="AT1395" i="14" a="1"/>
  <c r="AT1395" i="14" s="1"/>
  <c r="AT1373" i="14" a="1"/>
  <c r="AT1373" i="14" s="1"/>
  <c r="AT1362" i="14" a="1"/>
  <c r="AT1362" i="14" s="1"/>
  <c r="AT1350" i="14" a="1"/>
  <c r="AT1350" i="14" s="1"/>
  <c r="AT1338" i="14" a="1"/>
  <c r="AT1338" i="14" s="1"/>
  <c r="AT1328" i="14" a="1"/>
  <c r="AT1328" i="14" s="1"/>
  <c r="AT1316" i="14" a="1"/>
  <c r="AT1316" i="14" s="1"/>
  <c r="AT1295" i="14" a="1"/>
  <c r="AT1295" i="14" s="1"/>
  <c r="AT1283" i="14" a="1"/>
  <c r="AT1283" i="14" s="1"/>
  <c r="AT1271" i="14" a="1"/>
  <c r="AT1271" i="14" s="1"/>
  <c r="AT1260" i="14" a="1"/>
  <c r="AT1260" i="14" s="1"/>
  <c r="AT1249" i="14" a="1"/>
  <c r="AT1249" i="14" s="1"/>
  <c r="AT1238" i="14" a="1"/>
  <c r="AT1238" i="14" s="1"/>
  <c r="AT1215" i="14" a="1"/>
  <c r="AT1215" i="14" s="1"/>
  <c r="AT1205" i="14" a="1"/>
  <c r="AT1205" i="14" s="1"/>
  <c r="AT1194" i="14" a="1"/>
  <c r="AT1194" i="14" s="1"/>
  <c r="AT1184" i="14" a="1"/>
  <c r="AT1184" i="14" s="1"/>
  <c r="AT1175" i="14" a="1"/>
  <c r="AT1175" i="14" s="1"/>
  <c r="AT1165" i="14" a="1"/>
  <c r="AT1165" i="14" s="1"/>
  <c r="AT1155" i="14" a="1"/>
  <c r="AT1155" i="14" s="1"/>
  <c r="AT1146" i="14" a="1"/>
  <c r="AT1146" i="14" s="1"/>
  <c r="AT1136" i="14" a="1"/>
  <c r="AT1136" i="14" s="1"/>
  <c r="AT1127" i="14" a="1"/>
  <c r="AT1127" i="14" s="1"/>
  <c r="AT1117" i="14" a="1"/>
  <c r="AT1117" i="14" s="1"/>
  <c r="AT1109" i="14" a="1"/>
  <c r="AT1109" i="14" s="1"/>
  <c r="AT1099" i="14" a="1"/>
  <c r="AT1099" i="14" s="1"/>
  <c r="AT1090" i="14" a="1"/>
  <c r="AT1090" i="14" s="1"/>
  <c r="AT1072" i="14" a="1"/>
  <c r="AT1072" i="14" s="1"/>
  <c r="AT1053" i="14" a="1"/>
  <c r="AT1053" i="14" s="1"/>
  <c r="AT1044" i="14" a="1"/>
  <c r="AT1044" i="14" s="1"/>
  <c r="AT1035" i="14" a="1"/>
  <c r="AT1035" i="14" s="1"/>
  <c r="AT1026" i="14" a="1"/>
  <c r="AT1026" i="14" s="1"/>
  <c r="AT1015" i="14" a="1"/>
  <c r="AT1015" i="14" s="1"/>
  <c r="AT1006" i="14" a="1"/>
  <c r="AT1006" i="14" s="1"/>
  <c r="AT997" i="14" a="1"/>
  <c r="AT997" i="14" s="1"/>
  <c r="AT988" i="14" a="1"/>
  <c r="AT988" i="14" s="1"/>
  <c r="AT979" i="14" a="1"/>
  <c r="AT979" i="14" s="1"/>
  <c r="AT970" i="14" a="1"/>
  <c r="AT970" i="14" s="1"/>
  <c r="AT961" i="14" a="1"/>
  <c r="AT961" i="14" s="1"/>
  <c r="AT952" i="14" a="1"/>
  <c r="AT952" i="14" s="1"/>
  <c r="AT943" i="14" a="1"/>
  <c r="AT943" i="14" s="1"/>
  <c r="AT934" i="14" a="1"/>
  <c r="AT934" i="14" s="1"/>
  <c r="AT925" i="14" a="1"/>
  <c r="AT925" i="14" s="1"/>
  <c r="AT916" i="14" a="1"/>
  <c r="AT916" i="14" s="1"/>
  <c r="AT908" i="14" a="1"/>
  <c r="AT908" i="14" s="1"/>
  <c r="AT899" i="14" a="1"/>
  <c r="AT899" i="14" s="1"/>
  <c r="AT892" i="14" a="1"/>
  <c r="AT892" i="14" s="1"/>
  <c r="AT884" i="14" a="1"/>
  <c r="AT884" i="14" s="1"/>
  <c r="AT875" i="14" a="1"/>
  <c r="AT875" i="14" s="1"/>
  <c r="AT868" i="14" a="1"/>
  <c r="AT868" i="14" s="1"/>
  <c r="AT860" i="14" a="1"/>
  <c r="AT860" i="14" s="1"/>
  <c r="AT844" i="14" a="1"/>
  <c r="AT844" i="14" s="1"/>
  <c r="AT816" i="14" a="1"/>
  <c r="AT816" i="14" s="1"/>
  <c r="AT764" i="14" a="1"/>
  <c r="AT764" i="14" s="1"/>
  <c r="AT747" i="14" a="1"/>
  <c r="AT747" i="14" s="1"/>
  <c r="AT739" i="14" a="1"/>
  <c r="AT739" i="14" s="1"/>
  <c r="AT731" i="14" a="1"/>
  <c r="AT731" i="14" s="1"/>
  <c r="AT723" i="14" a="1"/>
  <c r="AT723" i="14" s="1"/>
  <c r="AT715" i="14" a="1"/>
  <c r="AT715" i="14" s="1"/>
  <c r="Y768" i="14"/>
  <c r="Y756" i="14"/>
  <c r="Y744" i="14"/>
  <c r="Y732" i="14"/>
  <c r="Y720" i="14"/>
  <c r="Y707" i="14"/>
  <c r="Y695" i="14"/>
  <c r="Y683" i="14"/>
  <c r="Y671" i="14"/>
  <c r="Y659" i="14"/>
  <c r="Y647" i="14"/>
  <c r="Y635" i="14"/>
  <c r="Y623" i="14"/>
  <c r="Y609" i="14"/>
  <c r="Y597" i="14"/>
  <c r="Y585" i="14"/>
  <c r="Y573" i="14"/>
  <c r="Y561" i="14"/>
  <c r="Y549" i="14"/>
  <c r="Y537" i="14"/>
  <c r="Y525" i="14"/>
  <c r="Y512" i="14"/>
  <c r="Y500" i="14"/>
  <c r="Y488" i="14"/>
  <c r="Y476" i="14"/>
  <c r="Y464" i="14"/>
  <c r="Y452" i="14"/>
  <c r="Y440" i="14"/>
  <c r="Y428" i="14"/>
  <c r="Y416" i="14"/>
  <c r="Y402" i="14"/>
  <c r="Y390" i="14"/>
  <c r="Y378" i="14"/>
  <c r="Y366" i="14"/>
  <c r="Y354" i="14"/>
  <c r="Y342" i="14"/>
  <c r="Y330" i="14"/>
  <c r="Y318" i="14"/>
  <c r="Y305" i="14"/>
  <c r="Y293" i="14"/>
  <c r="Y281" i="14"/>
  <c r="Y269" i="14"/>
  <c r="Y257" i="14"/>
  <c r="Y245" i="14"/>
  <c r="Y233" i="14"/>
  <c r="Y221" i="14"/>
  <c r="Y207" i="14"/>
  <c r="Y195" i="14"/>
  <c r="Y183" i="14"/>
  <c r="Y171" i="14"/>
  <c r="Y159" i="14"/>
  <c r="Y147" i="14"/>
  <c r="Y135" i="14"/>
  <c r="Y123" i="14"/>
  <c r="Y111" i="14"/>
  <c r="Y98" i="14"/>
  <c r="Y86" i="14"/>
  <c r="Y74" i="14"/>
  <c r="Y62" i="14"/>
  <c r="Y50" i="14"/>
  <c r="Y38" i="14"/>
  <c r="Y26" i="14"/>
  <c r="Y14" i="14"/>
  <c r="AT1615" i="14" a="1"/>
  <c r="AT1615" i="14" s="1"/>
  <c r="AT1605" i="14" a="1"/>
  <c r="AT1605" i="14" s="1"/>
  <c r="AT1593" i="14" a="1"/>
  <c r="AT1593" i="14" s="1"/>
  <c r="AT1581" i="14" a="1"/>
  <c r="AT1581" i="14" s="1"/>
  <c r="AT1569" i="14" a="1"/>
  <c r="AT1569" i="14" s="1"/>
  <c r="AT1557" i="14" a="1"/>
  <c r="AT1557" i="14" s="1"/>
  <c r="AT1545" i="14" a="1"/>
  <c r="AT1545" i="14" s="1"/>
  <c r="AT1533" i="14" a="1"/>
  <c r="AT1533" i="14" s="1"/>
  <c r="AT1521" i="14" a="1"/>
  <c r="AT1521" i="14" s="1"/>
  <c r="AT1509" i="14" a="1"/>
  <c r="AT1509" i="14" s="1"/>
  <c r="AT1497" i="14" a="1"/>
  <c r="AT1497" i="14" s="1"/>
  <c r="AT1485" i="14" a="1"/>
  <c r="AT1485" i="14" s="1"/>
  <c r="AT1475" i="14" a="1"/>
  <c r="AT1475" i="14" s="1"/>
  <c r="AT1463" i="14" a="1"/>
  <c r="AT1463" i="14" s="1"/>
  <c r="AT1452" i="14" a="1"/>
  <c r="AT1452" i="14" s="1"/>
  <c r="AT1442" i="14" a="1"/>
  <c r="AT1442" i="14" s="1"/>
  <c r="AT1428" i="14" a="1"/>
  <c r="AT1428" i="14" s="1"/>
  <c r="AT1416" i="14" a="1"/>
  <c r="AT1416" i="14" s="1"/>
  <c r="AT1405" i="14" a="1"/>
  <c r="AT1405" i="14" s="1"/>
  <c r="AT1394" i="14" a="1"/>
  <c r="AT1394" i="14" s="1"/>
  <c r="AT1383" i="14" a="1"/>
  <c r="AT1383" i="14" s="1"/>
  <c r="AT1372" i="14" a="1"/>
  <c r="AT1372" i="14" s="1"/>
  <c r="AT1361" i="14" a="1"/>
  <c r="AT1361" i="14" s="1"/>
  <c r="AT1349" i="14" a="1"/>
  <c r="AT1349" i="14" s="1"/>
  <c r="AT1337" i="14" a="1"/>
  <c r="AT1337" i="14" s="1"/>
  <c r="AT1327" i="14" a="1"/>
  <c r="AT1327" i="14" s="1"/>
  <c r="AT1315" i="14" a="1"/>
  <c r="AT1315" i="14" s="1"/>
  <c r="AT1305" i="14" a="1"/>
  <c r="AT1305" i="14" s="1"/>
  <c r="AT1294" i="14" a="1"/>
  <c r="AT1294" i="14" s="1"/>
  <c r="AT1282" i="14" a="1"/>
  <c r="AT1282" i="14" s="1"/>
  <c r="AT1270" i="14" a="1"/>
  <c r="AT1270" i="14" s="1"/>
  <c r="AT1259" i="14" a="1"/>
  <c r="AT1259" i="14" s="1"/>
  <c r="AT1248" i="14" a="1"/>
  <c r="AT1248" i="14" s="1"/>
  <c r="AT1237" i="14" a="1"/>
  <c r="AT1237" i="14" s="1"/>
  <c r="AT1225" i="14" a="1"/>
  <c r="AT1225" i="14" s="1"/>
  <c r="AT1214" i="14" a="1"/>
  <c r="AT1214" i="14" s="1"/>
  <c r="AT1204" i="14" a="1"/>
  <c r="AT1204" i="14" s="1"/>
  <c r="AT1193" i="14" a="1"/>
  <c r="AT1193" i="14" s="1"/>
  <c r="AT1183" i="14" a="1"/>
  <c r="AT1183" i="14" s="1"/>
  <c r="AT1174" i="14" a="1"/>
  <c r="AT1174" i="14" s="1"/>
  <c r="AT1164" i="14" a="1"/>
  <c r="AT1164" i="14" s="1"/>
  <c r="AT1154" i="14" a="1"/>
  <c r="AT1154" i="14" s="1"/>
  <c r="AT1145" i="14" a="1"/>
  <c r="AT1145" i="14" s="1"/>
  <c r="AT1135" i="14" a="1"/>
  <c r="AT1135" i="14" s="1"/>
  <c r="AT1126" i="14" a="1"/>
  <c r="AT1126" i="14" s="1"/>
  <c r="AT1116" i="14" a="1"/>
  <c r="AT1116" i="14" s="1"/>
  <c r="AT1108" i="14" a="1"/>
  <c r="AT1108" i="14" s="1"/>
  <c r="AT1089" i="14" a="1"/>
  <c r="AT1089" i="14" s="1"/>
  <c r="AT1080" i="14" a="1"/>
  <c r="AT1080" i="14" s="1"/>
  <c r="AT1071" i="14" a="1"/>
  <c r="AT1071" i="14" s="1"/>
  <c r="AT1062" i="14" a="1"/>
  <c r="AT1062" i="14" s="1"/>
  <c r="AT1052" i="14" a="1"/>
  <c r="AT1052" i="14" s="1"/>
  <c r="AT1034" i="14" a="1"/>
  <c r="AT1034" i="14" s="1"/>
  <c r="AT1014" i="14" a="1"/>
  <c r="AT1014" i="14" s="1"/>
  <c r="AT996" i="14" a="1"/>
  <c r="AT996" i="14" s="1"/>
  <c r="AT978" i="14" a="1"/>
  <c r="AT978" i="14" s="1"/>
  <c r="AT960" i="14" a="1"/>
  <c r="AT960" i="14" s="1"/>
  <c r="AT942" i="14" a="1"/>
  <c r="AT942" i="14" s="1"/>
  <c r="AT924" i="14" a="1"/>
  <c r="AT924" i="14" s="1"/>
  <c r="AT891" i="14" a="1"/>
  <c r="AT891" i="14" s="1"/>
  <c r="AT867" i="14" a="1"/>
  <c r="AT867" i="14" s="1"/>
  <c r="AT850" i="14" a="1"/>
  <c r="AT850" i="14" s="1"/>
  <c r="AT843" i="14" a="1"/>
  <c r="AT843" i="14" s="1"/>
  <c r="AT835" i="14" a="1"/>
  <c r="AT835" i="14" s="1"/>
  <c r="AT826" i="14" a="1"/>
  <c r="AT826" i="14" s="1"/>
  <c r="AT808" i="14" a="1"/>
  <c r="AT808" i="14" s="1"/>
  <c r="AT799" i="14" a="1"/>
  <c r="AT799" i="14" s="1"/>
  <c r="AT790" i="14" a="1"/>
  <c r="AT790" i="14" s="1"/>
  <c r="AT782" i="14" a="1"/>
  <c r="AT782" i="14" s="1"/>
  <c r="AT773" i="14" a="1"/>
  <c r="AT773" i="14" s="1"/>
  <c r="AT763" i="14" a="1"/>
  <c r="AT763" i="14" s="1"/>
  <c r="AT756" i="14" a="1"/>
  <c r="AT756" i="14" s="1"/>
  <c r="AT746" i="14" a="1"/>
  <c r="AT746" i="14" s="1"/>
  <c r="AT722" i="14" a="1"/>
  <c r="AT722" i="14" s="1"/>
  <c r="AT706" i="14" a="1"/>
  <c r="AT706" i="14" s="1"/>
  <c r="Y767" i="14"/>
  <c r="Y755" i="14"/>
  <c r="Y743" i="14"/>
  <c r="Y731" i="14"/>
  <c r="Y718" i="14"/>
  <c r="Y706" i="14"/>
  <c r="Y694" i="14"/>
  <c r="Y682" i="14"/>
  <c r="Y670" i="14"/>
  <c r="Y658" i="14"/>
  <c r="Y646" i="14"/>
  <c r="Y634" i="14"/>
  <c r="Y622" i="14"/>
  <c r="Y608" i="14"/>
  <c r="Y596" i="14"/>
  <c r="Y584" i="14"/>
  <c r="Y572" i="14"/>
  <c r="Y560" i="14"/>
  <c r="Y548" i="14"/>
  <c r="Y536" i="14"/>
  <c r="Y524" i="14"/>
  <c r="Y511" i="14"/>
  <c r="Y499" i="14"/>
  <c r="Y487" i="14"/>
  <c r="Y475" i="14"/>
  <c r="Y463" i="14"/>
  <c r="Y451" i="14"/>
  <c r="Y439" i="14"/>
  <c r="Y427" i="14"/>
  <c r="Y413" i="14"/>
  <c r="Y401" i="14"/>
  <c r="Y389" i="14"/>
  <c r="Y377" i="14"/>
  <c r="Y365" i="14"/>
  <c r="Y353" i="14"/>
  <c r="Y341" i="14"/>
  <c r="Y329" i="14"/>
  <c r="Y317" i="14"/>
  <c r="Y304" i="14"/>
  <c r="Y292" i="14"/>
  <c r="Y280" i="14"/>
  <c r="Y268" i="14"/>
  <c r="Y256" i="14"/>
  <c r="Y244" i="14"/>
  <c r="Y232" i="14"/>
  <c r="Y220" i="14"/>
  <c r="Y206" i="14"/>
  <c r="Y194" i="14"/>
  <c r="Y182" i="14"/>
  <c r="Y170" i="14"/>
  <c r="Y158" i="14"/>
  <c r="Y146" i="14"/>
  <c r="Y134" i="14"/>
  <c r="Y122" i="14"/>
  <c r="Y109" i="14"/>
  <c r="Y97" i="14"/>
  <c r="Y85" i="14"/>
  <c r="Y73" i="14"/>
  <c r="Y61" i="14"/>
  <c r="Y49" i="14"/>
  <c r="Y37" i="14"/>
  <c r="Y25" i="14"/>
  <c r="Y13" i="14"/>
  <c r="AT1625" i="14" a="1"/>
  <c r="AT1625" i="14" s="1"/>
  <c r="AT1614" i="14" a="1"/>
  <c r="AT1614" i="14" s="1"/>
  <c r="AT1604" i="14" a="1"/>
  <c r="AT1604" i="14" s="1"/>
  <c r="AT1592" i="14" a="1"/>
  <c r="AT1592" i="14" s="1"/>
  <c r="AT1580" i="14" a="1"/>
  <c r="AT1580" i="14" s="1"/>
  <c r="AT1568" i="14" a="1"/>
  <c r="AT1568" i="14" s="1"/>
  <c r="AT1556" i="14" a="1"/>
  <c r="AT1556" i="14" s="1"/>
  <c r="AT1544" i="14" a="1"/>
  <c r="AT1544" i="14" s="1"/>
  <c r="AT1532" i="14" a="1"/>
  <c r="AT1532" i="14" s="1"/>
  <c r="AT1520" i="14" a="1"/>
  <c r="AT1520" i="14" s="1"/>
  <c r="AT1508" i="14" a="1"/>
  <c r="AT1508" i="14" s="1"/>
  <c r="AT1496" i="14" a="1"/>
  <c r="AT1496" i="14" s="1"/>
  <c r="AT1484" i="14" a="1"/>
  <c r="AT1484" i="14" s="1"/>
  <c r="AT1474" i="14" a="1"/>
  <c r="AT1474" i="14" s="1"/>
  <c r="AT1462" i="14" a="1"/>
  <c r="AT1462" i="14" s="1"/>
  <c r="AT1441" i="14" a="1"/>
  <c r="AT1441" i="14" s="1"/>
  <c r="AT1427" i="14" a="1"/>
  <c r="AT1427" i="14" s="1"/>
  <c r="AT1415" i="14" a="1"/>
  <c r="AT1415" i="14" s="1"/>
  <c r="AT1404" i="14" a="1"/>
  <c r="AT1404" i="14" s="1"/>
  <c r="AT1393" i="14" a="1"/>
  <c r="AT1393" i="14" s="1"/>
  <c r="AT1382" i="14" a="1"/>
  <c r="AT1382" i="14" s="1"/>
  <c r="AT1360" i="14" a="1"/>
  <c r="AT1360" i="14" s="1"/>
  <c r="AT1348" i="14" a="1"/>
  <c r="AT1348" i="14" s="1"/>
  <c r="AT1336" i="14" a="1"/>
  <c r="AT1336" i="14" s="1"/>
  <c r="AT1326" i="14" a="1"/>
  <c r="AT1326" i="14" s="1"/>
  <c r="AT1314" i="14" a="1"/>
  <c r="AT1314" i="14" s="1"/>
  <c r="AT1304" i="14" a="1"/>
  <c r="AT1304" i="14" s="1"/>
  <c r="AT1293" i="14" a="1"/>
  <c r="AT1293" i="14" s="1"/>
  <c r="AT1281" i="14" a="1"/>
  <c r="AT1281" i="14" s="1"/>
  <c r="AT1269" i="14" a="1"/>
  <c r="AT1269" i="14" s="1"/>
  <c r="AT1258" i="14" a="1"/>
  <c r="AT1258" i="14" s="1"/>
  <c r="AT1247" i="14" a="1"/>
  <c r="AT1247" i="14" s="1"/>
  <c r="AT1236" i="14" a="1"/>
  <c r="AT1236" i="14" s="1"/>
  <c r="AT1224" i="14" a="1"/>
  <c r="AT1224" i="14" s="1"/>
  <c r="AT1213" i="14" a="1"/>
  <c r="AT1213" i="14" s="1"/>
  <c r="AT1203" i="14" a="1"/>
  <c r="AT1203" i="14" s="1"/>
  <c r="AT1192" i="14" a="1"/>
  <c r="AT1192" i="14" s="1"/>
  <c r="AT1182" i="14" a="1"/>
  <c r="AT1182" i="14" s="1"/>
  <c r="AT1173" i="14" a="1"/>
  <c r="AT1173" i="14" s="1"/>
  <c r="AT1144" i="14" a="1"/>
  <c r="AT1144" i="14" s="1"/>
  <c r="AT1134" i="14" a="1"/>
  <c r="AT1134" i="14" s="1"/>
  <c r="AT1125" i="14" a="1"/>
  <c r="AT1125" i="14" s="1"/>
  <c r="AT1107" i="14" a="1"/>
  <c r="AT1107" i="14" s="1"/>
  <c r="AT1098" i="14" a="1"/>
  <c r="AT1098" i="14" s="1"/>
  <c r="AT1088" i="14" a="1"/>
  <c r="AT1088" i="14" s="1"/>
  <c r="AT1070" i="14" a="1"/>
  <c r="AT1070" i="14" s="1"/>
  <c r="AT1051" i="14" a="1"/>
  <c r="AT1051" i="14" s="1"/>
  <c r="AT1043" i="14" a="1"/>
  <c r="AT1043" i="14" s="1"/>
  <c r="AT1033" i="14" a="1"/>
  <c r="AT1033" i="14" s="1"/>
  <c r="AT1025" i="14" a="1"/>
  <c r="AT1025" i="14" s="1"/>
  <c r="AT1013" i="14" a="1"/>
  <c r="AT1013" i="14" s="1"/>
  <c r="AT1005" i="14" a="1"/>
  <c r="AT1005" i="14" s="1"/>
  <c r="AT995" i="14" a="1"/>
  <c r="AT995" i="14" s="1"/>
  <c r="AT987" i="14" a="1"/>
  <c r="AT987" i="14" s="1"/>
  <c r="AT977" i="14" a="1"/>
  <c r="AT977" i="14" s="1"/>
  <c r="AT969" i="14" a="1"/>
  <c r="AT969" i="14" s="1"/>
  <c r="AT959" i="14" a="1"/>
  <c r="AT959" i="14" s="1"/>
  <c r="AT951" i="14" a="1"/>
  <c r="AT951" i="14" s="1"/>
  <c r="AT941" i="14" a="1"/>
  <c r="AT941" i="14" s="1"/>
  <c r="AT933" i="14" a="1"/>
  <c r="AT933" i="14" s="1"/>
  <c r="AT923" i="14" a="1"/>
  <c r="AT923" i="14" s="1"/>
  <c r="AT915" i="14" a="1"/>
  <c r="AT915" i="14" s="1"/>
  <c r="AT907" i="14" a="1"/>
  <c r="AT907" i="14" s="1"/>
  <c r="AT898" i="14" a="1"/>
  <c r="AT898" i="14" s="1"/>
  <c r="AT883" i="14" a="1"/>
  <c r="AT883" i="14" s="1"/>
  <c r="AT874" i="14" a="1"/>
  <c r="AT874" i="14" s="1"/>
  <c r="AT866" i="14" a="1"/>
  <c r="AT866" i="14" s="1"/>
  <c r="AT859" i="14" a="1"/>
  <c r="AT859" i="14" s="1"/>
  <c r="AT842" i="14" a="1"/>
  <c r="AT842" i="14" s="1"/>
  <c r="AT815" i="14" a="1"/>
  <c r="AT815" i="14" s="1"/>
  <c r="AT807" i="14" a="1"/>
  <c r="AT807" i="14" s="1"/>
  <c r="AT798" i="14" a="1"/>
  <c r="AT798" i="14" s="1"/>
  <c r="AT789" i="14" a="1"/>
  <c r="AT789" i="14" s="1"/>
  <c r="AT781" i="14" a="1"/>
  <c r="AT781" i="14" s="1"/>
  <c r="AT772" i="14" a="1"/>
  <c r="AT772" i="14" s="1"/>
  <c r="AT755" i="14" a="1"/>
  <c r="AT755" i="14" s="1"/>
  <c r="AT738" i="14" a="1"/>
  <c r="AT738" i="14" s="1"/>
  <c r="AT730" i="14" a="1"/>
  <c r="AT730" i="14" s="1"/>
  <c r="AT714" i="14" a="1"/>
  <c r="AT714" i="14" s="1"/>
  <c r="AT705" i="14" a="1"/>
  <c r="AT705" i="14" s="1"/>
  <c r="AT696" i="14" a="1"/>
  <c r="AT696" i="14" s="1"/>
  <c r="AT688" i="14" a="1"/>
  <c r="AT688" i="14" s="1"/>
  <c r="AT663" i="14" a="1"/>
  <c r="AT663" i="14" s="1"/>
  <c r="AT654" i="14" a="1"/>
  <c r="AT654" i="14" s="1"/>
  <c r="AT645" i="14" a="1"/>
  <c r="AT645" i="14" s="1"/>
  <c r="AT634" i="14" a="1"/>
  <c r="AT634" i="14" s="1"/>
  <c r="AT610" i="14" a="1"/>
  <c r="AT610" i="14" s="1"/>
  <c r="AT598" i="14" a="1"/>
  <c r="AT598" i="14" s="1"/>
  <c r="AT586" i="14" a="1"/>
  <c r="AT586" i="14" s="1"/>
  <c r="AT574" i="14" a="1"/>
  <c r="AT574" i="14" s="1"/>
  <c r="Y766" i="14"/>
  <c r="Y754" i="14"/>
  <c r="Y742" i="14"/>
  <c r="Y730" i="14"/>
  <c r="Y717" i="14"/>
  <c r="Y705" i="14"/>
  <c r="Y693" i="14"/>
  <c r="Y681" i="14"/>
  <c r="Y669" i="14"/>
  <c r="Y657" i="14"/>
  <c r="Y645" i="14"/>
  <c r="Y633" i="14"/>
  <c r="Y621" i="14"/>
  <c r="Y607" i="14"/>
  <c r="Y595" i="14"/>
  <c r="Y583" i="14"/>
  <c r="Y571" i="14"/>
  <c r="Y559" i="14"/>
  <c r="Y547" i="14"/>
  <c r="Y535" i="14"/>
  <c r="Y523" i="14"/>
  <c r="Y510" i="14"/>
  <c r="Y498" i="14"/>
  <c r="Y486" i="14"/>
  <c r="Y474" i="14"/>
  <c r="Y462" i="14"/>
  <c r="Y450" i="14"/>
  <c r="Y438" i="14"/>
  <c r="Y426" i="14"/>
  <c r="Y412" i="14"/>
  <c r="Y400" i="14"/>
  <c r="Y388" i="14"/>
  <c r="Y376" i="14"/>
  <c r="Y364" i="14"/>
  <c r="Y352" i="14"/>
  <c r="Y340" i="14"/>
  <c r="Y328" i="14"/>
  <c r="Y316" i="14"/>
  <c r="Y303" i="14"/>
  <c r="Y291" i="14"/>
  <c r="Y279" i="14"/>
  <c r="Y267" i="14"/>
  <c r="Y255" i="14"/>
  <c r="Y243" i="14"/>
  <c r="Y231" i="14"/>
  <c r="Y219" i="14"/>
  <c r="Y205" i="14"/>
  <c r="Y193" i="14"/>
  <c r="Y181" i="14"/>
  <c r="Y169" i="14"/>
  <c r="Y157" i="14"/>
  <c r="Y145" i="14"/>
  <c r="Y133" i="14"/>
  <c r="Y121" i="14"/>
  <c r="Y108" i="14"/>
  <c r="Y96" i="14"/>
  <c r="Y84" i="14"/>
  <c r="Y72" i="14"/>
  <c r="Y60" i="14"/>
  <c r="Y48" i="14"/>
  <c r="Y36" i="14"/>
  <c r="Y24" i="14"/>
  <c r="Y12" i="14"/>
  <c r="AT1624" i="14" a="1"/>
  <c r="AT1624" i="14" s="1"/>
  <c r="AT1603" i="14" a="1"/>
  <c r="AT1603" i="14" s="1"/>
  <c r="AT1591" i="14" a="1"/>
  <c r="AT1591" i="14" s="1"/>
  <c r="AT1579" i="14" a="1"/>
  <c r="AT1579" i="14" s="1"/>
  <c r="AT1567" i="14" a="1"/>
  <c r="AT1567" i="14" s="1"/>
  <c r="AT1555" i="14" a="1"/>
  <c r="AT1555" i="14" s="1"/>
  <c r="AT1543" i="14" a="1"/>
  <c r="AT1543" i="14" s="1"/>
  <c r="AT1531" i="14" a="1"/>
  <c r="AT1531" i="14" s="1"/>
  <c r="AT1519" i="14" a="1"/>
  <c r="AT1519" i="14" s="1"/>
  <c r="AT1507" i="14" a="1"/>
  <c r="AT1507" i="14" s="1"/>
  <c r="AT1495" i="14" a="1"/>
  <c r="AT1495" i="14" s="1"/>
  <c r="AT1483" i="14" a="1"/>
  <c r="AT1483" i="14" s="1"/>
  <c r="AT1473" i="14" a="1"/>
  <c r="AT1473" i="14" s="1"/>
  <c r="AT1461" i="14" a="1"/>
  <c r="AT1461" i="14" s="1"/>
  <c r="AT1451" i="14" a="1"/>
  <c r="AT1451" i="14" s="1"/>
  <c r="AT1440" i="14" a="1"/>
  <c r="AT1440" i="14" s="1"/>
  <c r="AT1426" i="14" a="1"/>
  <c r="AT1426" i="14" s="1"/>
  <c r="AT1414" i="14" a="1"/>
  <c r="AT1414" i="14" s="1"/>
  <c r="AT1403" i="14" a="1"/>
  <c r="AT1403" i="14" s="1"/>
  <c r="AT1392" i="14" a="1"/>
  <c r="AT1392" i="14" s="1"/>
  <c r="AT1381" i="14" a="1"/>
  <c r="AT1381" i="14" s="1"/>
  <c r="AT1371" i="14" a="1"/>
  <c r="AT1371" i="14" s="1"/>
  <c r="AT1359" i="14" a="1"/>
  <c r="AT1359" i="14" s="1"/>
  <c r="AT1347" i="14" a="1"/>
  <c r="AT1347" i="14" s="1"/>
  <c r="AT1325" i="14" a="1"/>
  <c r="AT1325" i="14" s="1"/>
  <c r="AT1313" i="14" a="1"/>
  <c r="AT1313" i="14" s="1"/>
  <c r="AT1303" i="14" a="1"/>
  <c r="AT1303" i="14" s="1"/>
  <c r="AT1292" i="14" a="1"/>
  <c r="AT1292" i="14" s="1"/>
  <c r="AT1280" i="14" a="1"/>
  <c r="AT1280" i="14" s="1"/>
  <c r="AT1268" i="14" a="1"/>
  <c r="AT1268" i="14" s="1"/>
  <c r="AT1246" i="14" a="1"/>
  <c r="AT1246" i="14" s="1"/>
  <c r="AT1235" i="14" a="1"/>
  <c r="AT1235" i="14" s="1"/>
  <c r="AT1223" i="14" a="1"/>
  <c r="AT1223" i="14" s="1"/>
  <c r="AT1202" i="14" a="1"/>
  <c r="AT1202" i="14" s="1"/>
  <c r="AT1191" i="14" a="1"/>
  <c r="AT1191" i="14" s="1"/>
  <c r="AT1172" i="14" a="1"/>
  <c r="AT1172" i="14" s="1"/>
  <c r="AT1163" i="14" a="1"/>
  <c r="AT1163" i="14" s="1"/>
  <c r="AT1153" i="14" a="1"/>
  <c r="AT1153" i="14" s="1"/>
  <c r="AT1143" i="14" a="1"/>
  <c r="AT1143" i="14" s="1"/>
  <c r="AT1124" i="14" a="1"/>
  <c r="AT1124" i="14" s="1"/>
  <c r="AT1115" i="14" a="1"/>
  <c r="AT1115" i="14" s="1"/>
  <c r="AT1106" i="14" a="1"/>
  <c r="AT1106" i="14" s="1"/>
  <c r="AT1087" i="14" a="1"/>
  <c r="AT1087" i="14" s="1"/>
  <c r="AT1079" i="14" a="1"/>
  <c r="AT1079" i="14" s="1"/>
  <c r="AT1069" i="14" a="1"/>
  <c r="AT1069" i="14" s="1"/>
  <c r="AT1061" i="14" a="1"/>
  <c r="AT1061" i="14" s="1"/>
  <c r="AT1042" i="14" a="1"/>
  <c r="AT1042" i="14" s="1"/>
  <c r="AT1022" i="14" a="1"/>
  <c r="AT1022" i="14" s="1"/>
  <c r="AT1004" i="14" a="1"/>
  <c r="AT1004" i="14" s="1"/>
  <c r="Y765" i="14"/>
  <c r="Y753" i="14"/>
  <c r="Y741" i="14"/>
  <c r="Y729" i="14"/>
  <c r="Y716" i="14"/>
  <c r="Y704" i="14"/>
  <c r="Y692" i="14"/>
  <c r="Y680" i="14"/>
  <c r="Y668" i="14"/>
  <c r="Y656" i="14"/>
  <c r="Y644" i="14"/>
  <c r="Y632" i="14"/>
  <c r="Y620" i="14"/>
  <c r="Y606" i="14"/>
  <c r="Y594" i="14"/>
  <c r="Y582" i="14"/>
  <c r="Y570" i="14"/>
  <c r="Y558" i="14"/>
  <c r="Y546" i="14"/>
  <c r="Y534" i="14"/>
  <c r="Y522" i="14"/>
  <c r="Y509" i="14"/>
  <c r="Y497" i="14"/>
  <c r="Y485" i="14"/>
  <c r="Y473" i="14"/>
  <c r="Y461" i="14"/>
  <c r="Y449" i="14"/>
  <c r="Y437" i="14"/>
  <c r="Y425" i="14"/>
  <c r="Y411" i="14"/>
  <c r="Y399" i="14"/>
  <c r="Y387" i="14"/>
  <c r="Y375" i="14"/>
  <c r="Y363" i="14"/>
  <c r="Y351" i="14"/>
  <c r="Y339" i="14"/>
  <c r="Y327" i="14"/>
  <c r="Y315" i="14"/>
  <c r="Y302" i="14"/>
  <c r="Y290" i="14"/>
  <c r="Y278" i="14"/>
  <c r="Y266" i="14"/>
  <c r="Y254" i="14"/>
  <c r="Y242" i="14"/>
  <c r="Y230" i="14"/>
  <c r="Y218" i="14"/>
  <c r="Y204" i="14"/>
  <c r="Y192" i="14"/>
  <c r="Y180" i="14"/>
  <c r="Y168" i="14"/>
  <c r="Y156" i="14"/>
  <c r="Y144" i="14"/>
  <c r="Y132" i="14"/>
  <c r="Y120" i="14"/>
  <c r="Y107" i="14"/>
  <c r="Y95" i="14"/>
  <c r="Y83" i="14"/>
  <c r="Y71" i="14"/>
  <c r="Y59" i="14"/>
  <c r="Y47" i="14"/>
  <c r="Y35" i="14"/>
  <c r="Y23" i="14"/>
  <c r="Y11" i="14"/>
  <c r="AT1623" i="14" a="1"/>
  <c r="AT1623" i="14" s="1"/>
  <c r="AT1613" i="14" a="1"/>
  <c r="AT1613" i="14" s="1"/>
  <c r="AT1602" i="14" a="1"/>
  <c r="AT1602" i="14" s="1"/>
  <c r="AT1590" i="14" a="1"/>
  <c r="AT1590" i="14" s="1"/>
  <c r="AT1578" i="14" a="1"/>
  <c r="AT1578" i="14" s="1"/>
  <c r="AT1566" i="14" a="1"/>
  <c r="AT1566" i="14" s="1"/>
  <c r="AT1554" i="14" a="1"/>
  <c r="AT1554" i="14" s="1"/>
  <c r="AT1542" i="14" a="1"/>
  <c r="AT1542" i="14" s="1"/>
  <c r="AT1530" i="14" a="1"/>
  <c r="AT1530" i="14" s="1"/>
  <c r="AT1518" i="14" a="1"/>
  <c r="AT1518" i="14" s="1"/>
  <c r="AT1506" i="14" a="1"/>
  <c r="AT1506" i="14" s="1"/>
  <c r="AT1494" i="14" a="1"/>
  <c r="AT1494" i="14" s="1"/>
  <c r="AT1482" i="14" a="1"/>
  <c r="AT1482" i="14" s="1"/>
  <c r="AT1472" i="14" a="1"/>
  <c r="AT1472" i="14" s="1"/>
  <c r="AT1460" i="14" a="1"/>
  <c r="AT1460" i="14" s="1"/>
  <c r="AT1450" i="14" a="1"/>
  <c r="AT1450" i="14" s="1"/>
  <c r="AT1439" i="14" a="1"/>
  <c r="AT1439" i="14" s="1"/>
  <c r="AT1425" i="14" a="1"/>
  <c r="AT1425" i="14" s="1"/>
  <c r="AT1413" i="14" a="1"/>
  <c r="AT1413" i="14" s="1"/>
  <c r="AT1402" i="14" a="1"/>
  <c r="AT1402" i="14" s="1"/>
  <c r="AT1391" i="14" a="1"/>
  <c r="AT1391" i="14" s="1"/>
  <c r="AT1380" i="14" a="1"/>
  <c r="AT1380" i="14" s="1"/>
  <c r="AT1370" i="14" a="1"/>
  <c r="AT1370" i="14" s="1"/>
  <c r="AT1358" i="14" a="1"/>
  <c r="AT1358" i="14" s="1"/>
  <c r="AT1346" i="14" a="1"/>
  <c r="AT1346" i="14" s="1"/>
  <c r="AT1335" i="14" a="1"/>
  <c r="AT1335" i="14" s="1"/>
  <c r="AT1324" i="14" a="1"/>
  <c r="AT1324" i="14" s="1"/>
  <c r="AT1312" i="14" a="1"/>
  <c r="AT1312" i="14" s="1"/>
  <c r="AT1302" i="14" a="1"/>
  <c r="AT1302" i="14" s="1"/>
  <c r="AT1291" i="14" a="1"/>
  <c r="AT1291" i="14" s="1"/>
  <c r="AT1279" i="14" a="1"/>
  <c r="AT1279" i="14" s="1"/>
  <c r="AT1267" i="14" a="1"/>
  <c r="AT1267" i="14" s="1"/>
  <c r="AT1257" i="14" a="1"/>
  <c r="AT1257" i="14" s="1"/>
  <c r="AT1245" i="14" a="1"/>
  <c r="AT1245" i="14" s="1"/>
  <c r="AT1234" i="14" a="1"/>
  <c r="AT1234" i="14" s="1"/>
  <c r="AT1222" i="14" a="1"/>
  <c r="AT1222" i="14" s="1"/>
  <c r="AT1212" i="14" a="1"/>
  <c r="AT1212" i="14" s="1"/>
  <c r="AT1201" i="14" a="1"/>
  <c r="AT1201" i="14" s="1"/>
  <c r="AT1190" i="14" a="1"/>
  <c r="AT1190" i="14" s="1"/>
  <c r="AT1181" i="14" a="1"/>
  <c r="AT1181" i="14" s="1"/>
  <c r="AT1171" i="14" a="1"/>
  <c r="AT1171" i="14" s="1"/>
  <c r="AT1162" i="14" a="1"/>
  <c r="AT1162" i="14" s="1"/>
  <c r="AT1152" i="14" a="1"/>
  <c r="AT1152" i="14" s="1"/>
  <c r="AT1142" i="14" a="1"/>
  <c r="AT1142" i="14" s="1"/>
  <c r="AT1133" i="14" a="1"/>
  <c r="AT1133" i="14" s="1"/>
  <c r="AT1123" i="14" a="1"/>
  <c r="AT1123" i="14" s="1"/>
  <c r="AT1114" i="14" a="1"/>
  <c r="AT1114" i="14" s="1"/>
  <c r="AT1105" i="14" a="1"/>
  <c r="AT1105" i="14" s="1"/>
  <c r="AT1097" i="14" a="1"/>
  <c r="AT1097" i="14" s="1"/>
  <c r="AT1078" i="14" a="1"/>
  <c r="AT1078" i="14" s="1"/>
  <c r="AT1060" i="14" a="1"/>
  <c r="AT1060" i="14" s="1"/>
  <c r="AT1050" i="14" a="1"/>
  <c r="AT1050" i="14" s="1"/>
  <c r="AT1041" i="14" a="1"/>
  <c r="AT1041" i="14" s="1"/>
  <c r="AT1032" i="14" a="1"/>
  <c r="AT1032" i="14" s="1"/>
  <c r="AT1021" i="14" a="1"/>
  <c r="AT1021" i="14" s="1"/>
  <c r="AT1012" i="14" a="1"/>
  <c r="AT1012" i="14" s="1"/>
  <c r="AT1003" i="14" a="1"/>
  <c r="AT1003" i="14" s="1"/>
  <c r="AT994" i="14" a="1"/>
  <c r="AT994" i="14" s="1"/>
  <c r="AT985" i="14" a="1"/>
  <c r="AT985" i="14" s="1"/>
  <c r="AT976" i="14" a="1"/>
  <c r="AT976" i="14" s="1"/>
  <c r="AT967" i="14" a="1"/>
  <c r="AT967" i="14" s="1"/>
  <c r="AT958" i="14" a="1"/>
  <c r="AT958" i="14" s="1"/>
  <c r="AT949" i="14" a="1"/>
  <c r="AT949" i="14" s="1"/>
  <c r="AT940" i="14" a="1"/>
  <c r="AT940" i="14" s="1"/>
  <c r="AT931" i="14" a="1"/>
  <c r="AT931" i="14" s="1"/>
  <c r="AT922" i="14" a="1"/>
  <c r="AT922" i="14" s="1"/>
  <c r="AT913" i="14" a="1"/>
  <c r="AT913" i="14" s="1"/>
  <c r="AT906" i="14" a="1"/>
  <c r="AT906" i="14" s="1"/>
  <c r="AT897" i="14" a="1"/>
  <c r="AT897" i="14" s="1"/>
  <c r="AT889" i="14" a="1"/>
  <c r="AT889" i="14" s="1"/>
  <c r="AT882" i="14" a="1"/>
  <c r="AT882" i="14" s="1"/>
  <c r="AT873" i="14" a="1"/>
  <c r="AT873" i="14" s="1"/>
  <c r="AT858" i="14" a="1"/>
  <c r="AT858" i="14" s="1"/>
  <c r="AT840" i="14" a="1"/>
  <c r="AT840" i="14" s="1"/>
  <c r="AT833" i="14" a="1"/>
  <c r="AT833" i="14" s="1"/>
  <c r="AT824" i="14" a="1"/>
  <c r="AT824" i="14" s="1"/>
  <c r="AT813" i="14" a="1"/>
  <c r="AT813" i="14" s="1"/>
  <c r="AT805" i="14" a="1"/>
  <c r="AT805" i="14" s="1"/>
  <c r="AT797" i="14" a="1"/>
  <c r="AT797" i="14" s="1"/>
  <c r="AT788" i="14" a="1"/>
  <c r="AT788" i="14" s="1"/>
  <c r="AT208" i="14" a="1"/>
  <c r="AT208" i="14" s="1"/>
  <c r="AT200" i="14" a="1"/>
  <c r="AT200" i="14" s="1"/>
  <c r="AT184" i="14" a="1"/>
  <c r="AT184" i="14" s="1"/>
  <c r="AT176" i="14" a="1"/>
  <c r="AT176" i="14" s="1"/>
  <c r="AT160" i="14" a="1"/>
  <c r="AT160" i="14" s="1"/>
  <c r="AT152" i="14" a="1"/>
  <c r="AT152" i="14" s="1"/>
  <c r="AT136" i="14" a="1"/>
  <c r="AT136" i="14" s="1"/>
  <c r="AT128" i="14" a="1"/>
  <c r="AT128" i="14" s="1"/>
  <c r="AT112" i="14" a="1"/>
  <c r="AT112" i="14" s="1"/>
  <c r="AT104" i="14" a="1"/>
  <c r="AT104" i="14" s="1"/>
  <c r="AT88" i="14" a="1"/>
  <c r="AT88" i="14" s="1"/>
  <c r="AT80" i="14" a="1"/>
  <c r="AT80" i="14" s="1"/>
  <c r="AT64" i="14" a="1"/>
  <c r="AT64" i="14" s="1"/>
  <c r="AT56" i="14" a="1"/>
  <c r="AT56" i="14" s="1"/>
  <c r="AT40" i="14" a="1"/>
  <c r="AT40" i="14" s="1"/>
  <c r="AT32" i="14" a="1"/>
  <c r="AT32" i="14" s="1"/>
  <c r="AT16" i="14" a="1"/>
  <c r="AT16" i="14" s="1"/>
  <c r="AT215" i="14" a="1"/>
  <c r="AT215" i="14" s="1"/>
  <c r="AT223" i="14" a="1"/>
  <c r="AT223" i="14" s="1"/>
  <c r="AT231" i="14" a="1"/>
  <c r="AT231" i="14" s="1"/>
  <c r="AT241" i="14" a="1"/>
  <c r="AT241" i="14" s="1"/>
  <c r="AT250" i="14" a="1"/>
  <c r="AT250" i="14" s="1"/>
  <c r="AT258" i="14" a="1"/>
  <c r="AT258" i="14" s="1"/>
  <c r="AT267" i="14" a="1"/>
  <c r="AT267" i="14" s="1"/>
  <c r="AT286" i="14" a="1"/>
  <c r="AT286" i="14" s="1"/>
  <c r="AT294" i="14" a="1"/>
  <c r="AT294" i="14" s="1"/>
  <c r="AT321" i="14" a="1"/>
  <c r="AT321" i="14" s="1"/>
  <c r="AT331" i="14" a="1"/>
  <c r="AT331" i="14" s="1"/>
  <c r="AT341" i="14" a="1"/>
  <c r="AT341" i="14" s="1"/>
  <c r="AT352" i="14" a="1"/>
  <c r="AT352" i="14" s="1"/>
  <c r="AT363" i="14" a="1"/>
  <c r="AT363" i="14" s="1"/>
  <c r="AT373" i="14" a="1"/>
  <c r="AT373" i="14" s="1"/>
  <c r="AT384" i="14" a="1"/>
  <c r="AT384" i="14" s="1"/>
  <c r="AT394" i="14" a="1"/>
  <c r="AT394" i="14" s="1"/>
  <c r="AT405" i="14" a="1"/>
  <c r="AT405" i="14" s="1"/>
  <c r="AT417" i="14" a="1"/>
  <c r="AT417" i="14" s="1"/>
  <c r="AT428" i="14" a="1"/>
  <c r="AT428" i="14" s="1"/>
  <c r="AT438" i="14" a="1"/>
  <c r="AT438" i="14" s="1"/>
  <c r="AT449" i="14" a="1"/>
  <c r="AT449" i="14" s="1"/>
  <c r="AT460" i="14" a="1"/>
  <c r="AT460" i="14" s="1"/>
  <c r="AT470" i="14" a="1"/>
  <c r="AT470" i="14" s="1"/>
  <c r="AT481" i="14" a="1"/>
  <c r="AT481" i="14" s="1"/>
  <c r="AT492" i="14" a="1"/>
  <c r="AT492" i="14" s="1"/>
  <c r="AT503" i="14" a="1"/>
  <c r="AT503" i="14" s="1"/>
  <c r="AT514" i="14" a="1"/>
  <c r="AT514" i="14" s="1"/>
  <c r="AT524" i="14" a="1"/>
  <c r="AT524" i="14" s="1"/>
  <c r="AT535" i="14" a="1"/>
  <c r="AT535" i="14" s="1"/>
  <c r="AT546" i="14" a="1"/>
  <c r="AT546" i="14" s="1"/>
  <c r="AT557" i="14" a="1"/>
  <c r="AT557" i="14" s="1"/>
  <c r="AT567" i="14" a="1"/>
  <c r="AT567" i="14" s="1"/>
  <c r="AT581" i="14" a="1"/>
  <c r="AT581" i="14" s="1"/>
  <c r="AT597" i="14" a="1"/>
  <c r="AT597" i="14" s="1"/>
  <c r="AT619" i="14" a="1"/>
  <c r="AT619" i="14" s="1"/>
  <c r="AT633" i="14" a="1"/>
  <c r="AT633" i="14" s="1"/>
  <c r="AT650" i="14" a="1"/>
  <c r="AT650" i="14" s="1"/>
  <c r="AT662" i="14" a="1"/>
  <c r="AT662" i="14" s="1"/>
  <c r="AT687" i="14" a="1"/>
  <c r="AT687" i="14" s="1"/>
  <c r="AT719" i="14" a="1"/>
  <c r="AT719" i="14" s="1"/>
  <c r="AT759" i="14" a="1"/>
  <c r="AT759" i="14" s="1"/>
  <c r="AT856" i="14" a="1"/>
  <c r="AT856" i="14" s="1"/>
  <c r="AT880" i="14" a="1"/>
  <c r="AT880" i="14" s="1"/>
  <c r="AT904" i="14" a="1"/>
  <c r="AT904" i="14" s="1"/>
  <c r="AT929" i="14" a="1"/>
  <c r="AT929" i="14" s="1"/>
  <c r="AT957" i="14" a="1"/>
  <c r="AT957" i="14" s="1"/>
  <c r="AT983" i="14" a="1"/>
  <c r="AT983" i="14" s="1"/>
  <c r="AT1086" i="14" a="1"/>
  <c r="AT1086" i="14" s="1"/>
  <c r="AT1161" i="14" a="1"/>
  <c r="AT1161" i="14" s="1"/>
  <c r="AT1200" i="14" a="1"/>
  <c r="AT1200" i="14" s="1"/>
  <c r="AT1244" i="14" a="1"/>
  <c r="AT1244" i="14" s="1"/>
  <c r="AT1290" i="14" a="1"/>
  <c r="AT1290" i="14" s="1"/>
  <c r="AT1334" i="14" a="1"/>
  <c r="AT1334" i="14" s="1"/>
  <c r="AT1379" i="14" a="1"/>
  <c r="AT1379" i="14" s="1"/>
  <c r="AT1424" i="14" a="1"/>
  <c r="AT1424" i="14" s="1"/>
  <c r="AT1471" i="14" a="1"/>
  <c r="AT1471" i="14" s="1"/>
  <c r="AT1517" i="14" a="1"/>
  <c r="AT1517" i="14" s="1"/>
  <c r="AT1565" i="14" a="1"/>
  <c r="AT1565" i="14" s="1"/>
  <c r="AT1612" i="14" a="1"/>
  <c r="AT1612" i="14" s="1"/>
  <c r="Y34" i="14"/>
  <c r="Y82" i="14"/>
  <c r="Y131" i="14"/>
  <c r="Y179" i="14"/>
  <c r="Y229" i="14"/>
  <c r="Y277" i="14"/>
  <c r="Y326" i="14"/>
  <c r="Y374" i="14"/>
  <c r="Y424" i="14"/>
  <c r="Y472" i="14"/>
  <c r="Y521" i="14"/>
  <c r="Y569" i="14"/>
  <c r="Y619" i="14"/>
  <c r="Y667" i="14"/>
  <c r="Y715" i="14"/>
  <c r="Y764" i="14"/>
  <c r="AE3" i="14"/>
  <c r="AD3" i="14"/>
  <c r="AC3" i="14"/>
  <c r="AB3" i="14"/>
  <c r="AE4" i="14"/>
  <c r="AD4" i="14"/>
  <c r="AC4" i="14"/>
  <c r="AB4" i="14"/>
  <c r="AA4" i="14"/>
  <c r="AA1" i="14" s="1" a="1"/>
  <c r="AA1" i="14" s="1"/>
  <c r="Z4" i="14"/>
  <c r="Z1" i="14" s="1" a="1"/>
  <c r="Z1" i="14" s="1"/>
  <c r="Y4" i="14"/>
  <c r="Y1" i="14" s="1" a="1"/>
  <c r="Y1" i="14" s="1"/>
  <c r="X4" i="14"/>
  <c r="X1" i="14" s="1" a="1"/>
  <c r="X1" i="14" s="1"/>
  <c r="Q1" i="7"/>
  <c r="A4" i="14"/>
  <c r="AD1" i="14" l="1" a="1"/>
  <c r="AD1" i="14" s="1"/>
  <c r="AE1" i="14" a="1"/>
  <c r="AE1" i="14" s="1"/>
  <c r="AC1" i="14" a="1"/>
  <c r="AC1" i="14" s="1"/>
  <c r="AB1" i="14" a="1"/>
  <c r="AB1" i="14" s="1"/>
  <c r="N1" i="14"/>
  <c r="D1" i="7"/>
  <c r="M308" i="14"/>
  <c r="M392" i="14"/>
  <c r="M311" i="14"/>
  <c r="M380" i="14"/>
  <c r="M272" i="14"/>
  <c r="M364" i="14"/>
  <c r="M371" i="14"/>
  <c r="M398" i="14"/>
  <c r="M234" i="14"/>
  <c r="M315" i="14"/>
  <c r="M244" i="14"/>
  <c r="M388" i="14"/>
  <c r="M307" i="14"/>
  <c r="M269" i="14"/>
  <c r="M261" i="14"/>
  <c r="M337" i="14"/>
  <c r="M367" i="14"/>
  <c r="M325" i="14"/>
  <c r="M226" i="14"/>
  <c r="M342" i="14"/>
  <c r="M240" i="14"/>
  <c r="M365" i="14"/>
  <c r="M285" i="14"/>
  <c r="M220" i="14"/>
  <c r="M242" i="14"/>
  <c r="M288" i="14"/>
  <c r="M340" i="14"/>
  <c r="M230" i="14"/>
  <c r="M399" i="14"/>
  <c r="M284" i="14"/>
  <c r="M413" i="14"/>
  <c r="M236" i="14"/>
  <c r="M266" i="14"/>
  <c r="M258" i="14"/>
  <c r="M383" i="14"/>
  <c r="M227" i="14"/>
  <c r="M265" i="14"/>
  <c r="M329" i="14"/>
  <c r="M363" i="14"/>
  <c r="M406" i="14"/>
  <c r="M355" i="14"/>
  <c r="M225" i="14"/>
  <c r="M246" i="14"/>
  <c r="M247" i="14"/>
  <c r="M360" i="14"/>
  <c r="M359" i="14"/>
  <c r="M254" i="14"/>
  <c r="M306" i="14"/>
  <c r="M336" i="14"/>
  <c r="M395" i="14"/>
  <c r="M319" i="14"/>
  <c r="M379" i="14"/>
  <c r="M401" i="14"/>
  <c r="M280" i="14"/>
  <c r="M387" i="14"/>
  <c r="M214" i="14"/>
  <c r="M411" i="14"/>
  <c r="M243" i="14"/>
  <c r="M352" i="14"/>
  <c r="M321" i="14"/>
  <c r="M231" i="14"/>
  <c r="M291" i="14"/>
  <c r="M287" i="14"/>
  <c r="M402" i="14"/>
  <c r="M356" i="14"/>
  <c r="M391" i="14"/>
  <c r="P2" i="14"/>
  <c r="AV366" i="14" s="1"/>
  <c r="M294" i="14"/>
  <c r="M384" i="14"/>
  <c r="M239" i="14"/>
  <c r="M348" i="14"/>
  <c r="M279" i="14"/>
  <c r="M216" i="14"/>
  <c r="M268" i="14"/>
  <c r="M264" i="14"/>
  <c r="P3" i="14"/>
  <c r="A215" i="14" s="1"/>
  <c r="M323" i="14"/>
  <c r="M381" i="14"/>
  <c r="M334" i="14"/>
  <c r="M224" i="14"/>
  <c r="M344" i="14"/>
  <c r="M237" i="14"/>
  <c r="M410" i="14"/>
  <c r="M257" i="14"/>
  <c r="M249" i="14"/>
  <c r="M219" i="14"/>
  <c r="M396" i="14"/>
  <c r="M377" i="14"/>
  <c r="M330" i="14"/>
  <c r="M238" i="14"/>
  <c r="M314" i="14"/>
  <c r="M295" i="14"/>
  <c r="M313" i="14"/>
  <c r="M375" i="14"/>
  <c r="M404" i="14"/>
  <c r="M408" i="14"/>
  <c r="M412" i="14"/>
  <c r="M309" i="14"/>
  <c r="M252" i="14"/>
  <c r="M267" i="14"/>
  <c r="M290" i="14"/>
  <c r="M324" i="14"/>
  <c r="M368" i="14"/>
  <c r="M251" i="14"/>
  <c r="M353" i="14"/>
  <c r="M293" i="14"/>
  <c r="M297" i="14"/>
  <c r="M241" i="14"/>
  <c r="M260" i="14"/>
  <c r="M245" i="14"/>
  <c r="M262" i="14"/>
  <c r="M403" i="14"/>
  <c r="M369" i="14"/>
  <c r="M312" i="14"/>
  <c r="M283" i="14"/>
  <c r="M271" i="14"/>
  <c r="M273" i="14"/>
  <c r="M407" i="14"/>
  <c r="M373" i="14"/>
  <c r="M320" i="14"/>
  <c r="M317" i="14"/>
  <c r="M316" i="14"/>
  <c r="M222" i="14"/>
  <c r="M301" i="14"/>
  <c r="M298" i="14"/>
  <c r="M250" i="14"/>
  <c r="M221" i="14"/>
  <c r="M400" i="14"/>
  <c r="M248" i="14"/>
  <c r="M331" i="14"/>
  <c r="M343" i="14"/>
  <c r="M339" i="14"/>
  <c r="M332" i="14"/>
  <c r="M276" i="14"/>
  <c r="M232" i="14"/>
  <c r="M275" i="14"/>
  <c r="M259" i="14"/>
  <c r="M335" i="14"/>
  <c r="M405" i="14"/>
  <c r="M366" i="14"/>
  <c r="M351" i="14"/>
  <c r="M299" i="14"/>
  <c r="M292" i="14"/>
  <c r="P6" i="14"/>
  <c r="M277" i="14"/>
  <c r="M345" i="14"/>
  <c r="M318" i="14"/>
  <c r="M255" i="14"/>
  <c r="M347" i="14"/>
  <c r="M263" i="14"/>
  <c r="M346" i="14"/>
  <c r="M386" i="14"/>
  <c r="M385" i="14"/>
  <c r="M390" i="14"/>
  <c r="M310" i="14"/>
  <c r="M341" i="14"/>
  <c r="M213" i="14"/>
  <c r="M281" i="14"/>
  <c r="M349" i="14"/>
  <c r="M217" i="14"/>
  <c r="M270" i="14"/>
  <c r="M253" i="14"/>
  <c r="M274" i="14"/>
  <c r="M350" i="14"/>
  <c r="M223" i="14"/>
  <c r="M389" i="14"/>
  <c r="M233" i="14"/>
  <c r="M302" i="14"/>
  <c r="M278" i="14"/>
  <c r="M354" i="14"/>
  <c r="P5" i="14"/>
  <c r="P4" i="14" s="1"/>
  <c r="M393" i="14"/>
  <c r="M256" i="14"/>
  <c r="M303" i="14"/>
  <c r="M382" i="14"/>
  <c r="M322" i="14"/>
  <c r="M372" i="14"/>
  <c r="M228" i="14"/>
  <c r="M296" i="14"/>
  <c r="M357" i="14"/>
  <c r="M289" i="14"/>
  <c r="M304" i="14"/>
  <c r="M394" i="14"/>
  <c r="M282" i="14"/>
  <c r="M358" i="14"/>
  <c r="M218" i="14"/>
  <c r="M397" i="14"/>
  <c r="M305" i="14"/>
  <c r="M326" i="14"/>
  <c r="M409" i="14"/>
  <c r="M333" i="14"/>
  <c r="M376" i="14"/>
  <c r="M235" i="14"/>
  <c r="M300" i="14"/>
  <c r="M361" i="14"/>
  <c r="M338" i="14"/>
  <c r="M327" i="14"/>
  <c r="M286" i="14"/>
  <c r="M362" i="14"/>
  <c r="M229" i="14"/>
  <c r="M215" i="14"/>
  <c r="M328" i="14"/>
  <c r="M370" i="14"/>
  <c r="M374" i="14"/>
  <c r="M378" i="14"/>
  <c r="A297" i="14" l="1"/>
  <c r="A349" i="14"/>
  <c r="A377" i="14"/>
  <c r="A314" i="14"/>
  <c r="A231" i="14"/>
  <c r="A398" i="14"/>
  <c r="A219" i="14"/>
  <c r="A390" i="14"/>
  <c r="A340" i="14"/>
  <c r="A255" i="14"/>
  <c r="A365" i="14"/>
  <c r="A405" i="14"/>
  <c r="A361" i="14"/>
  <c r="A404" i="14"/>
  <c r="A386" i="14"/>
  <c r="A259" i="14"/>
  <c r="A310" i="14"/>
  <c r="A378" i="14"/>
  <c r="A300" i="14"/>
  <c r="A373" i="14"/>
  <c r="A241" i="14"/>
  <c r="A379" i="14"/>
  <c r="A336" i="14"/>
  <c r="A269" i="14"/>
  <c r="A278" i="14"/>
  <c r="A346" i="14"/>
  <c r="A249" i="14"/>
  <c r="A272" i="14"/>
  <c r="A360" i="14"/>
  <c r="A333" i="14"/>
  <c r="A358" i="14"/>
  <c r="A400" i="14"/>
  <c r="A266" i="14"/>
  <c r="A284" i="14"/>
  <c r="A239" i="14"/>
  <c r="A324" i="14"/>
  <c r="A220" i="14"/>
  <c r="A274" i="14"/>
  <c r="A308" i="14"/>
  <c r="A251" i="14"/>
  <c r="A289" i="14"/>
  <c r="A352" i="14"/>
  <c r="A306" i="14"/>
  <c r="A412" i="14"/>
  <c r="A374" i="14"/>
  <c r="A327" i="14"/>
  <c r="A381" i="14"/>
  <c r="A309" i="14"/>
  <c r="A319" i="14"/>
  <c r="A339" i="14"/>
  <c r="A237" i="14"/>
  <c r="A317" i="14"/>
  <c r="A234" i="14"/>
  <c r="A311" i="14"/>
  <c r="A345" i="14"/>
  <c r="A389" i="14"/>
  <c r="A307" i="14"/>
  <c r="A399" i="14"/>
  <c r="A244" i="14"/>
  <c r="A270" i="14"/>
  <c r="A216" i="14"/>
  <c r="A395" i="14"/>
  <c r="A321" i="14"/>
  <c r="A376" i="14"/>
  <c r="A218" i="14"/>
  <c r="A320" i="14"/>
  <c r="A275" i="14"/>
  <c r="A247" i="14"/>
  <c r="A344" i="14"/>
  <c r="A287" i="14"/>
  <c r="A298" i="14"/>
  <c r="A328" i="14"/>
  <c r="A363" i="14"/>
  <c r="A355" i="14"/>
  <c r="A391" i="14"/>
  <c r="A334" i="14"/>
  <c r="A246" i="14"/>
  <c r="A375" i="14"/>
  <c r="A383" i="14"/>
  <c r="A271" i="14"/>
  <c r="A316" i="14"/>
  <c r="A217" i="14"/>
  <c r="A253" i="14"/>
  <c r="A282" i="14"/>
  <c r="A288" i="14"/>
  <c r="A411" i="14"/>
  <c r="A230" i="14"/>
  <c r="A283" i="14"/>
  <c r="A285" i="14"/>
  <c r="A236" i="14"/>
  <c r="A291" i="14"/>
  <c r="A409" i="14"/>
  <c r="A245" i="14"/>
  <c r="A313" i="14"/>
  <c r="A281" i="14"/>
  <c r="A223" i="14"/>
  <c r="A292" i="14"/>
  <c r="A250" i="14"/>
  <c r="A396" i="14"/>
  <c r="A248" i="14"/>
  <c r="A392" i="14"/>
  <c r="A354" i="14"/>
  <c r="A303" i="14"/>
  <c r="A264" i="14"/>
  <c r="A359" i="14"/>
  <c r="A394" i="14"/>
  <c r="A364" i="14"/>
  <c r="A329" i="14"/>
  <c r="A331" i="14"/>
  <c r="A290" i="14"/>
  <c r="A232" i="14"/>
  <c r="A301" i="14"/>
  <c r="A343" i="14"/>
  <c r="A302" i="14"/>
  <c r="A235" i="14"/>
  <c r="A260" i="14"/>
  <c r="A222" i="14"/>
  <c r="A366" i="14"/>
  <c r="A315" i="14"/>
  <c r="A276" i="14"/>
  <c r="A227" i="14"/>
  <c r="A371" i="14"/>
  <c r="A406" i="14"/>
  <c r="A262" i="14"/>
  <c r="A280" i="14"/>
  <c r="A357" i="14"/>
  <c r="A214" i="14"/>
  <c r="A257" i="14"/>
  <c r="A326" i="14"/>
  <c r="A369" i="14"/>
  <c r="A226" i="14"/>
  <c r="A261" i="14"/>
  <c r="A296" i="14"/>
  <c r="A258" i="14"/>
  <c r="A403" i="14"/>
  <c r="A351" i="14"/>
  <c r="A312" i="14"/>
  <c r="A263" i="14"/>
  <c r="A407" i="14"/>
  <c r="A402" i="14"/>
  <c r="A295" i="14"/>
  <c r="A305" i="14"/>
  <c r="A382" i="14"/>
  <c r="A325" i="14"/>
  <c r="A367" i="14"/>
  <c r="A408" i="14"/>
  <c r="A401" i="14"/>
  <c r="A337" i="14"/>
  <c r="A286" i="14"/>
  <c r="A332" i="14"/>
  <c r="A294" i="14"/>
  <c r="A243" i="14"/>
  <c r="A387" i="14"/>
  <c r="A348" i="14"/>
  <c r="A299" i="14"/>
  <c r="A413" i="14"/>
  <c r="A385" i="14"/>
  <c r="A229" i="14"/>
  <c r="A338" i="14"/>
  <c r="A322" i="14"/>
  <c r="A256" i="14"/>
  <c r="A341" i="14"/>
  <c r="A225" i="14"/>
  <c r="A268" i="14"/>
  <c r="A353" i="14"/>
  <c r="A388" i="14"/>
  <c r="A356" i="14"/>
  <c r="A318" i="14"/>
  <c r="A267" i="14"/>
  <c r="A228" i="14"/>
  <c r="A372" i="14"/>
  <c r="A323" i="14"/>
  <c r="A410" i="14"/>
  <c r="A304" i="14"/>
  <c r="A254" i="14"/>
  <c r="A221" i="14"/>
  <c r="A265" i="14"/>
  <c r="A350" i="14"/>
  <c r="A393" i="14"/>
  <c r="A233" i="14"/>
  <c r="A277" i="14"/>
  <c r="A362" i="14"/>
  <c r="A224" i="14"/>
  <c r="A368" i="14"/>
  <c r="A330" i="14"/>
  <c r="A279" i="14"/>
  <c r="A240" i="14"/>
  <c r="A384" i="14"/>
  <c r="A335" i="14"/>
  <c r="A397" i="14"/>
  <c r="A213" i="14"/>
  <c r="A273" i="14"/>
  <c r="A242" i="14"/>
  <c r="A370" i="14"/>
  <c r="A380" i="14"/>
  <c r="A342" i="14"/>
  <c r="A252" i="14"/>
  <c r="A347" i="14"/>
  <c r="A238" i="14"/>
  <c r="A293" i="14"/>
  <c r="AV305" i="14"/>
  <c r="AV253" i="14"/>
  <c r="AV368" i="14"/>
  <c r="AV347" i="14"/>
  <c r="AV288" i="14"/>
  <c r="AV260" i="14"/>
  <c r="AV262" i="14"/>
  <c r="AV298" i="14"/>
  <c r="AV281" i="14"/>
  <c r="AV351" i="14"/>
  <c r="AV289" i="14"/>
  <c r="AV390" i="14"/>
  <c r="AV268" i="14"/>
  <c r="AV394" i="14"/>
  <c r="AV214" i="14"/>
  <c r="AV367" i="14"/>
  <c r="AV342" i="14"/>
  <c r="AV261" i="14"/>
  <c r="AV324" i="14"/>
  <c r="AV318" i="14"/>
  <c r="AV348" i="14"/>
  <c r="AV249" i="14"/>
  <c r="AV386" i="14"/>
  <c r="AV280" i="14"/>
  <c r="AV258" i="14"/>
  <c r="AV378" i="14"/>
  <c r="AV317" i="14"/>
  <c r="AV398" i="14"/>
  <c r="AV371" i="14"/>
  <c r="AV349" i="14"/>
  <c r="AV278" i="14"/>
  <c r="AV343" i="14"/>
  <c r="AV413" i="14"/>
  <c r="AV216" i="14"/>
  <c r="AV266" i="14"/>
  <c r="AV335" i="14"/>
  <c r="AV359" i="14"/>
  <c r="AV242" i="14"/>
  <c r="AV328" i="14"/>
  <c r="AV300" i="14"/>
  <c r="AV346" i="14"/>
  <c r="AV405" i="14"/>
  <c r="AV246" i="14"/>
  <c r="AV339" i="14"/>
  <c r="AV338" i="14"/>
  <c r="AV350" i="14"/>
  <c r="AV230" i="14"/>
  <c r="AV257" i="14"/>
  <c r="AV374" i="14"/>
  <c r="AV290" i="14"/>
  <c r="AV219" i="14"/>
  <c r="AV401" i="14"/>
  <c r="AV336" i="14"/>
  <c r="AV272" i="14"/>
  <c r="AV399" i="14"/>
  <c r="AV232" i="14"/>
  <c r="AV241" i="14"/>
  <c r="AV363" i="14"/>
  <c r="AV276" i="14"/>
  <c r="AV247" i="14"/>
  <c r="AV304" i="14"/>
  <c r="AV273" i="14"/>
  <c r="AV256" i="14"/>
  <c r="AV375" i="14"/>
  <c r="AV358" i="14"/>
  <c r="AV322" i="14"/>
  <c r="AV226" i="14"/>
  <c r="AV330" i="14"/>
  <c r="AV370" i="14"/>
  <c r="AV225" i="14"/>
  <c r="AV340" i="14"/>
  <c r="AV329" i="14"/>
  <c r="AV220" i="14"/>
  <c r="AV334" i="14"/>
  <c r="AV222" i="14"/>
  <c r="AV270" i="14"/>
  <c r="AV229" i="14"/>
  <c r="AV215" i="14"/>
  <c r="AV234" i="14"/>
  <c r="AV333" i="14"/>
  <c r="AV341" i="14"/>
  <c r="AV345" i="14"/>
  <c r="AV245" i="14"/>
  <c r="AV274" i="14"/>
  <c r="AV252" i="14"/>
  <c r="AV410" i="14"/>
  <c r="AV372" i="14"/>
  <c r="AV357" i="14"/>
  <c r="AV355" i="14"/>
  <c r="AV282" i="14"/>
  <c r="AV302" i="14"/>
  <c r="AV250" i="14"/>
  <c r="AV291" i="14"/>
  <c r="AV376" i="14"/>
  <c r="AV251" i="14"/>
  <c r="AV409" i="14"/>
  <c r="AV293" i="14"/>
  <c r="AV344" i="14"/>
  <c r="AV265" i="14"/>
  <c r="AV382" i="14"/>
  <c r="AV380" i="14"/>
  <c r="AV277" i="14"/>
  <c r="AV353" i="14"/>
  <c r="AV323" i="14"/>
  <c r="AV237" i="14"/>
  <c r="AV255" i="14"/>
  <c r="AV221" i="14"/>
  <c r="AV286" i="14"/>
  <c r="AV354" i="14"/>
  <c r="AV301" i="14"/>
  <c r="AV271" i="14"/>
  <c r="AV264" i="14"/>
  <c r="AV223" i="14"/>
  <c r="AV284" i="14"/>
  <c r="AV352" i="14"/>
  <c r="AV337" i="14"/>
  <c r="AV231" i="14"/>
  <c r="AV379" i="14"/>
  <c r="AV285" i="14"/>
  <c r="AV361" i="14"/>
  <c r="AV365" i="14"/>
  <c r="AV275" i="14"/>
  <c r="AV327" i="14"/>
  <c r="AV236" i="14"/>
  <c r="AV297" i="14"/>
  <c r="AV362" i="14"/>
  <c r="AV385" i="14"/>
  <c r="AV279" i="14"/>
  <c r="AV287" i="14"/>
  <c r="AV227" i="14"/>
  <c r="AV295" i="14"/>
  <c r="AV356" i="14"/>
  <c r="AV364" i="14"/>
  <c r="AV254" i="14"/>
  <c r="AV213" i="14"/>
  <c r="AV296" i="14"/>
  <c r="AV403" i="14"/>
  <c r="AV384" i="14"/>
  <c r="AV283" i="14"/>
  <c r="AV369" i="14"/>
  <c r="AV240" i="14"/>
  <c r="AV308" i="14"/>
  <c r="AV381" i="14"/>
  <c r="AV389" i="14"/>
  <c r="AV299" i="14"/>
  <c r="AV360" i="14"/>
  <c r="AV387" i="14"/>
  <c r="AV269" i="14"/>
  <c r="AV224" i="14"/>
  <c r="AV307" i="14"/>
  <c r="AV407" i="14"/>
  <c r="AV388" i="14"/>
  <c r="AV294" i="14"/>
  <c r="AV373" i="14"/>
  <c r="AV244" i="14"/>
  <c r="AV312" i="14"/>
  <c r="AV404" i="14"/>
  <c r="AV393" i="14"/>
  <c r="AV309" i="14"/>
  <c r="AV325" i="14"/>
  <c r="AV238" i="14"/>
  <c r="AV306" i="14"/>
  <c r="AV383" i="14"/>
  <c r="AV391" i="14"/>
  <c r="AV292" i="14"/>
  <c r="AV235" i="14"/>
  <c r="AV311" i="14"/>
  <c r="AV411" i="14"/>
  <c r="AV392" i="14"/>
  <c r="AV313" i="14"/>
  <c r="AV377" i="14"/>
  <c r="AV248" i="14"/>
  <c r="AV316" i="14"/>
  <c r="AV408" i="14"/>
  <c r="AV397" i="14"/>
  <c r="AV310" i="14"/>
  <c r="AV402" i="14"/>
  <c r="AV395" i="14"/>
  <c r="AV303" i="14"/>
  <c r="AV239" i="14"/>
  <c r="AV315" i="14"/>
  <c r="AV217" i="14"/>
  <c r="AV396" i="14"/>
  <c r="AV321" i="14"/>
  <c r="AV400" i="14"/>
  <c r="AV259" i="14"/>
  <c r="AV320" i="14"/>
  <c r="AV412" i="14"/>
  <c r="AV314" i="14"/>
  <c r="AV406" i="14"/>
  <c r="AV218" i="14"/>
  <c r="AV326" i="14"/>
  <c r="AV243" i="14"/>
  <c r="AV319" i="14"/>
  <c r="AV228" i="14"/>
  <c r="AV233" i="14"/>
  <c r="AV332" i="14"/>
  <c r="AV267" i="14"/>
  <c r="AV263" i="14"/>
  <c r="AV331" i="14"/>
  <c r="AU82" i="14"/>
  <c r="AU175" i="14"/>
  <c r="AU389" i="14"/>
  <c r="AU239" i="14"/>
  <c r="AU163" i="14"/>
  <c r="AU397" i="14"/>
  <c r="AU250" i="14"/>
  <c r="AU481" i="14"/>
  <c r="AU474" i="14"/>
  <c r="AU615" i="14"/>
  <c r="AU733" i="14"/>
  <c r="AU201" i="14"/>
  <c r="AU705" i="14"/>
  <c r="AU90" i="14"/>
  <c r="AU242" i="14"/>
  <c r="AU81" i="14"/>
  <c r="AU162" i="14"/>
  <c r="AU353" i="14"/>
  <c r="AU223" i="14"/>
  <c r="AU513" i="14"/>
  <c r="AU848" i="14"/>
  <c r="AU205" i="14"/>
  <c r="AU91" i="14"/>
  <c r="AU189" i="14"/>
  <c r="AU570" i="14"/>
  <c r="AU278" i="14"/>
  <c r="AU499" i="14"/>
  <c r="AU717" i="14"/>
  <c r="AU351" i="14"/>
  <c r="AU103" i="14"/>
  <c r="AU190" i="14"/>
  <c r="AU630" i="14"/>
  <c r="AU310" i="14"/>
  <c r="AU455" i="14"/>
  <c r="AU904" i="14"/>
  <c r="AU366" i="14"/>
  <c r="AU117" i="14"/>
  <c r="AU198" i="14"/>
  <c r="AU399" i="14"/>
  <c r="AU312" i="14"/>
  <c r="AU479" i="14"/>
  <c r="AU1109" i="14"/>
  <c r="AU13" i="14"/>
  <c r="AU31" i="14"/>
  <c r="AU118" i="14"/>
  <c r="AU199" i="14"/>
  <c r="AU567" i="14"/>
  <c r="AU332" i="14"/>
  <c r="AU580" i="14"/>
  <c r="AU1075" i="14"/>
  <c r="AU403" i="14"/>
  <c r="AU45" i="14"/>
  <c r="AU126" i="14"/>
  <c r="AU411" i="14"/>
  <c r="AU568" i="14"/>
  <c r="AU334" i="14"/>
  <c r="AU477" i="14"/>
  <c r="AU1233" i="14"/>
  <c r="AU12" i="14"/>
  <c r="AU46" i="14"/>
  <c r="AU127" i="14"/>
  <c r="AU204" i="14"/>
  <c r="AU461" i="14"/>
  <c r="AU530" i="14"/>
  <c r="AU502" i="14"/>
  <c r="AU1180" i="14"/>
  <c r="AU19" i="14"/>
  <c r="AU54" i="14"/>
  <c r="AU139" i="14"/>
  <c r="AU208" i="14"/>
  <c r="AU473" i="14"/>
  <c r="AU718" i="14"/>
  <c r="AU812" i="14"/>
  <c r="AU1409" i="14"/>
  <c r="AU236" i="14"/>
  <c r="AU55" i="14"/>
  <c r="AU153" i="14"/>
  <c r="AU265" i="14"/>
  <c r="AU401" i="14"/>
  <c r="AU760" i="14"/>
  <c r="AU881" i="14"/>
  <c r="AU224" i="14"/>
  <c r="AU67" i="14"/>
  <c r="AU154" i="14"/>
  <c r="AU289" i="14"/>
  <c r="AU221" i="14"/>
  <c r="AU501" i="14"/>
  <c r="AU650" i="14"/>
  <c r="AU283" i="14"/>
  <c r="AU329" i="14"/>
  <c r="AU466" i="14"/>
  <c r="AU57" i="14"/>
  <c r="AU93" i="14"/>
  <c r="AU129" i="14"/>
  <c r="AU165" i="14"/>
  <c r="AU202" i="14"/>
  <c r="AU337" i="14"/>
  <c r="AU549" i="14"/>
  <c r="AU498" i="14"/>
  <c r="AU254" i="14"/>
  <c r="AU338" i="14"/>
  <c r="AU526" i="14"/>
  <c r="AU504" i="14"/>
  <c r="AU551" i="14"/>
  <c r="AU930" i="14"/>
  <c r="AU1169" i="14"/>
  <c r="AU341" i="14"/>
  <c r="AU348" i="14"/>
  <c r="AU22" i="14"/>
  <c r="AU58" i="14"/>
  <c r="AU94" i="14"/>
  <c r="AU130" i="14"/>
  <c r="AU166" i="14"/>
  <c r="AU206" i="14"/>
  <c r="AU345" i="14"/>
  <c r="AU560" i="14"/>
  <c r="AU510" i="14"/>
  <c r="AU256" i="14"/>
  <c r="AU340" i="14"/>
  <c r="AU527" i="14"/>
  <c r="AU538" i="14"/>
  <c r="AU563" i="14"/>
  <c r="AU756" i="14"/>
  <c r="AU1221" i="14"/>
  <c r="AU435" i="14"/>
  <c r="AU459" i="14"/>
  <c r="AU30" i="14"/>
  <c r="AU66" i="14"/>
  <c r="AU102" i="14"/>
  <c r="AU138" i="14"/>
  <c r="AU174" i="14"/>
  <c r="AU347" i="14"/>
  <c r="AU342" i="14"/>
  <c r="AU584" i="14"/>
  <c r="AU393" i="14"/>
  <c r="AU276" i="14"/>
  <c r="AU522" i="14"/>
  <c r="AU469" i="14"/>
  <c r="AU556" i="14"/>
  <c r="AU612" i="14"/>
  <c r="AU892" i="14"/>
  <c r="AU1387" i="14"/>
  <c r="AU20" i="14"/>
  <c r="AU263" i="14"/>
  <c r="AU33" i="14"/>
  <c r="AU69" i="14"/>
  <c r="AU105" i="14"/>
  <c r="AU141" i="14"/>
  <c r="AU177" i="14"/>
  <c r="AU532" i="14"/>
  <c r="AU383" i="14"/>
  <c r="AU547" i="14"/>
  <c r="AU521" i="14"/>
  <c r="AU282" i="14"/>
  <c r="AU665" i="14"/>
  <c r="AU506" i="14"/>
  <c r="AU635" i="14"/>
  <c r="AU752" i="14"/>
  <c r="AU1059" i="14"/>
  <c r="AU1523" i="14"/>
  <c r="AU281" i="14"/>
  <c r="AU307" i="14"/>
  <c r="AU34" i="14"/>
  <c r="AU70" i="14"/>
  <c r="AU106" i="14"/>
  <c r="AU142" i="14"/>
  <c r="AU178" i="14"/>
  <c r="AU571" i="14"/>
  <c r="AU417" i="14"/>
  <c r="AU554" i="14"/>
  <c r="AU529" i="14"/>
  <c r="AU284" i="14"/>
  <c r="AU712" i="14"/>
  <c r="AU533" i="14"/>
  <c r="AU647" i="14"/>
  <c r="AU818" i="14"/>
  <c r="AU962" i="14"/>
  <c r="AU1556" i="14"/>
  <c r="AU344" i="14"/>
  <c r="AU226" i="14"/>
  <c r="AU42" i="14"/>
  <c r="AU78" i="14"/>
  <c r="AU114" i="14"/>
  <c r="AU150" i="14"/>
  <c r="AU186" i="14"/>
  <c r="AU395" i="14"/>
  <c r="AU357" i="14"/>
  <c r="AU497" i="14"/>
  <c r="AU686" i="14"/>
  <c r="AU304" i="14"/>
  <c r="AU636" i="14"/>
  <c r="AU676" i="14"/>
  <c r="AU404" i="14"/>
  <c r="AU796" i="14"/>
  <c r="AU1006" i="14"/>
  <c r="AU11" i="14"/>
  <c r="AU269" i="14"/>
  <c r="AU43" i="14"/>
  <c r="AU79" i="14"/>
  <c r="AU115" i="14"/>
  <c r="AU151" i="14"/>
  <c r="AU187" i="14"/>
  <c r="AU490" i="14"/>
  <c r="AU373" i="14"/>
  <c r="AU507" i="14"/>
  <c r="AU213" i="14"/>
  <c r="AU306" i="14"/>
  <c r="AU657" i="14"/>
  <c r="AU716" i="14"/>
  <c r="AU406" i="14"/>
  <c r="AU763" i="14"/>
  <c r="AU1013" i="14"/>
  <c r="AU375" i="14"/>
  <c r="AU214" i="14"/>
  <c r="AU287" i="14"/>
  <c r="AU18" i="14"/>
  <c r="AU419" i="14"/>
  <c r="AU427" i="14"/>
  <c r="AU346" i="14"/>
  <c r="AU29" i="14"/>
  <c r="AU41" i="14"/>
  <c r="AU53" i="14"/>
  <c r="AU65" i="14"/>
  <c r="AU77" i="14"/>
  <c r="AU89" i="14"/>
  <c r="AU101" i="14"/>
  <c r="AU113" i="14"/>
  <c r="AU125" i="14"/>
  <c r="AU137" i="14"/>
  <c r="AU149" i="14"/>
  <c r="AU161" i="14"/>
  <c r="AU173" i="14"/>
  <c r="AU185" i="14"/>
  <c r="AU197" i="14"/>
  <c r="AU339" i="14"/>
  <c r="AU321" i="14"/>
  <c r="AU220" i="14"/>
  <c r="AU323" i="14"/>
  <c r="AU352" i="14"/>
  <c r="AU512" i="14"/>
  <c r="AU550" i="14"/>
  <c r="AU494" i="14"/>
  <c r="AU449" i="14"/>
  <c r="AU385" i="14"/>
  <c r="AU642" i="14"/>
  <c r="AU237" i="14"/>
  <c r="AU274" i="14"/>
  <c r="AU302" i="14"/>
  <c r="AU330" i="14"/>
  <c r="AU505" i="14"/>
  <c r="AU633" i="14"/>
  <c r="AU488" i="14"/>
  <c r="AU457" i="14"/>
  <c r="AU674" i="14"/>
  <c r="AU443" i="14"/>
  <c r="AU515" i="14"/>
  <c r="AU402" i="14"/>
  <c r="AU710" i="14"/>
  <c r="AU725" i="14"/>
  <c r="AU754" i="14"/>
  <c r="AU693" i="14"/>
  <c r="AU1081" i="14"/>
  <c r="AU992" i="14"/>
  <c r="AU1146" i="14"/>
  <c r="AU1455" i="14"/>
  <c r="AU238" i="14"/>
  <c r="AU16" i="14"/>
  <c r="AU15" i="14"/>
  <c r="AU247" i="14"/>
  <c r="AU259" i="14"/>
  <c r="AU317" i="14"/>
  <c r="AU371" i="14"/>
  <c r="AU32" i="14"/>
  <c r="AU44" i="14"/>
  <c r="AU56" i="14"/>
  <c r="AU68" i="14"/>
  <c r="AU80" i="14"/>
  <c r="AU92" i="14"/>
  <c r="AU104" i="14"/>
  <c r="AU116" i="14"/>
  <c r="AU128" i="14"/>
  <c r="AU140" i="14"/>
  <c r="AU152" i="14"/>
  <c r="AU164" i="14"/>
  <c r="AU176" i="14"/>
  <c r="AU188" i="14"/>
  <c r="AU200" i="14"/>
  <c r="AU478" i="14"/>
  <c r="AU544" i="14"/>
  <c r="AU313" i="14"/>
  <c r="AU367" i="14"/>
  <c r="AU381" i="14"/>
  <c r="AU703" i="14"/>
  <c r="AU407" i="14"/>
  <c r="AU519" i="14"/>
  <c r="AU485" i="14"/>
  <c r="AU409" i="14"/>
  <c r="AU215" i="14"/>
  <c r="AU252" i="14"/>
  <c r="AU280" i="14"/>
  <c r="AU308" i="14"/>
  <c r="AU336" i="14"/>
  <c r="AU562" i="14"/>
  <c r="AU660" i="14"/>
  <c r="AU525" i="14"/>
  <c r="AU493" i="14"/>
  <c r="AU462" i="14"/>
  <c r="AU491" i="14"/>
  <c r="AU606" i="14"/>
  <c r="AU465" i="14"/>
  <c r="AU543" i="14"/>
  <c r="AU751" i="14"/>
  <c r="AU775" i="14"/>
  <c r="AU798" i="14"/>
  <c r="AU924" i="14"/>
  <c r="AU1111" i="14"/>
  <c r="AU1244" i="14"/>
  <c r="AU1406" i="14"/>
  <c r="AU495" i="14"/>
  <c r="AU293" i="14"/>
  <c r="AU442" i="14"/>
  <c r="AU257" i="14"/>
  <c r="AU311" i="14"/>
  <c r="AU209" i="14"/>
  <c r="AU23" i="14"/>
  <c r="AU35" i="14"/>
  <c r="AU47" i="14"/>
  <c r="AU59" i="14"/>
  <c r="AU71" i="14"/>
  <c r="AU83" i="14"/>
  <c r="AU95" i="14"/>
  <c r="AU107" i="14"/>
  <c r="AU119" i="14"/>
  <c r="AU131" i="14"/>
  <c r="AU143" i="14"/>
  <c r="AU155" i="14"/>
  <c r="AU167" i="14"/>
  <c r="AU179" i="14"/>
  <c r="AU191" i="14"/>
  <c r="AU210" i="14"/>
  <c r="AU203" i="14"/>
  <c r="AU234" i="14"/>
  <c r="AU379" i="14"/>
  <c r="AU483" i="14"/>
  <c r="AU439" i="14"/>
  <c r="AU594" i="14"/>
  <c r="AU360" i="14"/>
  <c r="AU578" i="14"/>
  <c r="AU520" i="14"/>
  <c r="AU680" i="14"/>
  <c r="AU225" i="14"/>
  <c r="AU258" i="14"/>
  <c r="AU286" i="14"/>
  <c r="AU314" i="14"/>
  <c r="AU418" i="14"/>
  <c r="AU736" i="14"/>
  <c r="AU767" i="14"/>
  <c r="AU607" i="14"/>
  <c r="AU534" i="14"/>
  <c r="AU511" i="14"/>
  <c r="AU632" i="14"/>
  <c r="AU376" i="14"/>
  <c r="AU579" i="14"/>
  <c r="AU587" i="14"/>
  <c r="AU884" i="14"/>
  <c r="AU773" i="14"/>
  <c r="AU768" i="14"/>
  <c r="AU1085" i="14"/>
  <c r="AU1084" i="14"/>
  <c r="AU1142" i="14"/>
  <c r="AU1571" i="14"/>
  <c r="AU232" i="14"/>
  <c r="AU295" i="14"/>
  <c r="AU387" i="14"/>
  <c r="AU305" i="14"/>
  <c r="AU423" i="14"/>
  <c r="AU240" i="14"/>
  <c r="AU24" i="14"/>
  <c r="AU36" i="14"/>
  <c r="AU48" i="14"/>
  <c r="AU60" i="14"/>
  <c r="AU72" i="14"/>
  <c r="AU84" i="14"/>
  <c r="AU96" i="14"/>
  <c r="AU108" i="14"/>
  <c r="AU120" i="14"/>
  <c r="AU132" i="14"/>
  <c r="AU144" i="14"/>
  <c r="AU156" i="14"/>
  <c r="AU168" i="14"/>
  <c r="AU180" i="14"/>
  <c r="AU192" i="14"/>
  <c r="AU222" i="14"/>
  <c r="AU207" i="14"/>
  <c r="AU255" i="14"/>
  <c r="AU508" i="14"/>
  <c r="AU542" i="14"/>
  <c r="AU451" i="14"/>
  <c r="AU601" i="14"/>
  <c r="AU365" i="14"/>
  <c r="AU624" i="14"/>
  <c r="AU528" i="14"/>
  <c r="AU807" i="14"/>
  <c r="AU227" i="14"/>
  <c r="AU260" i="14"/>
  <c r="AU288" i="14"/>
  <c r="AU316" i="14"/>
  <c r="AU444" i="14"/>
  <c r="AU553" i="14"/>
  <c r="AU816" i="14"/>
  <c r="AU613" i="14"/>
  <c r="AU574" i="14"/>
  <c r="AU536" i="14"/>
  <c r="AU644" i="14"/>
  <c r="AU378" i="14"/>
  <c r="AU595" i="14"/>
  <c r="AU732" i="14"/>
  <c r="AU643" i="14"/>
  <c r="AU668" i="14"/>
  <c r="AU759" i="14"/>
  <c r="AU1040" i="14"/>
  <c r="AU1110" i="14"/>
  <c r="AU1246" i="14"/>
  <c r="AU1545" i="14"/>
  <c r="AU524" i="14"/>
  <c r="AU325" i="14"/>
  <c r="AU362" i="14"/>
  <c r="AU431" i="14"/>
  <c r="AU447" i="14"/>
  <c r="AU218" i="14"/>
  <c r="AU261" i="14"/>
  <c r="AU25" i="14"/>
  <c r="AU37" i="14"/>
  <c r="AU49" i="14"/>
  <c r="AU61" i="14"/>
  <c r="AU73" i="14"/>
  <c r="AU85" i="14"/>
  <c r="AU97" i="14"/>
  <c r="AU109" i="14"/>
  <c r="AU121" i="14"/>
  <c r="AU133" i="14"/>
  <c r="AU145" i="14"/>
  <c r="AU157" i="14"/>
  <c r="AU169" i="14"/>
  <c r="AU181" i="14"/>
  <c r="AU193" i="14"/>
  <c r="AU243" i="14"/>
  <c r="AU228" i="14"/>
  <c r="AU279" i="14"/>
  <c r="AU216" i="14"/>
  <c r="AU743" i="14"/>
  <c r="AU463" i="14"/>
  <c r="AU610" i="14"/>
  <c r="AU369" i="14"/>
  <c r="AU639" i="14"/>
  <c r="AU592" i="14"/>
  <c r="AU354" i="14"/>
  <c r="AU229" i="14"/>
  <c r="AU262" i="14"/>
  <c r="AU290" i="14"/>
  <c r="AU322" i="14"/>
  <c r="AU456" i="14"/>
  <c r="AU561" i="14"/>
  <c r="AU413" i="14"/>
  <c r="AU764" i="14"/>
  <c r="AU582" i="14"/>
  <c r="AU566" i="14"/>
  <c r="AU656" i="14"/>
  <c r="AU382" i="14"/>
  <c r="AU598" i="14"/>
  <c r="AU840" i="14"/>
  <c r="AU688" i="14"/>
  <c r="AU678" i="14"/>
  <c r="AU877" i="14"/>
  <c r="AU1048" i="14"/>
  <c r="AU1067" i="14"/>
  <c r="AU1322" i="14"/>
  <c r="AU651" i="14"/>
  <c r="AU335" i="14"/>
  <c r="AU331" i="14"/>
  <c r="AU503" i="14"/>
  <c r="AU253" i="14"/>
  <c r="AU271" i="14"/>
  <c r="AU285" i="14"/>
  <c r="AU26" i="14"/>
  <c r="AU38" i="14"/>
  <c r="AU50" i="14"/>
  <c r="AU62" i="14"/>
  <c r="AU74" i="14"/>
  <c r="AU86" i="14"/>
  <c r="AU98" i="14"/>
  <c r="AU110" i="14"/>
  <c r="AU122" i="14"/>
  <c r="AU134" i="14"/>
  <c r="AU146" i="14"/>
  <c r="AU158" i="14"/>
  <c r="AU170" i="14"/>
  <c r="AU182" i="14"/>
  <c r="AU194" i="14"/>
  <c r="AU267" i="14"/>
  <c r="AU249" i="14"/>
  <c r="AU303" i="14"/>
  <c r="AU230" i="14"/>
  <c r="AU739" i="14"/>
  <c r="AU475" i="14"/>
  <c r="AU677" i="14"/>
  <c r="AU434" i="14"/>
  <c r="AU744" i="14"/>
  <c r="AU609" i="14"/>
  <c r="AU359" i="14"/>
  <c r="AU231" i="14"/>
  <c r="AU264" i="14"/>
  <c r="AU292" i="14"/>
  <c r="AU324" i="14"/>
  <c r="AU468" i="14"/>
  <c r="AU577" i="14"/>
  <c r="AU428" i="14"/>
  <c r="AU420" i="14"/>
  <c r="AU583" i="14"/>
  <c r="AU590" i="14"/>
  <c r="AU424" i="14"/>
  <c r="AU396" i="14"/>
  <c r="AU604" i="14"/>
  <c r="AU679" i="14"/>
  <c r="AU701" i="14"/>
  <c r="AU690" i="14"/>
  <c r="AU793" i="14"/>
  <c r="AU927" i="14"/>
  <c r="AU1117" i="14"/>
  <c r="AU1255" i="14"/>
  <c r="AU21" i="14"/>
  <c r="AU343" i="14"/>
  <c r="AU471" i="14"/>
  <c r="AU10" i="14"/>
  <c r="AU301" i="14"/>
  <c r="AU319" i="14"/>
  <c r="AU309" i="14"/>
  <c r="AU27" i="14"/>
  <c r="AU39" i="14"/>
  <c r="AU51" i="14"/>
  <c r="AU63" i="14"/>
  <c r="AU75" i="14"/>
  <c r="AU87" i="14"/>
  <c r="AU99" i="14"/>
  <c r="AU111" i="14"/>
  <c r="AU123" i="14"/>
  <c r="AU135" i="14"/>
  <c r="AU147" i="14"/>
  <c r="AU159" i="14"/>
  <c r="AU171" i="14"/>
  <c r="AU183" i="14"/>
  <c r="AU195" i="14"/>
  <c r="AU291" i="14"/>
  <c r="AU273" i="14"/>
  <c r="AU327" i="14"/>
  <c r="AU275" i="14"/>
  <c r="AU244" i="14"/>
  <c r="AU487" i="14"/>
  <c r="AU518" i="14"/>
  <c r="AU446" i="14"/>
  <c r="AU422" i="14"/>
  <c r="AU364" i="14"/>
  <c r="AU430" i="14"/>
  <c r="AU233" i="14"/>
  <c r="AU266" i="14"/>
  <c r="AU298" i="14"/>
  <c r="AU326" i="14"/>
  <c r="AU480" i="14"/>
  <c r="AU585" i="14"/>
  <c r="AU440" i="14"/>
  <c r="AU433" i="14"/>
  <c r="AU623" i="14"/>
  <c r="AU621" i="14"/>
  <c r="AU436" i="14"/>
  <c r="AU398" i="14"/>
  <c r="AU687" i="14"/>
  <c r="AU689" i="14"/>
  <c r="AU711" i="14"/>
  <c r="AU695" i="14"/>
  <c r="AU900" i="14"/>
  <c r="AU939" i="14"/>
  <c r="AU1145" i="14"/>
  <c r="AU1340" i="14"/>
  <c r="AU17" i="14"/>
  <c r="AU358" i="14"/>
  <c r="AU277" i="14"/>
  <c r="AU14" i="14"/>
  <c r="AU361" i="14"/>
  <c r="AU356" i="14"/>
  <c r="AU333" i="14"/>
  <c r="AU28" i="14"/>
  <c r="AU40" i="14"/>
  <c r="AU52" i="14"/>
  <c r="AU64" i="14"/>
  <c r="AU76" i="14"/>
  <c r="AU88" i="14"/>
  <c r="AU100" i="14"/>
  <c r="AU112" i="14"/>
  <c r="AU124" i="14"/>
  <c r="AU136" i="14"/>
  <c r="AU148" i="14"/>
  <c r="AU160" i="14"/>
  <c r="AU172" i="14"/>
  <c r="AU184" i="14"/>
  <c r="AU196" i="14"/>
  <c r="AU315" i="14"/>
  <c r="AU297" i="14"/>
  <c r="AU391" i="14"/>
  <c r="AU299" i="14"/>
  <c r="AU246" i="14"/>
  <c r="AU500" i="14"/>
  <c r="AU546" i="14"/>
  <c r="AU458" i="14"/>
  <c r="AU437" i="14"/>
  <c r="AU377" i="14"/>
  <c r="AU432" i="14"/>
  <c r="AU235" i="14"/>
  <c r="AU268" i="14"/>
  <c r="AU300" i="14"/>
  <c r="AU328" i="14"/>
  <c r="AU492" i="14"/>
  <c r="AU603" i="14"/>
  <c r="AU452" i="14"/>
  <c r="AU445" i="14"/>
  <c r="AU629" i="14"/>
  <c r="AU627" i="14"/>
  <c r="AU514" i="14"/>
  <c r="AU400" i="14"/>
  <c r="AU713" i="14"/>
  <c r="AU699" i="14"/>
  <c r="AU727" i="14"/>
  <c r="AU681" i="14"/>
  <c r="AU912" i="14"/>
  <c r="AU951" i="14"/>
  <c r="AU1222" i="14"/>
  <c r="AU1378" i="14"/>
  <c r="AU1600" i="14"/>
  <c r="AU1586" i="14"/>
  <c r="AU1616" i="14"/>
  <c r="AU1614" i="14"/>
  <c r="AU1533" i="14"/>
  <c r="AU1612" i="14"/>
  <c r="AU1563" i="14"/>
  <c r="AU1504" i="14"/>
  <c r="AU1525" i="14"/>
  <c r="AU1486" i="14"/>
  <c r="AU1515" i="14"/>
  <c r="AU1494" i="14"/>
  <c r="AU1446" i="14"/>
  <c r="AU1485" i="14"/>
  <c r="AU1481" i="14"/>
  <c r="AU1468" i="14"/>
  <c r="AU1395" i="14"/>
  <c r="AU1360" i="14"/>
  <c r="AU1433" i="14"/>
  <c r="AU1402" i="14"/>
  <c r="AU1422" i="14"/>
  <c r="AU1271" i="14"/>
  <c r="AU1312" i="14"/>
  <c r="AU1334" i="14"/>
  <c r="AU1318" i="14"/>
  <c r="AU1278" i="14"/>
  <c r="AU1285" i="14"/>
  <c r="AU1426" i="14"/>
  <c r="AU1328" i="14"/>
  <c r="AU1323" i="14"/>
  <c r="AU1231" i="14"/>
  <c r="AU1183" i="14"/>
  <c r="AU1219" i="14"/>
  <c r="AU1212" i="14"/>
  <c r="AU1165" i="14"/>
  <c r="AU1196" i="14"/>
  <c r="AU1232" i="14"/>
  <c r="AU1132" i="14"/>
  <c r="AU1174" i="14"/>
  <c r="AU1237" i="14"/>
  <c r="AU1176" i="14"/>
  <c r="AU1079" i="14"/>
  <c r="AU1105" i="14"/>
  <c r="AU1058" i="14"/>
  <c r="AU1051" i="14"/>
  <c r="AU1206" i="14"/>
  <c r="AU987" i="14"/>
  <c r="AU1012" i="14"/>
  <c r="AU965" i="14"/>
  <c r="AU982" i="14"/>
  <c r="AU990" i="14"/>
  <c r="AU968" i="14"/>
  <c r="AU985" i="14"/>
  <c r="AU1064" i="14"/>
  <c r="AU947" i="14"/>
  <c r="AU882" i="14"/>
  <c r="AU899" i="14"/>
  <c r="AU916" i="14"/>
  <c r="AU885" i="14"/>
  <c r="AU833" i="14"/>
  <c r="AU935" i="14"/>
  <c r="AU1101" i="14"/>
  <c r="AU805" i="14"/>
  <c r="AU792" i="14"/>
  <c r="AU753" i="14"/>
  <c r="AU869" i="14"/>
  <c r="AU671" i="14"/>
  <c r="AU683" i="14"/>
  <c r="AU1623" i="14"/>
  <c r="AU1618" i="14"/>
  <c r="AU1620" i="14"/>
  <c r="AU1592" i="14"/>
  <c r="AU1585" i="14"/>
  <c r="AU1583" i="14"/>
  <c r="AU1599" i="14"/>
  <c r="AU1521" i="14"/>
  <c r="AU1590" i="14"/>
  <c r="AU1549" i="14"/>
  <c r="AU1492" i="14"/>
  <c r="AU1518" i="14"/>
  <c r="AU1474" i="14"/>
  <c r="AU1512" i="14"/>
  <c r="AU1484" i="14"/>
  <c r="AU1434" i="14"/>
  <c r="AU1469" i="14"/>
  <c r="AU1463" i="14"/>
  <c r="AU1467" i="14"/>
  <c r="AU1383" i="14"/>
  <c r="AU1348" i="14"/>
  <c r="AU1432" i="14"/>
  <c r="AU1388" i="14"/>
  <c r="AU1375" i="14"/>
  <c r="AU1259" i="14"/>
  <c r="AU1300" i="14"/>
  <c r="AU1327" i="14"/>
  <c r="AU1306" i="14"/>
  <c r="AU1275" i="14"/>
  <c r="AU1280" i="14"/>
  <c r="AU1317" i="14"/>
  <c r="AU1309" i="14"/>
  <c r="AU1254" i="14"/>
  <c r="AU1216" i="14"/>
  <c r="AU1171" i="14"/>
  <c r="AU1207" i="14"/>
  <c r="AU1325" i="14"/>
  <c r="AU1153" i="14"/>
  <c r="AU1194" i="14"/>
  <c r="AU1220" i="14"/>
  <c r="AU1310" i="14"/>
  <c r="AU1126" i="14"/>
  <c r="AU1179" i="14"/>
  <c r="AU1606" i="14"/>
  <c r="AU1608" i="14"/>
  <c r="AU1628" i="14"/>
  <c r="AU1578" i="14"/>
  <c r="AU1581" i="14"/>
  <c r="AU1595" i="14"/>
  <c r="AU1573" i="14"/>
  <c r="AU1552" i="14"/>
  <c r="AU1580" i="14"/>
  <c r="AU1541" i="14"/>
  <c r="AU1480" i="14"/>
  <c r="AU1506" i="14"/>
  <c r="AU1562" i="14"/>
  <c r="AU1509" i="14"/>
  <c r="AU1464" i="14"/>
  <c r="AU1424" i="14"/>
  <c r="AU1461" i="14"/>
  <c r="AU1458" i="14"/>
  <c r="AU1466" i="14"/>
  <c r="AU1519" i="14"/>
  <c r="AU1336" i="14"/>
  <c r="AU1428" i="14"/>
  <c r="AU1364" i="14"/>
  <c r="AU1342" i="14"/>
  <c r="AU1247" i="14"/>
  <c r="AU1288" i="14"/>
  <c r="AU1315" i="14"/>
  <c r="AU1294" i="14"/>
  <c r="AU1272" i="14"/>
  <c r="AU1273" i="14"/>
  <c r="AU1292" i="14"/>
  <c r="AU1299" i="14"/>
  <c r="AU1236" i="14"/>
  <c r="AU1204" i="14"/>
  <c r="AU1159" i="14"/>
  <c r="AU1594" i="14"/>
  <c r="AU1596" i="14"/>
  <c r="AU1617" i="14"/>
  <c r="AU1587" i="14"/>
  <c r="AU1570" i="14"/>
  <c r="AU1540" i="14"/>
  <c r="AU1576" i="14"/>
  <c r="AU1537" i="14"/>
  <c r="AU1470" i="14"/>
  <c r="AU1560" i="14"/>
  <c r="AU1479" i="14"/>
  <c r="AU1503" i="14"/>
  <c r="AU1520" i="14"/>
  <c r="AU1412" i="14"/>
  <c r="AU1443" i="14"/>
  <c r="AU1421" i="14"/>
  <c r="AU1450" i="14"/>
  <c r="AU1449" i="14"/>
  <c r="AU1436" i="14"/>
  <c r="AU1416" i="14"/>
  <c r="AU1352" i="14"/>
  <c r="AU1326" i="14"/>
  <c r="AU1235" i="14"/>
  <c r="AU1276" i="14"/>
  <c r="AU1303" i="14"/>
  <c r="AU1362" i="14"/>
  <c r="AU1270" i="14"/>
  <c r="AU1268" i="14"/>
  <c r="AU1343" i="14"/>
  <c r="AU1371" i="14"/>
  <c r="AU1225" i="14"/>
  <c r="AU1190" i="14"/>
  <c r="AU1147" i="14"/>
  <c r="AU1181" i="14"/>
  <c r="AU1251" i="14"/>
  <c r="AU1217" i="14"/>
  <c r="AU1182" i="14"/>
  <c r="AU1198" i="14"/>
  <c r="AU1238" i="14"/>
  <c r="AU1305" i="14"/>
  <c r="AU1148" i="14"/>
  <c r="AU1115" i="14"/>
  <c r="AU1043" i="14"/>
  <c r="AU1065" i="14"/>
  <c r="AU1020" i="14"/>
  <c r="AU1140" i="14"/>
  <c r="AU1094" i="14"/>
  <c r="AU979" i="14"/>
  <c r="AU960" i="14"/>
  <c r="AU929" i="14"/>
  <c r="AU946" i="14"/>
  <c r="AU986" i="14"/>
  <c r="AU932" i="14"/>
  <c r="AU1074" i="14"/>
  <c r="AU1045" i="14"/>
  <c r="AU974" i="14"/>
  <c r="AU846" i="14"/>
  <c r="AU863" i="14"/>
  <c r="AU880" i="14"/>
  <c r="AU849" i="14"/>
  <c r="AU1042" i="14"/>
  <c r="AU1613" i="14"/>
  <c r="AU1584" i="14"/>
  <c r="AU1605" i="14"/>
  <c r="AU1575" i="14"/>
  <c r="AU1566" i="14"/>
  <c r="AU1528" i="14"/>
  <c r="AU1561" i="14"/>
  <c r="AU1535" i="14"/>
  <c r="AU1567" i="14"/>
  <c r="AU1513" i="14"/>
  <c r="AU1476" i="14"/>
  <c r="AU1493" i="14"/>
  <c r="AU1508" i="14"/>
  <c r="AU1400" i="14"/>
  <c r="AU1431" i="14"/>
  <c r="AU1394" i="14"/>
  <c r="AU1410" i="14"/>
  <c r="AU1423" i="14"/>
  <c r="AU1529" i="14"/>
  <c r="AU1425" i="14"/>
  <c r="AU1472" i="14"/>
  <c r="AU1386" i="14"/>
  <c r="AU1401" i="14"/>
  <c r="AU1264" i="14"/>
  <c r="AU1291" i="14"/>
  <c r="AU1350" i="14"/>
  <c r="AU1269" i="14"/>
  <c r="AU1261" i="14"/>
  <c r="AU1297" i="14"/>
  <c r="AU1354" i="14"/>
  <c r="AU1223" i="14"/>
  <c r="AU1178" i="14"/>
  <c r="AU1135" i="14"/>
  <c r="AU1601" i="14"/>
  <c r="AU1564" i="14"/>
  <c r="AU1555" i="14"/>
  <c r="AU1559" i="14"/>
  <c r="AU1551" i="14"/>
  <c r="AU1524" i="14"/>
  <c r="AU1546" i="14"/>
  <c r="AU1501" i="14"/>
  <c r="AU1465" i="14"/>
  <c r="AU1477" i="14"/>
  <c r="AU1471" i="14"/>
  <c r="AU1491" i="14"/>
  <c r="AU1427" i="14"/>
  <c r="AU1382" i="14"/>
  <c r="AU1399" i="14"/>
  <c r="AU1413" i="14"/>
  <c r="AU1435" i="14"/>
  <c r="AU1397" i="14"/>
  <c r="AU1420" i="14"/>
  <c r="AU1365" i="14"/>
  <c r="AU1396" i="14"/>
  <c r="AU1252" i="14"/>
  <c r="AU1279" i="14"/>
  <c r="AU1333" i="14"/>
  <c r="AU1266" i="14"/>
  <c r="AU1256" i="14"/>
  <c r="AU1287" i="14"/>
  <c r="AU1353" i="14"/>
  <c r="AU1211" i="14"/>
  <c r="AU1166" i="14"/>
  <c r="AU1304" i="14"/>
  <c r="AU1374" i="14"/>
  <c r="AU1243" i="14"/>
  <c r="AU1249" i="14"/>
  <c r="AU1162" i="14"/>
  <c r="AU1170" i="14"/>
  <c r="AU1163" i="14"/>
  <c r="AU1158" i="14"/>
  <c r="AU1124" i="14"/>
  <c r="AU1130" i="14"/>
  <c r="AU1017" i="14"/>
  <c r="AU1041" i="14"/>
  <c r="AU996" i="14"/>
  <c r="AU1089" i="14"/>
  <c r="AU1073" i="14"/>
  <c r="AU955" i="14"/>
  <c r="AU936" i="14"/>
  <c r="AU1007" i="14"/>
  <c r="AU922" i="14"/>
  <c r="AU963" i="14"/>
  <c r="AU1118" i="14"/>
  <c r="AU1050" i="14"/>
  <c r="AU1033" i="14"/>
  <c r="AU950" i="14"/>
  <c r="AU825" i="14"/>
  <c r="AU839" i="14"/>
  <c r="AU856" i="14"/>
  <c r="AU914" i="14"/>
  <c r="AU969" i="14"/>
  <c r="AU1030" i="14"/>
  <c r="AU888" i="14"/>
  <c r="AU747" i="14"/>
  <c r="AU913" i="14"/>
  <c r="AU786" i="14"/>
  <c r="AU742" i="14"/>
  <c r="AU801" i="14"/>
  <c r="AU1589" i="14"/>
  <c r="AU1622" i="14"/>
  <c r="AU1624" i="14"/>
  <c r="AU1543" i="14"/>
  <c r="AU1547" i="14"/>
  <c r="AU1539" i="14"/>
  <c r="AU1514" i="14"/>
  <c r="AU1511" i="14"/>
  <c r="AU1534" i="14"/>
  <c r="AU1496" i="14"/>
  <c r="AU1462" i="14"/>
  <c r="AU1451" i="14"/>
  <c r="AU1454" i="14"/>
  <c r="AU1415" i="14"/>
  <c r="AU1538" i="14"/>
  <c r="AU1392" i="14"/>
  <c r="AU1403" i="14"/>
  <c r="AU1381" i="14"/>
  <c r="AU1373" i="14"/>
  <c r="AU1390" i="14"/>
  <c r="AU1345" i="14"/>
  <c r="AU1368" i="14"/>
  <c r="AU1240" i="14"/>
  <c r="AU1267" i="14"/>
  <c r="AU1321" i="14"/>
  <c r="AU1445" i="14"/>
  <c r="AU1366" i="14"/>
  <c r="AU1377" i="14"/>
  <c r="AU1316" i="14"/>
  <c r="AU1197" i="14"/>
  <c r="AU1154" i="14"/>
  <c r="AU1630" i="14"/>
  <c r="AU1631" i="14"/>
  <c r="AU1593" i="14"/>
  <c r="AU1619" i="14"/>
  <c r="AU1609" i="14"/>
  <c r="AU1531" i="14"/>
  <c r="AU1568" i="14"/>
  <c r="AU1527" i="14"/>
  <c r="AU1502" i="14"/>
  <c r="AU1499" i="14"/>
  <c r="AU1532" i="14"/>
  <c r="AU1483" i="14"/>
  <c r="AU1588" i="14"/>
  <c r="AU1439" i="14"/>
  <c r="AU1453" i="14"/>
  <c r="AU1459" i="14"/>
  <c r="AU1448" i="14"/>
  <c r="AU1380" i="14"/>
  <c r="AU1398" i="14"/>
  <c r="AU1370" i="14"/>
  <c r="AU1361" i="14"/>
  <c r="AU1389" i="14"/>
  <c r="AU1331" i="14"/>
  <c r="AU1627" i="14"/>
  <c r="AU1615" i="14"/>
  <c r="AU1577" i="14"/>
  <c r="AU1607" i="14"/>
  <c r="AU1604" i="14"/>
  <c r="AU1550" i="14"/>
  <c r="AU1554" i="14"/>
  <c r="AU1490" i="14"/>
  <c r="AU1487" i="14"/>
  <c r="AU1602" i="14"/>
  <c r="AU1574" i="14"/>
  <c r="AU1473" i="14"/>
  <c r="AU1441" i="14"/>
  <c r="AU1488" i="14"/>
  <c r="AU1349" i="14"/>
  <c r="AU1356" i="14"/>
  <c r="AU1369" i="14"/>
  <c r="AU1286" i="14"/>
  <c r="AU1277" i="14"/>
  <c r="AU1202" i="14"/>
  <c r="AU1260" i="14"/>
  <c r="AU1141" i="14"/>
  <c r="AU1175" i="14"/>
  <c r="AU1239" i="14"/>
  <c r="AU1119" i="14"/>
  <c r="AU1164" i="14"/>
  <c r="AU1005" i="14"/>
  <c r="AU1139" i="14"/>
  <c r="AU1039" i="14"/>
  <c r="AU1061" i="14"/>
  <c r="AU1149" i="14"/>
  <c r="AU953" i="14"/>
  <c r="AU1106" i="14"/>
  <c r="AU1014" i="14"/>
  <c r="AU973" i="14"/>
  <c r="AU1028" i="14"/>
  <c r="AU937" i="14"/>
  <c r="AU887" i="14"/>
  <c r="AU844" i="14"/>
  <c r="AU866" i="14"/>
  <c r="AU921" i="14"/>
  <c r="AU1021" i="14"/>
  <c r="AU735" i="14"/>
  <c r="AU799" i="14"/>
  <c r="AU895" i="14"/>
  <c r="AU908" i="14"/>
  <c r="AU836" i="14"/>
  <c r="AU896" i="14"/>
  <c r="AU697" i="14"/>
  <c r="AU855" i="14"/>
  <c r="AU730" i="14"/>
  <c r="AU691" i="14"/>
  <c r="AU605" i="14"/>
  <c r="AU748" i="14"/>
  <c r="AU576" i="14"/>
  <c r="AU652" i="14"/>
  <c r="AU664" i="14"/>
  <c r="AU531" i="14"/>
  <c r="AU646" i="14"/>
  <c r="AU572" i="14"/>
  <c r="AU429" i="14"/>
  <c r="AU394" i="14"/>
  <c r="AU370" i="14"/>
  <c r="AU509" i="14"/>
  <c r="AU1629" i="14"/>
  <c r="AU1572" i="14"/>
  <c r="AU1460" i="14"/>
  <c r="AU1417" i="14"/>
  <c r="AU1482" i="14"/>
  <c r="AU1337" i="14"/>
  <c r="AU1351" i="14"/>
  <c r="AU1359" i="14"/>
  <c r="AU1344" i="14"/>
  <c r="AU1274" i="14"/>
  <c r="AU1195" i="14"/>
  <c r="AU1234" i="14"/>
  <c r="AU1289" i="14"/>
  <c r="AU1358" i="14"/>
  <c r="AU1205" i="14"/>
  <c r="AU1107" i="14"/>
  <c r="AU1127" i="14"/>
  <c r="AU993" i="14"/>
  <c r="AU1091" i="14"/>
  <c r="AU1027" i="14"/>
  <c r="AU1049" i="14"/>
  <c r="AU1143" i="14"/>
  <c r="AU941" i="14"/>
  <c r="AU1098" i="14"/>
  <c r="AU1009" i="14"/>
  <c r="AU1097" i="14"/>
  <c r="AU1019" i="14"/>
  <c r="AU906" i="14"/>
  <c r="AU875" i="14"/>
  <c r="AU1047" i="14"/>
  <c r="AU854" i="14"/>
  <c r="AU917" i="14"/>
  <c r="AU898" i="14"/>
  <c r="AU1066" i="14"/>
  <c r="AU789" i="14"/>
  <c r="AU871" i="14"/>
  <c r="AU847" i="14"/>
  <c r="AU835" i="14"/>
  <c r="AU891" i="14"/>
  <c r="AU685" i="14"/>
  <c r="AU853" i="14"/>
  <c r="AU720" i="14"/>
  <c r="AU672" i="14"/>
  <c r="AU593" i="14"/>
  <c r="AU728" i="14"/>
  <c r="AU564" i="14"/>
  <c r="AU640" i="14"/>
  <c r="AU661" i="14"/>
  <c r="AU523" i="14"/>
  <c r="AU634" i="14"/>
  <c r="AU555" i="14"/>
  <c r="AU421" i="14"/>
  <c r="AU392" i="14"/>
  <c r="AU784" i="14"/>
  <c r="AU496" i="14"/>
  <c r="AU602" i="14"/>
  <c r="AU1598" i="14"/>
  <c r="AU1478" i="14"/>
  <c r="AU1536" i="14"/>
  <c r="AU1405" i="14"/>
  <c r="AU1444" i="14"/>
  <c r="AU1489" i="14"/>
  <c r="AU1346" i="14"/>
  <c r="AU1330" i="14"/>
  <c r="AU1339" i="14"/>
  <c r="AU1265" i="14"/>
  <c r="AU1245" i="14"/>
  <c r="AU1228" i="14"/>
  <c r="AU1208" i="14"/>
  <c r="AU1253" i="14"/>
  <c r="AU1341" i="14"/>
  <c r="AU1095" i="14"/>
  <c r="AU1131" i="14"/>
  <c r="AU1116" i="14"/>
  <c r="AU1070" i="14"/>
  <c r="AU1104" i="14"/>
  <c r="AU1037" i="14"/>
  <c r="AU1016" i="14"/>
  <c r="AU1151" i="14"/>
  <c r="AU1002" i="14"/>
  <c r="AU980" i="14"/>
  <c r="AU1062" i="14"/>
  <c r="AU1010" i="14"/>
  <c r="AU894" i="14"/>
  <c r="AU851" i="14"/>
  <c r="AU945" i="14"/>
  <c r="AU842" i="14"/>
  <c r="AU905" i="14"/>
  <c r="AU872" i="14"/>
  <c r="AU865" i="14"/>
  <c r="AU777" i="14"/>
  <c r="AU813" i="14"/>
  <c r="AU826" i="14"/>
  <c r="AU808" i="14"/>
  <c r="AU889" i="14"/>
  <c r="AU675" i="14"/>
  <c r="AU838" i="14"/>
  <c r="AU694" i="14"/>
  <c r="AU879" i="14"/>
  <c r="AU581" i="14"/>
  <c r="AU698" i="14"/>
  <c r="AU814" i="14"/>
  <c r="AU628" i="14"/>
  <c r="AU649" i="14"/>
  <c r="AU957" i="14"/>
  <c r="AU622" i="14"/>
  <c r="AU541" i="14"/>
  <c r="AU416" i="14"/>
  <c r="AU390" i="14"/>
  <c r="AU782" i="14"/>
  <c r="AU484" i="14"/>
  <c r="AU589" i="14"/>
  <c r="AU708" i="14"/>
  <c r="AU450" i="14"/>
  <c r="AU558" i="14"/>
  <c r="AU883" i="14"/>
  <c r="AU476" i="14"/>
  <c r="AU648" i="14"/>
  <c r="AU616" i="14"/>
  <c r="AU368" i="14"/>
  <c r="AU320" i="14"/>
  <c r="AU296" i="14"/>
  <c r="AU272" i="14"/>
  <c r="AU248" i="14"/>
  <c r="AU219" i="14"/>
  <c r="AU670" i="14"/>
  <c r="AU591" i="14"/>
  <c r="AU355" i="14"/>
  <c r="AU482" i="14"/>
  <c r="AU654" i="14"/>
  <c r="AU548" i="14"/>
  <c r="AU425" i="14"/>
  <c r="AU667" i="14"/>
  <c r="AU251" i="14"/>
  <c r="AU454" i="14"/>
  <c r="AU363" i="14"/>
  <c r="AU1597" i="14"/>
  <c r="AU1553" i="14"/>
  <c r="AU1522" i="14"/>
  <c r="AU1530" i="14"/>
  <c r="AU1411" i="14"/>
  <c r="AU1456" i="14"/>
  <c r="AU1335" i="14"/>
  <c r="AU1332" i="14"/>
  <c r="AU1329" i="14"/>
  <c r="AU1262" i="14"/>
  <c r="AU1214" i="14"/>
  <c r="AU1224" i="14"/>
  <c r="AU1199" i="14"/>
  <c r="AU1242" i="14"/>
  <c r="AU1257" i="14"/>
  <c r="AU1250" i="14"/>
  <c r="AU1120" i="14"/>
  <c r="AU1218" i="14"/>
  <c r="AU1046" i="14"/>
  <c r="AU1080" i="14"/>
  <c r="AU1025" i="14"/>
  <c r="AU984" i="14"/>
  <c r="AU1004" i="14"/>
  <c r="AU1001" i="14"/>
  <c r="AU956" i="14"/>
  <c r="AU1038" i="14"/>
  <c r="AU983" i="14"/>
  <c r="AU870" i="14"/>
  <c r="AU830" i="14"/>
  <c r="AU942" i="14"/>
  <c r="AU819" i="14"/>
  <c r="AU1078" i="14"/>
  <c r="AU867" i="14"/>
  <c r="AU831" i="14"/>
  <c r="AU765" i="14"/>
  <c r="AU797" i="14"/>
  <c r="AU822" i="14"/>
  <c r="AU787" i="14"/>
  <c r="AU874" i="14"/>
  <c r="AU978" i="14"/>
  <c r="AU832" i="14"/>
  <c r="AU684" i="14"/>
  <c r="AU823" i="14"/>
  <c r="AU569" i="14"/>
  <c r="AU692" i="14"/>
  <c r="AU758" i="14"/>
  <c r="AU614" i="14"/>
  <c r="AU637" i="14"/>
  <c r="AU954" i="14"/>
  <c r="AU608" i="14"/>
  <c r="AU540" i="14"/>
  <c r="AU412" i="14"/>
  <c r="AU388" i="14"/>
  <c r="AU746" i="14"/>
  <c r="AU472" i="14"/>
  <c r="AU573" i="14"/>
  <c r="AU682" i="14"/>
  <c r="AU438" i="14"/>
  <c r="AU535" i="14"/>
  <c r="AU791" i="14"/>
  <c r="AU464" i="14"/>
  <c r="AU645" i="14"/>
  <c r="AU597" i="14"/>
  <c r="AU349" i="14"/>
  <c r="AU318" i="14"/>
  <c r="AU294" i="14"/>
  <c r="AU270" i="14"/>
  <c r="AU241" i="14"/>
  <c r="AU217" i="14"/>
  <c r="AU663" i="14"/>
  <c r="AU552" i="14"/>
  <c r="AU350" i="14"/>
  <c r="AU470" i="14"/>
  <c r="AU620" i="14"/>
  <c r="AU545" i="14"/>
  <c r="AU405" i="14"/>
  <c r="AU586" i="14"/>
  <c r="AU245" i="14"/>
  <c r="AU1579" i="14"/>
  <c r="AU1516" i="14"/>
  <c r="AU1544" i="14"/>
  <c r="AU1452" i="14"/>
  <c r="AU1447" i="14"/>
  <c r="AU1379" i="14"/>
  <c r="AU1324" i="14"/>
  <c r="AU1320" i="14"/>
  <c r="AU1314" i="14"/>
  <c r="AU1185" i="14"/>
  <c r="AU1200" i="14"/>
  <c r="AU1313" i="14"/>
  <c r="AU1192" i="14"/>
  <c r="AU1210" i="14"/>
  <c r="AU1150" i="14"/>
  <c r="AU1168" i="14"/>
  <c r="AU1108" i="14"/>
  <c r="AU1152" i="14"/>
  <c r="AU1034" i="14"/>
  <c r="AU1068" i="14"/>
  <c r="AU1011" i="14"/>
  <c r="AU972" i="14"/>
  <c r="AU1003" i="14"/>
  <c r="AU1000" i="14"/>
  <c r="AU944" i="14"/>
  <c r="AU1026" i="14"/>
  <c r="AU971" i="14"/>
  <c r="AU858" i="14"/>
  <c r="AU810" i="14"/>
  <c r="AU909" i="14"/>
  <c r="AU1083" i="14"/>
  <c r="AU976" i="14"/>
  <c r="AU862" i="14"/>
  <c r="AU828" i="14"/>
  <c r="AU1071" i="14"/>
  <c r="AU772" i="14"/>
  <c r="AU785" i="14"/>
  <c r="AU779" i="14"/>
  <c r="AU834" i="14"/>
  <c r="AU928" i="14"/>
  <c r="AU824" i="14"/>
  <c r="AU653" i="14"/>
  <c r="AU809" i="14"/>
  <c r="AU557" i="14"/>
  <c r="AU666" i="14"/>
  <c r="AU757" i="14"/>
  <c r="AU864" i="14"/>
  <c r="AU625" i="14"/>
  <c r="AU923" i="14"/>
  <c r="AU596" i="14"/>
  <c r="AU539" i="14"/>
  <c r="AU410" i="14"/>
  <c r="AU386" i="14"/>
  <c r="AU659" i="14"/>
  <c r="AU460" i="14"/>
  <c r="AU565" i="14"/>
  <c r="AU1626" i="14"/>
  <c r="AU1625" i="14"/>
  <c r="AU1475" i="14"/>
  <c r="AU1457" i="14"/>
  <c r="AU1440" i="14"/>
  <c r="AU1408" i="14"/>
  <c r="AU1367" i="14"/>
  <c r="AU1393" i="14"/>
  <c r="AU1284" i="14"/>
  <c r="AU1302" i="14"/>
  <c r="AU1173" i="14"/>
  <c r="AU1188" i="14"/>
  <c r="AU1248" i="14"/>
  <c r="AU1187" i="14"/>
  <c r="AU1186" i="14"/>
  <c r="AU1136" i="14"/>
  <c r="AU1137" i="14"/>
  <c r="AU1096" i="14"/>
  <c r="AU1138" i="14"/>
  <c r="AU1008" i="14"/>
  <c r="AU1056" i="14"/>
  <c r="AU999" i="14"/>
  <c r="AU948" i="14"/>
  <c r="AU997" i="14"/>
  <c r="AU998" i="14"/>
  <c r="AU920" i="14"/>
  <c r="AU1122" i="14"/>
  <c r="AU959" i="14"/>
  <c r="AU837" i="14"/>
  <c r="AU1113" i="14"/>
  <c r="AU897" i="14"/>
  <c r="AU981" i="14"/>
  <c r="AU901" i="14"/>
  <c r="AU857" i="14"/>
  <c r="AU802" i="14"/>
  <c r="AU859" i="14"/>
  <c r="AU749" i="14"/>
  <c r="AU737" i="14"/>
  <c r="AU741" i="14"/>
  <c r="AU829" i="14"/>
  <c r="AU903" i="14"/>
  <c r="AU804" i="14"/>
  <c r="AU641" i="14"/>
  <c r="AU724" i="14"/>
  <c r="AU537" i="14"/>
  <c r="AU662" i="14"/>
  <c r="AU755" i="14"/>
  <c r="AU845" i="14"/>
  <c r="AU611" i="14"/>
  <c r="AU886" i="14"/>
  <c r="AU800" i="14"/>
  <c r="AU516" i="14"/>
  <c r="AU408" i="14"/>
  <c r="AU384" i="14"/>
  <c r="AU1621" i="14"/>
  <c r="AU1557" i="14"/>
  <c r="AU1582" i="14"/>
  <c r="AU1500" i="14"/>
  <c r="AU1418" i="14"/>
  <c r="AU1384" i="14"/>
  <c r="AU1355" i="14"/>
  <c r="AU1385" i="14"/>
  <c r="AU1282" i="14"/>
  <c r="AU1338" i="14"/>
  <c r="AU1161" i="14"/>
  <c r="AU1363" i="14"/>
  <c r="AU1230" i="14"/>
  <c r="AU1172" i="14"/>
  <c r="AU1160" i="14"/>
  <c r="AU1128" i="14"/>
  <c r="AU1112" i="14"/>
  <c r="AU1213" i="14"/>
  <c r="AU1086" i="14"/>
  <c r="AU1129" i="14"/>
  <c r="AU1044" i="14"/>
  <c r="AU1092" i="14"/>
  <c r="AU1123" i="14"/>
  <c r="AU995" i="14"/>
  <c r="AU989" i="14"/>
  <c r="AU1103" i="14"/>
  <c r="AU1102" i="14"/>
  <c r="AU1090" i="14"/>
  <c r="AU815" i="14"/>
  <c r="AU1054" i="14"/>
  <c r="AU873" i="14"/>
  <c r="AU925" i="14"/>
  <c r="AU803" i="14"/>
  <c r="AU852" i="14"/>
  <c r="AU780" i="14"/>
  <c r="AU806" i="14"/>
  <c r="AU738" i="14"/>
  <c r="AU731" i="14"/>
  <c r="AU1569" i="14"/>
  <c r="AU1542" i="14"/>
  <c r="AU1526" i="14"/>
  <c r="AU1419" i="14"/>
  <c r="AU1414" i="14"/>
  <c r="AU1517" i="14"/>
  <c r="AU1319" i="14"/>
  <c r="AU1357" i="14"/>
  <c r="AU1404" i="14"/>
  <c r="AU1298" i="14"/>
  <c r="AU1241" i="14"/>
  <c r="AU1193" i="14"/>
  <c r="AU1203" i="14"/>
  <c r="AU1184" i="14"/>
  <c r="AU1156" i="14"/>
  <c r="AU1114" i="14"/>
  <c r="AU1157" i="14"/>
  <c r="AU1088" i="14"/>
  <c r="AU1053" i="14"/>
  <c r="AU1100" i="14"/>
  <c r="AU1018" i="14"/>
  <c r="AU967" i="14"/>
  <c r="AU940" i="14"/>
  <c r="AU952" i="14"/>
  <c r="AU1052" i="14"/>
  <c r="AU975" i="14"/>
  <c r="AU919" i="14"/>
  <c r="AU1290" i="14"/>
  <c r="AU1133" i="14"/>
  <c r="AU1177" i="14"/>
  <c r="AU1301" i="14"/>
  <c r="AU1283" i="14"/>
  <c r="AU1505" i="14"/>
  <c r="AU1603" i="14"/>
  <c r="AU575" i="14"/>
  <c r="AU715" i="14"/>
  <c r="AU827" i="14"/>
  <c r="AU770" i="14"/>
  <c r="AU850" i="14"/>
  <c r="AU702" i="14"/>
  <c r="AU729" i="14"/>
  <c r="AU771" i="14"/>
  <c r="AU1035" i="14"/>
  <c r="AU911" i="14"/>
  <c r="AU1057" i="14"/>
  <c r="AU988" i="14"/>
  <c r="AU931" i="14"/>
  <c r="AU1015" i="14"/>
  <c r="AU1155" i="14"/>
  <c r="AU1189" i="14"/>
  <c r="AU1391" i="14"/>
  <c r="AU1295" i="14"/>
  <c r="AU1548" i="14"/>
  <c r="AU1610" i="14"/>
  <c r="AU778" i="14"/>
  <c r="AU876" i="14"/>
  <c r="AU714" i="14"/>
  <c r="AU915" i="14"/>
  <c r="AU783" i="14"/>
  <c r="AU907" i="14"/>
  <c r="AU918" i="14"/>
  <c r="AU1069" i="14"/>
  <c r="AU934" i="14"/>
  <c r="AU943" i="14"/>
  <c r="AU1029" i="14"/>
  <c r="AU1167" i="14"/>
  <c r="AU1201" i="14"/>
  <c r="AU1293" i="14"/>
  <c r="AU1307" i="14"/>
  <c r="AU1407" i="14"/>
  <c r="AU1565" i="14"/>
  <c r="AU599" i="14"/>
  <c r="AU734" i="14"/>
  <c r="AU517" i="14"/>
  <c r="AU966" i="14"/>
  <c r="AU893" i="14"/>
  <c r="AU726" i="14"/>
  <c r="AU750" i="14"/>
  <c r="AU795" i="14"/>
  <c r="AU878" i="14"/>
  <c r="AU933" i="14"/>
  <c r="AU1076" i="14"/>
  <c r="AU958" i="14"/>
  <c r="AU1087" i="14"/>
  <c r="AU1077" i="14"/>
  <c r="AU1121" i="14"/>
  <c r="AU1215" i="14"/>
  <c r="AU1308" i="14"/>
  <c r="AU1442" i="14"/>
  <c r="AU1497" i="14"/>
  <c r="AU1611" i="14"/>
  <c r="AU776" i="14"/>
  <c r="AU700" i="14"/>
  <c r="AU372" i="14"/>
  <c r="AU441" i="14"/>
  <c r="AU658" i="14"/>
  <c r="AU696" i="14"/>
  <c r="AU588" i="14"/>
  <c r="AU619" i="14"/>
  <c r="AU740" i="14"/>
  <c r="AU709" i="14"/>
  <c r="AU860" i="14"/>
  <c r="AU762" i="14"/>
  <c r="AU817" i="14"/>
  <c r="AU890" i="14"/>
  <c r="AU949" i="14"/>
  <c r="AU1022" i="14"/>
  <c r="AU970" i="14"/>
  <c r="AU1082" i="14"/>
  <c r="AU1031" i="14"/>
  <c r="AU1134" i="14"/>
  <c r="AU1263" i="14"/>
  <c r="AU1296" i="14"/>
  <c r="AU1437" i="14"/>
  <c r="AU1498" i="14"/>
  <c r="AU426" i="14"/>
  <c r="AU964" i="14"/>
  <c r="AU722" i="14"/>
  <c r="AU374" i="14"/>
  <c r="AU453" i="14"/>
  <c r="AU704" i="14"/>
  <c r="AU706" i="14"/>
  <c r="AU600" i="14"/>
  <c r="AU631" i="14"/>
  <c r="AU788" i="14"/>
  <c r="AU721" i="14"/>
  <c r="AU673" i="14"/>
  <c r="AU774" i="14"/>
  <c r="AU841" i="14"/>
  <c r="AU902" i="14"/>
  <c r="AU1093" i="14"/>
  <c r="AU1036" i="14"/>
  <c r="AU991" i="14"/>
  <c r="AU1099" i="14"/>
  <c r="AU1055" i="14"/>
  <c r="AU1144" i="14"/>
  <c r="AU1347" i="14"/>
  <c r="AU1311" i="14"/>
  <c r="AU1438" i="14"/>
  <c r="AU1510" i="14"/>
  <c r="AU794" i="14"/>
  <c r="AU626" i="14"/>
  <c r="AU655" i="14"/>
  <c r="AU761" i="14"/>
  <c r="AU745" i="14"/>
  <c r="AU707" i="14"/>
  <c r="AU811" i="14"/>
  <c r="AU769" i="14"/>
  <c r="AU861" i="14"/>
  <c r="AU926" i="14"/>
  <c r="AU1060" i="14"/>
  <c r="AU977" i="14"/>
  <c r="AU1032" i="14"/>
  <c r="AU1125" i="14"/>
  <c r="AU1507" i="14"/>
  <c r="AU1258" i="14"/>
  <c r="AU1281" i="14"/>
  <c r="AU1372" i="14"/>
  <c r="AU1558" i="14"/>
  <c r="AU723" i="14"/>
  <c r="AU559" i="14"/>
  <c r="AU486" i="14"/>
  <c r="AU467" i="14"/>
  <c r="AU448" i="14"/>
  <c r="AU380" i="14"/>
  <c r="AU489" i="14"/>
  <c r="AU843" i="14"/>
  <c r="AU961" i="14"/>
  <c r="AU638" i="14"/>
  <c r="AU669" i="14"/>
  <c r="AU790" i="14"/>
  <c r="AU766" i="14"/>
  <c r="AU719" i="14"/>
  <c r="AU910" i="14"/>
  <c r="AU781" i="14"/>
  <c r="AU868" i="14"/>
  <c r="AU938" i="14"/>
  <c r="AU1072" i="14"/>
  <c r="AU994" i="14"/>
  <c r="AU1063" i="14"/>
  <c r="AU1229" i="14"/>
  <c r="AU1191" i="14"/>
  <c r="AU1209" i="14"/>
  <c r="AU1376" i="14"/>
  <c r="AU1495" i="14"/>
  <c r="AU1591" i="14"/>
  <c r="BP218" i="14" l="1"/>
  <c r="BP303" i="14"/>
  <c r="BP311" i="14"/>
  <c r="BP295" i="14"/>
  <c r="BP340" i="14"/>
  <c r="BP230" i="14"/>
  <c r="BP289" i="14"/>
  <c r="BP314" i="14"/>
  <c r="BP244" i="14"/>
  <c r="BP402" i="14"/>
  <c r="BP240" i="14"/>
  <c r="BP310" i="14"/>
  <c r="BP263" i="14"/>
  <c r="BP320" i="14"/>
  <c r="BP397" i="14"/>
  <c r="BP383" i="14"/>
  <c r="BP407" i="14"/>
  <c r="BP283" i="14"/>
  <c r="BP385" i="14"/>
  <c r="BP352" i="14"/>
  <c r="BP353" i="14"/>
  <c r="BP302" i="14"/>
  <c r="BP234" i="14"/>
  <c r="BP226" i="14"/>
  <c r="BP399" i="14"/>
  <c r="BP246" i="14"/>
  <c r="BP324" i="14"/>
  <c r="BP262" i="14"/>
  <c r="BP326" i="14"/>
  <c r="BP239" i="14"/>
  <c r="BP411" i="14"/>
  <c r="BP312" i="14"/>
  <c r="BP389" i="14"/>
  <c r="BP356" i="14"/>
  <c r="BP361" i="14"/>
  <c r="BP286" i="14"/>
  <c r="BP409" i="14"/>
  <c r="BP274" i="14"/>
  <c r="BP329" i="14"/>
  <c r="BP247" i="14"/>
  <c r="BP257" i="14"/>
  <c r="BP335" i="14"/>
  <c r="BP280" i="14"/>
  <c r="BP390" i="14"/>
  <c r="BP381" i="14"/>
  <c r="BP285" i="14"/>
  <c r="BP221" i="14"/>
  <c r="BP251" i="14"/>
  <c r="BP245" i="14"/>
  <c r="BP276" i="14"/>
  <c r="BP266" i="14"/>
  <c r="BP386" i="14"/>
  <c r="BP406" i="14"/>
  <c r="BP395" i="14"/>
  <c r="BP235" i="14"/>
  <c r="BP373" i="14"/>
  <c r="BP308" i="14"/>
  <c r="BP227" i="14"/>
  <c r="BP379" i="14"/>
  <c r="BP255" i="14"/>
  <c r="BP376" i="14"/>
  <c r="BP345" i="14"/>
  <c r="BP225" i="14"/>
  <c r="BP363" i="14"/>
  <c r="BP350" i="14"/>
  <c r="BP216" i="14"/>
  <c r="BP249" i="14"/>
  <c r="BP351" i="14"/>
  <c r="BP292" i="14"/>
  <c r="BP294" i="14"/>
  <c r="BP287" i="14"/>
  <c r="BP231" i="14"/>
  <c r="BP237" i="14"/>
  <c r="BP291" i="14"/>
  <c r="BP341" i="14"/>
  <c r="BP370" i="14"/>
  <c r="BP241" i="14"/>
  <c r="BP338" i="14"/>
  <c r="BP413" i="14"/>
  <c r="BP348" i="14"/>
  <c r="BP281" i="14"/>
  <c r="BP331" i="14"/>
  <c r="BP412" i="14"/>
  <c r="BP391" i="14"/>
  <c r="BP388" i="14"/>
  <c r="BP369" i="14"/>
  <c r="BP279" i="14"/>
  <c r="BP337" i="14"/>
  <c r="BP323" i="14"/>
  <c r="BP250" i="14"/>
  <c r="BP333" i="14"/>
  <c r="BP330" i="14"/>
  <c r="BP232" i="14"/>
  <c r="BP339" i="14"/>
  <c r="BP343" i="14"/>
  <c r="BP318" i="14"/>
  <c r="BP298" i="14"/>
  <c r="BP278" i="14"/>
  <c r="BP267" i="14"/>
  <c r="BP259" i="14"/>
  <c r="BP408" i="14"/>
  <c r="BP306" i="14"/>
  <c r="BP307" i="14"/>
  <c r="BP384" i="14"/>
  <c r="BP362" i="14"/>
  <c r="BP284" i="14"/>
  <c r="BP277" i="14"/>
  <c r="BP282" i="14"/>
  <c r="BP215" i="14"/>
  <c r="BP322" i="14"/>
  <c r="BP272" i="14"/>
  <c r="BP405" i="14"/>
  <c r="BP349" i="14"/>
  <c r="BP261" i="14"/>
  <c r="BP260" i="14"/>
  <c r="BP332" i="14"/>
  <c r="BP400" i="14"/>
  <c r="BP316" i="14"/>
  <c r="BP238" i="14"/>
  <c r="BP224" i="14"/>
  <c r="BP403" i="14"/>
  <c r="BP297" i="14"/>
  <c r="BP223" i="14"/>
  <c r="BP380" i="14"/>
  <c r="BP355" i="14"/>
  <c r="BP229" i="14"/>
  <c r="BP358" i="14"/>
  <c r="BP336" i="14"/>
  <c r="BP346" i="14"/>
  <c r="BP371" i="14"/>
  <c r="BP342" i="14"/>
  <c r="BP288" i="14"/>
  <c r="BP233" i="14"/>
  <c r="BP321" i="14"/>
  <c r="BP248" i="14"/>
  <c r="BP325" i="14"/>
  <c r="BP269" i="14"/>
  <c r="BP296" i="14"/>
  <c r="BP236" i="14"/>
  <c r="BP264" i="14"/>
  <c r="BP382" i="14"/>
  <c r="BP357" i="14"/>
  <c r="BP270" i="14"/>
  <c r="BP375" i="14"/>
  <c r="BP401" i="14"/>
  <c r="BP300" i="14"/>
  <c r="BP398" i="14"/>
  <c r="BP367" i="14"/>
  <c r="BP347" i="14"/>
  <c r="BP228" i="14"/>
  <c r="BP396" i="14"/>
  <c r="BP377" i="14"/>
  <c r="BP309" i="14"/>
  <c r="BP387" i="14"/>
  <c r="BP327" i="14"/>
  <c r="BP271" i="14"/>
  <c r="BP265" i="14"/>
  <c r="BP372" i="14"/>
  <c r="BP222" i="14"/>
  <c r="BP256" i="14"/>
  <c r="BP219" i="14"/>
  <c r="BP328" i="14"/>
  <c r="BP317" i="14"/>
  <c r="BP214" i="14"/>
  <c r="BP368" i="14"/>
  <c r="BP319" i="14"/>
  <c r="BP217" i="14"/>
  <c r="BP313" i="14"/>
  <c r="BP393" i="14"/>
  <c r="BP360" i="14"/>
  <c r="BP254" i="14"/>
  <c r="BP275" i="14"/>
  <c r="BP301" i="14"/>
  <c r="BP344" i="14"/>
  <c r="BP410" i="14"/>
  <c r="BP334" i="14"/>
  <c r="BP273" i="14"/>
  <c r="BP290" i="14"/>
  <c r="BP242" i="14"/>
  <c r="BP378" i="14"/>
  <c r="BP394" i="14"/>
  <c r="BP253" i="14"/>
  <c r="BP243" i="14"/>
  <c r="BP315" i="14"/>
  <c r="BP392" i="14"/>
  <c r="BP404" i="14"/>
  <c r="BP299" i="14"/>
  <c r="BP364" i="14"/>
  <c r="BP365" i="14"/>
  <c r="BP354" i="14"/>
  <c r="BP293" i="14"/>
  <c r="BP252" i="14"/>
  <c r="BP220" i="14"/>
  <c r="BP304" i="14"/>
  <c r="BP374" i="14"/>
  <c r="BP359" i="14"/>
  <c r="BP258" i="14"/>
  <c r="BP268" i="14"/>
  <c r="BP305" i="14"/>
  <c r="BP366" i="14"/>
  <c r="BP213" i="14"/>
  <c r="BQ213" i="14" l="1" a="1"/>
  <c r="BQ213" i="14" s="1"/>
  <c r="N289" i="14"/>
  <c r="N213" i="14"/>
  <c r="N354" i="14"/>
  <c r="N290" i="14"/>
  <c r="N319" i="14"/>
  <c r="N387" i="14"/>
  <c r="N357" i="14"/>
  <c r="N371" i="14"/>
  <c r="N316" i="14"/>
  <c r="N284" i="14"/>
  <c r="N339" i="14"/>
  <c r="N331" i="14"/>
  <c r="N294" i="14"/>
  <c r="N227" i="14"/>
  <c r="N285" i="14"/>
  <c r="N356" i="14"/>
  <c r="N302" i="14"/>
  <c r="N402" i="14"/>
  <c r="N365" i="14"/>
  <c r="N273" i="14"/>
  <c r="N368" i="14"/>
  <c r="N309" i="14"/>
  <c r="N382" i="14"/>
  <c r="N346" i="14"/>
  <c r="N400" i="14"/>
  <c r="N362" i="14"/>
  <c r="N232" i="14"/>
  <c r="N281" i="14"/>
  <c r="N292" i="14"/>
  <c r="N308" i="14"/>
  <c r="N381" i="14"/>
  <c r="N389" i="14"/>
  <c r="N353" i="14"/>
  <c r="N244" i="14"/>
  <c r="N366" i="14"/>
  <c r="N364" i="14"/>
  <c r="N334" i="14"/>
  <c r="N214" i="14"/>
  <c r="N377" i="14"/>
  <c r="N264" i="14"/>
  <c r="N336" i="14"/>
  <c r="N332" i="14"/>
  <c r="N384" i="14"/>
  <c r="N330" i="14"/>
  <c r="N348" i="14"/>
  <c r="N351" i="14"/>
  <c r="N373" i="14"/>
  <c r="N390" i="14"/>
  <c r="N312" i="14"/>
  <c r="N352" i="14"/>
  <c r="N314" i="14"/>
  <c r="N305" i="14"/>
  <c r="N299" i="14"/>
  <c r="N410" i="14"/>
  <c r="N317" i="14"/>
  <c r="N396" i="14"/>
  <c r="N236" i="14"/>
  <c r="N358" i="14"/>
  <c r="N260" i="14"/>
  <c r="N307" i="14"/>
  <c r="N333" i="14"/>
  <c r="N413" i="14"/>
  <c r="N249" i="14"/>
  <c r="N235" i="14"/>
  <c r="N280" i="14"/>
  <c r="N411" i="14"/>
  <c r="N385" i="14"/>
  <c r="N268" i="14"/>
  <c r="N404" i="14"/>
  <c r="N344" i="14"/>
  <c r="N328" i="14"/>
  <c r="N228" i="14"/>
  <c r="N296" i="14"/>
  <c r="N229" i="14"/>
  <c r="N261" i="14"/>
  <c r="N306" i="14"/>
  <c r="N250" i="14"/>
  <c r="N338" i="14"/>
  <c r="N216" i="14"/>
  <c r="N395" i="14"/>
  <c r="N335" i="14"/>
  <c r="N239" i="14"/>
  <c r="N283" i="14"/>
  <c r="N230" i="14"/>
  <c r="N258" i="14"/>
  <c r="N392" i="14"/>
  <c r="N301" i="14"/>
  <c r="N219" i="14"/>
  <c r="N347" i="14"/>
  <c r="N269" i="14"/>
  <c r="N355" i="14"/>
  <c r="N349" i="14"/>
  <c r="N408" i="14"/>
  <c r="N323" i="14"/>
  <c r="N241" i="14"/>
  <c r="N350" i="14"/>
  <c r="N406" i="14"/>
  <c r="N257" i="14"/>
  <c r="N326" i="14"/>
  <c r="N407" i="14"/>
  <c r="N340" i="14"/>
  <c r="N359" i="14"/>
  <c r="N315" i="14"/>
  <c r="N275" i="14"/>
  <c r="N256" i="14"/>
  <c r="N367" i="14"/>
  <c r="N325" i="14"/>
  <c r="N380" i="14"/>
  <c r="N405" i="14"/>
  <c r="N259" i="14"/>
  <c r="N337" i="14"/>
  <c r="N370" i="14"/>
  <c r="N363" i="14"/>
  <c r="N386" i="14"/>
  <c r="N247" i="14"/>
  <c r="N262" i="14"/>
  <c r="N383" i="14"/>
  <c r="N295" i="14"/>
  <c r="N374" i="14"/>
  <c r="N243" i="14"/>
  <c r="N254" i="14"/>
  <c r="N222" i="14"/>
  <c r="N398" i="14"/>
  <c r="N248" i="14"/>
  <c r="N223" i="14"/>
  <c r="N272" i="14"/>
  <c r="N267" i="14"/>
  <c r="N279" i="14"/>
  <c r="N341" i="14"/>
  <c r="N225" i="14"/>
  <c r="N266" i="14"/>
  <c r="N329" i="14"/>
  <c r="N324" i="14"/>
  <c r="N397" i="14"/>
  <c r="N311" i="14"/>
  <c r="N304" i="14"/>
  <c r="N253" i="14"/>
  <c r="N360" i="14"/>
  <c r="N372" i="14"/>
  <c r="N300" i="14"/>
  <c r="N321" i="14"/>
  <c r="N297" i="14"/>
  <c r="N322" i="14"/>
  <c r="N278" i="14"/>
  <c r="N369" i="14"/>
  <c r="N291" i="14"/>
  <c r="N345" i="14"/>
  <c r="N276" i="14"/>
  <c r="N274" i="14"/>
  <c r="N246" i="14"/>
  <c r="N320" i="14"/>
  <c r="N303" i="14"/>
  <c r="N220" i="14"/>
  <c r="N394" i="14"/>
  <c r="N393" i="14"/>
  <c r="N265" i="14"/>
  <c r="N401" i="14"/>
  <c r="N233" i="14"/>
  <c r="N403" i="14"/>
  <c r="N215" i="14"/>
  <c r="N298" i="14"/>
  <c r="N388" i="14"/>
  <c r="N237" i="14"/>
  <c r="N376" i="14"/>
  <c r="N245" i="14"/>
  <c r="N409" i="14"/>
  <c r="N399" i="14"/>
  <c r="N263" i="14"/>
  <c r="N218" i="14"/>
  <c r="N252" i="14"/>
  <c r="N378" i="14"/>
  <c r="N313" i="14"/>
  <c r="N271" i="14"/>
  <c r="N375" i="14"/>
  <c r="N288" i="14"/>
  <c r="N224" i="14"/>
  <c r="N282" i="14"/>
  <c r="N318" i="14"/>
  <c r="N391" i="14"/>
  <c r="N231" i="14"/>
  <c r="N255" i="14"/>
  <c r="N251" i="14"/>
  <c r="N286" i="14"/>
  <c r="N226" i="14"/>
  <c r="N310" i="14"/>
  <c r="N293" i="14"/>
  <c r="N242" i="14"/>
  <c r="N217" i="14"/>
  <c r="N327" i="14"/>
  <c r="N270" i="14"/>
  <c r="N342" i="14"/>
  <c r="N238" i="14"/>
  <c r="N277" i="14"/>
  <c r="N343" i="14"/>
  <c r="N412" i="14"/>
  <c r="N287" i="14"/>
  <c r="N379" i="14"/>
  <c r="N221" i="14"/>
  <c r="N361" i="14"/>
  <c r="N234" i="14"/>
  <c r="N240" i="14"/>
  <c r="C124" i="7" l="1"/>
  <c r="C136" i="7"/>
  <c r="C148" i="7"/>
  <c r="C160" i="7"/>
  <c r="C172" i="7"/>
  <c r="C184" i="7"/>
  <c r="C196" i="7"/>
  <c r="C185" i="7"/>
  <c r="C146" i="7"/>
  <c r="C171" i="7"/>
  <c r="C125" i="7"/>
  <c r="C137" i="7"/>
  <c r="C149" i="7"/>
  <c r="C161" i="7"/>
  <c r="C173" i="7"/>
  <c r="C197" i="7"/>
  <c r="C182" i="7"/>
  <c r="C126" i="7"/>
  <c r="C138" i="7"/>
  <c r="C150" i="7"/>
  <c r="C162" i="7"/>
  <c r="C174" i="7"/>
  <c r="C186" i="7"/>
  <c r="C183" i="7"/>
  <c r="C127" i="7"/>
  <c r="C139" i="7"/>
  <c r="C151" i="7"/>
  <c r="C163" i="7"/>
  <c r="C175" i="7"/>
  <c r="C187" i="7"/>
  <c r="C188" i="7"/>
  <c r="C159" i="7"/>
  <c r="C128" i="7"/>
  <c r="C140" i="7"/>
  <c r="C152" i="7"/>
  <c r="C164" i="7"/>
  <c r="C176" i="7"/>
  <c r="C135" i="7"/>
  <c r="C129" i="7"/>
  <c r="C141" i="7"/>
  <c r="C153" i="7"/>
  <c r="C165" i="7"/>
  <c r="C177" i="7"/>
  <c r="C189" i="7"/>
  <c r="C191" i="7"/>
  <c r="C170" i="7"/>
  <c r="C147" i="7"/>
  <c r="C130" i="7"/>
  <c r="C142" i="7"/>
  <c r="C154" i="7"/>
  <c r="C166" i="7"/>
  <c r="C178" i="7"/>
  <c r="C190" i="7"/>
  <c r="C179" i="7"/>
  <c r="C192" i="7"/>
  <c r="C194" i="7"/>
  <c r="C195" i="7"/>
  <c r="C131" i="7"/>
  <c r="C143" i="7"/>
  <c r="C155" i="7"/>
  <c r="C167" i="7"/>
  <c r="C134" i="7"/>
  <c r="C132" i="7"/>
  <c r="C144" i="7"/>
  <c r="C156" i="7"/>
  <c r="C168" i="7"/>
  <c r="C180" i="7"/>
  <c r="C158" i="7"/>
  <c r="C133" i="7"/>
  <c r="C145" i="7"/>
  <c r="C157" i="7"/>
  <c r="C169" i="7"/>
  <c r="C181" i="7"/>
  <c r="C193" i="7"/>
  <c r="P406" i="14" a="1"/>
  <c r="P406" i="14" s="1"/>
  <c r="H406" i="14" a="1"/>
  <c r="H406" i="14" s="1"/>
  <c r="P296" i="14" a="1"/>
  <c r="P296" i="14" s="1"/>
  <c r="H296" i="14" a="1"/>
  <c r="H296" i="14" s="1"/>
  <c r="P400" i="14" a="1"/>
  <c r="P400" i="14" s="1"/>
  <c r="H400" i="14" a="1"/>
  <c r="H400" i="14" s="1"/>
  <c r="P380" i="14" a="1"/>
  <c r="P380" i="14" s="1"/>
  <c r="H380" i="14" a="1"/>
  <c r="H380" i="14" s="1"/>
  <c r="P350" i="14" a="1"/>
  <c r="P350" i="14" s="1"/>
  <c r="H350" i="14" a="1"/>
  <c r="H350" i="14" s="1"/>
  <c r="P230" i="14" a="1"/>
  <c r="P230" i="14" s="1"/>
  <c r="H230" i="14" a="1"/>
  <c r="H230" i="14" s="1"/>
  <c r="P390" i="14" a="1"/>
  <c r="P390" i="14" s="1"/>
  <c r="H390" i="14" a="1"/>
  <c r="H390" i="14" s="1"/>
  <c r="P364" i="14" a="1"/>
  <c r="P364" i="14" s="1"/>
  <c r="H364" i="14" a="1"/>
  <c r="H364" i="14" s="1"/>
  <c r="P346" i="14" a="1"/>
  <c r="P346" i="14" s="1"/>
  <c r="H346" i="14" a="1"/>
  <c r="H346" i="14" s="1"/>
  <c r="P254" i="14" a="1"/>
  <c r="P254" i="14" s="1"/>
  <c r="H254" i="14" a="1"/>
  <c r="H254" i="14" s="1"/>
  <c r="P334" i="14" a="1"/>
  <c r="P334" i="14" s="1"/>
  <c r="H334" i="14" a="1"/>
  <c r="H334" i="14" s="1"/>
  <c r="P294" i="14" a="1"/>
  <c r="P294" i="14" s="1"/>
  <c r="H294" i="14" a="1"/>
  <c r="H294" i="14" s="1"/>
  <c r="P342" i="14" a="1"/>
  <c r="P342" i="14" s="1"/>
  <c r="H342" i="14" a="1"/>
  <c r="H342" i="14" s="1"/>
  <c r="P266" i="14" a="1"/>
  <c r="P266" i="14" s="1"/>
  <c r="H266" i="14" a="1"/>
  <c r="H266" i="14" s="1"/>
  <c r="P374" i="14" a="1"/>
  <c r="P374" i="14" s="1"/>
  <c r="H374" i="14" a="1"/>
  <c r="H374" i="14" s="1"/>
  <c r="P260" i="14" a="1"/>
  <c r="P260" i="14" s="1"/>
  <c r="H260" i="14" a="1"/>
  <c r="H260" i="14" s="1"/>
  <c r="P366" i="14" a="1"/>
  <c r="P366" i="14" s="1"/>
  <c r="H366" i="14" a="1"/>
  <c r="H366" i="14" s="1"/>
  <c r="P382" i="14" a="1"/>
  <c r="P382" i="14" s="1"/>
  <c r="H382" i="14" a="1"/>
  <c r="H382" i="14" s="1"/>
  <c r="P240" i="14" a="1"/>
  <c r="P240" i="14" s="1"/>
  <c r="H240" i="14" a="1"/>
  <c r="H240" i="14" s="1"/>
  <c r="P282" i="14" a="1"/>
  <c r="P282" i="14" s="1"/>
  <c r="H282" i="14" a="1"/>
  <c r="H282" i="14" s="1"/>
  <c r="P220" i="14" a="1"/>
  <c r="P220" i="14" s="1"/>
  <c r="H220" i="14" a="1"/>
  <c r="H220" i="14" s="1"/>
  <c r="P256" i="14" a="1"/>
  <c r="P256" i="14" s="1"/>
  <c r="H256" i="14" a="1"/>
  <c r="H256" i="14" s="1"/>
  <c r="P404" i="14" a="1"/>
  <c r="P404" i="14" s="1"/>
  <c r="H404" i="14" a="1"/>
  <c r="H404" i="14" s="1"/>
  <c r="P236" i="14" a="1"/>
  <c r="P236" i="14" s="1"/>
  <c r="H236" i="14" a="1"/>
  <c r="H236" i="14" s="1"/>
  <c r="P234" i="14" a="1"/>
  <c r="P234" i="14" s="1"/>
  <c r="H234" i="14" a="1"/>
  <c r="H234" i="14" s="1"/>
  <c r="P224" i="14" a="1"/>
  <c r="P224" i="14" s="1"/>
  <c r="H224" i="14" a="1"/>
  <c r="H224" i="14" s="1"/>
  <c r="P376" i="14" a="1"/>
  <c r="P376" i="14" s="1"/>
  <c r="H376" i="14" a="1"/>
  <c r="H376" i="14" s="1"/>
  <c r="P300" i="14" a="1"/>
  <c r="P300" i="14" s="1"/>
  <c r="H300" i="14" a="1"/>
  <c r="H300" i="14" s="1"/>
  <c r="P262" i="14" a="1"/>
  <c r="P262" i="14" s="1"/>
  <c r="H262" i="14" a="1"/>
  <c r="H262" i="14" s="1"/>
  <c r="P396" i="14" a="1"/>
  <c r="P396" i="14" s="1"/>
  <c r="H396" i="14" a="1"/>
  <c r="H396" i="14" s="1"/>
  <c r="P330" i="14" a="1"/>
  <c r="P330" i="14" s="1"/>
  <c r="H330" i="14" a="1"/>
  <c r="H330" i="14" s="1"/>
  <c r="P242" i="14" a="1"/>
  <c r="P242" i="14" s="1"/>
  <c r="H242" i="14" a="1"/>
  <c r="H242" i="14" s="1"/>
  <c r="P372" i="14" a="1"/>
  <c r="P372" i="14" s="1"/>
  <c r="H372" i="14" a="1"/>
  <c r="H372" i="14" s="1"/>
  <c r="P216" i="14" a="1"/>
  <c r="P216" i="14" s="1"/>
  <c r="H216" i="14" a="1"/>
  <c r="H216" i="14" s="1"/>
  <c r="P384" i="14" a="1"/>
  <c r="P384" i="14" s="1"/>
  <c r="H384" i="14" a="1"/>
  <c r="H384" i="14" s="1"/>
  <c r="P284" i="14" a="1"/>
  <c r="P284" i="14" s="1"/>
  <c r="H284" i="14" a="1"/>
  <c r="H284" i="14" s="1"/>
  <c r="P246" i="14" a="1"/>
  <c r="P246" i="14" s="1"/>
  <c r="H246" i="14" a="1"/>
  <c r="H246" i="14" s="1"/>
  <c r="P360" i="14" a="1"/>
  <c r="P360" i="14" s="1"/>
  <c r="H360" i="14" a="1"/>
  <c r="H360" i="14" s="1"/>
  <c r="P272" i="14" a="1"/>
  <c r="P272" i="14" s="1"/>
  <c r="H272" i="14" a="1"/>
  <c r="H272" i="14" s="1"/>
  <c r="P386" i="14" a="1"/>
  <c r="P386" i="14" s="1"/>
  <c r="H386" i="14" a="1"/>
  <c r="H386" i="14" s="1"/>
  <c r="P410" i="14" a="1"/>
  <c r="P410" i="14" s="1"/>
  <c r="H410" i="14" a="1"/>
  <c r="H410" i="14" s="1"/>
  <c r="P332" i="14" a="1"/>
  <c r="P332" i="14" s="1"/>
  <c r="H332" i="14" a="1"/>
  <c r="H332" i="14" s="1"/>
  <c r="P402" i="14" a="1"/>
  <c r="P402" i="14" s="1"/>
  <c r="H402" i="14" a="1"/>
  <c r="H402" i="14" s="1"/>
  <c r="P270" i="14" a="1"/>
  <c r="P270" i="14" s="1"/>
  <c r="H270" i="14" a="1"/>
  <c r="H270" i="14" s="1"/>
  <c r="P344" i="14" a="1"/>
  <c r="P344" i="14" s="1"/>
  <c r="H344" i="14" a="1"/>
  <c r="H344" i="14" s="1"/>
  <c r="P244" i="14" a="1"/>
  <c r="P244" i="14" s="1"/>
  <c r="H244" i="14" a="1"/>
  <c r="H244" i="14" s="1"/>
  <c r="P274" i="14" a="1"/>
  <c r="P274" i="14" s="1"/>
  <c r="H274" i="14" a="1"/>
  <c r="H274" i="14" s="1"/>
  <c r="P340" i="14" a="1"/>
  <c r="P340" i="14" s="1"/>
  <c r="H340" i="14" a="1"/>
  <c r="H340" i="14" s="1"/>
  <c r="P250" i="14" a="1"/>
  <c r="P250" i="14" s="1"/>
  <c r="H250" i="14" a="1"/>
  <c r="H250" i="14" s="1"/>
  <c r="P280" i="14" a="1"/>
  <c r="P280" i="14" s="1"/>
  <c r="H280" i="14" a="1"/>
  <c r="H280" i="14" s="1"/>
  <c r="P336" i="14" a="1"/>
  <c r="P336" i="14" s="1"/>
  <c r="H336" i="14" a="1"/>
  <c r="H336" i="14" s="1"/>
  <c r="P292" i="14" a="1"/>
  <c r="P292" i="14" s="1"/>
  <c r="H292" i="14" a="1"/>
  <c r="H292" i="14" s="1"/>
  <c r="P302" i="14" a="1"/>
  <c r="P302" i="14" s="1"/>
  <c r="H302" i="14" a="1"/>
  <c r="H302" i="14" s="1"/>
  <c r="P394" i="14" a="1"/>
  <c r="P394" i="14" s="1"/>
  <c r="H394" i="14" a="1"/>
  <c r="H394" i="14" s="1"/>
  <c r="P226" i="14" a="1"/>
  <c r="P226" i="14" s="1"/>
  <c r="H226" i="14" a="1"/>
  <c r="H226" i="14" s="1"/>
  <c r="P276" i="14" a="1"/>
  <c r="P276" i="14" s="1"/>
  <c r="H276" i="14" a="1"/>
  <c r="H276" i="14" s="1"/>
  <c r="P304" i="14" a="1"/>
  <c r="P304" i="14" s="1"/>
  <c r="H304" i="14" a="1"/>
  <c r="H304" i="14" s="1"/>
  <c r="P370" i="14" a="1"/>
  <c r="P370" i="14" s="1"/>
  <c r="H370" i="14" a="1"/>
  <c r="H370" i="14" s="1"/>
  <c r="P264" i="14" a="1"/>
  <c r="P264" i="14" s="1"/>
  <c r="H264" i="14" a="1"/>
  <c r="H264" i="14" s="1"/>
  <c r="P356" i="14" a="1"/>
  <c r="P356" i="14" s="1"/>
  <c r="H356" i="14" a="1"/>
  <c r="H356" i="14" s="1"/>
  <c r="P290" i="14" a="1"/>
  <c r="P290" i="14" s="1"/>
  <c r="H290" i="14" a="1"/>
  <c r="H290" i="14" s="1"/>
  <c r="P412" i="14" a="1"/>
  <c r="P412" i="14" s="1"/>
  <c r="H412" i="14" a="1"/>
  <c r="H412" i="14" s="1"/>
  <c r="P286" i="14" a="1"/>
  <c r="P286" i="14" s="1"/>
  <c r="H286" i="14" a="1"/>
  <c r="H286" i="14" s="1"/>
  <c r="P232" i="14" a="1"/>
  <c r="P232" i="14" s="1"/>
  <c r="H232" i="14" a="1"/>
  <c r="H232" i="14" s="1"/>
  <c r="P354" i="14" a="1"/>
  <c r="P354" i="14" s="1"/>
  <c r="H354" i="14" a="1"/>
  <c r="H354" i="14" s="1"/>
  <c r="P252" i="14" a="1"/>
  <c r="P252" i="14" s="1"/>
  <c r="H252" i="14" a="1"/>
  <c r="H252" i="14" s="1"/>
  <c r="P222" i="14" a="1"/>
  <c r="P222" i="14" s="1"/>
  <c r="H222" i="14" a="1"/>
  <c r="H222" i="14" s="1"/>
  <c r="P392" i="14" a="1"/>
  <c r="P392" i="14" s="1"/>
  <c r="H392" i="14" a="1"/>
  <c r="H392" i="14" s="1"/>
  <c r="P352" i="14" a="1"/>
  <c r="P352" i="14" s="1"/>
  <c r="H352" i="14" a="1"/>
  <c r="H352" i="14" s="1"/>
  <c r="P214" i="14" a="1"/>
  <c r="P214" i="14" s="1"/>
  <c r="H214" i="14" a="1"/>
  <c r="H214" i="14" s="1"/>
  <c r="P362" i="14" a="1"/>
  <c r="P362" i="14" s="1"/>
  <c r="H362" i="14" a="1"/>
  <c r="H362" i="14" s="1"/>
  <c r="BL289" i="14"/>
  <c r="E289" i="14"/>
  <c r="D289" i="14"/>
  <c r="J289" i="14"/>
  <c r="BA289" i="14"/>
  <c r="G289" i="14"/>
  <c r="I289" i="14"/>
  <c r="T289" i="14"/>
  <c r="Q289" i="14"/>
  <c r="R289" i="14"/>
  <c r="W289" i="14"/>
  <c r="U289" i="14"/>
  <c r="AY289" i="14"/>
  <c r="AZ289" i="14"/>
  <c r="BM289" i="14"/>
  <c r="BB289" i="14"/>
  <c r="BL287" i="14"/>
  <c r="BM287" i="14"/>
  <c r="BL270" i="14"/>
  <c r="BM270" i="14"/>
  <c r="BL226" i="14"/>
  <c r="BM226" i="14"/>
  <c r="BL318" i="14"/>
  <c r="BM318" i="14"/>
  <c r="BL313" i="14"/>
  <c r="BM313" i="14"/>
  <c r="BL409" i="14"/>
  <c r="BM409" i="14"/>
  <c r="BL215" i="14"/>
  <c r="BM215" i="14"/>
  <c r="BL394" i="14"/>
  <c r="BM394" i="14"/>
  <c r="BL276" i="14"/>
  <c r="BM276" i="14"/>
  <c r="BL297" i="14"/>
  <c r="BM297" i="14"/>
  <c r="BL304" i="14"/>
  <c r="BM304" i="14"/>
  <c r="BL225" i="14"/>
  <c r="BM225" i="14"/>
  <c r="BL248" i="14"/>
  <c r="BM248" i="14"/>
  <c r="BL295" i="14"/>
  <c r="BM295" i="14"/>
  <c r="BL370" i="14"/>
  <c r="BM370" i="14"/>
  <c r="BL367" i="14"/>
  <c r="BM367" i="14"/>
  <c r="BL407" i="14"/>
  <c r="BM407" i="14"/>
  <c r="BL323" i="14"/>
  <c r="BM323" i="14"/>
  <c r="BL219" i="14"/>
  <c r="BM219" i="14"/>
  <c r="BL239" i="14"/>
  <c r="BM239" i="14"/>
  <c r="BL306" i="14"/>
  <c r="BM306" i="14"/>
  <c r="BL344" i="14"/>
  <c r="BM344" i="14"/>
  <c r="BL235" i="14"/>
  <c r="BM235" i="14"/>
  <c r="BL358" i="14"/>
  <c r="BM358" i="14"/>
  <c r="BL305" i="14"/>
  <c r="BM305" i="14"/>
  <c r="BL351" i="14"/>
  <c r="BM351" i="14"/>
  <c r="BL264" i="14"/>
  <c r="BM264" i="14"/>
  <c r="BL244" i="14"/>
  <c r="BM244" i="14"/>
  <c r="BL281" i="14"/>
  <c r="BM281" i="14"/>
  <c r="BL309" i="14"/>
  <c r="BM309" i="14"/>
  <c r="BL356" i="14"/>
  <c r="BM356" i="14"/>
  <c r="BL284" i="14"/>
  <c r="BM284" i="14"/>
  <c r="BL290" i="14"/>
  <c r="BM290" i="14"/>
  <c r="BL240" i="14"/>
  <c r="BM240" i="14"/>
  <c r="BL412" i="14"/>
  <c r="BM412" i="14"/>
  <c r="BL327" i="14"/>
  <c r="BM327" i="14"/>
  <c r="BL286" i="14"/>
  <c r="BM286" i="14"/>
  <c r="BL282" i="14"/>
  <c r="BM282" i="14"/>
  <c r="BL378" i="14"/>
  <c r="BM378" i="14"/>
  <c r="BL245" i="14"/>
  <c r="BM245" i="14"/>
  <c r="BL403" i="14"/>
  <c r="BM403" i="14"/>
  <c r="BL220" i="14"/>
  <c r="BM220" i="14"/>
  <c r="BL345" i="14"/>
  <c r="BM345" i="14"/>
  <c r="BL321" i="14"/>
  <c r="BM321" i="14"/>
  <c r="BL311" i="14"/>
  <c r="BM311" i="14"/>
  <c r="BL341" i="14"/>
  <c r="BM341" i="14"/>
  <c r="BL398" i="14"/>
  <c r="BM398" i="14"/>
  <c r="BL383" i="14"/>
  <c r="BM383" i="14"/>
  <c r="BL337" i="14"/>
  <c r="BM337" i="14"/>
  <c r="BL256" i="14"/>
  <c r="BM256" i="14"/>
  <c r="BL326" i="14"/>
  <c r="BM326" i="14"/>
  <c r="BL408" i="14"/>
  <c r="BM408" i="14"/>
  <c r="BL301" i="14"/>
  <c r="BM301" i="14"/>
  <c r="BL335" i="14"/>
  <c r="BM335" i="14"/>
  <c r="BL261" i="14"/>
  <c r="BM261" i="14"/>
  <c r="BL404" i="14"/>
  <c r="BM404" i="14"/>
  <c r="BL249" i="14"/>
  <c r="BM249" i="14"/>
  <c r="BL236" i="14"/>
  <c r="BM236" i="14"/>
  <c r="BL314" i="14"/>
  <c r="BM314" i="14"/>
  <c r="BL348" i="14"/>
  <c r="BM348" i="14"/>
  <c r="BL377" i="14"/>
  <c r="BM377" i="14"/>
  <c r="BL353" i="14"/>
  <c r="BM353" i="14"/>
  <c r="BL232" i="14"/>
  <c r="BM232" i="14"/>
  <c r="BL368" i="14"/>
  <c r="BM368" i="14"/>
  <c r="BL285" i="14"/>
  <c r="BM285" i="14"/>
  <c r="BL316" i="14"/>
  <c r="BM316" i="14"/>
  <c r="BL354" i="14"/>
  <c r="BM354" i="14"/>
  <c r="BL234" i="14"/>
  <c r="BM234" i="14"/>
  <c r="BL343" i="14"/>
  <c r="BM343" i="14"/>
  <c r="BL217" i="14"/>
  <c r="BM217" i="14"/>
  <c r="BL251" i="14"/>
  <c r="BM251" i="14"/>
  <c r="BL224" i="14"/>
  <c r="BM224" i="14"/>
  <c r="BL252" i="14"/>
  <c r="BM252" i="14"/>
  <c r="BL376" i="14"/>
  <c r="BM376" i="14"/>
  <c r="BL233" i="14"/>
  <c r="BM233" i="14"/>
  <c r="BL303" i="14"/>
  <c r="BM303" i="14"/>
  <c r="BL291" i="14"/>
  <c r="BM291" i="14"/>
  <c r="BL300" i="14"/>
  <c r="BM300" i="14"/>
  <c r="BL397" i="14"/>
  <c r="BM397" i="14"/>
  <c r="BL279" i="14"/>
  <c r="BM279" i="14"/>
  <c r="BL222" i="14"/>
  <c r="BM222" i="14"/>
  <c r="BL262" i="14"/>
  <c r="BM262" i="14"/>
  <c r="BL259" i="14"/>
  <c r="BM259" i="14"/>
  <c r="BL275" i="14"/>
  <c r="BM275" i="14"/>
  <c r="BL257" i="14"/>
  <c r="BM257" i="14"/>
  <c r="BL349" i="14"/>
  <c r="BM349" i="14"/>
  <c r="BL392" i="14"/>
  <c r="BM392" i="14"/>
  <c r="BL395" i="14"/>
  <c r="BM395" i="14"/>
  <c r="BL229" i="14"/>
  <c r="BM229" i="14"/>
  <c r="BL268" i="14"/>
  <c r="BM268" i="14"/>
  <c r="BL413" i="14"/>
  <c r="BM413" i="14"/>
  <c r="BL396" i="14"/>
  <c r="BM396" i="14"/>
  <c r="BL352" i="14"/>
  <c r="BM352" i="14"/>
  <c r="BL330" i="14"/>
  <c r="BM330" i="14"/>
  <c r="BL214" i="14"/>
  <c r="BM214" i="14"/>
  <c r="BL389" i="14"/>
  <c r="BM389" i="14"/>
  <c r="BL362" i="14"/>
  <c r="BM362" i="14"/>
  <c r="BL273" i="14"/>
  <c r="BM273" i="14"/>
  <c r="BL227" i="14"/>
  <c r="BM227" i="14"/>
  <c r="BL371" i="14"/>
  <c r="BM371" i="14"/>
  <c r="BL213" i="14"/>
  <c r="BM213" i="14"/>
  <c r="BL361" i="14"/>
  <c r="BM361" i="14"/>
  <c r="BL277" i="14"/>
  <c r="BM277" i="14"/>
  <c r="BL242" i="14"/>
  <c r="BM242" i="14"/>
  <c r="BL255" i="14"/>
  <c r="BM255" i="14"/>
  <c r="BL288" i="14"/>
  <c r="BM288" i="14"/>
  <c r="BL218" i="14"/>
  <c r="BM218" i="14"/>
  <c r="BL237" i="14"/>
  <c r="BM237" i="14"/>
  <c r="BL401" i="14"/>
  <c r="BM401" i="14"/>
  <c r="BL320" i="14"/>
  <c r="BM320" i="14"/>
  <c r="BL369" i="14"/>
  <c r="BM369" i="14"/>
  <c r="BL372" i="14"/>
  <c r="BM372" i="14"/>
  <c r="BL324" i="14"/>
  <c r="BM324" i="14"/>
  <c r="BL267" i="14"/>
  <c r="BM267" i="14"/>
  <c r="BL254" i="14"/>
  <c r="BM254" i="14"/>
  <c r="BL247" i="14"/>
  <c r="BM247" i="14"/>
  <c r="BL405" i="14"/>
  <c r="BM405" i="14"/>
  <c r="BL315" i="14"/>
  <c r="BM315" i="14"/>
  <c r="BL406" i="14"/>
  <c r="BM406" i="14"/>
  <c r="BL355" i="14"/>
  <c r="BM355" i="14"/>
  <c r="BL258" i="14"/>
  <c r="BM258" i="14"/>
  <c r="BL216" i="14"/>
  <c r="BM216" i="14"/>
  <c r="BL296" i="14"/>
  <c r="BM296" i="14"/>
  <c r="BL385" i="14"/>
  <c r="BM385" i="14"/>
  <c r="BL333" i="14"/>
  <c r="BM333" i="14"/>
  <c r="BL317" i="14"/>
  <c r="BM317" i="14"/>
  <c r="BL312" i="14"/>
  <c r="BM312" i="14"/>
  <c r="BL384" i="14"/>
  <c r="BM384" i="14"/>
  <c r="BL334" i="14"/>
  <c r="BM334" i="14"/>
  <c r="BL381" i="14"/>
  <c r="BM381" i="14"/>
  <c r="BL400" i="14"/>
  <c r="BM400" i="14"/>
  <c r="BL365" i="14"/>
  <c r="BM365" i="14"/>
  <c r="BL294" i="14"/>
  <c r="BM294" i="14"/>
  <c r="BL357" i="14"/>
  <c r="BM357" i="14"/>
  <c r="BL221" i="14"/>
  <c r="BM221" i="14"/>
  <c r="BL238" i="14"/>
  <c r="BM238" i="14"/>
  <c r="BL293" i="14"/>
  <c r="BM293" i="14"/>
  <c r="BL231" i="14"/>
  <c r="BM231" i="14"/>
  <c r="BL375" i="14"/>
  <c r="BM375" i="14"/>
  <c r="BL263" i="14"/>
  <c r="BM263" i="14"/>
  <c r="BL388" i="14"/>
  <c r="BM388" i="14"/>
  <c r="BL265" i="14"/>
  <c r="BM265" i="14"/>
  <c r="BL246" i="14"/>
  <c r="BM246" i="14"/>
  <c r="BL278" i="14"/>
  <c r="BM278" i="14"/>
  <c r="BL360" i="14"/>
  <c r="BM360" i="14"/>
  <c r="BL329" i="14"/>
  <c r="BM329" i="14"/>
  <c r="BL272" i="14"/>
  <c r="BM272" i="14"/>
  <c r="BL243" i="14"/>
  <c r="BM243" i="14"/>
  <c r="BL386" i="14"/>
  <c r="BM386" i="14"/>
  <c r="BL380" i="14"/>
  <c r="BM380" i="14"/>
  <c r="BL359" i="14"/>
  <c r="BM359" i="14"/>
  <c r="BL350" i="14"/>
  <c r="BM350" i="14"/>
  <c r="BL269" i="14"/>
  <c r="BM269" i="14"/>
  <c r="BL230" i="14"/>
  <c r="BM230" i="14"/>
  <c r="BL338" i="14"/>
  <c r="BM338" i="14"/>
  <c r="BL228" i="14"/>
  <c r="BM228" i="14"/>
  <c r="BL411" i="14"/>
  <c r="BM411" i="14"/>
  <c r="BL307" i="14"/>
  <c r="BM307" i="14"/>
  <c r="BL410" i="14"/>
  <c r="BM410" i="14"/>
  <c r="BL390" i="14"/>
  <c r="BM390" i="14"/>
  <c r="BL332" i="14"/>
  <c r="BM332" i="14"/>
  <c r="BL364" i="14"/>
  <c r="BM364" i="14"/>
  <c r="BL308" i="14"/>
  <c r="BM308" i="14"/>
  <c r="BL346" i="14"/>
  <c r="BM346" i="14"/>
  <c r="BL402" i="14"/>
  <c r="BM402" i="14"/>
  <c r="BL331" i="14"/>
  <c r="BM331" i="14"/>
  <c r="BL387" i="14"/>
  <c r="BM387" i="14"/>
  <c r="BL379" i="14"/>
  <c r="BM379" i="14"/>
  <c r="BL342" i="14"/>
  <c r="BM342" i="14"/>
  <c r="BL310" i="14"/>
  <c r="BM310" i="14"/>
  <c r="BL391" i="14"/>
  <c r="BM391" i="14"/>
  <c r="BL271" i="14"/>
  <c r="BM271" i="14"/>
  <c r="BL399" i="14"/>
  <c r="BM399" i="14"/>
  <c r="BL298" i="14"/>
  <c r="BM298" i="14"/>
  <c r="BL393" i="14"/>
  <c r="BM393" i="14"/>
  <c r="BL274" i="14"/>
  <c r="BM274" i="14"/>
  <c r="BL322" i="14"/>
  <c r="BM322" i="14"/>
  <c r="BL253" i="14"/>
  <c r="BM253" i="14"/>
  <c r="BL266" i="14"/>
  <c r="BM266" i="14"/>
  <c r="BL223" i="14"/>
  <c r="BM223" i="14"/>
  <c r="BL374" i="14"/>
  <c r="BM374" i="14"/>
  <c r="BL363" i="14"/>
  <c r="BM363" i="14"/>
  <c r="BL325" i="14"/>
  <c r="BM325" i="14"/>
  <c r="BL340" i="14"/>
  <c r="BM340" i="14"/>
  <c r="BL241" i="14"/>
  <c r="BM241" i="14"/>
  <c r="BL347" i="14"/>
  <c r="BM347" i="14"/>
  <c r="BL283" i="14"/>
  <c r="BM283" i="14"/>
  <c r="BL250" i="14"/>
  <c r="BM250" i="14"/>
  <c r="BL328" i="14"/>
  <c r="BM328" i="14"/>
  <c r="BL280" i="14"/>
  <c r="BM280" i="14"/>
  <c r="BL260" i="14"/>
  <c r="BM260" i="14"/>
  <c r="BL299" i="14"/>
  <c r="BM299" i="14"/>
  <c r="BL373" i="14"/>
  <c r="BM373" i="14"/>
  <c r="BL336" i="14"/>
  <c r="BM336" i="14"/>
  <c r="BL366" i="14"/>
  <c r="BM366" i="14"/>
  <c r="BL292" i="14"/>
  <c r="BM292" i="14"/>
  <c r="BL382" i="14"/>
  <c r="BM382" i="14"/>
  <c r="BL302" i="14"/>
  <c r="BM302" i="14"/>
  <c r="BL339" i="14"/>
  <c r="BM339" i="14"/>
  <c r="BL319" i="14"/>
  <c r="BM319" i="14"/>
  <c r="BA234" i="14"/>
  <c r="BB234" i="14"/>
  <c r="BA343" i="14"/>
  <c r="BB343" i="14"/>
  <c r="BA217" i="14"/>
  <c r="BB217" i="14"/>
  <c r="BA251" i="14"/>
  <c r="BB251" i="14"/>
  <c r="BA224" i="14"/>
  <c r="BB224" i="14"/>
  <c r="BA252" i="14"/>
  <c r="BB252" i="14"/>
  <c r="BA376" i="14"/>
  <c r="BB376" i="14"/>
  <c r="BA233" i="14"/>
  <c r="BB233" i="14"/>
  <c r="BA303" i="14"/>
  <c r="BB303" i="14"/>
  <c r="BA291" i="14"/>
  <c r="BB291" i="14"/>
  <c r="BA300" i="14"/>
  <c r="BB300" i="14"/>
  <c r="BA397" i="14"/>
  <c r="BB397" i="14"/>
  <c r="BA279" i="14"/>
  <c r="BB279" i="14"/>
  <c r="BA222" i="14"/>
  <c r="BB222" i="14"/>
  <c r="BA262" i="14"/>
  <c r="BB262" i="14"/>
  <c r="BA259" i="14"/>
  <c r="BB259" i="14"/>
  <c r="BA275" i="14"/>
  <c r="BB275" i="14"/>
  <c r="BA257" i="14"/>
  <c r="BB257" i="14"/>
  <c r="BA349" i="14"/>
  <c r="BB349" i="14"/>
  <c r="BA392" i="14"/>
  <c r="BB392" i="14"/>
  <c r="BA395" i="14"/>
  <c r="BB395" i="14"/>
  <c r="BA229" i="14"/>
  <c r="BB229" i="14"/>
  <c r="BA268" i="14"/>
  <c r="BB268" i="14"/>
  <c r="BA413" i="14"/>
  <c r="BB413" i="14"/>
  <c r="BA396" i="14"/>
  <c r="BB396" i="14"/>
  <c r="BA352" i="14"/>
  <c r="BB352" i="14"/>
  <c r="BA330" i="14"/>
  <c r="BB330" i="14"/>
  <c r="BA214" i="14"/>
  <c r="BB214" i="14"/>
  <c r="BA389" i="14"/>
  <c r="BB389" i="14"/>
  <c r="BA362" i="14"/>
  <c r="BB362" i="14"/>
  <c r="BA273" i="14"/>
  <c r="BB273" i="14"/>
  <c r="BA227" i="14"/>
  <c r="BB227" i="14"/>
  <c r="BA371" i="14"/>
  <c r="BB371" i="14"/>
  <c r="BA213" i="14"/>
  <c r="BB213" i="14"/>
  <c r="BA361" i="14"/>
  <c r="BB361" i="14"/>
  <c r="BA277" i="14"/>
  <c r="BB277" i="14"/>
  <c r="BA242" i="14"/>
  <c r="BB242" i="14"/>
  <c r="BA255" i="14"/>
  <c r="BB255" i="14"/>
  <c r="BA288" i="14"/>
  <c r="BB288" i="14"/>
  <c r="BA218" i="14"/>
  <c r="BB218" i="14"/>
  <c r="BA237" i="14"/>
  <c r="BB237" i="14"/>
  <c r="BA401" i="14"/>
  <c r="BB401" i="14"/>
  <c r="BA320" i="14"/>
  <c r="BB320" i="14"/>
  <c r="BA369" i="14"/>
  <c r="BB369" i="14"/>
  <c r="BA372" i="14"/>
  <c r="BB372" i="14"/>
  <c r="BA324" i="14"/>
  <c r="BB324" i="14"/>
  <c r="BA267" i="14"/>
  <c r="BB267" i="14"/>
  <c r="BA254" i="14"/>
  <c r="BB254" i="14"/>
  <c r="BA247" i="14"/>
  <c r="BB247" i="14"/>
  <c r="BA405" i="14"/>
  <c r="BB405" i="14"/>
  <c r="BA315" i="14"/>
  <c r="BB315" i="14"/>
  <c r="BA406" i="14"/>
  <c r="BB406" i="14"/>
  <c r="BA355" i="14"/>
  <c r="BB355" i="14"/>
  <c r="BA258" i="14"/>
  <c r="BB258" i="14"/>
  <c r="BA216" i="14"/>
  <c r="BB216" i="14"/>
  <c r="BA296" i="14"/>
  <c r="BB296" i="14"/>
  <c r="BA385" i="14"/>
  <c r="BB385" i="14"/>
  <c r="BA333" i="14"/>
  <c r="BB333" i="14"/>
  <c r="BA317" i="14"/>
  <c r="BB317" i="14"/>
  <c r="BA312" i="14"/>
  <c r="BB312" i="14"/>
  <c r="BA384" i="14"/>
  <c r="BB384" i="14"/>
  <c r="BA334" i="14"/>
  <c r="BB334" i="14"/>
  <c r="BA381" i="14"/>
  <c r="BB381" i="14"/>
  <c r="BA400" i="14"/>
  <c r="BB400" i="14"/>
  <c r="BA365" i="14"/>
  <c r="BB365" i="14"/>
  <c r="BA294" i="14"/>
  <c r="BB294" i="14"/>
  <c r="BA357" i="14"/>
  <c r="BB357" i="14"/>
  <c r="BA221" i="14"/>
  <c r="BB221" i="14"/>
  <c r="BA238" i="14"/>
  <c r="BB238" i="14"/>
  <c r="BA293" i="14"/>
  <c r="BB293" i="14"/>
  <c r="BA231" i="14"/>
  <c r="BB231" i="14"/>
  <c r="BA375" i="14"/>
  <c r="BB375" i="14"/>
  <c r="BA263" i="14"/>
  <c r="BB263" i="14"/>
  <c r="BA388" i="14"/>
  <c r="BB388" i="14"/>
  <c r="BA265" i="14"/>
  <c r="BB265" i="14"/>
  <c r="BA246" i="14"/>
  <c r="BB246" i="14"/>
  <c r="BA278" i="14"/>
  <c r="BB278" i="14"/>
  <c r="BA360" i="14"/>
  <c r="BB360" i="14"/>
  <c r="BA329" i="14"/>
  <c r="BB329" i="14"/>
  <c r="BA272" i="14"/>
  <c r="BB272" i="14"/>
  <c r="BA243" i="14"/>
  <c r="BB243" i="14"/>
  <c r="BA386" i="14"/>
  <c r="BB386" i="14"/>
  <c r="BA380" i="14"/>
  <c r="BB380" i="14"/>
  <c r="BA359" i="14"/>
  <c r="BB359" i="14"/>
  <c r="BA350" i="14"/>
  <c r="BB350" i="14"/>
  <c r="BA269" i="14"/>
  <c r="BB269" i="14"/>
  <c r="BA230" i="14"/>
  <c r="BB230" i="14"/>
  <c r="BA338" i="14"/>
  <c r="BB338" i="14"/>
  <c r="BA228" i="14"/>
  <c r="BB228" i="14"/>
  <c r="BA411" i="14"/>
  <c r="BB411" i="14"/>
  <c r="BA307" i="14"/>
  <c r="BB307" i="14"/>
  <c r="BA410" i="14"/>
  <c r="BB410" i="14"/>
  <c r="BA390" i="14"/>
  <c r="BB390" i="14"/>
  <c r="BA332" i="14"/>
  <c r="BB332" i="14"/>
  <c r="BA364" i="14"/>
  <c r="BB364" i="14"/>
  <c r="BA308" i="14"/>
  <c r="BB308" i="14"/>
  <c r="BA346" i="14"/>
  <c r="BB346" i="14"/>
  <c r="BA402" i="14"/>
  <c r="BB402" i="14"/>
  <c r="BA331" i="14"/>
  <c r="BB331" i="14"/>
  <c r="BA387" i="14"/>
  <c r="BB387" i="14"/>
  <c r="BA379" i="14"/>
  <c r="BB379" i="14"/>
  <c r="BA342" i="14"/>
  <c r="BB342" i="14"/>
  <c r="BA310" i="14"/>
  <c r="BB310" i="14"/>
  <c r="BA391" i="14"/>
  <c r="BB391" i="14"/>
  <c r="BA271" i="14"/>
  <c r="BB271" i="14"/>
  <c r="BA399" i="14"/>
  <c r="BB399" i="14"/>
  <c r="BA298" i="14"/>
  <c r="BB298" i="14"/>
  <c r="BA393" i="14"/>
  <c r="BB393" i="14"/>
  <c r="BA274" i="14"/>
  <c r="BB274" i="14"/>
  <c r="BA322" i="14"/>
  <c r="BB322" i="14"/>
  <c r="BA253" i="14"/>
  <c r="BB253" i="14"/>
  <c r="BA266" i="14"/>
  <c r="BB266" i="14"/>
  <c r="BA223" i="14"/>
  <c r="BB223" i="14"/>
  <c r="BA374" i="14"/>
  <c r="BB374" i="14"/>
  <c r="BA363" i="14"/>
  <c r="BB363" i="14"/>
  <c r="BA325" i="14"/>
  <c r="BB325" i="14"/>
  <c r="BA340" i="14"/>
  <c r="BB340" i="14"/>
  <c r="BA241" i="14"/>
  <c r="BB241" i="14"/>
  <c r="BA347" i="14"/>
  <c r="BB347" i="14"/>
  <c r="BA283" i="14"/>
  <c r="BB283" i="14"/>
  <c r="BA250" i="14"/>
  <c r="BB250" i="14"/>
  <c r="BA328" i="14"/>
  <c r="BB328" i="14"/>
  <c r="BA280" i="14"/>
  <c r="BB280" i="14"/>
  <c r="BA260" i="14"/>
  <c r="BB260" i="14"/>
  <c r="BA299" i="14"/>
  <c r="BB299" i="14"/>
  <c r="BA373" i="14"/>
  <c r="BB373" i="14"/>
  <c r="BA336" i="14"/>
  <c r="BB336" i="14"/>
  <c r="BA366" i="14"/>
  <c r="BB366" i="14"/>
  <c r="BA292" i="14"/>
  <c r="BB292" i="14"/>
  <c r="BA382" i="14"/>
  <c r="BB382" i="14"/>
  <c r="BA302" i="14"/>
  <c r="BB302" i="14"/>
  <c r="BA339" i="14"/>
  <c r="BB339" i="14"/>
  <c r="BA319" i="14"/>
  <c r="BB319" i="14"/>
  <c r="BA287" i="14"/>
  <c r="BB287" i="14"/>
  <c r="BA270" i="14"/>
  <c r="BB270" i="14"/>
  <c r="BA226" i="14"/>
  <c r="BB226" i="14"/>
  <c r="BA318" i="14"/>
  <c r="BB318" i="14"/>
  <c r="BA313" i="14"/>
  <c r="BB313" i="14"/>
  <c r="BA409" i="14"/>
  <c r="BB409" i="14"/>
  <c r="BA215" i="14"/>
  <c r="BB215" i="14"/>
  <c r="BA394" i="14"/>
  <c r="BB394" i="14"/>
  <c r="BA276" i="14"/>
  <c r="BB276" i="14"/>
  <c r="BA297" i="14"/>
  <c r="BB297" i="14"/>
  <c r="BA304" i="14"/>
  <c r="BB304" i="14"/>
  <c r="BA225" i="14"/>
  <c r="BB225" i="14"/>
  <c r="BA248" i="14"/>
  <c r="BB248" i="14"/>
  <c r="BA295" i="14"/>
  <c r="BB295" i="14"/>
  <c r="BA370" i="14"/>
  <c r="BB370" i="14"/>
  <c r="BA367" i="14"/>
  <c r="BB367" i="14"/>
  <c r="BA407" i="14"/>
  <c r="BB407" i="14"/>
  <c r="BA323" i="14"/>
  <c r="BB323" i="14"/>
  <c r="BA219" i="14"/>
  <c r="BB219" i="14"/>
  <c r="BA239" i="14"/>
  <c r="BB239" i="14"/>
  <c r="BA306" i="14"/>
  <c r="BB306" i="14"/>
  <c r="BA344" i="14"/>
  <c r="BB344" i="14"/>
  <c r="BA235" i="14"/>
  <c r="BB235" i="14"/>
  <c r="BA358" i="14"/>
  <c r="BB358" i="14"/>
  <c r="BA305" i="14"/>
  <c r="BB305" i="14"/>
  <c r="BA351" i="14"/>
  <c r="BB351" i="14"/>
  <c r="BA264" i="14"/>
  <c r="BB264" i="14"/>
  <c r="BA244" i="14"/>
  <c r="BB244" i="14"/>
  <c r="BA281" i="14"/>
  <c r="BB281" i="14"/>
  <c r="BA309" i="14"/>
  <c r="BB309" i="14"/>
  <c r="BA356" i="14"/>
  <c r="BB356" i="14"/>
  <c r="BA284" i="14"/>
  <c r="BB284" i="14"/>
  <c r="BA290" i="14"/>
  <c r="BB290" i="14"/>
  <c r="BA240" i="14"/>
  <c r="BB240" i="14"/>
  <c r="BA412" i="14"/>
  <c r="BB412" i="14"/>
  <c r="BA327" i="14"/>
  <c r="BB327" i="14"/>
  <c r="BA286" i="14"/>
  <c r="BB286" i="14"/>
  <c r="BA282" i="14"/>
  <c r="BB282" i="14"/>
  <c r="BA378" i="14"/>
  <c r="BB378" i="14"/>
  <c r="BA245" i="14"/>
  <c r="BB245" i="14"/>
  <c r="BA403" i="14"/>
  <c r="BB403" i="14"/>
  <c r="BA220" i="14"/>
  <c r="BB220" i="14"/>
  <c r="BA345" i="14"/>
  <c r="BB345" i="14"/>
  <c r="BA321" i="14"/>
  <c r="BB321" i="14"/>
  <c r="BA311" i="14"/>
  <c r="BB311" i="14"/>
  <c r="BA341" i="14"/>
  <c r="BB341" i="14"/>
  <c r="BA398" i="14"/>
  <c r="BB398" i="14"/>
  <c r="BA383" i="14"/>
  <c r="BB383" i="14"/>
  <c r="BA337" i="14"/>
  <c r="BB337" i="14"/>
  <c r="BA256" i="14"/>
  <c r="BB256" i="14"/>
  <c r="BA326" i="14"/>
  <c r="BB326" i="14"/>
  <c r="BA408" i="14"/>
  <c r="BB408" i="14"/>
  <c r="BA301" i="14"/>
  <c r="BB301" i="14"/>
  <c r="BA335" i="14"/>
  <c r="BB335" i="14"/>
  <c r="BA261" i="14"/>
  <c r="BB261" i="14"/>
  <c r="BA404" i="14"/>
  <c r="BB404" i="14"/>
  <c r="BA249" i="14"/>
  <c r="BB249" i="14"/>
  <c r="BA236" i="14"/>
  <c r="BB236" i="14"/>
  <c r="BA314" i="14"/>
  <c r="BB314" i="14"/>
  <c r="BA348" i="14"/>
  <c r="BB348" i="14"/>
  <c r="BA377" i="14"/>
  <c r="BB377" i="14"/>
  <c r="BA353" i="14"/>
  <c r="BB353" i="14"/>
  <c r="BA232" i="14"/>
  <c r="BB232" i="14"/>
  <c r="BA368" i="14"/>
  <c r="BB368" i="14"/>
  <c r="BA285" i="14"/>
  <c r="BB285" i="14"/>
  <c r="BA316" i="14"/>
  <c r="BB316" i="14"/>
  <c r="BA354" i="14"/>
  <c r="BB354" i="14"/>
  <c r="AY240" i="14"/>
  <c r="AZ240" i="14"/>
  <c r="AY234" i="14"/>
  <c r="AZ234" i="14"/>
  <c r="AY361" i="14"/>
  <c r="AZ361" i="14"/>
  <c r="AY221" i="14"/>
  <c r="AZ221" i="14"/>
  <c r="AY379" i="14"/>
  <c r="AZ379" i="14"/>
  <c r="AY287" i="14"/>
  <c r="AZ287" i="14"/>
  <c r="AY412" i="14"/>
  <c r="AZ412" i="14"/>
  <c r="AY343" i="14"/>
  <c r="AZ343" i="14"/>
  <c r="AY277" i="14"/>
  <c r="AZ277" i="14"/>
  <c r="AY238" i="14"/>
  <c r="AZ238" i="14"/>
  <c r="AY342" i="14"/>
  <c r="AZ342" i="14"/>
  <c r="AY270" i="14"/>
  <c r="AZ270" i="14"/>
  <c r="AY327" i="14"/>
  <c r="AZ327" i="14"/>
  <c r="AY217" i="14"/>
  <c r="AZ217" i="14"/>
  <c r="AY242" i="14"/>
  <c r="AZ242" i="14"/>
  <c r="AY293" i="14"/>
  <c r="AZ293" i="14"/>
  <c r="AY310" i="14"/>
  <c r="AZ310" i="14"/>
  <c r="AY226" i="14"/>
  <c r="AZ226" i="14"/>
  <c r="AY286" i="14"/>
  <c r="AZ286" i="14"/>
  <c r="AY251" i="14"/>
  <c r="AZ251" i="14"/>
  <c r="AY255" i="14"/>
  <c r="AZ255" i="14"/>
  <c r="AY231" i="14"/>
  <c r="AZ231" i="14"/>
  <c r="AY391" i="14"/>
  <c r="AZ391" i="14"/>
  <c r="AY318" i="14"/>
  <c r="AZ318" i="14"/>
  <c r="AY282" i="14"/>
  <c r="AZ282" i="14"/>
  <c r="AY224" i="14"/>
  <c r="AZ224" i="14"/>
  <c r="AY288" i="14"/>
  <c r="AZ288" i="14"/>
  <c r="AY375" i="14"/>
  <c r="AZ375" i="14"/>
  <c r="AY271" i="14"/>
  <c r="AZ271" i="14"/>
  <c r="AY313" i="14"/>
  <c r="AZ313" i="14"/>
  <c r="AY378" i="14"/>
  <c r="AZ378" i="14"/>
  <c r="AY252" i="14"/>
  <c r="AZ252" i="14"/>
  <c r="AY218" i="14"/>
  <c r="AZ218" i="14"/>
  <c r="AY263" i="14"/>
  <c r="AZ263" i="14"/>
  <c r="AY399" i="14"/>
  <c r="AZ399" i="14"/>
  <c r="AY409" i="14"/>
  <c r="AZ409" i="14"/>
  <c r="AY245" i="14"/>
  <c r="AZ245" i="14"/>
  <c r="AY376" i="14"/>
  <c r="AZ376" i="14"/>
  <c r="AY237" i="14"/>
  <c r="AZ237" i="14"/>
  <c r="AY388" i="14"/>
  <c r="AZ388" i="14"/>
  <c r="AY298" i="14"/>
  <c r="AZ298" i="14"/>
  <c r="AY215" i="14"/>
  <c r="AZ215" i="14"/>
  <c r="AY403" i="14"/>
  <c r="AZ403" i="14"/>
  <c r="AY233" i="14"/>
  <c r="AZ233" i="14"/>
  <c r="AY401" i="14"/>
  <c r="AZ401" i="14"/>
  <c r="AY265" i="14"/>
  <c r="AZ265" i="14"/>
  <c r="AY393" i="14"/>
  <c r="AZ393" i="14"/>
  <c r="AY394" i="14"/>
  <c r="AZ394" i="14"/>
  <c r="AY220" i="14"/>
  <c r="AZ220" i="14"/>
  <c r="AY303" i="14"/>
  <c r="AZ303" i="14"/>
  <c r="AY320" i="14"/>
  <c r="AZ320" i="14"/>
  <c r="AY246" i="14"/>
  <c r="AZ246" i="14"/>
  <c r="AY274" i="14"/>
  <c r="AZ274" i="14"/>
  <c r="AY276" i="14"/>
  <c r="AZ276" i="14"/>
  <c r="AY345" i="14"/>
  <c r="AZ345" i="14"/>
  <c r="AY291" i="14"/>
  <c r="AZ291" i="14"/>
  <c r="AY369" i="14"/>
  <c r="AZ369" i="14"/>
  <c r="AY278" i="14"/>
  <c r="AZ278" i="14"/>
  <c r="AY322" i="14"/>
  <c r="AZ322" i="14"/>
  <c r="AY297" i="14"/>
  <c r="AZ297" i="14"/>
  <c r="AY321" i="14"/>
  <c r="AZ321" i="14"/>
  <c r="AY300" i="14"/>
  <c r="AZ300" i="14"/>
  <c r="AY372" i="14"/>
  <c r="AZ372" i="14"/>
  <c r="AY360" i="14"/>
  <c r="AZ360" i="14"/>
  <c r="AY253" i="14"/>
  <c r="AZ253" i="14"/>
  <c r="AY304" i="14"/>
  <c r="AZ304" i="14"/>
  <c r="AY311" i="14"/>
  <c r="AZ311" i="14"/>
  <c r="AY397" i="14"/>
  <c r="AZ397" i="14"/>
  <c r="AY324" i="14"/>
  <c r="AZ324" i="14"/>
  <c r="AY329" i="14"/>
  <c r="AZ329" i="14"/>
  <c r="AY266" i="14"/>
  <c r="AZ266" i="14"/>
  <c r="AY225" i="14"/>
  <c r="AZ225" i="14"/>
  <c r="AY341" i="14"/>
  <c r="AZ341" i="14"/>
  <c r="AY279" i="14"/>
  <c r="AZ279" i="14"/>
  <c r="AY267" i="14"/>
  <c r="AZ267" i="14"/>
  <c r="AY272" i="14"/>
  <c r="AZ272" i="14"/>
  <c r="AY223" i="14"/>
  <c r="AZ223" i="14"/>
  <c r="AY248" i="14"/>
  <c r="AZ248" i="14"/>
  <c r="AY398" i="14"/>
  <c r="AZ398" i="14"/>
  <c r="AY222" i="14"/>
  <c r="AZ222" i="14"/>
  <c r="AY254" i="14"/>
  <c r="AZ254" i="14"/>
  <c r="AY243" i="14"/>
  <c r="AZ243" i="14"/>
  <c r="AY374" i="14"/>
  <c r="AZ374" i="14"/>
  <c r="AY295" i="14"/>
  <c r="AZ295" i="14"/>
  <c r="AY383" i="14"/>
  <c r="AZ383" i="14"/>
  <c r="AY262" i="14"/>
  <c r="AZ262" i="14"/>
  <c r="AY247" i="14"/>
  <c r="AZ247" i="14"/>
  <c r="AY386" i="14"/>
  <c r="AZ386" i="14"/>
  <c r="AY363" i="14"/>
  <c r="AZ363" i="14"/>
  <c r="AY370" i="14"/>
  <c r="AZ370" i="14"/>
  <c r="AY337" i="14"/>
  <c r="AZ337" i="14"/>
  <c r="AY259" i="14"/>
  <c r="AZ259" i="14"/>
  <c r="AY405" i="14"/>
  <c r="AZ405" i="14"/>
  <c r="AY380" i="14"/>
  <c r="AZ380" i="14"/>
  <c r="AY325" i="14"/>
  <c r="AZ325" i="14"/>
  <c r="AY367" i="14"/>
  <c r="AZ367" i="14"/>
  <c r="AY256" i="14"/>
  <c r="AZ256" i="14"/>
  <c r="AY275" i="14"/>
  <c r="AZ275" i="14"/>
  <c r="AY315" i="14"/>
  <c r="AZ315" i="14"/>
  <c r="AY359" i="14"/>
  <c r="AZ359" i="14"/>
  <c r="AY340" i="14"/>
  <c r="AZ340" i="14"/>
  <c r="AY407" i="14"/>
  <c r="AZ407" i="14"/>
  <c r="AY326" i="14"/>
  <c r="AZ326" i="14"/>
  <c r="AY257" i="14"/>
  <c r="AZ257" i="14"/>
  <c r="AY406" i="14"/>
  <c r="AZ406" i="14"/>
  <c r="AY350" i="14"/>
  <c r="AZ350" i="14"/>
  <c r="AY241" i="14"/>
  <c r="AZ241" i="14"/>
  <c r="AY323" i="14"/>
  <c r="AZ323" i="14"/>
  <c r="AY408" i="14"/>
  <c r="AZ408" i="14"/>
  <c r="AY349" i="14"/>
  <c r="AZ349" i="14"/>
  <c r="AY355" i="14"/>
  <c r="AZ355" i="14"/>
  <c r="AY269" i="14"/>
  <c r="AZ269" i="14"/>
  <c r="AY347" i="14"/>
  <c r="AZ347" i="14"/>
  <c r="AY219" i="14"/>
  <c r="AZ219" i="14"/>
  <c r="AY301" i="14"/>
  <c r="AZ301" i="14"/>
  <c r="AY392" i="14"/>
  <c r="AZ392" i="14"/>
  <c r="AY258" i="14"/>
  <c r="AZ258" i="14"/>
  <c r="AY230" i="14"/>
  <c r="AZ230" i="14"/>
  <c r="AY283" i="14"/>
  <c r="AZ283" i="14"/>
  <c r="AY239" i="14"/>
  <c r="AZ239" i="14"/>
  <c r="AY335" i="14"/>
  <c r="AZ335" i="14"/>
  <c r="AY395" i="14"/>
  <c r="AZ395" i="14"/>
  <c r="AY216" i="14"/>
  <c r="AZ216" i="14"/>
  <c r="AY338" i="14"/>
  <c r="AZ338" i="14"/>
  <c r="AY250" i="14"/>
  <c r="AZ250" i="14"/>
  <c r="AY306" i="14"/>
  <c r="AZ306" i="14"/>
  <c r="AY261" i="14"/>
  <c r="AZ261" i="14"/>
  <c r="AY229" i="14"/>
  <c r="AZ229" i="14"/>
  <c r="AY296" i="14"/>
  <c r="AZ296" i="14"/>
  <c r="AY228" i="14"/>
  <c r="AZ228" i="14"/>
  <c r="AY328" i="14"/>
  <c r="AZ328" i="14"/>
  <c r="AY344" i="14"/>
  <c r="AZ344" i="14"/>
  <c r="AY404" i="14"/>
  <c r="AZ404" i="14"/>
  <c r="AY268" i="14"/>
  <c r="AZ268" i="14"/>
  <c r="AY385" i="14"/>
  <c r="AZ385" i="14"/>
  <c r="AY411" i="14"/>
  <c r="AZ411" i="14"/>
  <c r="AY280" i="14"/>
  <c r="AZ280" i="14"/>
  <c r="AY235" i="14"/>
  <c r="AZ235" i="14"/>
  <c r="AY249" i="14"/>
  <c r="AZ249" i="14"/>
  <c r="AY413" i="14"/>
  <c r="AZ413" i="14"/>
  <c r="AY333" i="14"/>
  <c r="AZ333" i="14"/>
  <c r="AY307" i="14"/>
  <c r="AZ307" i="14"/>
  <c r="AY260" i="14"/>
  <c r="AZ260" i="14"/>
  <c r="AY358" i="14"/>
  <c r="AZ358" i="14"/>
  <c r="AY236" i="14"/>
  <c r="AZ236" i="14"/>
  <c r="AY396" i="14"/>
  <c r="AZ396" i="14"/>
  <c r="AY317" i="14"/>
  <c r="AZ317" i="14"/>
  <c r="AY410" i="14"/>
  <c r="AZ410" i="14"/>
  <c r="AY299" i="14"/>
  <c r="AZ299" i="14"/>
  <c r="AY305" i="14"/>
  <c r="AZ305" i="14"/>
  <c r="AY314" i="14"/>
  <c r="AZ314" i="14"/>
  <c r="AY352" i="14"/>
  <c r="AZ352" i="14"/>
  <c r="AY312" i="14"/>
  <c r="AZ312" i="14"/>
  <c r="AY390" i="14"/>
  <c r="AZ390" i="14"/>
  <c r="AY373" i="14"/>
  <c r="AZ373" i="14"/>
  <c r="AY351" i="14"/>
  <c r="AZ351" i="14"/>
  <c r="AY348" i="14"/>
  <c r="AZ348" i="14"/>
  <c r="AY330" i="14"/>
  <c r="AZ330" i="14"/>
  <c r="AY384" i="14"/>
  <c r="AZ384" i="14"/>
  <c r="AY332" i="14"/>
  <c r="AZ332" i="14"/>
  <c r="AY336" i="14"/>
  <c r="AZ336" i="14"/>
  <c r="AY264" i="14"/>
  <c r="AZ264" i="14"/>
  <c r="AY377" i="14"/>
  <c r="AZ377" i="14"/>
  <c r="AY214" i="14"/>
  <c r="AZ214" i="14"/>
  <c r="AY334" i="14"/>
  <c r="AZ334" i="14"/>
  <c r="AY364" i="14"/>
  <c r="AZ364" i="14"/>
  <c r="AY366" i="14"/>
  <c r="AZ366" i="14"/>
  <c r="AY244" i="14"/>
  <c r="AZ244" i="14"/>
  <c r="AY353" i="14"/>
  <c r="AZ353" i="14"/>
  <c r="AY389" i="14"/>
  <c r="AZ389" i="14"/>
  <c r="AY381" i="14"/>
  <c r="AZ381" i="14"/>
  <c r="AY308" i="14"/>
  <c r="AZ308" i="14"/>
  <c r="AY292" i="14"/>
  <c r="AZ292" i="14"/>
  <c r="AY281" i="14"/>
  <c r="AZ281" i="14"/>
  <c r="AY232" i="14"/>
  <c r="AZ232" i="14"/>
  <c r="AY362" i="14"/>
  <c r="AZ362" i="14"/>
  <c r="AY400" i="14"/>
  <c r="AZ400" i="14"/>
  <c r="AY346" i="14"/>
  <c r="AZ346" i="14"/>
  <c r="AY382" i="14"/>
  <c r="AZ382" i="14"/>
  <c r="AY309" i="14"/>
  <c r="AZ309" i="14"/>
  <c r="AY368" i="14"/>
  <c r="AZ368" i="14"/>
  <c r="AY273" i="14"/>
  <c r="AZ273" i="14"/>
  <c r="AY365" i="14"/>
  <c r="AZ365" i="14"/>
  <c r="AY402" i="14"/>
  <c r="AZ402" i="14"/>
  <c r="AY302" i="14"/>
  <c r="AZ302" i="14"/>
  <c r="AY356" i="14"/>
  <c r="AZ356" i="14"/>
  <c r="AY285" i="14"/>
  <c r="AZ285" i="14"/>
  <c r="AY227" i="14"/>
  <c r="AZ227" i="14"/>
  <c r="AY294" i="14"/>
  <c r="AZ294" i="14"/>
  <c r="AY331" i="14"/>
  <c r="AZ331" i="14"/>
  <c r="AY339" i="14"/>
  <c r="AZ339" i="14"/>
  <c r="AY284" i="14"/>
  <c r="AZ284" i="14"/>
  <c r="AY316" i="14"/>
  <c r="AZ316" i="14"/>
  <c r="AY371" i="14"/>
  <c r="AZ371" i="14"/>
  <c r="AY357" i="14"/>
  <c r="AZ357" i="14"/>
  <c r="AY387" i="14"/>
  <c r="AZ387" i="14"/>
  <c r="AY319" i="14"/>
  <c r="AZ319" i="14"/>
  <c r="AY290" i="14"/>
  <c r="AZ290" i="14"/>
  <c r="AY354" i="14"/>
  <c r="AZ354" i="14"/>
  <c r="AY213" i="14"/>
  <c r="AZ213" i="14"/>
  <c r="U287" i="14"/>
  <c r="W287" i="14"/>
  <c r="U270" i="14"/>
  <c r="W270" i="14"/>
  <c r="U226" i="14"/>
  <c r="W226" i="14"/>
  <c r="U318" i="14"/>
  <c r="W318" i="14"/>
  <c r="U313" i="14"/>
  <c r="W313" i="14"/>
  <c r="U409" i="14"/>
  <c r="W409" i="14"/>
  <c r="U215" i="14"/>
  <c r="W215" i="14"/>
  <c r="U394" i="14"/>
  <c r="W394" i="14"/>
  <c r="U276" i="14"/>
  <c r="W276" i="14"/>
  <c r="U297" i="14"/>
  <c r="W297" i="14"/>
  <c r="U304" i="14"/>
  <c r="W304" i="14"/>
  <c r="U225" i="14"/>
  <c r="W225" i="14"/>
  <c r="U248" i="14"/>
  <c r="W248" i="14"/>
  <c r="U295" i="14"/>
  <c r="W295" i="14"/>
  <c r="U370" i="14"/>
  <c r="W370" i="14"/>
  <c r="U367" i="14"/>
  <c r="W367" i="14"/>
  <c r="U407" i="14"/>
  <c r="W407" i="14"/>
  <c r="U323" i="14"/>
  <c r="W323" i="14"/>
  <c r="U219" i="14"/>
  <c r="W219" i="14"/>
  <c r="U239" i="14"/>
  <c r="W239" i="14"/>
  <c r="U306" i="14"/>
  <c r="W306" i="14"/>
  <c r="U344" i="14"/>
  <c r="W344" i="14"/>
  <c r="U235" i="14"/>
  <c r="W235" i="14"/>
  <c r="U358" i="14"/>
  <c r="W358" i="14"/>
  <c r="U305" i="14"/>
  <c r="W305" i="14"/>
  <c r="U351" i="14"/>
  <c r="W351" i="14"/>
  <c r="U264" i="14"/>
  <c r="W264" i="14"/>
  <c r="U244" i="14"/>
  <c r="W244" i="14"/>
  <c r="U281" i="14"/>
  <c r="W281" i="14"/>
  <c r="U309" i="14"/>
  <c r="W309" i="14"/>
  <c r="U356" i="14"/>
  <c r="W356" i="14"/>
  <c r="U284" i="14"/>
  <c r="W284" i="14"/>
  <c r="U290" i="14"/>
  <c r="W290" i="14"/>
  <c r="U240" i="14"/>
  <c r="W240" i="14"/>
  <c r="U412" i="14"/>
  <c r="W412" i="14"/>
  <c r="U327" i="14"/>
  <c r="W327" i="14"/>
  <c r="U286" i="14"/>
  <c r="W286" i="14"/>
  <c r="U282" i="14"/>
  <c r="W282" i="14"/>
  <c r="U378" i="14"/>
  <c r="W378" i="14"/>
  <c r="U245" i="14"/>
  <c r="W245" i="14"/>
  <c r="U403" i="14"/>
  <c r="W403" i="14"/>
  <c r="U220" i="14"/>
  <c r="W220" i="14"/>
  <c r="U345" i="14"/>
  <c r="W345" i="14"/>
  <c r="U321" i="14"/>
  <c r="W321" i="14"/>
  <c r="U311" i="14"/>
  <c r="W311" i="14"/>
  <c r="U341" i="14"/>
  <c r="W341" i="14"/>
  <c r="U398" i="14"/>
  <c r="W398" i="14"/>
  <c r="U383" i="14"/>
  <c r="W383" i="14"/>
  <c r="U337" i="14"/>
  <c r="W337" i="14"/>
  <c r="U256" i="14"/>
  <c r="W256" i="14"/>
  <c r="U326" i="14"/>
  <c r="W326" i="14"/>
  <c r="U408" i="14"/>
  <c r="W408" i="14"/>
  <c r="U301" i="14"/>
  <c r="W301" i="14"/>
  <c r="U335" i="14"/>
  <c r="W335" i="14"/>
  <c r="U261" i="14"/>
  <c r="W261" i="14"/>
  <c r="U404" i="14"/>
  <c r="W404" i="14"/>
  <c r="U249" i="14"/>
  <c r="W249" i="14"/>
  <c r="U236" i="14"/>
  <c r="W236" i="14"/>
  <c r="U314" i="14"/>
  <c r="W314" i="14"/>
  <c r="U348" i="14"/>
  <c r="W348" i="14"/>
  <c r="U377" i="14"/>
  <c r="W377" i="14"/>
  <c r="U353" i="14"/>
  <c r="W353" i="14"/>
  <c r="U232" i="14"/>
  <c r="W232" i="14"/>
  <c r="U368" i="14"/>
  <c r="W368" i="14"/>
  <c r="U285" i="14"/>
  <c r="W285" i="14"/>
  <c r="U316" i="14"/>
  <c r="W316" i="14"/>
  <c r="U354" i="14"/>
  <c r="W354" i="14"/>
  <c r="U234" i="14"/>
  <c r="W234" i="14"/>
  <c r="U343" i="14"/>
  <c r="W343" i="14"/>
  <c r="U217" i="14"/>
  <c r="W217" i="14"/>
  <c r="U251" i="14"/>
  <c r="W251" i="14"/>
  <c r="U224" i="14"/>
  <c r="W224" i="14"/>
  <c r="U252" i="14"/>
  <c r="W252" i="14"/>
  <c r="U376" i="14"/>
  <c r="W376" i="14"/>
  <c r="U233" i="14"/>
  <c r="W233" i="14"/>
  <c r="U303" i="14"/>
  <c r="W303" i="14"/>
  <c r="U291" i="14"/>
  <c r="W291" i="14"/>
  <c r="U300" i="14"/>
  <c r="W300" i="14"/>
  <c r="U397" i="14"/>
  <c r="W397" i="14"/>
  <c r="U279" i="14"/>
  <c r="W279" i="14"/>
  <c r="U222" i="14"/>
  <c r="W222" i="14"/>
  <c r="U262" i="14"/>
  <c r="W262" i="14"/>
  <c r="U259" i="14"/>
  <c r="W259" i="14"/>
  <c r="U275" i="14"/>
  <c r="W275" i="14"/>
  <c r="U257" i="14"/>
  <c r="W257" i="14"/>
  <c r="U349" i="14"/>
  <c r="W349" i="14"/>
  <c r="U392" i="14"/>
  <c r="W392" i="14"/>
  <c r="U395" i="14"/>
  <c r="W395" i="14"/>
  <c r="U229" i="14"/>
  <c r="W229" i="14"/>
  <c r="U268" i="14"/>
  <c r="W268" i="14"/>
  <c r="U413" i="14"/>
  <c r="W413" i="14"/>
  <c r="U396" i="14"/>
  <c r="W396" i="14"/>
  <c r="U352" i="14"/>
  <c r="W352" i="14"/>
  <c r="U330" i="14"/>
  <c r="W330" i="14"/>
  <c r="U214" i="14"/>
  <c r="W214" i="14"/>
  <c r="U389" i="14"/>
  <c r="W389" i="14"/>
  <c r="U362" i="14"/>
  <c r="W362" i="14"/>
  <c r="U273" i="14"/>
  <c r="W273" i="14"/>
  <c r="U227" i="14"/>
  <c r="W227" i="14"/>
  <c r="U371" i="14"/>
  <c r="W371" i="14"/>
  <c r="U213" i="14"/>
  <c r="W213" i="14"/>
  <c r="U361" i="14"/>
  <c r="W361" i="14"/>
  <c r="U277" i="14"/>
  <c r="W277" i="14"/>
  <c r="U242" i="14"/>
  <c r="W242" i="14"/>
  <c r="U255" i="14"/>
  <c r="W255" i="14"/>
  <c r="U288" i="14"/>
  <c r="W288" i="14"/>
  <c r="U218" i="14"/>
  <c r="W218" i="14"/>
  <c r="U237" i="14"/>
  <c r="W237" i="14"/>
  <c r="U401" i="14"/>
  <c r="W401" i="14"/>
  <c r="U320" i="14"/>
  <c r="W320" i="14"/>
  <c r="U369" i="14"/>
  <c r="W369" i="14"/>
  <c r="U372" i="14"/>
  <c r="W372" i="14"/>
  <c r="U324" i="14"/>
  <c r="W324" i="14"/>
  <c r="U267" i="14"/>
  <c r="W267" i="14"/>
  <c r="U254" i="14"/>
  <c r="W254" i="14"/>
  <c r="U247" i="14"/>
  <c r="W247" i="14"/>
  <c r="U405" i="14"/>
  <c r="W405" i="14"/>
  <c r="U315" i="14"/>
  <c r="W315" i="14"/>
  <c r="U406" i="14"/>
  <c r="W406" i="14"/>
  <c r="U355" i="14"/>
  <c r="W355" i="14"/>
  <c r="U258" i="14"/>
  <c r="W258" i="14"/>
  <c r="U216" i="14"/>
  <c r="W216" i="14"/>
  <c r="U296" i="14"/>
  <c r="W296" i="14"/>
  <c r="U385" i="14"/>
  <c r="W385" i="14"/>
  <c r="U333" i="14"/>
  <c r="W333" i="14"/>
  <c r="U317" i="14"/>
  <c r="W317" i="14"/>
  <c r="U312" i="14"/>
  <c r="W312" i="14"/>
  <c r="U384" i="14"/>
  <c r="W384" i="14"/>
  <c r="U334" i="14"/>
  <c r="W334" i="14"/>
  <c r="U381" i="14"/>
  <c r="W381" i="14"/>
  <c r="U400" i="14"/>
  <c r="W400" i="14"/>
  <c r="U365" i="14"/>
  <c r="W365" i="14"/>
  <c r="U294" i="14"/>
  <c r="W294" i="14"/>
  <c r="U357" i="14"/>
  <c r="W357" i="14"/>
  <c r="U221" i="14"/>
  <c r="W221" i="14"/>
  <c r="U238" i="14"/>
  <c r="W238" i="14"/>
  <c r="U293" i="14"/>
  <c r="W293" i="14"/>
  <c r="U231" i="14"/>
  <c r="W231" i="14"/>
  <c r="U375" i="14"/>
  <c r="W375" i="14"/>
  <c r="U263" i="14"/>
  <c r="W263" i="14"/>
  <c r="U388" i="14"/>
  <c r="W388" i="14"/>
  <c r="U265" i="14"/>
  <c r="W265" i="14"/>
  <c r="U246" i="14"/>
  <c r="W246" i="14"/>
  <c r="U278" i="14"/>
  <c r="W278" i="14"/>
  <c r="U360" i="14"/>
  <c r="W360" i="14"/>
  <c r="U329" i="14"/>
  <c r="W329" i="14"/>
  <c r="U272" i="14"/>
  <c r="W272" i="14"/>
  <c r="U243" i="14"/>
  <c r="W243" i="14"/>
  <c r="U386" i="14"/>
  <c r="W386" i="14"/>
  <c r="U380" i="14"/>
  <c r="W380" i="14"/>
  <c r="U359" i="14"/>
  <c r="W359" i="14"/>
  <c r="U350" i="14"/>
  <c r="W350" i="14"/>
  <c r="U269" i="14"/>
  <c r="W269" i="14"/>
  <c r="U230" i="14"/>
  <c r="W230" i="14"/>
  <c r="U338" i="14"/>
  <c r="W338" i="14"/>
  <c r="U228" i="14"/>
  <c r="W228" i="14"/>
  <c r="U411" i="14"/>
  <c r="W411" i="14"/>
  <c r="U307" i="14"/>
  <c r="W307" i="14"/>
  <c r="U410" i="14"/>
  <c r="W410" i="14"/>
  <c r="U390" i="14"/>
  <c r="W390" i="14"/>
  <c r="U332" i="14"/>
  <c r="W332" i="14"/>
  <c r="U364" i="14"/>
  <c r="W364" i="14"/>
  <c r="U308" i="14"/>
  <c r="W308" i="14"/>
  <c r="U346" i="14"/>
  <c r="W346" i="14"/>
  <c r="U402" i="14"/>
  <c r="W402" i="14"/>
  <c r="U331" i="14"/>
  <c r="W331" i="14"/>
  <c r="U387" i="14"/>
  <c r="W387" i="14"/>
  <c r="U379" i="14"/>
  <c r="W379" i="14"/>
  <c r="U342" i="14"/>
  <c r="W342" i="14"/>
  <c r="U310" i="14"/>
  <c r="W310" i="14"/>
  <c r="U391" i="14"/>
  <c r="W391" i="14"/>
  <c r="U271" i="14"/>
  <c r="W271" i="14"/>
  <c r="U399" i="14"/>
  <c r="W399" i="14"/>
  <c r="U298" i="14"/>
  <c r="W298" i="14"/>
  <c r="U393" i="14"/>
  <c r="W393" i="14"/>
  <c r="U274" i="14"/>
  <c r="W274" i="14"/>
  <c r="U322" i="14"/>
  <c r="W322" i="14"/>
  <c r="U253" i="14"/>
  <c r="W253" i="14"/>
  <c r="U266" i="14"/>
  <c r="W266" i="14"/>
  <c r="U223" i="14"/>
  <c r="W223" i="14"/>
  <c r="U374" i="14"/>
  <c r="W374" i="14"/>
  <c r="U363" i="14"/>
  <c r="W363" i="14"/>
  <c r="U325" i="14"/>
  <c r="W325" i="14"/>
  <c r="U340" i="14"/>
  <c r="W340" i="14"/>
  <c r="U241" i="14"/>
  <c r="W241" i="14"/>
  <c r="U347" i="14"/>
  <c r="W347" i="14"/>
  <c r="U283" i="14"/>
  <c r="W283" i="14"/>
  <c r="U250" i="14"/>
  <c r="W250" i="14"/>
  <c r="U328" i="14"/>
  <c r="W328" i="14"/>
  <c r="U280" i="14"/>
  <c r="W280" i="14"/>
  <c r="U260" i="14"/>
  <c r="W260" i="14"/>
  <c r="U299" i="14"/>
  <c r="W299" i="14"/>
  <c r="U373" i="14"/>
  <c r="W373" i="14"/>
  <c r="U336" i="14"/>
  <c r="W336" i="14"/>
  <c r="U366" i="14"/>
  <c r="W366" i="14"/>
  <c r="U292" i="14"/>
  <c r="W292" i="14"/>
  <c r="U382" i="14"/>
  <c r="W382" i="14"/>
  <c r="U302" i="14"/>
  <c r="W302" i="14"/>
  <c r="U339" i="14"/>
  <c r="W339" i="14"/>
  <c r="U319" i="14"/>
  <c r="W319" i="14"/>
  <c r="R240" i="14"/>
  <c r="T240" i="14"/>
  <c r="R412" i="14"/>
  <c r="T412" i="14"/>
  <c r="R327" i="14"/>
  <c r="T327" i="14"/>
  <c r="R286" i="14"/>
  <c r="T286" i="14"/>
  <c r="R282" i="14"/>
  <c r="T282" i="14"/>
  <c r="R378" i="14"/>
  <c r="T378" i="14"/>
  <c r="R245" i="14"/>
  <c r="T245" i="14"/>
  <c r="R403" i="14"/>
  <c r="T403" i="14"/>
  <c r="R220" i="14"/>
  <c r="T220" i="14"/>
  <c r="R345" i="14"/>
  <c r="T345" i="14"/>
  <c r="R321" i="14"/>
  <c r="T321" i="14"/>
  <c r="R311" i="14"/>
  <c r="T311" i="14"/>
  <c r="R341" i="14"/>
  <c r="T341" i="14"/>
  <c r="R398" i="14"/>
  <c r="T398" i="14"/>
  <c r="R383" i="14"/>
  <c r="T383" i="14"/>
  <c r="R337" i="14"/>
  <c r="T337" i="14"/>
  <c r="R256" i="14"/>
  <c r="T256" i="14"/>
  <c r="R326" i="14"/>
  <c r="T326" i="14"/>
  <c r="R408" i="14"/>
  <c r="T408" i="14"/>
  <c r="R301" i="14"/>
  <c r="T301" i="14"/>
  <c r="R335" i="14"/>
  <c r="T335" i="14"/>
  <c r="R261" i="14"/>
  <c r="T261" i="14"/>
  <c r="R404" i="14"/>
  <c r="T404" i="14"/>
  <c r="R249" i="14"/>
  <c r="T249" i="14"/>
  <c r="R236" i="14"/>
  <c r="T236" i="14"/>
  <c r="R314" i="14"/>
  <c r="T314" i="14"/>
  <c r="R348" i="14"/>
  <c r="T348" i="14"/>
  <c r="R377" i="14"/>
  <c r="T377" i="14"/>
  <c r="R353" i="14"/>
  <c r="T353" i="14"/>
  <c r="R232" i="14"/>
  <c r="T232" i="14"/>
  <c r="R368" i="14"/>
  <c r="T368" i="14"/>
  <c r="R285" i="14"/>
  <c r="T285" i="14"/>
  <c r="R316" i="14"/>
  <c r="T316" i="14"/>
  <c r="R354" i="14"/>
  <c r="T354" i="14"/>
  <c r="R234" i="14"/>
  <c r="T234" i="14"/>
  <c r="R343" i="14"/>
  <c r="T343" i="14"/>
  <c r="R217" i="14"/>
  <c r="T217" i="14"/>
  <c r="R251" i="14"/>
  <c r="T251" i="14"/>
  <c r="R224" i="14"/>
  <c r="T224" i="14"/>
  <c r="R252" i="14"/>
  <c r="T252" i="14"/>
  <c r="R376" i="14"/>
  <c r="T376" i="14"/>
  <c r="R233" i="14"/>
  <c r="T233" i="14"/>
  <c r="R303" i="14"/>
  <c r="T303" i="14"/>
  <c r="R291" i="14"/>
  <c r="T291" i="14"/>
  <c r="R300" i="14"/>
  <c r="T300" i="14"/>
  <c r="R397" i="14"/>
  <c r="T397" i="14"/>
  <c r="R279" i="14"/>
  <c r="T279" i="14"/>
  <c r="R222" i="14"/>
  <c r="T222" i="14"/>
  <c r="R262" i="14"/>
  <c r="T262" i="14"/>
  <c r="R259" i="14"/>
  <c r="T259" i="14"/>
  <c r="R275" i="14"/>
  <c r="T275" i="14"/>
  <c r="R257" i="14"/>
  <c r="T257" i="14"/>
  <c r="R349" i="14"/>
  <c r="T349" i="14"/>
  <c r="R392" i="14"/>
  <c r="T392" i="14"/>
  <c r="R395" i="14"/>
  <c r="T395" i="14"/>
  <c r="R229" i="14"/>
  <c r="T229" i="14"/>
  <c r="R268" i="14"/>
  <c r="T268" i="14"/>
  <c r="R413" i="14"/>
  <c r="T413" i="14"/>
  <c r="R396" i="14"/>
  <c r="T396" i="14"/>
  <c r="R352" i="14"/>
  <c r="T352" i="14"/>
  <c r="R330" i="14"/>
  <c r="T330" i="14"/>
  <c r="R214" i="14"/>
  <c r="T214" i="14"/>
  <c r="R389" i="14"/>
  <c r="T389" i="14"/>
  <c r="R362" i="14"/>
  <c r="T362" i="14"/>
  <c r="R273" i="14"/>
  <c r="T273" i="14"/>
  <c r="R227" i="14"/>
  <c r="T227" i="14"/>
  <c r="R371" i="14"/>
  <c r="T371" i="14"/>
  <c r="R213" i="14"/>
  <c r="T213" i="14"/>
  <c r="R361" i="14"/>
  <c r="T361" i="14"/>
  <c r="R277" i="14"/>
  <c r="T277" i="14"/>
  <c r="R242" i="14"/>
  <c r="T242" i="14"/>
  <c r="R255" i="14"/>
  <c r="T255" i="14"/>
  <c r="R288" i="14"/>
  <c r="T288" i="14"/>
  <c r="R218" i="14"/>
  <c r="T218" i="14"/>
  <c r="R237" i="14"/>
  <c r="T237" i="14"/>
  <c r="R401" i="14"/>
  <c r="T401" i="14"/>
  <c r="R320" i="14"/>
  <c r="T320" i="14"/>
  <c r="R369" i="14"/>
  <c r="T369" i="14"/>
  <c r="R372" i="14"/>
  <c r="T372" i="14"/>
  <c r="R324" i="14"/>
  <c r="T324" i="14"/>
  <c r="R267" i="14"/>
  <c r="T267" i="14"/>
  <c r="R254" i="14"/>
  <c r="T254" i="14"/>
  <c r="R247" i="14"/>
  <c r="T247" i="14"/>
  <c r="R405" i="14"/>
  <c r="T405" i="14"/>
  <c r="R315" i="14"/>
  <c r="T315" i="14"/>
  <c r="R406" i="14"/>
  <c r="T406" i="14"/>
  <c r="R355" i="14"/>
  <c r="T355" i="14"/>
  <c r="R258" i="14"/>
  <c r="T258" i="14"/>
  <c r="R216" i="14"/>
  <c r="T216" i="14"/>
  <c r="R296" i="14"/>
  <c r="T296" i="14"/>
  <c r="R385" i="14"/>
  <c r="T385" i="14"/>
  <c r="R333" i="14"/>
  <c r="T333" i="14"/>
  <c r="R317" i="14"/>
  <c r="T317" i="14"/>
  <c r="R312" i="14"/>
  <c r="T312" i="14"/>
  <c r="R384" i="14"/>
  <c r="T384" i="14"/>
  <c r="R334" i="14"/>
  <c r="T334" i="14"/>
  <c r="R381" i="14"/>
  <c r="T381" i="14"/>
  <c r="R400" i="14"/>
  <c r="T400" i="14"/>
  <c r="R365" i="14"/>
  <c r="T365" i="14"/>
  <c r="R294" i="14"/>
  <c r="T294" i="14"/>
  <c r="R357" i="14"/>
  <c r="T357" i="14"/>
  <c r="R221" i="14"/>
  <c r="T221" i="14"/>
  <c r="R238" i="14"/>
  <c r="T238" i="14"/>
  <c r="R293" i="14"/>
  <c r="T293" i="14"/>
  <c r="R231" i="14"/>
  <c r="T231" i="14"/>
  <c r="R375" i="14"/>
  <c r="T375" i="14"/>
  <c r="R263" i="14"/>
  <c r="T263" i="14"/>
  <c r="R388" i="14"/>
  <c r="T388" i="14"/>
  <c r="R265" i="14"/>
  <c r="T265" i="14"/>
  <c r="R246" i="14"/>
  <c r="T246" i="14"/>
  <c r="R278" i="14"/>
  <c r="T278" i="14"/>
  <c r="R360" i="14"/>
  <c r="T360" i="14"/>
  <c r="R329" i="14"/>
  <c r="T329" i="14"/>
  <c r="R272" i="14"/>
  <c r="T272" i="14"/>
  <c r="R243" i="14"/>
  <c r="T243" i="14"/>
  <c r="R386" i="14"/>
  <c r="T386" i="14"/>
  <c r="R380" i="14"/>
  <c r="T380" i="14"/>
  <c r="R359" i="14"/>
  <c r="T359" i="14"/>
  <c r="R350" i="14"/>
  <c r="T350" i="14"/>
  <c r="R269" i="14"/>
  <c r="T269" i="14"/>
  <c r="R230" i="14"/>
  <c r="T230" i="14"/>
  <c r="R338" i="14"/>
  <c r="T338" i="14"/>
  <c r="R228" i="14"/>
  <c r="T228" i="14"/>
  <c r="R411" i="14"/>
  <c r="T411" i="14"/>
  <c r="R307" i="14"/>
  <c r="T307" i="14"/>
  <c r="R410" i="14"/>
  <c r="T410" i="14"/>
  <c r="R390" i="14"/>
  <c r="T390" i="14"/>
  <c r="R332" i="14"/>
  <c r="T332" i="14"/>
  <c r="R364" i="14"/>
  <c r="T364" i="14"/>
  <c r="R308" i="14"/>
  <c r="T308" i="14"/>
  <c r="R346" i="14"/>
  <c r="T346" i="14"/>
  <c r="R402" i="14"/>
  <c r="T402" i="14"/>
  <c r="R331" i="14"/>
  <c r="T331" i="14"/>
  <c r="R387" i="14"/>
  <c r="T387" i="14"/>
  <c r="R379" i="14"/>
  <c r="T379" i="14"/>
  <c r="R342" i="14"/>
  <c r="T342" i="14"/>
  <c r="R310" i="14"/>
  <c r="T310" i="14"/>
  <c r="R391" i="14"/>
  <c r="T391" i="14"/>
  <c r="R271" i="14"/>
  <c r="T271" i="14"/>
  <c r="R399" i="14"/>
  <c r="T399" i="14"/>
  <c r="R298" i="14"/>
  <c r="T298" i="14"/>
  <c r="R393" i="14"/>
  <c r="T393" i="14"/>
  <c r="R274" i="14"/>
  <c r="T274" i="14"/>
  <c r="R322" i="14"/>
  <c r="T322" i="14"/>
  <c r="R253" i="14"/>
  <c r="T253" i="14"/>
  <c r="R266" i="14"/>
  <c r="T266" i="14"/>
  <c r="R223" i="14"/>
  <c r="T223" i="14"/>
  <c r="R374" i="14"/>
  <c r="T374" i="14"/>
  <c r="R363" i="14"/>
  <c r="T363" i="14"/>
  <c r="R325" i="14"/>
  <c r="T325" i="14"/>
  <c r="R340" i="14"/>
  <c r="T340" i="14"/>
  <c r="R241" i="14"/>
  <c r="T241" i="14"/>
  <c r="R347" i="14"/>
  <c r="T347" i="14"/>
  <c r="R283" i="14"/>
  <c r="T283" i="14"/>
  <c r="R250" i="14"/>
  <c r="T250" i="14"/>
  <c r="R328" i="14"/>
  <c r="T328" i="14"/>
  <c r="R280" i="14"/>
  <c r="T280" i="14"/>
  <c r="R260" i="14"/>
  <c r="T260" i="14"/>
  <c r="R299" i="14"/>
  <c r="T299" i="14"/>
  <c r="R373" i="14"/>
  <c r="T373" i="14"/>
  <c r="R336" i="14"/>
  <c r="T336" i="14"/>
  <c r="R366" i="14"/>
  <c r="T366" i="14"/>
  <c r="R292" i="14"/>
  <c r="T292" i="14"/>
  <c r="R382" i="14"/>
  <c r="T382" i="14"/>
  <c r="R302" i="14"/>
  <c r="T302" i="14"/>
  <c r="R339" i="14"/>
  <c r="T339" i="14"/>
  <c r="R319" i="14"/>
  <c r="T319" i="14"/>
  <c r="R287" i="14"/>
  <c r="T287" i="14"/>
  <c r="R270" i="14"/>
  <c r="T270" i="14"/>
  <c r="R226" i="14"/>
  <c r="T226" i="14"/>
  <c r="R318" i="14"/>
  <c r="T318" i="14"/>
  <c r="R313" i="14"/>
  <c r="T313" i="14"/>
  <c r="R409" i="14"/>
  <c r="T409" i="14"/>
  <c r="R215" i="14"/>
  <c r="T215" i="14"/>
  <c r="R394" i="14"/>
  <c r="T394" i="14"/>
  <c r="R276" i="14"/>
  <c r="T276" i="14"/>
  <c r="R297" i="14"/>
  <c r="T297" i="14"/>
  <c r="R304" i="14"/>
  <c r="T304" i="14"/>
  <c r="R225" i="14"/>
  <c r="T225" i="14"/>
  <c r="R248" i="14"/>
  <c r="T248" i="14"/>
  <c r="R295" i="14"/>
  <c r="T295" i="14"/>
  <c r="R370" i="14"/>
  <c r="T370" i="14"/>
  <c r="R367" i="14"/>
  <c r="T367" i="14"/>
  <c r="R407" i="14"/>
  <c r="T407" i="14"/>
  <c r="R323" i="14"/>
  <c r="T323" i="14"/>
  <c r="R219" i="14"/>
  <c r="T219" i="14"/>
  <c r="R239" i="14"/>
  <c r="T239" i="14"/>
  <c r="R306" i="14"/>
  <c r="T306" i="14"/>
  <c r="R344" i="14"/>
  <c r="T344" i="14"/>
  <c r="R235" i="14"/>
  <c r="T235" i="14"/>
  <c r="R358" i="14"/>
  <c r="T358" i="14"/>
  <c r="R305" i="14"/>
  <c r="T305" i="14"/>
  <c r="R351" i="14"/>
  <c r="T351" i="14"/>
  <c r="R264" i="14"/>
  <c r="T264" i="14"/>
  <c r="R244" i="14"/>
  <c r="T244" i="14"/>
  <c r="R281" i="14"/>
  <c r="T281" i="14"/>
  <c r="R309" i="14"/>
  <c r="T309" i="14"/>
  <c r="R356" i="14"/>
  <c r="T356" i="14"/>
  <c r="R284" i="14"/>
  <c r="T284" i="14"/>
  <c r="R290" i="14"/>
  <c r="T290" i="14"/>
  <c r="J287" i="14"/>
  <c r="Q287" i="14"/>
  <c r="J270" i="14"/>
  <c r="Q270" i="14"/>
  <c r="J226" i="14"/>
  <c r="Q226" i="14"/>
  <c r="J318" i="14"/>
  <c r="Q318" i="14"/>
  <c r="J313" i="14"/>
  <c r="Q313" i="14"/>
  <c r="J409" i="14"/>
  <c r="Q409" i="14"/>
  <c r="J215" i="14"/>
  <c r="Q215" i="14"/>
  <c r="J394" i="14"/>
  <c r="Q394" i="14"/>
  <c r="J276" i="14"/>
  <c r="Q276" i="14"/>
  <c r="J297" i="14"/>
  <c r="Q297" i="14"/>
  <c r="J304" i="14"/>
  <c r="Q304" i="14"/>
  <c r="J225" i="14"/>
  <c r="Q225" i="14"/>
  <c r="J248" i="14"/>
  <c r="Q248" i="14"/>
  <c r="J295" i="14"/>
  <c r="Q295" i="14"/>
  <c r="J370" i="14"/>
  <c r="Q370" i="14"/>
  <c r="J367" i="14"/>
  <c r="Q367" i="14"/>
  <c r="J407" i="14"/>
  <c r="Q407" i="14"/>
  <c r="J323" i="14"/>
  <c r="Q323" i="14"/>
  <c r="J219" i="14"/>
  <c r="Q219" i="14"/>
  <c r="J239" i="14"/>
  <c r="Q239" i="14"/>
  <c r="J306" i="14"/>
  <c r="Q306" i="14"/>
  <c r="J344" i="14"/>
  <c r="Q344" i="14"/>
  <c r="J235" i="14"/>
  <c r="Q235" i="14"/>
  <c r="J358" i="14"/>
  <c r="Q358" i="14"/>
  <c r="J305" i="14"/>
  <c r="Q305" i="14"/>
  <c r="J351" i="14"/>
  <c r="Q351" i="14"/>
  <c r="J264" i="14"/>
  <c r="Q264" i="14"/>
  <c r="J244" i="14"/>
  <c r="Q244" i="14"/>
  <c r="J281" i="14"/>
  <c r="Q281" i="14"/>
  <c r="J309" i="14"/>
  <c r="Q309" i="14"/>
  <c r="J356" i="14"/>
  <c r="Q356" i="14"/>
  <c r="J284" i="14"/>
  <c r="Q284" i="14"/>
  <c r="J290" i="14"/>
  <c r="Q290" i="14"/>
  <c r="J240" i="14"/>
  <c r="Q240" i="14"/>
  <c r="J412" i="14"/>
  <c r="Q412" i="14"/>
  <c r="J327" i="14"/>
  <c r="Q327" i="14"/>
  <c r="J286" i="14"/>
  <c r="Q286" i="14"/>
  <c r="J282" i="14"/>
  <c r="Q282" i="14"/>
  <c r="J378" i="14"/>
  <c r="Q378" i="14"/>
  <c r="J245" i="14"/>
  <c r="Q245" i="14"/>
  <c r="J403" i="14"/>
  <c r="Q403" i="14"/>
  <c r="J220" i="14"/>
  <c r="Q220" i="14"/>
  <c r="J345" i="14"/>
  <c r="Q345" i="14"/>
  <c r="J321" i="14"/>
  <c r="Q321" i="14"/>
  <c r="J311" i="14"/>
  <c r="Q311" i="14"/>
  <c r="J341" i="14"/>
  <c r="Q341" i="14"/>
  <c r="J398" i="14"/>
  <c r="Q398" i="14"/>
  <c r="J383" i="14"/>
  <c r="Q383" i="14"/>
  <c r="J337" i="14"/>
  <c r="Q337" i="14"/>
  <c r="J256" i="14"/>
  <c r="Q256" i="14"/>
  <c r="J326" i="14"/>
  <c r="Q326" i="14"/>
  <c r="J408" i="14"/>
  <c r="Q408" i="14"/>
  <c r="J301" i="14"/>
  <c r="Q301" i="14"/>
  <c r="J335" i="14"/>
  <c r="Q335" i="14"/>
  <c r="J261" i="14"/>
  <c r="Q261" i="14"/>
  <c r="J404" i="14"/>
  <c r="Q404" i="14"/>
  <c r="J249" i="14"/>
  <c r="Q249" i="14"/>
  <c r="J236" i="14"/>
  <c r="Q236" i="14"/>
  <c r="J314" i="14"/>
  <c r="Q314" i="14"/>
  <c r="J348" i="14"/>
  <c r="Q348" i="14"/>
  <c r="J377" i="14"/>
  <c r="Q377" i="14"/>
  <c r="J353" i="14"/>
  <c r="Q353" i="14"/>
  <c r="J232" i="14"/>
  <c r="Q232" i="14"/>
  <c r="J368" i="14"/>
  <c r="Q368" i="14"/>
  <c r="J285" i="14"/>
  <c r="Q285" i="14"/>
  <c r="J316" i="14"/>
  <c r="Q316" i="14"/>
  <c r="J354" i="14"/>
  <c r="Q354" i="14"/>
  <c r="J234" i="14"/>
  <c r="Q234" i="14"/>
  <c r="J343" i="14"/>
  <c r="Q343" i="14"/>
  <c r="J217" i="14"/>
  <c r="Q217" i="14"/>
  <c r="J251" i="14"/>
  <c r="Q251" i="14"/>
  <c r="J224" i="14"/>
  <c r="Q224" i="14"/>
  <c r="J252" i="14"/>
  <c r="Q252" i="14"/>
  <c r="J376" i="14"/>
  <c r="Q376" i="14"/>
  <c r="J233" i="14"/>
  <c r="Q233" i="14"/>
  <c r="J303" i="14"/>
  <c r="Q303" i="14"/>
  <c r="J291" i="14"/>
  <c r="Q291" i="14"/>
  <c r="J300" i="14"/>
  <c r="Q300" i="14"/>
  <c r="J397" i="14"/>
  <c r="Q397" i="14"/>
  <c r="J279" i="14"/>
  <c r="Q279" i="14"/>
  <c r="J222" i="14"/>
  <c r="Q222" i="14"/>
  <c r="J262" i="14"/>
  <c r="Q262" i="14"/>
  <c r="J259" i="14"/>
  <c r="Q259" i="14"/>
  <c r="J275" i="14"/>
  <c r="Q275" i="14"/>
  <c r="J257" i="14"/>
  <c r="Q257" i="14"/>
  <c r="J349" i="14"/>
  <c r="Q349" i="14"/>
  <c r="J392" i="14"/>
  <c r="Q392" i="14"/>
  <c r="J395" i="14"/>
  <c r="Q395" i="14"/>
  <c r="J229" i="14"/>
  <c r="Q229" i="14"/>
  <c r="J268" i="14"/>
  <c r="Q268" i="14"/>
  <c r="J413" i="14"/>
  <c r="Q413" i="14"/>
  <c r="J396" i="14"/>
  <c r="Q396" i="14"/>
  <c r="J352" i="14"/>
  <c r="Q352" i="14"/>
  <c r="J330" i="14"/>
  <c r="Q330" i="14"/>
  <c r="J214" i="14"/>
  <c r="Q214" i="14"/>
  <c r="J389" i="14"/>
  <c r="Q389" i="14"/>
  <c r="J362" i="14"/>
  <c r="Q362" i="14"/>
  <c r="J273" i="14"/>
  <c r="Q273" i="14"/>
  <c r="J227" i="14"/>
  <c r="Q227" i="14"/>
  <c r="J371" i="14"/>
  <c r="Q371" i="14"/>
  <c r="J213" i="14"/>
  <c r="Q213" i="14"/>
  <c r="J361" i="14"/>
  <c r="Q361" i="14"/>
  <c r="J277" i="14"/>
  <c r="Q277" i="14"/>
  <c r="J242" i="14"/>
  <c r="Q242" i="14"/>
  <c r="J255" i="14"/>
  <c r="Q255" i="14"/>
  <c r="J288" i="14"/>
  <c r="Q288" i="14"/>
  <c r="J218" i="14"/>
  <c r="Q218" i="14"/>
  <c r="J237" i="14"/>
  <c r="Q237" i="14"/>
  <c r="J401" i="14"/>
  <c r="Q401" i="14"/>
  <c r="J320" i="14"/>
  <c r="Q320" i="14"/>
  <c r="J369" i="14"/>
  <c r="Q369" i="14"/>
  <c r="J372" i="14"/>
  <c r="Q372" i="14"/>
  <c r="J324" i="14"/>
  <c r="Q324" i="14"/>
  <c r="J267" i="14"/>
  <c r="Q267" i="14"/>
  <c r="J254" i="14"/>
  <c r="Q254" i="14"/>
  <c r="J247" i="14"/>
  <c r="Q247" i="14"/>
  <c r="J405" i="14"/>
  <c r="Q405" i="14"/>
  <c r="J315" i="14"/>
  <c r="Q315" i="14"/>
  <c r="J406" i="14"/>
  <c r="Q406" i="14"/>
  <c r="J355" i="14"/>
  <c r="Q355" i="14"/>
  <c r="J258" i="14"/>
  <c r="Q258" i="14"/>
  <c r="J216" i="14"/>
  <c r="Q216" i="14"/>
  <c r="J296" i="14"/>
  <c r="Q296" i="14"/>
  <c r="J385" i="14"/>
  <c r="Q385" i="14"/>
  <c r="J333" i="14"/>
  <c r="Q333" i="14"/>
  <c r="J317" i="14"/>
  <c r="Q317" i="14"/>
  <c r="J312" i="14"/>
  <c r="Q312" i="14"/>
  <c r="J384" i="14"/>
  <c r="Q384" i="14"/>
  <c r="J334" i="14"/>
  <c r="Q334" i="14"/>
  <c r="J381" i="14"/>
  <c r="Q381" i="14"/>
  <c r="J400" i="14"/>
  <c r="Q400" i="14"/>
  <c r="J365" i="14"/>
  <c r="Q365" i="14"/>
  <c r="J294" i="14"/>
  <c r="Q294" i="14"/>
  <c r="J357" i="14"/>
  <c r="Q357" i="14"/>
  <c r="J221" i="14"/>
  <c r="Q221" i="14"/>
  <c r="J238" i="14"/>
  <c r="Q238" i="14"/>
  <c r="J293" i="14"/>
  <c r="Q293" i="14"/>
  <c r="J231" i="14"/>
  <c r="Q231" i="14"/>
  <c r="J375" i="14"/>
  <c r="Q375" i="14"/>
  <c r="J263" i="14"/>
  <c r="Q263" i="14"/>
  <c r="J388" i="14"/>
  <c r="Q388" i="14"/>
  <c r="J265" i="14"/>
  <c r="Q265" i="14"/>
  <c r="J246" i="14"/>
  <c r="Q246" i="14"/>
  <c r="J278" i="14"/>
  <c r="Q278" i="14"/>
  <c r="J360" i="14"/>
  <c r="Q360" i="14"/>
  <c r="J329" i="14"/>
  <c r="Q329" i="14"/>
  <c r="J272" i="14"/>
  <c r="Q272" i="14"/>
  <c r="J243" i="14"/>
  <c r="Q243" i="14"/>
  <c r="J386" i="14"/>
  <c r="Q386" i="14"/>
  <c r="J380" i="14"/>
  <c r="Q380" i="14"/>
  <c r="J359" i="14"/>
  <c r="Q359" i="14"/>
  <c r="J350" i="14"/>
  <c r="Q350" i="14"/>
  <c r="J269" i="14"/>
  <c r="Q269" i="14"/>
  <c r="J230" i="14"/>
  <c r="Q230" i="14"/>
  <c r="J338" i="14"/>
  <c r="Q338" i="14"/>
  <c r="J228" i="14"/>
  <c r="Q228" i="14"/>
  <c r="J411" i="14"/>
  <c r="Q411" i="14"/>
  <c r="J307" i="14"/>
  <c r="Q307" i="14"/>
  <c r="J410" i="14"/>
  <c r="Q410" i="14"/>
  <c r="J390" i="14"/>
  <c r="Q390" i="14"/>
  <c r="J332" i="14"/>
  <c r="Q332" i="14"/>
  <c r="J364" i="14"/>
  <c r="Q364" i="14"/>
  <c r="J308" i="14"/>
  <c r="Q308" i="14"/>
  <c r="J346" i="14"/>
  <c r="Q346" i="14"/>
  <c r="J402" i="14"/>
  <c r="Q402" i="14"/>
  <c r="J331" i="14"/>
  <c r="Q331" i="14"/>
  <c r="J387" i="14"/>
  <c r="Q387" i="14"/>
  <c r="J379" i="14"/>
  <c r="Q379" i="14"/>
  <c r="J342" i="14"/>
  <c r="Q342" i="14"/>
  <c r="J310" i="14"/>
  <c r="Q310" i="14"/>
  <c r="J391" i="14"/>
  <c r="Q391" i="14"/>
  <c r="J271" i="14"/>
  <c r="Q271" i="14"/>
  <c r="J399" i="14"/>
  <c r="Q399" i="14"/>
  <c r="J298" i="14"/>
  <c r="Q298" i="14"/>
  <c r="J393" i="14"/>
  <c r="Q393" i="14"/>
  <c r="J274" i="14"/>
  <c r="Q274" i="14"/>
  <c r="J322" i="14"/>
  <c r="Q322" i="14"/>
  <c r="J253" i="14"/>
  <c r="Q253" i="14"/>
  <c r="J266" i="14"/>
  <c r="Q266" i="14"/>
  <c r="J223" i="14"/>
  <c r="Q223" i="14"/>
  <c r="J374" i="14"/>
  <c r="Q374" i="14"/>
  <c r="J363" i="14"/>
  <c r="Q363" i="14"/>
  <c r="J325" i="14"/>
  <c r="Q325" i="14"/>
  <c r="J340" i="14"/>
  <c r="Q340" i="14"/>
  <c r="J241" i="14"/>
  <c r="Q241" i="14"/>
  <c r="J347" i="14"/>
  <c r="Q347" i="14"/>
  <c r="J283" i="14"/>
  <c r="Q283" i="14"/>
  <c r="J250" i="14"/>
  <c r="Q250" i="14"/>
  <c r="J328" i="14"/>
  <c r="Q328" i="14"/>
  <c r="J280" i="14"/>
  <c r="Q280" i="14"/>
  <c r="J260" i="14"/>
  <c r="Q260" i="14"/>
  <c r="J299" i="14"/>
  <c r="Q299" i="14"/>
  <c r="J373" i="14"/>
  <c r="Q373" i="14"/>
  <c r="J336" i="14"/>
  <c r="Q336" i="14"/>
  <c r="J366" i="14"/>
  <c r="Q366" i="14"/>
  <c r="J292" i="14"/>
  <c r="Q292" i="14"/>
  <c r="J382" i="14"/>
  <c r="Q382" i="14"/>
  <c r="J302" i="14"/>
  <c r="Q302" i="14"/>
  <c r="J339" i="14"/>
  <c r="Q339" i="14"/>
  <c r="J319" i="14"/>
  <c r="Q319" i="14"/>
  <c r="G379" i="14"/>
  <c r="I379" i="14"/>
  <c r="G342" i="14"/>
  <c r="I342" i="14"/>
  <c r="G310" i="14"/>
  <c r="I310" i="14"/>
  <c r="G391" i="14"/>
  <c r="I391" i="14"/>
  <c r="G271" i="14"/>
  <c r="I271" i="14"/>
  <c r="G399" i="14"/>
  <c r="I399" i="14"/>
  <c r="G298" i="14"/>
  <c r="I298" i="14"/>
  <c r="G393" i="14"/>
  <c r="I393" i="14"/>
  <c r="G274" i="14"/>
  <c r="I274" i="14"/>
  <c r="G322" i="14"/>
  <c r="I322" i="14"/>
  <c r="G253" i="14"/>
  <c r="I253" i="14"/>
  <c r="G266" i="14"/>
  <c r="I266" i="14"/>
  <c r="G223" i="14"/>
  <c r="I223" i="14"/>
  <c r="G374" i="14"/>
  <c r="I374" i="14"/>
  <c r="G363" i="14"/>
  <c r="I363" i="14"/>
  <c r="G325" i="14"/>
  <c r="I325" i="14"/>
  <c r="G340" i="14"/>
  <c r="I340" i="14"/>
  <c r="G241" i="14"/>
  <c r="I241" i="14"/>
  <c r="G347" i="14"/>
  <c r="I347" i="14"/>
  <c r="G283" i="14"/>
  <c r="I283" i="14"/>
  <c r="G250" i="14"/>
  <c r="I250" i="14"/>
  <c r="G328" i="14"/>
  <c r="I328" i="14"/>
  <c r="G280" i="14"/>
  <c r="I280" i="14"/>
  <c r="G260" i="14"/>
  <c r="I260" i="14"/>
  <c r="G299" i="14"/>
  <c r="I299" i="14"/>
  <c r="G373" i="14"/>
  <c r="I373" i="14"/>
  <c r="G336" i="14"/>
  <c r="I336" i="14"/>
  <c r="G366" i="14"/>
  <c r="I366" i="14"/>
  <c r="G292" i="14"/>
  <c r="I292" i="14"/>
  <c r="G382" i="14"/>
  <c r="I382" i="14"/>
  <c r="G302" i="14"/>
  <c r="I302" i="14"/>
  <c r="G339" i="14"/>
  <c r="I339" i="14"/>
  <c r="G319" i="14"/>
  <c r="I319" i="14"/>
  <c r="G287" i="14"/>
  <c r="I287" i="14"/>
  <c r="G270" i="14"/>
  <c r="I270" i="14"/>
  <c r="G226" i="14"/>
  <c r="I226" i="14"/>
  <c r="G318" i="14"/>
  <c r="I318" i="14"/>
  <c r="G313" i="14"/>
  <c r="I313" i="14"/>
  <c r="G409" i="14"/>
  <c r="I409" i="14"/>
  <c r="G215" i="14"/>
  <c r="I215" i="14"/>
  <c r="G394" i="14"/>
  <c r="I394" i="14"/>
  <c r="G276" i="14"/>
  <c r="I276" i="14"/>
  <c r="G297" i="14"/>
  <c r="I297" i="14"/>
  <c r="G304" i="14"/>
  <c r="I304" i="14"/>
  <c r="G225" i="14"/>
  <c r="I225" i="14"/>
  <c r="G248" i="14"/>
  <c r="I248" i="14"/>
  <c r="G295" i="14"/>
  <c r="I295" i="14"/>
  <c r="G370" i="14"/>
  <c r="I370" i="14"/>
  <c r="G367" i="14"/>
  <c r="I367" i="14"/>
  <c r="G407" i="14"/>
  <c r="I407" i="14"/>
  <c r="G323" i="14"/>
  <c r="I323" i="14"/>
  <c r="G219" i="14"/>
  <c r="I219" i="14"/>
  <c r="G239" i="14"/>
  <c r="I239" i="14"/>
  <c r="G306" i="14"/>
  <c r="I306" i="14"/>
  <c r="G344" i="14"/>
  <c r="I344" i="14"/>
  <c r="G235" i="14"/>
  <c r="I235" i="14"/>
  <c r="G358" i="14"/>
  <c r="I358" i="14"/>
  <c r="G305" i="14"/>
  <c r="I305" i="14"/>
  <c r="G351" i="14"/>
  <c r="I351" i="14"/>
  <c r="G264" i="14"/>
  <c r="I264" i="14"/>
  <c r="G244" i="14"/>
  <c r="I244" i="14"/>
  <c r="G281" i="14"/>
  <c r="I281" i="14"/>
  <c r="G309" i="14"/>
  <c r="I309" i="14"/>
  <c r="G356" i="14"/>
  <c r="I356" i="14"/>
  <c r="G284" i="14"/>
  <c r="I284" i="14"/>
  <c r="G290" i="14"/>
  <c r="I290" i="14"/>
  <c r="G240" i="14"/>
  <c r="I240" i="14"/>
  <c r="G412" i="14"/>
  <c r="I412" i="14"/>
  <c r="G327" i="14"/>
  <c r="I327" i="14"/>
  <c r="G286" i="14"/>
  <c r="I286" i="14"/>
  <c r="G282" i="14"/>
  <c r="I282" i="14"/>
  <c r="G378" i="14"/>
  <c r="I378" i="14"/>
  <c r="G245" i="14"/>
  <c r="I245" i="14"/>
  <c r="G403" i="14"/>
  <c r="I403" i="14"/>
  <c r="G220" i="14"/>
  <c r="I220" i="14"/>
  <c r="G345" i="14"/>
  <c r="I345" i="14"/>
  <c r="G321" i="14"/>
  <c r="I321" i="14"/>
  <c r="G311" i="14"/>
  <c r="I311" i="14"/>
  <c r="G341" i="14"/>
  <c r="I341" i="14"/>
  <c r="G398" i="14"/>
  <c r="I398" i="14"/>
  <c r="G383" i="14"/>
  <c r="I383" i="14"/>
  <c r="G337" i="14"/>
  <c r="I337" i="14"/>
  <c r="G256" i="14"/>
  <c r="I256" i="14"/>
  <c r="G326" i="14"/>
  <c r="I326" i="14"/>
  <c r="G408" i="14"/>
  <c r="I408" i="14"/>
  <c r="G301" i="14"/>
  <c r="I301" i="14"/>
  <c r="G335" i="14"/>
  <c r="I335" i="14"/>
  <c r="G261" i="14"/>
  <c r="I261" i="14"/>
  <c r="G404" i="14"/>
  <c r="I404" i="14"/>
  <c r="G249" i="14"/>
  <c r="I249" i="14"/>
  <c r="G236" i="14"/>
  <c r="I236" i="14"/>
  <c r="G314" i="14"/>
  <c r="I314" i="14"/>
  <c r="G348" i="14"/>
  <c r="I348" i="14"/>
  <c r="G377" i="14"/>
  <c r="I377" i="14"/>
  <c r="G353" i="14"/>
  <c r="I353" i="14"/>
  <c r="G232" i="14"/>
  <c r="I232" i="14"/>
  <c r="G368" i="14"/>
  <c r="I368" i="14"/>
  <c r="G285" i="14"/>
  <c r="I285" i="14"/>
  <c r="G316" i="14"/>
  <c r="I316" i="14"/>
  <c r="G354" i="14"/>
  <c r="I354" i="14"/>
  <c r="G234" i="14"/>
  <c r="I234" i="14"/>
  <c r="G343" i="14"/>
  <c r="I343" i="14"/>
  <c r="G217" i="14"/>
  <c r="I217" i="14"/>
  <c r="G251" i="14"/>
  <c r="I251" i="14"/>
  <c r="G224" i="14"/>
  <c r="I224" i="14"/>
  <c r="G252" i="14"/>
  <c r="I252" i="14"/>
  <c r="G376" i="14"/>
  <c r="I376" i="14"/>
  <c r="G233" i="14"/>
  <c r="I233" i="14"/>
  <c r="G303" i="14"/>
  <c r="I303" i="14"/>
  <c r="G291" i="14"/>
  <c r="I291" i="14"/>
  <c r="G300" i="14"/>
  <c r="I300" i="14"/>
  <c r="G397" i="14"/>
  <c r="I397" i="14"/>
  <c r="G279" i="14"/>
  <c r="I279" i="14"/>
  <c r="G222" i="14"/>
  <c r="I222" i="14"/>
  <c r="G262" i="14"/>
  <c r="I262" i="14"/>
  <c r="G259" i="14"/>
  <c r="I259" i="14"/>
  <c r="G275" i="14"/>
  <c r="I275" i="14"/>
  <c r="G257" i="14"/>
  <c r="I257" i="14"/>
  <c r="G349" i="14"/>
  <c r="I349" i="14"/>
  <c r="G392" i="14"/>
  <c r="I392" i="14"/>
  <c r="G395" i="14"/>
  <c r="I395" i="14"/>
  <c r="G229" i="14"/>
  <c r="I229" i="14"/>
  <c r="G268" i="14"/>
  <c r="I268" i="14"/>
  <c r="G413" i="14"/>
  <c r="I413" i="14"/>
  <c r="G396" i="14"/>
  <c r="I396" i="14"/>
  <c r="G352" i="14"/>
  <c r="I352" i="14"/>
  <c r="G330" i="14"/>
  <c r="I330" i="14"/>
  <c r="G214" i="14"/>
  <c r="I214" i="14"/>
  <c r="G389" i="14"/>
  <c r="I389" i="14"/>
  <c r="G362" i="14"/>
  <c r="I362" i="14"/>
  <c r="G273" i="14"/>
  <c r="I273" i="14"/>
  <c r="G227" i="14"/>
  <c r="I227" i="14"/>
  <c r="G371" i="14"/>
  <c r="I371" i="14"/>
  <c r="G213" i="14"/>
  <c r="I213" i="14"/>
  <c r="G361" i="14"/>
  <c r="I361" i="14"/>
  <c r="G277" i="14"/>
  <c r="I277" i="14"/>
  <c r="G242" i="14"/>
  <c r="I242" i="14"/>
  <c r="G255" i="14"/>
  <c r="I255" i="14"/>
  <c r="G288" i="14"/>
  <c r="I288" i="14"/>
  <c r="G218" i="14"/>
  <c r="I218" i="14"/>
  <c r="G237" i="14"/>
  <c r="I237" i="14"/>
  <c r="G401" i="14"/>
  <c r="I401" i="14"/>
  <c r="G320" i="14"/>
  <c r="I320" i="14"/>
  <c r="G369" i="14"/>
  <c r="I369" i="14"/>
  <c r="G372" i="14"/>
  <c r="I372" i="14"/>
  <c r="G324" i="14"/>
  <c r="I324" i="14"/>
  <c r="G267" i="14"/>
  <c r="I267" i="14"/>
  <c r="G254" i="14"/>
  <c r="I254" i="14"/>
  <c r="G247" i="14"/>
  <c r="I247" i="14"/>
  <c r="G405" i="14"/>
  <c r="I405" i="14"/>
  <c r="G315" i="14"/>
  <c r="I315" i="14"/>
  <c r="G406" i="14"/>
  <c r="I406" i="14"/>
  <c r="G355" i="14"/>
  <c r="I355" i="14"/>
  <c r="G258" i="14"/>
  <c r="I258" i="14"/>
  <c r="G216" i="14"/>
  <c r="I216" i="14"/>
  <c r="G296" i="14"/>
  <c r="I296" i="14"/>
  <c r="G385" i="14"/>
  <c r="I385" i="14"/>
  <c r="G333" i="14"/>
  <c r="I333" i="14"/>
  <c r="G317" i="14"/>
  <c r="I317" i="14"/>
  <c r="G312" i="14"/>
  <c r="I312" i="14"/>
  <c r="G384" i="14"/>
  <c r="I384" i="14"/>
  <c r="G334" i="14"/>
  <c r="I334" i="14"/>
  <c r="G381" i="14"/>
  <c r="I381" i="14"/>
  <c r="G400" i="14"/>
  <c r="I400" i="14"/>
  <c r="G365" i="14"/>
  <c r="I365" i="14"/>
  <c r="G294" i="14"/>
  <c r="I294" i="14"/>
  <c r="G357" i="14"/>
  <c r="I357" i="14"/>
  <c r="G221" i="14"/>
  <c r="I221" i="14"/>
  <c r="G238" i="14"/>
  <c r="I238" i="14"/>
  <c r="G293" i="14"/>
  <c r="I293" i="14"/>
  <c r="G231" i="14"/>
  <c r="I231" i="14"/>
  <c r="G375" i="14"/>
  <c r="I375" i="14"/>
  <c r="G263" i="14"/>
  <c r="I263" i="14"/>
  <c r="G388" i="14"/>
  <c r="I388" i="14"/>
  <c r="G265" i="14"/>
  <c r="I265" i="14"/>
  <c r="G246" i="14"/>
  <c r="I246" i="14"/>
  <c r="G278" i="14"/>
  <c r="I278" i="14"/>
  <c r="G360" i="14"/>
  <c r="I360" i="14"/>
  <c r="G329" i="14"/>
  <c r="I329" i="14"/>
  <c r="G272" i="14"/>
  <c r="I272" i="14"/>
  <c r="G243" i="14"/>
  <c r="I243" i="14"/>
  <c r="G386" i="14"/>
  <c r="I386" i="14"/>
  <c r="G380" i="14"/>
  <c r="I380" i="14"/>
  <c r="G359" i="14"/>
  <c r="I359" i="14"/>
  <c r="G350" i="14"/>
  <c r="I350" i="14"/>
  <c r="G269" i="14"/>
  <c r="I269" i="14"/>
  <c r="G230" i="14"/>
  <c r="I230" i="14"/>
  <c r="G338" i="14"/>
  <c r="I338" i="14"/>
  <c r="G228" i="14"/>
  <c r="I228" i="14"/>
  <c r="G411" i="14"/>
  <c r="I411" i="14"/>
  <c r="G307" i="14"/>
  <c r="I307" i="14"/>
  <c r="G410" i="14"/>
  <c r="I410" i="14"/>
  <c r="G390" i="14"/>
  <c r="I390" i="14"/>
  <c r="G332" i="14"/>
  <c r="I332" i="14"/>
  <c r="G364" i="14"/>
  <c r="I364" i="14"/>
  <c r="G308" i="14"/>
  <c r="I308" i="14"/>
  <c r="G346" i="14"/>
  <c r="I346" i="14"/>
  <c r="G402" i="14"/>
  <c r="I402" i="14"/>
  <c r="G331" i="14"/>
  <c r="I331" i="14"/>
  <c r="G387" i="14"/>
  <c r="I387" i="14"/>
  <c r="D240" i="14"/>
  <c r="E240" i="14"/>
  <c r="D412" i="14"/>
  <c r="E412" i="14"/>
  <c r="D327" i="14"/>
  <c r="E327" i="14"/>
  <c r="D286" i="14"/>
  <c r="E286" i="14"/>
  <c r="D282" i="14"/>
  <c r="E282" i="14"/>
  <c r="D378" i="14"/>
  <c r="E378" i="14"/>
  <c r="D245" i="14"/>
  <c r="E245" i="14"/>
  <c r="D403" i="14"/>
  <c r="E403" i="14"/>
  <c r="D220" i="14"/>
  <c r="E220" i="14"/>
  <c r="D345" i="14"/>
  <c r="E345" i="14"/>
  <c r="D321" i="14"/>
  <c r="E321" i="14"/>
  <c r="D311" i="14"/>
  <c r="E311" i="14"/>
  <c r="D341" i="14"/>
  <c r="E341" i="14"/>
  <c r="D398" i="14"/>
  <c r="E398" i="14"/>
  <c r="D383" i="14"/>
  <c r="E383" i="14"/>
  <c r="D337" i="14"/>
  <c r="E337" i="14"/>
  <c r="D256" i="14"/>
  <c r="E256" i="14"/>
  <c r="D326" i="14"/>
  <c r="E326" i="14"/>
  <c r="D408" i="14"/>
  <c r="E408" i="14"/>
  <c r="D301" i="14"/>
  <c r="E301" i="14"/>
  <c r="D335" i="14"/>
  <c r="E335" i="14"/>
  <c r="D261" i="14"/>
  <c r="E261" i="14"/>
  <c r="D404" i="14"/>
  <c r="E404" i="14"/>
  <c r="D249" i="14"/>
  <c r="E249" i="14"/>
  <c r="D236" i="14"/>
  <c r="E236" i="14"/>
  <c r="D314" i="14"/>
  <c r="E314" i="14"/>
  <c r="D348" i="14"/>
  <c r="E348" i="14"/>
  <c r="D377" i="14"/>
  <c r="E377" i="14"/>
  <c r="D353" i="14"/>
  <c r="E353" i="14"/>
  <c r="D232" i="14"/>
  <c r="E232" i="14"/>
  <c r="D368" i="14"/>
  <c r="E368" i="14"/>
  <c r="D285" i="14"/>
  <c r="E285" i="14"/>
  <c r="D316" i="14"/>
  <c r="E316" i="14"/>
  <c r="D354" i="14"/>
  <c r="E354" i="14"/>
  <c r="D234" i="14"/>
  <c r="E234" i="14"/>
  <c r="D343" i="14"/>
  <c r="E343" i="14"/>
  <c r="D217" i="14"/>
  <c r="E217" i="14"/>
  <c r="D251" i="14"/>
  <c r="E251" i="14"/>
  <c r="D224" i="14"/>
  <c r="E224" i="14"/>
  <c r="D252" i="14"/>
  <c r="E252" i="14"/>
  <c r="D376" i="14"/>
  <c r="E376" i="14"/>
  <c r="D233" i="14"/>
  <c r="E233" i="14"/>
  <c r="D303" i="14"/>
  <c r="E303" i="14"/>
  <c r="D291" i="14"/>
  <c r="E291" i="14"/>
  <c r="D300" i="14"/>
  <c r="E300" i="14"/>
  <c r="D397" i="14"/>
  <c r="E397" i="14"/>
  <c r="D279" i="14"/>
  <c r="E279" i="14"/>
  <c r="D222" i="14"/>
  <c r="E222" i="14"/>
  <c r="D262" i="14"/>
  <c r="E262" i="14"/>
  <c r="D259" i="14"/>
  <c r="E259" i="14"/>
  <c r="D275" i="14"/>
  <c r="E275" i="14"/>
  <c r="D257" i="14"/>
  <c r="E257" i="14"/>
  <c r="D349" i="14"/>
  <c r="E349" i="14"/>
  <c r="D392" i="14"/>
  <c r="E392" i="14"/>
  <c r="D395" i="14"/>
  <c r="E395" i="14"/>
  <c r="D229" i="14"/>
  <c r="E229" i="14"/>
  <c r="D268" i="14"/>
  <c r="E268" i="14"/>
  <c r="D413" i="14"/>
  <c r="E413" i="14"/>
  <c r="D396" i="14"/>
  <c r="E396" i="14"/>
  <c r="D352" i="14"/>
  <c r="E352" i="14"/>
  <c r="D330" i="14"/>
  <c r="E330" i="14"/>
  <c r="D214" i="14"/>
  <c r="E214" i="14"/>
  <c r="D389" i="14"/>
  <c r="E389" i="14"/>
  <c r="D362" i="14"/>
  <c r="E362" i="14"/>
  <c r="D273" i="14"/>
  <c r="E273" i="14"/>
  <c r="D227" i="14"/>
  <c r="E227" i="14"/>
  <c r="D371" i="14"/>
  <c r="E371" i="14"/>
  <c r="D213" i="14"/>
  <c r="E213" i="14"/>
  <c r="D361" i="14"/>
  <c r="E361" i="14"/>
  <c r="D277" i="14"/>
  <c r="E277" i="14"/>
  <c r="D242" i="14"/>
  <c r="E242" i="14"/>
  <c r="D255" i="14"/>
  <c r="E255" i="14"/>
  <c r="D288" i="14"/>
  <c r="E288" i="14"/>
  <c r="D218" i="14"/>
  <c r="E218" i="14"/>
  <c r="D237" i="14"/>
  <c r="E237" i="14"/>
  <c r="D401" i="14"/>
  <c r="E401" i="14"/>
  <c r="D320" i="14"/>
  <c r="E320" i="14"/>
  <c r="D369" i="14"/>
  <c r="E369" i="14"/>
  <c r="D372" i="14"/>
  <c r="E372" i="14"/>
  <c r="D324" i="14"/>
  <c r="E324" i="14"/>
  <c r="D267" i="14"/>
  <c r="E267" i="14"/>
  <c r="D254" i="14"/>
  <c r="E254" i="14"/>
  <c r="D247" i="14"/>
  <c r="E247" i="14"/>
  <c r="D405" i="14"/>
  <c r="E405" i="14"/>
  <c r="D315" i="14"/>
  <c r="E315" i="14"/>
  <c r="D406" i="14"/>
  <c r="E406" i="14"/>
  <c r="D355" i="14"/>
  <c r="E355" i="14"/>
  <c r="D258" i="14"/>
  <c r="E258" i="14"/>
  <c r="D216" i="14"/>
  <c r="E216" i="14"/>
  <c r="D296" i="14"/>
  <c r="E296" i="14"/>
  <c r="D385" i="14"/>
  <c r="E385" i="14"/>
  <c r="D333" i="14"/>
  <c r="E333" i="14"/>
  <c r="D317" i="14"/>
  <c r="E317" i="14"/>
  <c r="D312" i="14"/>
  <c r="E312" i="14"/>
  <c r="D384" i="14"/>
  <c r="E384" i="14"/>
  <c r="D334" i="14"/>
  <c r="E334" i="14"/>
  <c r="D381" i="14"/>
  <c r="E381" i="14"/>
  <c r="D400" i="14"/>
  <c r="E400" i="14"/>
  <c r="D365" i="14"/>
  <c r="E365" i="14"/>
  <c r="D294" i="14"/>
  <c r="E294" i="14"/>
  <c r="D357" i="14"/>
  <c r="E357" i="14"/>
  <c r="D221" i="14"/>
  <c r="E221" i="14"/>
  <c r="D238" i="14"/>
  <c r="E238" i="14"/>
  <c r="D293" i="14"/>
  <c r="E293" i="14"/>
  <c r="D231" i="14"/>
  <c r="E231" i="14"/>
  <c r="D375" i="14"/>
  <c r="E375" i="14"/>
  <c r="D263" i="14"/>
  <c r="E263" i="14"/>
  <c r="D388" i="14"/>
  <c r="E388" i="14"/>
  <c r="D265" i="14"/>
  <c r="E265" i="14"/>
  <c r="D246" i="14"/>
  <c r="E246" i="14"/>
  <c r="D278" i="14"/>
  <c r="E278" i="14"/>
  <c r="D360" i="14"/>
  <c r="E360" i="14"/>
  <c r="D329" i="14"/>
  <c r="E329" i="14"/>
  <c r="D272" i="14"/>
  <c r="E272" i="14"/>
  <c r="D243" i="14"/>
  <c r="E243" i="14"/>
  <c r="D386" i="14"/>
  <c r="E386" i="14"/>
  <c r="D380" i="14"/>
  <c r="E380" i="14"/>
  <c r="D359" i="14"/>
  <c r="E359" i="14"/>
  <c r="D350" i="14"/>
  <c r="E350" i="14"/>
  <c r="D269" i="14"/>
  <c r="E269" i="14"/>
  <c r="D230" i="14"/>
  <c r="E230" i="14"/>
  <c r="D338" i="14"/>
  <c r="E338" i="14"/>
  <c r="D228" i="14"/>
  <c r="E228" i="14"/>
  <c r="D411" i="14"/>
  <c r="E411" i="14"/>
  <c r="D307" i="14"/>
  <c r="E307" i="14"/>
  <c r="D410" i="14"/>
  <c r="E410" i="14"/>
  <c r="D390" i="14"/>
  <c r="E390" i="14"/>
  <c r="D332" i="14"/>
  <c r="E332" i="14"/>
  <c r="D364" i="14"/>
  <c r="E364" i="14"/>
  <c r="D308" i="14"/>
  <c r="E308" i="14"/>
  <c r="D346" i="14"/>
  <c r="E346" i="14"/>
  <c r="D402" i="14"/>
  <c r="E402" i="14"/>
  <c r="D331" i="14"/>
  <c r="E331" i="14"/>
  <c r="D387" i="14"/>
  <c r="E387" i="14"/>
  <c r="D379" i="14"/>
  <c r="E379" i="14"/>
  <c r="D342" i="14"/>
  <c r="E342" i="14"/>
  <c r="D310" i="14"/>
  <c r="E310" i="14"/>
  <c r="D391" i="14"/>
  <c r="E391" i="14"/>
  <c r="D271" i="14"/>
  <c r="E271" i="14"/>
  <c r="D399" i="14"/>
  <c r="E399" i="14"/>
  <c r="D298" i="14"/>
  <c r="E298" i="14"/>
  <c r="D393" i="14"/>
  <c r="E393" i="14"/>
  <c r="D274" i="14"/>
  <c r="E274" i="14"/>
  <c r="D322" i="14"/>
  <c r="E322" i="14"/>
  <c r="D253" i="14"/>
  <c r="E253" i="14"/>
  <c r="D266" i="14"/>
  <c r="E266" i="14"/>
  <c r="D223" i="14"/>
  <c r="E223" i="14"/>
  <c r="D374" i="14"/>
  <c r="E374" i="14"/>
  <c r="D363" i="14"/>
  <c r="E363" i="14"/>
  <c r="D325" i="14"/>
  <c r="E325" i="14"/>
  <c r="D340" i="14"/>
  <c r="E340" i="14"/>
  <c r="D241" i="14"/>
  <c r="E241" i="14"/>
  <c r="D347" i="14"/>
  <c r="E347" i="14"/>
  <c r="D283" i="14"/>
  <c r="E283" i="14"/>
  <c r="D250" i="14"/>
  <c r="E250" i="14"/>
  <c r="D328" i="14"/>
  <c r="E328" i="14"/>
  <c r="D280" i="14"/>
  <c r="E280" i="14"/>
  <c r="D260" i="14"/>
  <c r="E260" i="14"/>
  <c r="D299" i="14"/>
  <c r="E299" i="14"/>
  <c r="D373" i="14"/>
  <c r="E373" i="14"/>
  <c r="D336" i="14"/>
  <c r="E336" i="14"/>
  <c r="D366" i="14"/>
  <c r="E366" i="14"/>
  <c r="D292" i="14"/>
  <c r="E292" i="14"/>
  <c r="D382" i="14"/>
  <c r="E382" i="14"/>
  <c r="D302" i="14"/>
  <c r="E302" i="14"/>
  <c r="D339" i="14"/>
  <c r="E339" i="14"/>
  <c r="D319" i="14"/>
  <c r="E319" i="14"/>
  <c r="D287" i="14"/>
  <c r="E287" i="14"/>
  <c r="D270" i="14"/>
  <c r="E270" i="14"/>
  <c r="D226" i="14"/>
  <c r="E226" i="14"/>
  <c r="D318" i="14"/>
  <c r="E318" i="14"/>
  <c r="D313" i="14"/>
  <c r="E313" i="14"/>
  <c r="D409" i="14"/>
  <c r="E409" i="14"/>
  <c r="D215" i="14"/>
  <c r="E215" i="14"/>
  <c r="D394" i="14"/>
  <c r="E394" i="14"/>
  <c r="D276" i="14"/>
  <c r="E276" i="14"/>
  <c r="D297" i="14"/>
  <c r="E297" i="14"/>
  <c r="D304" i="14"/>
  <c r="E304" i="14"/>
  <c r="D225" i="14"/>
  <c r="E225" i="14"/>
  <c r="D248" i="14"/>
  <c r="E248" i="14"/>
  <c r="D295" i="14"/>
  <c r="E295" i="14"/>
  <c r="D370" i="14"/>
  <c r="E370" i="14"/>
  <c r="D367" i="14"/>
  <c r="E367" i="14"/>
  <c r="D407" i="14"/>
  <c r="E407" i="14"/>
  <c r="D323" i="14"/>
  <c r="E323" i="14"/>
  <c r="D219" i="14"/>
  <c r="E219" i="14"/>
  <c r="D239" i="14"/>
  <c r="E239" i="14"/>
  <c r="D306" i="14"/>
  <c r="E306" i="14"/>
  <c r="D344" i="14"/>
  <c r="E344" i="14"/>
  <c r="D235" i="14"/>
  <c r="E235" i="14"/>
  <c r="D358" i="14"/>
  <c r="E358" i="14"/>
  <c r="D305" i="14"/>
  <c r="E305" i="14"/>
  <c r="D351" i="14"/>
  <c r="E351" i="14"/>
  <c r="D264" i="14"/>
  <c r="E264" i="14"/>
  <c r="D244" i="14"/>
  <c r="E244" i="14"/>
  <c r="D281" i="14"/>
  <c r="E281" i="14"/>
  <c r="D309" i="14"/>
  <c r="E309" i="14"/>
  <c r="D356" i="14"/>
  <c r="E356" i="14"/>
  <c r="D284" i="14"/>
  <c r="E284" i="14"/>
  <c r="D290" i="14"/>
  <c r="E290" i="14"/>
  <c r="P306" i="14" a="1"/>
  <c r="H306" i="14" a="1"/>
  <c r="P322" i="14" a="1"/>
  <c r="H314" i="14" a="1"/>
  <c r="P324" i="14" a="1"/>
  <c r="H324" i="14" a="1"/>
  <c r="P310" i="14" a="1"/>
  <c r="P314" i="14" a="1"/>
  <c r="P320" i="14" a="1"/>
  <c r="P326" i="14" a="1"/>
  <c r="H310" i="14" a="1"/>
  <c r="H316" i="14" a="1"/>
  <c r="H326" i="14" a="1"/>
  <c r="P316" i="14" a="1"/>
  <c r="H322" i="14" a="1"/>
  <c r="H312" i="14" a="1"/>
  <c r="P312" i="14" a="1"/>
  <c r="H320" i="14" a="1"/>
  <c r="P359" i="14" a="1"/>
  <c r="H255" i="14" a="1"/>
  <c r="P349" i="14" a="1"/>
  <c r="H369" i="14" a="1"/>
  <c r="P281" i="14" a="1"/>
  <c r="P339" i="14" a="1"/>
  <c r="P399" i="14" a="1"/>
  <c r="P411" i="14" a="1"/>
  <c r="H359" i="14" a="1"/>
  <c r="P409" i="14" a="1"/>
  <c r="P405" i="14" a="1"/>
  <c r="H309" i="14" a="1"/>
  <c r="P395" i="14" a="1"/>
  <c r="H317" i="14" a="1"/>
  <c r="P369" i="14" a="1"/>
  <c r="P217" i="14" a="1"/>
  <c r="P291" i="14" a="1"/>
  <c r="H235" i="14" a="1"/>
  <c r="H307" i="14" a="1"/>
  <c r="P367" i="14" a="1"/>
  <c r="P249" i="14" a="1"/>
  <c r="P341" i="14" a="1"/>
  <c r="H249" i="14" a="1"/>
  <c r="P289" i="14" a="1"/>
  <c r="P351" i="14" a="1"/>
  <c r="H345" i="14" a="1"/>
  <c r="P391" i="14" a="1"/>
  <c r="H237" i="14" a="1"/>
  <c r="P371" i="14" a="1"/>
  <c r="H301" i="14" a="1"/>
  <c r="H299" i="14" a="1"/>
  <c r="H247" i="14" a="1"/>
  <c r="H349" i="14" a="1"/>
  <c r="P401" i="14" a="1"/>
  <c r="P321" i="14" a="1"/>
  <c r="P247" i="14" a="1"/>
  <c r="H351" i="14" a="1"/>
  <c r="P221" i="14" a="1"/>
  <c r="H295" i="14" a="1"/>
  <c r="H389" i="14" a="1"/>
  <c r="P407" i="14" a="1"/>
  <c r="H399" i="14" a="1"/>
  <c r="P237" i="14" a="1"/>
  <c r="P241" i="14" a="1"/>
  <c r="H379" i="14" a="1"/>
  <c r="H347" i="14" a="1"/>
  <c r="P315" i="14" a="1"/>
  <c r="H259" i="14" a="1"/>
  <c r="P275" i="14" a="1"/>
  <c r="H297" i="14" a="1"/>
  <c r="P387" i="14" a="1"/>
  <c r="P277" i="14" a="1"/>
  <c r="H397" i="14" a="1"/>
  <c r="P305" i="14" a="1"/>
  <c r="P295" i="14" a="1"/>
  <c r="H285" i="14" a="1"/>
  <c r="P345" i="14" a="1"/>
  <c r="H231" i="14" a="1"/>
  <c r="P229" i="14" a="1"/>
  <c r="H405" i="14" a="1"/>
  <c r="P379" i="14" a="1"/>
  <c r="H335" i="14" a="1"/>
  <c r="P327" i="14" a="1"/>
  <c r="P385" i="14" a="1"/>
  <c r="H229" i="14" a="1"/>
  <c r="P355" i="14" a="1"/>
  <c r="H225" i="14" a="1"/>
  <c r="P325" i="14" a="1"/>
  <c r="P227" i="14" a="1"/>
  <c r="P375" i="14" a="1"/>
  <c r="H331" i="14" a="1"/>
  <c r="H357" i="14" a="1"/>
  <c r="H227" i="14" a="1"/>
  <c r="P311" i="14" a="1"/>
  <c r="P239" i="14" a="1"/>
  <c r="H409" i="14" a="1"/>
  <c r="H245" i="14" a="1"/>
  <c r="H261" i="14" a="1"/>
  <c r="H361" i="14" a="1"/>
  <c r="H341" i="14" a="1"/>
  <c r="P317" i="14" a="1"/>
  <c r="P381" i="14" a="1"/>
  <c r="H391" i="14" a="1"/>
  <c r="P397" i="14" a="1"/>
  <c r="H407" i="14" a="1"/>
  <c r="P269" i="14" a="1"/>
  <c r="P279" i="14" a="1"/>
  <c r="H321" i="14" a="1"/>
  <c r="H311" i="14" a="1"/>
  <c r="P261" i="14" a="1"/>
  <c r="H337" i="14" a="1"/>
  <c r="H239" i="14" a="1"/>
  <c r="H251" i="14" a="1"/>
  <c r="P335" i="14" a="1"/>
  <c r="H315" i="14" a="1"/>
  <c r="H277" i="14" a="1"/>
  <c r="H365" i="14" a="1"/>
  <c r="H215" i="14" a="1"/>
  <c r="H377" i="14" a="1"/>
  <c r="P319" i="14" a="1"/>
  <c r="P219" i="14" a="1"/>
  <c r="P271" i="14" a="1"/>
  <c r="H355" i="14" a="1"/>
  <c r="H289" i="14" a="1"/>
  <c r="P307" i="14" a="1"/>
  <c r="H325" i="14" a="1"/>
  <c r="P235" i="14" a="1"/>
  <c r="P267" i="14" a="1"/>
  <c r="H267" i="14" a="1"/>
  <c r="H381" i="14" a="1"/>
  <c r="P309" i="14" a="1"/>
  <c r="H385" i="14" a="1"/>
  <c r="H257" i="14" a="1"/>
  <c r="H375" i="14" a="1"/>
  <c r="P365" i="14" a="1"/>
  <c r="P357" i="14" a="1"/>
  <c r="P255" i="14" a="1"/>
  <c r="P257" i="14" a="1"/>
  <c r="P331" i="14" a="1"/>
  <c r="P299" i="14" a="1"/>
  <c r="H221" i="14" a="1"/>
  <c r="P225" i="14" a="1"/>
  <c r="P285" i="14" a="1"/>
  <c r="H217" i="14" a="1"/>
  <c r="P389" i="14" a="1"/>
  <c r="H271" i="14" a="1"/>
  <c r="H411" i="14" a="1"/>
  <c r="H281" i="14" a="1"/>
  <c r="H275" i="14" a="1"/>
  <c r="P329" i="14" a="1"/>
  <c r="H269" i="14" a="1"/>
  <c r="P337" i="14" a="1"/>
  <c r="P265" i="14" a="1"/>
  <c r="P215" i="14" a="1"/>
  <c r="H287" i="14" a="1"/>
  <c r="P361" i="14" a="1"/>
  <c r="H395" i="14" a="1"/>
  <c r="P347" i="14" a="1"/>
  <c r="P297" i="14" a="1"/>
  <c r="H339" i="14" a="1"/>
  <c r="P301" i="14" a="1"/>
  <c r="H279" i="14" a="1"/>
  <c r="H327" i="14" a="1"/>
  <c r="H367" i="14" a="1"/>
  <c r="H241" i="14" a="1"/>
  <c r="P377" i="14" a="1"/>
  <c r="H291" i="14" a="1"/>
  <c r="P287" i="14" a="1"/>
  <c r="H329" i="14" a="1"/>
  <c r="H387" i="14" a="1"/>
  <c r="H401" i="14" a="1"/>
  <c r="P231" i="14" a="1"/>
  <c r="H319" i="14" a="1"/>
  <c r="H265" i="14" a="1"/>
  <c r="H219" i="14" a="1"/>
  <c r="P251" i="14" a="1"/>
  <c r="P245" i="14" a="1"/>
  <c r="P259" i="14" a="1"/>
  <c r="H305" i="14" a="1"/>
  <c r="H263" i="14" a="1"/>
  <c r="P353" i="14" a="1"/>
  <c r="H378" i="14" a="1"/>
  <c r="P308" i="14" a="1"/>
  <c r="P363" i="14" a="1"/>
  <c r="H233" i="14" a="1"/>
  <c r="P373" i="14" a="1"/>
  <c r="H303" i="14" a="1"/>
  <c r="P393" i="14" a="1"/>
  <c r="P398" i="14" a="1"/>
  <c r="H388" i="14" a="1"/>
  <c r="P233" i="14" a="1"/>
  <c r="H353" i="14" a="1"/>
  <c r="H273" i="14" a="1"/>
  <c r="H403" i="14" a="1"/>
  <c r="P333" i="14" a="1"/>
  <c r="P413" i="14" a="1"/>
  <c r="H288" i="14" a="1"/>
  <c r="P328" i="14" a="1"/>
  <c r="P263" i="14" a="1"/>
  <c r="P283" i="14" a="1"/>
  <c r="H228" i="14" a="1"/>
  <c r="H368" i="14" a="1"/>
  <c r="P248" i="14" a="1"/>
  <c r="P258" i="14" a="1"/>
  <c r="H313" i="14" a="1"/>
  <c r="P303" i="14" a="1"/>
  <c r="P238" i="14" a="1"/>
  <c r="P243" i="14" a="1"/>
  <c r="H253" i="14" a="1"/>
  <c r="H318" i="14" a="1"/>
  <c r="H283" i="14" a="1"/>
  <c r="P368" i="14" a="1"/>
  <c r="H218" i="14" a="1"/>
  <c r="P403" i="14" a="1"/>
  <c r="H358" i="14" a="1"/>
  <c r="H278" i="14" a="1"/>
  <c r="H298" i="14" a="1"/>
  <c r="P298" i="14" a="1"/>
  <c r="H308" i="14" a="1"/>
  <c r="P343" i="14" a="1"/>
  <c r="H238" i="14" a="1"/>
  <c r="P288" i="14" a="1"/>
  <c r="P253" i="14" a="1"/>
  <c r="H398" i="14" a="1"/>
  <c r="H338" i="14" a="1"/>
  <c r="P213" i="14" a="1"/>
  <c r="H323" i="14" a="1"/>
  <c r="H348" i="14" a="1"/>
  <c r="P268" i="14" a="1"/>
  <c r="P278" i="14" a="1"/>
  <c r="H258" i="14" a="1"/>
  <c r="P388" i="14" a="1"/>
  <c r="H293" i="14" a="1"/>
  <c r="H343" i="14" a="1"/>
  <c r="P378" i="14" a="1"/>
  <c r="H408" i="14" a="1"/>
  <c r="H243" i="14" a="1"/>
  <c r="P408" i="14" a="1"/>
  <c r="H393" i="14" a="1"/>
  <c r="H213" i="14" a="1"/>
  <c r="P218" i="14" a="1"/>
  <c r="P293" i="14" a="1"/>
  <c r="H383" i="14" a="1"/>
  <c r="P383" i="14" a="1"/>
  <c r="P228" i="14" a="1"/>
  <c r="H413" i="14" a="1"/>
  <c r="P273" i="14" a="1"/>
  <c r="H223" i="14" a="1"/>
  <c r="H373" i="14" a="1"/>
  <c r="P323" i="14" a="1"/>
  <c r="H248" i="14" a="1"/>
  <c r="P318" i="14" a="1"/>
  <c r="H333" i="14" a="1"/>
  <c r="P313" i="14" a="1"/>
  <c r="P338" i="14" a="1"/>
  <c r="H268" i="14" a="1"/>
  <c r="P358" i="14" a="1"/>
  <c r="P223" i="14" a="1"/>
  <c r="H363" i="14" a="1"/>
  <c r="P348" i="14" a="1"/>
  <c r="H328" i="14" a="1"/>
  <c r="H391" i="14" l="1"/>
  <c r="H407" i="14"/>
  <c r="P385" i="14"/>
  <c r="P395" i="14"/>
  <c r="BJ395" i="14" s="1"/>
  <c r="H411" i="14"/>
  <c r="P387" i="14"/>
  <c r="AG387" i="14" s="1"/>
  <c r="H385" i="14"/>
  <c r="P391" i="14"/>
  <c r="BJ391" i="14" s="1"/>
  <c r="P405" i="14"/>
  <c r="AG405" i="14" s="1"/>
  <c r="P389" i="14"/>
  <c r="AG389" i="14" s="1"/>
  <c r="H395" i="14"/>
  <c r="P409" i="14"/>
  <c r="AG409" i="14" s="1"/>
  <c r="AL409" i="14" s="1"/>
  <c r="H405" i="14"/>
  <c r="H399" i="14"/>
  <c r="H397" i="14"/>
  <c r="H409" i="14"/>
  <c r="P407" i="14"/>
  <c r="BJ407" i="14" s="1"/>
  <c r="P411" i="14"/>
  <c r="AG411" i="14" s="1"/>
  <c r="AL411" i="14" s="1"/>
  <c r="P401" i="14"/>
  <c r="BJ401" i="14" s="1"/>
  <c r="P397" i="14"/>
  <c r="BJ397" i="14" s="1"/>
  <c r="H401" i="14"/>
  <c r="H389" i="14"/>
  <c r="P399" i="14"/>
  <c r="AG399" i="14" s="1"/>
  <c r="AL399" i="14" s="1"/>
  <c r="H387" i="14"/>
  <c r="H326" i="14"/>
  <c r="P326" i="14"/>
  <c r="AG326" i="14" s="1"/>
  <c r="AL326" i="14" s="1"/>
  <c r="H215" i="14"/>
  <c r="P215" i="14"/>
  <c r="AG215" i="14" s="1"/>
  <c r="AL215" i="14" s="1"/>
  <c r="P320" i="14"/>
  <c r="BJ320" i="14" s="1"/>
  <c r="H320" i="14"/>
  <c r="H306" i="14"/>
  <c r="P312" i="14"/>
  <c r="AG312" i="14" s="1"/>
  <c r="H312" i="14"/>
  <c r="H322" i="14"/>
  <c r="P322" i="14"/>
  <c r="BJ322" i="14" s="1"/>
  <c r="P316" i="14"/>
  <c r="BJ316" i="14" s="1"/>
  <c r="P306" i="14"/>
  <c r="AG306" i="14" s="1"/>
  <c r="H310" i="14"/>
  <c r="P310" i="14"/>
  <c r="AG310" i="14" s="1"/>
  <c r="P314" i="14"/>
  <c r="AG314" i="14" s="1"/>
  <c r="P324" i="14"/>
  <c r="BJ324" i="14" s="1"/>
  <c r="H324" i="14"/>
  <c r="H316" i="14"/>
  <c r="H314" i="14"/>
  <c r="P237" i="14"/>
  <c r="BJ237" i="14" s="1"/>
  <c r="P227" i="14"/>
  <c r="BJ227" i="14" s="1"/>
  <c r="H237" i="14"/>
  <c r="H219" i="14"/>
  <c r="P221" i="14"/>
  <c r="AG221" i="14" s="1"/>
  <c r="P239" i="14"/>
  <c r="AG239" i="14" s="1"/>
  <c r="H225" i="14"/>
  <c r="H231" i="14"/>
  <c r="P219" i="14"/>
  <c r="H229" i="14"/>
  <c r="H235" i="14"/>
  <c r="P225" i="14"/>
  <c r="BJ225" i="14" s="1"/>
  <c r="H217" i="14"/>
  <c r="P231" i="14"/>
  <c r="AG231" i="14" s="1"/>
  <c r="P229" i="14"/>
  <c r="AG229" i="14" s="1"/>
  <c r="P235" i="14"/>
  <c r="H227" i="14"/>
  <c r="H221" i="14"/>
  <c r="P217" i="14"/>
  <c r="AG217" i="14" s="1"/>
  <c r="AL217" i="14" s="1"/>
  <c r="H239" i="14"/>
  <c r="H238" i="14"/>
  <c r="H378" i="14"/>
  <c r="H388" i="14"/>
  <c r="P238" i="14"/>
  <c r="AG238" i="14" s="1"/>
  <c r="AL238" i="14" s="1"/>
  <c r="H248" i="14"/>
  <c r="P388" i="14"/>
  <c r="BJ388" i="14" s="1"/>
  <c r="P398" i="14"/>
  <c r="BJ398" i="14" s="1"/>
  <c r="P218" i="14"/>
  <c r="BJ218" i="14" s="1"/>
  <c r="H218" i="14"/>
  <c r="P368" i="14"/>
  <c r="BJ368" i="14" s="1"/>
  <c r="P408" i="14"/>
  <c r="AG408" i="14" s="1"/>
  <c r="H228" i="14"/>
  <c r="P248" i="14"/>
  <c r="H398" i="14"/>
  <c r="P378" i="14"/>
  <c r="BJ378" i="14" s="1"/>
  <c r="H368" i="14"/>
  <c r="H408" i="14"/>
  <c r="P228" i="14"/>
  <c r="BJ228" i="14" s="1"/>
  <c r="H308" i="14"/>
  <c r="H268" i="14"/>
  <c r="H348" i="14"/>
  <c r="H358" i="14"/>
  <c r="H278" i="14"/>
  <c r="P288" i="14"/>
  <c r="BJ288" i="14" s="1"/>
  <c r="H288" i="14"/>
  <c r="H298" i="14"/>
  <c r="P298" i="14"/>
  <c r="AG298" i="14" s="1"/>
  <c r="P308" i="14"/>
  <c r="AG308" i="14" s="1"/>
  <c r="AL308" i="14" s="1"/>
  <c r="H338" i="14"/>
  <c r="P268" i="14"/>
  <c r="AG268" i="14" s="1"/>
  <c r="P358" i="14"/>
  <c r="AG358" i="14" s="1"/>
  <c r="H318" i="14"/>
  <c r="P278" i="14"/>
  <c r="AG278" i="14" s="1"/>
  <c r="AL278" i="14" s="1"/>
  <c r="P338" i="14"/>
  <c r="AG338" i="14" s="1"/>
  <c r="P258" i="14"/>
  <c r="AG258" i="14" s="1"/>
  <c r="AL258" i="14" s="1"/>
  <c r="P318" i="14"/>
  <c r="BJ318" i="14" s="1"/>
  <c r="H258" i="14"/>
  <c r="H328" i="14"/>
  <c r="P328" i="14"/>
  <c r="AG328" i="14" s="1"/>
  <c r="P348" i="14"/>
  <c r="AG348" i="14" s="1"/>
  <c r="P245" i="14"/>
  <c r="AG245" i="14" s="1"/>
  <c r="AL245" i="14" s="1"/>
  <c r="H245" i="14"/>
  <c r="H241" i="14"/>
  <c r="P241" i="14"/>
  <c r="BJ241" i="14" s="1"/>
  <c r="P247" i="14"/>
  <c r="H247" i="14"/>
  <c r="H369" i="14"/>
  <c r="H255" i="14"/>
  <c r="H303" i="14"/>
  <c r="H341" i="14"/>
  <c r="H367" i="14"/>
  <c r="H297" i="14"/>
  <c r="H331" i="14"/>
  <c r="H243" i="14"/>
  <c r="H265" i="14"/>
  <c r="H357" i="14"/>
  <c r="H233" i="14"/>
  <c r="H343" i="14"/>
  <c r="H249" i="14"/>
  <c r="H311" i="14"/>
  <c r="H253" i="14"/>
  <c r="H271" i="14"/>
  <c r="H269" i="14"/>
  <c r="H277" i="14"/>
  <c r="H273" i="14"/>
  <c r="H349" i="14"/>
  <c r="H279" i="14"/>
  <c r="H353" i="14"/>
  <c r="H321" i="14"/>
  <c r="H351" i="14"/>
  <c r="H295" i="14"/>
  <c r="H325" i="14"/>
  <c r="H307" i="14"/>
  <c r="H329" i="14"/>
  <c r="H263" i="14"/>
  <c r="H365" i="14"/>
  <c r="H317" i="14"/>
  <c r="H355" i="14"/>
  <c r="H267" i="14"/>
  <c r="H361" i="14"/>
  <c r="H413" i="14"/>
  <c r="H257" i="14"/>
  <c r="H377" i="14"/>
  <c r="H261" i="14"/>
  <c r="H337" i="14"/>
  <c r="H345" i="14"/>
  <c r="H305" i="14"/>
  <c r="H287" i="14"/>
  <c r="H319" i="14"/>
  <c r="H363" i="14"/>
  <c r="H359" i="14"/>
  <c r="H375" i="14"/>
  <c r="H333" i="14"/>
  <c r="H275" i="14"/>
  <c r="H335" i="14"/>
  <c r="H383" i="14"/>
  <c r="H327" i="14"/>
  <c r="H309" i="14"/>
  <c r="H323" i="14"/>
  <c r="H339" i="14"/>
  <c r="H373" i="14"/>
  <c r="H283" i="14"/>
  <c r="H393" i="14"/>
  <c r="H381" i="14"/>
  <c r="H315" i="14"/>
  <c r="H213" i="14"/>
  <c r="H259" i="14"/>
  <c r="H291" i="14"/>
  <c r="H251" i="14"/>
  <c r="H285" i="14"/>
  <c r="H301" i="14"/>
  <c r="H403" i="14"/>
  <c r="H281" i="14"/>
  <c r="H313" i="14"/>
  <c r="H299" i="14"/>
  <c r="H347" i="14"/>
  <c r="H223" i="14"/>
  <c r="H379" i="14"/>
  <c r="H289" i="14"/>
  <c r="H293" i="14"/>
  <c r="P353" i="14"/>
  <c r="AG353" i="14" s="1"/>
  <c r="P321" i="14"/>
  <c r="BJ321" i="14" s="1"/>
  <c r="P213" i="14"/>
  <c r="AG213" i="14" s="1"/>
  <c r="AL213" i="14" s="1"/>
  <c r="P259" i="14"/>
  <c r="P291" i="14"/>
  <c r="BJ291" i="14" s="1"/>
  <c r="P251" i="14"/>
  <c r="AG251" i="14" s="1"/>
  <c r="AL251" i="14" s="1"/>
  <c r="P281" i="14"/>
  <c r="BJ281" i="14" s="1"/>
  <c r="P313" i="14"/>
  <c r="AG313" i="14" s="1"/>
  <c r="P253" i="14"/>
  <c r="AG253" i="14" s="1"/>
  <c r="P271" i="14"/>
  <c r="BJ271" i="14" s="1"/>
  <c r="P293" i="14"/>
  <c r="AG293" i="14" s="1"/>
  <c r="P377" i="14"/>
  <c r="AG377" i="14" s="1"/>
  <c r="AL377" i="14" s="1"/>
  <c r="P261" i="14"/>
  <c r="BJ261" i="14" s="1"/>
  <c r="P337" i="14"/>
  <c r="P345" i="14"/>
  <c r="BJ345" i="14" s="1"/>
  <c r="P277" i="14"/>
  <c r="BJ277" i="14" s="1"/>
  <c r="P371" i="14"/>
  <c r="AG371" i="14" s="1"/>
  <c r="P303" i="14"/>
  <c r="BJ303" i="14" s="1"/>
  <c r="P367" i="14"/>
  <c r="AG367" i="14" s="1"/>
  <c r="AL367" i="14" s="1"/>
  <c r="P297" i="14"/>
  <c r="AG297" i="14" s="1"/>
  <c r="P357" i="14"/>
  <c r="AG357" i="14" s="1"/>
  <c r="AL357" i="14" s="1"/>
  <c r="P325" i="14"/>
  <c r="BJ325" i="14" s="1"/>
  <c r="P331" i="14"/>
  <c r="AG331" i="14" s="1"/>
  <c r="AL331" i="14" s="1"/>
  <c r="P243" i="14"/>
  <c r="AG243" i="14" s="1"/>
  <c r="P265" i="14"/>
  <c r="BJ265" i="14" s="1"/>
  <c r="P335" i="14"/>
  <c r="BJ335" i="14" s="1"/>
  <c r="P383" i="14"/>
  <c r="BJ383" i="14" s="1"/>
  <c r="P327" i="14"/>
  <c r="BJ327" i="14" s="1"/>
  <c r="P365" i="14"/>
  <c r="AG365" i="14" s="1"/>
  <c r="P317" i="14"/>
  <c r="AG317" i="14" s="1"/>
  <c r="P355" i="14"/>
  <c r="BJ355" i="14" s="1"/>
  <c r="P267" i="14"/>
  <c r="BJ267" i="14" s="1"/>
  <c r="P361" i="14"/>
  <c r="BJ361" i="14" s="1"/>
  <c r="P233" i="14"/>
  <c r="AG233" i="14" s="1"/>
  <c r="AL233" i="14" s="1"/>
  <c r="P343" i="14"/>
  <c r="P319" i="14"/>
  <c r="AG319" i="14" s="1"/>
  <c r="AL319" i="14" s="1"/>
  <c r="P363" i="14"/>
  <c r="AG363" i="14" s="1"/>
  <c r="AL363" i="14" s="1"/>
  <c r="P269" i="14"/>
  <c r="AG269" i="14" s="1"/>
  <c r="P285" i="14"/>
  <c r="AG285" i="14" s="1"/>
  <c r="P301" i="14"/>
  <c r="AG301" i="14" s="1"/>
  <c r="P403" i="14"/>
  <c r="AG403" i="14" s="1"/>
  <c r="AL403" i="14" s="1"/>
  <c r="P289" i="14"/>
  <c r="AG289" i="14" s="1"/>
  <c r="AL289" i="14" s="1"/>
  <c r="P333" i="14"/>
  <c r="BJ333" i="14" s="1"/>
  <c r="P273" i="14"/>
  <c r="BJ273" i="14" s="1"/>
  <c r="P349" i="14"/>
  <c r="AG349" i="14" s="1"/>
  <c r="AL349" i="14" s="1"/>
  <c r="P279" i="14"/>
  <c r="BJ279" i="14" s="1"/>
  <c r="P351" i="14"/>
  <c r="BJ351" i="14" s="1"/>
  <c r="P295" i="14"/>
  <c r="AG295" i="14" s="1"/>
  <c r="AL295" i="14" s="1"/>
  <c r="P339" i="14"/>
  <c r="AG339" i="14" s="1"/>
  <c r="P373" i="14"/>
  <c r="P283" i="14"/>
  <c r="BJ283" i="14" s="1"/>
  <c r="P393" i="14"/>
  <c r="AG393" i="14" s="1"/>
  <c r="P307" i="14"/>
  <c r="BJ307" i="14" s="1"/>
  <c r="P329" i="14"/>
  <c r="AG329" i="14" s="1"/>
  <c r="P263" i="14"/>
  <c r="AG263" i="14" s="1"/>
  <c r="P341" i="14"/>
  <c r="AG341" i="14" s="1"/>
  <c r="AL341" i="14" s="1"/>
  <c r="P381" i="14"/>
  <c r="BJ381" i="14" s="1"/>
  <c r="P315" i="14"/>
  <c r="AG315" i="14" s="1"/>
  <c r="AL315" i="14" s="1"/>
  <c r="P413" i="14"/>
  <c r="BJ413" i="14" s="1"/>
  <c r="P257" i="14"/>
  <c r="BJ257" i="14" s="1"/>
  <c r="P305" i="14"/>
  <c r="BJ305" i="14" s="1"/>
  <c r="P287" i="14"/>
  <c r="P299" i="14"/>
  <c r="BJ299" i="14" s="1"/>
  <c r="P347" i="14"/>
  <c r="AG347" i="14" s="1"/>
  <c r="P223" i="14"/>
  <c r="AG223" i="14" s="1"/>
  <c r="AL223" i="14" s="1"/>
  <c r="P379" i="14"/>
  <c r="P359" i="14"/>
  <c r="AG359" i="14" s="1"/>
  <c r="P375" i="14"/>
  <c r="AG375" i="14" s="1"/>
  <c r="AL375" i="14" s="1"/>
  <c r="P249" i="14"/>
  <c r="BJ249" i="14" s="1"/>
  <c r="P311" i="14"/>
  <c r="AG311" i="14" s="1"/>
  <c r="P369" i="14"/>
  <c r="P255" i="14"/>
  <c r="BJ255" i="14" s="1"/>
  <c r="P275" i="14"/>
  <c r="AG275" i="14" s="1"/>
  <c r="P309" i="14"/>
  <c r="BJ309" i="14" s="1"/>
  <c r="P323" i="14"/>
  <c r="AG323" i="14" s="1"/>
  <c r="AF289" i="14"/>
  <c r="BG289" i="14"/>
  <c r="BC289" i="14"/>
  <c r="BH289" i="14"/>
  <c r="BD289" i="14"/>
  <c r="BH302" i="14"/>
  <c r="BH299" i="14"/>
  <c r="BH347" i="14"/>
  <c r="BH223" i="14"/>
  <c r="BH298" i="14"/>
  <c r="BH379" i="14"/>
  <c r="BH402" i="14"/>
  <c r="BH410" i="14"/>
  <c r="BH269" i="14"/>
  <c r="BH272" i="14"/>
  <c r="BH388" i="14"/>
  <c r="BH221" i="14"/>
  <c r="AF232" i="14"/>
  <c r="AF249" i="14"/>
  <c r="AF326" i="14"/>
  <c r="AF311" i="14"/>
  <c r="AF378" i="14"/>
  <c r="AF402" i="14"/>
  <c r="AF410" i="14"/>
  <c r="AF269" i="14"/>
  <c r="AF272" i="14"/>
  <c r="AF388" i="14"/>
  <c r="AF221" i="14"/>
  <c r="BH334" i="14"/>
  <c r="BH296" i="14"/>
  <c r="BH405" i="14"/>
  <c r="BH369" i="14"/>
  <c r="BH255" i="14"/>
  <c r="BH371" i="14"/>
  <c r="BH330" i="14"/>
  <c r="BH395" i="14"/>
  <c r="BH262" i="14"/>
  <c r="BH303" i="14"/>
  <c r="BH217" i="14"/>
  <c r="BH244" i="14"/>
  <c r="BH344" i="14"/>
  <c r="BH367" i="14"/>
  <c r="BH297" i="14"/>
  <c r="BH318" i="14"/>
  <c r="BC290" i="14"/>
  <c r="BC370" i="14"/>
  <c r="BC226" i="14"/>
  <c r="BC356" i="14"/>
  <c r="BC305" i="14"/>
  <c r="BC219" i="14"/>
  <c r="BC215" i="14"/>
  <c r="BC287" i="14"/>
  <c r="BC281" i="14"/>
  <c r="BC235" i="14"/>
  <c r="BC407" i="14"/>
  <c r="BC304" i="14"/>
  <c r="BC244" i="14"/>
  <c r="BC344" i="14"/>
  <c r="BC367" i="14"/>
  <c r="BC297" i="14"/>
  <c r="BC318" i="14"/>
  <c r="BC264" i="14"/>
  <c r="BC276" i="14"/>
  <c r="BC306" i="14"/>
  <c r="BC396" i="14"/>
  <c r="BC349" i="14"/>
  <c r="BC279" i="14"/>
  <c r="BC376" i="14"/>
  <c r="BC234" i="14"/>
  <c r="AF302" i="14"/>
  <c r="AF299" i="14"/>
  <c r="AF347" i="14"/>
  <c r="AF223" i="14"/>
  <c r="AF298" i="14"/>
  <c r="AF379" i="14"/>
  <c r="AF334" i="14"/>
  <c r="AF296" i="14"/>
  <c r="AF405" i="14"/>
  <c r="AF369" i="14"/>
  <c r="AF255" i="14"/>
  <c r="AF371" i="14"/>
  <c r="AF330" i="14"/>
  <c r="AF395" i="14"/>
  <c r="AF262" i="14"/>
  <c r="AF303" i="14"/>
  <c r="AF217" i="14"/>
  <c r="AF244" i="14"/>
  <c r="AF344" i="14"/>
  <c r="AF367" i="14"/>
  <c r="AF297" i="14"/>
  <c r="AF318" i="14"/>
  <c r="BC362" i="14"/>
  <c r="BC257" i="14"/>
  <c r="BC397" i="14"/>
  <c r="BC252" i="14"/>
  <c r="BC225" i="14"/>
  <c r="BC214" i="14"/>
  <c r="BC229" i="14"/>
  <c r="BC259" i="14"/>
  <c r="BC291" i="14"/>
  <c r="BC251" i="14"/>
  <c r="BC309" i="14"/>
  <c r="BC409" i="14"/>
  <c r="BC371" i="14"/>
  <c r="BC330" i="14"/>
  <c r="BC395" i="14"/>
  <c r="BC262" i="14"/>
  <c r="BC217" i="14"/>
  <c r="BC358" i="14"/>
  <c r="BC227" i="14"/>
  <c r="BC352" i="14"/>
  <c r="BC392" i="14"/>
  <c r="BC222" i="14"/>
  <c r="BC402" i="14"/>
  <c r="BC410" i="14"/>
  <c r="BC269" i="14"/>
  <c r="BC272" i="14"/>
  <c r="BC388" i="14"/>
  <c r="BC221" i="14"/>
  <c r="AF285" i="14"/>
  <c r="AF314" i="14"/>
  <c r="AF301" i="14"/>
  <c r="AF398" i="14"/>
  <c r="AF403" i="14"/>
  <c r="AF412" i="14"/>
  <c r="BD339" i="14"/>
  <c r="BD373" i="14"/>
  <c r="BD283" i="14"/>
  <c r="BD374" i="14"/>
  <c r="BD393" i="14"/>
  <c r="BD342" i="14"/>
  <c r="BD213" i="14"/>
  <c r="BD214" i="14"/>
  <c r="BD229" i="14"/>
  <c r="BD259" i="14"/>
  <c r="BD291" i="14"/>
  <c r="BD251" i="14"/>
  <c r="BD227" i="14"/>
  <c r="BD352" i="14"/>
  <c r="BD392" i="14"/>
  <c r="BD222" i="14"/>
  <c r="BD233" i="14"/>
  <c r="BD343" i="14"/>
  <c r="AF387" i="14"/>
  <c r="AF332" i="14"/>
  <c r="AF338" i="14"/>
  <c r="AF386" i="14"/>
  <c r="AF246" i="14"/>
  <c r="AF293" i="14"/>
  <c r="BH232" i="14"/>
  <c r="BH249" i="14"/>
  <c r="BH326" i="14"/>
  <c r="BH311" i="14"/>
  <c r="BH378" i="14"/>
  <c r="BH309" i="14"/>
  <c r="BH358" i="14"/>
  <c r="BH323" i="14"/>
  <c r="BH225" i="14"/>
  <c r="BH409" i="14"/>
  <c r="BD368" i="14"/>
  <c r="BD236" i="14"/>
  <c r="BD408" i="14"/>
  <c r="BD341" i="14"/>
  <c r="BD245" i="14"/>
  <c r="BD240" i="14"/>
  <c r="BD281" i="14"/>
  <c r="BD235" i="14"/>
  <c r="BD407" i="14"/>
  <c r="BD304" i="14"/>
  <c r="BD313" i="14"/>
  <c r="BD316" i="14"/>
  <c r="BD348" i="14"/>
  <c r="BD335" i="14"/>
  <c r="BD383" i="14"/>
  <c r="BD220" i="14"/>
  <c r="BD327" i="14"/>
  <c r="BD356" i="14"/>
  <c r="BD305" i="14"/>
  <c r="BD219" i="14"/>
  <c r="BD248" i="14"/>
  <c r="BD215" i="14"/>
  <c r="BD287" i="14"/>
  <c r="BD273" i="14"/>
  <c r="BD396" i="14"/>
  <c r="BD349" i="14"/>
  <c r="BD279" i="14"/>
  <c r="BD376" i="14"/>
  <c r="BD234" i="14"/>
  <c r="BD366" i="14"/>
  <c r="BD328" i="14"/>
  <c r="BD325" i="14"/>
  <c r="BD322" i="14"/>
  <c r="BD391" i="14"/>
  <c r="BD364" i="14"/>
  <c r="BD228" i="14"/>
  <c r="BD380" i="14"/>
  <c r="BD278" i="14"/>
  <c r="BD231" i="14"/>
  <c r="BD365" i="14"/>
  <c r="BD317" i="14"/>
  <c r="BD355" i="14"/>
  <c r="BD267" i="14"/>
  <c r="BD237" i="14"/>
  <c r="BD361" i="14"/>
  <c r="BD302" i="14"/>
  <c r="BD299" i="14"/>
  <c r="BD347" i="14"/>
  <c r="BD223" i="14"/>
  <c r="BD298" i="14"/>
  <c r="BD379" i="14"/>
  <c r="BC284" i="14"/>
  <c r="BC351" i="14"/>
  <c r="BC239" i="14"/>
  <c r="BC295" i="14"/>
  <c r="BC394" i="14"/>
  <c r="BC270" i="14"/>
  <c r="BC308" i="14"/>
  <c r="BC411" i="14"/>
  <c r="BC359" i="14"/>
  <c r="BC360" i="14"/>
  <c r="BC375" i="14"/>
  <c r="BC389" i="14"/>
  <c r="BC268" i="14"/>
  <c r="BC275" i="14"/>
  <c r="BC300" i="14"/>
  <c r="BC224" i="14"/>
  <c r="BD354" i="14"/>
  <c r="BD377" i="14"/>
  <c r="BD261" i="14"/>
  <c r="BD337" i="14"/>
  <c r="BD345" i="14"/>
  <c r="BD286" i="14"/>
  <c r="BD284" i="14"/>
  <c r="BD351" i="14"/>
  <c r="BD239" i="14"/>
  <c r="BD295" i="14"/>
  <c r="BD394" i="14"/>
  <c r="BD270" i="14"/>
  <c r="BC346" i="14"/>
  <c r="BC307" i="14"/>
  <c r="BC350" i="14"/>
  <c r="BC329" i="14"/>
  <c r="BD362" i="14"/>
  <c r="BD413" i="14"/>
  <c r="BD257" i="14"/>
  <c r="BD397" i="14"/>
  <c r="BD252" i="14"/>
  <c r="BD387" i="14"/>
  <c r="BD332" i="14"/>
  <c r="BD338" i="14"/>
  <c r="BD386" i="14"/>
  <c r="BD246" i="14"/>
  <c r="BD293" i="14"/>
  <c r="BC364" i="14"/>
  <c r="BC380" i="14"/>
  <c r="BC278" i="14"/>
  <c r="BC231" i="14"/>
  <c r="AF284" i="14"/>
  <c r="AF351" i="14"/>
  <c r="AF239" i="14"/>
  <c r="AF295" i="14"/>
  <c r="AF394" i="14"/>
  <c r="AF270" i="14"/>
  <c r="BC387" i="14"/>
  <c r="BC332" i="14"/>
  <c r="BC338" i="14"/>
  <c r="BC386" i="14"/>
  <c r="BC246" i="14"/>
  <c r="BC319" i="14"/>
  <c r="BC336" i="14"/>
  <c r="BC250" i="14"/>
  <c r="BC274" i="14"/>
  <c r="BC310" i="14"/>
  <c r="BH319" i="14"/>
  <c r="BH336" i="14"/>
  <c r="BH250" i="14"/>
  <c r="BH363" i="14"/>
  <c r="BH274" i="14"/>
  <c r="BH310" i="14"/>
  <c r="BH387" i="14"/>
  <c r="BH332" i="14"/>
  <c r="BH338" i="14"/>
  <c r="BH386" i="14"/>
  <c r="BH246" i="14"/>
  <c r="BH293" i="14"/>
  <c r="AF280" i="14"/>
  <c r="AF253" i="14"/>
  <c r="AF294" i="14"/>
  <c r="AF312" i="14"/>
  <c r="AF258" i="14"/>
  <c r="AF254" i="14"/>
  <c r="AF401" i="14"/>
  <c r="AF277" i="14"/>
  <c r="AF273" i="14"/>
  <c r="AF396" i="14"/>
  <c r="AF349" i="14"/>
  <c r="AF279" i="14"/>
  <c r="AF376" i="14"/>
  <c r="AF234" i="14"/>
  <c r="BG280" i="14"/>
  <c r="BG320" i="14"/>
  <c r="AF292" i="14"/>
  <c r="BG253" i="14"/>
  <c r="BG271" i="14"/>
  <c r="BG357" i="14"/>
  <c r="BG216" i="14"/>
  <c r="BG242" i="14"/>
  <c r="AF354" i="14"/>
  <c r="AF377" i="14"/>
  <c r="AF261" i="14"/>
  <c r="AF337" i="14"/>
  <c r="AF345" i="14"/>
  <c r="AF286" i="14"/>
  <c r="AF319" i="14"/>
  <c r="AF336" i="14"/>
  <c r="AF250" i="14"/>
  <c r="AF363" i="14"/>
  <c r="AF274" i="14"/>
  <c r="AF310" i="14"/>
  <c r="AF271" i="14"/>
  <c r="BG292" i="14"/>
  <c r="BG340" i="14"/>
  <c r="BG384" i="14"/>
  <c r="BG247" i="14"/>
  <c r="AF308" i="14"/>
  <c r="AF411" i="14"/>
  <c r="AF359" i="14"/>
  <c r="AF360" i="14"/>
  <c r="AF375" i="14"/>
  <c r="BH292" i="14"/>
  <c r="BH280" i="14"/>
  <c r="BH340" i="14"/>
  <c r="BH253" i="14"/>
  <c r="BH271" i="14"/>
  <c r="BH308" i="14"/>
  <c r="BH411" i="14"/>
  <c r="BH359" i="14"/>
  <c r="BH360" i="14"/>
  <c r="BH375" i="14"/>
  <c r="AF340" i="14"/>
  <c r="BC331" i="14"/>
  <c r="BC390" i="14"/>
  <c r="BC230" i="14"/>
  <c r="BC265" i="14"/>
  <c r="AF400" i="14"/>
  <c r="AF333" i="14"/>
  <c r="AF406" i="14"/>
  <c r="AF324" i="14"/>
  <c r="AF218" i="14"/>
  <c r="AF389" i="14"/>
  <c r="AF268" i="14"/>
  <c r="AF275" i="14"/>
  <c r="AF300" i="14"/>
  <c r="AF224" i="14"/>
  <c r="AF309" i="14"/>
  <c r="AF358" i="14"/>
  <c r="AF323" i="14"/>
  <c r="AF225" i="14"/>
  <c r="AF409" i="14"/>
  <c r="BH294" i="14"/>
  <c r="BH312" i="14"/>
  <c r="BH258" i="14"/>
  <c r="BH254" i="14"/>
  <c r="BH401" i="14"/>
  <c r="BH277" i="14"/>
  <c r="BH273" i="14"/>
  <c r="BH396" i="14"/>
  <c r="BH349" i="14"/>
  <c r="BH279" i="14"/>
  <c r="BH376" i="14"/>
  <c r="BH234" i="14"/>
  <c r="BH354" i="14"/>
  <c r="BH377" i="14"/>
  <c r="BH261" i="14"/>
  <c r="BH337" i="14"/>
  <c r="BH345" i="14"/>
  <c r="BH286" i="14"/>
  <c r="BD232" i="14"/>
  <c r="BD249" i="14"/>
  <c r="BD326" i="14"/>
  <c r="BD311" i="14"/>
  <c r="BD378" i="14"/>
  <c r="BD244" i="14"/>
  <c r="BD344" i="14"/>
  <c r="BD367" i="14"/>
  <c r="BD297" i="14"/>
  <c r="BD318" i="14"/>
  <c r="BH284" i="14"/>
  <c r="BH351" i="14"/>
  <c r="BH239" i="14"/>
  <c r="BH295" i="14"/>
  <c r="BH394" i="14"/>
  <c r="BH270" i="14"/>
  <c r="BD382" i="14"/>
  <c r="BD260" i="14"/>
  <c r="BD241" i="14"/>
  <c r="BD266" i="14"/>
  <c r="BD399" i="14"/>
  <c r="BD357" i="14"/>
  <c r="BD384" i="14"/>
  <c r="BD216" i="14"/>
  <c r="BD247" i="14"/>
  <c r="BD320" i="14"/>
  <c r="BD242" i="14"/>
  <c r="BG285" i="14"/>
  <c r="BG314" i="14"/>
  <c r="BG301" i="14"/>
  <c r="BG398" i="14"/>
  <c r="BG403" i="14"/>
  <c r="BG412" i="14"/>
  <c r="BG302" i="14"/>
  <c r="BG299" i="14"/>
  <c r="BG347" i="14"/>
  <c r="BG223" i="14"/>
  <c r="BG298" i="14"/>
  <c r="BG379" i="14"/>
  <c r="BG381" i="14"/>
  <c r="BG385" i="14"/>
  <c r="BG315" i="14"/>
  <c r="BG372" i="14"/>
  <c r="BG288" i="14"/>
  <c r="BG281" i="14"/>
  <c r="BG235" i="14"/>
  <c r="BG407" i="14"/>
  <c r="BG304" i="14"/>
  <c r="BG313" i="14"/>
  <c r="BG213" i="14"/>
  <c r="BG214" i="14"/>
  <c r="BG229" i="14"/>
  <c r="BG259" i="14"/>
  <c r="BG291" i="14"/>
  <c r="BG251" i="14"/>
  <c r="BH400" i="14"/>
  <c r="BH333" i="14"/>
  <c r="BH406" i="14"/>
  <c r="BH324" i="14"/>
  <c r="BH218" i="14"/>
  <c r="BH389" i="14"/>
  <c r="BH268" i="14"/>
  <c r="BH275" i="14"/>
  <c r="BH300" i="14"/>
  <c r="BH224" i="14"/>
  <c r="BH285" i="14"/>
  <c r="BH314" i="14"/>
  <c r="BH301" i="14"/>
  <c r="BH398" i="14"/>
  <c r="BH403" i="14"/>
  <c r="BH412" i="14"/>
  <c r="BD381" i="14"/>
  <c r="BD385" i="14"/>
  <c r="BD315" i="14"/>
  <c r="BD372" i="14"/>
  <c r="BD288" i="14"/>
  <c r="BD353" i="14"/>
  <c r="BD404" i="14"/>
  <c r="BD256" i="14"/>
  <c r="BD321" i="14"/>
  <c r="BD282" i="14"/>
  <c r="BD290" i="14"/>
  <c r="BD264" i="14"/>
  <c r="BD306" i="14"/>
  <c r="BD370" i="14"/>
  <c r="BD276" i="14"/>
  <c r="BD226" i="14"/>
  <c r="BD308" i="14"/>
  <c r="BD411" i="14"/>
  <c r="BD359" i="14"/>
  <c r="BD360" i="14"/>
  <c r="BD375" i="14"/>
  <c r="BG290" i="14"/>
  <c r="BG264" i="14"/>
  <c r="BG306" i="14"/>
  <c r="BG370" i="14"/>
  <c r="BG276" i="14"/>
  <c r="BG226" i="14"/>
  <c r="BC404" i="14"/>
  <c r="BC321" i="14"/>
  <c r="BC256" i="14"/>
  <c r="BC282" i="14"/>
  <c r="BC354" i="14"/>
  <c r="BC377" i="14"/>
  <c r="BC261" i="14"/>
  <c r="BC337" i="14"/>
  <c r="BC345" i="14"/>
  <c r="BC286" i="14"/>
  <c r="BC316" i="14"/>
  <c r="BC348" i="14"/>
  <c r="BC335" i="14"/>
  <c r="BC285" i="14"/>
  <c r="BC314" i="14"/>
  <c r="BC301" i="14"/>
  <c r="BC398" i="14"/>
  <c r="BC412" i="14"/>
  <c r="BG346" i="14"/>
  <c r="BG307" i="14"/>
  <c r="BG350" i="14"/>
  <c r="BG329" i="14"/>
  <c r="BC368" i="14"/>
  <c r="BC236" i="14"/>
  <c r="BC408" i="14"/>
  <c r="BC341" i="14"/>
  <c r="BC245" i="14"/>
  <c r="BC240" i="14"/>
  <c r="AF331" i="14"/>
  <c r="AF390" i="14"/>
  <c r="AF230" i="14"/>
  <c r="AF243" i="14"/>
  <c r="AF265" i="14"/>
  <c r="AF238" i="14"/>
  <c r="BC232" i="14"/>
  <c r="BC249" i="14"/>
  <c r="BC326" i="14"/>
  <c r="BC311" i="14"/>
  <c r="BC378" i="14"/>
  <c r="AF339" i="14"/>
  <c r="AF373" i="14"/>
  <c r="AF283" i="14"/>
  <c r="AF374" i="14"/>
  <c r="AF393" i="14"/>
  <c r="AF342" i="14"/>
  <c r="BC220" i="14"/>
  <c r="BC327" i="14"/>
  <c r="AF381" i="14"/>
  <c r="AF385" i="14"/>
  <c r="AF315" i="14"/>
  <c r="AF372" i="14"/>
  <c r="AF288" i="14"/>
  <c r="AF213" i="14"/>
  <c r="AF214" i="14"/>
  <c r="AF229" i="14"/>
  <c r="AF259" i="14"/>
  <c r="AF291" i="14"/>
  <c r="AF251" i="14"/>
  <c r="AF281" i="14"/>
  <c r="AF235" i="14"/>
  <c r="AF407" i="14"/>
  <c r="AF304" i="14"/>
  <c r="AF313" i="14"/>
  <c r="AF368" i="14"/>
  <c r="AF236" i="14"/>
  <c r="AF408" i="14"/>
  <c r="AF341" i="14"/>
  <c r="AF245" i="14"/>
  <c r="AF240" i="14"/>
  <c r="BH339" i="14"/>
  <c r="BH373" i="14"/>
  <c r="BH283" i="14"/>
  <c r="BH374" i="14"/>
  <c r="BH393" i="14"/>
  <c r="BH342" i="14"/>
  <c r="BH331" i="14"/>
  <c r="BH390" i="14"/>
  <c r="BH230" i="14"/>
  <c r="BH243" i="14"/>
  <c r="BH265" i="14"/>
  <c r="BH238" i="14"/>
  <c r="BD402" i="14"/>
  <c r="BD410" i="14"/>
  <c r="BD269" i="14"/>
  <c r="BD272" i="14"/>
  <c r="BD388" i="14"/>
  <c r="BD221" i="14"/>
  <c r="BD346" i="14"/>
  <c r="BD307" i="14"/>
  <c r="BD350" i="14"/>
  <c r="BD329" i="14"/>
  <c r="BD263" i="14"/>
  <c r="BH381" i="14"/>
  <c r="BH385" i="14"/>
  <c r="BH315" i="14"/>
  <c r="BH372" i="14"/>
  <c r="BH288" i="14"/>
  <c r="BH213" i="14"/>
  <c r="BH214" i="14"/>
  <c r="BH229" i="14"/>
  <c r="BH259" i="14"/>
  <c r="BH291" i="14"/>
  <c r="BH251" i="14"/>
  <c r="BH368" i="14"/>
  <c r="BH236" i="14"/>
  <c r="BH408" i="14"/>
  <c r="BH341" i="14"/>
  <c r="BH245" i="14"/>
  <c r="BH240" i="14"/>
  <c r="BH281" i="14"/>
  <c r="BH235" i="14"/>
  <c r="BH407" i="14"/>
  <c r="BH304" i="14"/>
  <c r="BH313" i="14"/>
  <c r="BD319" i="14"/>
  <c r="BD336" i="14"/>
  <c r="BD250" i="14"/>
  <c r="BD363" i="14"/>
  <c r="BD274" i="14"/>
  <c r="BD310" i="14"/>
  <c r="BD334" i="14"/>
  <c r="BD296" i="14"/>
  <c r="BD405" i="14"/>
  <c r="BD369" i="14"/>
  <c r="BD255" i="14"/>
  <c r="BD371" i="14"/>
  <c r="BD330" i="14"/>
  <c r="BD395" i="14"/>
  <c r="BD262" i="14"/>
  <c r="BD303" i="14"/>
  <c r="BD217" i="14"/>
  <c r="BD400" i="14"/>
  <c r="BD333" i="14"/>
  <c r="BD406" i="14"/>
  <c r="BD324" i="14"/>
  <c r="BD218" i="14"/>
  <c r="BD285" i="14"/>
  <c r="BD314" i="14"/>
  <c r="BD301" i="14"/>
  <c r="BD398" i="14"/>
  <c r="BD403" i="14"/>
  <c r="BD412" i="14"/>
  <c r="BD309" i="14"/>
  <c r="BD358" i="14"/>
  <c r="BD323" i="14"/>
  <c r="BD225" i="14"/>
  <c r="BD409" i="14"/>
  <c r="BC381" i="14"/>
  <c r="BC385" i="14"/>
  <c r="BC315" i="14"/>
  <c r="BC372" i="14"/>
  <c r="BC288" i="14"/>
  <c r="BC334" i="14"/>
  <c r="BC296" i="14"/>
  <c r="BC405" i="14"/>
  <c r="BC369" i="14"/>
  <c r="BC255" i="14"/>
  <c r="BD389" i="14"/>
  <c r="BD268" i="14"/>
  <c r="BD275" i="14"/>
  <c r="BD300" i="14"/>
  <c r="BD224" i="14"/>
  <c r="BC357" i="14"/>
  <c r="BC384" i="14"/>
  <c r="BC216" i="14"/>
  <c r="BC247" i="14"/>
  <c r="BC320" i="14"/>
  <c r="BC242" i="14"/>
  <c r="BD331" i="14"/>
  <c r="BD390" i="14"/>
  <c r="BD230" i="14"/>
  <c r="BD243" i="14"/>
  <c r="BD265" i="14"/>
  <c r="BD238" i="14"/>
  <c r="BC294" i="14"/>
  <c r="BC312" i="14"/>
  <c r="BC258" i="14"/>
  <c r="BC254" i="14"/>
  <c r="BC401" i="14"/>
  <c r="BC277" i="14"/>
  <c r="BC365" i="14"/>
  <c r="BC317" i="14"/>
  <c r="BC355" i="14"/>
  <c r="BC267" i="14"/>
  <c r="BC237" i="14"/>
  <c r="BC361" i="14"/>
  <c r="BC400" i="14"/>
  <c r="BC406" i="14"/>
  <c r="BC324" i="14"/>
  <c r="BC218" i="14"/>
  <c r="BD292" i="14"/>
  <c r="BD280" i="14"/>
  <c r="BD340" i="14"/>
  <c r="BD253" i="14"/>
  <c r="BD271" i="14"/>
  <c r="BD294" i="14"/>
  <c r="BD312" i="14"/>
  <c r="BD258" i="14"/>
  <c r="BD254" i="14"/>
  <c r="BD401" i="14"/>
  <c r="BD277" i="14"/>
  <c r="BC339" i="14"/>
  <c r="BC374" i="14"/>
  <c r="BC342" i="14"/>
  <c r="BC302" i="14"/>
  <c r="BC299" i="14"/>
  <c r="BC347" i="14"/>
  <c r="BC298" i="14"/>
  <c r="BC379" i="14"/>
  <c r="BC382" i="14"/>
  <c r="BC260" i="14"/>
  <c r="BC241" i="14"/>
  <c r="BC266" i="14"/>
  <c r="BC399" i="14"/>
  <c r="BC292" i="14"/>
  <c r="BC280" i="14"/>
  <c r="BC340" i="14"/>
  <c r="BC271" i="14"/>
  <c r="BC366" i="14"/>
  <c r="BC328" i="14"/>
  <c r="BC325" i="14"/>
  <c r="BC322" i="14"/>
  <c r="BC391" i="14"/>
  <c r="BG227" i="14"/>
  <c r="BG352" i="14"/>
  <c r="BG392" i="14"/>
  <c r="BG222" i="14"/>
  <c r="BG233" i="14"/>
  <c r="BG343" i="14"/>
  <c r="BG232" i="14"/>
  <c r="BG249" i="14"/>
  <c r="BG326" i="14"/>
  <c r="BG311" i="14"/>
  <c r="BG378" i="14"/>
  <c r="BG263" i="14"/>
  <c r="BG373" i="14"/>
  <c r="BG283" i="14"/>
  <c r="BG374" i="14"/>
  <c r="BG393" i="14"/>
  <c r="BG342" i="14"/>
  <c r="BG400" i="14"/>
  <c r="BG333" i="14"/>
  <c r="BG406" i="14"/>
  <c r="BG324" i="14"/>
  <c r="BG218" i="14"/>
  <c r="BG339" i="14"/>
  <c r="AF346" i="14"/>
  <c r="AF307" i="14"/>
  <c r="AF350" i="14"/>
  <c r="AF329" i="14"/>
  <c r="AF263" i="14"/>
  <c r="BH290" i="14"/>
  <c r="BH264" i="14"/>
  <c r="BH306" i="14"/>
  <c r="BH370" i="14"/>
  <c r="BH276" i="14"/>
  <c r="BH226" i="14"/>
  <c r="BG348" i="14"/>
  <c r="BG335" i="14"/>
  <c r="BG383" i="14"/>
  <c r="BG220" i="14"/>
  <c r="BG327" i="14"/>
  <c r="AF357" i="14"/>
  <c r="AF384" i="14"/>
  <c r="AF216" i="14"/>
  <c r="AF247" i="14"/>
  <c r="AF320" i="14"/>
  <c r="AF242" i="14"/>
  <c r="AF227" i="14"/>
  <c r="AF352" i="14"/>
  <c r="AF392" i="14"/>
  <c r="AF222" i="14"/>
  <c r="AF233" i="14"/>
  <c r="AF343" i="14"/>
  <c r="BG309" i="14"/>
  <c r="BG358" i="14"/>
  <c r="BG323" i="14"/>
  <c r="BG225" i="14"/>
  <c r="BG409" i="14"/>
  <c r="BG389" i="14"/>
  <c r="BG268" i="14"/>
  <c r="BG275" i="14"/>
  <c r="BG300" i="14"/>
  <c r="BG224" i="14"/>
  <c r="BH382" i="14"/>
  <c r="BH260" i="14"/>
  <c r="BH241" i="14"/>
  <c r="BH266" i="14"/>
  <c r="BH399" i="14"/>
  <c r="BH346" i="14"/>
  <c r="BH307" i="14"/>
  <c r="BH350" i="14"/>
  <c r="BH329" i="14"/>
  <c r="BH263" i="14"/>
  <c r="AF382" i="14"/>
  <c r="AF260" i="14"/>
  <c r="AF241" i="14"/>
  <c r="AF266" i="14"/>
  <c r="AF399" i="14"/>
  <c r="AF290" i="14"/>
  <c r="AF264" i="14"/>
  <c r="AF306" i="14"/>
  <c r="AF370" i="14"/>
  <c r="AF276" i="14"/>
  <c r="AF226" i="14"/>
  <c r="AF353" i="14"/>
  <c r="AF404" i="14"/>
  <c r="AF256" i="14"/>
  <c r="AF321" i="14"/>
  <c r="AF282" i="14"/>
  <c r="BH357" i="14"/>
  <c r="BH384" i="14"/>
  <c r="BH216" i="14"/>
  <c r="BH247" i="14"/>
  <c r="BH320" i="14"/>
  <c r="BH242" i="14"/>
  <c r="BH227" i="14"/>
  <c r="BH352" i="14"/>
  <c r="BH392" i="14"/>
  <c r="BH222" i="14"/>
  <c r="BH233" i="14"/>
  <c r="BH343" i="14"/>
  <c r="BH353" i="14"/>
  <c r="BH404" i="14"/>
  <c r="BH256" i="14"/>
  <c r="BH321" i="14"/>
  <c r="BH282" i="14"/>
  <c r="BG331" i="14"/>
  <c r="BG390" i="14"/>
  <c r="BG230" i="14"/>
  <c r="BG243" i="14"/>
  <c r="BG265" i="14"/>
  <c r="BG238" i="14"/>
  <c r="BH356" i="14"/>
  <c r="BH305" i="14"/>
  <c r="BH219" i="14"/>
  <c r="BH248" i="14"/>
  <c r="BH215" i="14"/>
  <c r="BH287" i="14"/>
  <c r="AF366" i="14"/>
  <c r="AF328" i="14"/>
  <c r="AF325" i="14"/>
  <c r="AF322" i="14"/>
  <c r="AF391" i="14"/>
  <c r="AF365" i="14"/>
  <c r="AF317" i="14"/>
  <c r="AF355" i="14"/>
  <c r="AF267" i="14"/>
  <c r="AF237" i="14"/>
  <c r="AF361" i="14"/>
  <c r="AF362" i="14"/>
  <c r="AF413" i="14"/>
  <c r="AF257" i="14"/>
  <c r="AF397" i="14"/>
  <c r="AF252" i="14"/>
  <c r="AF356" i="14"/>
  <c r="AF305" i="14"/>
  <c r="AF219" i="14"/>
  <c r="AF248" i="14"/>
  <c r="AF215" i="14"/>
  <c r="AF287" i="14"/>
  <c r="AF316" i="14"/>
  <c r="AF348" i="14"/>
  <c r="AF335" i="14"/>
  <c r="AF383" i="14"/>
  <c r="AF220" i="14"/>
  <c r="AF327" i="14"/>
  <c r="AF364" i="14"/>
  <c r="AF228" i="14"/>
  <c r="AF380" i="14"/>
  <c r="AF278" i="14"/>
  <c r="AF231" i="14"/>
  <c r="BH366" i="14"/>
  <c r="BH328" i="14"/>
  <c r="BH325" i="14"/>
  <c r="BH322" i="14"/>
  <c r="BH391" i="14"/>
  <c r="BH364" i="14"/>
  <c r="BH228" i="14"/>
  <c r="BH380" i="14"/>
  <c r="BH278" i="14"/>
  <c r="BH231" i="14"/>
  <c r="BH365" i="14"/>
  <c r="BH317" i="14"/>
  <c r="BH355" i="14"/>
  <c r="BH267" i="14"/>
  <c r="BH237" i="14"/>
  <c r="BH361" i="14"/>
  <c r="BH362" i="14"/>
  <c r="BH413" i="14"/>
  <c r="BH257" i="14"/>
  <c r="BH397" i="14"/>
  <c r="BH252" i="14"/>
  <c r="BH316" i="14"/>
  <c r="BH348" i="14"/>
  <c r="BH335" i="14"/>
  <c r="BH383" i="14"/>
  <c r="BH220" i="14"/>
  <c r="BH327" i="14"/>
  <c r="BG364" i="14"/>
  <c r="BG228" i="14"/>
  <c r="BG380" i="14"/>
  <c r="BG278" i="14"/>
  <c r="BG231" i="14"/>
  <c r="BG316" i="14"/>
  <c r="BG308" i="14"/>
  <c r="BG359" i="14"/>
  <c r="BG360" i="14"/>
  <c r="BG375" i="14"/>
  <c r="BG411" i="14"/>
  <c r="BG353" i="14"/>
  <c r="BG404" i="14"/>
  <c r="BG256" i="14"/>
  <c r="BG321" i="14"/>
  <c r="BG282" i="14"/>
  <c r="BG325" i="14"/>
  <c r="BG391" i="14"/>
  <c r="BG312" i="14"/>
  <c r="BG254" i="14"/>
  <c r="BG277" i="14"/>
  <c r="BG366" i="14"/>
  <c r="BG328" i="14"/>
  <c r="BG322" i="14"/>
  <c r="BG294" i="14"/>
  <c r="BG258" i="14"/>
  <c r="BG401" i="14"/>
  <c r="BG284" i="14"/>
  <c r="BG351" i="14"/>
  <c r="BG239" i="14"/>
  <c r="BG295" i="14"/>
  <c r="BG394" i="14"/>
  <c r="BG270" i="14"/>
  <c r="BG273" i="14"/>
  <c r="BG396" i="14"/>
  <c r="BG349" i="14"/>
  <c r="BG279" i="14"/>
  <c r="BG376" i="14"/>
  <c r="BG234" i="14"/>
  <c r="BG319" i="14"/>
  <c r="BG336" i="14"/>
  <c r="BG250" i="14"/>
  <c r="BG363" i="14"/>
  <c r="BG274" i="14"/>
  <c r="BG310" i="14"/>
  <c r="BG365" i="14"/>
  <c r="BG317" i="14"/>
  <c r="BG355" i="14"/>
  <c r="BG267" i="14"/>
  <c r="BG237" i="14"/>
  <c r="BG361" i="14"/>
  <c r="BG354" i="14"/>
  <c r="BG377" i="14"/>
  <c r="BG261" i="14"/>
  <c r="BG337" i="14"/>
  <c r="BG345" i="14"/>
  <c r="BG286" i="14"/>
  <c r="BG356" i="14"/>
  <c r="BG305" i="14"/>
  <c r="BG219" i="14"/>
  <c r="BG248" i="14"/>
  <c r="BG215" i="14"/>
  <c r="BG287" i="14"/>
  <c r="BG362" i="14"/>
  <c r="BG413" i="14"/>
  <c r="BG257" i="14"/>
  <c r="BG397" i="14"/>
  <c r="BG252" i="14"/>
  <c r="BJ410" i="14"/>
  <c r="AG272" i="14"/>
  <c r="AL272" i="14" s="1"/>
  <c r="BJ384" i="14"/>
  <c r="BJ385" i="14"/>
  <c r="AG372" i="14"/>
  <c r="AG356" i="14"/>
  <c r="AG226" i="14"/>
  <c r="AL226" i="14" s="1"/>
  <c r="AG292" i="14"/>
  <c r="BJ246" i="14"/>
  <c r="AG214" i="14"/>
  <c r="BJ236" i="14"/>
  <c r="AG240" i="14"/>
  <c r="BJ264" i="14"/>
  <c r="BJ370" i="14"/>
  <c r="AG304" i="14"/>
  <c r="BJ250" i="14"/>
  <c r="AG340" i="14"/>
  <c r="AG274" i="14"/>
  <c r="AL274" i="14" s="1"/>
  <c r="AG296" i="14"/>
  <c r="BJ254" i="14"/>
  <c r="AG256" i="14"/>
  <c r="AG220" i="14"/>
  <c r="AG282" i="14"/>
  <c r="AG230" i="14"/>
  <c r="AG380" i="14"/>
  <c r="AL380" i="14" s="1"/>
  <c r="AG400" i="14"/>
  <c r="AG406" i="14"/>
  <c r="BJ262" i="14"/>
  <c r="AG344" i="14"/>
  <c r="AG260" i="14"/>
  <c r="AL260" i="14" s="1"/>
  <c r="AG266" i="14"/>
  <c r="BJ364" i="14"/>
  <c r="AG330" i="14"/>
  <c r="AL330" i="14" s="1"/>
  <c r="AG300" i="14"/>
  <c r="AL300" i="14" s="1"/>
  <c r="AG376" i="14"/>
  <c r="AL376" i="14" s="1"/>
  <c r="BJ270" i="14"/>
  <c r="AG332" i="14"/>
  <c r="AG386" i="14"/>
  <c r="BJ216" i="14"/>
  <c r="AG362" i="14"/>
  <c r="AG290" i="14"/>
  <c r="AL290" i="14" s="1"/>
  <c r="BJ302" i="14"/>
  <c r="BJ402" i="14"/>
  <c r="AG360" i="14"/>
  <c r="AG352" i="14"/>
  <c r="AG222" i="14"/>
  <c r="BJ252" i="14"/>
  <c r="AG404" i="14"/>
  <c r="AG276" i="14"/>
  <c r="BJ336" i="14"/>
  <c r="AG280" i="14"/>
  <c r="AG350" i="14"/>
  <c r="AG294" i="14"/>
  <c r="AG224" i="14"/>
  <c r="BJ284" i="14"/>
  <c r="AG374" i="14"/>
  <c r="BJ346" i="14"/>
  <c r="AG390" i="14"/>
  <c r="AL390" i="14" s="1"/>
  <c r="AG396" i="14"/>
  <c r="AG234" i="14"/>
  <c r="AL234" i="14" s="1"/>
  <c r="AG244" i="14"/>
  <c r="AG394" i="14"/>
  <c r="AG382" i="14"/>
  <c r="BJ342" i="14"/>
  <c r="BJ242" i="14"/>
  <c r="BJ354" i="14"/>
  <c r="BJ232" i="14"/>
  <c r="AG412" i="14"/>
  <c r="BG387" i="14"/>
  <c r="BG332" i="14"/>
  <c r="BG338" i="14"/>
  <c r="BG386" i="14"/>
  <c r="BG246" i="14"/>
  <c r="BG293" i="14"/>
  <c r="BG402" i="14"/>
  <c r="BG410" i="14"/>
  <c r="BG269" i="14"/>
  <c r="BG272" i="14"/>
  <c r="BG388" i="14"/>
  <c r="BG221" i="14"/>
  <c r="K390" i="14"/>
  <c r="K230" i="14"/>
  <c r="K384" i="14"/>
  <c r="K216" i="14"/>
  <c r="K242" i="14"/>
  <c r="K352" i="14"/>
  <c r="K392" i="14"/>
  <c r="K222" i="14"/>
  <c r="K232" i="14"/>
  <c r="K290" i="14"/>
  <c r="K264" i="14"/>
  <c r="K370" i="14"/>
  <c r="K276" i="14"/>
  <c r="K226" i="14"/>
  <c r="K292" i="14"/>
  <c r="K280" i="14"/>
  <c r="K340" i="14"/>
  <c r="K402" i="14"/>
  <c r="K410" i="14"/>
  <c r="K294" i="14"/>
  <c r="K254" i="14"/>
  <c r="K396" i="14"/>
  <c r="K376" i="14"/>
  <c r="K234" i="14"/>
  <c r="K404" i="14"/>
  <c r="K256" i="14"/>
  <c r="K282" i="14"/>
  <c r="K284" i="14"/>
  <c r="K394" i="14"/>
  <c r="K270" i="14"/>
  <c r="K366" i="14"/>
  <c r="K346" i="14"/>
  <c r="K350" i="14"/>
  <c r="K252" i="14"/>
  <c r="K354" i="14"/>
  <c r="K356" i="14"/>
  <c r="K336" i="14"/>
  <c r="K250" i="14"/>
  <c r="K274" i="14"/>
  <c r="K360" i="14"/>
  <c r="K400" i="14"/>
  <c r="K406" i="14"/>
  <c r="K300" i="14"/>
  <c r="K224" i="14"/>
  <c r="K220" i="14"/>
  <c r="K374" i="14"/>
  <c r="K342" i="14"/>
  <c r="K364" i="14"/>
  <c r="K380" i="14"/>
  <c r="K372" i="14"/>
  <c r="K214" i="14"/>
  <c r="K412" i="14"/>
  <c r="K304" i="14"/>
  <c r="K302" i="14"/>
  <c r="K332" i="14"/>
  <c r="K386" i="14"/>
  <c r="K246" i="14"/>
  <c r="K334" i="14"/>
  <c r="K296" i="14"/>
  <c r="K330" i="14"/>
  <c r="K262" i="14"/>
  <c r="K236" i="14"/>
  <c r="K240" i="14"/>
  <c r="K244" i="14"/>
  <c r="K344" i="14"/>
  <c r="K382" i="14"/>
  <c r="K260" i="14"/>
  <c r="K266" i="14"/>
  <c r="BG244" i="14"/>
  <c r="BG344" i="14"/>
  <c r="BG367" i="14"/>
  <c r="BG297" i="14"/>
  <c r="BG318" i="14"/>
  <c r="BG382" i="14"/>
  <c r="BG260" i="14"/>
  <c r="BG241" i="14"/>
  <c r="BG266" i="14"/>
  <c r="BG399" i="14"/>
  <c r="BG334" i="14"/>
  <c r="BG296" i="14"/>
  <c r="BG405" i="14"/>
  <c r="BG369" i="14"/>
  <c r="BG255" i="14"/>
  <c r="BG371" i="14"/>
  <c r="BG330" i="14"/>
  <c r="BG395" i="14"/>
  <c r="BG262" i="14"/>
  <c r="BG303" i="14"/>
  <c r="BG217" i="14"/>
  <c r="BG368" i="14"/>
  <c r="BG236" i="14"/>
  <c r="BG408" i="14"/>
  <c r="BG341" i="14"/>
  <c r="BG245" i="14"/>
  <c r="BG240" i="14"/>
  <c r="BC323" i="14"/>
  <c r="BC373" i="14"/>
  <c r="BC283" i="14"/>
  <c r="BC393" i="14"/>
  <c r="BC293" i="14"/>
  <c r="BC303" i="14"/>
  <c r="BC313" i="14"/>
  <c r="BC223" i="14"/>
  <c r="BC243" i="14"/>
  <c r="BC238" i="14"/>
  <c r="BC233" i="14"/>
  <c r="BC343" i="14"/>
  <c r="BC273" i="14"/>
  <c r="BC353" i="14"/>
  <c r="BC253" i="14"/>
  <c r="BC263" i="14"/>
  <c r="BC413" i="14"/>
  <c r="BC333" i="14"/>
  <c r="BC383" i="14"/>
  <c r="BC248" i="14"/>
  <c r="BC363" i="14"/>
  <c r="BC228" i="14"/>
  <c r="BC213" i="14"/>
  <c r="BC403" i="14"/>
  <c r="H371" i="14" a="1"/>
  <c r="K387" i="14" l="1"/>
  <c r="K407" i="14"/>
  <c r="K385" i="14"/>
  <c r="K395" i="14"/>
  <c r="K389" i="14"/>
  <c r="K411" i="14"/>
  <c r="K391" i="14"/>
  <c r="K401" i="14"/>
  <c r="K399" i="14"/>
  <c r="K409" i="14"/>
  <c r="K397" i="14"/>
  <c r="K326" i="14"/>
  <c r="K215" i="14"/>
  <c r="K314" i="14"/>
  <c r="K320" i="14"/>
  <c r="K306" i="14"/>
  <c r="K310" i="14"/>
  <c r="K312" i="14"/>
  <c r="K316" i="14"/>
  <c r="K324" i="14"/>
  <c r="K322" i="14"/>
  <c r="K237" i="14"/>
  <c r="K227" i="14"/>
  <c r="K225" i="14"/>
  <c r="K239" i="14"/>
  <c r="K231" i="14"/>
  <c r="K235" i="14"/>
  <c r="K219" i="14"/>
  <c r="BJ235" i="14"/>
  <c r="K398" i="14"/>
  <c r="K217" i="14"/>
  <c r="AG219" i="14"/>
  <c r="AL219" i="14" s="1"/>
  <c r="K229" i="14"/>
  <c r="K218" i="14"/>
  <c r="K228" i="14"/>
  <c r="K368" i="14"/>
  <c r="K388" i="14"/>
  <c r="K248" i="14"/>
  <c r="K238" i="14"/>
  <c r="K378" i="14"/>
  <c r="AG248" i="14"/>
  <c r="AN248" i="14" s="1"/>
  <c r="K408" i="14"/>
  <c r="K288" i="14"/>
  <c r="K223" i="14"/>
  <c r="K258" i="14"/>
  <c r="K298" i="14"/>
  <c r="K348" i="14"/>
  <c r="K318" i="14"/>
  <c r="K308" i="14"/>
  <c r="K275" i="14"/>
  <c r="K393" i="14"/>
  <c r="K358" i="14"/>
  <c r="K278" i="14"/>
  <c r="K241" i="14"/>
  <c r="K328" i="14"/>
  <c r="K338" i="14"/>
  <c r="K268" i="14"/>
  <c r="K361" i="14"/>
  <c r="K347" i="14"/>
  <c r="K245" i="14"/>
  <c r="K331" i="14"/>
  <c r="K293" i="14"/>
  <c r="K317" i="14"/>
  <c r="K277" i="14"/>
  <c r="K251" i="14"/>
  <c r="H371" i="14"/>
  <c r="K371" i="14" s="1"/>
  <c r="K327" i="14"/>
  <c r="K273" i="14"/>
  <c r="K303" i="14"/>
  <c r="K247" i="14"/>
  <c r="K315" i="14"/>
  <c r="K259" i="14"/>
  <c r="AG259" i="14"/>
  <c r="AI259" i="14" s="1"/>
  <c r="AA259" i="14" s="1"/>
  <c r="AD259" i="14" s="1"/>
  <c r="K403" i="14"/>
  <c r="K365" i="14"/>
  <c r="K301" i="14"/>
  <c r="K373" i="14"/>
  <c r="AG247" i="14"/>
  <c r="AL247" i="14" s="1"/>
  <c r="K307" i="14"/>
  <c r="K291" i="14"/>
  <c r="K261" i="14"/>
  <c r="K257" i="14"/>
  <c r="K333" i="14"/>
  <c r="K233" i="14"/>
  <c r="K297" i="14"/>
  <c r="K375" i="14"/>
  <c r="K357" i="14"/>
  <c r="K359" i="14"/>
  <c r="K267" i="14"/>
  <c r="K279" i="14"/>
  <c r="K265" i="14"/>
  <c r="K305" i="14"/>
  <c r="K263" i="14"/>
  <c r="K269" i="14"/>
  <c r="K367" i="14"/>
  <c r="K337" i="14"/>
  <c r="K271" i="14"/>
  <c r="K341" i="14"/>
  <c r="K281" i="14"/>
  <c r="K353" i="14"/>
  <c r="K253" i="14"/>
  <c r="K325" i="14"/>
  <c r="K311" i="14"/>
  <c r="K369" i="14"/>
  <c r="K343" i="14"/>
  <c r="K289" i="14"/>
  <c r="K249" i="14"/>
  <c r="K309" i="14"/>
  <c r="K295" i="14"/>
  <c r="K255" i="14"/>
  <c r="K323" i="14"/>
  <c r="K213" i="14"/>
  <c r="K299" i="14"/>
  <c r="K319" i="14"/>
  <c r="K321" i="14"/>
  <c r="K379" i="14"/>
  <c r="K313" i="14"/>
  <c r="K283" i="14"/>
  <c r="K243" i="14"/>
  <c r="K285" i="14"/>
  <c r="K339" i="14"/>
  <c r="AG373" i="14"/>
  <c r="AL373" i="14" s="1"/>
  <c r="K345" i="14"/>
  <c r="K335" i="14"/>
  <c r="BJ337" i="14"/>
  <c r="K363" i="14"/>
  <c r="K383" i="14"/>
  <c r="K377" i="14"/>
  <c r="K351" i="14"/>
  <c r="K413" i="14"/>
  <c r="BJ343" i="14"/>
  <c r="K355" i="14"/>
  <c r="K349" i="14"/>
  <c r="K329" i="14"/>
  <c r="AG379" i="14"/>
  <c r="AN379" i="14" s="1"/>
  <c r="AH381" i="14"/>
  <c r="AK381" i="14" s="1"/>
  <c r="K381" i="14"/>
  <c r="AH287" i="14"/>
  <c r="AJ287" i="14" s="1"/>
  <c r="Z287" i="14" s="1"/>
  <c r="AE287" i="14" s="1"/>
  <c r="K287" i="14"/>
  <c r="AH362" i="14"/>
  <c r="AK362" i="14" s="1"/>
  <c r="K362" i="14"/>
  <c r="BI405" i="14"/>
  <c r="K405" i="14"/>
  <c r="AH221" i="14"/>
  <c r="AJ221" i="14" s="1"/>
  <c r="Z221" i="14" s="1"/>
  <c r="AE221" i="14" s="1"/>
  <c r="K221" i="14"/>
  <c r="BI286" i="14"/>
  <c r="K286" i="14"/>
  <c r="AH272" i="14"/>
  <c r="AK272" i="14" s="1"/>
  <c r="K272" i="14"/>
  <c r="BI289" i="14"/>
  <c r="AH289" i="14"/>
  <c r="AJ289" i="14" s="1"/>
  <c r="Z289" i="14" s="1"/>
  <c r="BE226" i="14"/>
  <c r="AI289" i="14"/>
  <c r="AA289" i="14" s="1"/>
  <c r="AD289" i="14" s="1"/>
  <c r="BE367" i="14"/>
  <c r="BJ289" i="14"/>
  <c r="AN289" i="14"/>
  <c r="AP289" i="14" s="1"/>
  <c r="BF289" i="14"/>
  <c r="BE289" i="14"/>
  <c r="BE344" i="14"/>
  <c r="AI396" i="14"/>
  <c r="AA396" i="14" s="1"/>
  <c r="AD396" i="14" s="1"/>
  <c r="AL396" i="14"/>
  <c r="AN280" i="14"/>
  <c r="AL280" i="14"/>
  <c r="AI404" i="14"/>
  <c r="AA404" i="14" s="1"/>
  <c r="AD404" i="14" s="1"/>
  <c r="AL404" i="14"/>
  <c r="AN360" i="14"/>
  <c r="AL360" i="14"/>
  <c r="AN362" i="14"/>
  <c r="AL362" i="14"/>
  <c r="AI285" i="14"/>
  <c r="AA285" i="14" s="1"/>
  <c r="AD285" i="14" s="1"/>
  <c r="AL285" i="14"/>
  <c r="AI311" i="14"/>
  <c r="AA311" i="14" s="1"/>
  <c r="AD311" i="14" s="1"/>
  <c r="AL311" i="14"/>
  <c r="AI231" i="14"/>
  <c r="AA231" i="14" s="1"/>
  <c r="AD231" i="14" s="1"/>
  <c r="AL231" i="14"/>
  <c r="AN400" i="14"/>
  <c r="AL400" i="14"/>
  <c r="AI353" i="14"/>
  <c r="AA353" i="14" s="1"/>
  <c r="AD353" i="14" s="1"/>
  <c r="AL353" i="14"/>
  <c r="AI372" i="14"/>
  <c r="AA372" i="14" s="1"/>
  <c r="AD372" i="14" s="1"/>
  <c r="AL372" i="14"/>
  <c r="AI389" i="14"/>
  <c r="AA389" i="14" s="1"/>
  <c r="AD389" i="14" s="1"/>
  <c r="AL389" i="14"/>
  <c r="AI269" i="14"/>
  <c r="AA269" i="14" s="1"/>
  <c r="AD269" i="14" s="1"/>
  <c r="AL269" i="14"/>
  <c r="AN329" i="14"/>
  <c r="AL329" i="14"/>
  <c r="AN292" i="14"/>
  <c r="AL292" i="14"/>
  <c r="AN239" i="14"/>
  <c r="AL239" i="14"/>
  <c r="AN371" i="14"/>
  <c r="AL371" i="14"/>
  <c r="AI386" i="14"/>
  <c r="AA386" i="14" s="1"/>
  <c r="AD386" i="14" s="1"/>
  <c r="AL386" i="14"/>
  <c r="AN339" i="14"/>
  <c r="AL339" i="14"/>
  <c r="AI214" i="14"/>
  <c r="AA214" i="14" s="1"/>
  <c r="AD214" i="14" s="1"/>
  <c r="AL214" i="14"/>
  <c r="AN358" i="14"/>
  <c r="AL358" i="14"/>
  <c r="AI405" i="14"/>
  <c r="AA405" i="14" s="1"/>
  <c r="AD405" i="14" s="1"/>
  <c r="AL405" i="14"/>
  <c r="AN408" i="14"/>
  <c r="AL408" i="14"/>
  <c r="AI332" i="14"/>
  <c r="AA332" i="14" s="1"/>
  <c r="AD332" i="14" s="1"/>
  <c r="AL332" i="14"/>
  <c r="AI296" i="14"/>
  <c r="AA296" i="14" s="1"/>
  <c r="AD296" i="14" s="1"/>
  <c r="AL296" i="14"/>
  <c r="AI412" i="14"/>
  <c r="AA412" i="14" s="1"/>
  <c r="AD412" i="14" s="1"/>
  <c r="AL412" i="14"/>
  <c r="AN244" i="14"/>
  <c r="AL244" i="14"/>
  <c r="AI348" i="14"/>
  <c r="AA348" i="14" s="1"/>
  <c r="AD348" i="14" s="1"/>
  <c r="AL348" i="14"/>
  <c r="AI253" i="14"/>
  <c r="AA253" i="14" s="1"/>
  <c r="AD253" i="14" s="1"/>
  <c r="AL253" i="14"/>
  <c r="AI230" i="14"/>
  <c r="AA230" i="14" s="1"/>
  <c r="AD230" i="14" s="1"/>
  <c r="AL230" i="14"/>
  <c r="AN304" i="14"/>
  <c r="AL304" i="14"/>
  <c r="AI365" i="14"/>
  <c r="AA365" i="14" s="1"/>
  <c r="AD365" i="14" s="1"/>
  <c r="AL365" i="14"/>
  <c r="AN328" i="14"/>
  <c r="AL328" i="14"/>
  <c r="AN297" i="14"/>
  <c r="AL297" i="14"/>
  <c r="AN266" i="14"/>
  <c r="AL266" i="14"/>
  <c r="AI356" i="14"/>
  <c r="AA356" i="14" s="1"/>
  <c r="AD356" i="14" s="1"/>
  <c r="AL356" i="14"/>
  <c r="AN263" i="14"/>
  <c r="AL263" i="14"/>
  <c r="AN313" i="14"/>
  <c r="AL313" i="14"/>
  <c r="AI268" i="14"/>
  <c r="AA268" i="14" s="1"/>
  <c r="AD268" i="14" s="1"/>
  <c r="AL268" i="14"/>
  <c r="AN221" i="14"/>
  <c r="AL221" i="14"/>
  <c r="AN338" i="14"/>
  <c r="AL338" i="14"/>
  <c r="AI382" i="14"/>
  <c r="AA382" i="14" s="1"/>
  <c r="AD382" i="14" s="1"/>
  <c r="AL382" i="14"/>
  <c r="AI314" i="14"/>
  <c r="AA314" i="14" s="1"/>
  <c r="AD314" i="14" s="1"/>
  <c r="AL314" i="14"/>
  <c r="AN243" i="14"/>
  <c r="AL243" i="14"/>
  <c r="AN224" i="14"/>
  <c r="AL224" i="14"/>
  <c r="AI294" i="14"/>
  <c r="AA294" i="14" s="1"/>
  <c r="AD294" i="14" s="1"/>
  <c r="AL294" i="14"/>
  <c r="AI276" i="14"/>
  <c r="AA276" i="14" s="1"/>
  <c r="AD276" i="14" s="1"/>
  <c r="AL276" i="14"/>
  <c r="AN222" i="14"/>
  <c r="AL222" i="14"/>
  <c r="AN317" i="14"/>
  <c r="AL317" i="14"/>
  <c r="AN323" i="14"/>
  <c r="AL323" i="14"/>
  <c r="AI282" i="14"/>
  <c r="AA282" i="14" s="1"/>
  <c r="AD282" i="14" s="1"/>
  <c r="AL282" i="14"/>
  <c r="AN310" i="14"/>
  <c r="AL310" i="14"/>
  <c r="AI220" i="14"/>
  <c r="AA220" i="14" s="1"/>
  <c r="AD220" i="14" s="1"/>
  <c r="AL220" i="14"/>
  <c r="AN350" i="14"/>
  <c r="AL350" i="14"/>
  <c r="AI298" i="14"/>
  <c r="AA298" i="14" s="1"/>
  <c r="AD298" i="14" s="1"/>
  <c r="AL298" i="14"/>
  <c r="AI306" i="14"/>
  <c r="AA306" i="14" s="1"/>
  <c r="AD306" i="14" s="1"/>
  <c r="AL306" i="14"/>
  <c r="AN352" i="14"/>
  <c r="AL352" i="14"/>
  <c r="AN301" i="14"/>
  <c r="AL301" i="14"/>
  <c r="AI240" i="14"/>
  <c r="AA240" i="14" s="1"/>
  <c r="AD240" i="14" s="1"/>
  <c r="AL240" i="14"/>
  <c r="AN359" i="14"/>
  <c r="AL359" i="14"/>
  <c r="AN275" i="14"/>
  <c r="AL275" i="14"/>
  <c r="AI293" i="14"/>
  <c r="AA293" i="14" s="1"/>
  <c r="AD293" i="14" s="1"/>
  <c r="AL293" i="14"/>
  <c r="AN393" i="14"/>
  <c r="AL393" i="14"/>
  <c r="AI406" i="14"/>
  <c r="AA406" i="14" s="1"/>
  <c r="AD406" i="14" s="1"/>
  <c r="AL406" i="14"/>
  <c r="AN256" i="14"/>
  <c r="AL256" i="14"/>
  <c r="AI340" i="14"/>
  <c r="AA340" i="14" s="1"/>
  <c r="AD340" i="14" s="1"/>
  <c r="AL340" i="14"/>
  <c r="AN387" i="14"/>
  <c r="AL387" i="14"/>
  <c r="AN394" i="14"/>
  <c r="AL394" i="14"/>
  <c r="AI374" i="14"/>
  <c r="AA374" i="14" s="1"/>
  <c r="AD374" i="14" s="1"/>
  <c r="AL374" i="14"/>
  <c r="AN347" i="14"/>
  <c r="AL347" i="14"/>
  <c r="AI229" i="14"/>
  <c r="AA229" i="14" s="1"/>
  <c r="AD229" i="14" s="1"/>
  <c r="AL229" i="14"/>
  <c r="AI344" i="14"/>
  <c r="AA344" i="14" s="1"/>
  <c r="AD344" i="14" s="1"/>
  <c r="AL344" i="14"/>
  <c r="AN312" i="14"/>
  <c r="AL312" i="14"/>
  <c r="BF262" i="14"/>
  <c r="BE370" i="14"/>
  <c r="BE269" i="14"/>
  <c r="BE306" i="14"/>
  <c r="BF395" i="14"/>
  <c r="BF319" i="14"/>
  <c r="BF369" i="14"/>
  <c r="BF379" i="14"/>
  <c r="BF388" i="14"/>
  <c r="BE313" i="14"/>
  <c r="BE330" i="14"/>
  <c r="BE272" i="14"/>
  <c r="BE327" i="14"/>
  <c r="BE371" i="14"/>
  <c r="BF394" i="14"/>
  <c r="BE235" i="14"/>
  <c r="BF303" i="14"/>
  <c r="BE383" i="14"/>
  <c r="BE260" i="14"/>
  <c r="AH358" i="14"/>
  <c r="BF239" i="14"/>
  <c r="BF346" i="14"/>
  <c r="BE303" i="14"/>
  <c r="BE263" i="14"/>
  <c r="BE409" i="14"/>
  <c r="BE220" i="14"/>
  <c r="BF298" i="14"/>
  <c r="BE290" i="14"/>
  <c r="BF330" i="14"/>
  <c r="BE240" i="14"/>
  <c r="BF409" i="14"/>
  <c r="BE410" i="14"/>
  <c r="BE379" i="14"/>
  <c r="BF255" i="14"/>
  <c r="BF221" i="14"/>
  <c r="BE248" i="14"/>
  <c r="BE407" i="14"/>
  <c r="BI374" i="14"/>
  <c r="BF244" i="14"/>
  <c r="BE308" i="14"/>
  <c r="BF302" i="14"/>
  <c r="BJ238" i="14"/>
  <c r="BF320" i="14"/>
  <c r="BE357" i="14"/>
  <c r="BE230" i="14"/>
  <c r="BJ304" i="14"/>
  <c r="AG336" i="14"/>
  <c r="AG227" i="14"/>
  <c r="AL227" i="14" s="1"/>
  <c r="BE232" i="14"/>
  <c r="AI295" i="14"/>
  <c r="AA295" i="14" s="1"/>
  <c r="AD295" i="14" s="1"/>
  <c r="AI338" i="14"/>
  <c r="AA338" i="14" s="1"/>
  <c r="AD338" i="14" s="1"/>
  <c r="BF336" i="14"/>
  <c r="BE224" i="14"/>
  <c r="BE241" i="14"/>
  <c r="BE293" i="14"/>
  <c r="BE288" i="14"/>
  <c r="BE274" i="14"/>
  <c r="BF387" i="14"/>
  <c r="BE307" i="14"/>
  <c r="BF295" i="14"/>
  <c r="BF281" i="14"/>
  <c r="BI369" i="14"/>
  <c r="BE265" i="14"/>
  <c r="BE384" i="14"/>
  <c r="BE297" i="14"/>
  <c r="BE305" i="14"/>
  <c r="BE279" i="14"/>
  <c r="AG281" i="14"/>
  <c r="AL281" i="14" s="1"/>
  <c r="BE396" i="14"/>
  <c r="BE318" i="14"/>
  <c r="BF217" i="14"/>
  <c r="BE304" i="14"/>
  <c r="BE356" i="14"/>
  <c r="BE225" i="14"/>
  <c r="BE349" i="14"/>
  <c r="BE216" i="14"/>
  <c r="BF405" i="14"/>
  <c r="BF318" i="14"/>
  <c r="BF272" i="14"/>
  <c r="BE266" i="14"/>
  <c r="BE275" i="14"/>
  <c r="BE278" i="14"/>
  <c r="BF296" i="14"/>
  <c r="BE286" i="14"/>
  <c r="BF297" i="14"/>
  <c r="BF269" i="14"/>
  <c r="BF223" i="14"/>
  <c r="BE389" i="14"/>
  <c r="BF371" i="14"/>
  <c r="BF276" i="14"/>
  <c r="BE316" i="14"/>
  <c r="AN405" i="14"/>
  <c r="BF334" i="14"/>
  <c r="AI331" i="14"/>
  <c r="AA331" i="14" s="1"/>
  <c r="AD331" i="14" s="1"/>
  <c r="BF367" i="14"/>
  <c r="BF410" i="14"/>
  <c r="BF347" i="14"/>
  <c r="BF344" i="14"/>
  <c r="BF402" i="14"/>
  <c r="BF299" i="14"/>
  <c r="BE373" i="14"/>
  <c r="AI304" i="14"/>
  <c r="AA304" i="14" s="1"/>
  <c r="AD304" i="14" s="1"/>
  <c r="BE213" i="14"/>
  <c r="BE243" i="14"/>
  <c r="AG361" i="14"/>
  <c r="AL361" i="14" s="1"/>
  <c r="BE393" i="14"/>
  <c r="BE348" i="14"/>
  <c r="BE245" i="14"/>
  <c r="BE252" i="14"/>
  <c r="BE281" i="14"/>
  <c r="AH369" i="14"/>
  <c r="BE341" i="14"/>
  <c r="BF225" i="14"/>
  <c r="BF323" i="14"/>
  <c r="BE402" i="14"/>
  <c r="BE223" i="14"/>
  <c r="BE244" i="14"/>
  <c r="AH364" i="14"/>
  <c r="AK364" i="14" s="1"/>
  <c r="BE347" i="14"/>
  <c r="BE342" i="14"/>
  <c r="BE335" i="14"/>
  <c r="BE365" i="14"/>
  <c r="BE287" i="14"/>
  <c r="BE366" i="14"/>
  <c r="BE215" i="14"/>
  <c r="BE217" i="14"/>
  <c r="BE360" i="14"/>
  <c r="BF216" i="14"/>
  <c r="BF333" i="14"/>
  <c r="BE339" i="14"/>
  <c r="BE234" i="14"/>
  <c r="BF243" i="14"/>
  <c r="BF249" i="14"/>
  <c r="BE228" i="14"/>
  <c r="BF393" i="14"/>
  <c r="BE231" i="14"/>
  <c r="BJ375" i="14"/>
  <c r="AN290" i="14"/>
  <c r="AP290" i="14" s="1"/>
  <c r="BJ293" i="14"/>
  <c r="AN375" i="14"/>
  <c r="AP375" i="14" s="1"/>
  <c r="AG273" i="14"/>
  <c r="AL273" i="14" s="1"/>
  <c r="AI390" i="14"/>
  <c r="AA390" i="14" s="1"/>
  <c r="AD390" i="14" s="1"/>
  <c r="AI290" i="14"/>
  <c r="AA290" i="14" s="1"/>
  <c r="AD290" i="14" s="1"/>
  <c r="AG368" i="14"/>
  <c r="AL368" i="14" s="1"/>
  <c r="AG351" i="14"/>
  <c r="AG320" i="14"/>
  <c r="AL320" i="14" s="1"/>
  <c r="BJ294" i="14"/>
  <c r="AN294" i="14"/>
  <c r="AG410" i="14"/>
  <c r="AL410" i="14" s="1"/>
  <c r="AG271" i="14"/>
  <c r="BJ224" i="14"/>
  <c r="AN220" i="14"/>
  <c r="BF268" i="14"/>
  <c r="BF311" i="14"/>
  <c r="BE368" i="14"/>
  <c r="BE362" i="14"/>
  <c r="BJ390" i="14"/>
  <c r="BF265" i="14"/>
  <c r="BJ357" i="14"/>
  <c r="BJ220" i="14"/>
  <c r="BF342" i="14"/>
  <c r="BJ290" i="14"/>
  <c r="AN390" i="14"/>
  <c r="AP390" i="14" s="1"/>
  <c r="AN293" i="14"/>
  <c r="BE333" i="14"/>
  <c r="AG337" i="14"/>
  <c r="BE264" i="14"/>
  <c r="AG218" i="14"/>
  <c r="AI375" i="14"/>
  <c r="AA375" i="14" s="1"/>
  <c r="AD375" i="14" s="1"/>
  <c r="BF235" i="14"/>
  <c r="BE326" i="14"/>
  <c r="BF232" i="14"/>
  <c r="AG265" i="14"/>
  <c r="BF331" i="14"/>
  <c r="BE262" i="14"/>
  <c r="BF373" i="14"/>
  <c r="BE221" i="14"/>
  <c r="AG413" i="14"/>
  <c r="AL413" i="14" s="1"/>
  <c r="BE343" i="14"/>
  <c r="BF400" i="14"/>
  <c r="BF294" i="14"/>
  <c r="BE247" i="14"/>
  <c r="BF411" i="14"/>
  <c r="BE388" i="14"/>
  <c r="BE219" i="14"/>
  <c r="BF338" i="14"/>
  <c r="BE411" i="14"/>
  <c r="BF270" i="14"/>
  <c r="BE376" i="14"/>
  <c r="BF350" i="14"/>
  <c r="BE399" i="14"/>
  <c r="AH269" i="14"/>
  <c r="BE233" i="14"/>
  <c r="BF363" i="14"/>
  <c r="BE329" i="14"/>
  <c r="BE395" i="14"/>
  <c r="BF407" i="14"/>
  <c r="BF288" i="14"/>
  <c r="BE249" i="14"/>
  <c r="BF213" i="14"/>
  <c r="BE364" i="14"/>
  <c r="AH267" i="14"/>
  <c r="AK267" i="14" s="1"/>
  <c r="BE374" i="14"/>
  <c r="BF354" i="14"/>
  <c r="AN223" i="14"/>
  <c r="AP223" i="14" s="1"/>
  <c r="AI371" i="14"/>
  <c r="AA371" i="14" s="1"/>
  <c r="AD371" i="14" s="1"/>
  <c r="BF326" i="14"/>
  <c r="BE358" i="14"/>
  <c r="BE276" i="14"/>
  <c r="BJ358" i="14"/>
  <c r="AN251" i="14"/>
  <c r="AP251" i="14" s="1"/>
  <c r="BF358" i="14"/>
  <c r="BE309" i="14"/>
  <c r="BE354" i="14"/>
  <c r="BJ329" i="14"/>
  <c r="BE320" i="14"/>
  <c r="BE359" i="14"/>
  <c r="AN319" i="14"/>
  <c r="AP319" i="14" s="1"/>
  <c r="BF359" i="14"/>
  <c r="AH341" i="14"/>
  <c r="AK341" i="14" s="1"/>
  <c r="AG283" i="14"/>
  <c r="BF312" i="14"/>
  <c r="BI214" i="14"/>
  <c r="BE325" i="14"/>
  <c r="BE355" i="14"/>
  <c r="AI358" i="14"/>
  <c r="AA358" i="14" s="1"/>
  <c r="AD358" i="14" s="1"/>
  <c r="BF304" i="14"/>
  <c r="BE408" i="14"/>
  <c r="BE397" i="14"/>
  <c r="BF389" i="14"/>
  <c r="BE413" i="14"/>
  <c r="BF396" i="14"/>
  <c r="BF375" i="14"/>
  <c r="AH386" i="14"/>
  <c r="BF254" i="14"/>
  <c r="BE328" i="14"/>
  <c r="BE363" i="14"/>
  <c r="BE256" i="14"/>
  <c r="BI224" i="14"/>
  <c r="BJ371" i="14"/>
  <c r="BI304" i="14"/>
  <c r="BI411" i="14"/>
  <c r="AI213" i="14"/>
  <c r="AA213" i="14" s="1"/>
  <c r="AD213" i="14" s="1"/>
  <c r="AG299" i="14"/>
  <c r="BI229" i="14"/>
  <c r="AH374" i="14"/>
  <c r="AN285" i="14"/>
  <c r="AI400" i="14"/>
  <c r="AA400" i="14" s="1"/>
  <c r="AD400" i="14" s="1"/>
  <c r="BJ400" i="14"/>
  <c r="BF258" i="14"/>
  <c r="BJ298" i="14"/>
  <c r="AH411" i="14"/>
  <c r="AH404" i="14"/>
  <c r="AK404" i="14" s="1"/>
  <c r="BE283" i="14"/>
  <c r="BF378" i="14"/>
  <c r="BE324" i="14"/>
  <c r="BJ411" i="14"/>
  <c r="AI411" i="14"/>
  <c r="AA411" i="14" s="1"/>
  <c r="AD411" i="14" s="1"/>
  <c r="AN213" i="14"/>
  <c r="AP213" i="14" s="1"/>
  <c r="AN306" i="14"/>
  <c r="BI227" i="14"/>
  <c r="BK227" i="14" s="1"/>
  <c r="BF246" i="14"/>
  <c r="BJ251" i="14"/>
  <c r="BI325" i="14"/>
  <c r="BK325" i="14" s="1"/>
  <c r="BE273" i="14"/>
  <c r="BE323" i="14"/>
  <c r="BF236" i="14"/>
  <c r="BI370" i="14"/>
  <c r="BK370" i="14" s="1"/>
  <c r="AH304" i="14"/>
  <c r="AK304" i="14" s="1"/>
  <c r="AH325" i="14"/>
  <c r="AK325" i="14" s="1"/>
  <c r="AN353" i="14"/>
  <c r="BJ353" i="14"/>
  <c r="BE403" i="14"/>
  <c r="BF273" i="14"/>
  <c r="BF309" i="14"/>
  <c r="BI341" i="14"/>
  <c r="BJ412" i="14"/>
  <c r="BJ306" i="14"/>
  <c r="BJ311" i="14"/>
  <c r="BF360" i="14"/>
  <c r="BF313" i="14"/>
  <c r="AH227" i="14"/>
  <c r="AK227" i="14" s="1"/>
  <c r="AH237" i="14"/>
  <c r="AH224" i="14"/>
  <c r="AN411" i="14"/>
  <c r="AP411" i="14" s="1"/>
  <c r="BJ285" i="14"/>
  <c r="BE242" i="14"/>
  <c r="AH399" i="14"/>
  <c r="BI237" i="14"/>
  <c r="BK237" i="14" s="1"/>
  <c r="AG342" i="14"/>
  <c r="AL342" i="14" s="1"/>
  <c r="AN412" i="14"/>
  <c r="BI404" i="14"/>
  <c r="AG252" i="14"/>
  <c r="BI399" i="14"/>
  <c r="AH229" i="14"/>
  <c r="AI251" i="14"/>
  <c r="AA251" i="14" s="1"/>
  <c r="AD251" i="14" s="1"/>
  <c r="BJ239" i="14"/>
  <c r="AG237" i="14"/>
  <c r="AL237" i="14" s="1"/>
  <c r="BI296" i="14"/>
  <c r="BF310" i="14"/>
  <c r="BE380" i="14"/>
  <c r="AH370" i="14"/>
  <c r="AK370" i="14" s="1"/>
  <c r="BJ213" i="14"/>
  <c r="AN298" i="14"/>
  <c r="BF247" i="14"/>
  <c r="BE321" i="14"/>
  <c r="BE315" i="14"/>
  <c r="BE350" i="14"/>
  <c r="AI222" i="14"/>
  <c r="AA222" i="14" s="1"/>
  <c r="AD222" i="14" s="1"/>
  <c r="BE250" i="14"/>
  <c r="BE236" i="14"/>
  <c r="BE257" i="14"/>
  <c r="BF226" i="14"/>
  <c r="BE251" i="14"/>
  <c r="BE222" i="14"/>
  <c r="BE291" i="14"/>
  <c r="BE392" i="14"/>
  <c r="BE259" i="14"/>
  <c r="BE352" i="14"/>
  <c r="BE229" i="14"/>
  <c r="BE227" i="14"/>
  <c r="BE214" i="14"/>
  <c r="BE334" i="14"/>
  <c r="AH392" i="14"/>
  <c r="BI321" i="14"/>
  <c r="BK321" i="14" s="1"/>
  <c r="AH299" i="14"/>
  <c r="AK299" i="14" s="1"/>
  <c r="BE332" i="14"/>
  <c r="BE282" i="14"/>
  <c r="BE387" i="14"/>
  <c r="BF406" i="14"/>
  <c r="BJ231" i="14"/>
  <c r="BF241" i="14"/>
  <c r="AN231" i="14"/>
  <c r="BE246" i="14"/>
  <c r="BE346" i="14"/>
  <c r="BE400" i="14"/>
  <c r="BF253" i="14"/>
  <c r="BF229" i="14"/>
  <c r="BE378" i="14"/>
  <c r="BE311" i="14"/>
  <c r="BI393" i="14"/>
  <c r="BE298" i="14"/>
  <c r="BE300" i="14"/>
  <c r="BF340" i="14"/>
  <c r="BE218" i="14"/>
  <c r="BE268" i="14"/>
  <c r="BF271" i="14"/>
  <c r="BF274" i="14"/>
  <c r="BE406" i="14"/>
  <c r="BF214" i="14"/>
  <c r="BF291" i="14"/>
  <c r="BF261" i="14"/>
  <c r="BF250" i="14"/>
  <c r="BF218" i="14"/>
  <c r="BF381" i="14"/>
  <c r="BF280" i="14"/>
  <c r="BE386" i="14"/>
  <c r="BF279" i="14"/>
  <c r="BF275" i="14"/>
  <c r="BE238" i="14"/>
  <c r="BF408" i="14"/>
  <c r="BF238" i="14"/>
  <c r="BF386" i="14"/>
  <c r="BE361" i="14"/>
  <c r="BF368" i="14"/>
  <c r="BF357" i="14"/>
  <c r="BE296" i="14"/>
  <c r="BE310" i="14"/>
  <c r="BF332" i="14"/>
  <c r="BF277" i="14"/>
  <c r="BF306" i="14"/>
  <c r="AH340" i="14"/>
  <c r="AK340" i="14" s="1"/>
  <c r="AH367" i="14"/>
  <c r="AI243" i="14"/>
  <c r="AA243" i="14" s="1"/>
  <c r="AD243" i="14" s="1"/>
  <c r="BE391" i="14"/>
  <c r="BJ379" i="14"/>
  <c r="BF230" i="14"/>
  <c r="BE322" i="14"/>
  <c r="AN403" i="14"/>
  <c r="AP403" i="14" s="1"/>
  <c r="AH253" i="14"/>
  <c r="AG381" i="14"/>
  <c r="BF390" i="14"/>
  <c r="BE237" i="14"/>
  <c r="BE377" i="14"/>
  <c r="AG264" i="14"/>
  <c r="AN282" i="14"/>
  <c r="AI323" i="14"/>
  <c r="AA323" i="14" s="1"/>
  <c r="AD323" i="14" s="1"/>
  <c r="BF374" i="14"/>
  <c r="BE267" i="14"/>
  <c r="BI215" i="14"/>
  <c r="BF283" i="14"/>
  <c r="BE375" i="14"/>
  <c r="BF401" i="14"/>
  <c r="BE299" i="14"/>
  <c r="BE317" i="14"/>
  <c r="BJ323" i="14"/>
  <c r="BF293" i="14"/>
  <c r="BF377" i="14"/>
  <c r="BF329" i="14"/>
  <c r="BE302" i="14"/>
  <c r="BF222" i="14"/>
  <c r="BF242" i="14"/>
  <c r="BF339" i="14"/>
  <c r="BE338" i="14"/>
  <c r="BE345" i="14"/>
  <c r="AG277" i="14"/>
  <c r="AL277" i="14" s="1"/>
  <c r="BF349" i="14"/>
  <c r="BF307" i="14"/>
  <c r="BJ221" i="14"/>
  <c r="BF324" i="14"/>
  <c r="BI365" i="14"/>
  <c r="BJ326" i="14"/>
  <c r="BI216" i="14"/>
  <c r="BK216" i="14" s="1"/>
  <c r="BI412" i="14"/>
  <c r="AH412" i="14"/>
  <c r="AK412" i="14" s="1"/>
  <c r="AI238" i="14"/>
  <c r="AA238" i="14" s="1"/>
  <c r="AD238" i="14" s="1"/>
  <c r="BF308" i="14"/>
  <c r="BE385" i="14"/>
  <c r="BF251" i="14"/>
  <c r="BE337" i="14"/>
  <c r="BF292" i="14"/>
  <c r="AH365" i="14"/>
  <c r="BI250" i="14"/>
  <c r="BK250" i="14" s="1"/>
  <c r="AN315" i="14"/>
  <c r="AP315" i="14" s="1"/>
  <c r="AH349" i="14"/>
  <c r="AK349" i="14" s="1"/>
  <c r="AI352" i="14"/>
  <c r="AA352" i="14" s="1"/>
  <c r="AD352" i="14" s="1"/>
  <c r="BJ352" i="14"/>
  <c r="AN238" i="14"/>
  <c r="AP238" i="14" s="1"/>
  <c r="AH261" i="14"/>
  <c r="AK261" i="14" s="1"/>
  <c r="AH216" i="14"/>
  <c r="BF224" i="14"/>
  <c r="BE382" i="14"/>
  <c r="BE261" i="14"/>
  <c r="AH378" i="14"/>
  <c r="AK378" i="14" s="1"/>
  <c r="BI303" i="14"/>
  <c r="BK303" i="14" s="1"/>
  <c r="BI349" i="14"/>
  <c r="AG324" i="14"/>
  <c r="BI394" i="14"/>
  <c r="AI315" i="14"/>
  <c r="AA315" i="14" s="1"/>
  <c r="AD315" i="14" s="1"/>
  <c r="BE336" i="14"/>
  <c r="BI358" i="14"/>
  <c r="AI326" i="14"/>
  <c r="AA326" i="14" s="1"/>
  <c r="AD326" i="14" s="1"/>
  <c r="BE353" i="14"/>
  <c r="BE319" i="14"/>
  <c r="BF372" i="14"/>
  <c r="BI378" i="14"/>
  <c r="BK378" i="14" s="1"/>
  <c r="AH338" i="14"/>
  <c r="BI389" i="14"/>
  <c r="BI382" i="14"/>
  <c r="BJ230" i="14"/>
  <c r="AG232" i="14"/>
  <c r="AN230" i="14"/>
  <c r="BI410" i="14"/>
  <c r="BK410" i="14" s="1"/>
  <c r="BF315" i="14"/>
  <c r="BE270" i="14"/>
  <c r="BI315" i="14"/>
  <c r="AG383" i="14"/>
  <c r="AL383" i="14" s="1"/>
  <c r="BJ296" i="14"/>
  <c r="AH382" i="14"/>
  <c r="AH394" i="14"/>
  <c r="AN326" i="14"/>
  <c r="AP326" i="14" s="1"/>
  <c r="BF286" i="14"/>
  <c r="BF384" i="14"/>
  <c r="BE394" i="14"/>
  <c r="AG364" i="14"/>
  <c r="AH217" i="14"/>
  <c r="BJ373" i="14"/>
  <c r="BJ315" i="14"/>
  <c r="BJ331" i="14"/>
  <c r="BF345" i="14"/>
  <c r="BF351" i="14"/>
  <c r="BE390" i="14"/>
  <c r="BE295" i="14"/>
  <c r="AH303" i="14"/>
  <c r="AK303" i="14" s="1"/>
  <c r="AH389" i="14"/>
  <c r="AK389" i="14" s="1"/>
  <c r="BI217" i="14"/>
  <c r="BJ405" i="14"/>
  <c r="BI261" i="14"/>
  <c r="BK261" i="14" s="1"/>
  <c r="BJ300" i="14"/>
  <c r="BI338" i="14"/>
  <c r="BF284" i="14"/>
  <c r="BE331" i="14"/>
  <c r="BE239" i="14"/>
  <c r="AG302" i="14"/>
  <c r="AL302" i="14" s="1"/>
  <c r="BJ409" i="14"/>
  <c r="AH410" i="14"/>
  <c r="AK410" i="14" s="1"/>
  <c r="BF245" i="14"/>
  <c r="BF234" i="14"/>
  <c r="BF264" i="14"/>
  <c r="BE351" i="14"/>
  <c r="AH250" i="14"/>
  <c r="AN331" i="14"/>
  <c r="AP331" i="14" s="1"/>
  <c r="AG384" i="14"/>
  <c r="BF290" i="14"/>
  <c r="BE284" i="14"/>
  <c r="BF259" i="14"/>
  <c r="BF356" i="14"/>
  <c r="AG378" i="14"/>
  <c r="BJ372" i="14"/>
  <c r="BJ386" i="14"/>
  <c r="BJ319" i="14"/>
  <c r="BF337" i="14"/>
  <c r="AN399" i="14"/>
  <c r="AP399" i="14" s="1"/>
  <c r="BF341" i="14"/>
  <c r="BF376" i="14"/>
  <c r="AN372" i="14"/>
  <c r="AG305" i="14"/>
  <c r="AI399" i="14"/>
  <c r="AA399" i="14" s="1"/>
  <c r="AD399" i="14" s="1"/>
  <c r="BJ399" i="14"/>
  <c r="AG402" i="14"/>
  <c r="AL402" i="14" s="1"/>
  <c r="AI223" i="14"/>
  <c r="AA223" i="14" s="1"/>
  <c r="AD223" i="14" s="1"/>
  <c r="BI264" i="14"/>
  <c r="BK264" i="14" s="1"/>
  <c r="AN386" i="14"/>
  <c r="AI319" i="14"/>
  <c r="AA319" i="14" s="1"/>
  <c r="AD319" i="14" s="1"/>
  <c r="BF385" i="14"/>
  <c r="AG291" i="14"/>
  <c r="BJ223" i="14"/>
  <c r="AG316" i="14"/>
  <c r="AL316" i="14" s="1"/>
  <c r="AG397" i="14"/>
  <c r="AL397" i="14" s="1"/>
  <c r="BF300" i="14"/>
  <c r="BE381" i="14"/>
  <c r="BE292" i="14"/>
  <c r="BF412" i="14"/>
  <c r="BF403" i="14"/>
  <c r="BE369" i="14"/>
  <c r="BF398" i="14"/>
  <c r="BE405" i="14"/>
  <c r="BF301" i="14"/>
  <c r="BF314" i="14"/>
  <c r="BF285" i="14"/>
  <c r="AI380" i="14"/>
  <c r="AA380" i="14" s="1"/>
  <c r="AD380" i="14" s="1"/>
  <c r="BF370" i="14"/>
  <c r="BE255" i="14"/>
  <c r="BE372" i="14"/>
  <c r="BE404" i="14"/>
  <c r="BF240" i="14"/>
  <c r="BF233" i="14"/>
  <c r="BF215" i="14"/>
  <c r="BF237" i="14"/>
  <c r="AH259" i="14"/>
  <c r="BE280" i="14"/>
  <c r="BE412" i="14"/>
  <c r="BE398" i="14"/>
  <c r="BE301" i="14"/>
  <c r="BE314" i="14"/>
  <c r="BE285" i="14"/>
  <c r="BF352" i="14"/>
  <c r="BJ362" i="14"/>
  <c r="BJ275" i="14"/>
  <c r="BF343" i="14"/>
  <c r="BE340" i="14"/>
  <c r="BE294" i="14"/>
  <c r="BI299" i="14"/>
  <c r="BK299" i="14" s="1"/>
  <c r="AI317" i="14"/>
  <c r="AA317" i="14" s="1"/>
  <c r="AD317" i="14" s="1"/>
  <c r="AH360" i="14"/>
  <c r="AK360" i="14" s="1"/>
  <c r="AH292" i="14"/>
  <c r="BI392" i="14"/>
  <c r="BI390" i="14"/>
  <c r="AH226" i="14"/>
  <c r="AK226" i="14" s="1"/>
  <c r="AI221" i="14"/>
  <c r="AA221" i="14" s="1"/>
  <c r="AD221" i="14" s="1"/>
  <c r="BJ248" i="14"/>
  <c r="BJ272" i="14"/>
  <c r="BJ338" i="14"/>
  <c r="AG279" i="14"/>
  <c r="AH305" i="14"/>
  <c r="AH312" i="14"/>
  <c r="AK312" i="14" s="1"/>
  <c r="AH291" i="14"/>
  <c r="AI403" i="14"/>
  <c r="AA403" i="14" s="1"/>
  <c r="AD403" i="14" s="1"/>
  <c r="BJ295" i="14"/>
  <c r="BJ243" i="14"/>
  <c r="AI234" i="14"/>
  <c r="AA234" i="14" s="1"/>
  <c r="AD234" i="14" s="1"/>
  <c r="AH240" i="14"/>
  <c r="BI364" i="14"/>
  <c r="BK364" i="14" s="1"/>
  <c r="BJ260" i="14"/>
  <c r="AN295" i="14"/>
  <c r="AP295" i="14" s="1"/>
  <c r="BJ356" i="14"/>
  <c r="BJ404" i="14"/>
  <c r="BI391" i="14"/>
  <c r="BK391" i="14" s="1"/>
  <c r="AH251" i="14"/>
  <c r="AK251" i="14" s="1"/>
  <c r="AH331" i="14"/>
  <c r="AK331" i="14" s="1"/>
  <c r="AG333" i="14"/>
  <c r="AH316" i="14"/>
  <c r="AK316" i="14" s="1"/>
  <c r="BF260" i="14"/>
  <c r="BI360" i="14"/>
  <c r="AN260" i="14"/>
  <c r="AP260" i="14" s="1"/>
  <c r="AI260" i="14"/>
  <c r="AA260" i="14" s="1"/>
  <c r="AD260" i="14" s="1"/>
  <c r="AN348" i="14"/>
  <c r="BF382" i="14"/>
  <c r="BJ330" i="14"/>
  <c r="BI291" i="14"/>
  <c r="BK291" i="14" s="1"/>
  <c r="BJ403" i="14"/>
  <c r="BJ282" i="14"/>
  <c r="BI226" i="14"/>
  <c r="AH391" i="14"/>
  <c r="BI312" i="14"/>
  <c r="BI305" i="14"/>
  <c r="BK305" i="14" s="1"/>
  <c r="AN234" i="14"/>
  <c r="AP234" i="14" s="1"/>
  <c r="AG327" i="14"/>
  <c r="AL327" i="14" s="1"/>
  <c r="AN268" i="14"/>
  <c r="BI316" i="14"/>
  <c r="BK316" i="14" s="1"/>
  <c r="BI331" i="14"/>
  <c r="BI240" i="14"/>
  <c r="BJ348" i="14"/>
  <c r="BJ317" i="14"/>
  <c r="BJ234" i="14"/>
  <c r="AH321" i="14"/>
  <c r="AK321" i="14" s="1"/>
  <c r="BJ268" i="14"/>
  <c r="AH257" i="14"/>
  <c r="AK257" i="14" s="1"/>
  <c r="BI249" i="14"/>
  <c r="BK249" i="14" s="1"/>
  <c r="BJ245" i="14"/>
  <c r="AH231" i="14"/>
  <c r="AG267" i="14"/>
  <c r="AL267" i="14" s="1"/>
  <c r="AH265" i="14"/>
  <c r="AK265" i="14" s="1"/>
  <c r="BJ332" i="14"/>
  <c r="AH314" i="14"/>
  <c r="AK314" i="14" s="1"/>
  <c r="BJ292" i="14"/>
  <c r="AG284" i="14"/>
  <c r="AL284" i="14" s="1"/>
  <c r="BJ280" i="14"/>
  <c r="AG321" i="14"/>
  <c r="AG307" i="14"/>
  <c r="BI231" i="14"/>
  <c r="BJ376" i="14"/>
  <c r="BI265" i="14"/>
  <c r="BK265" i="14" s="1"/>
  <c r="AN296" i="14"/>
  <c r="AI376" i="14"/>
  <c r="AA376" i="14" s="1"/>
  <c r="AD376" i="14" s="1"/>
  <c r="BF267" i="14"/>
  <c r="BI379" i="14"/>
  <c r="BI330" i="14"/>
  <c r="AG398" i="14"/>
  <c r="BI406" i="14"/>
  <c r="BI340" i="14"/>
  <c r="BI351" i="14"/>
  <c r="BK351" i="14" s="1"/>
  <c r="AH351" i="14"/>
  <c r="BI307" i="14"/>
  <c r="BK307" i="14" s="1"/>
  <c r="BF355" i="14"/>
  <c r="BJ244" i="14"/>
  <c r="BI327" i="14"/>
  <c r="BK327" i="14" s="1"/>
  <c r="AH401" i="14"/>
  <c r="AK401" i="14" s="1"/>
  <c r="BJ253" i="14"/>
  <c r="BJ226" i="14"/>
  <c r="AN376" i="14"/>
  <c r="AP376" i="14" s="1"/>
  <c r="AG345" i="14"/>
  <c r="BF399" i="14"/>
  <c r="AI292" i="14"/>
  <c r="AA292" i="14" s="1"/>
  <c r="AD292" i="14" s="1"/>
  <c r="BJ217" i="14"/>
  <c r="AH379" i="14"/>
  <c r="AK379" i="14" s="1"/>
  <c r="AH307" i="14"/>
  <c r="AK307" i="14" s="1"/>
  <c r="BJ380" i="14"/>
  <c r="AG254" i="14"/>
  <c r="BJ339" i="14"/>
  <c r="AG401" i="14"/>
  <c r="AG270" i="14"/>
  <c r="AH249" i="14"/>
  <c r="AK249" i="14" s="1"/>
  <c r="AH330" i="14"/>
  <c r="AK330" i="14" s="1"/>
  <c r="AG322" i="14"/>
  <c r="AL322" i="14" s="1"/>
  <c r="BE277" i="14"/>
  <c r="AG355" i="14"/>
  <c r="BJ214" i="14"/>
  <c r="AN214" i="14"/>
  <c r="AG385" i="14"/>
  <c r="AG257" i="14"/>
  <c r="AN332" i="14"/>
  <c r="AG288" i="14"/>
  <c r="BF220" i="14"/>
  <c r="BE401" i="14"/>
  <c r="AI280" i="14"/>
  <c r="AA280" i="14" s="1"/>
  <c r="AD280" i="14" s="1"/>
  <c r="AN226" i="14"/>
  <c r="AP226" i="14" s="1"/>
  <c r="AN380" i="14"/>
  <c r="AP380" i="14" s="1"/>
  <c r="AG261" i="14"/>
  <c r="AI245" i="14"/>
  <c r="AA245" i="14" s="1"/>
  <c r="AD245" i="14" s="1"/>
  <c r="BE254" i="14"/>
  <c r="BI367" i="14"/>
  <c r="AH220" i="14"/>
  <c r="AK220" i="14" s="1"/>
  <c r="BI314" i="14"/>
  <c r="BJ222" i="14"/>
  <c r="AN253" i="14"/>
  <c r="AI226" i="14"/>
  <c r="AA226" i="14" s="1"/>
  <c r="AD226" i="14" s="1"/>
  <c r="BE253" i="14"/>
  <c r="BI220" i="14"/>
  <c r="AI244" i="14"/>
  <c r="AA244" i="14" s="1"/>
  <c r="AD244" i="14" s="1"/>
  <c r="BE271" i="14"/>
  <c r="BE258" i="14"/>
  <c r="BI387" i="14"/>
  <c r="BJ347" i="14"/>
  <c r="BI401" i="14"/>
  <c r="BK401" i="14" s="1"/>
  <c r="AI339" i="14"/>
  <c r="AA339" i="14" s="1"/>
  <c r="AD339" i="14" s="1"/>
  <c r="AH406" i="14"/>
  <c r="AK406" i="14" s="1"/>
  <c r="AI347" i="14"/>
  <c r="AA347" i="14" s="1"/>
  <c r="AD347" i="14" s="1"/>
  <c r="BJ215" i="14"/>
  <c r="BF321" i="14"/>
  <c r="BE312" i="14"/>
  <c r="BF317" i="14"/>
  <c r="BF392" i="14"/>
  <c r="BF327" i="14"/>
  <c r="BF227" i="14"/>
  <c r="BF256" i="14"/>
  <c r="BF348" i="14"/>
  <c r="BI263" i="14"/>
  <c r="BF413" i="14"/>
  <c r="BF263" i="14"/>
  <c r="AH236" i="14"/>
  <c r="BI235" i="14"/>
  <c r="BI246" i="14"/>
  <c r="BK246" i="14" s="1"/>
  <c r="BI310" i="14"/>
  <c r="BF266" i="14"/>
  <c r="BF305" i="14"/>
  <c r="AH355" i="14"/>
  <c r="AK355" i="14" s="1"/>
  <c r="BI376" i="14"/>
  <c r="BI293" i="14"/>
  <c r="AI278" i="14"/>
  <c r="AA278" i="14" s="1"/>
  <c r="AD278" i="14" s="1"/>
  <c r="BJ341" i="14"/>
  <c r="BI366" i="14"/>
  <c r="AH409" i="14"/>
  <c r="BJ274" i="14"/>
  <c r="BI355" i="14"/>
  <c r="BK355" i="14" s="1"/>
  <c r="AH246" i="14"/>
  <c r="AH288" i="14"/>
  <c r="BI236" i="14"/>
  <c r="BK236" i="14" s="1"/>
  <c r="AH293" i="14"/>
  <c r="AH376" i="14"/>
  <c r="AH393" i="14"/>
  <c r="AK393" i="14" s="1"/>
  <c r="AH366" i="14"/>
  <c r="AK366" i="14" s="1"/>
  <c r="BF383" i="14"/>
  <c r="AH264" i="14"/>
  <c r="AH310" i="14"/>
  <c r="BI409" i="14"/>
  <c r="AH235" i="14"/>
  <c r="BI241" i="14"/>
  <c r="BK241" i="14" s="1"/>
  <c r="BF404" i="14"/>
  <c r="AH275" i="14"/>
  <c r="AH320" i="14"/>
  <c r="AK320" i="14" s="1"/>
  <c r="AH241" i="14"/>
  <c r="AK241" i="14" s="1"/>
  <c r="AH263" i="14"/>
  <c r="AK263" i="14" s="1"/>
  <c r="BF366" i="14"/>
  <c r="BI320" i="14"/>
  <c r="BK320" i="14" s="1"/>
  <c r="BI288" i="14"/>
  <c r="BK288" i="14" s="1"/>
  <c r="BJ247" i="14"/>
  <c r="BI275" i="14"/>
  <c r="AG318" i="14"/>
  <c r="AL318" i="14" s="1"/>
  <c r="BF282" i="14"/>
  <c r="BF287" i="14"/>
  <c r="BF322" i="14"/>
  <c r="BF353" i="14"/>
  <c r="BF335" i="14"/>
  <c r="AH356" i="14"/>
  <c r="AK356" i="14" s="1"/>
  <c r="BF248" i="14"/>
  <c r="BF391" i="14"/>
  <c r="BF252" i="14"/>
  <c r="BF325" i="14"/>
  <c r="BI245" i="14"/>
  <c r="BI403" i="14"/>
  <c r="AH276" i="14"/>
  <c r="AH343" i="14"/>
  <c r="AK343" i="14" s="1"/>
  <c r="BI256" i="14"/>
  <c r="BI302" i="14"/>
  <c r="BK302" i="14" s="1"/>
  <c r="AH342" i="14"/>
  <c r="AH359" i="14"/>
  <c r="AH352" i="14"/>
  <c r="AK352" i="14" s="1"/>
  <c r="AH245" i="14"/>
  <c r="BI352" i="14"/>
  <c r="BF278" i="14"/>
  <c r="AH302" i="14"/>
  <c r="AH294" i="14"/>
  <c r="AK294" i="14" s="1"/>
  <c r="AH322" i="14"/>
  <c r="BI361" i="14"/>
  <c r="BK361" i="14" s="1"/>
  <c r="BF380" i="14"/>
  <c r="BI259" i="14"/>
  <c r="AH403" i="14"/>
  <c r="BI276" i="14"/>
  <c r="BI294" i="14"/>
  <c r="BI359" i="14"/>
  <c r="AH256" i="14"/>
  <c r="AH361" i="14"/>
  <c r="AK361" i="14" s="1"/>
  <c r="BI342" i="14"/>
  <c r="BK342" i="14" s="1"/>
  <c r="BI322" i="14"/>
  <c r="BK322" i="14" s="1"/>
  <c r="BF362" i="14"/>
  <c r="AN245" i="14"/>
  <c r="AP245" i="14" s="1"/>
  <c r="BI395" i="14"/>
  <c r="BK395" i="14" s="1"/>
  <c r="BI271" i="14"/>
  <c r="BK271" i="14" s="1"/>
  <c r="BI326" i="14"/>
  <c r="BI239" i="14"/>
  <c r="BI324" i="14"/>
  <c r="BK324" i="14" s="1"/>
  <c r="BJ387" i="14"/>
  <c r="AI367" i="14"/>
  <c r="AA367" i="14" s="1"/>
  <c r="AD367" i="14" s="1"/>
  <c r="BF228" i="14"/>
  <c r="BJ389" i="14"/>
  <c r="BJ310" i="14"/>
  <c r="BJ367" i="14"/>
  <c r="AH277" i="14"/>
  <c r="AI312" i="14"/>
  <c r="AA312" i="14" s="1"/>
  <c r="AD312" i="14" s="1"/>
  <c r="AH239" i="14"/>
  <c r="AK239" i="14" s="1"/>
  <c r="BJ312" i="14"/>
  <c r="AH327" i="14"/>
  <c r="AK327" i="14" s="1"/>
  <c r="AH395" i="14"/>
  <c r="AK395" i="14" s="1"/>
  <c r="BI350" i="14"/>
  <c r="AH301" i="14"/>
  <c r="AG343" i="14"/>
  <c r="AL343" i="14" s="1"/>
  <c r="AH387" i="14"/>
  <c r="AH297" i="14"/>
  <c r="AK297" i="14" s="1"/>
  <c r="BI357" i="14"/>
  <c r="AH350" i="14"/>
  <c r="AK350" i="14" s="1"/>
  <c r="AI362" i="14"/>
  <c r="AA362" i="14" s="1"/>
  <c r="BI319" i="14"/>
  <c r="BI301" i="14"/>
  <c r="BF328" i="14"/>
  <c r="AH324" i="14"/>
  <c r="AK324" i="14" s="1"/>
  <c r="AG335" i="14"/>
  <c r="AL335" i="14" s="1"/>
  <c r="BI297" i="14"/>
  <c r="BI277" i="14"/>
  <c r="BK277" i="14" s="1"/>
  <c r="BJ269" i="14"/>
  <c r="AH326" i="14"/>
  <c r="BI354" i="14"/>
  <c r="BK354" i="14" s="1"/>
  <c r="AI377" i="14"/>
  <c r="AA377" i="14" s="1"/>
  <c r="AD377" i="14" s="1"/>
  <c r="AN377" i="14"/>
  <c r="AP377" i="14" s="1"/>
  <c r="BF219" i="14"/>
  <c r="AN269" i="14"/>
  <c r="AH354" i="14"/>
  <c r="AG407" i="14"/>
  <c r="AH271" i="14"/>
  <c r="AG241" i="14"/>
  <c r="AI310" i="14"/>
  <c r="AA310" i="14" s="1"/>
  <c r="AD310" i="14" s="1"/>
  <c r="AG250" i="14"/>
  <c r="BJ344" i="14"/>
  <c r="AH357" i="14"/>
  <c r="AK357" i="14" s="1"/>
  <c r="AI387" i="14"/>
  <c r="AA387" i="14" s="1"/>
  <c r="AD387" i="14" s="1"/>
  <c r="AH319" i="14"/>
  <c r="AN367" i="14"/>
  <c r="AP367" i="14" s="1"/>
  <c r="BF365" i="14"/>
  <c r="BF397" i="14"/>
  <c r="BF257" i="14"/>
  <c r="BF364" i="14"/>
  <c r="BF361" i="14"/>
  <c r="BF316" i="14"/>
  <c r="BF231" i="14"/>
  <c r="AH223" i="14"/>
  <c r="AK223" i="14" s="1"/>
  <c r="BJ233" i="14"/>
  <c r="AN341" i="14"/>
  <c r="AP341" i="14" s="1"/>
  <c r="AG395" i="14"/>
  <c r="BJ308" i="14"/>
  <c r="AG388" i="14"/>
  <c r="BJ278" i="14"/>
  <c r="AI308" i="14"/>
  <c r="AA308" i="14" s="1"/>
  <c r="AD308" i="14" s="1"/>
  <c r="BJ313" i="14"/>
  <c r="AH309" i="14"/>
  <c r="AK309" i="14" s="1"/>
  <c r="BJ394" i="14"/>
  <c r="AG309" i="14"/>
  <c r="AI394" i="14"/>
  <c r="AA394" i="14" s="1"/>
  <c r="AD394" i="14" s="1"/>
  <c r="AN308" i="14"/>
  <c r="AP308" i="14" s="1"/>
  <c r="AN278" i="14"/>
  <c r="AP278" i="14" s="1"/>
  <c r="BI223" i="14"/>
  <c r="AI341" i="14"/>
  <c r="AA341" i="14" s="1"/>
  <c r="AD341" i="14" s="1"/>
  <c r="BJ301" i="14"/>
  <c r="AN233" i="14"/>
  <c r="AP233" i="14" s="1"/>
  <c r="AG346" i="14"/>
  <c r="BJ240" i="14"/>
  <c r="AG391" i="14"/>
  <c r="AN240" i="14"/>
  <c r="AI313" i="14"/>
  <c r="AA313" i="14" s="1"/>
  <c r="AD313" i="14" s="1"/>
  <c r="AG246" i="14"/>
  <c r="AG303" i="14"/>
  <c r="BI318" i="14"/>
  <c r="BK318" i="14" s="1"/>
  <c r="AI301" i="14"/>
  <c r="AA301" i="14" s="1"/>
  <c r="AD301" i="14" s="1"/>
  <c r="AI233" i="14"/>
  <c r="AA233" i="14" s="1"/>
  <c r="AD233" i="14" s="1"/>
  <c r="BI253" i="14"/>
  <c r="BI283" i="14"/>
  <c r="BK283" i="14" s="1"/>
  <c r="AH247" i="14"/>
  <c r="AH337" i="14"/>
  <c r="BJ382" i="14"/>
  <c r="BI386" i="14"/>
  <c r="AI263" i="14"/>
  <c r="AA263" i="14" s="1"/>
  <c r="AD263" i="14" s="1"/>
  <c r="BI290" i="14"/>
  <c r="AH260" i="14"/>
  <c r="AH274" i="14"/>
  <c r="BJ297" i="14"/>
  <c r="BJ365" i="14"/>
  <c r="BI270" i="14"/>
  <c r="BK270" i="14" s="1"/>
  <c r="BI337" i="14"/>
  <c r="AN349" i="14"/>
  <c r="AP349" i="14" s="1"/>
  <c r="BI279" i="14"/>
  <c r="BK279" i="14" s="1"/>
  <c r="AH268" i="14"/>
  <c r="AH317" i="14"/>
  <c r="AK317" i="14" s="1"/>
  <c r="BI247" i="14"/>
  <c r="BI368" i="14"/>
  <c r="BK368" i="14" s="1"/>
  <c r="BJ258" i="14"/>
  <c r="AH372" i="14"/>
  <c r="AK372" i="14" s="1"/>
  <c r="AI258" i="14"/>
  <c r="AA258" i="14" s="1"/>
  <c r="AD258" i="14" s="1"/>
  <c r="AH279" i="14"/>
  <c r="AK279" i="14" s="1"/>
  <c r="BJ263" i="14"/>
  <c r="AN382" i="14"/>
  <c r="AI297" i="14"/>
  <c r="AA297" i="14" s="1"/>
  <c r="AD297" i="14" s="1"/>
  <c r="BI225" i="14"/>
  <c r="BK225" i="14" s="1"/>
  <c r="AG262" i="14"/>
  <c r="AL262" i="14" s="1"/>
  <c r="AN314" i="14"/>
  <c r="AG235" i="14"/>
  <c r="AL235" i="14" s="1"/>
  <c r="AG216" i="14"/>
  <c r="AL216" i="14" s="1"/>
  <c r="BJ314" i="14"/>
  <c r="AN258" i="14"/>
  <c r="AP258" i="14" s="1"/>
  <c r="AG370" i="14"/>
  <c r="AG354" i="14"/>
  <c r="AH270" i="14"/>
  <c r="BI260" i="14"/>
  <c r="AH225" i="14"/>
  <c r="AK225" i="14" s="1"/>
  <c r="AI408" i="14"/>
  <c r="AA408" i="14" s="1"/>
  <c r="AD408" i="14" s="1"/>
  <c r="BI274" i="14"/>
  <c r="BI281" i="14"/>
  <c r="BK281" i="14" s="1"/>
  <c r="AI266" i="14"/>
  <c r="AA266" i="14" s="1"/>
  <c r="AD266" i="14" s="1"/>
  <c r="AH290" i="14"/>
  <c r="AK290" i="14" s="1"/>
  <c r="BI317" i="14"/>
  <c r="AH281" i="14"/>
  <c r="BJ349" i="14"/>
  <c r="AI349" i="14"/>
  <c r="AA349" i="14" s="1"/>
  <c r="AD349" i="14" s="1"/>
  <c r="AN365" i="14"/>
  <c r="BI268" i="14"/>
  <c r="AH368" i="14"/>
  <c r="BJ266" i="14"/>
  <c r="BI269" i="14"/>
  <c r="BI372" i="14"/>
  <c r="BJ408" i="14"/>
  <c r="AH232" i="14"/>
  <c r="AK232" i="14" s="1"/>
  <c r="AH344" i="14"/>
  <c r="AK344" i="14" s="1"/>
  <c r="AH397" i="14"/>
  <c r="BJ340" i="14"/>
  <c r="AH400" i="14"/>
  <c r="BI335" i="14"/>
  <c r="BK335" i="14" s="1"/>
  <c r="BI232" i="14"/>
  <c r="BK232" i="14" s="1"/>
  <c r="BI278" i="14"/>
  <c r="BI254" i="14"/>
  <c r="BK254" i="14" s="1"/>
  <c r="AH285" i="14"/>
  <c r="AH284" i="14"/>
  <c r="AK284" i="14" s="1"/>
  <c r="AH278" i="14"/>
  <c r="AK278" i="14" s="1"/>
  <c r="BI346" i="14"/>
  <c r="BK346" i="14" s="1"/>
  <c r="AH298" i="14"/>
  <c r="BI298" i="14"/>
  <c r="BI284" i="14"/>
  <c r="BK284" i="14" s="1"/>
  <c r="BI397" i="14"/>
  <c r="BK397" i="14" s="1"/>
  <c r="AH280" i="14"/>
  <c r="AK280" i="14" s="1"/>
  <c r="AH346" i="14"/>
  <c r="AK346" i="14" s="1"/>
  <c r="BI344" i="14"/>
  <c r="BI230" i="14"/>
  <c r="AN340" i="14"/>
  <c r="BI285" i="14"/>
  <c r="AH230" i="14"/>
  <c r="AK230" i="14" s="1"/>
  <c r="BI400" i="14"/>
  <c r="AH254" i="14"/>
  <c r="AK254" i="14" s="1"/>
  <c r="AH215" i="14"/>
  <c r="AK215" i="14" s="1"/>
  <c r="AI360" i="14"/>
  <c r="AA360" i="14" s="1"/>
  <c r="AD360" i="14" s="1"/>
  <c r="BI280" i="14"/>
  <c r="AH335" i="14"/>
  <c r="AK335" i="14" s="1"/>
  <c r="BI345" i="14"/>
  <c r="BK345" i="14" s="1"/>
  <c r="BI373" i="14"/>
  <c r="BJ328" i="14"/>
  <c r="AH353" i="14"/>
  <c r="AH373" i="14"/>
  <c r="AK373" i="14" s="1"/>
  <c r="AI328" i="14"/>
  <c r="AA328" i="14" s="1"/>
  <c r="AD328" i="14" s="1"/>
  <c r="AH313" i="14"/>
  <c r="BJ219" i="14"/>
  <c r="AN300" i="14"/>
  <c r="AP300" i="14" s="1"/>
  <c r="AI300" i="14"/>
  <c r="AA300" i="14" s="1"/>
  <c r="AD300" i="14" s="1"/>
  <c r="AG255" i="14"/>
  <c r="AL255" i="14" s="1"/>
  <c r="AH296" i="14"/>
  <c r="AK296" i="14" s="1"/>
  <c r="AH333" i="14"/>
  <c r="AK333" i="14" s="1"/>
  <c r="AI239" i="14"/>
  <c r="AA239" i="14" s="1"/>
  <c r="AD239" i="14" s="1"/>
  <c r="AI224" i="14"/>
  <c r="AA224" i="14" s="1"/>
  <c r="AD224" i="14" s="1"/>
  <c r="BJ363" i="14"/>
  <c r="AN404" i="14"/>
  <c r="AG228" i="14"/>
  <c r="AL228" i="14" s="1"/>
  <c r="BI343" i="14"/>
  <c r="AH228" i="14"/>
  <c r="BI356" i="14"/>
  <c r="AG242" i="14"/>
  <c r="AL242" i="14" s="1"/>
  <c r="AH339" i="14"/>
  <c r="BI388" i="14"/>
  <c r="BK388" i="14" s="1"/>
  <c r="BI306" i="14"/>
  <c r="AG225" i="14"/>
  <c r="AH407" i="14"/>
  <c r="AH388" i="14"/>
  <c r="AK388" i="14" s="1"/>
  <c r="AI350" i="14"/>
  <c r="AA350" i="14" s="1"/>
  <c r="AD350" i="14" s="1"/>
  <c r="BI267" i="14"/>
  <c r="BK267" i="14" s="1"/>
  <c r="AH242" i="14"/>
  <c r="AI256" i="14"/>
  <c r="AA256" i="14" s="1"/>
  <c r="AD256" i="14" s="1"/>
  <c r="BJ396" i="14"/>
  <c r="BJ406" i="14"/>
  <c r="AH214" i="14"/>
  <c r="AK214" i="14" s="1"/>
  <c r="BJ229" i="14"/>
  <c r="BI334" i="14"/>
  <c r="AH308" i="14"/>
  <c r="AK308" i="14" s="1"/>
  <c r="AH266" i="14"/>
  <c r="AH408" i="14"/>
  <c r="BI339" i="14"/>
  <c r="BI234" i="14"/>
  <c r="AG236" i="14"/>
  <c r="AL236" i="14" s="1"/>
  <c r="BI308" i="14"/>
  <c r="AN374" i="14"/>
  <c r="BJ374" i="14"/>
  <c r="BJ360" i="14"/>
  <c r="BI242" i="14"/>
  <c r="BK242" i="14" s="1"/>
  <c r="BJ393" i="14"/>
  <c r="BJ256" i="14"/>
  <c r="AH306" i="14"/>
  <c r="BJ259" i="14"/>
  <c r="AG249" i="14"/>
  <c r="AL249" i="14" s="1"/>
  <c r="BI266" i="14"/>
  <c r="AH300" i="14"/>
  <c r="BI408" i="14"/>
  <c r="AI359" i="14"/>
  <c r="AA359" i="14" s="1"/>
  <c r="AD359" i="14" s="1"/>
  <c r="AI393" i="14"/>
  <c r="AA393" i="14" s="1"/>
  <c r="AN229" i="14"/>
  <c r="AN276" i="14"/>
  <c r="BJ276" i="14"/>
  <c r="AH334" i="14"/>
  <c r="BJ359" i="14"/>
  <c r="AN396" i="14"/>
  <c r="BJ350" i="14"/>
  <c r="BI407" i="14"/>
  <c r="BK407" i="14" s="1"/>
  <c r="AH234" i="14"/>
  <c r="AK234" i="14" s="1"/>
  <c r="BI300" i="14"/>
  <c r="AN406" i="14"/>
  <c r="BJ377" i="14"/>
  <c r="AN389" i="14"/>
  <c r="AG392" i="14"/>
  <c r="AL392" i="14" s="1"/>
  <c r="BJ392" i="14"/>
  <c r="AN311" i="14"/>
  <c r="AN363" i="14"/>
  <c r="AI363" i="14"/>
  <c r="AA363" i="14" s="1"/>
  <c r="AD363" i="14" s="1"/>
  <c r="AG366" i="14"/>
  <c r="AL366" i="14" s="1"/>
  <c r="BJ366" i="14"/>
  <c r="AI329" i="14"/>
  <c r="AA329" i="14" s="1"/>
  <c r="AD329" i="14" s="1"/>
  <c r="AN344" i="14"/>
  <c r="AN217" i="14"/>
  <c r="AP217" i="14" s="1"/>
  <c r="AI217" i="14"/>
  <c r="AA217" i="14" s="1"/>
  <c r="AD217" i="14" s="1"/>
  <c r="AI215" i="14"/>
  <c r="AA215" i="14" s="1"/>
  <c r="AN215" i="14"/>
  <c r="AN409" i="14"/>
  <c r="AI409" i="14"/>
  <c r="AA409" i="14" s="1"/>
  <c r="AD409" i="14" s="1"/>
  <c r="AG325" i="14"/>
  <c r="AL325" i="14" s="1"/>
  <c r="AH323" i="14"/>
  <c r="AK323" i="14" s="1"/>
  <c r="AH315" i="14"/>
  <c r="AK315" i="14" s="1"/>
  <c r="BJ286" i="14"/>
  <c r="AG286" i="14"/>
  <c r="AL286" i="14" s="1"/>
  <c r="AN356" i="14"/>
  <c r="AN272" i="14"/>
  <c r="AI272" i="14"/>
  <c r="AA272" i="14" s="1"/>
  <c r="AD272" i="14" s="1"/>
  <c r="BJ334" i="14"/>
  <c r="AG334" i="14"/>
  <c r="AL334" i="14" s="1"/>
  <c r="AN330" i="14"/>
  <c r="AI330" i="14"/>
  <c r="AA330" i="14" s="1"/>
  <c r="AI275" i="14"/>
  <c r="AA275" i="14" s="1"/>
  <c r="AD275" i="14" s="1"/>
  <c r="BJ287" i="14"/>
  <c r="AG287" i="14"/>
  <c r="AL287" i="14" s="1"/>
  <c r="AI357" i="14"/>
  <c r="AA357" i="14" s="1"/>
  <c r="AD357" i="14" s="1"/>
  <c r="AN357" i="14"/>
  <c r="BJ369" i="14"/>
  <c r="AG369" i="14"/>
  <c r="AL369" i="14" s="1"/>
  <c r="AN274" i="14"/>
  <c r="AP274" i="14" s="1"/>
  <c r="AI274" i="14"/>
  <c r="AA274" i="14" s="1"/>
  <c r="AD274" i="14" s="1"/>
  <c r="BI329" i="14"/>
  <c r="AH329" i="14"/>
  <c r="BI295" i="14"/>
  <c r="BI218" i="14"/>
  <c r="BK218" i="14" s="1"/>
  <c r="AH262" i="14"/>
  <c r="AH385" i="14"/>
  <c r="AK385" i="14" s="1"/>
  <c r="AH396" i="14"/>
  <c r="AH332" i="14"/>
  <c r="AH218" i="14"/>
  <c r="BI385" i="14"/>
  <c r="BK385" i="14" s="1"/>
  <c r="BI309" i="14"/>
  <c r="BK309" i="14" s="1"/>
  <c r="BI377" i="14"/>
  <c r="AH318" i="14"/>
  <c r="AH402" i="14"/>
  <c r="AK402" i="14" s="1"/>
  <c r="AH311" i="14"/>
  <c r="AH336" i="14"/>
  <c r="AH384" i="14"/>
  <c r="BI396" i="14"/>
  <c r="BI311" i="14"/>
  <c r="BI402" i="14"/>
  <c r="BK402" i="14" s="1"/>
  <c r="AH398" i="14"/>
  <c r="AK398" i="14" s="1"/>
  <c r="BI398" i="14"/>
  <c r="BK398" i="14" s="1"/>
  <c r="AH377" i="14"/>
  <c r="AH295" i="14"/>
  <c r="BI332" i="14"/>
  <c r="BI262" i="14"/>
  <c r="BK262" i="14" s="1"/>
  <c r="BI336" i="14"/>
  <c r="BK336" i="14" s="1"/>
  <c r="BI384" i="14"/>
  <c r="BK384" i="14" s="1"/>
  <c r="AH252" i="14"/>
  <c r="AK252" i="14" s="1"/>
  <c r="AH345" i="14"/>
  <c r="AK345" i="14" s="1"/>
  <c r="AH283" i="14"/>
  <c r="BI273" i="14"/>
  <c r="BK273" i="14" s="1"/>
  <c r="BI333" i="14"/>
  <c r="BK333" i="14" s="1"/>
  <c r="BI252" i="14"/>
  <c r="BK252" i="14" s="1"/>
  <c r="AH347" i="14"/>
  <c r="BI347" i="14"/>
  <c r="BI375" i="14"/>
  <c r="BI292" i="14"/>
  <c r="BI251" i="14"/>
  <c r="AH348" i="14"/>
  <c r="BI219" i="14"/>
  <c r="BI238" i="14"/>
  <c r="BI348" i="14"/>
  <c r="AH222" i="14"/>
  <c r="BI380" i="14"/>
  <c r="BI257" i="14"/>
  <c r="BK257" i="14" s="1"/>
  <c r="BI244" i="14"/>
  <c r="AH282" i="14"/>
  <c r="BI353" i="14"/>
  <c r="BI258" i="14"/>
  <c r="AH258" i="14"/>
  <c r="AK258" i="14" s="1"/>
  <c r="AH219" i="14"/>
  <c r="BI228" i="14"/>
  <c r="BK228" i="14" s="1"/>
  <c r="BI282" i="14"/>
  <c r="BI222" i="14"/>
  <c r="AH380" i="14"/>
  <c r="AH244" i="14"/>
  <c r="AK244" i="14" s="1"/>
  <c r="BI255" i="14"/>
  <c r="BK255" i="14" s="1"/>
  <c r="AH390" i="14"/>
  <c r="AH255" i="14"/>
  <c r="AH375" i="14"/>
  <c r="AK375" i="14" s="1"/>
  <c r="AH405" i="14"/>
  <c r="AK405" i="14" s="1"/>
  <c r="BI221" i="14"/>
  <c r="AH286" i="14"/>
  <c r="AK286" i="14" s="1"/>
  <c r="BI328" i="14"/>
  <c r="AH328" i="14"/>
  <c r="AK328" i="14" s="1"/>
  <c r="BI272" i="14"/>
  <c r="BI381" i="14"/>
  <c r="BK381" i="14" s="1"/>
  <c r="BI287" i="14"/>
  <c r="AH238" i="14"/>
  <c r="AK238" i="14" s="1"/>
  <c r="BI362" i="14"/>
  <c r="BI313" i="14"/>
  <c r="BI383" i="14"/>
  <c r="BK383" i="14" s="1"/>
  <c r="AH383" i="14"/>
  <c r="AK383" i="14" s="1"/>
  <c r="AH213" i="14"/>
  <c r="AK213" i="14" s="1"/>
  <c r="AH363" i="14"/>
  <c r="AK363" i="14" s="1"/>
  <c r="BI243" i="14"/>
  <c r="AH243" i="14"/>
  <c r="BI363" i="14"/>
  <c r="AH273" i="14"/>
  <c r="BI323" i="14"/>
  <c r="BI233" i="14"/>
  <c r="AH233" i="14"/>
  <c r="AK233" i="14" s="1"/>
  <c r="BI213" i="14"/>
  <c r="AH248" i="14"/>
  <c r="AK248" i="14" s="1"/>
  <c r="BI248" i="14"/>
  <c r="BI413" i="14"/>
  <c r="BK413" i="14" s="1"/>
  <c r="AH413" i="14"/>
  <c r="AK413" i="14" s="1"/>
  <c r="J167" i="7"/>
  <c r="J160" i="7"/>
  <c r="J154" i="7"/>
  <c r="J141" i="7"/>
  <c r="J195" i="7"/>
  <c r="J179" i="7"/>
  <c r="J152" i="7"/>
  <c r="J153" i="7"/>
  <c r="J125" i="7"/>
  <c r="J188" i="7"/>
  <c r="J170" i="7"/>
  <c r="J201" i="7"/>
  <c r="J124" i="7"/>
  <c r="J202" i="7"/>
  <c r="J199" i="7"/>
  <c r="J197" i="7"/>
  <c r="J140" i="7"/>
  <c r="J200" i="7"/>
  <c r="J157" i="7"/>
  <c r="J135" i="7"/>
  <c r="J155" i="7"/>
  <c r="J192" i="7"/>
  <c r="J136" i="7"/>
  <c r="J171" i="7"/>
  <c r="J165" i="7"/>
  <c r="J142" i="7"/>
  <c r="J134" i="7"/>
  <c r="J151" i="7"/>
  <c r="J163" i="7"/>
  <c r="J128" i="7"/>
  <c r="J185" i="7"/>
  <c r="J164" i="7"/>
  <c r="J176" i="7"/>
  <c r="J190" i="7"/>
  <c r="J150" i="7"/>
  <c r="J129" i="7"/>
  <c r="J189" i="7"/>
  <c r="J166" i="7"/>
  <c r="J175" i="7"/>
  <c r="J132" i="7"/>
  <c r="J168" i="7"/>
  <c r="J180" i="7"/>
  <c r="J161" i="7"/>
  <c r="J193" i="7"/>
  <c r="J159" i="7"/>
  <c r="J194" i="7"/>
  <c r="J169" i="7"/>
  <c r="J183" i="7"/>
  <c r="J145" i="7"/>
  <c r="J143" i="7"/>
  <c r="J146" i="7"/>
  <c r="J178" i="7"/>
  <c r="J191" i="7"/>
  <c r="J137" i="7"/>
  <c r="J147" i="7"/>
  <c r="J174" i="7"/>
  <c r="J173" i="7"/>
  <c r="J196" i="7"/>
  <c r="J181" i="7"/>
  <c r="J186" i="7"/>
  <c r="J139" i="7"/>
  <c r="J130" i="7"/>
  <c r="J158" i="7"/>
  <c r="J148" i="7"/>
  <c r="J126" i="7"/>
  <c r="J156" i="7"/>
  <c r="J184" i="7"/>
  <c r="J182" i="7"/>
  <c r="J162" i="7"/>
  <c r="J133" i="7"/>
  <c r="J138" i="7"/>
  <c r="J177" i="7"/>
  <c r="J149" i="7"/>
  <c r="J187" i="7"/>
  <c r="J127" i="7"/>
  <c r="J172" i="7"/>
  <c r="J144" i="7"/>
  <c r="J198" i="7"/>
  <c r="J131" i="7"/>
  <c r="L378" i="14" a="1"/>
  <c r="L311" i="14" a="1"/>
  <c r="L280" i="14" a="1"/>
  <c r="L235" i="14" a="1"/>
  <c r="L351" i="14" a="1"/>
  <c r="L214" i="14" a="1"/>
  <c r="L292" i="14" a="1"/>
  <c r="L371" i="14" a="1"/>
  <c r="L328" i="14" a="1"/>
  <c r="L251" i="14" a="1"/>
  <c r="L260" i="14" a="1"/>
  <c r="L336" i="14" a="1"/>
  <c r="L300" i="14" a="1"/>
  <c r="L312" i="14" a="1"/>
  <c r="L405" i="14" a="1"/>
  <c r="L361" i="14" a="1"/>
  <c r="L403" i="14" a="1"/>
  <c r="L352" i="14" a="1"/>
  <c r="L324" i="14" a="1"/>
  <c r="L276" i="14" a="1"/>
  <c r="L221" i="14" a="1"/>
  <c r="L409" i="14" a="1"/>
  <c r="L332" i="14" a="1"/>
  <c r="L404" i="14" a="1"/>
  <c r="L386" i="14" a="1"/>
  <c r="L315" i="14" a="1"/>
  <c r="L341" i="14" a="1"/>
  <c r="L303" i="14" a="1"/>
  <c r="L350" i="14" a="1"/>
  <c r="L249" i="14" a="1"/>
  <c r="L327" i="14" a="1"/>
  <c r="L287" i="14" a="1"/>
  <c r="L241" i="14" a="1"/>
  <c r="L370" i="14" a="1"/>
  <c r="L306" i="14" a="1"/>
  <c r="L308" i="14" a="1"/>
  <c r="L268" i="14" a="1"/>
  <c r="L227" i="14" a="1"/>
  <c r="L390" i="14" a="1"/>
  <c r="L385" i="14" a="1"/>
  <c r="L219" i="14" a="1"/>
  <c r="L244" i="14" a="1"/>
  <c r="L337" i="14" a="1"/>
  <c r="L331" i="14" a="1"/>
  <c r="L340" i="14" a="1"/>
  <c r="L343" i="14" a="1"/>
  <c r="L364" i="14" a="1"/>
  <c r="L345" i="14" a="1"/>
  <c r="L298" i="14" a="1"/>
  <c r="L289" i="14" a="1"/>
  <c r="L259" i="14" a="1"/>
  <c r="L356" i="14" a="1"/>
  <c r="L388" i="14" a="1"/>
  <c r="L215" i="14" a="1"/>
  <c r="L346" i="14" a="1"/>
  <c r="L398" i="14" a="1"/>
  <c r="L225" i="14" a="1"/>
  <c r="L223" i="14" a="1"/>
  <c r="L401" i="14" a="1"/>
  <c r="L301" i="14" a="1"/>
  <c r="L246" i="14" a="1"/>
  <c r="L282" i="14" a="1"/>
  <c r="L387" i="14" a="1"/>
  <c r="L237" i="14" a="1"/>
  <c r="L245" i="14" a="1"/>
  <c r="L382" i="14" a="1"/>
  <c r="L344" i="14" a="1"/>
  <c r="L243" i="14" a="1"/>
  <c r="L262" i="14" a="1"/>
  <c r="L239" i="14" a="1"/>
  <c r="L363" i="14" a="1"/>
  <c r="L396" i="14" a="1"/>
  <c r="L278" i="14" a="1"/>
  <c r="L265" i="14" a="1"/>
  <c r="L348" i="14" a="1"/>
  <c r="L400" i="14" a="1"/>
  <c r="L413" i="14" a="1"/>
  <c r="L228" i="14" a="1"/>
  <c r="L253" i="14" a="1"/>
  <c r="L310" i="14" a="1"/>
  <c r="L226" i="14" a="1"/>
  <c r="L304" i="14" a="1"/>
  <c r="L283" i="14" a="1"/>
  <c r="L367" i="14" a="1"/>
  <c r="L231" i="14" a="1"/>
  <c r="L220" i="14" a="1"/>
  <c r="L376" i="14" a="1"/>
  <c r="L305" i="14" a="1"/>
  <c r="L408" i="14" a="1"/>
  <c r="L291" i="14" a="1"/>
  <c r="L267" i="14" a="1"/>
  <c r="L230" i="14" a="1"/>
  <c r="L216" i="14" a="1"/>
  <c r="L326" i="14" a="1"/>
  <c r="L342" i="14" a="1"/>
  <c r="L322" i="14" a="1"/>
  <c r="L368" i="14" a="1"/>
  <c r="L389" i="14" a="1"/>
  <c r="L229" i="14" a="1"/>
  <c r="L250" i="14" a="1"/>
  <c r="L273" i="14" a="1"/>
  <c r="L374" i="14" a="1"/>
  <c r="L296" i="14" a="1"/>
  <c r="L242" i="14" a="1"/>
  <c r="L330" i="14" a="1"/>
  <c r="L266" i="14" a="1"/>
  <c r="L307" i="14" a="1"/>
  <c r="L297" i="14" a="1"/>
  <c r="L391" i="14" a="1"/>
  <c r="L335" i="14" a="1"/>
  <c r="L290" i="14" a="1"/>
  <c r="L233" i="14" a="1"/>
  <c r="L274" i="14" a="1"/>
  <c r="L217" i="14" a="1"/>
  <c r="L410" i="14" a="1"/>
  <c r="L236" i="14" a="1"/>
  <c r="L393" i="14" a="1"/>
  <c r="L384" i="14" a="1"/>
  <c r="L286" i="14" a="1"/>
  <c r="L383" i="14" a="1"/>
  <c r="L218" i="14" a="1"/>
  <c r="L353" i="14" a="1"/>
  <c r="L248" i="14" a="1"/>
  <c r="L234" i="14" a="1"/>
  <c r="L381" i="14" a="1"/>
  <c r="L359" i="14" a="1"/>
  <c r="L247" i="14" a="1"/>
  <c r="L285" i="14" a="1"/>
  <c r="L366" i="14" a="1"/>
  <c r="L369" i="14" a="1"/>
  <c r="L222" i="14" a="1"/>
  <c r="L302" i="14" a="1"/>
  <c r="L411" i="14" a="1"/>
  <c r="L357" i="14" a="1"/>
  <c r="L392" i="14" a="1"/>
  <c r="L362" i="14" a="1"/>
  <c r="L373" i="14" a="1"/>
  <c r="L402" i="14" a="1"/>
  <c r="L270" i="14" a="1"/>
  <c r="L224" i="14" a="1"/>
  <c r="L299" i="14" a="1"/>
  <c r="L294" i="14" a="1"/>
  <c r="L325" i="14" a="1"/>
  <c r="L288" i="14" a="1"/>
  <c r="L355" i="14" a="1"/>
  <c r="L379" i="14" a="1"/>
  <c r="L256" i="14" a="1"/>
  <c r="L261" i="14" a="1"/>
  <c r="L399" i="14" a="1"/>
  <c r="L406" i="14" a="1"/>
  <c r="L358" i="14" a="1"/>
  <c r="L319" i="14" a="1"/>
  <c r="L313" i="14" a="1"/>
  <c r="L318" i="14" a="1"/>
  <c r="L252" i="14" a="1"/>
  <c r="L320" i="14" a="1"/>
  <c r="L375" i="14" a="1"/>
  <c r="L395" i="14" a="1"/>
  <c r="L271" i="14" a="1"/>
  <c r="L377" i="14" a="1"/>
  <c r="L314" i="14" a="1"/>
  <c r="L354" i="14" a="1"/>
  <c r="L372" i="14" a="1"/>
  <c r="L360" i="14" a="1"/>
  <c r="L257" i="14" a="1"/>
  <c r="L272" i="14" a="1"/>
  <c r="L232" i="14" a="1"/>
  <c r="L339" i="14" a="1"/>
  <c r="L338" i="14" a="1"/>
  <c r="L394" i="14" a="1"/>
  <c r="L213" i="14" a="1"/>
  <c r="L284" i="14" a="1"/>
  <c r="L412" i="14" a="1"/>
  <c r="L279" i="14" a="1"/>
  <c r="L277" i="14" a="1"/>
  <c r="L365" i="14" a="1"/>
  <c r="L295" i="14" a="1"/>
  <c r="L349" i="14" a="1"/>
  <c r="L380" i="14" a="1"/>
  <c r="L281" i="14" a="1"/>
  <c r="L407" i="14" a="1"/>
  <c r="L316" i="14" a="1"/>
  <c r="L323" i="14" a="1"/>
  <c r="L321" i="14" a="1"/>
  <c r="L334" i="14" a="1"/>
  <c r="L347" i="14" a="1"/>
  <c r="L309" i="14" a="1"/>
  <c r="L240" i="14" a="1"/>
  <c r="L238" i="14" a="1"/>
  <c r="L397" i="14" a="1"/>
  <c r="L333" i="14" a="1"/>
  <c r="L258" i="14" a="1"/>
  <c r="L255" i="14" a="1"/>
  <c r="L329" i="14" a="1"/>
  <c r="L275" i="14" a="1"/>
  <c r="L293" i="14" a="1"/>
  <c r="L317" i="14" a="1"/>
  <c r="L254" i="14" a="1"/>
  <c r="L264" i="14" a="1"/>
  <c r="L263" i="14" a="1"/>
  <c r="L269" i="14" a="1"/>
  <c r="L264" i="14" l="1"/>
  <c r="L330" i="14"/>
  <c r="L292" i="14"/>
  <c r="L304" i="14"/>
  <c r="L276" i="14"/>
  <c r="L352" i="14"/>
  <c r="L382" i="14"/>
  <c r="L395" i="14"/>
  <c r="L302" i="14"/>
  <c r="L216" i="14"/>
  <c r="L250" i="14"/>
  <c r="L334" i="14"/>
  <c r="L360" i="14"/>
  <c r="L254" i="14"/>
  <c r="L282" i="14"/>
  <c r="L354" i="14"/>
  <c r="L284" i="14"/>
  <c r="L391" i="14"/>
  <c r="L384" i="14"/>
  <c r="L266" i="14"/>
  <c r="L387" i="14"/>
  <c r="L242" i="14"/>
  <c r="L296" i="14"/>
  <c r="L380" i="14"/>
  <c r="L410" i="14"/>
  <c r="L346" i="14"/>
  <c r="L344" i="14"/>
  <c r="L407" i="14"/>
  <c r="L362" i="14"/>
  <c r="L356" i="14"/>
  <c r="L396" i="14"/>
  <c r="L370" i="14"/>
  <c r="L274" i="14"/>
  <c r="L224" i="14"/>
  <c r="L332" i="14"/>
  <c r="L246" i="14"/>
  <c r="L401" i="14"/>
  <c r="L350" i="14"/>
  <c r="L240" i="14"/>
  <c r="L290" i="14"/>
  <c r="L244" i="14"/>
  <c r="L400" i="14"/>
  <c r="L226" i="14"/>
  <c r="L404" i="14"/>
  <c r="L385" i="14"/>
  <c r="L214" i="14"/>
  <c r="L394" i="14"/>
  <c r="L390" i="14"/>
  <c r="L397" i="14"/>
  <c r="L412" i="14"/>
  <c r="L405" i="14"/>
  <c r="L256" i="14"/>
  <c r="L376" i="14"/>
  <c r="L280" i="14"/>
  <c r="L364" i="14"/>
  <c r="L392" i="14"/>
  <c r="L386" i="14"/>
  <c r="L272" i="14"/>
  <c r="L374" i="14"/>
  <c r="L260" i="14"/>
  <c r="L230" i="14"/>
  <c r="L232" i="14"/>
  <c r="L389" i="14"/>
  <c r="L342" i="14"/>
  <c r="L399" i="14"/>
  <c r="L222" i="14"/>
  <c r="L300" i="14"/>
  <c r="L406" i="14"/>
  <c r="L336" i="14"/>
  <c r="L402" i="14"/>
  <c r="L270" i="14"/>
  <c r="L236" i="14"/>
  <c r="L262" i="14"/>
  <c r="L234" i="14"/>
  <c r="L220" i="14"/>
  <c r="L252" i="14"/>
  <c r="L294" i="14"/>
  <c r="L409" i="14"/>
  <c r="L366" i="14"/>
  <c r="L372" i="14"/>
  <c r="L286" i="14"/>
  <c r="L411" i="14"/>
  <c r="L340" i="14"/>
  <c r="L326" i="14"/>
  <c r="L215" i="14"/>
  <c r="L312" i="14"/>
  <c r="L306" i="14"/>
  <c r="L310" i="14"/>
  <c r="L324" i="14"/>
  <c r="L316" i="14"/>
  <c r="L320" i="14"/>
  <c r="L314" i="14"/>
  <c r="L322" i="14"/>
  <c r="BK235" i="14"/>
  <c r="AN219" i="14"/>
  <c r="AP219" i="14" s="1"/>
  <c r="AI219" i="14"/>
  <c r="AA219" i="14" s="1"/>
  <c r="AD219" i="14" s="1"/>
  <c r="AL248" i="14"/>
  <c r="AP248" i="14" s="1"/>
  <c r="L217" i="14"/>
  <c r="L225" i="14"/>
  <c r="L231" i="14"/>
  <c r="L221" i="14"/>
  <c r="L235" i="14"/>
  <c r="L237" i="14"/>
  <c r="L229" i="14"/>
  <c r="L227" i="14"/>
  <c r="L219" i="14"/>
  <c r="L239" i="14"/>
  <c r="AI248" i="14"/>
  <c r="AA248" i="14" s="1"/>
  <c r="AD248" i="14" s="1"/>
  <c r="L228" i="14"/>
  <c r="L358" i="14"/>
  <c r="L218" i="14"/>
  <c r="L408" i="14"/>
  <c r="L238" i="14"/>
  <c r="L378" i="14"/>
  <c r="L248" i="14"/>
  <c r="L368" i="14"/>
  <c r="L388" i="14"/>
  <c r="L398" i="14"/>
  <c r="BK405" i="14"/>
  <c r="BI371" i="14"/>
  <c r="BK371" i="14" s="1"/>
  <c r="AH371" i="14"/>
  <c r="AJ371" i="14" s="1"/>
  <c r="Z371" i="14" s="1"/>
  <c r="AE371" i="14" s="1"/>
  <c r="BK337" i="14"/>
  <c r="L278" i="14"/>
  <c r="L298" i="14"/>
  <c r="L288" i="14"/>
  <c r="L338" i="14"/>
  <c r="L318" i="14"/>
  <c r="L258" i="14"/>
  <c r="L308" i="14"/>
  <c r="L328" i="14"/>
  <c r="L348" i="14"/>
  <c r="L268" i="14"/>
  <c r="AN247" i="14"/>
  <c r="AP247" i="14" s="1"/>
  <c r="AI247" i="14"/>
  <c r="AA247" i="14" s="1"/>
  <c r="AD247" i="14" s="1"/>
  <c r="AL259" i="14"/>
  <c r="AM289" i="14"/>
  <c r="BK286" i="14"/>
  <c r="AI373" i="14"/>
  <c r="AA373" i="14" s="1"/>
  <c r="AD373" i="14" s="1"/>
  <c r="AM287" i="14"/>
  <c r="AN259" i="14"/>
  <c r="AN373" i="14"/>
  <c r="AP373" i="14" s="1"/>
  <c r="AM221" i="14"/>
  <c r="AI379" i="14"/>
  <c r="AA379" i="14" s="1"/>
  <c r="AD379" i="14" s="1"/>
  <c r="BK343" i="14"/>
  <c r="L245" i="14"/>
  <c r="L241" i="14"/>
  <c r="L247" i="14"/>
  <c r="AM272" i="14"/>
  <c r="AO272" i="14" s="1"/>
  <c r="AJ381" i="14"/>
  <c r="Z381" i="14" s="1"/>
  <c r="AE381" i="14" s="1"/>
  <c r="AL379" i="14"/>
  <c r="AP379" i="14" s="1"/>
  <c r="AM381" i="14"/>
  <c r="AO381" i="14" s="1"/>
  <c r="AK221" i="14"/>
  <c r="AK287" i="14"/>
  <c r="AM362" i="14"/>
  <c r="AO362" i="14" s="1"/>
  <c r="AJ362" i="14"/>
  <c r="Z362" i="14" s="1"/>
  <c r="AE362" i="14" s="1"/>
  <c r="L369" i="14"/>
  <c r="L255" i="14"/>
  <c r="L371" i="14"/>
  <c r="L303" i="14"/>
  <c r="L341" i="14"/>
  <c r="L367" i="14"/>
  <c r="L297" i="14"/>
  <c r="L331" i="14"/>
  <c r="L243" i="14"/>
  <c r="L265" i="14"/>
  <c r="L357" i="14"/>
  <c r="L233" i="14"/>
  <c r="L343" i="14"/>
  <c r="L249" i="14"/>
  <c r="L311" i="14"/>
  <c r="L253" i="14"/>
  <c r="L271" i="14"/>
  <c r="L269" i="14"/>
  <c r="L277" i="14"/>
  <c r="L273" i="14"/>
  <c r="L349" i="14"/>
  <c r="L279" i="14"/>
  <c r="L353" i="14"/>
  <c r="L321" i="14"/>
  <c r="L351" i="14"/>
  <c r="L295" i="14"/>
  <c r="L307" i="14"/>
  <c r="L329" i="14"/>
  <c r="L263" i="14"/>
  <c r="L365" i="14"/>
  <c r="L317" i="14"/>
  <c r="L355" i="14"/>
  <c r="L267" i="14"/>
  <c r="L361" i="14"/>
  <c r="L413" i="14"/>
  <c r="L257" i="14"/>
  <c r="L377" i="14"/>
  <c r="L261" i="14"/>
  <c r="L337" i="14"/>
  <c r="L345" i="14"/>
  <c r="L305" i="14"/>
  <c r="L287" i="14"/>
  <c r="L319" i="14"/>
  <c r="L363" i="14"/>
  <c r="L359" i="14"/>
  <c r="L375" i="14"/>
  <c r="L333" i="14"/>
  <c r="L275" i="14"/>
  <c r="L335" i="14"/>
  <c r="L383" i="14"/>
  <c r="L327" i="14"/>
  <c r="L309" i="14"/>
  <c r="L323" i="14"/>
  <c r="L339" i="14"/>
  <c r="L373" i="14"/>
  <c r="L283" i="14"/>
  <c r="L393" i="14"/>
  <c r="L381" i="14"/>
  <c r="L315" i="14"/>
  <c r="L213" i="14"/>
  <c r="L259" i="14"/>
  <c r="L291" i="14"/>
  <c r="L251" i="14"/>
  <c r="L285" i="14"/>
  <c r="L301" i="14"/>
  <c r="L403" i="14"/>
  <c r="L281" i="14"/>
  <c r="L313" i="14"/>
  <c r="L299" i="14"/>
  <c r="L347" i="14"/>
  <c r="L223" i="14"/>
  <c r="L379" i="14"/>
  <c r="L293" i="14"/>
  <c r="L325" i="14"/>
  <c r="L289" i="14"/>
  <c r="AJ272" i="14"/>
  <c r="Z272" i="14" s="1"/>
  <c r="AE272" i="14" s="1"/>
  <c r="AC272" i="14" s="1"/>
  <c r="BK289" i="14"/>
  <c r="AK289" i="14"/>
  <c r="AB289" i="14"/>
  <c r="AP352" i="14"/>
  <c r="AS352" i="14" s="1"/>
  <c r="AP338" i="14"/>
  <c r="AS338" i="14" s="1"/>
  <c r="AP394" i="14"/>
  <c r="AS394" i="14" s="1"/>
  <c r="AE289" i="14"/>
  <c r="AC289" i="14" s="1"/>
  <c r="AP310" i="14"/>
  <c r="AS310" i="14" s="1"/>
  <c r="AP301" i="14"/>
  <c r="AS301" i="14" s="1"/>
  <c r="AP222" i="14"/>
  <c r="AS222" i="14" s="1"/>
  <c r="AP304" i="14"/>
  <c r="AS304" i="14" s="1"/>
  <c r="AP339" i="14"/>
  <c r="AS339" i="14" s="1"/>
  <c r="AP313" i="14"/>
  <c r="AS313" i="14" s="1"/>
  <c r="AP280" i="14"/>
  <c r="AS280" i="14" s="1"/>
  <c r="AP347" i="14"/>
  <c r="AS347" i="14" s="1"/>
  <c r="AP400" i="14"/>
  <c r="AS400" i="14" s="1"/>
  <c r="AP263" i="14"/>
  <c r="AS263" i="14" s="1"/>
  <c r="AP393" i="14"/>
  <c r="AP256" i="14"/>
  <c r="AS256" i="14" s="1"/>
  <c r="AP359" i="14"/>
  <c r="AS359" i="14" s="1"/>
  <c r="AP350" i="14"/>
  <c r="AS350" i="14" s="1"/>
  <c r="AP317" i="14"/>
  <c r="AS317" i="14" s="1"/>
  <c r="AP292" i="14"/>
  <c r="AS292" i="14" s="1"/>
  <c r="AP244" i="14"/>
  <c r="AS244" i="14" s="1"/>
  <c r="AP329" i="14"/>
  <c r="AS329" i="14" s="1"/>
  <c r="AP243" i="14"/>
  <c r="AS243" i="14" s="1"/>
  <c r="AP328" i="14"/>
  <c r="AS328" i="14" s="1"/>
  <c r="AP358" i="14"/>
  <c r="AS358" i="14" s="1"/>
  <c r="AP297" i="14"/>
  <c r="AS297" i="14" s="1"/>
  <c r="AP371" i="14"/>
  <c r="AS371" i="14" s="1"/>
  <c r="AP360" i="14"/>
  <c r="AS360" i="14" s="1"/>
  <c r="AP323" i="14"/>
  <c r="AS323" i="14" s="1"/>
  <c r="AP224" i="14"/>
  <c r="AS224" i="14" s="1"/>
  <c r="AP239" i="14"/>
  <c r="AS239" i="14" s="1"/>
  <c r="AP312" i="14"/>
  <c r="AS312" i="14" s="1"/>
  <c r="AP387" i="14"/>
  <c r="AS387" i="14" s="1"/>
  <c r="AP275" i="14"/>
  <c r="AS275" i="14" s="1"/>
  <c r="AP221" i="14"/>
  <c r="AS221" i="14" s="1"/>
  <c r="AP266" i="14"/>
  <c r="AS266" i="14" s="1"/>
  <c r="AP408" i="14"/>
  <c r="AS408" i="14" s="1"/>
  <c r="AP362" i="14"/>
  <c r="AN354" i="14"/>
  <c r="AL354" i="14"/>
  <c r="AI391" i="14"/>
  <c r="AA391" i="14" s="1"/>
  <c r="AD391" i="14" s="1"/>
  <c r="AL391" i="14"/>
  <c r="AI401" i="14"/>
  <c r="AA401" i="14" s="1"/>
  <c r="AD401" i="14" s="1"/>
  <c r="AL401" i="14"/>
  <c r="AN337" i="14"/>
  <c r="AL337" i="14"/>
  <c r="AI370" i="14"/>
  <c r="AA370" i="14" s="1"/>
  <c r="AD370" i="14" s="1"/>
  <c r="AL370" i="14"/>
  <c r="AI345" i="14"/>
  <c r="AA345" i="14" s="1"/>
  <c r="AD345" i="14" s="1"/>
  <c r="AL345" i="14"/>
  <c r="AI218" i="14"/>
  <c r="AA218" i="14" s="1"/>
  <c r="AD218" i="14" s="1"/>
  <c r="AL218" i="14"/>
  <c r="AN225" i="14"/>
  <c r="AL225" i="14"/>
  <c r="AI346" i="14"/>
  <c r="AA346" i="14" s="1"/>
  <c r="AD346" i="14" s="1"/>
  <c r="AL346" i="14"/>
  <c r="AN309" i="14"/>
  <c r="AL309" i="14"/>
  <c r="AN257" i="14"/>
  <c r="AL257" i="14"/>
  <c r="AN254" i="14"/>
  <c r="AL254" i="14"/>
  <c r="AI261" i="14"/>
  <c r="AA261" i="14" s="1"/>
  <c r="AD261" i="14" s="1"/>
  <c r="AL261" i="14"/>
  <c r="AI288" i="14"/>
  <c r="AA288" i="14" s="1"/>
  <c r="AD288" i="14" s="1"/>
  <c r="AL288" i="14"/>
  <c r="AI385" i="14"/>
  <c r="AA385" i="14" s="1"/>
  <c r="AD385" i="14" s="1"/>
  <c r="AL385" i="14"/>
  <c r="AN333" i="14"/>
  <c r="AL333" i="14"/>
  <c r="AI291" i="14"/>
  <c r="AA291" i="14" s="1"/>
  <c r="AD291" i="14" s="1"/>
  <c r="AL291" i="14"/>
  <c r="AN364" i="14"/>
  <c r="AL364" i="14"/>
  <c r="AN271" i="14"/>
  <c r="AL271" i="14"/>
  <c r="AN303" i="14"/>
  <c r="AL303" i="14"/>
  <c r="AN388" i="14"/>
  <c r="AL388" i="14"/>
  <c r="AN232" i="14"/>
  <c r="AL232" i="14"/>
  <c r="AI351" i="14"/>
  <c r="AA351" i="14" s="1"/>
  <c r="AD351" i="14" s="1"/>
  <c r="AL351" i="14"/>
  <c r="AN250" i="14"/>
  <c r="AL250" i="14"/>
  <c r="AN398" i="14"/>
  <c r="AL398" i="14"/>
  <c r="AN279" i="14"/>
  <c r="AL279" i="14"/>
  <c r="AN378" i="14"/>
  <c r="AL378" i="14"/>
  <c r="AN324" i="14"/>
  <c r="AL324" i="14"/>
  <c r="AI395" i="14"/>
  <c r="AA395" i="14" s="1"/>
  <c r="AD395" i="14" s="1"/>
  <c r="AL395" i="14"/>
  <c r="AI355" i="14"/>
  <c r="AA355" i="14" s="1"/>
  <c r="AD355" i="14" s="1"/>
  <c r="AL355" i="14"/>
  <c r="AI264" i="14"/>
  <c r="AA264" i="14" s="1"/>
  <c r="AD264" i="14" s="1"/>
  <c r="AL264" i="14"/>
  <c r="AN336" i="14"/>
  <c r="AL336" i="14"/>
  <c r="AI321" i="14"/>
  <c r="AA321" i="14" s="1"/>
  <c r="AD321" i="14" s="1"/>
  <c r="AL321" i="14"/>
  <c r="AN299" i="14"/>
  <c r="AL299" i="14"/>
  <c r="AN283" i="14"/>
  <c r="AL283" i="14"/>
  <c r="AI246" i="14"/>
  <c r="AA246" i="14" s="1"/>
  <c r="AD246" i="14" s="1"/>
  <c r="AL246" i="14"/>
  <c r="AN241" i="14"/>
  <c r="AL241" i="14"/>
  <c r="AN252" i="14"/>
  <c r="AL252" i="14"/>
  <c r="AN265" i="14"/>
  <c r="AL265" i="14"/>
  <c r="AI381" i="14"/>
  <c r="AA381" i="14" s="1"/>
  <c r="AD381" i="14" s="1"/>
  <c r="AL381" i="14"/>
  <c r="AN384" i="14"/>
  <c r="AL384" i="14"/>
  <c r="AN407" i="14"/>
  <c r="AL407" i="14"/>
  <c r="AI270" i="14"/>
  <c r="AA270" i="14" s="1"/>
  <c r="AD270" i="14" s="1"/>
  <c r="AL270" i="14"/>
  <c r="AN307" i="14"/>
  <c r="AL307" i="14"/>
  <c r="AN305" i="14"/>
  <c r="AL305" i="14"/>
  <c r="AM390" i="14"/>
  <c r="AK390" i="14"/>
  <c r="AJ282" i="14"/>
  <c r="Z282" i="14" s="1"/>
  <c r="AE282" i="14" s="1"/>
  <c r="AC282" i="14" s="1"/>
  <c r="AK282" i="14"/>
  <c r="AJ336" i="14"/>
  <c r="Z336" i="14" s="1"/>
  <c r="AE336" i="14" s="1"/>
  <c r="AK336" i="14"/>
  <c r="AJ408" i="14"/>
  <c r="Z408" i="14" s="1"/>
  <c r="AE408" i="14" s="1"/>
  <c r="AC408" i="14" s="1"/>
  <c r="AK408" i="14"/>
  <c r="AM353" i="14"/>
  <c r="AK353" i="14"/>
  <c r="AM397" i="14"/>
  <c r="AK397" i="14"/>
  <c r="AM270" i="14"/>
  <c r="AK270" i="14"/>
  <c r="AJ271" i="14"/>
  <c r="Z271" i="14" s="1"/>
  <c r="AE271" i="14" s="1"/>
  <c r="AK271" i="14"/>
  <c r="AJ326" i="14"/>
  <c r="Z326" i="14" s="1"/>
  <c r="AE326" i="14" s="1"/>
  <c r="AC326" i="14" s="1"/>
  <c r="AK326" i="14"/>
  <c r="AJ403" i="14"/>
  <c r="Z403" i="14" s="1"/>
  <c r="AE403" i="14" s="1"/>
  <c r="AC403" i="14" s="1"/>
  <c r="AK403" i="14"/>
  <c r="AJ302" i="14"/>
  <c r="Z302" i="14" s="1"/>
  <c r="AE302" i="14" s="1"/>
  <c r="AK302" i="14"/>
  <c r="AM245" i="14"/>
  <c r="AK245" i="14"/>
  <c r="AJ365" i="14"/>
  <c r="Z365" i="14" s="1"/>
  <c r="AE365" i="14" s="1"/>
  <c r="AC365" i="14" s="1"/>
  <c r="AK365" i="14"/>
  <c r="AM358" i="14"/>
  <c r="AK358" i="14"/>
  <c r="AJ243" i="14"/>
  <c r="Z243" i="14" s="1"/>
  <c r="AE243" i="14" s="1"/>
  <c r="AK243" i="14"/>
  <c r="AM311" i="14"/>
  <c r="AK311" i="14"/>
  <c r="AM262" i="14"/>
  <c r="AK262" i="14"/>
  <c r="AM266" i="14"/>
  <c r="AK266" i="14"/>
  <c r="AJ242" i="14"/>
  <c r="Z242" i="14" s="1"/>
  <c r="AE242" i="14" s="1"/>
  <c r="AK242" i="14"/>
  <c r="AM228" i="14"/>
  <c r="AK228" i="14"/>
  <c r="AJ235" i="14"/>
  <c r="Z235" i="14" s="1"/>
  <c r="AE235" i="14" s="1"/>
  <c r="AK235" i="14"/>
  <c r="AM409" i="14"/>
  <c r="AK409" i="14"/>
  <c r="AJ217" i="14"/>
  <c r="Z217" i="14" s="1"/>
  <c r="AE217" i="14" s="1"/>
  <c r="AC217" i="14" s="1"/>
  <c r="AK217" i="14"/>
  <c r="AM253" i="14"/>
  <c r="AK253" i="14"/>
  <c r="AJ305" i="14"/>
  <c r="Z305" i="14" s="1"/>
  <c r="AE305" i="14" s="1"/>
  <c r="AK305" i="14"/>
  <c r="AM229" i="14"/>
  <c r="AK229" i="14"/>
  <c r="AM380" i="14"/>
  <c r="AK380" i="14"/>
  <c r="AJ283" i="14"/>
  <c r="Z283" i="14" s="1"/>
  <c r="AE283" i="14" s="1"/>
  <c r="AK283" i="14"/>
  <c r="AJ285" i="14"/>
  <c r="Z285" i="14" s="1"/>
  <c r="AB285" i="14" s="1"/>
  <c r="AK285" i="14"/>
  <c r="AJ354" i="14"/>
  <c r="Z354" i="14" s="1"/>
  <c r="AE354" i="14" s="1"/>
  <c r="AK354" i="14"/>
  <c r="AJ310" i="14"/>
  <c r="Z310" i="14" s="1"/>
  <c r="AE310" i="14" s="1"/>
  <c r="AC310" i="14" s="1"/>
  <c r="AK310" i="14"/>
  <c r="AJ293" i="14"/>
  <c r="Z293" i="14" s="1"/>
  <c r="AE293" i="14" s="1"/>
  <c r="AC293" i="14" s="1"/>
  <c r="AK293" i="14"/>
  <c r="AM231" i="14"/>
  <c r="AK231" i="14"/>
  <c r="AJ216" i="14"/>
  <c r="Z216" i="14" s="1"/>
  <c r="AE216" i="14" s="1"/>
  <c r="AK216" i="14"/>
  <c r="AM386" i="14"/>
  <c r="AK386" i="14"/>
  <c r="AM222" i="14"/>
  <c r="AK222" i="14"/>
  <c r="AM295" i="14"/>
  <c r="AK295" i="14"/>
  <c r="AM318" i="14"/>
  <c r="AK318" i="14"/>
  <c r="AM329" i="14"/>
  <c r="AK329" i="14"/>
  <c r="AM247" i="14"/>
  <c r="AK247" i="14"/>
  <c r="AJ319" i="14"/>
  <c r="Z319" i="14" s="1"/>
  <c r="AE319" i="14" s="1"/>
  <c r="AC319" i="14" s="1"/>
  <c r="AK319" i="14"/>
  <c r="AM256" i="14"/>
  <c r="AK256" i="14"/>
  <c r="AJ359" i="14"/>
  <c r="Z359" i="14" s="1"/>
  <c r="AE359" i="14" s="1"/>
  <c r="AC359" i="14" s="1"/>
  <c r="AK359" i="14"/>
  <c r="AJ276" i="14"/>
  <c r="Z276" i="14" s="1"/>
  <c r="AE276" i="14" s="1"/>
  <c r="AC276" i="14" s="1"/>
  <c r="AK276" i="14"/>
  <c r="AM264" i="14"/>
  <c r="AK264" i="14"/>
  <c r="AJ240" i="14"/>
  <c r="Z240" i="14" s="1"/>
  <c r="AE240" i="14" s="1"/>
  <c r="AC240" i="14" s="1"/>
  <c r="AK240" i="14"/>
  <c r="AJ367" i="14"/>
  <c r="Z367" i="14" s="1"/>
  <c r="AE367" i="14" s="1"/>
  <c r="AC367" i="14" s="1"/>
  <c r="AK367" i="14"/>
  <c r="AJ376" i="14"/>
  <c r="Z376" i="14" s="1"/>
  <c r="AE376" i="14" s="1"/>
  <c r="AC376" i="14" s="1"/>
  <c r="AK376" i="14"/>
  <c r="AJ377" i="14"/>
  <c r="Z377" i="14" s="1"/>
  <c r="AE377" i="14" s="1"/>
  <c r="AC377" i="14" s="1"/>
  <c r="AK377" i="14"/>
  <c r="AM300" i="14"/>
  <c r="AK300" i="14"/>
  <c r="AM342" i="14"/>
  <c r="AK342" i="14"/>
  <c r="AJ291" i="14"/>
  <c r="Z291" i="14" s="1"/>
  <c r="AE291" i="14" s="1"/>
  <c r="AK291" i="14"/>
  <c r="AJ339" i="14"/>
  <c r="Z339" i="14" s="1"/>
  <c r="AE339" i="14" s="1"/>
  <c r="AK339" i="14"/>
  <c r="AM281" i="14"/>
  <c r="AK281" i="14"/>
  <c r="AJ387" i="14"/>
  <c r="Z387" i="14" s="1"/>
  <c r="AE387" i="14" s="1"/>
  <c r="AC387" i="14" s="1"/>
  <c r="AK387" i="14"/>
  <c r="AJ399" i="14"/>
  <c r="Z399" i="14" s="1"/>
  <c r="AE399" i="14" s="1"/>
  <c r="AC399" i="14" s="1"/>
  <c r="AK399" i="14"/>
  <c r="AJ369" i="14"/>
  <c r="Z369" i="14" s="1"/>
  <c r="AE369" i="14" s="1"/>
  <c r="AK369" i="14"/>
  <c r="AJ347" i="14"/>
  <c r="Z347" i="14" s="1"/>
  <c r="AE347" i="14" s="1"/>
  <c r="AC347" i="14" s="1"/>
  <c r="AK347" i="14"/>
  <c r="AM274" i="14"/>
  <c r="AK274" i="14"/>
  <c r="AJ391" i="14"/>
  <c r="Z391" i="14" s="1"/>
  <c r="AE391" i="14" s="1"/>
  <c r="AK391" i="14"/>
  <c r="AJ219" i="14"/>
  <c r="Z219" i="14" s="1"/>
  <c r="AK219" i="14"/>
  <c r="AM348" i="14"/>
  <c r="AK348" i="14"/>
  <c r="AM218" i="14"/>
  <c r="AK218" i="14"/>
  <c r="AJ334" i="14"/>
  <c r="Z334" i="14" s="1"/>
  <c r="AE334" i="14" s="1"/>
  <c r="AK334" i="14"/>
  <c r="AM368" i="14"/>
  <c r="AK368" i="14"/>
  <c r="AJ260" i="14"/>
  <c r="Z260" i="14" s="1"/>
  <c r="AE260" i="14" s="1"/>
  <c r="AC260" i="14" s="1"/>
  <c r="AK260" i="14"/>
  <c r="AM277" i="14"/>
  <c r="AK277" i="14"/>
  <c r="AM275" i="14"/>
  <c r="AK275" i="14"/>
  <c r="AM288" i="14"/>
  <c r="AK288" i="14"/>
  <c r="AM236" i="14"/>
  <c r="AK236" i="14"/>
  <c r="AM351" i="14"/>
  <c r="AK351" i="14"/>
  <c r="AM259" i="14"/>
  <c r="AK259" i="14"/>
  <c r="AM394" i="14"/>
  <c r="AK394" i="14"/>
  <c r="AJ338" i="14"/>
  <c r="Z338" i="14" s="1"/>
  <c r="AE338" i="14" s="1"/>
  <c r="AC338" i="14" s="1"/>
  <c r="AK338" i="14"/>
  <c r="AM337" i="14"/>
  <c r="AK337" i="14"/>
  <c r="AJ306" i="14"/>
  <c r="Z306" i="14" s="1"/>
  <c r="AE306" i="14" s="1"/>
  <c r="AK306" i="14"/>
  <c r="AM313" i="14"/>
  <c r="AK313" i="14"/>
  <c r="AJ301" i="14"/>
  <c r="Z301" i="14" s="1"/>
  <c r="AE301" i="14" s="1"/>
  <c r="AC301" i="14" s="1"/>
  <c r="AK301" i="14"/>
  <c r="AJ246" i="14"/>
  <c r="Z246" i="14" s="1"/>
  <c r="AE246" i="14" s="1"/>
  <c r="AK246" i="14"/>
  <c r="AM292" i="14"/>
  <c r="AK292" i="14"/>
  <c r="AJ382" i="14"/>
  <c r="Z382" i="14" s="1"/>
  <c r="AB382" i="14" s="1"/>
  <c r="AK382" i="14"/>
  <c r="AJ224" i="14"/>
  <c r="Z224" i="14" s="1"/>
  <c r="AE224" i="14" s="1"/>
  <c r="AC224" i="14" s="1"/>
  <c r="AK224" i="14"/>
  <c r="AM332" i="14"/>
  <c r="AK332" i="14"/>
  <c r="AJ400" i="14"/>
  <c r="Z400" i="14" s="1"/>
  <c r="AE400" i="14" s="1"/>
  <c r="AC400" i="14" s="1"/>
  <c r="AK400" i="14"/>
  <c r="AJ268" i="14"/>
  <c r="Z268" i="14" s="1"/>
  <c r="AB268" i="14" s="1"/>
  <c r="AK268" i="14"/>
  <c r="AM322" i="14"/>
  <c r="AK322" i="14"/>
  <c r="AJ237" i="14"/>
  <c r="Z237" i="14" s="1"/>
  <c r="AE237" i="14" s="1"/>
  <c r="AK237" i="14"/>
  <c r="AJ411" i="14"/>
  <c r="Z411" i="14" s="1"/>
  <c r="AE411" i="14" s="1"/>
  <c r="AC411" i="14" s="1"/>
  <c r="AK411" i="14"/>
  <c r="AJ374" i="14"/>
  <c r="Z374" i="14" s="1"/>
  <c r="AE374" i="14" s="1"/>
  <c r="AC374" i="14" s="1"/>
  <c r="AK374" i="14"/>
  <c r="AM273" i="14"/>
  <c r="AK273" i="14"/>
  <c r="AM255" i="14"/>
  <c r="AK255" i="14"/>
  <c r="AJ384" i="14"/>
  <c r="Z384" i="14" s="1"/>
  <c r="AE384" i="14" s="1"/>
  <c r="AK384" i="14"/>
  <c r="AJ396" i="14"/>
  <c r="Z396" i="14" s="1"/>
  <c r="AE396" i="14" s="1"/>
  <c r="AC396" i="14" s="1"/>
  <c r="AK396" i="14"/>
  <c r="AJ407" i="14"/>
  <c r="Z407" i="14" s="1"/>
  <c r="AE407" i="14" s="1"/>
  <c r="AK407" i="14"/>
  <c r="AM298" i="14"/>
  <c r="AK298" i="14"/>
  <c r="AJ250" i="14"/>
  <c r="Z250" i="14" s="1"/>
  <c r="AE250" i="14" s="1"/>
  <c r="AK250" i="14"/>
  <c r="AM392" i="14"/>
  <c r="AK392" i="14"/>
  <c r="AM269" i="14"/>
  <c r="AK269" i="14"/>
  <c r="AS375" i="14"/>
  <c r="AJ358" i="14"/>
  <c r="Z358" i="14" s="1"/>
  <c r="AB358" i="14" s="1"/>
  <c r="AS251" i="14"/>
  <c r="AS319" i="14"/>
  <c r="AS217" i="14"/>
  <c r="AS290" i="14"/>
  <c r="AS403" i="14"/>
  <c r="AS226" i="14"/>
  <c r="AS300" i="14"/>
  <c r="AS245" i="14"/>
  <c r="AS341" i="14"/>
  <c r="AS238" i="14"/>
  <c r="AS399" i="14"/>
  <c r="AS289" i="14"/>
  <c r="AI227" i="14"/>
  <c r="AA227" i="14" s="1"/>
  <c r="AD227" i="14" s="1"/>
  <c r="AN227" i="14"/>
  <c r="AP227" i="14" s="1"/>
  <c r="AI336" i="14"/>
  <c r="AA336" i="14" s="1"/>
  <c r="AD336" i="14" s="1"/>
  <c r="AS308" i="14"/>
  <c r="AS274" i="14"/>
  <c r="AS223" i="14"/>
  <c r="BK374" i="14"/>
  <c r="AS390" i="14"/>
  <c r="AS260" i="14"/>
  <c r="AS326" i="14"/>
  <c r="AS213" i="14"/>
  <c r="AS295" i="14"/>
  <c r="AS258" i="14"/>
  <c r="AS367" i="14"/>
  <c r="AS278" i="14"/>
  <c r="AS349" i="14"/>
  <c r="AS234" i="14"/>
  <c r="AS233" i="14"/>
  <c r="AS376" i="14"/>
  <c r="AS331" i="14"/>
  <c r="AS380" i="14"/>
  <c r="AS315" i="14"/>
  <c r="AS411" i="14"/>
  <c r="BK238" i="14"/>
  <c r="BK304" i="14"/>
  <c r="AI281" i="14"/>
  <c r="AA281" i="14" s="1"/>
  <c r="AD281" i="14" s="1"/>
  <c r="AN281" i="14"/>
  <c r="AP281" i="14" s="1"/>
  <c r="BK369" i="14"/>
  <c r="BK285" i="14"/>
  <c r="AJ341" i="14"/>
  <c r="Z341" i="14" s="1"/>
  <c r="AE341" i="14" s="1"/>
  <c r="AC341" i="14" s="1"/>
  <c r="AN291" i="14"/>
  <c r="AM341" i="14"/>
  <c r="AO341" i="14" s="1"/>
  <c r="AQ341" i="14" s="1"/>
  <c r="AJ395" i="14"/>
  <c r="Z395" i="14" s="1"/>
  <c r="AE395" i="14" s="1"/>
  <c r="AI299" i="14"/>
  <c r="AA299" i="14" s="1"/>
  <c r="AD299" i="14" s="1"/>
  <c r="AM403" i="14"/>
  <c r="AN246" i="14"/>
  <c r="AN351" i="14"/>
  <c r="AN413" i="14"/>
  <c r="AP413" i="14" s="1"/>
  <c r="AN410" i="14"/>
  <c r="AP410" i="14" s="1"/>
  <c r="AJ364" i="14"/>
  <c r="Z364" i="14" s="1"/>
  <c r="AE364" i="14" s="1"/>
  <c r="AM364" i="14"/>
  <c r="AO364" i="14" s="1"/>
  <c r="AI413" i="14"/>
  <c r="AA413" i="14" s="1"/>
  <c r="AD413" i="14" s="1"/>
  <c r="AI410" i="14"/>
  <c r="AA410" i="14" s="1"/>
  <c r="AD410" i="14" s="1"/>
  <c r="BK244" i="14"/>
  <c r="BK306" i="14"/>
  <c r="AI361" i="14"/>
  <c r="AA361" i="14" s="1"/>
  <c r="AD361" i="14" s="1"/>
  <c r="BK224" i="14"/>
  <c r="AM250" i="14"/>
  <c r="AM395" i="14"/>
  <c r="AO395" i="14" s="1"/>
  <c r="AP405" i="14"/>
  <c r="AS405" i="14" s="1"/>
  <c r="AN361" i="14"/>
  <c r="AP361" i="14" s="1"/>
  <c r="AI252" i="14"/>
  <c r="AA252" i="14" s="1"/>
  <c r="AD252" i="14" s="1"/>
  <c r="AM369" i="14"/>
  <c r="BK296" i="14"/>
  <c r="AM303" i="14"/>
  <c r="AO303" i="14" s="1"/>
  <c r="BK331" i="14"/>
  <c r="AJ303" i="14"/>
  <c r="Z303" i="14" s="1"/>
  <c r="AE303" i="14" s="1"/>
  <c r="AP412" i="14"/>
  <c r="AS412" i="14" s="1"/>
  <c r="AP293" i="14"/>
  <c r="AS293" i="14" s="1"/>
  <c r="BK290" i="14"/>
  <c r="BK358" i="14"/>
  <c r="AP282" i="14"/>
  <c r="AS282" i="14" s="1"/>
  <c r="BK390" i="14"/>
  <c r="AI283" i="14"/>
  <c r="AA283" i="14" s="1"/>
  <c r="AD283" i="14" s="1"/>
  <c r="AI407" i="14"/>
  <c r="AA407" i="14" s="1"/>
  <c r="AP294" i="14"/>
  <c r="AS294" i="14" s="1"/>
  <c r="AN273" i="14"/>
  <c r="AP273" i="14" s="1"/>
  <c r="AJ231" i="14"/>
  <c r="Z231" i="14" s="1"/>
  <c r="AB231" i="14" s="1"/>
  <c r="AN397" i="14"/>
  <c r="AP397" i="14" s="1"/>
  <c r="AI397" i="14"/>
  <c r="AA397" i="14" s="1"/>
  <c r="AD397" i="14" s="1"/>
  <c r="AM226" i="14"/>
  <c r="AO226" i="14" s="1"/>
  <c r="AQ226" i="14" s="1"/>
  <c r="BK392" i="14"/>
  <c r="BK375" i="14"/>
  <c r="AP372" i="14"/>
  <c r="AS372" i="14" s="1"/>
  <c r="AI271" i="14"/>
  <c r="AA271" i="14" s="1"/>
  <c r="AD271" i="14" s="1"/>
  <c r="AI273" i="14"/>
  <c r="AA273" i="14" s="1"/>
  <c r="AD273" i="14" s="1"/>
  <c r="AJ386" i="14"/>
  <c r="Z386" i="14" s="1"/>
  <c r="AB386" i="14" s="1"/>
  <c r="BK326" i="14"/>
  <c r="AM399" i="14"/>
  <c r="AJ304" i="14"/>
  <c r="Z304" i="14" s="1"/>
  <c r="BK258" i="14"/>
  <c r="AI302" i="14"/>
  <c r="AA302" i="14" s="1"/>
  <c r="AD302" i="14" s="1"/>
  <c r="AP220" i="14"/>
  <c r="AS220" i="14" s="1"/>
  <c r="BK221" i="14"/>
  <c r="AN218" i="14"/>
  <c r="AI324" i="14"/>
  <c r="AA324" i="14" s="1"/>
  <c r="AD324" i="14" s="1"/>
  <c r="BK357" i="14"/>
  <c r="AI316" i="14"/>
  <c r="AA316" i="14" s="1"/>
  <c r="AD316" i="14" s="1"/>
  <c r="AJ378" i="14"/>
  <c r="Z378" i="14" s="1"/>
  <c r="AE378" i="14" s="1"/>
  <c r="BK403" i="14"/>
  <c r="AN316" i="14"/>
  <c r="AP316" i="14" s="1"/>
  <c r="AM224" i="14"/>
  <c r="AM324" i="14"/>
  <c r="AO324" i="14" s="1"/>
  <c r="AI333" i="14"/>
  <c r="AA333" i="14" s="1"/>
  <c r="AD333" i="14" s="1"/>
  <c r="AJ259" i="14"/>
  <c r="Z259" i="14" s="1"/>
  <c r="AE259" i="14" s="1"/>
  <c r="AC259" i="14" s="1"/>
  <c r="AJ267" i="14"/>
  <c r="Z267" i="14" s="1"/>
  <c r="AE267" i="14" s="1"/>
  <c r="AM378" i="14"/>
  <c r="AO378" i="14" s="1"/>
  <c r="BK356" i="14"/>
  <c r="AM267" i="14"/>
  <c r="AO267" i="14" s="1"/>
  <c r="BK293" i="14"/>
  <c r="BK400" i="14"/>
  <c r="BK220" i="14"/>
  <c r="AN391" i="14"/>
  <c r="AI337" i="14"/>
  <c r="AA337" i="14" s="1"/>
  <c r="AD337" i="14" s="1"/>
  <c r="AN342" i="14"/>
  <c r="AP342" i="14" s="1"/>
  <c r="BK294" i="14"/>
  <c r="AN368" i="14"/>
  <c r="AP368" i="14" s="1"/>
  <c r="AI342" i="14"/>
  <c r="AA342" i="14" s="1"/>
  <c r="AD342" i="14" s="1"/>
  <c r="AI368" i="14"/>
  <c r="AA368" i="14" s="1"/>
  <c r="AD368" i="14" s="1"/>
  <c r="AN320" i="14"/>
  <c r="AP320" i="14" s="1"/>
  <c r="AI320" i="14"/>
  <c r="AA320" i="14" s="1"/>
  <c r="AD320" i="14" s="1"/>
  <c r="AJ322" i="14"/>
  <c r="Z322" i="14" s="1"/>
  <c r="AE322" i="14" s="1"/>
  <c r="AJ275" i="14"/>
  <c r="Z275" i="14" s="1"/>
  <c r="AB275" i="14" s="1"/>
  <c r="AJ321" i="14"/>
  <c r="Z321" i="14" s="1"/>
  <c r="BK311" i="14"/>
  <c r="BK239" i="14"/>
  <c r="AM237" i="14"/>
  <c r="AI364" i="14"/>
  <c r="AA364" i="14" s="1"/>
  <c r="AD364" i="14" s="1"/>
  <c r="AM406" i="14"/>
  <c r="AO406" i="14" s="1"/>
  <c r="BK214" i="14"/>
  <c r="AM321" i="14"/>
  <c r="AO321" i="14" s="1"/>
  <c r="AJ406" i="14"/>
  <c r="Z406" i="14" s="1"/>
  <c r="AE406" i="14" s="1"/>
  <c r="BK243" i="14"/>
  <c r="AN302" i="14"/>
  <c r="AP302" i="14" s="1"/>
  <c r="AM338" i="14"/>
  <c r="BK366" i="14"/>
  <c r="AP306" i="14"/>
  <c r="AS306" i="14" s="1"/>
  <c r="AM293" i="14"/>
  <c r="AJ389" i="14"/>
  <c r="Z389" i="14" s="1"/>
  <c r="AB389" i="14" s="1"/>
  <c r="BK329" i="14"/>
  <c r="AM261" i="14"/>
  <c r="AO261" i="14" s="1"/>
  <c r="AJ247" i="14"/>
  <c r="Z247" i="14" s="1"/>
  <c r="BK213" i="14"/>
  <c r="AJ261" i="14"/>
  <c r="Z261" i="14" s="1"/>
  <c r="AE261" i="14" s="1"/>
  <c r="AJ253" i="14"/>
  <c r="Z253" i="14" s="1"/>
  <c r="AE253" i="14" s="1"/>
  <c r="AM382" i="14"/>
  <c r="AM389" i="14"/>
  <c r="AO389" i="14" s="1"/>
  <c r="AI265" i="14"/>
  <c r="AA265" i="14" s="1"/>
  <c r="AD265" i="14" s="1"/>
  <c r="AM304" i="14"/>
  <c r="AO304" i="14" s="1"/>
  <c r="AM374" i="14"/>
  <c r="BK411" i="14"/>
  <c r="AP386" i="14"/>
  <c r="AS386" i="14" s="1"/>
  <c r="BK234" i="14"/>
  <c r="AP353" i="14"/>
  <c r="AS353" i="14" s="1"/>
  <c r="AJ227" i="14"/>
  <c r="Z227" i="14" s="1"/>
  <c r="AE227" i="14" s="1"/>
  <c r="BK347" i="14"/>
  <c r="BK313" i="14"/>
  <c r="AM291" i="14"/>
  <c r="BK348" i="14"/>
  <c r="AM227" i="14"/>
  <c r="AO227" i="14" s="1"/>
  <c r="AJ269" i="14"/>
  <c r="Z269" i="14" s="1"/>
  <c r="AB269" i="14" s="1"/>
  <c r="BK240" i="14"/>
  <c r="AI307" i="14"/>
  <c r="AA307" i="14" s="1"/>
  <c r="AD307" i="14" s="1"/>
  <c r="BK292" i="14"/>
  <c r="AP298" i="14"/>
  <c r="AS298" i="14" s="1"/>
  <c r="AJ223" i="14"/>
  <c r="Z223" i="14" s="1"/>
  <c r="AB223" i="14" s="1"/>
  <c r="BK412" i="14"/>
  <c r="AM411" i="14"/>
  <c r="AM223" i="14"/>
  <c r="AO223" i="14" s="1"/>
  <c r="AQ223" i="14" s="1"/>
  <c r="AM294" i="14"/>
  <c r="AO294" i="14" s="1"/>
  <c r="BK247" i="14"/>
  <c r="BK256" i="14"/>
  <c r="BK404" i="14"/>
  <c r="AJ294" i="14"/>
  <c r="Z294" i="14" s="1"/>
  <c r="AJ229" i="14"/>
  <c r="Z229" i="14" s="1"/>
  <c r="AB229" i="14" s="1"/>
  <c r="AN381" i="14"/>
  <c r="AM240" i="14"/>
  <c r="BK353" i="14"/>
  <c r="BK229" i="14"/>
  <c r="BK298" i="14"/>
  <c r="AM302" i="14"/>
  <c r="AJ245" i="14"/>
  <c r="Z245" i="14" s="1"/>
  <c r="AE245" i="14" s="1"/>
  <c r="AC245" i="14" s="1"/>
  <c r="BK399" i="14"/>
  <c r="BK341" i="14"/>
  <c r="BK217" i="14"/>
  <c r="BK389" i="14"/>
  <c r="AP231" i="14"/>
  <c r="AS231" i="14" s="1"/>
  <c r="BK394" i="14"/>
  <c r="BK409" i="14"/>
  <c r="AJ325" i="14"/>
  <c r="Z325" i="14" s="1"/>
  <c r="AJ394" i="14"/>
  <c r="Z394" i="14" s="1"/>
  <c r="BK352" i="14"/>
  <c r="AM325" i="14"/>
  <c r="AO325" i="14" s="1"/>
  <c r="BK276" i="14"/>
  <c r="BK323" i="14"/>
  <c r="AI384" i="14"/>
  <c r="AA384" i="14" s="1"/>
  <c r="AD384" i="14" s="1"/>
  <c r="AM216" i="14"/>
  <c r="AN402" i="14"/>
  <c r="AP402" i="14" s="1"/>
  <c r="AM299" i="14"/>
  <c r="AO299" i="14" s="1"/>
  <c r="AJ299" i="14"/>
  <c r="Z299" i="14" s="1"/>
  <c r="AE299" i="14" s="1"/>
  <c r="AP285" i="14"/>
  <c r="AS285" i="14" s="1"/>
  <c r="AM370" i="14"/>
  <c r="BK349" i="14"/>
  <c r="AM320" i="14"/>
  <c r="AO320" i="14" s="1"/>
  <c r="AN237" i="14"/>
  <c r="AI237" i="14"/>
  <c r="AA237" i="14" s="1"/>
  <c r="AJ404" i="14"/>
  <c r="Z404" i="14" s="1"/>
  <c r="AM404" i="14"/>
  <c r="AI250" i="14"/>
  <c r="AA250" i="14" s="1"/>
  <c r="BK365" i="14"/>
  <c r="AJ320" i="14"/>
  <c r="Z320" i="14" s="1"/>
  <c r="AJ370" i="14"/>
  <c r="Z370" i="14" s="1"/>
  <c r="AE370" i="14" s="1"/>
  <c r="BK251" i="14"/>
  <c r="AI402" i="14"/>
  <c r="AA402" i="14" s="1"/>
  <c r="AD402" i="14" s="1"/>
  <c r="BK359" i="14"/>
  <c r="BK259" i="14"/>
  <c r="BK297" i="14"/>
  <c r="AN321" i="14"/>
  <c r="BK231" i="14"/>
  <c r="BK338" i="14"/>
  <c r="AJ324" i="14"/>
  <c r="Z324" i="14" s="1"/>
  <c r="AE324" i="14" s="1"/>
  <c r="AN264" i="14"/>
  <c r="AI378" i="14"/>
  <c r="AA378" i="14" s="1"/>
  <c r="BK263" i="14"/>
  <c r="AM367" i="14"/>
  <c r="AJ278" i="14"/>
  <c r="Z278" i="14" s="1"/>
  <c r="AE278" i="14" s="1"/>
  <c r="AM278" i="14"/>
  <c r="AO278" i="14" s="1"/>
  <c r="AQ278" i="14" s="1"/>
  <c r="AM307" i="14"/>
  <c r="AO307" i="14" s="1"/>
  <c r="AJ220" i="14"/>
  <c r="Z220" i="14" s="1"/>
  <c r="AE220" i="14" s="1"/>
  <c r="AC220" i="14" s="1"/>
  <c r="AJ349" i="14"/>
  <c r="Z349" i="14" s="1"/>
  <c r="AB349" i="14" s="1"/>
  <c r="BK295" i="14"/>
  <c r="BK372" i="14"/>
  <c r="AM217" i="14"/>
  <c r="BK362" i="14"/>
  <c r="BK317" i="14"/>
  <c r="AN284" i="14"/>
  <c r="AP284" i="14" s="1"/>
  <c r="BK379" i="14"/>
  <c r="AM220" i="14"/>
  <c r="AO220" i="14" s="1"/>
  <c r="AI284" i="14"/>
  <c r="AA284" i="14" s="1"/>
  <c r="AD284" i="14" s="1"/>
  <c r="AM349" i="14"/>
  <c r="AO349" i="14" s="1"/>
  <c r="AQ349" i="14" s="1"/>
  <c r="AJ392" i="14"/>
  <c r="Z392" i="14" s="1"/>
  <c r="AE392" i="14" s="1"/>
  <c r="BK280" i="14"/>
  <c r="AI383" i="14"/>
  <c r="AA383" i="14" s="1"/>
  <c r="AD383" i="14" s="1"/>
  <c r="BK223" i="14"/>
  <c r="BK275" i="14"/>
  <c r="AN383" i="14"/>
  <c r="AP383" i="14" s="1"/>
  <c r="BK386" i="14"/>
  <c r="AJ307" i="14"/>
  <c r="Z307" i="14" s="1"/>
  <c r="AE307" i="14" s="1"/>
  <c r="BK393" i="14"/>
  <c r="AM310" i="14"/>
  <c r="BK260" i="14"/>
  <c r="BK373" i="14"/>
  <c r="BK380" i="14"/>
  <c r="AJ232" i="14"/>
  <c r="Z232" i="14" s="1"/>
  <c r="AE232" i="14" s="1"/>
  <c r="AM268" i="14"/>
  <c r="BK319" i="14"/>
  <c r="AM232" i="14"/>
  <c r="AO232" i="14" s="1"/>
  <c r="BK376" i="14"/>
  <c r="AP214" i="14"/>
  <c r="AS214" i="14" s="1"/>
  <c r="BK330" i="14"/>
  <c r="BK315" i="14"/>
  <c r="AB221" i="14"/>
  <c r="AP269" i="14"/>
  <c r="AS269" i="14" s="1"/>
  <c r="AP348" i="14"/>
  <c r="AS348" i="14" s="1"/>
  <c r="BK230" i="14"/>
  <c r="AM365" i="14"/>
  <c r="AI232" i="14"/>
  <c r="AA232" i="14" s="1"/>
  <c r="AD232" i="14" s="1"/>
  <c r="BK312" i="14"/>
  <c r="AJ257" i="14"/>
  <c r="Z257" i="14" s="1"/>
  <c r="AE257" i="14" s="1"/>
  <c r="AJ344" i="14"/>
  <c r="Z344" i="14" s="1"/>
  <c r="AB344" i="14" s="1"/>
  <c r="AM257" i="14"/>
  <c r="AO257" i="14" s="1"/>
  <c r="BK300" i="14"/>
  <c r="AI398" i="14"/>
  <c r="AA398" i="14" s="1"/>
  <c r="AD398" i="14" s="1"/>
  <c r="AN288" i="14"/>
  <c r="AN385" i="14"/>
  <c r="AN270" i="14"/>
  <c r="BK382" i="14"/>
  <c r="AM230" i="14"/>
  <c r="AO230" i="14" s="1"/>
  <c r="BK268" i="14"/>
  <c r="AN277" i="14"/>
  <c r="AP277" i="14" s="1"/>
  <c r="AI277" i="14"/>
  <c r="AA277" i="14" s="1"/>
  <c r="AD277" i="14" s="1"/>
  <c r="AP253" i="14"/>
  <c r="AS253" i="14" s="1"/>
  <c r="AM357" i="14"/>
  <c r="AO357" i="14" s="1"/>
  <c r="AJ226" i="14"/>
  <c r="Z226" i="14" s="1"/>
  <c r="AB226" i="14" s="1"/>
  <c r="AI305" i="14"/>
  <c r="AA305" i="14" s="1"/>
  <c r="AJ230" i="14"/>
  <c r="Z230" i="14" s="1"/>
  <c r="AE230" i="14" s="1"/>
  <c r="BK215" i="14"/>
  <c r="BK226" i="14"/>
  <c r="AP230" i="14"/>
  <c r="AS230" i="14" s="1"/>
  <c r="AJ340" i="14"/>
  <c r="Z340" i="14" s="1"/>
  <c r="AM340" i="14"/>
  <c r="AO340" i="14" s="1"/>
  <c r="BK367" i="14"/>
  <c r="AJ410" i="14"/>
  <c r="Z410" i="14" s="1"/>
  <c r="AE410" i="14" s="1"/>
  <c r="AM410" i="14"/>
  <c r="AJ412" i="14"/>
  <c r="Z412" i="14" s="1"/>
  <c r="AM412" i="14"/>
  <c r="AP268" i="14"/>
  <c r="AS268" i="14" s="1"/>
  <c r="AJ329" i="14"/>
  <c r="Z329" i="14" s="1"/>
  <c r="AE329" i="14" s="1"/>
  <c r="BK248" i="14"/>
  <c r="AJ312" i="14"/>
  <c r="Z312" i="14" s="1"/>
  <c r="AE312" i="14" s="1"/>
  <c r="AJ288" i="14"/>
  <c r="Z288" i="14" s="1"/>
  <c r="AE288" i="14" s="1"/>
  <c r="AM312" i="14"/>
  <c r="AO312" i="14" s="1"/>
  <c r="AJ313" i="14"/>
  <c r="Z313" i="14" s="1"/>
  <c r="AE313" i="14" s="1"/>
  <c r="AJ218" i="14"/>
  <c r="Z218" i="14" s="1"/>
  <c r="AE218" i="14" s="1"/>
  <c r="AM285" i="14"/>
  <c r="AM344" i="14"/>
  <c r="AO344" i="14" s="1"/>
  <c r="BK387" i="14"/>
  <c r="AM225" i="14"/>
  <c r="AO225" i="14" s="1"/>
  <c r="AM297" i="14"/>
  <c r="AO297" i="14" s="1"/>
  <c r="BK332" i="14"/>
  <c r="BK253" i="14"/>
  <c r="AJ368" i="14"/>
  <c r="Z368" i="14" s="1"/>
  <c r="AE368" i="14" s="1"/>
  <c r="AN401" i="14"/>
  <c r="AJ297" i="14"/>
  <c r="Z297" i="14" s="1"/>
  <c r="AE297" i="14" s="1"/>
  <c r="AN216" i="14"/>
  <c r="AP216" i="14" s="1"/>
  <c r="AI216" i="14"/>
  <c r="AA216" i="14" s="1"/>
  <c r="AN267" i="14"/>
  <c r="AP267" i="14" s="1"/>
  <c r="AJ277" i="14"/>
  <c r="Z277" i="14" s="1"/>
  <c r="AM391" i="14"/>
  <c r="AM283" i="14"/>
  <c r="AM400" i="14"/>
  <c r="AJ298" i="14"/>
  <c r="Z298" i="14" s="1"/>
  <c r="AB298" i="14" s="1"/>
  <c r="AN261" i="14"/>
  <c r="BK350" i="14"/>
  <c r="AJ351" i="14"/>
  <c r="Z351" i="14" s="1"/>
  <c r="AM305" i="14"/>
  <c r="AI267" i="14"/>
  <c r="AA267" i="14" s="1"/>
  <c r="AD267" i="14" s="1"/>
  <c r="AM373" i="14"/>
  <c r="AO373" i="14" s="1"/>
  <c r="AJ373" i="14"/>
  <c r="Z373" i="14" s="1"/>
  <c r="AE373" i="14" s="1"/>
  <c r="AJ292" i="14"/>
  <c r="Z292" i="14" s="1"/>
  <c r="AE292" i="14" s="1"/>
  <c r="AC292" i="14" s="1"/>
  <c r="BK272" i="14"/>
  <c r="AN355" i="14"/>
  <c r="AI254" i="14"/>
  <c r="AA254" i="14" s="1"/>
  <c r="AD254" i="14" s="1"/>
  <c r="BK360" i="14"/>
  <c r="AP296" i="14"/>
  <c r="AS296" i="14" s="1"/>
  <c r="BK269" i="14"/>
  <c r="BK314" i="14"/>
  <c r="AI388" i="14"/>
  <c r="AA388" i="14" s="1"/>
  <c r="AD388" i="14" s="1"/>
  <c r="AM401" i="14"/>
  <c r="AO401" i="14" s="1"/>
  <c r="AJ266" i="14"/>
  <c r="Z266" i="14" s="1"/>
  <c r="AB266" i="14" s="1"/>
  <c r="AN345" i="14"/>
  <c r="AJ264" i="14"/>
  <c r="Z264" i="14" s="1"/>
  <c r="AE264" i="14" s="1"/>
  <c r="AJ401" i="14"/>
  <c r="Z401" i="14" s="1"/>
  <c r="BK266" i="14"/>
  <c r="AJ290" i="14"/>
  <c r="Z290" i="14" s="1"/>
  <c r="AB290" i="14" s="1"/>
  <c r="AM376" i="14"/>
  <c r="AN318" i="14"/>
  <c r="AP318" i="14" s="1"/>
  <c r="BK339" i="14"/>
  <c r="AI318" i="14"/>
  <c r="AA318" i="14" s="1"/>
  <c r="AD318" i="14" s="1"/>
  <c r="AJ409" i="14"/>
  <c r="Z409" i="14" s="1"/>
  <c r="BK301" i="14"/>
  <c r="BK282" i="14"/>
  <c r="AM290" i="14"/>
  <c r="AO290" i="14" s="1"/>
  <c r="AQ290" i="14" s="1"/>
  <c r="BK222" i="14"/>
  <c r="AJ350" i="14"/>
  <c r="Z350" i="14" s="1"/>
  <c r="AE350" i="14" s="1"/>
  <c r="AM316" i="14"/>
  <c r="AJ316" i="14"/>
  <c r="Z316" i="14" s="1"/>
  <c r="AM360" i="14"/>
  <c r="AJ360" i="14"/>
  <c r="Z360" i="14" s="1"/>
  <c r="AE360" i="14" s="1"/>
  <c r="AC360" i="14" s="1"/>
  <c r="AM331" i="14"/>
  <c r="AJ331" i="14"/>
  <c r="Z331" i="14" s="1"/>
  <c r="AP396" i="14"/>
  <c r="AS396" i="14" s="1"/>
  <c r="AN327" i="14"/>
  <c r="AI327" i="14"/>
  <c r="AA327" i="14" s="1"/>
  <c r="AD327" i="14" s="1"/>
  <c r="AJ251" i="14"/>
  <c r="Z251" i="14" s="1"/>
  <c r="AM251" i="14"/>
  <c r="AO251" i="14" s="1"/>
  <c r="AQ251" i="14" s="1"/>
  <c r="AP332" i="14"/>
  <c r="AS332" i="14" s="1"/>
  <c r="BK245" i="14"/>
  <c r="AI279" i="14"/>
  <c r="AA279" i="14" s="1"/>
  <c r="AD279" i="14" s="1"/>
  <c r="AI225" i="14"/>
  <c r="AA225" i="14" s="1"/>
  <c r="AD225" i="14" s="1"/>
  <c r="AI322" i="14"/>
  <c r="AA322" i="14" s="1"/>
  <c r="AD322" i="14" s="1"/>
  <c r="AN322" i="14"/>
  <c r="AM276" i="14"/>
  <c r="AM249" i="14"/>
  <c r="AO249" i="14" s="1"/>
  <c r="BK287" i="14"/>
  <c r="AM387" i="14"/>
  <c r="AJ263" i="14"/>
  <c r="Z263" i="14" s="1"/>
  <c r="AE263" i="14" s="1"/>
  <c r="AC263" i="14" s="1"/>
  <c r="AJ262" i="14"/>
  <c r="Z262" i="14" s="1"/>
  <c r="AE262" i="14" s="1"/>
  <c r="BK406" i="14"/>
  <c r="BK274" i="14"/>
  <c r="AI257" i="14"/>
  <c r="AA257" i="14" s="1"/>
  <c r="AD257" i="14" s="1"/>
  <c r="AM235" i="14"/>
  <c r="AI303" i="14"/>
  <c r="AA303" i="14" s="1"/>
  <c r="AD303" i="14" s="1"/>
  <c r="AM271" i="14"/>
  <c r="AJ265" i="14"/>
  <c r="Z265" i="14" s="1"/>
  <c r="AM265" i="14"/>
  <c r="AM263" i="14"/>
  <c r="AO263" i="14" s="1"/>
  <c r="AJ249" i="14"/>
  <c r="Z249" i="14" s="1"/>
  <c r="AE249" i="14" s="1"/>
  <c r="BK340" i="14"/>
  <c r="AI241" i="14"/>
  <c r="AA241" i="14" s="1"/>
  <c r="AD241" i="14" s="1"/>
  <c r="AM379" i="14"/>
  <c r="AJ379" i="14"/>
  <c r="Z379" i="14" s="1"/>
  <c r="AM361" i="14"/>
  <c r="AO361" i="14" s="1"/>
  <c r="AM347" i="14"/>
  <c r="AJ330" i="14"/>
  <c r="Z330" i="14" s="1"/>
  <c r="AE330" i="14" s="1"/>
  <c r="AM330" i="14"/>
  <c r="AS377" i="14"/>
  <c r="AJ361" i="14"/>
  <c r="Z361" i="14" s="1"/>
  <c r="AE361" i="14" s="1"/>
  <c r="AJ342" i="14"/>
  <c r="Z342" i="14" s="1"/>
  <c r="AE342" i="14" s="1"/>
  <c r="AJ314" i="14"/>
  <c r="Z314" i="14" s="1"/>
  <c r="AM314" i="14"/>
  <c r="AJ214" i="14"/>
  <c r="Z214" i="14" s="1"/>
  <c r="AE214" i="14" s="1"/>
  <c r="AJ337" i="14"/>
  <c r="Z337" i="14" s="1"/>
  <c r="AM359" i="14"/>
  <c r="AM355" i="14"/>
  <c r="AO355" i="14" s="1"/>
  <c r="AM214" i="14"/>
  <c r="AO214" i="14" s="1"/>
  <c r="AJ355" i="14"/>
  <c r="Z355" i="14" s="1"/>
  <c r="AE355" i="14" s="1"/>
  <c r="AM366" i="14"/>
  <c r="AO366" i="14" s="1"/>
  <c r="AJ366" i="14"/>
  <c r="Z366" i="14" s="1"/>
  <c r="AE366" i="14" s="1"/>
  <c r="AM246" i="14"/>
  <c r="BK278" i="14"/>
  <c r="BK310" i="14"/>
  <c r="BK344" i="14"/>
  <c r="AM407" i="14"/>
  <c r="AN346" i="14"/>
  <c r="AJ393" i="14"/>
  <c r="Z393" i="14" s="1"/>
  <c r="AE393" i="14" s="1"/>
  <c r="AM393" i="14"/>
  <c r="AJ254" i="14"/>
  <c r="Z254" i="14" s="1"/>
  <c r="AJ353" i="14"/>
  <c r="Z353" i="14" s="1"/>
  <c r="AE353" i="14" s="1"/>
  <c r="BK233" i="14"/>
  <c r="AM241" i="14"/>
  <c r="AO241" i="14" s="1"/>
  <c r="AJ241" i="14"/>
  <c r="Z241" i="14" s="1"/>
  <c r="AE241" i="14" s="1"/>
  <c r="AJ236" i="14"/>
  <c r="Z236" i="14" s="1"/>
  <c r="AE236" i="14" s="1"/>
  <c r="AM254" i="14"/>
  <c r="AO254" i="14" s="1"/>
  <c r="AJ356" i="14"/>
  <c r="Z356" i="14" s="1"/>
  <c r="AM356" i="14"/>
  <c r="AP382" i="14"/>
  <c r="AS382" i="14" s="1"/>
  <c r="AJ284" i="14"/>
  <c r="Z284" i="14" s="1"/>
  <c r="AE284" i="14" s="1"/>
  <c r="AM354" i="14"/>
  <c r="AJ228" i="14"/>
  <c r="Z228" i="14" s="1"/>
  <c r="AE228" i="14" s="1"/>
  <c r="AM284" i="14"/>
  <c r="AO284" i="14" s="1"/>
  <c r="AN335" i="14"/>
  <c r="AP335" i="14" s="1"/>
  <c r="AJ343" i="14"/>
  <c r="Z343" i="14" s="1"/>
  <c r="AE343" i="14" s="1"/>
  <c r="AM343" i="14"/>
  <c r="AI335" i="14"/>
  <c r="AA335" i="14" s="1"/>
  <c r="AD335" i="14" s="1"/>
  <c r="AJ256" i="14"/>
  <c r="Z256" i="14" s="1"/>
  <c r="AJ352" i="14"/>
  <c r="Z352" i="14" s="1"/>
  <c r="AM352" i="14"/>
  <c r="AM301" i="14"/>
  <c r="AJ397" i="14"/>
  <c r="Z397" i="14" s="1"/>
  <c r="AD362" i="14"/>
  <c r="BK308" i="14"/>
  <c r="BK396" i="14"/>
  <c r="AJ274" i="14"/>
  <c r="Z274" i="14" s="1"/>
  <c r="AE274" i="14" s="1"/>
  <c r="AC274" i="14" s="1"/>
  <c r="AM326" i="14"/>
  <c r="AN370" i="14"/>
  <c r="AM377" i="14"/>
  <c r="AP365" i="14"/>
  <c r="AS365" i="14" s="1"/>
  <c r="BK219" i="14"/>
  <c r="BK334" i="14"/>
  <c r="AJ357" i="14"/>
  <c r="Z357" i="14" s="1"/>
  <c r="AM350" i="14"/>
  <c r="AO350" i="14" s="1"/>
  <c r="AI309" i="14"/>
  <c r="AA309" i="14" s="1"/>
  <c r="AD309" i="14" s="1"/>
  <c r="AM327" i="14"/>
  <c r="AJ327" i="14"/>
  <c r="Z327" i="14" s="1"/>
  <c r="AN343" i="14"/>
  <c r="AI343" i="14"/>
  <c r="AA343" i="14" s="1"/>
  <c r="AJ348" i="14"/>
  <c r="Z348" i="14" s="1"/>
  <c r="AB348" i="14" s="1"/>
  <c r="AM319" i="14"/>
  <c r="AM239" i="14"/>
  <c r="AO239" i="14" s="1"/>
  <c r="AJ239" i="14"/>
  <c r="Z239" i="14" s="1"/>
  <c r="AP240" i="14"/>
  <c r="AS240" i="14" s="1"/>
  <c r="AJ311" i="14"/>
  <c r="Z311" i="14" s="1"/>
  <c r="AE311" i="14" s="1"/>
  <c r="AM238" i="14"/>
  <c r="AO238" i="14" s="1"/>
  <c r="AQ238" i="14" s="1"/>
  <c r="AI255" i="14"/>
  <c r="AA255" i="14" s="1"/>
  <c r="AD255" i="14" s="1"/>
  <c r="AJ238" i="14"/>
  <c r="Z238" i="14" s="1"/>
  <c r="AJ225" i="14"/>
  <c r="Z225" i="14" s="1"/>
  <c r="AM309" i="14"/>
  <c r="AO309" i="14" s="1"/>
  <c r="AM408" i="14"/>
  <c r="AJ309" i="14"/>
  <c r="Z309" i="14" s="1"/>
  <c r="AP340" i="14"/>
  <c r="AS340" i="14" s="1"/>
  <c r="AN395" i="14"/>
  <c r="AP344" i="14"/>
  <c r="AS344" i="14" s="1"/>
  <c r="AJ281" i="14"/>
  <c r="Z281" i="14" s="1"/>
  <c r="AE281" i="14" s="1"/>
  <c r="AI236" i="14"/>
  <c r="AA236" i="14" s="1"/>
  <c r="AD236" i="14" s="1"/>
  <c r="AI354" i="14"/>
  <c r="AA354" i="14" s="1"/>
  <c r="AJ390" i="14"/>
  <c r="Z390" i="14" s="1"/>
  <c r="AB390" i="14" s="1"/>
  <c r="AM242" i="14"/>
  <c r="AP229" i="14"/>
  <c r="AS229" i="14" s="1"/>
  <c r="AP374" i="14"/>
  <c r="AS374" i="14" s="1"/>
  <c r="AP314" i="14"/>
  <c r="AS314" i="14" s="1"/>
  <c r="AP406" i="14"/>
  <c r="AJ335" i="14"/>
  <c r="Z335" i="14" s="1"/>
  <c r="AE335" i="14" s="1"/>
  <c r="AM335" i="14"/>
  <c r="AO335" i="14" s="1"/>
  <c r="AP276" i="14"/>
  <c r="AS276" i="14" s="1"/>
  <c r="BK408" i="14"/>
  <c r="AM398" i="14"/>
  <c r="AO398" i="14" s="1"/>
  <c r="AN235" i="14"/>
  <c r="AI235" i="14"/>
  <c r="AA235" i="14" s="1"/>
  <c r="AJ279" i="14"/>
  <c r="Z279" i="14" s="1"/>
  <c r="AM279" i="14"/>
  <c r="AJ270" i="14"/>
  <c r="Z270" i="14" s="1"/>
  <c r="AN262" i="14"/>
  <c r="AI262" i="14"/>
  <c r="AA262" i="14" s="1"/>
  <c r="BK328" i="14"/>
  <c r="AM317" i="14"/>
  <c r="AJ317" i="14"/>
  <c r="Z317" i="14" s="1"/>
  <c r="AC221" i="14"/>
  <c r="AM384" i="14"/>
  <c r="AM333" i="14"/>
  <c r="AO333" i="14" s="1"/>
  <c r="AM260" i="14"/>
  <c r="AJ333" i="14"/>
  <c r="Z333" i="14" s="1"/>
  <c r="AE333" i="14" s="1"/>
  <c r="AJ398" i="14"/>
  <c r="Z398" i="14" s="1"/>
  <c r="AM372" i="14"/>
  <c r="AJ372" i="14"/>
  <c r="Z372" i="14" s="1"/>
  <c r="BK363" i="14"/>
  <c r="AJ215" i="14"/>
  <c r="Z215" i="14" s="1"/>
  <c r="AE215" i="14" s="1"/>
  <c r="AM215" i="14"/>
  <c r="AJ346" i="14"/>
  <c r="Z346" i="14" s="1"/>
  <c r="AM346" i="14"/>
  <c r="AJ280" i="14"/>
  <c r="Z280" i="14" s="1"/>
  <c r="AM280" i="14"/>
  <c r="AN255" i="14"/>
  <c r="AP255" i="14" s="1"/>
  <c r="AP404" i="14"/>
  <c r="AS404" i="14" s="1"/>
  <c r="AJ296" i="14"/>
  <c r="Z296" i="14" s="1"/>
  <c r="AM296" i="14"/>
  <c r="AM339" i="14"/>
  <c r="AJ258" i="14"/>
  <c r="Z258" i="14" s="1"/>
  <c r="AM258" i="14"/>
  <c r="AO258" i="14" s="1"/>
  <c r="AQ258" i="14" s="1"/>
  <c r="AM396" i="14"/>
  <c r="AJ222" i="14"/>
  <c r="Z222" i="14" s="1"/>
  <c r="AJ295" i="14"/>
  <c r="Z295" i="14" s="1"/>
  <c r="AE295" i="14" s="1"/>
  <c r="AM306" i="14"/>
  <c r="AN228" i="14"/>
  <c r="AI228" i="14"/>
  <c r="AA228" i="14" s="1"/>
  <c r="AD228" i="14" s="1"/>
  <c r="AN236" i="14"/>
  <c r="AP236" i="14" s="1"/>
  <c r="AM334" i="14"/>
  <c r="AP409" i="14"/>
  <c r="AS409" i="14" s="1"/>
  <c r="AP272" i="14"/>
  <c r="AS272" i="14" s="1"/>
  <c r="BK377" i="14"/>
  <c r="AP356" i="14"/>
  <c r="AS356" i="14" s="1"/>
  <c r="AN242" i="14"/>
  <c r="AI242" i="14"/>
  <c r="AA242" i="14" s="1"/>
  <c r="AD393" i="14"/>
  <c r="AI249" i="14"/>
  <c r="AA249" i="14" s="1"/>
  <c r="AN249" i="14"/>
  <c r="AP357" i="14"/>
  <c r="AS357" i="14" s="1"/>
  <c r="AJ300" i="14"/>
  <c r="Z300" i="14" s="1"/>
  <c r="AJ234" i="14"/>
  <c r="Z234" i="14" s="1"/>
  <c r="AM234" i="14"/>
  <c r="AM388" i="14"/>
  <c r="AJ388" i="14"/>
  <c r="Z388" i="14" s="1"/>
  <c r="AM308" i="14"/>
  <c r="AJ308" i="14"/>
  <c r="Z308" i="14" s="1"/>
  <c r="AI286" i="14"/>
  <c r="AA286" i="14" s="1"/>
  <c r="AD286" i="14" s="1"/>
  <c r="AN286" i="14"/>
  <c r="AN369" i="14"/>
  <c r="AI369" i="14"/>
  <c r="AA369" i="14" s="1"/>
  <c r="AP311" i="14"/>
  <c r="AS311" i="14" s="1"/>
  <c r="AD330" i="14"/>
  <c r="AP330" i="14"/>
  <c r="AN366" i="14"/>
  <c r="AI366" i="14"/>
  <c r="AA366" i="14" s="1"/>
  <c r="AD366" i="14" s="1"/>
  <c r="AN392" i="14"/>
  <c r="AI392" i="14"/>
  <c r="AA392" i="14" s="1"/>
  <c r="AI334" i="14"/>
  <c r="AA334" i="14" s="1"/>
  <c r="AN334" i="14"/>
  <c r="AJ315" i="14"/>
  <c r="Z315" i="14" s="1"/>
  <c r="AM315" i="14"/>
  <c r="AM323" i="14"/>
  <c r="AJ323" i="14"/>
  <c r="Z323" i="14" s="1"/>
  <c r="AI287" i="14"/>
  <c r="AA287" i="14" s="1"/>
  <c r="AN287" i="14"/>
  <c r="AI325" i="14"/>
  <c r="AA325" i="14" s="1"/>
  <c r="AD325" i="14" s="1"/>
  <c r="AN325" i="14"/>
  <c r="AP363" i="14"/>
  <c r="AS363" i="14" s="1"/>
  <c r="AP389" i="14"/>
  <c r="AS389" i="14" s="1"/>
  <c r="AJ255" i="14"/>
  <c r="Z255" i="14" s="1"/>
  <c r="AE255" i="14" s="1"/>
  <c r="AM219" i="14"/>
  <c r="AP215" i="14"/>
  <c r="AD215" i="14"/>
  <c r="AM336" i="14"/>
  <c r="AJ332" i="14"/>
  <c r="Z332" i="14" s="1"/>
  <c r="AM385" i="14"/>
  <c r="AJ385" i="14"/>
  <c r="Z385" i="14" s="1"/>
  <c r="AJ318" i="14"/>
  <c r="Z318" i="14" s="1"/>
  <c r="AM402" i="14"/>
  <c r="AJ402" i="14"/>
  <c r="Z402" i="14" s="1"/>
  <c r="AM282" i="14"/>
  <c r="AM345" i="14"/>
  <c r="AJ345" i="14"/>
  <c r="Z345" i="14" s="1"/>
  <c r="AM252" i="14"/>
  <c r="AJ252" i="14"/>
  <c r="Z252" i="14" s="1"/>
  <c r="AM244" i="14"/>
  <c r="AJ244" i="14"/>
  <c r="Z244" i="14" s="1"/>
  <c r="AJ380" i="14"/>
  <c r="Z380" i="14" s="1"/>
  <c r="AM243" i="14"/>
  <c r="AM375" i="14"/>
  <c r="AO375" i="14" s="1"/>
  <c r="AQ375" i="14" s="1"/>
  <c r="AJ375" i="14"/>
  <c r="Z375" i="14" s="1"/>
  <c r="AM328" i="14"/>
  <c r="AJ328" i="14"/>
  <c r="Z328" i="14" s="1"/>
  <c r="AM286" i="14"/>
  <c r="AJ286" i="14"/>
  <c r="Z286" i="14" s="1"/>
  <c r="AJ405" i="14"/>
  <c r="Z405" i="14" s="1"/>
  <c r="AM405" i="14"/>
  <c r="AM383" i="14"/>
  <c r="AJ383" i="14"/>
  <c r="Z383" i="14" s="1"/>
  <c r="AE383" i="14" s="1"/>
  <c r="AJ213" i="14"/>
  <c r="Z213" i="14" s="1"/>
  <c r="AM213" i="14"/>
  <c r="AJ273" i="14"/>
  <c r="Z273" i="14" s="1"/>
  <c r="AM363" i="14"/>
  <c r="AJ363" i="14"/>
  <c r="Z363" i="14" s="1"/>
  <c r="AJ233" i="14"/>
  <c r="Z233" i="14" s="1"/>
  <c r="AM233" i="14"/>
  <c r="AJ413" i="14"/>
  <c r="Z413" i="14" s="1"/>
  <c r="AE413" i="14" s="1"/>
  <c r="AM413" i="14"/>
  <c r="AM248" i="14"/>
  <c r="AJ248" i="14"/>
  <c r="Z248" i="14" s="1"/>
  <c r="AB219" i="14" l="1"/>
  <c r="AS219" i="14"/>
  <c r="AS379" i="14"/>
  <c r="AS248" i="14"/>
  <c r="AM371" i="14"/>
  <c r="AK371" i="14"/>
  <c r="AS373" i="14"/>
  <c r="AS247" i="14"/>
  <c r="AB247" i="14"/>
  <c r="AO289" i="14"/>
  <c r="AQ289" i="14" s="1"/>
  <c r="AP259" i="14"/>
  <c r="AS259" i="14" s="1"/>
  <c r="AO287" i="14"/>
  <c r="AR287" i="14" s="1"/>
  <c r="AO221" i="14"/>
  <c r="AQ221" i="14" s="1"/>
  <c r="AR272" i="14"/>
  <c r="BN272" i="14" s="1"/>
  <c r="AB272" i="14"/>
  <c r="AB362" i="14"/>
  <c r="AB306" i="14"/>
  <c r="AB224" i="14"/>
  <c r="AB376" i="14"/>
  <c r="AQ373" i="14"/>
  <c r="AO253" i="14"/>
  <c r="AQ253" i="14" s="1"/>
  <c r="AO390" i="14"/>
  <c r="AQ390" i="14" s="1"/>
  <c r="AQ304" i="14"/>
  <c r="AB396" i="14"/>
  <c r="AB407" i="14"/>
  <c r="AB310" i="14"/>
  <c r="AC370" i="14"/>
  <c r="AB282" i="14"/>
  <c r="AQ263" i="14"/>
  <c r="AO222" i="14"/>
  <c r="AQ222" i="14" s="1"/>
  <c r="AO358" i="14"/>
  <c r="AQ358" i="14" s="1"/>
  <c r="AB351" i="14"/>
  <c r="AQ350" i="14"/>
  <c r="AO277" i="14"/>
  <c r="AQ277" i="14" s="1"/>
  <c r="AO264" i="14"/>
  <c r="AR264" i="14" s="1"/>
  <c r="AO329" i="14"/>
  <c r="AQ329" i="14" s="1"/>
  <c r="AE268" i="14"/>
  <c r="AC268" i="14" s="1"/>
  <c r="AO218" i="14"/>
  <c r="AR218" i="14" s="1"/>
  <c r="AO394" i="14"/>
  <c r="AQ394" i="14" s="1"/>
  <c r="AO273" i="14"/>
  <c r="AQ273" i="14" s="1"/>
  <c r="AO300" i="14"/>
  <c r="AQ300" i="14" s="1"/>
  <c r="AO231" i="14"/>
  <c r="AQ231" i="14" s="1"/>
  <c r="AO380" i="14"/>
  <c r="AQ380" i="14" s="1"/>
  <c r="AO311" i="14"/>
  <c r="AQ311" i="14" s="1"/>
  <c r="AP241" i="14"/>
  <c r="AQ241" i="14" s="1"/>
  <c r="AP398" i="14"/>
  <c r="AQ398" i="14" s="1"/>
  <c r="AC391" i="14"/>
  <c r="AE219" i="14"/>
  <c r="AC219" i="14" s="1"/>
  <c r="AC302" i="14"/>
  <c r="AC288" i="14"/>
  <c r="AO274" i="14"/>
  <c r="AQ274" i="14" s="1"/>
  <c r="AO281" i="14"/>
  <c r="AQ281" i="14" s="1"/>
  <c r="AO228" i="14"/>
  <c r="AR228" i="14" s="1"/>
  <c r="AP384" i="14"/>
  <c r="AS384" i="14" s="1"/>
  <c r="AP283" i="14"/>
  <c r="AS283" i="14" s="1"/>
  <c r="AP257" i="14"/>
  <c r="AQ257" i="14" s="1"/>
  <c r="AQ362" i="14"/>
  <c r="AB374" i="14"/>
  <c r="AB359" i="14"/>
  <c r="AO332" i="14"/>
  <c r="AQ332" i="14" s="1"/>
  <c r="AO313" i="14"/>
  <c r="AQ313" i="14" s="1"/>
  <c r="AO351" i="14"/>
  <c r="AO368" i="14"/>
  <c r="AQ368" i="14" s="1"/>
  <c r="AO295" i="14"/>
  <c r="AQ295" i="14" s="1"/>
  <c r="AO270" i="14"/>
  <c r="AP299" i="14"/>
  <c r="AQ299" i="14" s="1"/>
  <c r="AP324" i="14"/>
  <c r="AQ324" i="14" s="1"/>
  <c r="AP232" i="14"/>
  <c r="AQ232" i="14" s="1"/>
  <c r="AP333" i="14"/>
  <c r="AQ333" i="14" s="1"/>
  <c r="AP337" i="14"/>
  <c r="AS337" i="14" s="1"/>
  <c r="AO236" i="14"/>
  <c r="AQ236" i="14" s="1"/>
  <c r="AO256" i="14"/>
  <c r="AQ256" i="14" s="1"/>
  <c r="AP309" i="14"/>
  <c r="AQ309" i="14" s="1"/>
  <c r="AB339" i="14"/>
  <c r="AB411" i="14"/>
  <c r="AC381" i="14"/>
  <c r="AB365" i="14"/>
  <c r="AB354" i="14"/>
  <c r="AB381" i="14"/>
  <c r="AB326" i="14"/>
  <c r="AB371" i="14"/>
  <c r="AB243" i="14"/>
  <c r="AP271" i="14"/>
  <c r="AS271" i="14" s="1"/>
  <c r="AC246" i="14"/>
  <c r="AP354" i="14"/>
  <c r="AB246" i="14"/>
  <c r="AC336" i="14"/>
  <c r="AB391" i="14"/>
  <c r="AB293" i="14"/>
  <c r="AB387" i="14"/>
  <c r="AB377" i="14"/>
  <c r="AC291" i="14"/>
  <c r="AQ239" i="14"/>
  <c r="AB400" i="14"/>
  <c r="AO318" i="14"/>
  <c r="AQ318" i="14" s="1"/>
  <c r="AB408" i="14"/>
  <c r="AB399" i="14"/>
  <c r="AB403" i="14"/>
  <c r="AP305" i="14"/>
  <c r="AP265" i="14"/>
  <c r="AS265" i="14" s="1"/>
  <c r="AP378" i="14"/>
  <c r="AQ378" i="14" s="1"/>
  <c r="AP388" i="14"/>
  <c r="AS388" i="14" s="1"/>
  <c r="AQ297" i="14"/>
  <c r="AO255" i="14"/>
  <c r="AQ255" i="14" s="1"/>
  <c r="AO342" i="14"/>
  <c r="AQ342" i="14" s="1"/>
  <c r="AO409" i="14"/>
  <c r="AQ409" i="14" s="1"/>
  <c r="AO392" i="14"/>
  <c r="AR392" i="14" s="1"/>
  <c r="AO262" i="14"/>
  <c r="AR262" i="14" s="1"/>
  <c r="AO353" i="14"/>
  <c r="AQ353" i="14" s="1"/>
  <c r="AP307" i="14"/>
  <c r="AQ307" i="14" s="1"/>
  <c r="AP252" i="14"/>
  <c r="AS252" i="14" s="1"/>
  <c r="AP336" i="14"/>
  <c r="AS336" i="14" s="1"/>
  <c r="AP279" i="14"/>
  <c r="AS279" i="14" s="1"/>
  <c r="AP303" i="14"/>
  <c r="AQ303" i="14" s="1"/>
  <c r="AP225" i="14"/>
  <c r="AQ225" i="14" s="1"/>
  <c r="AB240" i="14"/>
  <c r="AB338" i="14"/>
  <c r="AQ312" i="14"/>
  <c r="AO322" i="14"/>
  <c r="AR322" i="14" s="1"/>
  <c r="AO292" i="14"/>
  <c r="AQ292" i="14" s="1"/>
  <c r="AO275" i="14"/>
  <c r="AQ275" i="14" s="1"/>
  <c r="AO348" i="14"/>
  <c r="AQ348" i="14" s="1"/>
  <c r="AO247" i="14"/>
  <c r="AQ247" i="14" s="1"/>
  <c r="AE285" i="14"/>
  <c r="AC285" i="14" s="1"/>
  <c r="AB291" i="14"/>
  <c r="AO298" i="14"/>
  <c r="AQ298" i="14" s="1"/>
  <c r="AP407" i="14"/>
  <c r="AP250" i="14"/>
  <c r="AP364" i="14"/>
  <c r="AQ364" i="14" s="1"/>
  <c r="AP254" i="14"/>
  <c r="AQ254" i="14" s="1"/>
  <c r="AB217" i="14"/>
  <c r="AC384" i="14"/>
  <c r="AB347" i="14"/>
  <c r="AB321" i="14"/>
  <c r="AO259" i="14"/>
  <c r="AR259" i="14" s="1"/>
  <c r="AO229" i="14"/>
  <c r="AQ229" i="14" s="1"/>
  <c r="AB301" i="14"/>
  <c r="AB260" i="14"/>
  <c r="AB276" i="14"/>
  <c r="AR324" i="14"/>
  <c r="AO337" i="14"/>
  <c r="AO288" i="14"/>
  <c r="AR288" i="14" s="1"/>
  <c r="AO269" i="14"/>
  <c r="AQ269" i="14" s="1"/>
  <c r="AO386" i="14"/>
  <c r="AQ386" i="14" s="1"/>
  <c r="AO266" i="14"/>
  <c r="AQ266" i="14" s="1"/>
  <c r="AO245" i="14"/>
  <c r="AQ245" i="14" s="1"/>
  <c r="AO397" i="14"/>
  <c r="AQ397" i="14" s="1"/>
  <c r="AB319" i="14"/>
  <c r="AB367" i="14"/>
  <c r="AE382" i="14"/>
  <c r="AC382" i="14" s="1"/>
  <c r="AR297" i="14"/>
  <c r="BN297" i="14" s="1"/>
  <c r="AS267" i="14"/>
  <c r="AE358" i="14"/>
  <c r="AC358" i="14" s="1"/>
  <c r="AQ406" i="14"/>
  <c r="AS368" i="14"/>
  <c r="AQ227" i="14"/>
  <c r="AS302" i="14"/>
  <c r="AR364" i="14"/>
  <c r="AS410" i="14"/>
  <c r="AR341" i="14"/>
  <c r="BN341" i="14" s="1"/>
  <c r="AB336" i="14"/>
  <c r="AR307" i="14"/>
  <c r="AS227" i="14"/>
  <c r="AR278" i="14"/>
  <c r="BN278" i="14" s="1"/>
  <c r="AS281" i="14"/>
  <c r="AR366" i="14"/>
  <c r="AE321" i="14"/>
  <c r="AC321" i="14" s="1"/>
  <c r="AR333" i="14"/>
  <c r="AS273" i="14"/>
  <c r="AE266" i="14"/>
  <c r="AC266" i="14" s="1"/>
  <c r="AR230" i="14"/>
  <c r="BN230" i="14" s="1"/>
  <c r="AS413" i="14"/>
  <c r="AR406" i="14"/>
  <c r="AR303" i="14"/>
  <c r="AR227" i="14"/>
  <c r="AS277" i="14"/>
  <c r="AR267" i="14"/>
  <c r="AR214" i="14"/>
  <c r="BN214" i="14" s="1"/>
  <c r="AS335" i="14"/>
  <c r="AS361" i="14"/>
  <c r="AS383" i="14"/>
  <c r="AS255" i="14"/>
  <c r="AR350" i="14"/>
  <c r="BN350" i="14" s="1"/>
  <c r="AR232" i="14"/>
  <c r="AS342" i="14"/>
  <c r="AR335" i="14"/>
  <c r="AR261" i="14"/>
  <c r="AR355" i="14"/>
  <c r="AS318" i="14"/>
  <c r="AR373" i="14"/>
  <c r="AR312" i="14"/>
  <c r="BN312" i="14" s="1"/>
  <c r="AS406" i="14"/>
  <c r="AR241" i="14"/>
  <c r="AR361" i="14"/>
  <c r="AS397" i="14"/>
  <c r="AS402" i="14"/>
  <c r="AR362" i="14"/>
  <c r="AR257" i="14"/>
  <c r="AR378" i="14"/>
  <c r="AR395" i="14"/>
  <c r="AR284" i="14"/>
  <c r="AR299" i="14"/>
  <c r="AR381" i="14"/>
  <c r="AB261" i="14"/>
  <c r="AC261" i="14"/>
  <c r="AP246" i="14"/>
  <c r="AS246" i="14" s="1"/>
  <c r="AB395" i="14"/>
  <c r="AS316" i="14"/>
  <c r="AE298" i="14"/>
  <c r="AQ344" i="14"/>
  <c r="AE226" i="14"/>
  <c r="AB341" i="14"/>
  <c r="AP291" i="14"/>
  <c r="AS291" i="14" s="1"/>
  <c r="AO305" i="14"/>
  <c r="AC253" i="14"/>
  <c r="AO250" i="14"/>
  <c r="AR250" i="14" s="1"/>
  <c r="AE223" i="14"/>
  <c r="AC223" i="14" s="1"/>
  <c r="AC342" i="14"/>
  <c r="AQ361" i="14"/>
  <c r="AB271" i="14"/>
  <c r="AB253" i="14"/>
  <c r="AC406" i="14"/>
  <c r="AE386" i="14"/>
  <c r="AO293" i="14"/>
  <c r="AO403" i="14"/>
  <c r="AO224" i="14"/>
  <c r="AP351" i="14"/>
  <c r="AE231" i="14"/>
  <c r="AC410" i="14"/>
  <c r="AB283" i="14"/>
  <c r="AC283" i="14"/>
  <c r="AB302" i="14"/>
  <c r="AC271" i="14"/>
  <c r="AB312" i="14"/>
  <c r="AO369" i="14"/>
  <c r="AR369" i="14" s="1"/>
  <c r="AQ294" i="14"/>
  <c r="AP391" i="14"/>
  <c r="AS391" i="14" s="1"/>
  <c r="AD407" i="14"/>
  <c r="AB230" i="14"/>
  <c r="AB378" i="14"/>
  <c r="AC230" i="14"/>
  <c r="AB337" i="14"/>
  <c r="AP381" i="14"/>
  <c r="AB406" i="14"/>
  <c r="AC267" i="14"/>
  <c r="AB267" i="14"/>
  <c r="AC312" i="14"/>
  <c r="AO237" i="14"/>
  <c r="AR237" i="14" s="1"/>
  <c r="AO399" i="14"/>
  <c r="AB273" i="14"/>
  <c r="AQ220" i="14"/>
  <c r="AO291" i="14"/>
  <c r="AR291" i="14" s="1"/>
  <c r="AO382" i="14"/>
  <c r="AQ382" i="14" s="1"/>
  <c r="AQ389" i="14"/>
  <c r="AE349" i="14"/>
  <c r="AC349" i="14" s="1"/>
  <c r="AC307" i="14"/>
  <c r="AC227" i="14"/>
  <c r="AO240" i="14"/>
  <c r="AE304" i="14"/>
  <c r="AB304" i="14"/>
  <c r="AS320" i="14"/>
  <c r="AQ267" i="14"/>
  <c r="AO338" i="14"/>
  <c r="AP218" i="14"/>
  <c r="AE269" i="14"/>
  <c r="AE275" i="14"/>
  <c r="AC275" i="14" s="1"/>
  <c r="AE247" i="14"/>
  <c r="AC247" i="14" s="1"/>
  <c r="AB259" i="14"/>
  <c r="AC303" i="14"/>
  <c r="AS284" i="14"/>
  <c r="AC313" i="14"/>
  <c r="AC364" i="14"/>
  <c r="AB288" i="14"/>
  <c r="AE344" i="14"/>
  <c r="AC344" i="14" s="1"/>
  <c r="AB227" i="14"/>
  <c r="AB364" i="14"/>
  <c r="AB313" i="14"/>
  <c r="AQ320" i="14"/>
  <c r="AO374" i="14"/>
  <c r="AB245" i="14"/>
  <c r="AB384" i="14"/>
  <c r="AE389" i="14"/>
  <c r="AC389" i="14" s="1"/>
  <c r="AO217" i="14"/>
  <c r="AO302" i="14"/>
  <c r="AE229" i="14"/>
  <c r="AC229" i="14" s="1"/>
  <c r="AO411" i="14"/>
  <c r="AC299" i="14"/>
  <c r="AB370" i="14"/>
  <c r="AB299" i="14"/>
  <c r="AC355" i="14"/>
  <c r="AC241" i="14"/>
  <c r="AE294" i="14"/>
  <c r="AB294" i="14"/>
  <c r="AB274" i="14"/>
  <c r="AB324" i="14"/>
  <c r="AC324" i="14"/>
  <c r="AB232" i="14"/>
  <c r="AP345" i="14"/>
  <c r="AS345" i="14" s="1"/>
  <c r="AC232" i="14"/>
  <c r="AP321" i="14"/>
  <c r="AE325" i="14"/>
  <c r="AC325" i="14" s="1"/>
  <c r="AR249" i="14"/>
  <c r="AB297" i="14"/>
  <c r="AB307" i="14"/>
  <c r="AP237" i="14"/>
  <c r="AC297" i="14"/>
  <c r="AO268" i="14"/>
  <c r="AQ268" i="14" s="1"/>
  <c r="AO216" i="14"/>
  <c r="AE394" i="14"/>
  <c r="AC394" i="14" s="1"/>
  <c r="AB394" i="14"/>
  <c r="AC284" i="14"/>
  <c r="AO310" i="14"/>
  <c r="AO367" i="14"/>
  <c r="AO370" i="14"/>
  <c r="AR370" i="14" s="1"/>
  <c r="AD237" i="14"/>
  <c r="AB237" i="14"/>
  <c r="AE320" i="14"/>
  <c r="AB320" i="14"/>
  <c r="AB250" i="14"/>
  <c r="AD250" i="14"/>
  <c r="AC250" i="14" s="1"/>
  <c r="AO404" i="14"/>
  <c r="AQ404" i="14" s="1"/>
  <c r="AE404" i="14"/>
  <c r="AB404" i="14"/>
  <c r="AB303" i="14"/>
  <c r="AB220" i="14"/>
  <c r="AE290" i="14"/>
  <c r="AC290" i="14" s="1"/>
  <c r="AR220" i="14"/>
  <c r="BN220" i="14" s="1"/>
  <c r="AC383" i="14"/>
  <c r="AC371" i="14"/>
  <c r="AQ284" i="14"/>
  <c r="AC278" i="14"/>
  <c r="AP264" i="14"/>
  <c r="AC236" i="14"/>
  <c r="AD378" i="14"/>
  <c r="AC378" i="14" s="1"/>
  <c r="AC257" i="14"/>
  <c r="AB353" i="14"/>
  <c r="AB257" i="14"/>
  <c r="AO359" i="14"/>
  <c r="AB278" i="14"/>
  <c r="AC353" i="14"/>
  <c r="AB292" i="14"/>
  <c r="AB329" i="14"/>
  <c r="AB330" i="14"/>
  <c r="AB355" i="14"/>
  <c r="AQ214" i="14"/>
  <c r="AQ230" i="14"/>
  <c r="AC329" i="14"/>
  <c r="AB218" i="14"/>
  <c r="AO391" i="14"/>
  <c r="AR391" i="14" s="1"/>
  <c r="AC373" i="14"/>
  <c r="AP346" i="14"/>
  <c r="AS346" i="14" s="1"/>
  <c r="AO377" i="14"/>
  <c r="AO276" i="14"/>
  <c r="AO400" i="14"/>
  <c r="AO347" i="14"/>
  <c r="AO407" i="14"/>
  <c r="AP288" i="14"/>
  <c r="AB236" i="14"/>
  <c r="AC322" i="14"/>
  <c r="AQ357" i="14"/>
  <c r="AC350" i="14"/>
  <c r="AO301" i="14"/>
  <c r="AO376" i="14"/>
  <c r="AO365" i="14"/>
  <c r="AS236" i="14"/>
  <c r="AB264" i="14"/>
  <c r="AC264" i="14"/>
  <c r="AB350" i="14"/>
  <c r="AO285" i="14"/>
  <c r="AQ285" i="14" s="1"/>
  <c r="AP385" i="14"/>
  <c r="AS385" i="14" s="1"/>
  <c r="AB342" i="14"/>
  <c r="AB281" i="14"/>
  <c r="AQ340" i="14"/>
  <c r="AC368" i="14"/>
  <c r="AB225" i="14"/>
  <c r="AE351" i="14"/>
  <c r="AC351" i="14" s="1"/>
  <c r="AO410" i="14"/>
  <c r="AQ410" i="14" s="1"/>
  <c r="AB311" i="14"/>
  <c r="AD305" i="14"/>
  <c r="AB305" i="14"/>
  <c r="AB360" i="14"/>
  <c r="AP270" i="14"/>
  <c r="AE340" i="14"/>
  <c r="AB340" i="14"/>
  <c r="AP370" i="14"/>
  <c r="AS370" i="14" s="1"/>
  <c r="AR263" i="14"/>
  <c r="BN263" i="14" s="1"/>
  <c r="AO412" i="14"/>
  <c r="AQ412" i="14" s="1"/>
  <c r="AC214" i="14"/>
  <c r="AE412" i="14"/>
  <c r="AB412" i="14"/>
  <c r="AC335" i="14"/>
  <c r="AB214" i="14"/>
  <c r="AO306" i="14"/>
  <c r="AQ306" i="14" s="1"/>
  <c r="AE390" i="14"/>
  <c r="AC390" i="14" s="1"/>
  <c r="AO283" i="14"/>
  <c r="AP401" i="14"/>
  <c r="AB410" i="14"/>
  <c r="AC395" i="14"/>
  <c r="AB368" i="14"/>
  <c r="AC333" i="14"/>
  <c r="AB335" i="14"/>
  <c r="AB215" i="14"/>
  <c r="AP261" i="14"/>
  <c r="AP355" i="14"/>
  <c r="AC218" i="14"/>
  <c r="AB361" i="14"/>
  <c r="AO271" i="14"/>
  <c r="AD216" i="14"/>
  <c r="AB216" i="14"/>
  <c r="AO354" i="14"/>
  <c r="AE277" i="14"/>
  <c r="AB277" i="14"/>
  <c r="AO235" i="14"/>
  <c r="AR235" i="14" s="1"/>
  <c r="AB263" i="14"/>
  <c r="AB373" i="14"/>
  <c r="AC361" i="14"/>
  <c r="AE337" i="14"/>
  <c r="AC413" i="14"/>
  <c r="AO246" i="14"/>
  <c r="AR246" i="14" s="1"/>
  <c r="AB284" i="14"/>
  <c r="AP322" i="14"/>
  <c r="AO331" i="14"/>
  <c r="AQ331" i="14" s="1"/>
  <c r="AB409" i="14"/>
  <c r="AE409" i="14"/>
  <c r="AC409" i="14" s="1"/>
  <c r="AO360" i="14"/>
  <c r="AQ360" i="14" s="1"/>
  <c r="AO387" i="14"/>
  <c r="AB401" i="14"/>
  <c r="AE401" i="14"/>
  <c r="AC401" i="14" s="1"/>
  <c r="AE251" i="14"/>
  <c r="AB251" i="14"/>
  <c r="AP327" i="14"/>
  <c r="AS327" i="14" s="1"/>
  <c r="AE316" i="14"/>
  <c r="AB316" i="14"/>
  <c r="AO316" i="14"/>
  <c r="AQ316" i="14" s="1"/>
  <c r="AO379" i="14"/>
  <c r="AQ379" i="14" s="1"/>
  <c r="AB331" i="14"/>
  <c r="AE331" i="14"/>
  <c r="AO314" i="14"/>
  <c r="AQ314" i="14" s="1"/>
  <c r="AO265" i="14"/>
  <c r="AE265" i="14"/>
  <c r="AB265" i="14"/>
  <c r="AO330" i="14"/>
  <c r="AQ330" i="14" s="1"/>
  <c r="AE379" i="14"/>
  <c r="AC379" i="14" s="1"/>
  <c r="AB379" i="14"/>
  <c r="AE314" i="14"/>
  <c r="AB314" i="14"/>
  <c r="AB322" i="14"/>
  <c r="AB393" i="14"/>
  <c r="AE348" i="14"/>
  <c r="AC348" i="14" s="1"/>
  <c r="AO393" i="14"/>
  <c r="AQ393" i="14" s="1"/>
  <c r="AC311" i="14"/>
  <c r="AB241" i="14"/>
  <c r="AC228" i="14"/>
  <c r="AO356" i="14"/>
  <c r="AQ356" i="14" s="1"/>
  <c r="AE254" i="14"/>
  <c r="AB254" i="14"/>
  <c r="AQ335" i="14"/>
  <c r="AB333" i="14"/>
  <c r="AB356" i="14"/>
  <c r="AE356" i="14"/>
  <c r="AC356" i="14" s="1"/>
  <c r="AO242" i="14"/>
  <c r="AR242" i="14" s="1"/>
  <c r="AO326" i="14"/>
  <c r="AE256" i="14"/>
  <c r="AB256" i="14"/>
  <c r="AO352" i="14"/>
  <c r="AQ352" i="14" s="1"/>
  <c r="AC255" i="14"/>
  <c r="AB352" i="14"/>
  <c r="AE352" i="14"/>
  <c r="AC352" i="14" s="1"/>
  <c r="AO343" i="14"/>
  <c r="AR343" i="14" s="1"/>
  <c r="AC366" i="14"/>
  <c r="AS362" i="14"/>
  <c r="AC362" i="14"/>
  <c r="AB397" i="14"/>
  <c r="AE397" i="14"/>
  <c r="AO384" i="14"/>
  <c r="AO327" i="14"/>
  <c r="AD343" i="14"/>
  <c r="AC343" i="14" s="1"/>
  <c r="AB343" i="14"/>
  <c r="AP343" i="14"/>
  <c r="AE239" i="14"/>
  <c r="AB239" i="14"/>
  <c r="AO319" i="14"/>
  <c r="AB327" i="14"/>
  <c r="AE327" i="14"/>
  <c r="AC327" i="14" s="1"/>
  <c r="AE357" i="14"/>
  <c r="AB357" i="14"/>
  <c r="AD354" i="14"/>
  <c r="AC354" i="14" s="1"/>
  <c r="AO408" i="14"/>
  <c r="AE225" i="14"/>
  <c r="AC225" i="14" s="1"/>
  <c r="AC281" i="14"/>
  <c r="AO219" i="14"/>
  <c r="AQ219" i="14" s="1"/>
  <c r="AO334" i="14"/>
  <c r="AR334" i="14" s="1"/>
  <c r="AB366" i="14"/>
  <c r="AP395" i="14"/>
  <c r="AQ395" i="14" s="1"/>
  <c r="AB238" i="14"/>
  <c r="AE238" i="14"/>
  <c r="AC238" i="14" s="1"/>
  <c r="AB309" i="14"/>
  <c r="AE309" i="14"/>
  <c r="AO323" i="14"/>
  <c r="AQ323" i="14" s="1"/>
  <c r="AP392" i="14"/>
  <c r="AQ272" i="14"/>
  <c r="AO317" i="14"/>
  <c r="AQ317" i="14" s="1"/>
  <c r="AO346" i="14"/>
  <c r="AP235" i="14"/>
  <c r="AO215" i="14"/>
  <c r="AQ215" i="14" s="1"/>
  <c r="AP262" i="14"/>
  <c r="AO372" i="14"/>
  <c r="AQ372" i="14" s="1"/>
  <c r="AB372" i="14"/>
  <c r="AE372" i="14"/>
  <c r="AC372" i="14" s="1"/>
  <c r="AE270" i="14"/>
  <c r="AB270" i="14"/>
  <c r="AB317" i="14"/>
  <c r="AE317" i="14"/>
  <c r="AC317" i="14" s="1"/>
  <c r="AE398" i="14"/>
  <c r="AB398" i="14"/>
  <c r="AO279" i="14"/>
  <c r="AB279" i="14"/>
  <c r="AE279" i="14"/>
  <c r="AC279" i="14" s="1"/>
  <c r="AO260" i="14"/>
  <c r="AB235" i="14"/>
  <c r="AD235" i="14"/>
  <c r="AC235" i="14" s="1"/>
  <c r="AB262" i="14"/>
  <c r="AD262" i="14"/>
  <c r="AE346" i="14"/>
  <c r="AB346" i="14"/>
  <c r="AO280" i="14"/>
  <c r="AQ280" i="14" s="1"/>
  <c r="AE280" i="14"/>
  <c r="AB280" i="14"/>
  <c r="AB255" i="14"/>
  <c r="AO296" i="14"/>
  <c r="AQ296" i="14" s="1"/>
  <c r="AO396" i="14"/>
  <c r="AE296" i="14"/>
  <c r="AB296" i="14"/>
  <c r="AB295" i="14"/>
  <c r="AO339" i="14"/>
  <c r="AQ339" i="14" s="1"/>
  <c r="AO336" i="14"/>
  <c r="AC295" i="14"/>
  <c r="AE222" i="14"/>
  <c r="AC222" i="14" s="1"/>
  <c r="AB222" i="14"/>
  <c r="AB258" i="14"/>
  <c r="AE258" i="14"/>
  <c r="AC258" i="14" s="1"/>
  <c r="AO315" i="14"/>
  <c r="AQ315" i="14" s="1"/>
  <c r="AP369" i="14"/>
  <c r="AP242" i="14"/>
  <c r="AB228" i="14"/>
  <c r="AP228" i="14"/>
  <c r="AO308" i="14"/>
  <c r="AQ308" i="14" s="1"/>
  <c r="AO234" i="14"/>
  <c r="AQ234" i="14" s="1"/>
  <c r="AD242" i="14"/>
  <c r="AB242" i="14"/>
  <c r="AP334" i="14"/>
  <c r="AP249" i="14"/>
  <c r="AQ249" i="14" s="1"/>
  <c r="AB300" i="14"/>
  <c r="AE300" i="14"/>
  <c r="AE308" i="14"/>
  <c r="AC308" i="14" s="1"/>
  <c r="AB308" i="14"/>
  <c r="AE234" i="14"/>
  <c r="AB234" i="14"/>
  <c r="AD249" i="14"/>
  <c r="AB249" i="14"/>
  <c r="AC306" i="14"/>
  <c r="AE388" i="14"/>
  <c r="AB388" i="14"/>
  <c r="AS393" i="14"/>
  <c r="AC393" i="14"/>
  <c r="AO388" i="14"/>
  <c r="AC339" i="14"/>
  <c r="AP325" i="14"/>
  <c r="AQ325" i="14" s="1"/>
  <c r="AS215" i="14"/>
  <c r="AC215" i="14"/>
  <c r="AB369" i="14"/>
  <c r="AD369" i="14"/>
  <c r="AC369" i="14" s="1"/>
  <c r="AP287" i="14"/>
  <c r="AB315" i="14"/>
  <c r="AE315" i="14"/>
  <c r="AD287" i="14"/>
  <c r="AC287" i="14" s="1"/>
  <c r="AB287" i="14"/>
  <c r="AB334" i="14"/>
  <c r="AD334" i="14"/>
  <c r="AC334" i="14" s="1"/>
  <c r="AB325" i="14"/>
  <c r="AB323" i="14"/>
  <c r="AE323" i="14"/>
  <c r="AC323" i="14" s="1"/>
  <c r="AD392" i="14"/>
  <c r="AB392" i="14"/>
  <c r="AP286" i="14"/>
  <c r="AS286" i="14" s="1"/>
  <c r="AS330" i="14"/>
  <c r="AC330" i="14"/>
  <c r="AP366" i="14"/>
  <c r="AQ366" i="14" s="1"/>
  <c r="AE402" i="14"/>
  <c r="AB402" i="14"/>
  <c r="AE385" i="14"/>
  <c r="AB385" i="14"/>
  <c r="AO402" i="14"/>
  <c r="AQ402" i="14" s="1"/>
  <c r="AO385" i="14"/>
  <c r="AE318" i="14"/>
  <c r="AB318" i="14"/>
  <c r="AB332" i="14"/>
  <c r="AE332" i="14"/>
  <c r="AC332" i="14" s="1"/>
  <c r="AO282" i="14"/>
  <c r="AO345" i="14"/>
  <c r="AB252" i="14"/>
  <c r="AE252" i="14"/>
  <c r="AO252" i="14"/>
  <c r="AE345" i="14"/>
  <c r="AB345" i="14"/>
  <c r="AO243" i="14"/>
  <c r="AQ243" i="14" s="1"/>
  <c r="AO286" i="14"/>
  <c r="AO244" i="14"/>
  <c r="AQ244" i="14" s="1"/>
  <c r="AO328" i="14"/>
  <c r="AQ328" i="14" s="1"/>
  <c r="AE380" i="14"/>
  <c r="AB380" i="14"/>
  <c r="AE244" i="14"/>
  <c r="AB244" i="14"/>
  <c r="AB375" i="14"/>
  <c r="AE375" i="14"/>
  <c r="AC375" i="14" s="1"/>
  <c r="AE273" i="14"/>
  <c r="AC273" i="14" s="1"/>
  <c r="AO405" i="14"/>
  <c r="AQ405" i="14" s="1"/>
  <c r="AB405" i="14"/>
  <c r="AE405" i="14"/>
  <c r="AO383" i="14"/>
  <c r="AQ383" i="14" s="1"/>
  <c r="AE286" i="14"/>
  <c r="AB286" i="14"/>
  <c r="AB328" i="14"/>
  <c r="AE328" i="14"/>
  <c r="AC328" i="14" s="1"/>
  <c r="AB383" i="14"/>
  <c r="AO363" i="14"/>
  <c r="AQ363" i="14" s="1"/>
  <c r="AO213" i="14"/>
  <c r="AQ213" i="14" s="1"/>
  <c r="AE213" i="14"/>
  <c r="AB213" i="14"/>
  <c r="AC243" i="14"/>
  <c r="AE363" i="14"/>
  <c r="AB363" i="14"/>
  <c r="AO233" i="14"/>
  <c r="AQ233" i="14" s="1"/>
  <c r="AE248" i="14"/>
  <c r="AC248" i="14" s="1"/>
  <c r="AB248" i="14"/>
  <c r="AO248" i="14"/>
  <c r="AQ248" i="14" s="1"/>
  <c r="AO413" i="14"/>
  <c r="AQ413" i="14" s="1"/>
  <c r="AB413" i="14"/>
  <c r="AE233" i="14"/>
  <c r="AB233" i="14"/>
  <c r="AS333" i="14" l="1"/>
  <c r="BN333" i="14" s="1"/>
  <c r="AR329" i="14"/>
  <c r="BN329" i="14" s="1"/>
  <c r="AS257" i="14"/>
  <c r="BN257" i="14" s="1"/>
  <c r="AR292" i="14"/>
  <c r="BN292" i="14" s="1"/>
  <c r="AS364" i="14"/>
  <c r="BN364" i="14" s="1"/>
  <c r="AS398" i="14"/>
  <c r="AS241" i="14"/>
  <c r="BN241" i="14" s="1"/>
  <c r="AR313" i="14"/>
  <c r="BN313" i="14" s="1"/>
  <c r="AR337" i="14"/>
  <c r="BN337" i="14" s="1"/>
  <c r="AR236" i="14"/>
  <c r="BN236" i="14" s="1"/>
  <c r="AR289" i="14"/>
  <c r="BN289" i="14" s="1"/>
  <c r="AS307" i="14"/>
  <c r="BN307" i="14" s="1"/>
  <c r="AR342" i="14"/>
  <c r="BN342" i="14" s="1"/>
  <c r="AR295" i="14"/>
  <c r="BN295" i="14" s="1"/>
  <c r="AR255" i="14"/>
  <c r="BN255" i="14" s="1"/>
  <c r="AR368" i="14"/>
  <c r="BN368" i="14" s="1"/>
  <c r="AR274" i="14"/>
  <c r="BN274" i="14" s="1"/>
  <c r="AS324" i="14"/>
  <c r="BN324" i="14" s="1"/>
  <c r="AR253" i="14"/>
  <c r="BN253" i="14" s="1"/>
  <c r="AR221" i="14"/>
  <c r="BN221" i="14" s="1"/>
  <c r="AS225" i="14"/>
  <c r="AS309" i="14"/>
  <c r="AR245" i="14"/>
  <c r="BN245" i="14" s="1"/>
  <c r="AS303" i="14"/>
  <c r="BN303" i="14" s="1"/>
  <c r="AS232" i="14"/>
  <c r="BN232" i="14" s="1"/>
  <c r="AR281" i="14"/>
  <c r="BN281" i="14" s="1"/>
  <c r="AR311" i="14"/>
  <c r="BN311" i="14" s="1"/>
  <c r="AS254" i="14"/>
  <c r="AR353" i="14"/>
  <c r="BN353" i="14" s="1"/>
  <c r="AS299" i="14"/>
  <c r="BN299" i="14" s="1"/>
  <c r="BN361" i="14"/>
  <c r="BN267" i="14"/>
  <c r="BN406" i="14"/>
  <c r="BN259" i="14"/>
  <c r="BN291" i="14"/>
  <c r="BN284" i="14"/>
  <c r="BN335" i="14"/>
  <c r="BN373" i="14"/>
  <c r="BN246" i="14"/>
  <c r="BN362" i="14"/>
  <c r="BN391" i="14"/>
  <c r="BN370" i="14"/>
  <c r="BN227" i="14"/>
  <c r="AO371" i="14"/>
  <c r="AQ371" i="14" s="1"/>
  <c r="AQ259" i="14"/>
  <c r="AQ287" i="14"/>
  <c r="AQ392" i="14"/>
  <c r="AQ337" i="14"/>
  <c r="AQ228" i="14"/>
  <c r="AQ265" i="14"/>
  <c r="AQ322" i="14"/>
  <c r="AQ262" i="14"/>
  <c r="AQ252" i="14"/>
  <c r="AQ388" i="14"/>
  <c r="AQ279" i="14"/>
  <c r="AR269" i="14"/>
  <c r="BN269" i="14" s="1"/>
  <c r="AR358" i="14"/>
  <c r="BN358" i="14" s="1"/>
  <c r="AR225" i="14"/>
  <c r="AR344" i="14"/>
  <c r="BN344" i="14" s="1"/>
  <c r="AR266" i="14"/>
  <c r="BN266" i="14" s="1"/>
  <c r="AR321" i="14"/>
  <c r="AR268" i="14"/>
  <c r="BN268" i="14" s="1"/>
  <c r="AQ250" i="14"/>
  <c r="AR219" i="14"/>
  <c r="BN219" i="14" s="1"/>
  <c r="AR339" i="14"/>
  <c r="BN339" i="14" s="1"/>
  <c r="AR306" i="14"/>
  <c r="BN306" i="14" s="1"/>
  <c r="AR330" i="14"/>
  <c r="BN330" i="14" s="1"/>
  <c r="AR243" i="14"/>
  <c r="BN243" i="14" s="1"/>
  <c r="AS322" i="14"/>
  <c r="BN322" i="14" s="1"/>
  <c r="AQ270" i="14"/>
  <c r="AS270" i="14"/>
  <c r="AQ347" i="14"/>
  <c r="AR347" i="14"/>
  <c r="BN347" i="14" s="1"/>
  <c r="AQ359" i="14"/>
  <c r="AR359" i="14"/>
  <c r="BN359" i="14" s="1"/>
  <c r="AQ310" i="14"/>
  <c r="AR310" i="14"/>
  <c r="BN310" i="14" s="1"/>
  <c r="AQ408" i="14"/>
  <c r="AR408" i="14"/>
  <c r="BN408" i="14" s="1"/>
  <c r="AQ400" i="14"/>
  <c r="AR400" i="14"/>
  <c r="BN400" i="14" s="1"/>
  <c r="AR413" i="14"/>
  <c r="BN413" i="14" s="1"/>
  <c r="AQ396" i="14"/>
  <c r="AR396" i="14"/>
  <c r="BN396" i="14" s="1"/>
  <c r="AQ387" i="14"/>
  <c r="AR387" i="14"/>
  <c r="BN387" i="14" s="1"/>
  <c r="AQ355" i="14"/>
  <c r="AS355" i="14"/>
  <c r="BN355" i="14" s="1"/>
  <c r="AQ276" i="14"/>
  <c r="AR276" i="14"/>
  <c r="BN276" i="14" s="1"/>
  <c r="AQ261" i="14"/>
  <c r="AS261" i="14"/>
  <c r="BN261" i="14" s="1"/>
  <c r="AQ401" i="14"/>
  <c r="AS401" i="14"/>
  <c r="AQ377" i="14"/>
  <c r="AR377" i="14"/>
  <c r="BN377" i="14" s="1"/>
  <c r="AQ321" i="14"/>
  <c r="AS321" i="14"/>
  <c r="AQ218" i="14"/>
  <c r="AS218" i="14"/>
  <c r="BN218" i="14" s="1"/>
  <c r="AR285" i="14"/>
  <c r="BN285" i="14" s="1"/>
  <c r="AR382" i="14"/>
  <c r="BN382" i="14" s="1"/>
  <c r="AS395" i="14"/>
  <c r="BN395" i="14" s="1"/>
  <c r="AQ288" i="14"/>
  <c r="AS288" i="14"/>
  <c r="BN288" i="14" s="1"/>
  <c r="AQ338" i="14"/>
  <c r="AR338" i="14"/>
  <c r="BN338" i="14" s="1"/>
  <c r="AR410" i="14"/>
  <c r="BN410" i="14" s="1"/>
  <c r="AQ326" i="14"/>
  <c r="AR326" i="14"/>
  <c r="BN326" i="14" s="1"/>
  <c r="AQ283" i="14"/>
  <c r="AR283" i="14"/>
  <c r="BN283" i="14" s="1"/>
  <c r="AQ216" i="14"/>
  <c r="AR216" i="14"/>
  <c r="AQ302" i="14"/>
  <c r="AR302" i="14"/>
  <c r="BN302" i="14" s="1"/>
  <c r="AQ240" i="14"/>
  <c r="AR240" i="14"/>
  <c r="BN240" i="14" s="1"/>
  <c r="AQ282" i="14"/>
  <c r="AR282" i="14"/>
  <c r="BN282" i="14" s="1"/>
  <c r="AQ260" i="14"/>
  <c r="AR260" i="14"/>
  <c r="BN260" i="14" s="1"/>
  <c r="AQ354" i="14"/>
  <c r="AR354" i="14"/>
  <c r="AQ407" i="14"/>
  <c r="AR407" i="14"/>
  <c r="AQ217" i="14"/>
  <c r="AR217" i="14"/>
  <c r="BN217" i="14" s="1"/>
  <c r="AS366" i="14"/>
  <c r="BN366" i="14" s="1"/>
  <c r="AR393" i="14"/>
  <c r="BN393" i="14" s="1"/>
  <c r="AS325" i="14"/>
  <c r="AR383" i="14"/>
  <c r="BN383" i="14" s="1"/>
  <c r="AQ365" i="14"/>
  <c r="AR365" i="14"/>
  <c r="BN365" i="14" s="1"/>
  <c r="AQ374" i="14"/>
  <c r="AR374" i="14"/>
  <c r="BN374" i="14" s="1"/>
  <c r="AQ351" i="14"/>
  <c r="AS351" i="14"/>
  <c r="AS228" i="14"/>
  <c r="BN228" i="14" s="1"/>
  <c r="AQ336" i="14"/>
  <c r="AR336" i="14"/>
  <c r="BN336" i="14" s="1"/>
  <c r="AQ271" i="14"/>
  <c r="AR271" i="14"/>
  <c r="BN271" i="14" s="1"/>
  <c r="AQ376" i="14"/>
  <c r="AR376" i="14"/>
  <c r="BN376" i="14" s="1"/>
  <c r="AQ264" i="14"/>
  <c r="AS264" i="14"/>
  <c r="BN264" i="14" s="1"/>
  <c r="AQ224" i="14"/>
  <c r="AR224" i="14"/>
  <c r="BN224" i="14" s="1"/>
  <c r="AR215" i="14"/>
  <c r="BN215" i="14" s="1"/>
  <c r="AQ384" i="14"/>
  <c r="AR384" i="14"/>
  <c r="BN384" i="14" s="1"/>
  <c r="AQ301" i="14"/>
  <c r="AR301" i="14"/>
  <c r="BN301" i="14" s="1"/>
  <c r="AQ411" i="14"/>
  <c r="AR411" i="14"/>
  <c r="BN411" i="14" s="1"/>
  <c r="AQ381" i="14"/>
  <c r="AS381" i="14"/>
  <c r="BN381" i="14" s="1"/>
  <c r="AQ403" i="14"/>
  <c r="AR403" i="14"/>
  <c r="BN403" i="14" s="1"/>
  <c r="AQ319" i="14"/>
  <c r="AR319" i="14"/>
  <c r="BN319" i="14" s="1"/>
  <c r="AR360" i="14"/>
  <c r="BN360" i="14" s="1"/>
  <c r="AQ367" i="14"/>
  <c r="AR367" i="14"/>
  <c r="BN367" i="14" s="1"/>
  <c r="AQ399" i="14"/>
  <c r="AR399" i="14"/>
  <c r="BN399" i="14" s="1"/>
  <c r="AQ293" i="14"/>
  <c r="AR293" i="14"/>
  <c r="BN293" i="14" s="1"/>
  <c r="AQ305" i="14"/>
  <c r="AR305" i="14"/>
  <c r="AR351" i="14"/>
  <c r="AR349" i="14"/>
  <c r="BN349" i="14" s="1"/>
  <c r="AQ246" i="14"/>
  <c r="AQ291" i="14"/>
  <c r="AR348" i="14"/>
  <c r="BN348" i="14" s="1"/>
  <c r="AR290" i="14"/>
  <c r="BN290" i="14" s="1"/>
  <c r="AR390" i="14"/>
  <c r="BN390" i="14" s="1"/>
  <c r="AR275" i="14"/>
  <c r="BN275" i="14" s="1"/>
  <c r="AR409" i="14"/>
  <c r="BN409" i="14" s="1"/>
  <c r="AR389" i="14"/>
  <c r="BN389" i="14" s="1"/>
  <c r="AR247" i="14"/>
  <c r="BN247" i="14" s="1"/>
  <c r="AR401" i="14"/>
  <c r="AR223" i="14"/>
  <c r="BN223" i="14" s="1"/>
  <c r="AR356" i="14"/>
  <c r="BN356" i="14" s="1"/>
  <c r="AC331" i="14"/>
  <c r="AR331" i="14"/>
  <c r="BN331" i="14" s="1"/>
  <c r="AR375" i="14"/>
  <c r="BN375" i="14" s="1"/>
  <c r="AC226" i="14"/>
  <c r="AR226" i="14"/>
  <c r="BN226" i="14" s="1"/>
  <c r="AR325" i="14"/>
  <c r="AR332" i="14"/>
  <c r="BN332" i="14" s="1"/>
  <c r="AC407" i="14"/>
  <c r="AS407" i="14"/>
  <c r="AC231" i="14"/>
  <c r="AR231" i="14"/>
  <c r="BN231" i="14" s="1"/>
  <c r="AS334" i="14"/>
  <c r="BN334" i="14" s="1"/>
  <c r="AR279" i="14"/>
  <c r="BN279" i="14" s="1"/>
  <c r="AR328" i="14"/>
  <c r="BN328" i="14" s="1"/>
  <c r="AC305" i="14"/>
  <c r="AS305" i="14"/>
  <c r="AC304" i="14"/>
  <c r="AR304" i="14"/>
  <c r="BN304" i="14" s="1"/>
  <c r="AC298" i="14"/>
  <c r="AR298" i="14"/>
  <c r="BN298" i="14" s="1"/>
  <c r="AS287" i="14"/>
  <c r="BN287" i="14" s="1"/>
  <c r="AR248" i="14"/>
  <c r="BN248" i="14" s="1"/>
  <c r="AR273" i="14"/>
  <c r="BN273" i="14" s="1"/>
  <c r="AR229" i="14"/>
  <c r="BN229" i="14" s="1"/>
  <c r="AC386" i="14"/>
  <c r="AR386" i="14"/>
  <c r="BN386" i="14" s="1"/>
  <c r="AR327" i="14"/>
  <c r="BN327" i="14" s="1"/>
  <c r="AR317" i="14"/>
  <c r="BN317" i="14" s="1"/>
  <c r="AR394" i="14"/>
  <c r="BN394" i="14" s="1"/>
  <c r="AR308" i="14"/>
  <c r="BN308" i="14" s="1"/>
  <c r="AR352" i="14"/>
  <c r="BN352" i="14" s="1"/>
  <c r="AR238" i="14"/>
  <c r="BN238" i="14" s="1"/>
  <c r="AS343" i="14"/>
  <c r="BN343" i="14" s="1"/>
  <c r="AS369" i="14"/>
  <c r="BN369" i="14" s="1"/>
  <c r="AR372" i="14"/>
  <c r="BN372" i="14" s="1"/>
  <c r="AS378" i="14"/>
  <c r="BN378" i="14" s="1"/>
  <c r="AS235" i="14"/>
  <c r="BN235" i="14" s="1"/>
  <c r="AS250" i="14"/>
  <c r="BN250" i="14" s="1"/>
  <c r="AR258" i="14"/>
  <c r="BN258" i="14" s="1"/>
  <c r="AS354" i="14"/>
  <c r="AR222" i="14"/>
  <c r="BN222" i="14" s="1"/>
  <c r="AR379" i="14"/>
  <c r="BN379" i="14" s="1"/>
  <c r="AR323" i="14"/>
  <c r="BN323" i="14" s="1"/>
  <c r="AQ237" i="14"/>
  <c r="AQ369" i="14"/>
  <c r="AQ391" i="14"/>
  <c r="AQ370" i="14"/>
  <c r="AC269" i="14"/>
  <c r="AQ345" i="14"/>
  <c r="AR294" i="14"/>
  <c r="BN294" i="14" s="1"/>
  <c r="AC294" i="14"/>
  <c r="AR404" i="14"/>
  <c r="BN404" i="14" s="1"/>
  <c r="AC404" i="14"/>
  <c r="AR320" i="14"/>
  <c r="BN320" i="14" s="1"/>
  <c r="AC320" i="14"/>
  <c r="AS237" i="14"/>
  <c r="BN237" i="14" s="1"/>
  <c r="AC237" i="14"/>
  <c r="AQ346" i="14"/>
  <c r="AQ385" i="14"/>
  <c r="AR340" i="14"/>
  <c r="BN340" i="14" s="1"/>
  <c r="AC340" i="14"/>
  <c r="AR412" i="14"/>
  <c r="BN412" i="14" s="1"/>
  <c r="AC412" i="14"/>
  <c r="AC337" i="14"/>
  <c r="AS216" i="14"/>
  <c r="AC216" i="14"/>
  <c r="AR277" i="14"/>
  <c r="BN277" i="14" s="1"/>
  <c r="AC277" i="14"/>
  <c r="AQ235" i="14"/>
  <c r="AQ327" i="14"/>
  <c r="AR316" i="14"/>
  <c r="BN316" i="14" s="1"/>
  <c r="AC316" i="14"/>
  <c r="AR251" i="14"/>
  <c r="BN251" i="14" s="1"/>
  <c r="AC251" i="14"/>
  <c r="AR314" i="14"/>
  <c r="BN314" i="14" s="1"/>
  <c r="AC314" i="14"/>
  <c r="AR265" i="14"/>
  <c r="BN265" i="14" s="1"/>
  <c r="AC265" i="14"/>
  <c r="AQ242" i="14"/>
  <c r="AQ334" i="14"/>
  <c r="AR254" i="14"/>
  <c r="AC254" i="14"/>
  <c r="AR397" i="14"/>
  <c r="BN397" i="14" s="1"/>
  <c r="AC397" i="14"/>
  <c r="AQ343" i="14"/>
  <c r="AR256" i="14"/>
  <c r="BN256" i="14" s="1"/>
  <c r="AC256" i="14"/>
  <c r="AR239" i="14"/>
  <c r="BN239" i="14" s="1"/>
  <c r="AC239" i="14"/>
  <c r="AR357" i="14"/>
  <c r="BN357" i="14" s="1"/>
  <c r="AC357" i="14"/>
  <c r="AR309" i="14"/>
  <c r="AC309" i="14"/>
  <c r="AR398" i="14"/>
  <c r="AC398" i="14"/>
  <c r="AR270" i="14"/>
  <c r="AC270" i="14"/>
  <c r="AS262" i="14"/>
  <c r="BN262" i="14" s="1"/>
  <c r="AC262" i="14"/>
  <c r="AR280" i="14"/>
  <c r="BN280" i="14" s="1"/>
  <c r="AC280" i="14"/>
  <c r="AR346" i="14"/>
  <c r="BN346" i="14" s="1"/>
  <c r="AC346" i="14"/>
  <c r="AR296" i="14"/>
  <c r="BN296" i="14" s="1"/>
  <c r="AC296" i="14"/>
  <c r="AS242" i="14"/>
  <c r="BN242" i="14" s="1"/>
  <c r="AC242" i="14"/>
  <c r="AS249" i="14"/>
  <c r="BN249" i="14" s="1"/>
  <c r="AC249" i="14"/>
  <c r="AR234" i="14"/>
  <c r="BN234" i="14" s="1"/>
  <c r="AC234" i="14"/>
  <c r="AQ286" i="14"/>
  <c r="AR388" i="14"/>
  <c r="BN388" i="14" s="1"/>
  <c r="AC388" i="14"/>
  <c r="AR300" i="14"/>
  <c r="BN300" i="14" s="1"/>
  <c r="AC300" i="14"/>
  <c r="AR315" i="14"/>
  <c r="BN315" i="14" s="1"/>
  <c r="AC315" i="14"/>
  <c r="AS392" i="14"/>
  <c r="BN392" i="14" s="1"/>
  <c r="AC392" i="14"/>
  <c r="AR318" i="14"/>
  <c r="BN318" i="14" s="1"/>
  <c r="AC318" i="14"/>
  <c r="AR385" i="14"/>
  <c r="BN385" i="14" s="1"/>
  <c r="AC385" i="14"/>
  <c r="AR402" i="14"/>
  <c r="BN402" i="14" s="1"/>
  <c r="AC402" i="14"/>
  <c r="AR345" i="14"/>
  <c r="BN345" i="14" s="1"/>
  <c r="AC345" i="14"/>
  <c r="AR252" i="14"/>
  <c r="BN252" i="14" s="1"/>
  <c r="AC252" i="14"/>
  <c r="AR244" i="14"/>
  <c r="BN244" i="14" s="1"/>
  <c r="AC244" i="14"/>
  <c r="AR380" i="14"/>
  <c r="BN380" i="14" s="1"/>
  <c r="AC380" i="14"/>
  <c r="AR286" i="14"/>
  <c r="BN286" i="14" s="1"/>
  <c r="AC286" i="14"/>
  <c r="AR405" i="14"/>
  <c r="BN405" i="14" s="1"/>
  <c r="AC405" i="14"/>
  <c r="AR213" i="14"/>
  <c r="BN213" i="14" s="1"/>
  <c r="AC213" i="14"/>
  <c r="AR363" i="14"/>
  <c r="BN363" i="14" s="1"/>
  <c r="AC363" i="14"/>
  <c r="AR233" i="14"/>
  <c r="BN233" i="14" s="1"/>
  <c r="AC233" i="14"/>
  <c r="BN398" i="14" l="1"/>
  <c r="BN225" i="14"/>
  <c r="BN309" i="14"/>
  <c r="AR371" i="14"/>
  <c r="BN371" i="14" s="1"/>
  <c r="BN254" i="14"/>
  <c r="BN401" i="14"/>
  <c r="BN270" i="14"/>
  <c r="BN325" i="14"/>
  <c r="BN216" i="14"/>
  <c r="BN407" i="14"/>
  <c r="BN351" i="14"/>
  <c r="BN354" i="14"/>
  <c r="BN321" i="14"/>
  <c r="BN305" i="14"/>
  <c r="C199" i="7" l="1" a="1"/>
  <c r="C199" i="7" s="1"/>
  <c r="C202" i="7" a="1"/>
  <c r="C202" i="7" s="1"/>
  <c r="C200" i="7" a="1"/>
  <c r="C200" i="7" s="1"/>
  <c r="C198" i="7" a="1"/>
  <c r="C198" i="7" s="1"/>
  <c r="C201" i="7" a="1"/>
  <c r="C201" i="7" s="1"/>
  <c r="BV213" i="14" a="1"/>
  <c r="BV213" i="14" s="1"/>
  <c r="O2" i="14" l="1"/>
  <c r="AV78" i="14" s="1"/>
  <c r="AV45" i="14" l="1"/>
  <c r="AV153" i="14"/>
  <c r="AV135" i="14"/>
  <c r="AV35" i="14"/>
  <c r="AV160" i="14"/>
  <c r="AV20" i="14"/>
  <c r="AV71" i="14"/>
  <c r="AV155" i="14"/>
  <c r="AV90" i="14"/>
  <c r="AV128" i="14"/>
  <c r="AV116" i="14"/>
  <c r="AV210" i="14"/>
  <c r="AV52" i="14"/>
  <c r="AV110" i="14"/>
  <c r="BP110" i="14" s="1"/>
  <c r="N110" i="14" s="1"/>
  <c r="AV142" i="14"/>
  <c r="BP78" i="14" s="1"/>
  <c r="AV80" i="14"/>
  <c r="AV124" i="14"/>
  <c r="O5" i="14"/>
  <c r="O4" i="14" s="1"/>
  <c r="M28" i="14"/>
  <c r="M23" i="14"/>
  <c r="M66" i="14"/>
  <c r="M69" i="14"/>
  <c r="M133" i="14"/>
  <c r="M204" i="14"/>
  <c r="M46" i="14"/>
  <c r="M59" i="14"/>
  <c r="M65" i="14"/>
  <c r="M36" i="14"/>
  <c r="M172" i="14"/>
  <c r="M162" i="14"/>
  <c r="M142" i="14"/>
  <c r="M187" i="14"/>
  <c r="M183" i="14"/>
  <c r="M75" i="14"/>
  <c r="M158" i="14"/>
  <c r="M195" i="14"/>
  <c r="M128" i="14"/>
  <c r="M16" i="14"/>
  <c r="M93" i="14"/>
  <c r="M144" i="14"/>
  <c r="M44" i="14"/>
  <c r="M159" i="14"/>
  <c r="M80" i="14"/>
  <c r="M205" i="14"/>
  <c r="M64" i="14"/>
  <c r="O6" i="14"/>
  <c r="M13" i="14"/>
  <c r="M119" i="14"/>
  <c r="M68" i="14"/>
  <c r="M81" i="14"/>
  <c r="M12" i="14"/>
  <c r="M111" i="14"/>
  <c r="M148" i="14"/>
  <c r="M38" i="14"/>
  <c r="M153" i="14"/>
  <c r="M201" i="14"/>
  <c r="M39" i="14"/>
  <c r="M165" i="14"/>
  <c r="M30" i="14"/>
  <c r="M92" i="14"/>
  <c r="M176" i="14"/>
  <c r="M54" i="14"/>
  <c r="M138" i="14"/>
  <c r="M27" i="14"/>
  <c r="M171" i="14"/>
  <c r="M210" i="14"/>
  <c r="M178" i="14"/>
  <c r="M14" i="14"/>
  <c r="M41" i="14"/>
  <c r="M43" i="14"/>
  <c r="M37" i="14"/>
  <c r="M107" i="14"/>
  <c r="M157" i="14"/>
  <c r="M149" i="14"/>
  <c r="M90" i="14"/>
  <c r="M100" i="14"/>
  <c r="M29" i="14"/>
  <c r="M50" i="14"/>
  <c r="M112" i="14"/>
  <c r="M99" i="14"/>
  <c r="M120" i="14"/>
  <c r="M63" i="14"/>
  <c r="M109" i="14"/>
  <c r="M181" i="14"/>
  <c r="M126" i="14"/>
  <c r="M35" i="14"/>
  <c r="M15" i="14"/>
  <c r="M96" i="14"/>
  <c r="M52" i="14"/>
  <c r="M89" i="14"/>
  <c r="M198" i="14"/>
  <c r="M189" i="14"/>
  <c r="M73" i="14"/>
  <c r="M106" i="14"/>
  <c r="M78" i="14"/>
  <c r="M147" i="14"/>
  <c r="M42" i="14"/>
  <c r="M74" i="14"/>
  <c r="M150" i="14"/>
  <c r="M117" i="14"/>
  <c r="M91" i="14"/>
  <c r="M131" i="14"/>
  <c r="M25" i="14"/>
  <c r="M11" i="14"/>
  <c r="M122" i="14"/>
  <c r="M56" i="14"/>
  <c r="M10" i="14"/>
  <c r="M76" i="14"/>
  <c r="M47" i="14"/>
  <c r="M203" i="14"/>
  <c r="M141" i="14"/>
  <c r="M84" i="14"/>
  <c r="M83" i="14"/>
  <c r="M169" i="14"/>
  <c r="M163" i="14"/>
  <c r="M208" i="14"/>
  <c r="M51" i="14"/>
  <c r="M129" i="14"/>
  <c r="M19" i="14"/>
  <c r="M79" i="14"/>
  <c r="M155" i="14"/>
  <c r="M32" i="14"/>
  <c r="M199" i="14"/>
  <c r="M140" i="14"/>
  <c r="M146" i="14"/>
  <c r="M206" i="14"/>
  <c r="M60" i="14"/>
  <c r="M209" i="14"/>
  <c r="M197" i="14"/>
  <c r="M156" i="14"/>
  <c r="M108" i="14"/>
  <c r="M53" i="14"/>
  <c r="M22" i="14"/>
  <c r="M202" i="14"/>
  <c r="M137" i="14"/>
  <c r="M167" i="14"/>
  <c r="M55" i="14"/>
  <c r="M196" i="14"/>
  <c r="M26" i="14"/>
  <c r="M40" i="14"/>
  <c r="M97" i="14"/>
  <c r="M188" i="14"/>
  <c r="M145" i="14"/>
  <c r="M180" i="14"/>
  <c r="M104" i="14"/>
  <c r="M110" i="14"/>
  <c r="M168" i="14"/>
  <c r="M127" i="14"/>
  <c r="M95" i="14"/>
  <c r="M121" i="14"/>
  <c r="M191" i="14"/>
  <c r="M20" i="14"/>
  <c r="M174" i="14"/>
  <c r="M194" i="14"/>
  <c r="M185" i="14"/>
  <c r="M70" i="14"/>
  <c r="M113" i="14"/>
  <c r="M123" i="14"/>
  <c r="M152" i="14"/>
  <c r="M31" i="14"/>
  <c r="M139" i="14"/>
  <c r="M124" i="14"/>
  <c r="M61" i="14"/>
  <c r="M192" i="14"/>
  <c r="M21" i="14"/>
  <c r="M116" i="14"/>
  <c r="M94" i="14"/>
  <c r="M49" i="14"/>
  <c r="M48" i="14"/>
  <c r="M160" i="14"/>
  <c r="M200" i="14"/>
  <c r="M102" i="14"/>
  <c r="M179" i="14"/>
  <c r="M85" i="14"/>
  <c r="M87" i="14"/>
  <c r="M67" i="14"/>
  <c r="M88" i="14"/>
  <c r="M98" i="14"/>
  <c r="M154" i="14"/>
  <c r="M143" i="14"/>
  <c r="M177" i="14"/>
  <c r="M166" i="14"/>
  <c r="M17" i="14"/>
  <c r="M190" i="14"/>
  <c r="M45" i="14"/>
  <c r="M33" i="14"/>
  <c r="M151" i="14"/>
  <c r="M161" i="14"/>
  <c r="M182" i="14"/>
  <c r="M118" i="14"/>
  <c r="M82" i="14"/>
  <c r="M105" i="14"/>
  <c r="M72" i="14"/>
  <c r="M184" i="14"/>
  <c r="M125" i="14"/>
  <c r="M57" i="14"/>
  <c r="M86" i="14"/>
  <c r="M193" i="14"/>
  <c r="M77" i="14"/>
  <c r="M71" i="14"/>
  <c r="M132" i="14"/>
  <c r="M101" i="14"/>
  <c r="M115" i="14"/>
  <c r="M136" i="14"/>
  <c r="M135" i="14"/>
  <c r="M170" i="14"/>
  <c r="M175" i="14"/>
  <c r="M103" i="14"/>
  <c r="M134" i="14"/>
  <c r="M114" i="14"/>
  <c r="M58" i="14"/>
  <c r="M173" i="14"/>
  <c r="M207" i="14"/>
  <c r="M164" i="14"/>
  <c r="M18" i="14"/>
  <c r="M34" i="14"/>
  <c r="M130" i="14"/>
  <c r="M186" i="14"/>
  <c r="M24" i="14"/>
  <c r="M62" i="14"/>
  <c r="AV180" i="14"/>
  <c r="AV106" i="14"/>
  <c r="AV46" i="14"/>
  <c r="AV172" i="14"/>
  <c r="AV93" i="14"/>
  <c r="AV96" i="14"/>
  <c r="AV169" i="14"/>
  <c r="AV29" i="14"/>
  <c r="AV16" i="14"/>
  <c r="AV48" i="14"/>
  <c r="AV104" i="14"/>
  <c r="AV67" i="14"/>
  <c r="AV206" i="14"/>
  <c r="AV84" i="14"/>
  <c r="AV68" i="14"/>
  <c r="AV97" i="14"/>
  <c r="AV72" i="14"/>
  <c r="AV178" i="14"/>
  <c r="AV129" i="14"/>
  <c r="AV113" i="14"/>
  <c r="AV101" i="14"/>
  <c r="AV143" i="14"/>
  <c r="AV123" i="14"/>
  <c r="AV198" i="14"/>
  <c r="AV191" i="14"/>
  <c r="AV63" i="14"/>
  <c r="AV141" i="14"/>
  <c r="AV92" i="14"/>
  <c r="AV44" i="14"/>
  <c r="AV53" i="14"/>
  <c r="AV159" i="14"/>
  <c r="AV151" i="14"/>
  <c r="AV154" i="14"/>
  <c r="AV26" i="14"/>
  <c r="AV91" i="14"/>
  <c r="AV69" i="14"/>
  <c r="AV196" i="14"/>
  <c r="AV136" i="14"/>
  <c r="BP84" i="14" s="1"/>
  <c r="AV204" i="14"/>
  <c r="AV182" i="14"/>
  <c r="AV158" i="14"/>
  <c r="AV134" i="14"/>
  <c r="AV47" i="14"/>
  <c r="AV99" i="14"/>
  <c r="AV79" i="14"/>
  <c r="AV22" i="14"/>
  <c r="AV34" i="14"/>
  <c r="AV89" i="14"/>
  <c r="AV111" i="14"/>
  <c r="AV73" i="14"/>
  <c r="AV209" i="14"/>
  <c r="AV201" i="14"/>
  <c r="AV108" i="14"/>
  <c r="AV197" i="14"/>
  <c r="AV102" i="14"/>
  <c r="AV126" i="14"/>
  <c r="AV184" i="14"/>
  <c r="AV177" i="14"/>
  <c r="AV164" i="14"/>
  <c r="AV179" i="14"/>
  <c r="AV87" i="14"/>
  <c r="AV27" i="14"/>
  <c r="AV12" i="14"/>
  <c r="AV137" i="14"/>
  <c r="AV147" i="14"/>
  <c r="AV18" i="14"/>
  <c r="AV21" i="14"/>
  <c r="AV66" i="14"/>
  <c r="AV171" i="14"/>
  <c r="AV119" i="14"/>
  <c r="AV118" i="14"/>
  <c r="AV122" i="14"/>
  <c r="AV109" i="14"/>
  <c r="AV33" i="14"/>
  <c r="AV174" i="14"/>
  <c r="AV76" i="14"/>
  <c r="AV14" i="14"/>
  <c r="AV139" i="14"/>
  <c r="AV168" i="14"/>
  <c r="BP52" i="14" s="1"/>
  <c r="AV148" i="14"/>
  <c r="AV98" i="14"/>
  <c r="AV43" i="14"/>
  <c r="BP177" i="14" s="1"/>
  <c r="AV127" i="14"/>
  <c r="AV24" i="14"/>
  <c r="AV64" i="14"/>
  <c r="AV167" i="14"/>
  <c r="AV38" i="14"/>
  <c r="AV42" i="14"/>
  <c r="AV131" i="14"/>
  <c r="AV54" i="14"/>
  <c r="AV32" i="14"/>
  <c r="AV166" i="14"/>
  <c r="AV202" i="14"/>
  <c r="AV41" i="14"/>
  <c r="AV39" i="14"/>
  <c r="AV88" i="14"/>
  <c r="AV156" i="14"/>
  <c r="BP64" i="14" s="1"/>
  <c r="AV161" i="14"/>
  <c r="AV82" i="14"/>
  <c r="AV23" i="14"/>
  <c r="AV61" i="14"/>
  <c r="AV81" i="14"/>
  <c r="AV208" i="14"/>
  <c r="AV176" i="14"/>
  <c r="AV207" i="14"/>
  <c r="AV181" i="14"/>
  <c r="AV189" i="14"/>
  <c r="AV94" i="14"/>
  <c r="AV194" i="14"/>
  <c r="AV77" i="14"/>
  <c r="AV57" i="14"/>
  <c r="AV31" i="14"/>
  <c r="AV103" i="14"/>
  <c r="AV193" i="14"/>
  <c r="AV36" i="14"/>
  <c r="BP184" i="14" s="1"/>
  <c r="AV112" i="14"/>
  <c r="AV138" i="14"/>
  <c r="AV70" i="14"/>
  <c r="AV150" i="14"/>
  <c r="AV51" i="14"/>
  <c r="AV183" i="14"/>
  <c r="AV121" i="14"/>
  <c r="AV15" i="14"/>
  <c r="AV190" i="14"/>
  <c r="AV105" i="14"/>
  <c r="AV49" i="14"/>
  <c r="AV40" i="14"/>
  <c r="AV173" i="14"/>
  <c r="AV55" i="14"/>
  <c r="AV187" i="14"/>
  <c r="AV11" i="14"/>
  <c r="AV107" i="14"/>
  <c r="AV152" i="14"/>
  <c r="AV74" i="14"/>
  <c r="AV59" i="14"/>
  <c r="AV95" i="14"/>
  <c r="AV83" i="14"/>
  <c r="AV75" i="14"/>
  <c r="AV195" i="14"/>
  <c r="AV117" i="14"/>
  <c r="AV115" i="14"/>
  <c r="AV165" i="14"/>
  <c r="AV205" i="14"/>
  <c r="AV19" i="14"/>
  <c r="AV10" i="14"/>
  <c r="BP10" i="14" s="1"/>
  <c r="AV58" i="14"/>
  <c r="AV175" i="14"/>
  <c r="BP45" i="14" s="1"/>
  <c r="AV163" i="14"/>
  <c r="AV56" i="14"/>
  <c r="AV37" i="14"/>
  <c r="AV86" i="14"/>
  <c r="AV60" i="14"/>
  <c r="AV149" i="14"/>
  <c r="AV30" i="14"/>
  <c r="AV145" i="14"/>
  <c r="AV133" i="14"/>
  <c r="AV125" i="14"/>
  <c r="AV28" i="14"/>
  <c r="AV203" i="14"/>
  <c r="AV65" i="14"/>
  <c r="AV144" i="14"/>
  <c r="AV50" i="14"/>
  <c r="AV199" i="14"/>
  <c r="AV200" i="14"/>
  <c r="BP20" i="14" s="1"/>
  <c r="AV162" i="14"/>
  <c r="AV146" i="14"/>
  <c r="AV188" i="14"/>
  <c r="AV85" i="14"/>
  <c r="AV62" i="14"/>
  <c r="AV140" i="14"/>
  <c r="AV157" i="14"/>
  <c r="AV114" i="14"/>
  <c r="AV130" i="14"/>
  <c r="BP90" i="14" s="1"/>
  <c r="AV132" i="14"/>
  <c r="AV25" i="14"/>
  <c r="AV13" i="14"/>
  <c r="AV186" i="14"/>
  <c r="AV120" i="14"/>
  <c r="O3" i="14"/>
  <c r="AV100" i="14"/>
  <c r="AV192" i="14"/>
  <c r="AV170" i="14"/>
  <c r="AV17" i="14"/>
  <c r="AV185" i="14"/>
  <c r="BP101" i="14" l="1"/>
  <c r="BP135" i="14"/>
  <c r="BP16" i="14"/>
  <c r="BP153" i="14"/>
  <c r="BP171" i="14"/>
  <c r="BP63" i="14"/>
  <c r="BP138" i="14"/>
  <c r="BP155" i="14"/>
  <c r="BP55" i="14"/>
  <c r="BP180" i="14"/>
  <c r="BP207" i="14"/>
  <c r="BP154" i="14"/>
  <c r="BP98" i="14"/>
  <c r="BP46" i="14"/>
  <c r="BP35" i="14"/>
  <c r="BP111" i="14"/>
  <c r="BP170" i="14"/>
  <c r="BP88" i="14"/>
  <c r="BP183" i="14"/>
  <c r="BP202" i="14"/>
  <c r="BP115" i="14"/>
  <c r="BP161" i="14"/>
  <c r="BP21" i="14"/>
  <c r="BP160" i="14"/>
  <c r="BP27" i="14"/>
  <c r="BP124" i="14"/>
  <c r="BP206" i="14"/>
  <c r="BP80" i="14"/>
  <c r="BP87" i="14"/>
  <c r="BP196" i="14"/>
  <c r="BP162" i="14"/>
  <c r="BP143" i="14"/>
  <c r="BP106" i="14"/>
  <c r="BP145" i="14"/>
  <c r="BP164" i="14"/>
  <c r="BP205" i="14"/>
  <c r="BP26" i="14"/>
  <c r="BP203" i="14"/>
  <c r="BP23" i="14"/>
  <c r="BP120" i="14"/>
  <c r="BP12" i="14"/>
  <c r="BP167" i="14"/>
  <c r="BP79" i="14"/>
  <c r="BP210" i="14"/>
  <c r="BP42" i="14"/>
  <c r="BP76" i="14"/>
  <c r="BP137" i="14"/>
  <c r="BP89" i="14"/>
  <c r="BP68" i="14"/>
  <c r="BP116" i="14"/>
  <c r="BP71" i="14"/>
  <c r="BP73" i="14"/>
  <c r="BP195" i="14"/>
  <c r="BP163" i="14"/>
  <c r="BP159" i="14"/>
  <c r="BP182" i="14"/>
  <c r="BP169" i="14"/>
  <c r="BP97" i="14"/>
  <c r="BP139" i="14"/>
  <c r="BP201" i="14"/>
  <c r="BP172" i="14"/>
  <c r="BP28" i="14"/>
  <c r="BP39" i="14"/>
  <c r="BP99" i="14"/>
  <c r="BP29" i="14"/>
  <c r="BP117" i="14"/>
  <c r="BP113" i="14"/>
  <c r="BP151" i="14"/>
  <c r="BP166" i="14"/>
  <c r="BP209" i="14"/>
  <c r="BP31" i="14"/>
  <c r="BP95" i="14"/>
  <c r="BP74" i="14"/>
  <c r="BP190" i="14"/>
  <c r="BP179" i="14"/>
  <c r="BP126" i="14"/>
  <c r="BP33" i="14"/>
  <c r="BP150" i="14"/>
  <c r="BP34" i="14"/>
  <c r="BP134" i="14"/>
  <c r="BP188" i="14"/>
  <c r="BP118" i="14"/>
  <c r="BP173" i="14"/>
  <c r="BP91" i="14"/>
  <c r="BP92" i="14"/>
  <c r="BP112" i="14"/>
  <c r="BP62" i="14"/>
  <c r="BP176" i="14"/>
  <c r="BP148" i="14"/>
  <c r="BP127" i="14"/>
  <c r="BP100" i="14"/>
  <c r="BP198" i="14"/>
  <c r="BP25" i="14"/>
  <c r="BP199" i="14"/>
  <c r="BP61" i="14"/>
  <c r="BP51" i="14"/>
  <c r="BP104" i="14"/>
  <c r="BP130" i="14"/>
  <c r="N130" i="14" s="1"/>
  <c r="G130" i="14" s="1"/>
  <c r="BP57" i="14"/>
  <c r="BP125" i="14"/>
  <c r="BP30" i="14"/>
  <c r="BP189" i="14"/>
  <c r="BP197" i="14"/>
  <c r="BP178" i="14"/>
  <c r="BP144" i="14"/>
  <c r="BP83" i="14"/>
  <c r="BP19" i="14"/>
  <c r="BP38" i="14"/>
  <c r="BP128" i="14"/>
  <c r="BP123" i="14"/>
  <c r="BP48" i="14"/>
  <c r="BP65" i="14"/>
  <c r="N65" i="14" s="1"/>
  <c r="BM65" i="14" s="1"/>
  <c r="BP17" i="14"/>
  <c r="BP208" i="14"/>
  <c r="BP11" i="14"/>
  <c r="BP152" i="14"/>
  <c r="BP174" i="14"/>
  <c r="N174" i="14" s="1"/>
  <c r="BP149" i="14"/>
  <c r="BP50" i="14"/>
  <c r="BP192" i="14"/>
  <c r="BP146" i="14"/>
  <c r="BP59" i="14"/>
  <c r="BP53" i="14"/>
  <c r="BP187" i="14"/>
  <c r="BP193" i="14"/>
  <c r="BP147" i="14"/>
  <c r="BP157" i="14"/>
  <c r="N157" i="14" s="1"/>
  <c r="I157" i="14" s="1"/>
  <c r="BP136" i="14"/>
  <c r="N136" i="14" s="1"/>
  <c r="BP114" i="14"/>
  <c r="BP200" i="14"/>
  <c r="N200" i="14" s="1"/>
  <c r="BP158" i="14"/>
  <c r="BP37" i="14"/>
  <c r="BP156" i="14"/>
  <c r="N156" i="14" s="1"/>
  <c r="E156" i="14" s="1"/>
  <c r="BP133" i="14"/>
  <c r="BP109" i="14"/>
  <c r="BP24" i="14"/>
  <c r="BP14" i="14"/>
  <c r="BP40" i="14"/>
  <c r="N40" i="14" s="1"/>
  <c r="I40" i="14" s="1"/>
  <c r="BP96" i="14"/>
  <c r="BP60" i="14"/>
  <c r="BP132" i="14"/>
  <c r="BP41" i="14"/>
  <c r="BP131" i="14"/>
  <c r="BP22" i="14"/>
  <c r="BP140" i="14"/>
  <c r="BP185" i="14"/>
  <c r="BP32" i="14"/>
  <c r="BP75" i="14"/>
  <c r="BP15" i="14"/>
  <c r="BP70" i="14"/>
  <c r="BP181" i="14"/>
  <c r="BP93" i="14"/>
  <c r="BP102" i="14"/>
  <c r="BP56" i="14"/>
  <c r="BP186" i="14"/>
  <c r="BP129" i="14"/>
  <c r="BP85" i="14"/>
  <c r="N85" i="14" s="1"/>
  <c r="W85" i="14" s="1"/>
  <c r="BP81" i="14"/>
  <c r="BP43" i="14"/>
  <c r="N43" i="14" s="1"/>
  <c r="E43" i="14" s="1"/>
  <c r="BP194" i="14"/>
  <c r="BP77" i="14"/>
  <c r="BP67" i="14"/>
  <c r="N67" i="14" s="1"/>
  <c r="BP86" i="14"/>
  <c r="BP58" i="14"/>
  <c r="BP105" i="14"/>
  <c r="BP165" i="14"/>
  <c r="N165" i="14" s="1"/>
  <c r="BP82" i="14"/>
  <c r="N82" i="14" s="1"/>
  <c r="BP13" i="14"/>
  <c r="N13" i="14" s="1"/>
  <c r="BP18" i="14"/>
  <c r="BP122" i="14"/>
  <c r="BP49" i="14"/>
  <c r="N49" i="14" s="1"/>
  <c r="D49" i="14" s="1"/>
  <c r="BP36" i="14"/>
  <c r="N36" i="14" s="1"/>
  <c r="E36" i="14" s="1"/>
  <c r="BP141" i="14"/>
  <c r="BP66" i="14"/>
  <c r="N66" i="14" s="1"/>
  <c r="BP119" i="14"/>
  <c r="N119" i="14" s="1"/>
  <c r="BP204" i="14"/>
  <c r="N204" i="14" s="1"/>
  <c r="BB204" i="14" s="1"/>
  <c r="BP168" i="14"/>
  <c r="N168" i="14" s="1"/>
  <c r="W168" i="14" s="1"/>
  <c r="BP175" i="14"/>
  <c r="N175" i="14" s="1"/>
  <c r="BP103" i="14"/>
  <c r="BP47" i="14"/>
  <c r="BP108" i="14"/>
  <c r="BP44" i="14"/>
  <c r="BP54" i="14"/>
  <c r="BP72" i="14"/>
  <c r="BP94" i="14"/>
  <c r="BP121" i="14"/>
  <c r="BP69" i="14"/>
  <c r="BP107" i="14"/>
  <c r="BP191" i="14"/>
  <c r="BP142" i="14"/>
  <c r="N142" i="14" s="1"/>
  <c r="T142" i="14" s="1"/>
  <c r="A183" i="14"/>
  <c r="A166" i="14"/>
  <c r="A104" i="14"/>
  <c r="A132" i="14"/>
  <c r="A66" i="14"/>
  <c r="A128" i="14"/>
  <c r="A156" i="14"/>
  <c r="A117" i="14"/>
  <c r="A58" i="14"/>
  <c r="A199" i="14"/>
  <c r="A27" i="14"/>
  <c r="A101" i="14"/>
  <c r="A172" i="14"/>
  <c r="A196" i="14"/>
  <c r="A17" i="14"/>
  <c r="A83" i="14"/>
  <c r="A184" i="14"/>
  <c r="A182" i="14"/>
  <c r="A173" i="14"/>
  <c r="A131" i="14"/>
  <c r="A43" i="14"/>
  <c r="A88" i="14"/>
  <c r="A16" i="14"/>
  <c r="A163" i="14"/>
  <c r="A137" i="14"/>
  <c r="A86" i="14"/>
  <c r="A32" i="14"/>
  <c r="A98" i="14"/>
  <c r="A142" i="14"/>
  <c r="A158" i="14"/>
  <c r="A176" i="14"/>
  <c r="A11" i="14"/>
  <c r="A59" i="14"/>
  <c r="A178" i="14"/>
  <c r="A161" i="14"/>
  <c r="A112" i="14"/>
  <c r="A14" i="14"/>
  <c r="A42" i="14"/>
  <c r="A121" i="14"/>
  <c r="A23" i="14"/>
  <c r="A92" i="14"/>
  <c r="A134" i="14"/>
  <c r="A109" i="14"/>
  <c r="A52" i="14"/>
  <c r="A111" i="14"/>
  <c r="A197" i="14"/>
  <c r="A71" i="14"/>
  <c r="A72" i="14"/>
  <c r="A62" i="14"/>
  <c r="A78" i="14"/>
  <c r="A171" i="14"/>
  <c r="A87" i="14"/>
  <c r="A94" i="14"/>
  <c r="A136" i="14"/>
  <c r="A18" i="14"/>
  <c r="A152" i="14"/>
  <c r="A29" i="14"/>
  <c r="A187" i="14"/>
  <c r="A204" i="14"/>
  <c r="A138" i="14"/>
  <c r="A127" i="14"/>
  <c r="A157" i="14"/>
  <c r="A123" i="14"/>
  <c r="A93" i="14"/>
  <c r="A189" i="14"/>
  <c r="A186" i="14"/>
  <c r="A74" i="14"/>
  <c r="A201" i="14"/>
  <c r="A198" i="14"/>
  <c r="A12" i="14"/>
  <c r="A68" i="14"/>
  <c r="A19" i="14"/>
  <c r="A36" i="14"/>
  <c r="A63" i="14"/>
  <c r="A149" i="14"/>
  <c r="A206" i="14"/>
  <c r="A26" i="14"/>
  <c r="A113" i="14"/>
  <c r="A103" i="14"/>
  <c r="A147" i="14"/>
  <c r="A44" i="14"/>
  <c r="A34" i="14"/>
  <c r="A154" i="14"/>
  <c r="A159" i="14"/>
  <c r="A118" i="14"/>
  <c r="A91" i="14"/>
  <c r="A106" i="14"/>
  <c r="A202" i="14"/>
  <c r="A69" i="14"/>
  <c r="A57" i="14"/>
  <c r="A22" i="14"/>
  <c r="A77" i="14"/>
  <c r="A133" i="14"/>
  <c r="A99" i="14"/>
  <c r="A39" i="14"/>
  <c r="A193" i="14"/>
  <c r="A114" i="14"/>
  <c r="A169" i="14"/>
  <c r="A37" i="14"/>
  <c r="A168" i="14"/>
  <c r="A192" i="14"/>
  <c r="A122" i="14"/>
  <c r="A38" i="14"/>
  <c r="A79" i="14"/>
  <c r="A124" i="14"/>
  <c r="A143" i="14"/>
  <c r="A64" i="14"/>
  <c r="A82" i="14"/>
  <c r="A162" i="14"/>
  <c r="A31" i="14"/>
  <c r="A81" i="14"/>
  <c r="A54" i="14"/>
  <c r="A167" i="14"/>
  <c r="A139" i="14"/>
  <c r="A177" i="14"/>
  <c r="A48" i="14"/>
  <c r="A126" i="14"/>
  <c r="A41" i="14"/>
  <c r="A49" i="14"/>
  <c r="A89" i="14"/>
  <c r="A181" i="14"/>
  <c r="A46" i="14"/>
  <c r="A97" i="14"/>
  <c r="A67" i="14"/>
  <c r="A174" i="14"/>
  <c r="A102" i="14"/>
  <c r="A194" i="14"/>
  <c r="A76" i="14"/>
  <c r="A119" i="14"/>
  <c r="A148" i="14"/>
  <c r="A209" i="14"/>
  <c r="A21" i="14"/>
  <c r="A73" i="14"/>
  <c r="A164" i="14"/>
  <c r="A61" i="14"/>
  <c r="A33" i="14"/>
  <c r="A96" i="14"/>
  <c r="A53" i="14"/>
  <c r="A56" i="14"/>
  <c r="A191" i="14"/>
  <c r="A129" i="14"/>
  <c r="A116" i="14"/>
  <c r="A47" i="14"/>
  <c r="A146" i="14"/>
  <c r="A208" i="14"/>
  <c r="A108" i="14"/>
  <c r="A84" i="14"/>
  <c r="A151" i="14"/>
  <c r="A45" i="14"/>
  <c r="A145" i="14"/>
  <c r="A125" i="14"/>
  <c r="A90" i="14"/>
  <c r="A190" i="14"/>
  <c r="A141" i="14"/>
  <c r="A30" i="14"/>
  <c r="A85" i="14"/>
  <c r="A35" i="14"/>
  <c r="A207" i="14"/>
  <c r="A24" i="14"/>
  <c r="A15" i="14"/>
  <c r="A203" i="14"/>
  <c r="A40" i="14"/>
  <c r="A205" i="14"/>
  <c r="A105" i="14"/>
  <c r="A175" i="14"/>
  <c r="A28" i="14"/>
  <c r="A195" i="14"/>
  <c r="A95" i="14"/>
  <c r="A65" i="14"/>
  <c r="A51" i="14"/>
  <c r="A135" i="14"/>
  <c r="A50" i="14"/>
  <c r="A185" i="14"/>
  <c r="A180" i="14"/>
  <c r="A60" i="14"/>
  <c r="A75" i="14"/>
  <c r="A70" i="14"/>
  <c r="A155" i="14"/>
  <c r="A144" i="14"/>
  <c r="A80" i="14"/>
  <c r="A140" i="14"/>
  <c r="A179" i="14"/>
  <c r="A20" i="14"/>
  <c r="A200" i="14"/>
  <c r="A25" i="14"/>
  <c r="A55" i="14"/>
  <c r="A150" i="14"/>
  <c r="A210" i="14"/>
  <c r="A170" i="14"/>
  <c r="A100" i="14"/>
  <c r="A110" i="14"/>
  <c r="A115" i="14"/>
  <c r="A10" i="14"/>
  <c r="A165" i="14"/>
  <c r="A188" i="14"/>
  <c r="A13" i="14"/>
  <c r="A130" i="14"/>
  <c r="A153" i="14"/>
  <c r="A107" i="14"/>
  <c r="A160" i="14"/>
  <c r="A120" i="14"/>
  <c r="W110" i="14"/>
  <c r="BA110" i="14"/>
  <c r="G110" i="14"/>
  <c r="AY110" i="14"/>
  <c r="T110" i="14"/>
  <c r="I110" i="14"/>
  <c r="BB110" i="14"/>
  <c r="BL110" i="14"/>
  <c r="BM110" i="14"/>
  <c r="J110" i="14"/>
  <c r="R110" i="14"/>
  <c r="E110" i="14"/>
  <c r="D110" i="14"/>
  <c r="U110" i="14"/>
  <c r="Q110" i="14"/>
  <c r="AZ110" i="14"/>
  <c r="P110" i="14" a="1"/>
  <c r="H110" i="14" a="1"/>
  <c r="N98" i="14" l="1"/>
  <c r="BL98" i="14" s="1"/>
  <c r="N170" i="14"/>
  <c r="BL170" i="14" s="1"/>
  <c r="N202" i="14"/>
  <c r="I202" i="14" s="1"/>
  <c r="BQ10" i="14" a="1"/>
  <c r="BQ10" i="14" s="1"/>
  <c r="N185" i="14"/>
  <c r="BL185" i="14" s="1"/>
  <c r="N109" i="14"/>
  <c r="BA109" i="14" s="1"/>
  <c r="N37" i="14"/>
  <c r="T37" i="14" s="1"/>
  <c r="N105" i="14"/>
  <c r="BM105" i="14" s="1"/>
  <c r="N132" i="14"/>
  <c r="BB132" i="14" s="1"/>
  <c r="N14" i="14"/>
  <c r="W14" i="14" s="1"/>
  <c r="N199" i="14"/>
  <c r="BB199" i="14" s="1"/>
  <c r="N59" i="14"/>
  <c r="N96" i="14"/>
  <c r="BB96" i="14" s="1"/>
  <c r="N193" i="14"/>
  <c r="G193" i="14" s="1"/>
  <c r="N160" i="14"/>
  <c r="E160" i="14" s="1"/>
  <c r="N140" i="14"/>
  <c r="I140" i="14" s="1"/>
  <c r="N63" i="14"/>
  <c r="G63" i="14" s="1"/>
  <c r="N70" i="14"/>
  <c r="AY70" i="14" s="1"/>
  <c r="N100" i="14"/>
  <c r="I100" i="14" s="1"/>
  <c r="N51" i="14"/>
  <c r="T51" i="14" s="1"/>
  <c r="N114" i="14"/>
  <c r="T114" i="14" s="1"/>
  <c r="N24" i="14"/>
  <c r="AZ24" i="14" s="1"/>
  <c r="N75" i="14"/>
  <c r="Q75" i="14" s="1"/>
  <c r="N81" i="14"/>
  <c r="I81" i="14" s="1"/>
  <c r="N133" i="14"/>
  <c r="BL133" i="14" s="1"/>
  <c r="N58" i="14"/>
  <c r="I58" i="14" s="1"/>
  <c r="N77" i="14"/>
  <c r="AZ77" i="14" s="1"/>
  <c r="N194" i="14"/>
  <c r="E194" i="14" s="1"/>
  <c r="N56" i="14"/>
  <c r="N106" i="14"/>
  <c r="T106" i="14" s="1"/>
  <c r="N15" i="14"/>
  <c r="G15" i="14" s="1"/>
  <c r="N12" i="14"/>
  <c r="T12" i="14" s="1"/>
  <c r="N203" i="14"/>
  <c r="J203" i="14" s="1"/>
  <c r="N167" i="14"/>
  <c r="BA167" i="14" s="1"/>
  <c r="N79" i="14"/>
  <c r="I79" i="14" s="1"/>
  <c r="N166" i="14"/>
  <c r="AY166" i="14" s="1"/>
  <c r="N188" i="14"/>
  <c r="T188" i="14" s="1"/>
  <c r="N60" i="14"/>
  <c r="I60" i="14" s="1"/>
  <c r="N89" i="14"/>
  <c r="BB89" i="14" s="1"/>
  <c r="N118" i="14"/>
  <c r="I118" i="14" s="1"/>
  <c r="N76" i="14"/>
  <c r="D76" i="14" s="1"/>
  <c r="N42" i="14"/>
  <c r="BL42" i="14" s="1"/>
  <c r="N149" i="14"/>
  <c r="AZ149" i="14" s="1"/>
  <c r="N124" i="14"/>
  <c r="T124" i="14" s="1"/>
  <c r="N121" i="14"/>
  <c r="BA121" i="14" s="1"/>
  <c r="N147" i="14"/>
  <c r="I147" i="14" s="1"/>
  <c r="N94" i="14"/>
  <c r="N101" i="14"/>
  <c r="BB101" i="14" s="1"/>
  <c r="N20" i="14"/>
  <c r="E20" i="14" s="1"/>
  <c r="N123" i="14"/>
  <c r="J123" i="14" s="1"/>
  <c r="N21" i="14"/>
  <c r="J21" i="14" s="1"/>
  <c r="N55" i="14"/>
  <c r="BB55" i="14" s="1"/>
  <c r="N191" i="14"/>
  <c r="BA191" i="14" s="1"/>
  <c r="N208" i="14"/>
  <c r="N187" i="14"/>
  <c r="G187" i="14" s="1"/>
  <c r="N47" i="14"/>
  <c r="Q47" i="14" s="1"/>
  <c r="N10" i="14"/>
  <c r="N83" i="14"/>
  <c r="W83" i="14" s="1"/>
  <c r="N84" i="14"/>
  <c r="BM84" i="14" s="1"/>
  <c r="N189" i="14"/>
  <c r="I189" i="14" s="1"/>
  <c r="N162" i="14"/>
  <c r="BA162" i="14" s="1"/>
  <c r="N46" i="14"/>
  <c r="J46" i="14" s="1"/>
  <c r="N138" i="14"/>
  <c r="I138" i="14" s="1"/>
  <c r="N145" i="14"/>
  <c r="J145" i="14" s="1"/>
  <c r="N33" i="14"/>
  <c r="AY33" i="14" s="1"/>
  <c r="N146" i="14"/>
  <c r="N210" i="14"/>
  <c r="BA210" i="14" s="1"/>
  <c r="N131" i="14"/>
  <c r="Q131" i="14" s="1"/>
  <c r="N19" i="14"/>
  <c r="BM19" i="14" s="1"/>
  <c r="N169" i="14"/>
  <c r="N135" i="14"/>
  <c r="I135" i="14" s="1"/>
  <c r="N45" i="14"/>
  <c r="BB45" i="14" s="1"/>
  <c r="N154" i="14"/>
  <c r="W154" i="14" s="1"/>
  <c r="N28" i="14"/>
  <c r="D28" i="14" s="1"/>
  <c r="N116" i="14"/>
  <c r="U116" i="14" s="1"/>
  <c r="N64" i="14"/>
  <c r="BA64" i="14" s="1"/>
  <c r="N80" i="14"/>
  <c r="E80" i="14" s="1"/>
  <c r="N207" i="14"/>
  <c r="AZ207" i="14" s="1"/>
  <c r="N183" i="14"/>
  <c r="BA183" i="14" s="1"/>
  <c r="N125" i="14"/>
  <c r="BL125" i="14" s="1"/>
  <c r="N111" i="14"/>
  <c r="G111" i="14" s="1"/>
  <c r="N41" i="14"/>
  <c r="Q41" i="14" s="1"/>
  <c r="N181" i="14"/>
  <c r="R181" i="14" s="1"/>
  <c r="N27" i="14"/>
  <c r="W27" i="14" s="1"/>
  <c r="N115" i="14"/>
  <c r="J115" i="14" s="1"/>
  <c r="N144" i="14"/>
  <c r="AY144" i="14" s="1"/>
  <c r="N78" i="14"/>
  <c r="N11" i="14"/>
  <c r="BM11" i="14" s="1"/>
  <c r="N164" i="14"/>
  <c r="AY164" i="14" s="1"/>
  <c r="N71" i="14"/>
  <c r="E71" i="14" s="1"/>
  <c r="N97" i="14"/>
  <c r="BM97" i="14" s="1"/>
  <c r="N104" i="14"/>
  <c r="BL104" i="14" s="1"/>
  <c r="N192" i="14"/>
  <c r="BA192" i="14" s="1"/>
  <c r="N95" i="14"/>
  <c r="BL95" i="14" s="1"/>
  <c r="N139" i="14"/>
  <c r="AZ139" i="14" s="1"/>
  <c r="N137" i="14"/>
  <c r="N90" i="14"/>
  <c r="BB90" i="14" s="1"/>
  <c r="N198" i="14"/>
  <c r="Q198" i="14" s="1"/>
  <c r="N134" i="14"/>
  <c r="AY134" i="14" s="1"/>
  <c r="N182" i="14"/>
  <c r="G182" i="14" s="1"/>
  <c r="N161" i="14"/>
  <c r="T161" i="14" s="1"/>
  <c r="N34" i="14"/>
  <c r="BA34" i="14" s="1"/>
  <c r="N113" i="14"/>
  <c r="T113" i="14" s="1"/>
  <c r="N159" i="14"/>
  <c r="AY159" i="14" s="1"/>
  <c r="N35" i="14"/>
  <c r="G35" i="14" s="1"/>
  <c r="N30" i="14"/>
  <c r="N195" i="14"/>
  <c r="AZ195" i="14" s="1"/>
  <c r="N92" i="14"/>
  <c r="N172" i="14"/>
  <c r="U172" i="14" s="1"/>
  <c r="N68" i="14"/>
  <c r="BA68" i="14" s="1"/>
  <c r="T85" i="14"/>
  <c r="BH85" i="14" s="1"/>
  <c r="N50" i="14"/>
  <c r="N91" i="14"/>
  <c r="BA91" i="14" s="1"/>
  <c r="N122" i="14"/>
  <c r="R122" i="14" s="1"/>
  <c r="R13" i="14"/>
  <c r="E85" i="14"/>
  <c r="Q85" i="14"/>
  <c r="G85" i="14"/>
  <c r="AF85" i="14" s="1"/>
  <c r="Q13" i="14"/>
  <c r="N152" i="14"/>
  <c r="R152" i="14" s="1"/>
  <c r="N178" i="14"/>
  <c r="W178" i="14" s="1"/>
  <c r="N151" i="14"/>
  <c r="G151" i="14" s="1"/>
  <c r="BB40" i="14"/>
  <c r="U40" i="14"/>
  <c r="N155" i="14"/>
  <c r="W155" i="14" s="1"/>
  <c r="N153" i="14"/>
  <c r="U153" i="14" s="1"/>
  <c r="N22" i="14"/>
  <c r="AY22" i="14" s="1"/>
  <c r="N29" i="14"/>
  <c r="W29" i="14" s="1"/>
  <c r="N177" i="14"/>
  <c r="BM177" i="14" s="1"/>
  <c r="N88" i="14"/>
  <c r="G88" i="14" s="1"/>
  <c r="N196" i="14"/>
  <c r="G196" i="14" s="1"/>
  <c r="N180" i="14"/>
  <c r="G180" i="14" s="1"/>
  <c r="N87" i="14"/>
  <c r="BA87" i="14" s="1"/>
  <c r="N38" i="14"/>
  <c r="W38" i="14" s="1"/>
  <c r="N16" i="14"/>
  <c r="R16" i="14" s="1"/>
  <c r="N86" i="14"/>
  <c r="T86" i="14" s="1"/>
  <c r="N26" i="14"/>
  <c r="AY26" i="14" s="1"/>
  <c r="N73" i="14"/>
  <c r="J73" i="14" s="1"/>
  <c r="N120" i="14"/>
  <c r="J120" i="14" s="1"/>
  <c r="N150" i="14"/>
  <c r="G150" i="14" s="1"/>
  <c r="N184" i="14"/>
  <c r="J184" i="14" s="1"/>
  <c r="N171" i="14"/>
  <c r="N126" i="14"/>
  <c r="AY126" i="14" s="1"/>
  <c r="N99" i="14"/>
  <c r="BB99" i="14" s="1"/>
  <c r="N206" i="14"/>
  <c r="AZ206" i="14" s="1"/>
  <c r="N179" i="14"/>
  <c r="I179" i="14" s="1"/>
  <c r="N39" i="14"/>
  <c r="U39" i="14" s="1"/>
  <c r="N190" i="14"/>
  <c r="BM190" i="14" s="1"/>
  <c r="N205" i="14"/>
  <c r="W205" i="14" s="1"/>
  <c r="N186" i="14"/>
  <c r="T186" i="14" s="1"/>
  <c r="N74" i="14"/>
  <c r="I74" i="14" s="1"/>
  <c r="N201" i="14"/>
  <c r="E201" i="14" s="1"/>
  <c r="BL36" i="14"/>
  <c r="N107" i="14"/>
  <c r="G107" i="14" s="1"/>
  <c r="N61" i="14"/>
  <c r="G61" i="14" s="1"/>
  <c r="N209" i="14"/>
  <c r="BB209" i="14" s="1"/>
  <c r="N52" i="14"/>
  <c r="AZ52" i="14" s="1"/>
  <c r="N143" i="14"/>
  <c r="I143" i="14" s="1"/>
  <c r="N25" i="14"/>
  <c r="J25" i="14" s="1"/>
  <c r="R43" i="14"/>
  <c r="BL43" i="14"/>
  <c r="N117" i="14"/>
  <c r="N163" i="14"/>
  <c r="J163" i="14" s="1"/>
  <c r="BM156" i="14"/>
  <c r="AY36" i="14"/>
  <c r="R156" i="14"/>
  <c r="W36" i="14"/>
  <c r="T36" i="14"/>
  <c r="Q156" i="14"/>
  <c r="W156" i="14"/>
  <c r="J156" i="14"/>
  <c r="R65" i="14"/>
  <c r="BA65" i="14"/>
  <c r="D156" i="14"/>
  <c r="W65" i="14"/>
  <c r="AY156" i="14"/>
  <c r="BL65" i="14"/>
  <c r="BL156" i="14"/>
  <c r="U156" i="14"/>
  <c r="G156" i="14"/>
  <c r="N53" i="14"/>
  <c r="E53" i="14" s="1"/>
  <c r="T156" i="14"/>
  <c r="BB156" i="14"/>
  <c r="I156" i="14"/>
  <c r="AZ156" i="14"/>
  <c r="BA156" i="14"/>
  <c r="BM142" i="14"/>
  <c r="W142" i="14"/>
  <c r="BH142" i="14" s="1"/>
  <c r="I142" i="14"/>
  <c r="J142" i="14"/>
  <c r="BB142" i="14"/>
  <c r="BL142" i="14"/>
  <c r="G142" i="14"/>
  <c r="BA142" i="14"/>
  <c r="Q200" i="14"/>
  <c r="T200" i="14"/>
  <c r="G200" i="14"/>
  <c r="E200" i="14"/>
  <c r="I200" i="14"/>
  <c r="R200" i="14"/>
  <c r="BB200" i="14"/>
  <c r="D200" i="14"/>
  <c r="N48" i="14"/>
  <c r="G48" i="14" s="1"/>
  <c r="R157" i="14"/>
  <c r="W157" i="14"/>
  <c r="N173" i="14"/>
  <c r="N31" i="14"/>
  <c r="N141" i="14"/>
  <c r="D141" i="14" s="1"/>
  <c r="AZ82" i="14"/>
  <c r="R82" i="14"/>
  <c r="BB82" i="14"/>
  <c r="U82" i="14"/>
  <c r="Q82" i="14"/>
  <c r="G82" i="14"/>
  <c r="T82" i="14"/>
  <c r="J82" i="14"/>
  <c r="BA82" i="14"/>
  <c r="AY82" i="14"/>
  <c r="BL82" i="14"/>
  <c r="D142" i="14"/>
  <c r="J157" i="14"/>
  <c r="N62" i="14"/>
  <c r="R142" i="14"/>
  <c r="U142" i="14"/>
  <c r="G204" i="14"/>
  <c r="Q157" i="14"/>
  <c r="Q168" i="14"/>
  <c r="AZ142" i="14"/>
  <c r="AY204" i="14"/>
  <c r="AZ157" i="14"/>
  <c r="R168" i="14"/>
  <c r="E142" i="14"/>
  <c r="I204" i="14"/>
  <c r="BL157" i="14"/>
  <c r="AZ130" i="14"/>
  <c r="AY168" i="14"/>
  <c r="AY142" i="14"/>
  <c r="BA204" i="14"/>
  <c r="AY157" i="14"/>
  <c r="BB130" i="14"/>
  <c r="BA168" i="14"/>
  <c r="N57" i="14"/>
  <c r="N112" i="14"/>
  <c r="BA157" i="14"/>
  <c r="N103" i="14"/>
  <c r="AZ103" i="14" s="1"/>
  <c r="N129" i="14"/>
  <c r="D129" i="14" s="1"/>
  <c r="Q142" i="14"/>
  <c r="N128" i="14"/>
  <c r="R128" i="14" s="1"/>
  <c r="N69" i="14"/>
  <c r="J200" i="14"/>
  <c r="AY200" i="14"/>
  <c r="U204" i="14"/>
  <c r="BM200" i="14"/>
  <c r="BA200" i="14"/>
  <c r="N102" i="14"/>
  <c r="E102" i="14" s="1"/>
  <c r="E204" i="14"/>
  <c r="BM82" i="14"/>
  <c r="W82" i="14"/>
  <c r="AZ200" i="14"/>
  <c r="W200" i="14"/>
  <c r="R204" i="14"/>
  <c r="D82" i="14"/>
  <c r="I82" i="14"/>
  <c r="U200" i="14"/>
  <c r="N18" i="14"/>
  <c r="R18" i="14" s="1"/>
  <c r="N32" i="14"/>
  <c r="D32" i="14" s="1"/>
  <c r="AZ204" i="14"/>
  <c r="E82" i="14"/>
  <c r="BL200" i="14"/>
  <c r="N158" i="14"/>
  <c r="N108" i="14"/>
  <c r="AY108" i="14" s="1"/>
  <c r="J174" i="14"/>
  <c r="U174" i="14"/>
  <c r="D175" i="14"/>
  <c r="U175" i="14"/>
  <c r="BA175" i="14"/>
  <c r="W175" i="14"/>
  <c r="G175" i="14"/>
  <c r="T175" i="14"/>
  <c r="BM175" i="14"/>
  <c r="Q175" i="14"/>
  <c r="R175" i="14"/>
  <c r="E175" i="14"/>
  <c r="W165" i="14"/>
  <c r="BM165" i="14"/>
  <c r="D165" i="14"/>
  <c r="BB165" i="14"/>
  <c r="U165" i="14"/>
  <c r="AZ165" i="14"/>
  <c r="R119" i="14"/>
  <c r="U119" i="14"/>
  <c r="D119" i="14"/>
  <c r="E119" i="14"/>
  <c r="AY119" i="14"/>
  <c r="J119" i="14"/>
  <c r="BL119" i="14"/>
  <c r="I119" i="14"/>
  <c r="Q119" i="14"/>
  <c r="BA119" i="14"/>
  <c r="T119" i="14"/>
  <c r="AZ119" i="14"/>
  <c r="W119" i="14"/>
  <c r="BM119" i="14"/>
  <c r="G119" i="14"/>
  <c r="BB119" i="14"/>
  <c r="G67" i="14"/>
  <c r="BL67" i="14"/>
  <c r="T67" i="14"/>
  <c r="E67" i="14"/>
  <c r="R67" i="14"/>
  <c r="AY67" i="14"/>
  <c r="BB67" i="14"/>
  <c r="I67" i="14"/>
  <c r="Q67" i="14"/>
  <c r="J67" i="14"/>
  <c r="AZ67" i="14"/>
  <c r="BM67" i="14"/>
  <c r="D67" i="14"/>
  <c r="W67" i="14"/>
  <c r="BA67" i="14"/>
  <c r="U67" i="14"/>
  <c r="BM136" i="14"/>
  <c r="G136" i="14"/>
  <c r="J136" i="14"/>
  <c r="BB136" i="14"/>
  <c r="W136" i="14"/>
  <c r="D136" i="14"/>
  <c r="BA136" i="14"/>
  <c r="R136" i="14"/>
  <c r="I136" i="14"/>
  <c r="U136" i="14"/>
  <c r="Q136" i="14"/>
  <c r="AY136" i="14"/>
  <c r="AZ136" i="14"/>
  <c r="T136" i="14"/>
  <c r="BL136" i="14"/>
  <c r="E136" i="14"/>
  <c r="G174" i="14"/>
  <c r="BA174" i="14"/>
  <c r="I174" i="14"/>
  <c r="N54" i="14"/>
  <c r="AZ54" i="14" s="1"/>
  <c r="BB174" i="14"/>
  <c r="D174" i="14"/>
  <c r="R174" i="14"/>
  <c r="E174" i="14"/>
  <c r="I66" i="14"/>
  <c r="BL66" i="14"/>
  <c r="T66" i="14"/>
  <c r="G66" i="14"/>
  <c r="AY66" i="14"/>
  <c r="E66" i="14"/>
  <c r="J66" i="14"/>
  <c r="BM66" i="14"/>
  <c r="AZ66" i="14"/>
  <c r="U66" i="14"/>
  <c r="W66" i="14"/>
  <c r="Q66" i="14"/>
  <c r="D66" i="14"/>
  <c r="BB66" i="14"/>
  <c r="BA66" i="14"/>
  <c r="R66" i="14"/>
  <c r="T157" i="14"/>
  <c r="BM157" i="14"/>
  <c r="G157" i="14"/>
  <c r="E157" i="14"/>
  <c r="BB157" i="14"/>
  <c r="D157" i="14"/>
  <c r="U157" i="14"/>
  <c r="G49" i="14"/>
  <c r="AY49" i="14"/>
  <c r="AZ49" i="14"/>
  <c r="E49" i="14"/>
  <c r="R49" i="14"/>
  <c r="J49" i="14"/>
  <c r="BL49" i="14"/>
  <c r="BM49" i="14"/>
  <c r="T49" i="14"/>
  <c r="BB49" i="14"/>
  <c r="I49" i="14"/>
  <c r="BL174" i="14"/>
  <c r="W174" i="14"/>
  <c r="BM174" i="14"/>
  <c r="T174" i="14"/>
  <c r="AZ174" i="14"/>
  <c r="AY174" i="14"/>
  <c r="Q174" i="14"/>
  <c r="N23" i="14"/>
  <c r="N197" i="14"/>
  <c r="U43" i="14"/>
  <c r="I13" i="14"/>
  <c r="BL13" i="14"/>
  <c r="BA13" i="14"/>
  <c r="J13" i="14"/>
  <c r="W13" i="14"/>
  <c r="BM13" i="14"/>
  <c r="AY13" i="14"/>
  <c r="AZ13" i="14"/>
  <c r="G13" i="14"/>
  <c r="D13" i="14"/>
  <c r="T13" i="14"/>
  <c r="E13" i="14"/>
  <c r="BB13" i="14"/>
  <c r="U13" i="14"/>
  <c r="AY65" i="14"/>
  <c r="U65" i="14"/>
  <c r="G65" i="14"/>
  <c r="I65" i="14"/>
  <c r="D65" i="14"/>
  <c r="J65" i="14"/>
  <c r="Q65" i="14"/>
  <c r="BB65" i="14"/>
  <c r="AZ65" i="14"/>
  <c r="T65" i="14"/>
  <c r="E65" i="14"/>
  <c r="BB43" i="14"/>
  <c r="AY43" i="14"/>
  <c r="J165" i="14"/>
  <c r="D40" i="14"/>
  <c r="BL40" i="14"/>
  <c r="W40" i="14"/>
  <c r="R40" i="14"/>
  <c r="BA40" i="14"/>
  <c r="Q40" i="14"/>
  <c r="G40" i="14"/>
  <c r="E40" i="14"/>
  <c r="AY40" i="14"/>
  <c r="AZ40" i="14"/>
  <c r="T40" i="14"/>
  <c r="J40" i="14"/>
  <c r="BM40" i="14"/>
  <c r="AY175" i="14"/>
  <c r="J175" i="14"/>
  <c r="I175" i="14"/>
  <c r="BB175" i="14"/>
  <c r="AZ175" i="14"/>
  <c r="BL175" i="14"/>
  <c r="E130" i="14"/>
  <c r="J130" i="14"/>
  <c r="Q130" i="14"/>
  <c r="W130" i="14"/>
  <c r="AF130" i="14" s="1"/>
  <c r="R130" i="14"/>
  <c r="BA130" i="14"/>
  <c r="U130" i="14"/>
  <c r="T130" i="14"/>
  <c r="BM130" i="14"/>
  <c r="AY130" i="14"/>
  <c r="D130" i="14"/>
  <c r="BG130" i="14" s="1"/>
  <c r="I130" i="14"/>
  <c r="BL130" i="14"/>
  <c r="J168" i="14"/>
  <c r="D168" i="14"/>
  <c r="AZ168" i="14"/>
  <c r="E168" i="14"/>
  <c r="BL168" i="14"/>
  <c r="U168" i="14"/>
  <c r="I168" i="14"/>
  <c r="G168" i="14"/>
  <c r="AF168" i="14" s="1"/>
  <c r="T168" i="14"/>
  <c r="BH168" i="14" s="1"/>
  <c r="BB168" i="14"/>
  <c r="BM168" i="14"/>
  <c r="R85" i="14"/>
  <c r="AZ85" i="14"/>
  <c r="J85" i="14"/>
  <c r="D85" i="14"/>
  <c r="U85" i="14"/>
  <c r="BM85" i="14"/>
  <c r="BA85" i="14"/>
  <c r="BB85" i="14"/>
  <c r="AY85" i="14"/>
  <c r="BL85" i="14"/>
  <c r="I85" i="14"/>
  <c r="D43" i="14"/>
  <c r="AZ43" i="14"/>
  <c r="BA43" i="14"/>
  <c r="T165" i="14"/>
  <c r="Q49" i="14"/>
  <c r="BM204" i="14"/>
  <c r="J204" i="14"/>
  <c r="W204" i="14"/>
  <c r="Q204" i="14"/>
  <c r="T204" i="14"/>
  <c r="D204" i="14"/>
  <c r="BL204" i="14"/>
  <c r="N17" i="14"/>
  <c r="G43" i="14"/>
  <c r="I165" i="14"/>
  <c r="Q43" i="14"/>
  <c r="W43" i="14"/>
  <c r="E165" i="14"/>
  <c r="AY165" i="14"/>
  <c r="U49" i="14"/>
  <c r="N176" i="14"/>
  <c r="N44" i="14"/>
  <c r="J43" i="14"/>
  <c r="I43" i="14"/>
  <c r="BL165" i="14"/>
  <c r="G165" i="14"/>
  <c r="BA49" i="14"/>
  <c r="T43" i="14"/>
  <c r="BM43" i="14"/>
  <c r="R165" i="14"/>
  <c r="BA165" i="14"/>
  <c r="W49" i="14"/>
  <c r="Q165" i="14"/>
  <c r="N148" i="14"/>
  <c r="N72" i="14"/>
  <c r="Q36" i="14"/>
  <c r="J36" i="14"/>
  <c r="D36" i="14"/>
  <c r="BB36" i="14"/>
  <c r="U36" i="14"/>
  <c r="BM36" i="14"/>
  <c r="I36" i="14"/>
  <c r="R36" i="14"/>
  <c r="BA36" i="14"/>
  <c r="AZ36" i="14"/>
  <c r="G36" i="14"/>
  <c r="N127" i="14"/>
  <c r="N93" i="14"/>
  <c r="BD110" i="14"/>
  <c r="H110" i="14"/>
  <c r="P110" i="14"/>
  <c r="BH110" i="14"/>
  <c r="AF110" i="14"/>
  <c r="BG110" i="14"/>
  <c r="BC110" i="14"/>
  <c r="P67" i="14" a="1"/>
  <c r="P157" i="14" a="1"/>
  <c r="H157" i="14" a="1"/>
  <c r="H119" i="14" a="1"/>
  <c r="H67" i="14" a="1"/>
  <c r="P119" i="14" a="1"/>
  <c r="H49" i="14" a="1"/>
  <c r="P49" i="14" a="1"/>
  <c r="H13" i="14" a="1"/>
  <c r="P13" i="14" a="1"/>
  <c r="H43" i="14" a="1"/>
  <c r="P43" i="14" a="1"/>
  <c r="H204" i="14" a="1"/>
  <c r="H168" i="14" a="1"/>
  <c r="P136" i="14" a="1"/>
  <c r="P174" i="14" a="1"/>
  <c r="H174" i="14" a="1"/>
  <c r="H156" i="14" a="1"/>
  <c r="H142" i="14" a="1"/>
  <c r="P142" i="14" a="1"/>
  <c r="H136" i="14" a="1"/>
  <c r="P168" i="14" a="1"/>
  <c r="P156" i="14" a="1"/>
  <c r="P204" i="14" a="1"/>
  <c r="H82" i="14" a="1"/>
  <c r="P66" i="14" a="1"/>
  <c r="P36" i="14" a="1"/>
  <c r="H66" i="14" a="1"/>
  <c r="H36" i="14" a="1"/>
  <c r="P82" i="14" a="1"/>
  <c r="H200" i="14" a="1"/>
  <c r="H175" i="14" a="1"/>
  <c r="P200" i="14" a="1"/>
  <c r="P40" i="14" a="1"/>
  <c r="H85" i="14" a="1"/>
  <c r="H130" i="14" a="1"/>
  <c r="P130" i="14" a="1"/>
  <c r="H165" i="14" a="1"/>
  <c r="H40" i="14" a="1"/>
  <c r="P175" i="14" a="1"/>
  <c r="P65" i="14" a="1"/>
  <c r="P85" i="14" a="1"/>
  <c r="H65" i="14" a="1"/>
  <c r="P165" i="14" a="1"/>
  <c r="R112" i="14" l="1"/>
  <c r="BL50" i="14"/>
  <c r="P49" i="14"/>
  <c r="BJ49" i="14" s="1"/>
  <c r="P43" i="14"/>
  <c r="AG43" i="14" s="1"/>
  <c r="AN43" i="14" s="1"/>
  <c r="H13" i="14"/>
  <c r="AH13" i="14" s="1"/>
  <c r="AJ13" i="14" s="1"/>
  <c r="Z13" i="14" s="1"/>
  <c r="H204" i="14"/>
  <c r="P204" i="14"/>
  <c r="BJ204" i="14" s="1"/>
  <c r="H43" i="14"/>
  <c r="AH43" i="14" s="1"/>
  <c r="AJ43" i="14" s="1"/>
  <c r="Z43" i="14" s="1"/>
  <c r="H49" i="14"/>
  <c r="BI49" i="14" s="1"/>
  <c r="H67" i="14"/>
  <c r="AH67" i="14" s="1"/>
  <c r="AK67" i="14" s="1"/>
  <c r="H157" i="14"/>
  <c r="AH157" i="14" s="1"/>
  <c r="AM157" i="14" s="1"/>
  <c r="P157" i="14"/>
  <c r="AG157" i="14" s="1"/>
  <c r="AL157" i="14" s="1"/>
  <c r="P13" i="14"/>
  <c r="P67" i="14"/>
  <c r="AG67" i="14" s="1"/>
  <c r="AN67" i="14" s="1"/>
  <c r="Q98" i="14"/>
  <c r="I170" i="14"/>
  <c r="AY170" i="14"/>
  <c r="BL202" i="14"/>
  <c r="U170" i="14"/>
  <c r="AY30" i="14"/>
  <c r="T202" i="14"/>
  <c r="BM202" i="14"/>
  <c r="W202" i="14"/>
  <c r="G202" i="14"/>
  <c r="AZ202" i="14"/>
  <c r="W98" i="14"/>
  <c r="E98" i="14"/>
  <c r="J98" i="14"/>
  <c r="T98" i="14"/>
  <c r="AZ98" i="14"/>
  <c r="BM98" i="14"/>
  <c r="BB170" i="14"/>
  <c r="BM170" i="14"/>
  <c r="BA170" i="14"/>
  <c r="G170" i="14"/>
  <c r="Q170" i="14"/>
  <c r="E170" i="14"/>
  <c r="AZ170" i="14"/>
  <c r="W170" i="14"/>
  <c r="U98" i="14"/>
  <c r="BB98" i="14"/>
  <c r="BA98" i="14"/>
  <c r="R98" i="14"/>
  <c r="I98" i="14"/>
  <c r="AY98" i="14"/>
  <c r="G98" i="14"/>
  <c r="D98" i="14"/>
  <c r="K110" i="14"/>
  <c r="J170" i="14"/>
  <c r="T170" i="14"/>
  <c r="R170" i="14"/>
  <c r="BM185" i="14"/>
  <c r="U185" i="14"/>
  <c r="G185" i="14"/>
  <c r="R185" i="14"/>
  <c r="AZ185" i="14"/>
  <c r="U202" i="14"/>
  <c r="AY202" i="14"/>
  <c r="AY185" i="14"/>
  <c r="BB185" i="14"/>
  <c r="Q185" i="14"/>
  <c r="D170" i="14"/>
  <c r="W10" i="14"/>
  <c r="E202" i="14"/>
  <c r="BA202" i="14"/>
  <c r="Q202" i="14"/>
  <c r="R202" i="14"/>
  <c r="D202" i="14"/>
  <c r="BB202" i="14"/>
  <c r="J202" i="14"/>
  <c r="Q109" i="14"/>
  <c r="AY109" i="14"/>
  <c r="T185" i="14"/>
  <c r="W185" i="14"/>
  <c r="BA185" i="14"/>
  <c r="D185" i="14"/>
  <c r="E185" i="14"/>
  <c r="J185" i="14"/>
  <c r="I185" i="14"/>
  <c r="W105" i="14"/>
  <c r="BL105" i="14"/>
  <c r="AZ105" i="14"/>
  <c r="D105" i="14"/>
  <c r="G105" i="14"/>
  <c r="R105" i="14"/>
  <c r="Q105" i="14"/>
  <c r="U105" i="14"/>
  <c r="BM109" i="14"/>
  <c r="R37" i="14"/>
  <c r="U109" i="14"/>
  <c r="BB109" i="14"/>
  <c r="BL14" i="14"/>
  <c r="D14" i="14"/>
  <c r="E109" i="14"/>
  <c r="W109" i="14"/>
  <c r="J109" i="14"/>
  <c r="D109" i="14"/>
  <c r="G109" i="14"/>
  <c r="AZ109" i="14"/>
  <c r="R109" i="14"/>
  <c r="T109" i="14"/>
  <c r="D37" i="14"/>
  <c r="I109" i="14"/>
  <c r="BL109" i="14"/>
  <c r="D132" i="14"/>
  <c r="W132" i="14"/>
  <c r="BM132" i="14"/>
  <c r="Q132" i="14"/>
  <c r="AZ132" i="14"/>
  <c r="I132" i="14"/>
  <c r="J132" i="14"/>
  <c r="AY132" i="14"/>
  <c r="U132" i="14"/>
  <c r="BL132" i="14"/>
  <c r="G132" i="14"/>
  <c r="R132" i="14"/>
  <c r="J14" i="14"/>
  <c r="AY14" i="14"/>
  <c r="BA132" i="14"/>
  <c r="E132" i="14"/>
  <c r="T132" i="14"/>
  <c r="Q14" i="14"/>
  <c r="BA199" i="14"/>
  <c r="BL96" i="14"/>
  <c r="U199" i="14"/>
  <c r="I199" i="14"/>
  <c r="AY199" i="14"/>
  <c r="BM199" i="14"/>
  <c r="P119" i="14"/>
  <c r="H119" i="14"/>
  <c r="AH119" i="14" s="1"/>
  <c r="AJ119" i="14" s="1"/>
  <c r="Z119" i="14" s="1"/>
  <c r="U14" i="14"/>
  <c r="I14" i="14"/>
  <c r="D59" i="14"/>
  <c r="J59" i="14"/>
  <c r="AZ59" i="14"/>
  <c r="T14" i="14"/>
  <c r="BH14" i="14" s="1"/>
  <c r="AZ37" i="14"/>
  <c r="U37" i="14"/>
  <c r="J37" i="14"/>
  <c r="I37" i="14"/>
  <c r="Q37" i="14"/>
  <c r="W37" i="14"/>
  <c r="BH37" i="14" s="1"/>
  <c r="BL37" i="14"/>
  <c r="BB37" i="14"/>
  <c r="AY37" i="14"/>
  <c r="BM37" i="14"/>
  <c r="G37" i="14"/>
  <c r="E37" i="14"/>
  <c r="BA37" i="14"/>
  <c r="AY96" i="14"/>
  <c r="P174" i="14"/>
  <c r="H174" i="14"/>
  <c r="AH174" i="14" s="1"/>
  <c r="AJ174" i="14" s="1"/>
  <c r="Z174" i="14" s="1"/>
  <c r="U96" i="14"/>
  <c r="G96" i="14"/>
  <c r="I59" i="14"/>
  <c r="E105" i="14"/>
  <c r="BA59" i="14"/>
  <c r="BB14" i="14"/>
  <c r="BB59" i="14"/>
  <c r="T96" i="14"/>
  <c r="G199" i="14"/>
  <c r="J199" i="14"/>
  <c r="BA14" i="14"/>
  <c r="E14" i="14"/>
  <c r="J105" i="14"/>
  <c r="R59" i="14"/>
  <c r="E59" i="14"/>
  <c r="BB105" i="14"/>
  <c r="T59" i="14"/>
  <c r="E96" i="14"/>
  <c r="R14" i="14"/>
  <c r="AZ14" i="14"/>
  <c r="I105" i="14"/>
  <c r="E199" i="14"/>
  <c r="J193" i="14"/>
  <c r="BL193" i="14"/>
  <c r="T193" i="14"/>
  <c r="BB193" i="14"/>
  <c r="BM14" i="14"/>
  <c r="G14" i="14"/>
  <c r="BA105" i="14"/>
  <c r="AY105" i="14"/>
  <c r="T199" i="14"/>
  <c r="BL199" i="14"/>
  <c r="Q199" i="14"/>
  <c r="T105" i="14"/>
  <c r="AZ96" i="14"/>
  <c r="BA96" i="14"/>
  <c r="E193" i="14"/>
  <c r="W193" i="14"/>
  <c r="AF193" i="14" s="1"/>
  <c r="BM193" i="14"/>
  <c r="Q193" i="14"/>
  <c r="AZ193" i="14"/>
  <c r="Q96" i="14"/>
  <c r="I96" i="14"/>
  <c r="R96" i="14"/>
  <c r="D96" i="14"/>
  <c r="BL160" i="14"/>
  <c r="BA193" i="14"/>
  <c r="AY193" i="14"/>
  <c r="U193" i="14"/>
  <c r="Q59" i="14"/>
  <c r="W59" i="14"/>
  <c r="R199" i="14"/>
  <c r="BM59" i="14"/>
  <c r="AZ199" i="14"/>
  <c r="G59" i="14"/>
  <c r="BL59" i="14"/>
  <c r="U59" i="14"/>
  <c r="W199" i="14"/>
  <c r="I193" i="14"/>
  <c r="AY59" i="14"/>
  <c r="D199" i="14"/>
  <c r="D193" i="14"/>
  <c r="BG193" i="14" s="1"/>
  <c r="R193" i="14"/>
  <c r="U160" i="14"/>
  <c r="I160" i="14"/>
  <c r="R160" i="14"/>
  <c r="BM160" i="14"/>
  <c r="W160" i="14"/>
  <c r="AZ160" i="14"/>
  <c r="BA160" i="14"/>
  <c r="Q160" i="14"/>
  <c r="AY160" i="14"/>
  <c r="J160" i="14"/>
  <c r="BB160" i="14"/>
  <c r="T160" i="14"/>
  <c r="G160" i="14"/>
  <c r="D160" i="14"/>
  <c r="W96" i="14"/>
  <c r="BM96" i="14"/>
  <c r="J96" i="14"/>
  <c r="H36" i="14"/>
  <c r="P36" i="14"/>
  <c r="H168" i="14"/>
  <c r="AH168" i="14" s="1"/>
  <c r="AM168" i="14" s="1"/>
  <c r="P168" i="14"/>
  <c r="H66" i="14"/>
  <c r="P142" i="14"/>
  <c r="AG142" i="14" s="1"/>
  <c r="AI142" i="14" s="1"/>
  <c r="AA142" i="14" s="1"/>
  <c r="H82" i="14"/>
  <c r="H136" i="14"/>
  <c r="P66" i="14"/>
  <c r="AG66" i="14" s="1"/>
  <c r="AI66" i="14" s="1"/>
  <c r="AA66" i="14" s="1"/>
  <c r="H156" i="14"/>
  <c r="P136" i="14"/>
  <c r="AG136" i="14" s="1"/>
  <c r="AI136" i="14" s="1"/>
  <c r="AA136" i="14" s="1"/>
  <c r="P156" i="14"/>
  <c r="AG156" i="14" s="1"/>
  <c r="AN156" i="14" s="1"/>
  <c r="H142" i="14"/>
  <c r="P82" i="14"/>
  <c r="AG82" i="14" s="1"/>
  <c r="AL82" i="14" s="1"/>
  <c r="T63" i="14"/>
  <c r="R140" i="14"/>
  <c r="Q140" i="14"/>
  <c r="E140" i="14"/>
  <c r="J140" i="14"/>
  <c r="U140" i="14"/>
  <c r="BA63" i="14"/>
  <c r="E63" i="14"/>
  <c r="BM63" i="14"/>
  <c r="AY140" i="14"/>
  <c r="U63" i="14"/>
  <c r="Q70" i="14"/>
  <c r="Q63" i="14"/>
  <c r="BL63" i="14"/>
  <c r="BB63" i="14"/>
  <c r="I63" i="14"/>
  <c r="AZ63" i="14"/>
  <c r="D63" i="14"/>
  <c r="BG63" i="14" s="1"/>
  <c r="AY63" i="14"/>
  <c r="W63" i="14"/>
  <c r="AF63" i="14" s="1"/>
  <c r="BM70" i="14"/>
  <c r="BL70" i="14"/>
  <c r="J70" i="14"/>
  <c r="J63" i="14"/>
  <c r="W140" i="14"/>
  <c r="G140" i="14"/>
  <c r="AZ140" i="14"/>
  <c r="T140" i="14"/>
  <c r="BA140" i="14"/>
  <c r="D140" i="14"/>
  <c r="BM140" i="14"/>
  <c r="BL140" i="14"/>
  <c r="BB140" i="14"/>
  <c r="G70" i="14"/>
  <c r="D70" i="14"/>
  <c r="R63" i="14"/>
  <c r="T70" i="14"/>
  <c r="I70" i="14"/>
  <c r="BB70" i="14"/>
  <c r="R70" i="14"/>
  <c r="E70" i="14"/>
  <c r="AZ114" i="14"/>
  <c r="T100" i="14"/>
  <c r="BL100" i="14"/>
  <c r="AZ70" i="14"/>
  <c r="U70" i="14"/>
  <c r="W70" i="14"/>
  <c r="BA70" i="14"/>
  <c r="D100" i="14"/>
  <c r="AZ100" i="14"/>
  <c r="J100" i="14"/>
  <c r="R100" i="14"/>
  <c r="Q100" i="14"/>
  <c r="BA100" i="14"/>
  <c r="AY100" i="14"/>
  <c r="BM100" i="14"/>
  <c r="W100" i="14"/>
  <c r="U100" i="14"/>
  <c r="E100" i="14"/>
  <c r="BB100" i="14"/>
  <c r="G100" i="14"/>
  <c r="BM24" i="14"/>
  <c r="W114" i="14"/>
  <c r="BH114" i="14" s="1"/>
  <c r="J114" i="14"/>
  <c r="R114" i="14"/>
  <c r="Q114" i="14"/>
  <c r="AZ51" i="14"/>
  <c r="BA24" i="14"/>
  <c r="U24" i="14"/>
  <c r="E24" i="14"/>
  <c r="BB114" i="14"/>
  <c r="I114" i="14"/>
  <c r="E114" i="14"/>
  <c r="BA114" i="14"/>
  <c r="BM114" i="14"/>
  <c r="U114" i="14"/>
  <c r="BL114" i="14"/>
  <c r="AY114" i="14"/>
  <c r="J51" i="14"/>
  <c r="BL51" i="14"/>
  <c r="I51" i="14"/>
  <c r="W51" i="14"/>
  <c r="BH51" i="14" s="1"/>
  <c r="BA51" i="14"/>
  <c r="BB51" i="14"/>
  <c r="E51" i="14"/>
  <c r="G51" i="14"/>
  <c r="D51" i="14"/>
  <c r="Q51" i="14"/>
  <c r="R51" i="14"/>
  <c r="U51" i="14"/>
  <c r="BM51" i="14"/>
  <c r="AY51" i="14"/>
  <c r="Q24" i="14"/>
  <c r="BB75" i="14"/>
  <c r="G24" i="14"/>
  <c r="R24" i="14"/>
  <c r="E75" i="14"/>
  <c r="W81" i="14"/>
  <c r="U75" i="14"/>
  <c r="D114" i="14"/>
  <c r="AY81" i="14"/>
  <c r="J81" i="14"/>
  <c r="BA75" i="14"/>
  <c r="J75" i="14"/>
  <c r="G114" i="14"/>
  <c r="BL75" i="14"/>
  <c r="BB81" i="14"/>
  <c r="D75" i="14"/>
  <c r="BA81" i="14"/>
  <c r="R81" i="14"/>
  <c r="T75" i="14"/>
  <c r="BM75" i="14"/>
  <c r="AY75" i="14"/>
  <c r="R75" i="14"/>
  <c r="Q81" i="14"/>
  <c r="BL58" i="14"/>
  <c r="U81" i="14"/>
  <c r="W58" i="14"/>
  <c r="BB58" i="14"/>
  <c r="D58" i="14"/>
  <c r="AZ75" i="14"/>
  <c r="J58" i="14"/>
  <c r="W75" i="14"/>
  <c r="U58" i="14"/>
  <c r="BM58" i="14"/>
  <c r="AY58" i="14"/>
  <c r="G58" i="14"/>
  <c r="G75" i="14"/>
  <c r="I75" i="14"/>
  <c r="AZ81" i="14"/>
  <c r="E58" i="14"/>
  <c r="T58" i="14"/>
  <c r="I24" i="14"/>
  <c r="Q58" i="14"/>
  <c r="R58" i="14"/>
  <c r="BA58" i="14"/>
  <c r="BL81" i="14"/>
  <c r="D24" i="14"/>
  <c r="AZ58" i="14"/>
  <c r="G81" i="14"/>
  <c r="BB56" i="14"/>
  <c r="AY24" i="14"/>
  <c r="BM81" i="14"/>
  <c r="J24" i="14"/>
  <c r="T81" i="14"/>
  <c r="D81" i="14"/>
  <c r="BB24" i="14"/>
  <c r="E81" i="14"/>
  <c r="W24" i="14"/>
  <c r="T24" i="14"/>
  <c r="BL24" i="14"/>
  <c r="R133" i="14"/>
  <c r="BA56" i="14"/>
  <c r="T56" i="14"/>
  <c r="D56" i="14"/>
  <c r="R56" i="14"/>
  <c r="U194" i="14"/>
  <c r="BA133" i="14"/>
  <c r="BB77" i="14"/>
  <c r="J77" i="14"/>
  <c r="R77" i="14"/>
  <c r="AZ106" i="14"/>
  <c r="G194" i="14"/>
  <c r="U106" i="14"/>
  <c r="Q194" i="14"/>
  <c r="E77" i="14"/>
  <c r="D77" i="14"/>
  <c r="I106" i="14"/>
  <c r="BB194" i="14"/>
  <c r="G77" i="14"/>
  <c r="T77" i="14"/>
  <c r="U133" i="14"/>
  <c r="E133" i="14"/>
  <c r="BL194" i="14"/>
  <c r="R194" i="14"/>
  <c r="BM77" i="14"/>
  <c r="I133" i="14"/>
  <c r="J194" i="14"/>
  <c r="AZ194" i="14"/>
  <c r="I77" i="14"/>
  <c r="BA77" i="14"/>
  <c r="G133" i="14"/>
  <c r="D133" i="14"/>
  <c r="D194" i="14"/>
  <c r="BM133" i="14"/>
  <c r="J133" i="14"/>
  <c r="W194" i="14"/>
  <c r="W77" i="14"/>
  <c r="I194" i="14"/>
  <c r="BM194" i="14"/>
  <c r="T133" i="14"/>
  <c r="BB106" i="14"/>
  <c r="D106" i="14"/>
  <c r="Q106" i="14"/>
  <c r="BL56" i="14"/>
  <c r="BL106" i="14"/>
  <c r="G106" i="14"/>
  <c r="BM106" i="14"/>
  <c r="J106" i="14"/>
  <c r="R106" i="14"/>
  <c r="AZ15" i="14"/>
  <c r="J15" i="14"/>
  <c r="W15" i="14"/>
  <c r="AF15" i="14" s="1"/>
  <c r="BA194" i="14"/>
  <c r="AZ133" i="14"/>
  <c r="AY133" i="14"/>
  <c r="W106" i="14"/>
  <c r="BH106" i="14" s="1"/>
  <c r="Q77" i="14"/>
  <c r="BB133" i="14"/>
  <c r="W133" i="14"/>
  <c r="AY106" i="14"/>
  <c r="T194" i="14"/>
  <c r="U77" i="14"/>
  <c r="AY194" i="14"/>
  <c r="AY77" i="14"/>
  <c r="Q133" i="14"/>
  <c r="BA106" i="14"/>
  <c r="E106" i="14"/>
  <c r="BL77" i="14"/>
  <c r="I15" i="14"/>
  <c r="AZ56" i="14"/>
  <c r="BB15" i="14"/>
  <c r="W56" i="14"/>
  <c r="I56" i="14"/>
  <c r="Q56" i="14"/>
  <c r="U56" i="14"/>
  <c r="E56" i="14"/>
  <c r="BM15" i="14"/>
  <c r="E76" i="14"/>
  <c r="BM76" i="14"/>
  <c r="BA15" i="14"/>
  <c r="AY56" i="14"/>
  <c r="BM56" i="14"/>
  <c r="E15" i="14"/>
  <c r="G56" i="14"/>
  <c r="J56" i="14"/>
  <c r="BM167" i="14"/>
  <c r="AY15" i="14"/>
  <c r="Q15" i="14"/>
  <c r="D15" i="14"/>
  <c r="BG15" i="14" s="1"/>
  <c r="AY203" i="14"/>
  <c r="E203" i="14"/>
  <c r="I12" i="14"/>
  <c r="T15" i="14"/>
  <c r="R15" i="14"/>
  <c r="U15" i="14"/>
  <c r="BL15" i="14"/>
  <c r="I203" i="14"/>
  <c r="W12" i="14"/>
  <c r="BH12" i="14" s="1"/>
  <c r="BA203" i="14"/>
  <c r="BB203" i="14"/>
  <c r="U203" i="14"/>
  <c r="G203" i="14"/>
  <c r="BM203" i="14"/>
  <c r="D203" i="14"/>
  <c r="BL203" i="14"/>
  <c r="W203" i="14"/>
  <c r="Q203" i="14"/>
  <c r="R203" i="14"/>
  <c r="T203" i="14"/>
  <c r="AZ203" i="14"/>
  <c r="G12" i="14"/>
  <c r="I167" i="14"/>
  <c r="J12" i="14"/>
  <c r="E12" i="14"/>
  <c r="D12" i="14"/>
  <c r="BB167" i="14"/>
  <c r="U12" i="14"/>
  <c r="AY12" i="14"/>
  <c r="BL167" i="14"/>
  <c r="BM12" i="14"/>
  <c r="Q12" i="14"/>
  <c r="Q167" i="14"/>
  <c r="W167" i="14"/>
  <c r="G167" i="14"/>
  <c r="W79" i="14"/>
  <c r="BM79" i="14"/>
  <c r="E79" i="14"/>
  <c r="BB79" i="14"/>
  <c r="AZ79" i="14"/>
  <c r="T79" i="14"/>
  <c r="G79" i="14"/>
  <c r="R12" i="14"/>
  <c r="T167" i="14"/>
  <c r="J167" i="14"/>
  <c r="E167" i="14"/>
  <c r="J79" i="14"/>
  <c r="AY79" i="14"/>
  <c r="D79" i="14"/>
  <c r="BL12" i="14"/>
  <c r="U167" i="14"/>
  <c r="R79" i="14"/>
  <c r="Q79" i="14"/>
  <c r="U79" i="14"/>
  <c r="BA79" i="14"/>
  <c r="BB12" i="14"/>
  <c r="AY167" i="14"/>
  <c r="R167" i="14"/>
  <c r="AZ167" i="14"/>
  <c r="BL79" i="14"/>
  <c r="BA12" i="14"/>
  <c r="AZ12" i="14"/>
  <c r="D60" i="14"/>
  <c r="BA60" i="14"/>
  <c r="G60" i="14"/>
  <c r="W60" i="14"/>
  <c r="AY60" i="14"/>
  <c r="BB60" i="14"/>
  <c r="AZ166" i="14"/>
  <c r="G188" i="14"/>
  <c r="D167" i="14"/>
  <c r="Q188" i="14"/>
  <c r="BB188" i="14"/>
  <c r="AY76" i="14"/>
  <c r="T76" i="14"/>
  <c r="BA76" i="14"/>
  <c r="J76" i="14"/>
  <c r="I76" i="14"/>
  <c r="Q76" i="14"/>
  <c r="D166" i="14"/>
  <c r="W76" i="14"/>
  <c r="G76" i="14"/>
  <c r="BG76" i="14" s="1"/>
  <c r="Q166" i="14"/>
  <c r="U60" i="14"/>
  <c r="T60" i="14"/>
  <c r="R76" i="14"/>
  <c r="R60" i="14"/>
  <c r="J60" i="14"/>
  <c r="U76" i="14"/>
  <c r="BB76" i="14"/>
  <c r="AZ76" i="14"/>
  <c r="U166" i="14"/>
  <c r="J89" i="14"/>
  <c r="E60" i="14"/>
  <c r="BL166" i="14"/>
  <c r="BA166" i="14"/>
  <c r="AZ60" i="14"/>
  <c r="BM60" i="14"/>
  <c r="Q60" i="14"/>
  <c r="BL60" i="14"/>
  <c r="R89" i="14"/>
  <c r="BL89" i="14"/>
  <c r="AY89" i="14"/>
  <c r="E89" i="14"/>
  <c r="W89" i="14"/>
  <c r="BL76" i="14"/>
  <c r="D89" i="14"/>
  <c r="I188" i="14"/>
  <c r="AZ188" i="14"/>
  <c r="W118" i="14"/>
  <c r="J188" i="14"/>
  <c r="AY188" i="14"/>
  <c r="BA188" i="14"/>
  <c r="W188" i="14"/>
  <c r="BH188" i="14" s="1"/>
  <c r="BL188" i="14"/>
  <c r="R188" i="14"/>
  <c r="D188" i="14"/>
  <c r="BM188" i="14"/>
  <c r="E188" i="14"/>
  <c r="U188" i="14"/>
  <c r="T166" i="14"/>
  <c r="U89" i="14"/>
  <c r="I89" i="14"/>
  <c r="W166" i="14"/>
  <c r="G166" i="14"/>
  <c r="BM89" i="14"/>
  <c r="Q89" i="14"/>
  <c r="G89" i="14"/>
  <c r="AZ89" i="14"/>
  <c r="BA89" i="14"/>
  <c r="E149" i="14"/>
  <c r="R166" i="14"/>
  <c r="I166" i="14"/>
  <c r="U118" i="14"/>
  <c r="BM166" i="14"/>
  <c r="BB166" i="14"/>
  <c r="E166" i="14"/>
  <c r="J166" i="14"/>
  <c r="T89" i="14"/>
  <c r="AY118" i="14"/>
  <c r="BM42" i="14"/>
  <c r="BA118" i="14"/>
  <c r="G149" i="14"/>
  <c r="U42" i="14"/>
  <c r="BA149" i="14"/>
  <c r="U149" i="14"/>
  <c r="BM149" i="14"/>
  <c r="AY149" i="14"/>
  <c r="Q149" i="14"/>
  <c r="W149" i="14"/>
  <c r="J149" i="14"/>
  <c r="T149" i="14"/>
  <c r="R149" i="14"/>
  <c r="I149" i="14"/>
  <c r="BB149" i="14"/>
  <c r="D149" i="14"/>
  <c r="BL149" i="14"/>
  <c r="Q118" i="14"/>
  <c r="T118" i="14"/>
  <c r="BL118" i="14"/>
  <c r="BM118" i="14"/>
  <c r="G118" i="14"/>
  <c r="AZ118" i="14"/>
  <c r="R118" i="14"/>
  <c r="BM124" i="14"/>
  <c r="AZ42" i="14"/>
  <c r="W42" i="14"/>
  <c r="G42" i="14"/>
  <c r="R42" i="14"/>
  <c r="AY42" i="14"/>
  <c r="I42" i="14"/>
  <c r="Q42" i="14"/>
  <c r="BA42" i="14"/>
  <c r="J42" i="14"/>
  <c r="D42" i="14"/>
  <c r="I124" i="14"/>
  <c r="BB42" i="14"/>
  <c r="T42" i="14"/>
  <c r="E42" i="14"/>
  <c r="J124" i="14"/>
  <c r="BL124" i="14"/>
  <c r="Q124" i="14"/>
  <c r="AZ124" i="14"/>
  <c r="G124" i="14"/>
  <c r="BA124" i="14"/>
  <c r="E124" i="14"/>
  <c r="AY124" i="14"/>
  <c r="Q147" i="14"/>
  <c r="AY147" i="14"/>
  <c r="BB118" i="14"/>
  <c r="T121" i="14"/>
  <c r="W124" i="14"/>
  <c r="BH124" i="14" s="1"/>
  <c r="U124" i="14"/>
  <c r="J118" i="14"/>
  <c r="D118" i="14"/>
  <c r="E118" i="14"/>
  <c r="D121" i="14"/>
  <c r="E121" i="14"/>
  <c r="W121" i="14"/>
  <c r="BL121" i="14"/>
  <c r="AY121" i="14"/>
  <c r="I121" i="14"/>
  <c r="W84" i="14"/>
  <c r="U84" i="14"/>
  <c r="E101" i="14"/>
  <c r="U121" i="14"/>
  <c r="J121" i="14"/>
  <c r="R84" i="14"/>
  <c r="J101" i="14"/>
  <c r="Q121" i="14"/>
  <c r="R121" i="14"/>
  <c r="G121" i="14"/>
  <c r="I101" i="14"/>
  <c r="BB121" i="14"/>
  <c r="AZ121" i="14"/>
  <c r="BM121" i="14"/>
  <c r="BL101" i="14"/>
  <c r="W101" i="14"/>
  <c r="BM101" i="14"/>
  <c r="AY101" i="14"/>
  <c r="U101" i="14"/>
  <c r="BA101" i="14"/>
  <c r="Q101" i="14"/>
  <c r="AZ101" i="14"/>
  <c r="BA94" i="14"/>
  <c r="G101" i="14"/>
  <c r="R101" i="14"/>
  <c r="BB84" i="14"/>
  <c r="AY84" i="14"/>
  <c r="D101" i="14"/>
  <c r="T101" i="14"/>
  <c r="BA84" i="14"/>
  <c r="D124" i="14"/>
  <c r="R124" i="14"/>
  <c r="BB124" i="14"/>
  <c r="T147" i="14"/>
  <c r="BL147" i="14"/>
  <c r="BL94" i="14"/>
  <c r="BB147" i="14"/>
  <c r="AZ94" i="14"/>
  <c r="R94" i="14"/>
  <c r="E94" i="14"/>
  <c r="E147" i="14"/>
  <c r="AZ147" i="14"/>
  <c r="U21" i="14"/>
  <c r="BA21" i="14"/>
  <c r="D189" i="14"/>
  <c r="AZ123" i="14"/>
  <c r="D123" i="14"/>
  <c r="BL20" i="14"/>
  <c r="W189" i="14"/>
  <c r="W123" i="14"/>
  <c r="U189" i="14"/>
  <c r="T123" i="14"/>
  <c r="AY123" i="14"/>
  <c r="G94" i="14"/>
  <c r="BA147" i="14"/>
  <c r="W147" i="14"/>
  <c r="R189" i="14"/>
  <c r="U147" i="14"/>
  <c r="AY20" i="14"/>
  <c r="Q123" i="14"/>
  <c r="D94" i="14"/>
  <c r="BB123" i="14"/>
  <c r="BM123" i="14"/>
  <c r="W94" i="14"/>
  <c r="D147" i="14"/>
  <c r="I94" i="14"/>
  <c r="U94" i="14"/>
  <c r="BB94" i="14"/>
  <c r="J94" i="14"/>
  <c r="T94" i="14"/>
  <c r="BM94" i="14"/>
  <c r="J20" i="14"/>
  <c r="AY94" i="14"/>
  <c r="BM147" i="14"/>
  <c r="BA123" i="14"/>
  <c r="E123" i="14"/>
  <c r="R123" i="14"/>
  <c r="I123" i="14"/>
  <c r="G123" i="14"/>
  <c r="R147" i="14"/>
  <c r="Q94" i="14"/>
  <c r="W20" i="14"/>
  <c r="U123" i="14"/>
  <c r="BL123" i="14"/>
  <c r="G147" i="14"/>
  <c r="AZ20" i="14"/>
  <c r="J147" i="14"/>
  <c r="AY21" i="14"/>
  <c r="AY208" i="14"/>
  <c r="W21" i="14"/>
  <c r="BA35" i="14"/>
  <c r="Q21" i="14"/>
  <c r="BA50" i="14"/>
  <c r="AZ35" i="14"/>
  <c r="AY47" i="14"/>
  <c r="J47" i="14"/>
  <c r="BL47" i="14"/>
  <c r="BA47" i="14"/>
  <c r="BM47" i="14"/>
  <c r="I47" i="14"/>
  <c r="E47" i="14"/>
  <c r="U47" i="14"/>
  <c r="R47" i="14"/>
  <c r="AZ47" i="14"/>
  <c r="BA144" i="14"/>
  <c r="D47" i="14"/>
  <c r="BB47" i="14"/>
  <c r="E144" i="14"/>
  <c r="T47" i="14"/>
  <c r="G47" i="14"/>
  <c r="W47" i="14"/>
  <c r="BM35" i="14"/>
  <c r="T192" i="14"/>
  <c r="AY192" i="14"/>
  <c r="R21" i="14"/>
  <c r="BB21" i="14"/>
  <c r="D20" i="14"/>
  <c r="BA20" i="14"/>
  <c r="Q20" i="14"/>
  <c r="Q35" i="14"/>
  <c r="I20" i="14"/>
  <c r="BA189" i="14"/>
  <c r="I208" i="14"/>
  <c r="BB35" i="14"/>
  <c r="I55" i="14"/>
  <c r="BL21" i="14"/>
  <c r="J97" i="14"/>
  <c r="T189" i="14"/>
  <c r="U20" i="14"/>
  <c r="G20" i="14"/>
  <c r="E21" i="14"/>
  <c r="BM189" i="14"/>
  <c r="D35" i="14"/>
  <c r="BG35" i="14" s="1"/>
  <c r="U55" i="14"/>
  <c r="U35" i="14"/>
  <c r="E192" i="14"/>
  <c r="G55" i="14"/>
  <c r="I21" i="14"/>
  <c r="D21" i="14"/>
  <c r="W192" i="14"/>
  <c r="BM55" i="14"/>
  <c r="G21" i="14"/>
  <c r="AY189" i="14"/>
  <c r="R35" i="14"/>
  <c r="BB192" i="14"/>
  <c r="BM21" i="14"/>
  <c r="R20" i="14"/>
  <c r="BB20" i="14"/>
  <c r="T20" i="14"/>
  <c r="BL189" i="14"/>
  <c r="Q55" i="14"/>
  <c r="T21" i="14"/>
  <c r="BM20" i="14"/>
  <c r="Q189" i="14"/>
  <c r="E35" i="14"/>
  <c r="AZ21" i="14"/>
  <c r="E46" i="14"/>
  <c r="I162" i="14"/>
  <c r="BL187" i="14"/>
  <c r="D55" i="14"/>
  <c r="AY55" i="14"/>
  <c r="T138" i="14"/>
  <c r="W162" i="14"/>
  <c r="R187" i="14"/>
  <c r="D195" i="14"/>
  <c r="BL55" i="14"/>
  <c r="W55" i="14"/>
  <c r="Q46" i="14"/>
  <c r="J187" i="14"/>
  <c r="I187" i="14"/>
  <c r="E191" i="14"/>
  <c r="AZ187" i="14"/>
  <c r="BA187" i="14"/>
  <c r="Q162" i="14"/>
  <c r="J191" i="14"/>
  <c r="E55" i="14"/>
  <c r="BA55" i="14"/>
  <c r="T55" i="14"/>
  <c r="U46" i="14"/>
  <c r="R55" i="14"/>
  <c r="AZ55" i="14"/>
  <c r="J55" i="14"/>
  <c r="BA135" i="14"/>
  <c r="BB191" i="14"/>
  <c r="T162" i="14"/>
  <c r="W46" i="14"/>
  <c r="J208" i="14"/>
  <c r="BM191" i="14"/>
  <c r="Q208" i="14"/>
  <c r="BA46" i="14"/>
  <c r="BL46" i="14"/>
  <c r="E208" i="14"/>
  <c r="AY46" i="14"/>
  <c r="BB208" i="14"/>
  <c r="G46" i="14"/>
  <c r="BL208" i="14"/>
  <c r="BM46" i="14"/>
  <c r="T208" i="14"/>
  <c r="BL191" i="14"/>
  <c r="D208" i="14"/>
  <c r="BM208" i="14"/>
  <c r="BA154" i="14"/>
  <c r="AZ191" i="14"/>
  <c r="I191" i="14"/>
  <c r="T191" i="14"/>
  <c r="W208" i="14"/>
  <c r="Q191" i="14"/>
  <c r="W191" i="14"/>
  <c r="T46" i="14"/>
  <c r="R46" i="14"/>
  <c r="I46" i="14"/>
  <c r="U208" i="14"/>
  <c r="G191" i="14"/>
  <c r="U191" i="14"/>
  <c r="BB46" i="14"/>
  <c r="AZ46" i="14"/>
  <c r="D46" i="14"/>
  <c r="BA208" i="14"/>
  <c r="D191" i="14"/>
  <c r="AY191" i="14"/>
  <c r="G208" i="14"/>
  <c r="AZ208" i="14"/>
  <c r="R191" i="14"/>
  <c r="AY187" i="14"/>
  <c r="W64" i="14"/>
  <c r="BA145" i="14"/>
  <c r="Q145" i="14"/>
  <c r="R145" i="14"/>
  <c r="BM145" i="14"/>
  <c r="I10" i="14"/>
  <c r="BB145" i="14"/>
  <c r="Q10" i="14"/>
  <c r="BM10" i="14"/>
  <c r="AZ10" i="14"/>
  <c r="J10" i="14"/>
  <c r="AZ145" i="14"/>
  <c r="E10" i="14"/>
  <c r="U145" i="14"/>
  <c r="D10" i="14"/>
  <c r="R10" i="14"/>
  <c r="AZ83" i="14"/>
  <c r="BB83" i="14"/>
  <c r="Q83" i="14"/>
  <c r="BA83" i="14"/>
  <c r="BB187" i="14"/>
  <c r="T145" i="14"/>
  <c r="D187" i="14"/>
  <c r="BG187" i="14" s="1"/>
  <c r="T187" i="14"/>
  <c r="U10" i="14"/>
  <c r="G10" i="14"/>
  <c r="R208" i="14"/>
  <c r="I83" i="14"/>
  <c r="U187" i="14"/>
  <c r="W187" i="14"/>
  <c r="AF187" i="14" s="1"/>
  <c r="BM83" i="14"/>
  <c r="T84" i="14"/>
  <c r="BL10" i="14"/>
  <c r="D145" i="14"/>
  <c r="J84" i="14"/>
  <c r="G83" i="14"/>
  <c r="AF83" i="14" s="1"/>
  <c r="E187" i="14"/>
  <c r="G145" i="14"/>
  <c r="I84" i="14"/>
  <c r="E84" i="14"/>
  <c r="T10" i="14"/>
  <c r="BL145" i="14"/>
  <c r="U83" i="14"/>
  <c r="R83" i="14"/>
  <c r="Q84" i="14"/>
  <c r="AY10" i="14"/>
  <c r="D84" i="14"/>
  <c r="BA10" i="14"/>
  <c r="T83" i="14"/>
  <c r="BH83" i="14" s="1"/>
  <c r="D83" i="14"/>
  <c r="W145" i="14"/>
  <c r="G84" i="14"/>
  <c r="Q187" i="14"/>
  <c r="BM187" i="14"/>
  <c r="BB10" i="14"/>
  <c r="BL83" i="14"/>
  <c r="J83" i="14"/>
  <c r="E145" i="14"/>
  <c r="AY145" i="14"/>
  <c r="I145" i="14"/>
  <c r="BL84" i="14"/>
  <c r="AZ84" i="14"/>
  <c r="J162" i="14"/>
  <c r="G19" i="14"/>
  <c r="BM162" i="14"/>
  <c r="G162" i="14"/>
  <c r="E189" i="14"/>
  <c r="J189" i="14"/>
  <c r="BB113" i="14"/>
  <c r="D192" i="14"/>
  <c r="E162" i="14"/>
  <c r="D162" i="14"/>
  <c r="W35" i="14"/>
  <c r="AF35" i="14" s="1"/>
  <c r="BB189" i="14"/>
  <c r="AY35" i="14"/>
  <c r="U192" i="14"/>
  <c r="BL192" i="14"/>
  <c r="G192" i="14"/>
  <c r="J192" i="14"/>
  <c r="G189" i="14"/>
  <c r="BA19" i="14"/>
  <c r="R192" i="14"/>
  <c r="R162" i="14"/>
  <c r="U162" i="14"/>
  <c r="AZ189" i="14"/>
  <c r="R113" i="14"/>
  <c r="E97" i="14"/>
  <c r="T35" i="14"/>
  <c r="BL35" i="14"/>
  <c r="G97" i="14"/>
  <c r="AY162" i="14"/>
  <c r="AZ162" i="14"/>
  <c r="BB162" i="14"/>
  <c r="AY111" i="14"/>
  <c r="BL162" i="14"/>
  <c r="J35" i="14"/>
  <c r="D135" i="14"/>
  <c r="AZ192" i="14"/>
  <c r="Q192" i="14"/>
  <c r="BM192" i="14"/>
  <c r="J113" i="14"/>
  <c r="I35" i="14"/>
  <c r="I192" i="14"/>
  <c r="BM154" i="14"/>
  <c r="BA139" i="14"/>
  <c r="R139" i="14"/>
  <c r="U138" i="14"/>
  <c r="E169" i="14"/>
  <c r="G41" i="14"/>
  <c r="J28" i="14"/>
  <c r="AY195" i="14"/>
  <c r="R195" i="14"/>
  <c r="J154" i="14"/>
  <c r="I154" i="14"/>
  <c r="BL139" i="14"/>
  <c r="BA195" i="14"/>
  <c r="U195" i="14"/>
  <c r="BL138" i="14"/>
  <c r="T195" i="14"/>
  <c r="AY83" i="14"/>
  <c r="E83" i="14"/>
  <c r="Q154" i="14"/>
  <c r="R138" i="14"/>
  <c r="BB154" i="14"/>
  <c r="G195" i="14"/>
  <c r="R210" i="14"/>
  <c r="Q210" i="14"/>
  <c r="Q28" i="14"/>
  <c r="U137" i="14"/>
  <c r="U210" i="14"/>
  <c r="Q138" i="14"/>
  <c r="E137" i="14"/>
  <c r="AZ138" i="14"/>
  <c r="D138" i="14"/>
  <c r="E138" i="14"/>
  <c r="AY138" i="14"/>
  <c r="G138" i="14"/>
  <c r="J138" i="14"/>
  <c r="W138" i="14"/>
  <c r="BB33" i="14"/>
  <c r="BM138" i="14"/>
  <c r="BB138" i="14"/>
  <c r="U34" i="14"/>
  <c r="R33" i="14"/>
  <c r="I71" i="14"/>
  <c r="BL134" i="14"/>
  <c r="BA33" i="14"/>
  <c r="D33" i="14"/>
  <c r="D146" i="14"/>
  <c r="BB71" i="14"/>
  <c r="T71" i="14"/>
  <c r="BM146" i="14"/>
  <c r="R146" i="14"/>
  <c r="J134" i="14"/>
  <c r="Q146" i="14"/>
  <c r="BB146" i="14"/>
  <c r="W33" i="14"/>
  <c r="W146" i="14"/>
  <c r="G146" i="14"/>
  <c r="BA71" i="14"/>
  <c r="E115" i="14"/>
  <c r="G33" i="14"/>
  <c r="D92" i="14"/>
  <c r="BL146" i="14"/>
  <c r="U146" i="14"/>
  <c r="AY146" i="14"/>
  <c r="AZ146" i="14"/>
  <c r="I146" i="14"/>
  <c r="AY92" i="14"/>
  <c r="J146" i="14"/>
  <c r="R137" i="14"/>
  <c r="T134" i="14"/>
  <c r="BA146" i="14"/>
  <c r="BA138" i="14"/>
  <c r="W116" i="14"/>
  <c r="I33" i="14"/>
  <c r="E146" i="14"/>
  <c r="U33" i="14"/>
  <c r="J33" i="14"/>
  <c r="E33" i="14"/>
  <c r="T146" i="14"/>
  <c r="T33" i="14"/>
  <c r="T111" i="14"/>
  <c r="BA41" i="14"/>
  <c r="AY19" i="14"/>
  <c r="AY113" i="14"/>
  <c r="I19" i="14"/>
  <c r="AZ113" i="14"/>
  <c r="T97" i="14"/>
  <c r="I111" i="14"/>
  <c r="Q111" i="14"/>
  <c r="BL210" i="14"/>
  <c r="BL97" i="14"/>
  <c r="BA111" i="14"/>
  <c r="BL19" i="14"/>
  <c r="U111" i="14"/>
  <c r="BB19" i="14"/>
  <c r="BA97" i="14"/>
  <c r="D111" i="14"/>
  <c r="BG111" i="14" s="1"/>
  <c r="U97" i="14"/>
  <c r="D161" i="14"/>
  <c r="R125" i="14"/>
  <c r="R169" i="14"/>
  <c r="Q19" i="14"/>
  <c r="W19" i="14"/>
  <c r="AZ111" i="14"/>
  <c r="BB111" i="14"/>
  <c r="BM210" i="14"/>
  <c r="I210" i="14"/>
  <c r="W210" i="14"/>
  <c r="BA113" i="14"/>
  <c r="D131" i="14"/>
  <c r="D19" i="14"/>
  <c r="I113" i="14"/>
  <c r="D113" i="14"/>
  <c r="G113" i="14"/>
  <c r="W97" i="14"/>
  <c r="R131" i="14"/>
  <c r="AZ97" i="14"/>
  <c r="Q33" i="14"/>
  <c r="BL111" i="14"/>
  <c r="I11" i="14"/>
  <c r="W71" i="14"/>
  <c r="U19" i="14"/>
  <c r="R97" i="14"/>
  <c r="U113" i="14"/>
  <c r="AY97" i="14"/>
  <c r="W111" i="14"/>
  <c r="AF111" i="14" s="1"/>
  <c r="R111" i="14"/>
  <c r="J159" i="14"/>
  <c r="BB169" i="14"/>
  <c r="J111" i="14"/>
  <c r="E111" i="14"/>
  <c r="T19" i="14"/>
  <c r="R19" i="14"/>
  <c r="E113" i="14"/>
  <c r="BL113" i="14"/>
  <c r="W113" i="14"/>
  <c r="BH113" i="14" s="1"/>
  <c r="BM113" i="14"/>
  <c r="Q113" i="14"/>
  <c r="D97" i="14"/>
  <c r="E19" i="14"/>
  <c r="AZ41" i="14"/>
  <c r="BM111" i="14"/>
  <c r="BL33" i="14"/>
  <c r="T41" i="14"/>
  <c r="AY169" i="14"/>
  <c r="Q97" i="14"/>
  <c r="I97" i="14"/>
  <c r="J19" i="14"/>
  <c r="BB97" i="14"/>
  <c r="AZ19" i="14"/>
  <c r="AZ33" i="14"/>
  <c r="D41" i="14"/>
  <c r="BM33" i="14"/>
  <c r="E210" i="14"/>
  <c r="R71" i="14"/>
  <c r="AZ131" i="14"/>
  <c r="AZ34" i="14"/>
  <c r="G131" i="14"/>
  <c r="Q169" i="14"/>
  <c r="BL41" i="14"/>
  <c r="E34" i="14"/>
  <c r="G71" i="14"/>
  <c r="J71" i="14"/>
  <c r="U71" i="14"/>
  <c r="AZ210" i="14"/>
  <c r="BM131" i="14"/>
  <c r="AZ169" i="14"/>
  <c r="T34" i="14"/>
  <c r="AY34" i="14"/>
  <c r="BB34" i="14"/>
  <c r="Q34" i="14"/>
  <c r="BM34" i="14"/>
  <c r="BA169" i="14"/>
  <c r="I34" i="14"/>
  <c r="BL71" i="14"/>
  <c r="BB210" i="14"/>
  <c r="G210" i="14"/>
  <c r="AY131" i="14"/>
  <c r="E161" i="14"/>
  <c r="W41" i="14"/>
  <c r="D34" i="14"/>
  <c r="W34" i="14"/>
  <c r="T210" i="14"/>
  <c r="I131" i="14"/>
  <c r="BB41" i="14"/>
  <c r="J41" i="14"/>
  <c r="J34" i="14"/>
  <c r="G34" i="14"/>
  <c r="BL34" i="14"/>
  <c r="I169" i="14"/>
  <c r="G169" i="14"/>
  <c r="AZ71" i="14"/>
  <c r="BM41" i="14"/>
  <c r="I41" i="14"/>
  <c r="U41" i="14"/>
  <c r="W169" i="14"/>
  <c r="J169" i="14"/>
  <c r="Q71" i="14"/>
  <c r="T131" i="14"/>
  <c r="J210" i="14"/>
  <c r="AY210" i="14"/>
  <c r="E41" i="14"/>
  <c r="T159" i="14"/>
  <c r="BL169" i="14"/>
  <c r="D71" i="14"/>
  <c r="U169" i="14"/>
  <c r="BM71" i="14"/>
  <c r="R41" i="14"/>
  <c r="G125" i="14"/>
  <c r="R34" i="14"/>
  <c r="BM169" i="14"/>
  <c r="E50" i="14"/>
  <c r="BL131" i="14"/>
  <c r="D210" i="14"/>
  <c r="J131" i="14"/>
  <c r="BL159" i="14"/>
  <c r="T169" i="14"/>
  <c r="AY41" i="14"/>
  <c r="D169" i="14"/>
  <c r="AY71" i="14"/>
  <c r="AZ135" i="14"/>
  <c r="T139" i="14"/>
  <c r="U125" i="14"/>
  <c r="I125" i="14"/>
  <c r="BB131" i="14"/>
  <c r="AY135" i="14"/>
  <c r="T125" i="14"/>
  <c r="R135" i="14"/>
  <c r="T135" i="14"/>
  <c r="BM125" i="14"/>
  <c r="E131" i="14"/>
  <c r="J135" i="14"/>
  <c r="U135" i="14"/>
  <c r="BL135" i="14"/>
  <c r="W131" i="14"/>
  <c r="U139" i="14"/>
  <c r="G135" i="14"/>
  <c r="BA125" i="14"/>
  <c r="Q135" i="14"/>
  <c r="E135" i="14"/>
  <c r="U131" i="14"/>
  <c r="Q125" i="14"/>
  <c r="W125" i="14"/>
  <c r="BA131" i="14"/>
  <c r="BM135" i="14"/>
  <c r="BB135" i="14"/>
  <c r="Q139" i="14"/>
  <c r="BB125" i="14"/>
  <c r="AY125" i="14"/>
  <c r="E125" i="14"/>
  <c r="W135" i="14"/>
  <c r="D139" i="14"/>
  <c r="BM139" i="14"/>
  <c r="D125" i="14"/>
  <c r="AZ125" i="14"/>
  <c r="J125" i="14"/>
  <c r="I30" i="14"/>
  <c r="T137" i="14"/>
  <c r="W95" i="14"/>
  <c r="I115" i="14"/>
  <c r="AZ28" i="14"/>
  <c r="E95" i="14"/>
  <c r="R28" i="14"/>
  <c r="U115" i="14"/>
  <c r="U45" i="14"/>
  <c r="AZ137" i="14"/>
  <c r="AY115" i="14"/>
  <c r="BM95" i="14"/>
  <c r="G115" i="14"/>
  <c r="BA28" i="14"/>
  <c r="BM181" i="14"/>
  <c r="BB28" i="14"/>
  <c r="BM45" i="14"/>
  <c r="BL28" i="14"/>
  <c r="BM137" i="14"/>
  <c r="I137" i="14"/>
  <c r="W115" i="14"/>
  <c r="Q115" i="14"/>
  <c r="I181" i="14"/>
  <c r="G181" i="14"/>
  <c r="AY181" i="14"/>
  <c r="G137" i="14"/>
  <c r="BL115" i="14"/>
  <c r="E28" i="14"/>
  <c r="BM28" i="14"/>
  <c r="W28" i="14"/>
  <c r="U30" i="14"/>
  <c r="I45" i="14"/>
  <c r="J137" i="14"/>
  <c r="BA137" i="14"/>
  <c r="U181" i="14"/>
  <c r="AZ181" i="14"/>
  <c r="BL45" i="14"/>
  <c r="W45" i="14"/>
  <c r="Q30" i="14"/>
  <c r="BL137" i="14"/>
  <c r="Q137" i="14"/>
  <c r="BB181" i="14"/>
  <c r="R115" i="14"/>
  <c r="T115" i="14"/>
  <c r="BM115" i="14"/>
  <c r="I28" i="14"/>
  <c r="D137" i="14"/>
  <c r="E181" i="14"/>
  <c r="AZ115" i="14"/>
  <c r="U28" i="14"/>
  <c r="T28" i="14"/>
  <c r="W137" i="14"/>
  <c r="G45" i="14"/>
  <c r="D115" i="14"/>
  <c r="G28" i="14"/>
  <c r="BG28" i="14" s="1"/>
  <c r="AY137" i="14"/>
  <c r="BB137" i="14"/>
  <c r="BB115" i="14"/>
  <c r="BA115" i="14"/>
  <c r="AY28" i="14"/>
  <c r="I80" i="14"/>
  <c r="AY80" i="14"/>
  <c r="G11" i="14"/>
  <c r="U80" i="14"/>
  <c r="T198" i="14"/>
  <c r="BL11" i="14"/>
  <c r="R78" i="14"/>
  <c r="U134" i="14"/>
  <c r="BB134" i="14"/>
  <c r="BM134" i="14"/>
  <c r="U11" i="14"/>
  <c r="D80" i="14"/>
  <c r="BL80" i="14"/>
  <c r="G134" i="14"/>
  <c r="I134" i="14"/>
  <c r="BB207" i="14"/>
  <c r="BA80" i="14"/>
  <c r="W11" i="14"/>
  <c r="E134" i="14"/>
  <c r="BA134" i="14"/>
  <c r="D134" i="14"/>
  <c r="W164" i="14"/>
  <c r="J80" i="14"/>
  <c r="R80" i="14"/>
  <c r="R11" i="14"/>
  <c r="AZ134" i="14"/>
  <c r="W134" i="14"/>
  <c r="AZ80" i="14"/>
  <c r="Q11" i="14"/>
  <c r="T80" i="14"/>
  <c r="BM80" i="14"/>
  <c r="D11" i="14"/>
  <c r="G80" i="14"/>
  <c r="U207" i="14"/>
  <c r="AZ11" i="14"/>
  <c r="T11" i="14"/>
  <c r="J11" i="14"/>
  <c r="BA11" i="14"/>
  <c r="Q80" i="14"/>
  <c r="W80" i="14"/>
  <c r="BB11" i="14"/>
  <c r="AY11" i="14"/>
  <c r="BB80" i="14"/>
  <c r="E11" i="14"/>
  <c r="Q134" i="14"/>
  <c r="R134" i="14"/>
  <c r="W78" i="14"/>
  <c r="G78" i="14"/>
  <c r="E64" i="14"/>
  <c r="BB198" i="14"/>
  <c r="BL198" i="14"/>
  <c r="G144" i="14"/>
  <c r="BL92" i="14"/>
  <c r="BA92" i="14"/>
  <c r="AZ92" i="14"/>
  <c r="Q92" i="14"/>
  <c r="J92" i="14"/>
  <c r="AY78" i="14"/>
  <c r="BA207" i="14"/>
  <c r="BL195" i="14"/>
  <c r="BB30" i="14"/>
  <c r="G27" i="14"/>
  <c r="AF27" i="14" s="1"/>
  <c r="J144" i="14"/>
  <c r="BL154" i="14"/>
  <c r="G154" i="14"/>
  <c r="AF154" i="14" s="1"/>
  <c r="BB139" i="14"/>
  <c r="J181" i="14"/>
  <c r="AZ45" i="14"/>
  <c r="BM195" i="14"/>
  <c r="AY45" i="14"/>
  <c r="W92" i="14"/>
  <c r="R90" i="14"/>
  <c r="AY90" i="14"/>
  <c r="BM90" i="14"/>
  <c r="BL78" i="14"/>
  <c r="AZ64" i="14"/>
  <c r="BL144" i="14"/>
  <c r="E154" i="14"/>
  <c r="E139" i="14"/>
  <c r="I139" i="14"/>
  <c r="BB92" i="14"/>
  <c r="E90" i="14"/>
  <c r="E92" i="14"/>
  <c r="R45" i="14"/>
  <c r="U90" i="14"/>
  <c r="W90" i="14"/>
  <c r="BL90" i="14"/>
  <c r="I90" i="14"/>
  <c r="T64" i="14"/>
  <c r="D144" i="14"/>
  <c r="AZ78" i="14"/>
  <c r="U144" i="14"/>
  <c r="U64" i="14"/>
  <c r="E195" i="14"/>
  <c r="D198" i="14"/>
  <c r="J198" i="14"/>
  <c r="AZ116" i="14"/>
  <c r="U78" i="14"/>
  <c r="BB78" i="14"/>
  <c r="G64" i="14"/>
  <c r="D64" i="14"/>
  <c r="R64" i="14"/>
  <c r="R30" i="14"/>
  <c r="BM27" i="14"/>
  <c r="AZ144" i="14"/>
  <c r="R154" i="14"/>
  <c r="G139" i="14"/>
  <c r="AY95" i="14"/>
  <c r="D181" i="14"/>
  <c r="Q45" i="14"/>
  <c r="T45" i="14"/>
  <c r="D45" i="14"/>
  <c r="D90" i="14"/>
  <c r="J90" i="14"/>
  <c r="BM64" i="14"/>
  <c r="U154" i="14"/>
  <c r="AY139" i="14"/>
  <c r="I195" i="14"/>
  <c r="BM144" i="14"/>
  <c r="BM198" i="14"/>
  <c r="U27" i="14"/>
  <c r="D154" i="14"/>
  <c r="BA116" i="14"/>
  <c r="G116" i="14"/>
  <c r="E45" i="14"/>
  <c r="AZ90" i="14"/>
  <c r="G90" i="14"/>
  <c r="R116" i="14"/>
  <c r="BB64" i="14"/>
  <c r="Q64" i="14"/>
  <c r="T78" i="14"/>
  <c r="I116" i="14"/>
  <c r="Q116" i="14"/>
  <c r="D78" i="14"/>
  <c r="AZ154" i="14"/>
  <c r="BM78" i="14"/>
  <c r="Q78" i="14"/>
  <c r="J78" i="14"/>
  <c r="W195" i="14"/>
  <c r="BB195" i="14"/>
  <c r="E198" i="14"/>
  <c r="I64" i="14"/>
  <c r="AY154" i="14"/>
  <c r="W139" i="14"/>
  <c r="Q181" i="14"/>
  <c r="E116" i="14"/>
  <c r="T116" i="14"/>
  <c r="BB116" i="14"/>
  <c r="T92" i="14"/>
  <c r="U92" i="14"/>
  <c r="G92" i="14"/>
  <c r="J45" i="14"/>
  <c r="BM92" i="14"/>
  <c r="T90" i="14"/>
  <c r="BA90" i="14"/>
  <c r="J116" i="14"/>
  <c r="BL116" i="14"/>
  <c r="J64" i="14"/>
  <c r="J139" i="14"/>
  <c r="BA78" i="14"/>
  <c r="J195" i="14"/>
  <c r="BA45" i="14"/>
  <c r="AY116" i="14"/>
  <c r="I78" i="14"/>
  <c r="E78" i="14"/>
  <c r="Q195" i="14"/>
  <c r="AY64" i="14"/>
  <c r="BL64" i="14"/>
  <c r="BL30" i="14"/>
  <c r="T154" i="14"/>
  <c r="BH154" i="14" s="1"/>
  <c r="BL181" i="14"/>
  <c r="BA181" i="14"/>
  <c r="T181" i="14"/>
  <c r="W181" i="14"/>
  <c r="BM116" i="14"/>
  <c r="R92" i="14"/>
  <c r="Q90" i="14"/>
  <c r="D116" i="14"/>
  <c r="E207" i="14"/>
  <c r="E164" i="14"/>
  <c r="T207" i="14"/>
  <c r="BM164" i="14"/>
  <c r="U164" i="14"/>
  <c r="I207" i="14"/>
  <c r="BL207" i="14"/>
  <c r="R164" i="14"/>
  <c r="BA164" i="14"/>
  <c r="J207" i="14"/>
  <c r="AZ164" i="14"/>
  <c r="R207" i="14"/>
  <c r="BB164" i="14"/>
  <c r="BM207" i="14"/>
  <c r="J164" i="14"/>
  <c r="W207" i="14"/>
  <c r="AY207" i="14"/>
  <c r="D164" i="14"/>
  <c r="I164" i="14"/>
  <c r="Q207" i="14"/>
  <c r="BL164" i="14"/>
  <c r="G207" i="14"/>
  <c r="D207" i="14"/>
  <c r="AY183" i="14"/>
  <c r="G183" i="14"/>
  <c r="D183" i="14"/>
  <c r="U183" i="14"/>
  <c r="J183" i="14"/>
  <c r="BB183" i="14"/>
  <c r="T164" i="14"/>
  <c r="AZ183" i="14"/>
  <c r="AZ182" i="14"/>
  <c r="R183" i="14"/>
  <c r="BL183" i="14"/>
  <c r="Q183" i="14"/>
  <c r="W183" i="14"/>
  <c r="T183" i="14"/>
  <c r="I183" i="14"/>
  <c r="E183" i="14"/>
  <c r="BM183" i="14"/>
  <c r="Q164" i="14"/>
  <c r="AY104" i="14"/>
  <c r="U104" i="14"/>
  <c r="BB159" i="14"/>
  <c r="BA159" i="14"/>
  <c r="D104" i="14"/>
  <c r="U159" i="14"/>
  <c r="BM159" i="14"/>
  <c r="J104" i="14"/>
  <c r="BA104" i="14"/>
  <c r="I104" i="14"/>
  <c r="T104" i="14"/>
  <c r="R159" i="14"/>
  <c r="AZ104" i="14"/>
  <c r="G104" i="14"/>
  <c r="E104" i="14"/>
  <c r="AZ159" i="14"/>
  <c r="E159" i="14"/>
  <c r="BM104" i="14"/>
  <c r="I159" i="14"/>
  <c r="Q159" i="14"/>
  <c r="G159" i="14"/>
  <c r="W159" i="14"/>
  <c r="D159" i="14"/>
  <c r="R104" i="14"/>
  <c r="W104" i="14"/>
  <c r="BB104" i="14"/>
  <c r="Q104" i="14"/>
  <c r="R27" i="14"/>
  <c r="Q95" i="14"/>
  <c r="BA30" i="14"/>
  <c r="BM30" i="14"/>
  <c r="I95" i="14"/>
  <c r="BA95" i="14"/>
  <c r="Q27" i="14"/>
  <c r="BA27" i="14"/>
  <c r="T30" i="14"/>
  <c r="D95" i="14"/>
  <c r="BB95" i="14"/>
  <c r="E30" i="14"/>
  <c r="T95" i="14"/>
  <c r="W30" i="14"/>
  <c r="G30" i="14"/>
  <c r="T27" i="14"/>
  <c r="BH27" i="14" s="1"/>
  <c r="AY27" i="14"/>
  <c r="BL27" i="14"/>
  <c r="D27" i="14"/>
  <c r="I27" i="14"/>
  <c r="R95" i="14"/>
  <c r="G95" i="14"/>
  <c r="D30" i="14"/>
  <c r="AZ30" i="14"/>
  <c r="J30" i="14"/>
  <c r="BB27" i="14"/>
  <c r="E27" i="14"/>
  <c r="J27" i="14"/>
  <c r="U95" i="14"/>
  <c r="AZ95" i="14"/>
  <c r="J95" i="14"/>
  <c r="AZ27" i="14"/>
  <c r="AY161" i="14"/>
  <c r="G161" i="14"/>
  <c r="U161" i="14"/>
  <c r="BA161" i="14"/>
  <c r="R161" i="14"/>
  <c r="W161" i="14"/>
  <c r="BH161" i="14" s="1"/>
  <c r="BM161" i="14"/>
  <c r="BL161" i="14"/>
  <c r="I161" i="14"/>
  <c r="Q161" i="14"/>
  <c r="BB161" i="14"/>
  <c r="J161" i="14"/>
  <c r="AZ161" i="14"/>
  <c r="G164" i="14"/>
  <c r="I144" i="14"/>
  <c r="BB144" i="14"/>
  <c r="W144" i="14"/>
  <c r="T144" i="14"/>
  <c r="Q144" i="14"/>
  <c r="R144" i="14"/>
  <c r="G198" i="14"/>
  <c r="BA198" i="14"/>
  <c r="T151" i="14"/>
  <c r="I198" i="14"/>
  <c r="W198" i="14"/>
  <c r="R198" i="14"/>
  <c r="U198" i="14"/>
  <c r="AZ198" i="14"/>
  <c r="AY198" i="14"/>
  <c r="T182" i="14"/>
  <c r="W182" i="14"/>
  <c r="AF182" i="14" s="1"/>
  <c r="BB182" i="14"/>
  <c r="BL182" i="14"/>
  <c r="E182" i="14"/>
  <c r="AY182" i="14"/>
  <c r="I182" i="14"/>
  <c r="R182" i="14"/>
  <c r="U182" i="14"/>
  <c r="J182" i="14"/>
  <c r="D182" i="14"/>
  <c r="BG182" i="14" s="1"/>
  <c r="BA182" i="14"/>
  <c r="Q182" i="14"/>
  <c r="BM182" i="14"/>
  <c r="I172" i="14"/>
  <c r="E91" i="14"/>
  <c r="Q50" i="14"/>
  <c r="R50" i="14"/>
  <c r="U50" i="14"/>
  <c r="BM172" i="14"/>
  <c r="BM50" i="14"/>
  <c r="BB50" i="14"/>
  <c r="BA163" i="14"/>
  <c r="I50" i="14"/>
  <c r="AY172" i="14"/>
  <c r="D172" i="14"/>
  <c r="W50" i="14"/>
  <c r="AY50" i="14"/>
  <c r="U91" i="14"/>
  <c r="AZ50" i="14"/>
  <c r="G50" i="14"/>
  <c r="T50" i="14"/>
  <c r="G163" i="14"/>
  <c r="D91" i="14"/>
  <c r="G172" i="14"/>
  <c r="J50" i="14"/>
  <c r="D50" i="14"/>
  <c r="I92" i="14"/>
  <c r="AY163" i="14"/>
  <c r="AF65" i="14"/>
  <c r="AY91" i="14"/>
  <c r="Q172" i="14"/>
  <c r="BB91" i="14"/>
  <c r="J172" i="14"/>
  <c r="BA172" i="14"/>
  <c r="T172" i="14"/>
  <c r="BL172" i="14"/>
  <c r="BM91" i="14"/>
  <c r="R172" i="14"/>
  <c r="BL91" i="14"/>
  <c r="AZ172" i="14"/>
  <c r="W172" i="14"/>
  <c r="BB172" i="14"/>
  <c r="E172" i="14"/>
  <c r="G91" i="14"/>
  <c r="J91" i="14"/>
  <c r="BB151" i="14"/>
  <c r="W179" i="14"/>
  <c r="R86" i="14"/>
  <c r="BM179" i="14"/>
  <c r="W86" i="14"/>
  <c r="BH86" i="14" s="1"/>
  <c r="BL86" i="14"/>
  <c r="BL151" i="14"/>
  <c r="T68" i="14"/>
  <c r="BL68" i="14"/>
  <c r="D68" i="14"/>
  <c r="W151" i="14"/>
  <c r="AF151" i="14" s="1"/>
  <c r="D163" i="14"/>
  <c r="D86" i="14"/>
  <c r="J68" i="14"/>
  <c r="E86" i="14"/>
  <c r="BB86" i="14"/>
  <c r="AZ68" i="14"/>
  <c r="D151" i="14"/>
  <c r="BG151" i="14" s="1"/>
  <c r="AY151" i="14"/>
  <c r="E18" i="14"/>
  <c r="E151" i="14"/>
  <c r="J151" i="14"/>
  <c r="AZ86" i="14"/>
  <c r="W68" i="14"/>
  <c r="G68" i="14"/>
  <c r="Q151" i="14"/>
  <c r="BM68" i="14"/>
  <c r="AZ151" i="14"/>
  <c r="BM151" i="14"/>
  <c r="I68" i="14"/>
  <c r="AY68" i="14"/>
  <c r="R151" i="14"/>
  <c r="Q68" i="14"/>
  <c r="J86" i="14"/>
  <c r="BM86" i="14"/>
  <c r="AY86" i="14"/>
  <c r="R68" i="14"/>
  <c r="E68" i="14"/>
  <c r="I86" i="14"/>
  <c r="G86" i="14"/>
  <c r="BA151" i="14"/>
  <c r="I151" i="14"/>
  <c r="T61" i="14"/>
  <c r="U151" i="14"/>
  <c r="U68" i="14"/>
  <c r="BB68" i="14"/>
  <c r="U122" i="14"/>
  <c r="BA201" i="14"/>
  <c r="G25" i="14"/>
  <c r="AY25" i="14"/>
  <c r="BH67" i="14"/>
  <c r="BM178" i="14"/>
  <c r="W171" i="14"/>
  <c r="T196" i="14"/>
  <c r="I178" i="14"/>
  <c r="AY171" i="14"/>
  <c r="BB178" i="14"/>
  <c r="I171" i="14"/>
  <c r="E171" i="14"/>
  <c r="U171" i="14"/>
  <c r="G171" i="14"/>
  <c r="U178" i="14"/>
  <c r="J171" i="14"/>
  <c r="AZ150" i="14"/>
  <c r="BB171" i="14"/>
  <c r="R178" i="14"/>
  <c r="D178" i="14"/>
  <c r="AY178" i="14"/>
  <c r="Q25" i="14"/>
  <c r="J186" i="14"/>
  <c r="BA186" i="14"/>
  <c r="D16" i="14"/>
  <c r="AY16" i="14"/>
  <c r="Q122" i="14"/>
  <c r="W122" i="14"/>
  <c r="E25" i="14"/>
  <c r="U186" i="14"/>
  <c r="T91" i="14"/>
  <c r="BL122" i="14"/>
  <c r="BL16" i="14"/>
  <c r="G122" i="14"/>
  <c r="U201" i="14"/>
  <c r="AY209" i="14"/>
  <c r="BM122" i="14"/>
  <c r="AY122" i="14"/>
  <c r="BB122" i="14"/>
  <c r="AZ122" i="14"/>
  <c r="BM16" i="14"/>
  <c r="R29" i="14"/>
  <c r="BL186" i="14"/>
  <c r="W18" i="14"/>
  <c r="Q179" i="14"/>
  <c r="AZ91" i="14"/>
  <c r="E122" i="14"/>
  <c r="BA122" i="14"/>
  <c r="AZ29" i="14"/>
  <c r="J122" i="14"/>
  <c r="R205" i="14"/>
  <c r="BA16" i="14"/>
  <c r="E73" i="14"/>
  <c r="I16" i="14"/>
  <c r="R186" i="14"/>
  <c r="BA25" i="14"/>
  <c r="BB186" i="14"/>
  <c r="G184" i="14"/>
  <c r="AY186" i="14"/>
  <c r="Q91" i="14"/>
  <c r="R91" i="14"/>
  <c r="I91" i="14"/>
  <c r="D122" i="14"/>
  <c r="T122" i="14"/>
  <c r="I29" i="14"/>
  <c r="J29" i="14"/>
  <c r="BM186" i="14"/>
  <c r="BB29" i="14"/>
  <c r="BM25" i="14"/>
  <c r="D186" i="14"/>
  <c r="G186" i="14"/>
  <c r="I122" i="14"/>
  <c r="W91" i="14"/>
  <c r="R184" i="14"/>
  <c r="U184" i="14"/>
  <c r="BL196" i="14"/>
  <c r="J177" i="14"/>
  <c r="BB184" i="14"/>
  <c r="W196" i="14"/>
  <c r="AF196" i="14" s="1"/>
  <c r="BL74" i="14"/>
  <c r="J74" i="14"/>
  <c r="BL22" i="14"/>
  <c r="D184" i="14"/>
  <c r="J38" i="14"/>
  <c r="R180" i="14"/>
  <c r="BA196" i="14"/>
  <c r="T38" i="14"/>
  <c r="BH38" i="14" s="1"/>
  <c r="R38" i="14"/>
  <c r="BB16" i="14"/>
  <c r="G74" i="14"/>
  <c r="Q196" i="14"/>
  <c r="T16" i="14"/>
  <c r="AY196" i="14"/>
  <c r="U177" i="14"/>
  <c r="BH157" i="14"/>
  <c r="J178" i="14"/>
  <c r="T126" i="14"/>
  <c r="BL163" i="14"/>
  <c r="Q178" i="14"/>
  <c r="AZ171" i="14"/>
  <c r="BA178" i="14"/>
  <c r="D171" i="14"/>
  <c r="T171" i="14"/>
  <c r="G178" i="14"/>
  <c r="AF178" i="14" s="1"/>
  <c r="W163" i="14"/>
  <c r="BB163" i="14"/>
  <c r="Q171" i="14"/>
  <c r="I126" i="14"/>
  <c r="E178" i="14"/>
  <c r="BL178" i="14"/>
  <c r="D155" i="14"/>
  <c r="BG200" i="14"/>
  <c r="T178" i="14"/>
  <c r="BH178" i="14" s="1"/>
  <c r="BA171" i="14"/>
  <c r="BM171" i="14"/>
  <c r="R163" i="14"/>
  <c r="U141" i="14"/>
  <c r="T155" i="14"/>
  <c r="BH155" i="14" s="1"/>
  <c r="AZ178" i="14"/>
  <c r="AZ205" i="14"/>
  <c r="BL205" i="14"/>
  <c r="E39" i="14"/>
  <c r="AY143" i="14"/>
  <c r="D143" i="14"/>
  <c r="E128" i="14"/>
  <c r="W177" i="14"/>
  <c r="AY177" i="14"/>
  <c r="T205" i="14"/>
  <c r="BH205" i="14" s="1"/>
  <c r="T102" i="14"/>
  <c r="Q73" i="14"/>
  <c r="BL179" i="14"/>
  <c r="T180" i="14"/>
  <c r="D205" i="14"/>
  <c r="BA177" i="14"/>
  <c r="E143" i="14"/>
  <c r="BB205" i="14"/>
  <c r="BM205" i="14"/>
  <c r="D102" i="14"/>
  <c r="W73" i="14"/>
  <c r="U179" i="14"/>
  <c r="D177" i="14"/>
  <c r="BA143" i="14"/>
  <c r="BL177" i="14"/>
  <c r="Q143" i="14"/>
  <c r="E205" i="14"/>
  <c r="BA74" i="14"/>
  <c r="BL171" i="14"/>
  <c r="T73" i="14"/>
  <c r="T179" i="14"/>
  <c r="D73" i="14"/>
  <c r="AF142" i="14"/>
  <c r="BD156" i="14"/>
  <c r="E177" i="14"/>
  <c r="AZ74" i="14"/>
  <c r="BL73" i="14"/>
  <c r="BM143" i="14"/>
  <c r="BM74" i="14"/>
  <c r="BM73" i="14"/>
  <c r="D179" i="14"/>
  <c r="AY73" i="14"/>
  <c r="Q205" i="14"/>
  <c r="Q177" i="14"/>
  <c r="I177" i="14"/>
  <c r="AY205" i="14"/>
  <c r="J143" i="14"/>
  <c r="R143" i="14"/>
  <c r="R74" i="14"/>
  <c r="AY74" i="14"/>
  <c r="Q74" i="14"/>
  <c r="BB74" i="14"/>
  <c r="R171" i="14"/>
  <c r="AY179" i="14"/>
  <c r="W180" i="14"/>
  <c r="AF180" i="14" s="1"/>
  <c r="R102" i="14"/>
  <c r="BB177" i="14"/>
  <c r="G73" i="14"/>
  <c r="U205" i="14"/>
  <c r="BA73" i="14"/>
  <c r="R73" i="14"/>
  <c r="Q102" i="14"/>
  <c r="BA205" i="14"/>
  <c r="G177" i="14"/>
  <c r="AZ177" i="14"/>
  <c r="T177" i="14"/>
  <c r="BH65" i="14"/>
  <c r="BM102" i="14"/>
  <c r="AZ143" i="14"/>
  <c r="U73" i="14"/>
  <c r="AZ73" i="14"/>
  <c r="G205" i="14"/>
  <c r="AF205" i="14" s="1"/>
  <c r="R177" i="14"/>
  <c r="J205" i="14"/>
  <c r="U143" i="14"/>
  <c r="I205" i="14"/>
  <c r="D74" i="14"/>
  <c r="BM48" i="14"/>
  <c r="J180" i="14"/>
  <c r="D38" i="14"/>
  <c r="AZ126" i="14"/>
  <c r="BL25" i="14"/>
  <c r="W186" i="14"/>
  <c r="Q184" i="14"/>
  <c r="BG85" i="14"/>
  <c r="BF85" i="14" s="1"/>
  <c r="T184" i="14"/>
  <c r="E196" i="14"/>
  <c r="BA38" i="14"/>
  <c r="Q29" i="14"/>
  <c r="E155" i="14"/>
  <c r="BB179" i="14"/>
  <c r="R209" i="14"/>
  <c r="R22" i="14"/>
  <c r="BG142" i="14"/>
  <c r="BF142" i="14" s="1"/>
  <c r="AF156" i="14"/>
  <c r="U25" i="14"/>
  <c r="AZ186" i="14"/>
  <c r="R155" i="14"/>
  <c r="AY184" i="14"/>
  <c r="W143" i="14"/>
  <c r="AF119" i="14"/>
  <c r="BA209" i="14"/>
  <c r="J196" i="14"/>
  <c r="Q38" i="14"/>
  <c r="R179" i="14"/>
  <c r="BH156" i="14"/>
  <c r="U209" i="14"/>
  <c r="BA184" i="14"/>
  <c r="J16" i="14"/>
  <c r="W209" i="14"/>
  <c r="I196" i="14"/>
  <c r="U196" i="14"/>
  <c r="AY38" i="14"/>
  <c r="E38" i="14"/>
  <c r="AZ16" i="14"/>
  <c r="U29" i="14"/>
  <c r="BA179" i="14"/>
  <c r="BL117" i="14"/>
  <c r="BB196" i="14"/>
  <c r="T29" i="14"/>
  <c r="BH29" i="14" s="1"/>
  <c r="AY29" i="14"/>
  <c r="G29" i="14"/>
  <c r="AF29" i="14" s="1"/>
  <c r="E29" i="14"/>
  <c r="I25" i="14"/>
  <c r="Q186" i="14"/>
  <c r="BL184" i="14"/>
  <c r="AZ184" i="14"/>
  <c r="E209" i="14"/>
  <c r="BL38" i="14"/>
  <c r="BM38" i="14"/>
  <c r="BA29" i="14"/>
  <c r="G179" i="14"/>
  <c r="T209" i="14"/>
  <c r="I38" i="14"/>
  <c r="W184" i="14"/>
  <c r="BM22" i="14"/>
  <c r="U38" i="14"/>
  <c r="BL126" i="14"/>
  <c r="BM18" i="14"/>
  <c r="BM196" i="14"/>
  <c r="W16" i="14"/>
  <c r="T25" i="14"/>
  <c r="E186" i="14"/>
  <c r="BM184" i="14"/>
  <c r="I184" i="14"/>
  <c r="BB18" i="14"/>
  <c r="Q16" i="14"/>
  <c r="AZ196" i="14"/>
  <c r="AZ38" i="14"/>
  <c r="AZ179" i="14"/>
  <c r="J179" i="14"/>
  <c r="BB143" i="14"/>
  <c r="E126" i="14"/>
  <c r="D25" i="14"/>
  <c r="I186" i="14"/>
  <c r="E184" i="14"/>
  <c r="G38" i="14"/>
  <c r="AF38" i="14" s="1"/>
  <c r="BB38" i="14"/>
  <c r="E179" i="14"/>
  <c r="Q155" i="14"/>
  <c r="BL29" i="14"/>
  <c r="BM29" i="14"/>
  <c r="D29" i="14"/>
  <c r="U18" i="14"/>
  <c r="G143" i="14"/>
  <c r="BL143" i="14"/>
  <c r="T143" i="14"/>
  <c r="G16" i="14"/>
  <c r="BL155" i="14"/>
  <c r="Q163" i="14"/>
  <c r="AZ209" i="14"/>
  <c r="Q209" i="14"/>
  <c r="BA155" i="14"/>
  <c r="J117" i="14"/>
  <c r="J155" i="14"/>
  <c r="D117" i="14"/>
  <c r="W126" i="14"/>
  <c r="U155" i="14"/>
  <c r="U117" i="14"/>
  <c r="Q22" i="14"/>
  <c r="BG156" i="14"/>
  <c r="AZ22" i="14"/>
  <c r="BM126" i="14"/>
  <c r="G155" i="14"/>
  <c r="AF155" i="14" s="1"/>
  <c r="I117" i="14"/>
  <c r="I155" i="14"/>
  <c r="T117" i="14"/>
  <c r="G117" i="14"/>
  <c r="BM155" i="14"/>
  <c r="BH165" i="14"/>
  <c r="BM117" i="14"/>
  <c r="BA117" i="14"/>
  <c r="Q117" i="14"/>
  <c r="R117" i="14"/>
  <c r="D196" i="14"/>
  <c r="BG196" i="14" s="1"/>
  <c r="G22" i="14"/>
  <c r="BA22" i="14"/>
  <c r="Q126" i="14"/>
  <c r="BH82" i="14"/>
  <c r="R196" i="14"/>
  <c r="J22" i="14"/>
  <c r="D22" i="14"/>
  <c r="W22" i="14"/>
  <c r="E22" i="14"/>
  <c r="BA126" i="14"/>
  <c r="BG82" i="14"/>
  <c r="I22" i="14"/>
  <c r="T22" i="14"/>
  <c r="BG119" i="14"/>
  <c r="BB155" i="14"/>
  <c r="E117" i="14"/>
  <c r="AY117" i="14"/>
  <c r="D126" i="14"/>
  <c r="U126" i="14"/>
  <c r="J126" i="14"/>
  <c r="AY155" i="14"/>
  <c r="T107" i="14"/>
  <c r="AZ117" i="14"/>
  <c r="BB117" i="14"/>
  <c r="U22" i="14"/>
  <c r="G126" i="14"/>
  <c r="R126" i="14"/>
  <c r="AF165" i="14"/>
  <c r="AZ155" i="14"/>
  <c r="R107" i="14"/>
  <c r="W117" i="14"/>
  <c r="W103" i="14"/>
  <c r="BL152" i="14"/>
  <c r="G152" i="14"/>
  <c r="W39" i="14"/>
  <c r="G103" i="14"/>
  <c r="D103" i="14"/>
  <c r="T152" i="14"/>
  <c r="D152" i="14"/>
  <c r="J39" i="14"/>
  <c r="AZ39" i="14"/>
  <c r="I103" i="14"/>
  <c r="BA103" i="14"/>
  <c r="AZ152" i="14"/>
  <c r="Q152" i="14"/>
  <c r="Q103" i="14"/>
  <c r="BM103" i="14"/>
  <c r="W152" i="14"/>
  <c r="G190" i="14"/>
  <c r="Q39" i="14"/>
  <c r="E16" i="14"/>
  <c r="R39" i="14"/>
  <c r="AF82" i="14"/>
  <c r="J103" i="14"/>
  <c r="J152" i="14"/>
  <c r="U190" i="14"/>
  <c r="T39" i="14"/>
  <c r="BB152" i="14"/>
  <c r="BM39" i="14"/>
  <c r="I152" i="14"/>
  <c r="BA39" i="14"/>
  <c r="BB103" i="14"/>
  <c r="AY152" i="14"/>
  <c r="AY39" i="14"/>
  <c r="D39" i="14"/>
  <c r="I39" i="14"/>
  <c r="BB39" i="14"/>
  <c r="BL39" i="14"/>
  <c r="BA152" i="14"/>
  <c r="E152" i="14"/>
  <c r="G39" i="14"/>
  <c r="BL103" i="14"/>
  <c r="U103" i="14"/>
  <c r="BM152" i="14"/>
  <c r="U152" i="14"/>
  <c r="R201" i="14"/>
  <c r="W201" i="14"/>
  <c r="BA180" i="14"/>
  <c r="Q180" i="14"/>
  <c r="D88" i="14"/>
  <c r="BG88" i="14" s="1"/>
  <c r="W87" i="14"/>
  <c r="Q153" i="14"/>
  <c r="AZ120" i="14"/>
  <c r="BA88" i="14"/>
  <c r="R150" i="14"/>
  <c r="BL150" i="14"/>
  <c r="U88" i="14"/>
  <c r="AY88" i="14"/>
  <c r="J88" i="14"/>
  <c r="T87" i="14"/>
  <c r="AZ88" i="14"/>
  <c r="D201" i="14"/>
  <c r="AZ153" i="14"/>
  <c r="BM180" i="14"/>
  <c r="BL153" i="14"/>
  <c r="BB153" i="14"/>
  <c r="D180" i="14"/>
  <c r="BG180" i="14" s="1"/>
  <c r="G87" i="14"/>
  <c r="AY87" i="14"/>
  <c r="J153" i="14"/>
  <c r="E120" i="14"/>
  <c r="U150" i="14"/>
  <c r="E88" i="14"/>
  <c r="E180" i="14"/>
  <c r="W88" i="14"/>
  <c r="AF88" i="14" s="1"/>
  <c r="Q88" i="14"/>
  <c r="BA153" i="14"/>
  <c r="E153" i="14"/>
  <c r="U120" i="14"/>
  <c r="Q120" i="14"/>
  <c r="J201" i="14"/>
  <c r="BM201" i="14"/>
  <c r="BB88" i="14"/>
  <c r="D153" i="14"/>
  <c r="Q87" i="14"/>
  <c r="I88" i="14"/>
  <c r="I120" i="14"/>
  <c r="G201" i="14"/>
  <c r="E163" i="14"/>
  <c r="E74" i="14"/>
  <c r="I163" i="14"/>
  <c r="BM88" i="14"/>
  <c r="T88" i="14"/>
  <c r="BM120" i="14"/>
  <c r="AZ201" i="14"/>
  <c r="T201" i="14"/>
  <c r="W150" i="14"/>
  <c r="AF150" i="14" s="1"/>
  <c r="U74" i="14"/>
  <c r="BB150" i="14"/>
  <c r="R88" i="14"/>
  <c r="BM87" i="14"/>
  <c r="BL87" i="14"/>
  <c r="J87" i="14"/>
  <c r="BL201" i="14"/>
  <c r="BG168" i="14"/>
  <c r="BF168" i="14" s="1"/>
  <c r="BH13" i="14"/>
  <c r="D150" i="14"/>
  <c r="BG150" i="14" s="1"/>
  <c r="E150" i="14"/>
  <c r="T74" i="14"/>
  <c r="BM163" i="14"/>
  <c r="I153" i="14"/>
  <c r="G120" i="14"/>
  <c r="AY120" i="14"/>
  <c r="T150" i="14"/>
  <c r="Q201" i="14"/>
  <c r="AY201" i="14"/>
  <c r="I87" i="14"/>
  <c r="T163" i="14"/>
  <c r="J150" i="14"/>
  <c r="W74" i="14"/>
  <c r="BA120" i="14"/>
  <c r="W120" i="14"/>
  <c r="BL52" i="14"/>
  <c r="AY153" i="14"/>
  <c r="D120" i="14"/>
  <c r="BB201" i="14"/>
  <c r="BB87" i="14"/>
  <c r="BM150" i="14"/>
  <c r="R153" i="14"/>
  <c r="R120" i="14"/>
  <c r="AZ87" i="14"/>
  <c r="T120" i="14"/>
  <c r="I201" i="14"/>
  <c r="R87" i="14"/>
  <c r="Q150" i="14"/>
  <c r="BM153" i="14"/>
  <c r="BA150" i="14"/>
  <c r="U87" i="14"/>
  <c r="J53" i="14"/>
  <c r="BL26" i="14"/>
  <c r="W53" i="14"/>
  <c r="E26" i="14"/>
  <c r="BA53" i="14"/>
  <c r="I53" i="14"/>
  <c r="D26" i="14"/>
  <c r="E190" i="14"/>
  <c r="I190" i="14"/>
  <c r="AZ53" i="14"/>
  <c r="W52" i="14"/>
  <c r="BB26" i="14"/>
  <c r="U53" i="14"/>
  <c r="BB53" i="14"/>
  <c r="R53" i="14"/>
  <c r="G53" i="14"/>
  <c r="BA190" i="14"/>
  <c r="T190" i="14"/>
  <c r="AY53" i="14"/>
  <c r="Q53" i="14"/>
  <c r="BA26" i="14"/>
  <c r="D190" i="14"/>
  <c r="G26" i="14"/>
  <c r="BB52" i="14"/>
  <c r="R52" i="14"/>
  <c r="Q86" i="14"/>
  <c r="BA86" i="14"/>
  <c r="U86" i="14"/>
  <c r="BM26" i="14"/>
  <c r="AZ190" i="14"/>
  <c r="BM53" i="14"/>
  <c r="J26" i="14"/>
  <c r="I26" i="14"/>
  <c r="Q26" i="14"/>
  <c r="AY190" i="14"/>
  <c r="BL53" i="14"/>
  <c r="BA52" i="14"/>
  <c r="W26" i="14"/>
  <c r="R190" i="14"/>
  <c r="AZ26" i="14"/>
  <c r="I52" i="14"/>
  <c r="BH36" i="14"/>
  <c r="R26" i="14"/>
  <c r="BB190" i="14"/>
  <c r="BB22" i="14"/>
  <c r="D52" i="14"/>
  <c r="T53" i="14"/>
  <c r="T26" i="14"/>
  <c r="W190" i="14"/>
  <c r="D87" i="14"/>
  <c r="E87" i="14"/>
  <c r="BL88" i="14"/>
  <c r="T153" i="14"/>
  <c r="W153" i="14"/>
  <c r="G153" i="14"/>
  <c r="AY52" i="14"/>
  <c r="G52" i="14"/>
  <c r="Q52" i="14"/>
  <c r="J190" i="14"/>
  <c r="D53" i="14"/>
  <c r="E52" i="14"/>
  <c r="J52" i="14"/>
  <c r="BM52" i="14"/>
  <c r="BL180" i="14"/>
  <c r="U180" i="14"/>
  <c r="AY180" i="14"/>
  <c r="I180" i="14"/>
  <c r="BB180" i="14"/>
  <c r="AZ180" i="14"/>
  <c r="U52" i="14"/>
  <c r="BL190" i="14"/>
  <c r="U16" i="14"/>
  <c r="Q190" i="14"/>
  <c r="AZ99" i="14"/>
  <c r="U99" i="14"/>
  <c r="J107" i="14"/>
  <c r="I107" i="14"/>
  <c r="BC156" i="14"/>
  <c r="BM107" i="14"/>
  <c r="W107" i="14"/>
  <c r="AF107" i="14" s="1"/>
  <c r="E99" i="14"/>
  <c r="D107" i="14"/>
  <c r="BG107" i="14" s="1"/>
  <c r="BL107" i="14"/>
  <c r="Q99" i="14"/>
  <c r="AZ107" i="14"/>
  <c r="U107" i="14"/>
  <c r="E107" i="14"/>
  <c r="BA107" i="14"/>
  <c r="R99" i="14"/>
  <c r="G99" i="14"/>
  <c r="BA99" i="14"/>
  <c r="Q107" i="14"/>
  <c r="BL99" i="14"/>
  <c r="D99" i="14"/>
  <c r="I99" i="14"/>
  <c r="AY107" i="14"/>
  <c r="AY99" i="14"/>
  <c r="BM99" i="14"/>
  <c r="J99" i="14"/>
  <c r="BB107" i="14"/>
  <c r="W99" i="14"/>
  <c r="T99" i="14"/>
  <c r="I150" i="14"/>
  <c r="U54" i="14"/>
  <c r="U61" i="14"/>
  <c r="BA206" i="14"/>
  <c r="T54" i="14"/>
  <c r="E54" i="14"/>
  <c r="Q61" i="14"/>
  <c r="U32" i="14"/>
  <c r="AY206" i="14"/>
  <c r="R206" i="14"/>
  <c r="G209" i="14"/>
  <c r="R54" i="14"/>
  <c r="I61" i="14"/>
  <c r="BL32" i="14"/>
  <c r="J209" i="14"/>
  <c r="BB126" i="14"/>
  <c r="BM61" i="14"/>
  <c r="R32" i="14"/>
  <c r="BL206" i="14"/>
  <c r="BL209" i="14"/>
  <c r="BM209" i="14"/>
  <c r="I54" i="14"/>
  <c r="AZ61" i="14"/>
  <c r="J61" i="14"/>
  <c r="BM32" i="14"/>
  <c r="BB206" i="14"/>
  <c r="I209" i="14"/>
  <c r="D54" i="14"/>
  <c r="BL61" i="14"/>
  <c r="BA32" i="14"/>
  <c r="BM206" i="14"/>
  <c r="E206" i="14"/>
  <c r="U206" i="14"/>
  <c r="D209" i="14"/>
  <c r="AY61" i="14"/>
  <c r="AZ32" i="14"/>
  <c r="BB120" i="14"/>
  <c r="BL120" i="14"/>
  <c r="R61" i="14"/>
  <c r="I206" i="14"/>
  <c r="D206" i="14"/>
  <c r="D61" i="14"/>
  <c r="BG61" i="14" s="1"/>
  <c r="W25" i="14"/>
  <c r="BB25" i="14"/>
  <c r="R25" i="14"/>
  <c r="AZ25" i="14"/>
  <c r="W61" i="14"/>
  <c r="AF61" i="14" s="1"/>
  <c r="BG66" i="14"/>
  <c r="J206" i="14"/>
  <c r="BB73" i="14"/>
  <c r="I73" i="14"/>
  <c r="W54" i="14"/>
  <c r="BB61" i="14"/>
  <c r="BD136" i="14"/>
  <c r="J112" i="14"/>
  <c r="W206" i="14"/>
  <c r="Q206" i="14"/>
  <c r="E61" i="14"/>
  <c r="AY150" i="14"/>
  <c r="T52" i="14"/>
  <c r="U26" i="14"/>
  <c r="J54" i="14"/>
  <c r="BA54" i="14"/>
  <c r="BA61" i="14"/>
  <c r="T206" i="14"/>
  <c r="T112" i="14"/>
  <c r="G206" i="14"/>
  <c r="BG175" i="14"/>
  <c r="BG204" i="14"/>
  <c r="BL128" i="14"/>
  <c r="BC40" i="14"/>
  <c r="AZ163" i="14"/>
  <c r="U163" i="14"/>
  <c r="B132" i="7"/>
  <c r="AF36" i="14"/>
  <c r="BG67" i="14"/>
  <c r="BD204" i="14"/>
  <c r="AF67" i="14"/>
  <c r="BH175" i="14"/>
  <c r="BH66" i="14"/>
  <c r="BG36" i="14"/>
  <c r="BD40" i="14"/>
  <c r="AF175" i="14"/>
  <c r="BB128" i="14"/>
  <c r="BG13" i="14"/>
  <c r="BC157" i="14"/>
  <c r="BC82" i="14"/>
  <c r="T32" i="14"/>
  <c r="BA18" i="14"/>
  <c r="AF66" i="14"/>
  <c r="BB32" i="14"/>
  <c r="Q18" i="14"/>
  <c r="AF204" i="14"/>
  <c r="AY54" i="14"/>
  <c r="G32" i="14"/>
  <c r="BG32" i="14" s="1"/>
  <c r="J18" i="14"/>
  <c r="AY32" i="14"/>
  <c r="D18" i="14"/>
  <c r="J141" i="14"/>
  <c r="AF200" i="14"/>
  <c r="I32" i="14"/>
  <c r="BD142" i="14"/>
  <c r="BD82" i="14"/>
  <c r="BG43" i="14"/>
  <c r="BD119" i="14"/>
  <c r="E32" i="14"/>
  <c r="BG165" i="14"/>
  <c r="W32" i="14"/>
  <c r="BC65" i="14"/>
  <c r="T18" i="14"/>
  <c r="P200" i="14"/>
  <c r="AG200" i="14" s="1"/>
  <c r="H200" i="14"/>
  <c r="BD13" i="14"/>
  <c r="BG49" i="14"/>
  <c r="AF49" i="14"/>
  <c r="BD65" i="14"/>
  <c r="BC174" i="14"/>
  <c r="BD157" i="14"/>
  <c r="BD66" i="14"/>
  <c r="E112" i="14"/>
  <c r="BD85" i="14"/>
  <c r="BD175" i="14"/>
  <c r="BG40" i="14"/>
  <c r="T103" i="14"/>
  <c r="I129" i="14"/>
  <c r="E103" i="14"/>
  <c r="BH136" i="14"/>
  <c r="BG136" i="14"/>
  <c r="BC119" i="14"/>
  <c r="BA112" i="14"/>
  <c r="AY103" i="14"/>
  <c r="BC165" i="14"/>
  <c r="BD43" i="14"/>
  <c r="W102" i="14"/>
  <c r="BD67" i="14"/>
  <c r="BH119" i="14"/>
  <c r="BD200" i="14"/>
  <c r="BC67" i="14"/>
  <c r="D57" i="14"/>
  <c r="R103" i="14"/>
  <c r="BM57" i="14"/>
  <c r="E57" i="14"/>
  <c r="BC142" i="14"/>
  <c r="B174" i="7"/>
  <c r="BH49" i="14"/>
  <c r="AY57" i="14"/>
  <c r="BC85" i="14"/>
  <c r="BD168" i="14"/>
  <c r="BC43" i="14"/>
  <c r="BH174" i="14"/>
  <c r="BC49" i="14"/>
  <c r="BC66" i="14"/>
  <c r="BD36" i="14"/>
  <c r="AF13" i="14"/>
  <c r="BC130" i="14"/>
  <c r="BG65" i="14"/>
  <c r="BC13" i="14"/>
  <c r="BC200" i="14"/>
  <c r="U173" i="14"/>
  <c r="T173" i="14"/>
  <c r="Q173" i="14"/>
  <c r="AY173" i="14"/>
  <c r="R173" i="14"/>
  <c r="E173" i="14"/>
  <c r="W173" i="14"/>
  <c r="G173" i="14"/>
  <c r="AZ173" i="14"/>
  <c r="BM173" i="14"/>
  <c r="BL173" i="14"/>
  <c r="J173" i="14"/>
  <c r="D173" i="14"/>
  <c r="BB173" i="14"/>
  <c r="I173" i="14"/>
  <c r="BA173" i="14"/>
  <c r="B171" i="7"/>
  <c r="AF174" i="14"/>
  <c r="BL129" i="14"/>
  <c r="BC168" i="14"/>
  <c r="W31" i="14"/>
  <c r="R31" i="14"/>
  <c r="BM31" i="14"/>
  <c r="T31" i="14"/>
  <c r="AZ31" i="14"/>
  <c r="Q31" i="14"/>
  <c r="BB31" i="14"/>
  <c r="BA31" i="14"/>
  <c r="J31" i="14"/>
  <c r="I31" i="14"/>
  <c r="BL31" i="14"/>
  <c r="G31" i="14"/>
  <c r="AY31" i="14"/>
  <c r="U31" i="14"/>
  <c r="D31" i="14"/>
  <c r="E31" i="14"/>
  <c r="BC204" i="14"/>
  <c r="BD174" i="14"/>
  <c r="BD49" i="14"/>
  <c r="BG157" i="14"/>
  <c r="BC136" i="14"/>
  <c r="I48" i="14"/>
  <c r="E48" i="14"/>
  <c r="T48" i="14"/>
  <c r="AZ48" i="14"/>
  <c r="AY48" i="14"/>
  <c r="B176" i="7"/>
  <c r="BH204" i="14"/>
  <c r="AF136" i="14"/>
  <c r="BC36" i="14"/>
  <c r="BD165" i="14"/>
  <c r="BH130" i="14"/>
  <c r="BF130" i="14" s="1"/>
  <c r="BH40" i="14"/>
  <c r="U102" i="14"/>
  <c r="BB102" i="14"/>
  <c r="I102" i="14"/>
  <c r="BL48" i="14"/>
  <c r="B125" i="7"/>
  <c r="AZ102" i="14"/>
  <c r="BA102" i="14"/>
  <c r="B153" i="7"/>
  <c r="B192" i="7"/>
  <c r="BL102" i="14"/>
  <c r="BH200" i="14"/>
  <c r="J102" i="14"/>
  <c r="BA129" i="14"/>
  <c r="D48" i="14"/>
  <c r="BG48" i="14" s="1"/>
  <c r="R48" i="14"/>
  <c r="Q48" i="14"/>
  <c r="J48" i="14"/>
  <c r="U48" i="14"/>
  <c r="W48" i="14"/>
  <c r="BA48" i="14"/>
  <c r="BB48" i="14"/>
  <c r="BM129" i="14"/>
  <c r="B142" i="7"/>
  <c r="B128" i="7"/>
  <c r="BM141" i="14"/>
  <c r="W141" i="14"/>
  <c r="R141" i="14"/>
  <c r="BA141" i="14"/>
  <c r="BL141" i="14"/>
  <c r="AY141" i="14"/>
  <c r="T141" i="14"/>
  <c r="BB141" i="14"/>
  <c r="G141" i="14"/>
  <c r="E141" i="14"/>
  <c r="Q141" i="14"/>
  <c r="AZ141" i="14"/>
  <c r="I141" i="14"/>
  <c r="I108" i="14"/>
  <c r="B124" i="7"/>
  <c r="B196" i="7"/>
  <c r="B145" i="7"/>
  <c r="B126" i="7"/>
  <c r="B154" i="7"/>
  <c r="B137" i="7"/>
  <c r="B172" i="7"/>
  <c r="BG174" i="14"/>
  <c r="AZ108" i="14"/>
  <c r="B173" i="7"/>
  <c r="B160" i="7"/>
  <c r="B147" i="7"/>
  <c r="B141" i="7"/>
  <c r="B198" i="7"/>
  <c r="W108" i="14"/>
  <c r="BD130" i="14"/>
  <c r="U108" i="14"/>
  <c r="E108" i="14"/>
  <c r="B175" i="7"/>
  <c r="B193" i="7"/>
  <c r="A656" i="7" a="1"/>
  <c r="A656" i="7" s="1"/>
  <c r="B179" i="7"/>
  <c r="B146" i="7"/>
  <c r="B161" i="7"/>
  <c r="B166" i="7"/>
  <c r="B143" i="7"/>
  <c r="B194" i="7"/>
  <c r="BH43" i="14"/>
  <c r="BM108" i="14"/>
  <c r="BB108" i="14"/>
  <c r="B156" i="7"/>
  <c r="B181" i="7"/>
  <c r="B158" i="7"/>
  <c r="B178" i="7"/>
  <c r="B164" i="7"/>
  <c r="B187" i="7"/>
  <c r="B185" i="7"/>
  <c r="B162" i="7"/>
  <c r="BA108" i="14"/>
  <c r="Q129" i="14"/>
  <c r="E129" i="14"/>
  <c r="R129" i="14"/>
  <c r="BB129" i="14"/>
  <c r="J129" i="14"/>
  <c r="U129" i="14"/>
  <c r="T129" i="14"/>
  <c r="G129" i="14"/>
  <c r="AY129" i="14"/>
  <c r="AZ129" i="14"/>
  <c r="B129" i="7"/>
  <c r="B180" i="7"/>
  <c r="B139" i="7"/>
  <c r="B195" i="7"/>
  <c r="B157" i="7"/>
  <c r="B165" i="7"/>
  <c r="D108" i="14"/>
  <c r="I112" i="14"/>
  <c r="Q112" i="14"/>
  <c r="W112" i="14"/>
  <c r="AY112" i="14"/>
  <c r="G112" i="14"/>
  <c r="BL112" i="14"/>
  <c r="D112" i="14"/>
  <c r="U112" i="14"/>
  <c r="BM112" i="14"/>
  <c r="BB112" i="14"/>
  <c r="AZ112" i="14"/>
  <c r="B168" i="7"/>
  <c r="B148" i="7"/>
  <c r="B191" i="7"/>
  <c r="B184" i="7"/>
  <c r="AF40" i="14"/>
  <c r="B130" i="7"/>
  <c r="B149" i="7"/>
  <c r="B197" i="7"/>
  <c r="B189" i="7"/>
  <c r="B140" i="7"/>
  <c r="B159" i="7"/>
  <c r="B144" i="7"/>
  <c r="B169" i="7"/>
  <c r="J108" i="14"/>
  <c r="G57" i="14"/>
  <c r="R57" i="14"/>
  <c r="AZ57" i="14"/>
  <c r="J57" i="14"/>
  <c r="BL57" i="14"/>
  <c r="U57" i="14"/>
  <c r="Q57" i="14"/>
  <c r="BB57" i="14"/>
  <c r="W57" i="14"/>
  <c r="BA57" i="14"/>
  <c r="I57" i="14"/>
  <c r="T57" i="14"/>
  <c r="B167" i="7"/>
  <c r="Q108" i="14"/>
  <c r="R108" i="14"/>
  <c r="B188" i="7"/>
  <c r="A657" i="7" a="1"/>
  <c r="A657" i="7" s="1"/>
  <c r="B170" i="7"/>
  <c r="B182" i="7"/>
  <c r="B177" i="7"/>
  <c r="B199" i="7"/>
  <c r="AF157" i="14"/>
  <c r="AF43" i="14"/>
  <c r="G108" i="14"/>
  <c r="B133" i="7"/>
  <c r="B152" i="7"/>
  <c r="B127" i="7"/>
  <c r="B136" i="7"/>
  <c r="B151" i="7"/>
  <c r="B150" i="7"/>
  <c r="B135" i="7"/>
  <c r="BL108" i="14"/>
  <c r="J128" i="14"/>
  <c r="U128" i="14"/>
  <c r="D128" i="14"/>
  <c r="W128" i="14"/>
  <c r="T128" i="14"/>
  <c r="BM128" i="14"/>
  <c r="BA128" i="14"/>
  <c r="Q128" i="14"/>
  <c r="I128" i="14"/>
  <c r="AY128" i="14"/>
  <c r="G128" i="14"/>
  <c r="AZ128" i="14"/>
  <c r="B163" i="7"/>
  <c r="B186" i="7"/>
  <c r="B138" i="7"/>
  <c r="B183" i="7"/>
  <c r="B134" i="7"/>
  <c r="A658" i="7" a="1"/>
  <c r="A658" i="7" s="1"/>
  <c r="B131" i="7"/>
  <c r="B190" i="7"/>
  <c r="B155" i="7"/>
  <c r="W129" i="14"/>
  <c r="T62" i="14"/>
  <c r="AZ62" i="14"/>
  <c r="BA62" i="14"/>
  <c r="W62" i="14"/>
  <c r="D62" i="14"/>
  <c r="I62" i="14"/>
  <c r="U62" i="14"/>
  <c r="G62" i="14"/>
  <c r="BM62" i="14"/>
  <c r="AY62" i="14"/>
  <c r="BB62" i="14"/>
  <c r="E62" i="14"/>
  <c r="R62" i="14"/>
  <c r="BL62" i="14"/>
  <c r="J62" i="14"/>
  <c r="Q62" i="14"/>
  <c r="BA158" i="14"/>
  <c r="U158" i="14"/>
  <c r="W158" i="14"/>
  <c r="BM158" i="14"/>
  <c r="I158" i="14"/>
  <c r="BB158" i="14"/>
  <c r="G158" i="14"/>
  <c r="J158" i="14"/>
  <c r="R158" i="14"/>
  <c r="AY158" i="14"/>
  <c r="BL158" i="14"/>
  <c r="Q158" i="14"/>
  <c r="E158" i="14"/>
  <c r="T158" i="14"/>
  <c r="AZ158" i="14"/>
  <c r="D158" i="14"/>
  <c r="AY102" i="14"/>
  <c r="G102" i="14"/>
  <c r="T108" i="14"/>
  <c r="D69" i="14"/>
  <c r="I69" i="14"/>
  <c r="AY69" i="14"/>
  <c r="U69" i="14"/>
  <c r="J69" i="14"/>
  <c r="BA69" i="14"/>
  <c r="T69" i="14"/>
  <c r="R69" i="14"/>
  <c r="G69" i="14"/>
  <c r="BM69" i="14"/>
  <c r="W69" i="14"/>
  <c r="BB69" i="14"/>
  <c r="Q69" i="14"/>
  <c r="AZ69" i="14"/>
  <c r="E69" i="14"/>
  <c r="BL69" i="14"/>
  <c r="J32" i="14"/>
  <c r="Q32" i="14"/>
  <c r="BL18" i="14"/>
  <c r="AZ18" i="14"/>
  <c r="I18" i="14"/>
  <c r="AY18" i="14"/>
  <c r="G18" i="14"/>
  <c r="BC175" i="14"/>
  <c r="P175" i="14"/>
  <c r="Q54" i="14"/>
  <c r="G54" i="14"/>
  <c r="BM54" i="14"/>
  <c r="BB54" i="14"/>
  <c r="BL54" i="14"/>
  <c r="H165" i="14"/>
  <c r="BI165" i="14" s="1"/>
  <c r="H130" i="14"/>
  <c r="P40" i="14"/>
  <c r="AG40" i="14" s="1"/>
  <c r="P65" i="14"/>
  <c r="H175" i="14"/>
  <c r="AH175" i="14" s="1"/>
  <c r="H65" i="14"/>
  <c r="AH65" i="14" s="1"/>
  <c r="P85" i="14"/>
  <c r="P165" i="14"/>
  <c r="H40" i="14"/>
  <c r="H85" i="14"/>
  <c r="AH85" i="14" s="1"/>
  <c r="P130" i="14"/>
  <c r="AG130" i="14" s="1"/>
  <c r="W44" i="14"/>
  <c r="BB44" i="14"/>
  <c r="BA44" i="14"/>
  <c r="D44" i="14"/>
  <c r="I44" i="14"/>
  <c r="Q44" i="14"/>
  <c r="G44" i="14"/>
  <c r="AY44" i="14"/>
  <c r="J44" i="14"/>
  <c r="U44" i="14"/>
  <c r="R44" i="14"/>
  <c r="T44" i="14"/>
  <c r="BM44" i="14"/>
  <c r="AZ44" i="14"/>
  <c r="BL44" i="14"/>
  <c r="E44" i="14"/>
  <c r="BA17" i="14"/>
  <c r="E17" i="14"/>
  <c r="W17" i="14"/>
  <c r="D17" i="14"/>
  <c r="I17" i="14"/>
  <c r="BM17" i="14"/>
  <c r="AY17" i="14"/>
  <c r="AZ17" i="14"/>
  <c r="G17" i="14"/>
  <c r="BL17" i="14"/>
  <c r="U17" i="14"/>
  <c r="J17" i="14"/>
  <c r="T17" i="14"/>
  <c r="BB17" i="14"/>
  <c r="R17" i="14"/>
  <c r="Q17" i="14"/>
  <c r="T176" i="14"/>
  <c r="R176" i="14"/>
  <c r="W176" i="14"/>
  <c r="E176" i="14"/>
  <c r="G176" i="14"/>
  <c r="AY176" i="14"/>
  <c r="BL176" i="14"/>
  <c r="BM176" i="14"/>
  <c r="BB176" i="14"/>
  <c r="D176" i="14"/>
  <c r="BA176" i="14"/>
  <c r="J176" i="14"/>
  <c r="AZ176" i="14"/>
  <c r="I176" i="14"/>
  <c r="U176" i="14"/>
  <c r="Q176" i="14"/>
  <c r="BA197" i="14"/>
  <c r="AZ197" i="14"/>
  <c r="I197" i="14"/>
  <c r="U197" i="14"/>
  <c r="G197" i="14"/>
  <c r="BM197" i="14"/>
  <c r="AY197" i="14"/>
  <c r="BB197" i="14"/>
  <c r="T197" i="14"/>
  <c r="D197" i="14"/>
  <c r="E197" i="14"/>
  <c r="BL197" i="14"/>
  <c r="W197" i="14"/>
  <c r="J197" i="14"/>
  <c r="R197" i="14"/>
  <c r="Q197" i="14"/>
  <c r="T93" i="14"/>
  <c r="BL93" i="14"/>
  <c r="BB93" i="14"/>
  <c r="Q93" i="14"/>
  <c r="D93" i="14"/>
  <c r="R93" i="14"/>
  <c r="BA93" i="14"/>
  <c r="BM93" i="14"/>
  <c r="G93" i="14"/>
  <c r="E93" i="14"/>
  <c r="U93" i="14"/>
  <c r="I93" i="14"/>
  <c r="AY93" i="14"/>
  <c r="AZ93" i="14"/>
  <c r="W93" i="14"/>
  <c r="J93" i="14"/>
  <c r="BA23" i="14"/>
  <c r="D23" i="14"/>
  <c r="G23" i="14"/>
  <c r="E23" i="14"/>
  <c r="AY23" i="14"/>
  <c r="J23" i="14"/>
  <c r="BM23" i="14"/>
  <c r="BL23" i="14"/>
  <c r="AZ23" i="14"/>
  <c r="T23" i="14"/>
  <c r="BB23" i="14"/>
  <c r="U23" i="14"/>
  <c r="Q23" i="14"/>
  <c r="R23" i="14"/>
  <c r="I23" i="14"/>
  <c r="W23" i="14"/>
  <c r="W127" i="14"/>
  <c r="BM127" i="14"/>
  <c r="AZ127" i="14"/>
  <c r="I127" i="14"/>
  <c r="D127" i="14"/>
  <c r="R127" i="14"/>
  <c r="AY127" i="14"/>
  <c r="J127" i="14"/>
  <c r="BL127" i="14"/>
  <c r="G127" i="14"/>
  <c r="E127" i="14"/>
  <c r="Q127" i="14"/>
  <c r="U127" i="14"/>
  <c r="T127" i="14"/>
  <c r="BA127" i="14"/>
  <c r="BB127" i="14"/>
  <c r="E72" i="14"/>
  <c r="U72" i="14"/>
  <c r="BB72" i="14"/>
  <c r="I72" i="14"/>
  <c r="Q72" i="14"/>
  <c r="W72" i="14"/>
  <c r="AY72" i="14"/>
  <c r="BA72" i="14"/>
  <c r="D72" i="14"/>
  <c r="T72" i="14"/>
  <c r="G72" i="14"/>
  <c r="R72" i="14"/>
  <c r="BM72" i="14"/>
  <c r="AZ72" i="14"/>
  <c r="BL72" i="14"/>
  <c r="J72" i="14"/>
  <c r="Q148" i="14"/>
  <c r="BM148" i="14"/>
  <c r="BL148" i="14"/>
  <c r="D148" i="14"/>
  <c r="J148" i="14"/>
  <c r="R148" i="14"/>
  <c r="I148" i="14"/>
  <c r="BB148" i="14"/>
  <c r="T148" i="14"/>
  <c r="AZ148" i="14"/>
  <c r="AY148" i="14"/>
  <c r="W148" i="14"/>
  <c r="BA148" i="14"/>
  <c r="G148" i="14"/>
  <c r="U148" i="14"/>
  <c r="E148" i="14"/>
  <c r="BE110" i="14"/>
  <c r="BF110" i="14"/>
  <c r="BJ110" i="14"/>
  <c r="AG110" i="14"/>
  <c r="BI110" i="14"/>
  <c r="AH110" i="14"/>
  <c r="H107" i="14" a="1"/>
  <c r="H117" i="14" a="1"/>
  <c r="H69" i="14" a="1"/>
  <c r="P179" i="14" a="1"/>
  <c r="P39" i="14" a="1"/>
  <c r="H209" i="14" a="1"/>
  <c r="P59" i="14" a="1"/>
  <c r="P139" i="14" a="1"/>
  <c r="H159" i="14" a="1"/>
  <c r="P199" i="14" a="1"/>
  <c r="P167" i="14" a="1"/>
  <c r="H167" i="14" a="1"/>
  <c r="H89" i="14" a="1"/>
  <c r="P129" i="14" a="1"/>
  <c r="P29" i="14" a="1"/>
  <c r="P89" i="14" a="1"/>
  <c r="H19" i="14" a="1"/>
  <c r="H199" i="14" a="1"/>
  <c r="H79" i="14" a="1"/>
  <c r="H179" i="14" a="1"/>
  <c r="P77" i="14" a="1"/>
  <c r="H139" i="14" a="1"/>
  <c r="H39" i="14" a="1"/>
  <c r="H77" i="14" a="1"/>
  <c r="H187" i="14" a="1"/>
  <c r="P137" i="14" a="1"/>
  <c r="P159" i="14" a="1"/>
  <c r="H129" i="14" a="1"/>
  <c r="P127" i="14" a="1"/>
  <c r="H109" i="14" a="1"/>
  <c r="H147" i="14" a="1"/>
  <c r="P187" i="14" a="1"/>
  <c r="H169" i="14" a="1"/>
  <c r="P117" i="14" a="1"/>
  <c r="H177" i="14" a="1"/>
  <c r="H37" i="14" a="1"/>
  <c r="P207" i="14" a="1"/>
  <c r="P87" i="14" a="1"/>
  <c r="P107" i="14" a="1"/>
  <c r="H57" i="14" a="1"/>
  <c r="H87" i="14" a="1"/>
  <c r="P37" i="14" a="1"/>
  <c r="H47" i="14" a="1"/>
  <c r="H137" i="14" a="1"/>
  <c r="H197" i="14" a="1"/>
  <c r="P19" i="14" a="1"/>
  <c r="H189" i="14" a="1"/>
  <c r="H207" i="14" a="1"/>
  <c r="P209" i="14" a="1"/>
  <c r="P197" i="14" a="1"/>
  <c r="H17" i="14" a="1"/>
  <c r="P109" i="14" a="1"/>
  <c r="H59" i="14" a="1"/>
  <c r="P79" i="14" a="1"/>
  <c r="P97" i="14" a="1"/>
  <c r="H29" i="14" a="1"/>
  <c r="P47" i="14" a="1"/>
  <c r="H97" i="14" a="1"/>
  <c r="P169" i="14" a="1"/>
  <c r="P147" i="14" a="1"/>
  <c r="P177" i="14" a="1"/>
  <c r="P69" i="14" a="1"/>
  <c r="P17" i="14" a="1"/>
  <c r="H127" i="14" a="1"/>
  <c r="P149" i="14" a="1"/>
  <c r="P189" i="14" a="1"/>
  <c r="H99" i="14" a="1"/>
  <c r="H149" i="14" a="1"/>
  <c r="P27" i="14" a="1"/>
  <c r="P57" i="14" a="1"/>
  <c r="H27" i="14" a="1"/>
  <c r="P99" i="14" a="1"/>
  <c r="H123" i="14" a="1"/>
  <c r="H133" i="14" a="1"/>
  <c r="H203" i="14" a="1"/>
  <c r="H63" i="14" a="1"/>
  <c r="P63" i="14" a="1"/>
  <c r="H93" i="14" a="1"/>
  <c r="P113" i="14" a="1"/>
  <c r="H33" i="14" a="1"/>
  <c r="P133" i="14" a="1"/>
  <c r="H113" i="14" a="1"/>
  <c r="H23" i="14" a="1"/>
  <c r="P83" i="14" a="1"/>
  <c r="P53" i="14" a="1"/>
  <c r="P123" i="14" a="1"/>
  <c r="H83" i="14" a="1"/>
  <c r="P193" i="14" a="1"/>
  <c r="P73" i="14" a="1"/>
  <c r="P203" i="14" a="1"/>
  <c r="P183" i="14" a="1"/>
  <c r="P33" i="14" a="1"/>
  <c r="H193" i="14" a="1"/>
  <c r="H103" i="14" a="1"/>
  <c r="P173" i="14" a="1"/>
  <c r="P103" i="14" a="1"/>
  <c r="P143" i="14" a="1"/>
  <c r="H173" i="14" a="1"/>
  <c r="P93" i="14" a="1"/>
  <c r="P163" i="14" a="1"/>
  <c r="H53" i="14" a="1"/>
  <c r="H163" i="14" a="1"/>
  <c r="P23" i="14" a="1"/>
  <c r="P153" i="14" a="1"/>
  <c r="H143" i="14" a="1"/>
  <c r="H183" i="14" a="1"/>
  <c r="H153" i="14" a="1"/>
  <c r="H73" i="14" a="1"/>
  <c r="P191" i="14" a="1"/>
  <c r="H21" i="14" a="1"/>
  <c r="H191" i="14" a="1"/>
  <c r="H61" i="14" a="1"/>
  <c r="H181" i="14" a="1"/>
  <c r="H71" i="14" a="1"/>
  <c r="P51" i="14" a="1"/>
  <c r="P151" i="14" a="1"/>
  <c r="P181" i="14" a="1"/>
  <c r="P11" i="14" a="1"/>
  <c r="H51" i="14" a="1"/>
  <c r="H201" i="14" a="1"/>
  <c r="H111" i="14" a="1"/>
  <c r="P41" i="14" a="1"/>
  <c r="P91" i="14" a="1"/>
  <c r="P81" i="14" a="1"/>
  <c r="H121" i="14" a="1"/>
  <c r="P101" i="14" a="1"/>
  <c r="P21" i="14" a="1"/>
  <c r="H151" i="14" a="1"/>
  <c r="P121" i="14" a="1"/>
  <c r="H81" i="14" a="1"/>
  <c r="H101" i="14" a="1"/>
  <c r="P31" i="14" a="1"/>
  <c r="H131" i="14" a="1"/>
  <c r="H141" i="14" a="1"/>
  <c r="H161" i="14" a="1"/>
  <c r="P141" i="14" a="1"/>
  <c r="P111" i="14" a="1"/>
  <c r="P161" i="14" a="1"/>
  <c r="H41" i="14" a="1"/>
  <c r="H11" i="14" a="1"/>
  <c r="H171" i="14" a="1"/>
  <c r="P171" i="14" a="1"/>
  <c r="P71" i="14" a="1"/>
  <c r="P131" i="14" a="1"/>
  <c r="H91" i="14" a="1"/>
  <c r="P201" i="14" a="1"/>
  <c r="P61" i="14" a="1"/>
  <c r="H31" i="14" a="1"/>
  <c r="P194" i="14" a="1"/>
  <c r="H178" i="14" a="1"/>
  <c r="H162" i="14" a="1"/>
  <c r="H208" i="14" a="1"/>
  <c r="P162" i="14" a="1"/>
  <c r="P176" i="14" a="1"/>
  <c r="H176" i="14" a="1"/>
  <c r="P192" i="14" a="1"/>
  <c r="P154" i="14" a="1"/>
  <c r="H182" i="14" a="1"/>
  <c r="H134" i="14" a="1"/>
  <c r="P148" i="14" a="1"/>
  <c r="P138" i="14" a="1"/>
  <c r="P188" i="14" a="1"/>
  <c r="P22" i="14" a="1"/>
  <c r="H202" i="14" a="1"/>
  <c r="P24" i="14" a="1"/>
  <c r="H194" i="14" a="1"/>
  <c r="P132" i="14" a="1"/>
  <c r="H196" i="14" a="1"/>
  <c r="H152" i="14" a="1"/>
  <c r="H186" i="14" a="1"/>
  <c r="H132" i="14" a="1"/>
  <c r="H198" i="14" a="1"/>
  <c r="P178" i="14" a="1"/>
  <c r="P196" i="14" a="1"/>
  <c r="H192" i="14" a="1"/>
  <c r="H146" i="14" a="1"/>
  <c r="H158" i="14" a="1"/>
  <c r="H148" i="14" a="1"/>
  <c r="P14" i="14" a="1"/>
  <c r="H138" i="14" a="1"/>
  <c r="H154" i="14" a="1"/>
  <c r="P18" i="14" a="1"/>
  <c r="P164" i="14" a="1"/>
  <c r="H184" i="14" a="1"/>
  <c r="P202" i="14" a="1"/>
  <c r="H166" i="14" a="1"/>
  <c r="H16" i="14" a="1"/>
  <c r="P182" i="14" a="1"/>
  <c r="P208" i="14" a="1"/>
  <c r="P134" i="14" a="1"/>
  <c r="P172" i="14" a="1"/>
  <c r="P198" i="14" a="1"/>
  <c r="H172" i="14" a="1"/>
  <c r="P206" i="14" a="1"/>
  <c r="H188" i="14" a="1"/>
  <c r="P146" i="14" a="1"/>
  <c r="P152" i="14" a="1"/>
  <c r="H22" i="14" a="1"/>
  <c r="P184" i="14" a="1"/>
  <c r="P158" i="14" a="1"/>
  <c r="H14" i="14" a="1"/>
  <c r="P166" i="14" a="1"/>
  <c r="H144" i="14" a="1"/>
  <c r="H24" i="14" a="1"/>
  <c r="H206" i="14" a="1"/>
  <c r="H18" i="14" a="1"/>
  <c r="P16" i="14" a="1"/>
  <c r="P186" i="14" a="1"/>
  <c r="P12" i="14" a="1"/>
  <c r="H12" i="14" a="1"/>
  <c r="H164" i="14" a="1"/>
  <c r="P144" i="14" a="1"/>
  <c r="H112" i="14" a="1"/>
  <c r="P112" i="14" a="1"/>
  <c r="P42" i="14" a="1"/>
  <c r="H46" i="14" a="1"/>
  <c r="P92" i="14" a="1"/>
  <c r="H108" i="14" a="1"/>
  <c r="P128" i="14" a="1"/>
  <c r="P118" i="14" a="1"/>
  <c r="P126" i="14" a="1"/>
  <c r="P114" i="14" a="1"/>
  <c r="H122" i="14" a="1"/>
  <c r="P38" i="14" a="1"/>
  <c r="P124" i="14" a="1"/>
  <c r="P104" i="14" a="1"/>
  <c r="H56" i="14" a="1"/>
  <c r="H102" i="14" a="1"/>
  <c r="P106" i="14" a="1"/>
  <c r="P34" i="14" a="1"/>
  <c r="P94" i="14" a="1"/>
  <c r="H68" i="14" a="1"/>
  <c r="H94" i="14" a="1"/>
  <c r="H42" i="14" a="1"/>
  <c r="P86" i="14" a="1"/>
  <c r="H58" i="14" a="1"/>
  <c r="P84" i="14" a="1"/>
  <c r="P28" i="14" a="1"/>
  <c r="P78" i="14" a="1"/>
  <c r="H48" i="14" a="1"/>
  <c r="H124" i="14" a="1"/>
  <c r="P76" i="14" a="1"/>
  <c r="H96" i="14" a="1"/>
  <c r="P98" i="14" a="1"/>
  <c r="H72" i="14" a="1"/>
  <c r="P68" i="14" a="1"/>
  <c r="H26" i="14" a="1"/>
  <c r="H76" i="14" a="1"/>
  <c r="P58" i="14" a="1"/>
  <c r="H114" i="14" a="1"/>
  <c r="P122" i="14" a="1"/>
  <c r="H78" i="14" a="1"/>
  <c r="H98" i="14" a="1"/>
  <c r="P46" i="14" a="1"/>
  <c r="H34" i="14" a="1"/>
  <c r="P64" i="14" a="1"/>
  <c r="H118" i="14" a="1"/>
  <c r="H52" i="14" a="1"/>
  <c r="H54" i="14" a="1"/>
  <c r="P56" i="14" a="1"/>
  <c r="H106" i="14" a="1"/>
  <c r="H86" i="14" a="1"/>
  <c r="P88" i="14" a="1"/>
  <c r="P74" i="14" a="1"/>
  <c r="P108" i="14" a="1"/>
  <c r="H44" i="14" a="1"/>
  <c r="P62" i="14" a="1"/>
  <c r="P48" i="14" a="1"/>
  <c r="H128" i="14" a="1"/>
  <c r="H92" i="14" a="1"/>
  <c r="H84" i="14" a="1"/>
  <c r="H28" i="14" a="1"/>
  <c r="H64" i="14" a="1"/>
  <c r="P54" i="14" a="1"/>
  <c r="P72" i="14" a="1"/>
  <c r="P52" i="14" a="1"/>
  <c r="H74" i="14" a="1"/>
  <c r="H88" i="14" a="1"/>
  <c r="P116" i="14" a="1"/>
  <c r="P26" i="14" a="1"/>
  <c r="H116" i="14" a="1"/>
  <c r="H62" i="14" a="1"/>
  <c r="P44" i="14" a="1"/>
  <c r="H104" i="14" a="1"/>
  <c r="H126" i="14" a="1"/>
  <c r="P102" i="14" a="1"/>
  <c r="H38" i="14" a="1"/>
  <c r="H32" i="14" a="1"/>
  <c r="P32" i="14" a="1"/>
  <c r="P35" i="14" a="1"/>
  <c r="H155" i="14" a="1"/>
  <c r="H90" i="14" a="1"/>
  <c r="P160" i="14" a="1"/>
  <c r="P120" i="14" a="1"/>
  <c r="P195" i="14" a="1"/>
  <c r="P115" i="14" a="1"/>
  <c r="P80" i="14" a="1"/>
  <c r="P60" i="14" a="1"/>
  <c r="P20" i="14" a="1"/>
  <c r="H105" i="14" a="1"/>
  <c r="P185" i="14" a="1"/>
  <c r="P190" i="14" a="1"/>
  <c r="P50" i="14" a="1"/>
  <c r="H80" i="14" a="1"/>
  <c r="H15" i="14" a="1"/>
  <c r="H115" i="14" a="1"/>
  <c r="P125" i="14" a="1"/>
  <c r="H50" i="14" a="1"/>
  <c r="H30" i="14" a="1"/>
  <c r="H10" i="14" a="1"/>
  <c r="P15" i="14" a="1"/>
  <c r="H135" i="14" a="1"/>
  <c r="P140" i="14" a="1"/>
  <c r="H140" i="14" a="1"/>
  <c r="H160" i="14" a="1"/>
  <c r="P25" i="14" a="1"/>
  <c r="P55" i="14" a="1"/>
  <c r="P100" i="14" a="1"/>
  <c r="H195" i="14" a="1"/>
  <c r="P10" i="14" a="1"/>
  <c r="H150" i="14" a="1"/>
  <c r="P95" i="14" a="1"/>
  <c r="P90" i="14" a="1"/>
  <c r="H75" i="14" a="1"/>
  <c r="P155" i="14" a="1"/>
  <c r="P150" i="14" a="1"/>
  <c r="P75" i="14" a="1"/>
  <c r="P70" i="14" a="1"/>
  <c r="H170" i="14" a="1"/>
  <c r="H185" i="14" a="1"/>
  <c r="P135" i="14" a="1"/>
  <c r="P170" i="14" a="1"/>
  <c r="H45" i="14" a="1"/>
  <c r="P205" i="14" a="1"/>
  <c r="H125" i="14" a="1"/>
  <c r="H190" i="14" a="1"/>
  <c r="P180" i="14" a="1"/>
  <c r="P30" i="14" a="1"/>
  <c r="P105" i="14" a="1"/>
  <c r="H210" i="14" a="1"/>
  <c r="H120" i="14" a="1"/>
  <c r="H95" i="14" a="1"/>
  <c r="H55" i="14" a="1"/>
  <c r="P45" i="14" a="1"/>
  <c r="P210" i="14" a="1"/>
  <c r="H205" i="14" a="1"/>
  <c r="H100" i="14" a="1"/>
  <c r="H180" i="14" a="1"/>
  <c r="H25" i="14" a="1"/>
  <c r="H35" i="14" a="1"/>
  <c r="P145" i="14" a="1"/>
  <c r="H145" i="14" a="1"/>
  <c r="H70" i="14" a="1"/>
  <c r="H60" i="14" a="1"/>
  <c r="H20" i="14" a="1"/>
  <c r="BJ43" i="14" l="1"/>
  <c r="K49" i="14"/>
  <c r="K204" i="14"/>
  <c r="AD66" i="14"/>
  <c r="AD142" i="14"/>
  <c r="AD136" i="14"/>
  <c r="BI67" i="14"/>
  <c r="BI43" i="14"/>
  <c r="P196" i="14"/>
  <c r="AG196" i="14" s="1"/>
  <c r="AL196" i="14" s="1"/>
  <c r="H202" i="14"/>
  <c r="AH202" i="14" s="1"/>
  <c r="AK202" i="14" s="1"/>
  <c r="H192" i="14"/>
  <c r="AH192" i="14" s="1"/>
  <c r="AK192" i="14" s="1"/>
  <c r="H208" i="14"/>
  <c r="AH208" i="14" s="1"/>
  <c r="AK208" i="14" s="1"/>
  <c r="H206" i="14"/>
  <c r="AH206" i="14" s="1"/>
  <c r="AM206" i="14" s="1"/>
  <c r="P208" i="14"/>
  <c r="BJ208" i="14" s="1"/>
  <c r="H196" i="14"/>
  <c r="AH196" i="14" s="1"/>
  <c r="AM196" i="14" s="1"/>
  <c r="P198" i="14"/>
  <c r="BJ198" i="14" s="1"/>
  <c r="H198" i="14"/>
  <c r="AH198" i="14" s="1"/>
  <c r="AK198" i="14" s="1"/>
  <c r="P202" i="14"/>
  <c r="AG202" i="14" s="1"/>
  <c r="AN202" i="14" s="1"/>
  <c r="P206" i="14"/>
  <c r="BJ206" i="14" s="1"/>
  <c r="P192" i="14"/>
  <c r="BJ192" i="14" s="1"/>
  <c r="AK13" i="14"/>
  <c r="AM13" i="14"/>
  <c r="AG49" i="14"/>
  <c r="AL49" i="14" s="1"/>
  <c r="AH204" i="14"/>
  <c r="AM204" i="14" s="1"/>
  <c r="BI204" i="14"/>
  <c r="BK204" i="14" s="1"/>
  <c r="AK43" i="14"/>
  <c r="AM43" i="14"/>
  <c r="AG204" i="14"/>
  <c r="AI204" i="14" s="1"/>
  <c r="AA204" i="14" s="1"/>
  <c r="K13" i="14"/>
  <c r="AH49" i="14"/>
  <c r="AK49" i="14" s="1"/>
  <c r="BK49" i="14"/>
  <c r="AE119" i="14"/>
  <c r="AJ67" i="14"/>
  <c r="Z67" i="14" s="1"/>
  <c r="AE67" i="14" s="1"/>
  <c r="AM67" i="14"/>
  <c r="AO67" i="14" s="1"/>
  <c r="AJ157" i="14"/>
  <c r="Z157" i="14" s="1"/>
  <c r="AE157" i="14" s="1"/>
  <c r="AK157" i="14"/>
  <c r="AO157" i="14" s="1"/>
  <c r="K43" i="14"/>
  <c r="BJ157" i="14"/>
  <c r="BJ67" i="14"/>
  <c r="BI157" i="14"/>
  <c r="BJ13" i="14"/>
  <c r="K67" i="14"/>
  <c r="AG13" i="14"/>
  <c r="AL13" i="14" s="1"/>
  <c r="K157" i="14"/>
  <c r="BI13" i="14"/>
  <c r="P61" i="14"/>
  <c r="AG61" i="14" s="1"/>
  <c r="AI61" i="14" s="1"/>
  <c r="AA61" i="14" s="1"/>
  <c r="P99" i="14"/>
  <c r="AG99" i="14" s="1"/>
  <c r="AL99" i="14" s="1"/>
  <c r="H171" i="14"/>
  <c r="AH171" i="14" s="1"/>
  <c r="AM171" i="14" s="1"/>
  <c r="H161" i="14"/>
  <c r="AH161" i="14" s="1"/>
  <c r="AJ161" i="14" s="1"/>
  <c r="Z161" i="14" s="1"/>
  <c r="H27" i="14"/>
  <c r="AH27" i="14" s="1"/>
  <c r="AM27" i="14" s="1"/>
  <c r="P23" i="14"/>
  <c r="BJ23" i="14" s="1"/>
  <c r="P57" i="14"/>
  <c r="BJ57" i="14" s="1"/>
  <c r="P27" i="14"/>
  <c r="AG27" i="14" s="1"/>
  <c r="AL27" i="14" s="1"/>
  <c r="H71" i="14"/>
  <c r="AH71" i="14" s="1"/>
  <c r="AJ71" i="14" s="1"/>
  <c r="Z71" i="14" s="1"/>
  <c r="H149" i="14"/>
  <c r="AH149" i="14" s="1"/>
  <c r="AM149" i="14" s="1"/>
  <c r="H99" i="14"/>
  <c r="AH99" i="14" s="1"/>
  <c r="AK99" i="14" s="1"/>
  <c r="P189" i="14"/>
  <c r="AG189" i="14" s="1"/>
  <c r="AI189" i="14" s="1"/>
  <c r="AA189" i="14" s="1"/>
  <c r="H101" i="14"/>
  <c r="AH101" i="14" s="1"/>
  <c r="AK101" i="14" s="1"/>
  <c r="P149" i="14"/>
  <c r="AG149" i="14" s="1"/>
  <c r="AL149" i="14" s="1"/>
  <c r="H194" i="14"/>
  <c r="AH194" i="14" s="1"/>
  <c r="AJ194" i="14" s="1"/>
  <c r="Z194" i="14" s="1"/>
  <c r="H133" i="14"/>
  <c r="AH133" i="14" s="1"/>
  <c r="AJ133" i="14" s="1"/>
  <c r="Z133" i="14" s="1"/>
  <c r="H127" i="14"/>
  <c r="P17" i="14"/>
  <c r="BJ17" i="14" s="1"/>
  <c r="P69" i="14"/>
  <c r="BJ69" i="14" s="1"/>
  <c r="P177" i="14"/>
  <c r="AG177" i="14" s="1"/>
  <c r="AI177" i="14" s="1"/>
  <c r="AA177" i="14" s="1"/>
  <c r="H11" i="14"/>
  <c r="AH11" i="14" s="1"/>
  <c r="AM11" i="14" s="1"/>
  <c r="P147" i="14"/>
  <c r="AG147" i="14" s="1"/>
  <c r="AN147" i="14" s="1"/>
  <c r="H141" i="14"/>
  <c r="BI141" i="14" s="1"/>
  <c r="H151" i="14"/>
  <c r="AH151" i="14" s="1"/>
  <c r="AK151" i="14" s="1"/>
  <c r="P41" i="14"/>
  <c r="AG41" i="14" s="1"/>
  <c r="AN41" i="14" s="1"/>
  <c r="H131" i="14"/>
  <c r="AH131" i="14" s="1"/>
  <c r="AJ131" i="14" s="1"/>
  <c r="Z131" i="14" s="1"/>
  <c r="P101" i="14"/>
  <c r="AG101" i="14" s="1"/>
  <c r="AN101" i="14" s="1"/>
  <c r="H73" i="14"/>
  <c r="AH73" i="14" s="1"/>
  <c r="AJ73" i="14" s="1"/>
  <c r="Z73" i="14" s="1"/>
  <c r="P183" i="14"/>
  <c r="AG183" i="14" s="1"/>
  <c r="AL183" i="14" s="1"/>
  <c r="P169" i="14"/>
  <c r="AG169" i="14" s="1"/>
  <c r="AL169" i="14" s="1"/>
  <c r="H97" i="14"/>
  <c r="AH97" i="14" s="1"/>
  <c r="AJ97" i="14" s="1"/>
  <c r="Z97" i="14" s="1"/>
  <c r="H191" i="14"/>
  <c r="AH191" i="14" s="1"/>
  <c r="AK191" i="14" s="1"/>
  <c r="P47" i="14"/>
  <c r="AG47" i="14" s="1"/>
  <c r="AL47" i="14" s="1"/>
  <c r="P203" i="14"/>
  <c r="AG203" i="14" s="1"/>
  <c r="AN203" i="14" s="1"/>
  <c r="H29" i="14"/>
  <c r="AH29" i="14" s="1"/>
  <c r="AK29" i="14" s="1"/>
  <c r="H41" i="14"/>
  <c r="AH41" i="14" s="1"/>
  <c r="AJ41" i="14" s="1"/>
  <c r="Z41" i="14" s="1"/>
  <c r="P97" i="14"/>
  <c r="AG97" i="14" s="1"/>
  <c r="AI97" i="14" s="1"/>
  <c r="AA97" i="14" s="1"/>
  <c r="H33" i="14"/>
  <c r="AH33" i="14" s="1"/>
  <c r="AK33" i="14" s="1"/>
  <c r="H83" i="14"/>
  <c r="AH83" i="14" s="1"/>
  <c r="AK83" i="14" s="1"/>
  <c r="P79" i="14"/>
  <c r="BJ79" i="14" s="1"/>
  <c r="P193" i="14"/>
  <c r="AG193" i="14" s="1"/>
  <c r="AI193" i="14" s="1"/>
  <c r="AA193" i="14" s="1"/>
  <c r="H59" i="14"/>
  <c r="AH59" i="14" s="1"/>
  <c r="AM59" i="14" s="1"/>
  <c r="P109" i="14"/>
  <c r="BJ109" i="14" s="1"/>
  <c r="H17" i="14"/>
  <c r="BI17" i="14" s="1"/>
  <c r="P181" i="14"/>
  <c r="AG181" i="14" s="1"/>
  <c r="AL181" i="14" s="1"/>
  <c r="H31" i="14"/>
  <c r="H93" i="14"/>
  <c r="AH93" i="14" s="1"/>
  <c r="P197" i="14"/>
  <c r="BJ197" i="14" s="1"/>
  <c r="P209" i="14"/>
  <c r="AG209" i="14" s="1"/>
  <c r="AL209" i="14" s="1"/>
  <c r="H207" i="14"/>
  <c r="AH207" i="14" s="1"/>
  <c r="AJ207" i="14" s="1"/>
  <c r="Z207" i="14" s="1"/>
  <c r="H189" i="14"/>
  <c r="AH189" i="14" s="1"/>
  <c r="AM189" i="14" s="1"/>
  <c r="P51" i="14"/>
  <c r="BJ51" i="14" s="1"/>
  <c r="H63" i="14"/>
  <c r="AH63" i="14" s="1"/>
  <c r="AK63" i="14" s="1"/>
  <c r="P19" i="14"/>
  <c r="AG19" i="14" s="1"/>
  <c r="AL19" i="14" s="1"/>
  <c r="H197" i="14"/>
  <c r="P103" i="14"/>
  <c r="AG103" i="14" s="1"/>
  <c r="AI103" i="14" s="1"/>
  <c r="AA103" i="14" s="1"/>
  <c r="H137" i="14"/>
  <c r="AH137" i="14" s="1"/>
  <c r="AK137" i="14" s="1"/>
  <c r="H47" i="14"/>
  <c r="AH47" i="14" s="1"/>
  <c r="AK47" i="14" s="1"/>
  <c r="P37" i="14"/>
  <c r="AG37" i="14" s="1"/>
  <c r="AI37" i="14" s="1"/>
  <c r="AA37" i="14" s="1"/>
  <c r="H87" i="14"/>
  <c r="BI87" i="14" s="1"/>
  <c r="H57" i="14"/>
  <c r="AH57" i="14" s="1"/>
  <c r="AJ57" i="14" s="1"/>
  <c r="Z57" i="14" s="1"/>
  <c r="H61" i="14"/>
  <c r="AH61" i="14" s="1"/>
  <c r="AM61" i="14" s="1"/>
  <c r="P53" i="14"/>
  <c r="BJ53" i="14" s="1"/>
  <c r="P87" i="14"/>
  <c r="AG87" i="14" s="1"/>
  <c r="P163" i="14"/>
  <c r="BJ163" i="14" s="1"/>
  <c r="P143" i="14"/>
  <c r="AG143" i="14" s="1"/>
  <c r="AN143" i="14" s="1"/>
  <c r="H91" i="14"/>
  <c r="AH91" i="14" s="1"/>
  <c r="AK91" i="14" s="1"/>
  <c r="P207" i="14"/>
  <c r="BJ207" i="14" s="1"/>
  <c r="P191" i="14"/>
  <c r="BJ191" i="14" s="1"/>
  <c r="P81" i="14"/>
  <c r="AG81" i="14" s="1"/>
  <c r="AL81" i="14" s="1"/>
  <c r="H37" i="14"/>
  <c r="AH37" i="14" s="1"/>
  <c r="AJ37" i="14" s="1"/>
  <c r="Z37" i="14" s="1"/>
  <c r="H177" i="14"/>
  <c r="BI177" i="14" s="1"/>
  <c r="P31" i="14"/>
  <c r="AG31" i="14" s="1"/>
  <c r="H173" i="14"/>
  <c r="AH173" i="14" s="1"/>
  <c r="AM173" i="14" s="1"/>
  <c r="H201" i="14"/>
  <c r="AH201" i="14" s="1"/>
  <c r="AJ201" i="14" s="1"/>
  <c r="Z201" i="14" s="1"/>
  <c r="H169" i="14"/>
  <c r="P33" i="14"/>
  <c r="AG33" i="14" s="1"/>
  <c r="AN33" i="14" s="1"/>
  <c r="P187" i="14"/>
  <c r="BJ187" i="14" s="1"/>
  <c r="H147" i="14"/>
  <c r="H193" i="14"/>
  <c r="H109" i="14"/>
  <c r="AH109" i="14" s="1"/>
  <c r="AM109" i="14" s="1"/>
  <c r="P127" i="14"/>
  <c r="AG127" i="14" s="1"/>
  <c r="H129" i="14"/>
  <c r="H53" i="14"/>
  <c r="AH53" i="14" s="1"/>
  <c r="AJ53" i="14" s="1"/>
  <c r="Z53" i="14" s="1"/>
  <c r="P73" i="14"/>
  <c r="AG73" i="14" s="1"/>
  <c r="AN73" i="14" s="1"/>
  <c r="P159" i="14"/>
  <c r="AG159" i="14" s="1"/>
  <c r="AL159" i="14" s="1"/>
  <c r="P11" i="14"/>
  <c r="BJ11" i="14" s="1"/>
  <c r="P137" i="14"/>
  <c r="AG137" i="14" s="1"/>
  <c r="AL137" i="14" s="1"/>
  <c r="H187" i="14"/>
  <c r="AH187" i="14" s="1"/>
  <c r="AJ187" i="14" s="1"/>
  <c r="Z187" i="14" s="1"/>
  <c r="H77" i="14"/>
  <c r="AH77" i="14" s="1"/>
  <c r="AK77" i="14" s="1"/>
  <c r="H39" i="14"/>
  <c r="AH39" i="14" s="1"/>
  <c r="AK39" i="14" s="1"/>
  <c r="P151" i="14"/>
  <c r="BJ151" i="14" s="1"/>
  <c r="P161" i="14"/>
  <c r="AG161" i="14" s="1"/>
  <c r="AN161" i="14" s="1"/>
  <c r="H139" i="14"/>
  <c r="AH139" i="14" s="1"/>
  <c r="AM139" i="14" s="1"/>
  <c r="P83" i="14"/>
  <c r="AG83" i="14" s="1"/>
  <c r="AL83" i="14" s="1"/>
  <c r="P77" i="14"/>
  <c r="BJ77" i="14" s="1"/>
  <c r="P173" i="14"/>
  <c r="AG173" i="14" s="1"/>
  <c r="AN173" i="14" s="1"/>
  <c r="H179" i="14"/>
  <c r="AH179" i="14" s="1"/>
  <c r="AK179" i="14" s="1"/>
  <c r="H183" i="14"/>
  <c r="AH183" i="14" s="1"/>
  <c r="AJ183" i="14" s="1"/>
  <c r="Z183" i="14" s="1"/>
  <c r="H79" i="14"/>
  <c r="AH79" i="14" s="1"/>
  <c r="AK79" i="14" s="1"/>
  <c r="H203" i="14"/>
  <c r="AH203" i="14" s="1"/>
  <c r="AM203" i="14" s="1"/>
  <c r="P194" i="14"/>
  <c r="BJ194" i="14" s="1"/>
  <c r="P63" i="14"/>
  <c r="BJ63" i="14" s="1"/>
  <c r="H199" i="14"/>
  <c r="AH199" i="14" s="1"/>
  <c r="AM199" i="14" s="1"/>
  <c r="H163" i="14"/>
  <c r="P91" i="14"/>
  <c r="AG91" i="14" s="1"/>
  <c r="AN91" i="14" s="1"/>
  <c r="H19" i="14"/>
  <c r="AH19" i="14" s="1"/>
  <c r="AM19" i="14" s="1"/>
  <c r="P89" i="14"/>
  <c r="BJ89" i="14" s="1"/>
  <c r="P29" i="14"/>
  <c r="AG29" i="14" s="1"/>
  <c r="AL29" i="14" s="1"/>
  <c r="P129" i="14"/>
  <c r="BJ129" i="14" s="1"/>
  <c r="P171" i="14"/>
  <c r="AG171" i="14" s="1"/>
  <c r="AI171" i="14" s="1"/>
  <c r="AA171" i="14" s="1"/>
  <c r="P131" i="14"/>
  <c r="BJ131" i="14" s="1"/>
  <c r="P71" i="14"/>
  <c r="BJ71" i="14" s="1"/>
  <c r="H89" i="14"/>
  <c r="AH89" i="14" s="1"/>
  <c r="AM89" i="14" s="1"/>
  <c r="H167" i="14"/>
  <c r="AH167" i="14" s="1"/>
  <c r="AM167" i="14" s="1"/>
  <c r="P167" i="14"/>
  <c r="AG167" i="14" s="1"/>
  <c r="AI167" i="14" s="1"/>
  <c r="AA167" i="14" s="1"/>
  <c r="P199" i="14"/>
  <c r="AG199" i="14" s="1"/>
  <c r="AI199" i="14" s="1"/>
  <c r="AA199" i="14" s="1"/>
  <c r="H159" i="14"/>
  <c r="AH159" i="14" s="1"/>
  <c r="AJ159" i="14" s="1"/>
  <c r="Z159" i="14" s="1"/>
  <c r="H181" i="14"/>
  <c r="BI181" i="14" s="1"/>
  <c r="P139" i="14"/>
  <c r="BJ139" i="14" s="1"/>
  <c r="P133" i="14"/>
  <c r="AG133" i="14" s="1"/>
  <c r="AL133" i="14" s="1"/>
  <c r="H81" i="14"/>
  <c r="AH81" i="14" s="1"/>
  <c r="AM81" i="14" s="1"/>
  <c r="P93" i="14"/>
  <c r="AG93" i="14" s="1"/>
  <c r="H51" i="14"/>
  <c r="AH51" i="14" s="1"/>
  <c r="AJ51" i="14" s="1"/>
  <c r="Z51" i="14" s="1"/>
  <c r="P59" i="14"/>
  <c r="AG59" i="14" s="1"/>
  <c r="AL59" i="14" s="1"/>
  <c r="H103" i="14"/>
  <c r="BI103" i="14" s="1"/>
  <c r="H23" i="14"/>
  <c r="BI23" i="14" s="1"/>
  <c r="H209" i="14"/>
  <c r="H21" i="14"/>
  <c r="AH21" i="14" s="1"/>
  <c r="AK21" i="14" s="1"/>
  <c r="P39" i="14"/>
  <c r="AG39" i="14" s="1"/>
  <c r="AI39" i="14" s="1"/>
  <c r="AA39" i="14" s="1"/>
  <c r="P201" i="14"/>
  <c r="AG201" i="14" s="1"/>
  <c r="AI201" i="14" s="1"/>
  <c r="AA201" i="14" s="1"/>
  <c r="P179" i="14"/>
  <c r="BJ179" i="14" s="1"/>
  <c r="P153" i="14"/>
  <c r="AG153" i="14" s="1"/>
  <c r="AN153" i="14" s="1"/>
  <c r="H69" i="14"/>
  <c r="P21" i="14"/>
  <c r="BJ21" i="14" s="1"/>
  <c r="H153" i="14"/>
  <c r="AH153" i="14" s="1"/>
  <c r="AM153" i="14" s="1"/>
  <c r="P141" i="14"/>
  <c r="BJ141" i="14" s="1"/>
  <c r="H143" i="14"/>
  <c r="AH143" i="14" s="1"/>
  <c r="AK143" i="14" s="1"/>
  <c r="P182" i="14"/>
  <c r="AG182" i="14" s="1"/>
  <c r="AN182" i="14" s="1"/>
  <c r="H182" i="14"/>
  <c r="AH182" i="14" s="1"/>
  <c r="AM182" i="14" s="1"/>
  <c r="H188" i="14"/>
  <c r="BI188" i="14" s="1"/>
  <c r="P186" i="14"/>
  <c r="AG186" i="14" s="1"/>
  <c r="AL186" i="14" s="1"/>
  <c r="P184" i="14"/>
  <c r="AG184" i="14" s="1"/>
  <c r="AI184" i="14" s="1"/>
  <c r="AA184" i="14" s="1"/>
  <c r="P188" i="14"/>
  <c r="AG188" i="14" s="1"/>
  <c r="AI188" i="14" s="1"/>
  <c r="AA188" i="14" s="1"/>
  <c r="H184" i="14"/>
  <c r="AH184" i="14" s="1"/>
  <c r="AK184" i="14" s="1"/>
  <c r="H186" i="14"/>
  <c r="AH186" i="14" s="1"/>
  <c r="AK186" i="14" s="1"/>
  <c r="P14" i="14"/>
  <c r="AG14" i="14" s="1"/>
  <c r="AL14" i="14" s="1"/>
  <c r="H14" i="14"/>
  <c r="AH14" i="14" s="1"/>
  <c r="AM14" i="14" s="1"/>
  <c r="AF202" i="14"/>
  <c r="BG202" i="14"/>
  <c r="BH202" i="14"/>
  <c r="AF98" i="14"/>
  <c r="BD170" i="14"/>
  <c r="BH98" i="14"/>
  <c r="BC98" i="14"/>
  <c r="BC170" i="14"/>
  <c r="AF170" i="14"/>
  <c r="AI43" i="14"/>
  <c r="AA43" i="14" s="1"/>
  <c r="AL43" i="14"/>
  <c r="AP43" i="14" s="1"/>
  <c r="BD98" i="14"/>
  <c r="BG170" i="14"/>
  <c r="BH170" i="14"/>
  <c r="BG98" i="14"/>
  <c r="H98" i="14"/>
  <c r="BI98" i="14" s="1"/>
  <c r="P98" i="14"/>
  <c r="BJ98" i="14" s="1"/>
  <c r="BH10" i="14"/>
  <c r="H10" i="14"/>
  <c r="K40" i="14"/>
  <c r="K136" i="14"/>
  <c r="K142" i="14"/>
  <c r="K168" i="14"/>
  <c r="K85" i="14"/>
  <c r="K175" i="14"/>
  <c r="BJ165" i="14"/>
  <c r="BK165" i="14" s="1"/>
  <c r="K165" i="14"/>
  <c r="K66" i="14"/>
  <c r="BJ65" i="14"/>
  <c r="K65" i="14"/>
  <c r="K36" i="14"/>
  <c r="K156" i="14"/>
  <c r="AG174" i="14"/>
  <c r="AL174" i="14" s="1"/>
  <c r="K174" i="14"/>
  <c r="BJ119" i="14"/>
  <c r="K119" i="14"/>
  <c r="K82" i="14"/>
  <c r="K130" i="14"/>
  <c r="K200" i="14"/>
  <c r="BI82" i="14"/>
  <c r="AH66" i="14"/>
  <c r="AJ66" i="14" s="1"/>
  <c r="Z66" i="14" s="1"/>
  <c r="AH40" i="14"/>
  <c r="AK40" i="14" s="1"/>
  <c r="AH142" i="14"/>
  <c r="AK142" i="14" s="1"/>
  <c r="AH136" i="14"/>
  <c r="AK136" i="14" s="1"/>
  <c r="AH130" i="14"/>
  <c r="AK130" i="14" s="1"/>
  <c r="AH36" i="14"/>
  <c r="AJ36" i="14" s="1"/>
  <c r="Z36" i="14" s="1"/>
  <c r="BI156" i="14"/>
  <c r="BI200" i="14"/>
  <c r="H132" i="14"/>
  <c r="AH132" i="14" s="1"/>
  <c r="AJ132" i="14" s="1"/>
  <c r="Z132" i="14" s="1"/>
  <c r="P132" i="14"/>
  <c r="BJ132" i="14" s="1"/>
  <c r="AF10" i="14"/>
  <c r="P170" i="14"/>
  <c r="BJ170" i="14" s="1"/>
  <c r="H170" i="14"/>
  <c r="BG185" i="14"/>
  <c r="BC202" i="14"/>
  <c r="AF185" i="14"/>
  <c r="BC185" i="14"/>
  <c r="BD185" i="14"/>
  <c r="P185" i="14"/>
  <c r="AG185" i="14" s="1"/>
  <c r="AI185" i="14" s="1"/>
  <c r="AA185" i="14" s="1"/>
  <c r="BD202" i="14"/>
  <c r="BH185" i="14"/>
  <c r="BH105" i="14"/>
  <c r="BG105" i="14"/>
  <c r="AF109" i="14"/>
  <c r="H185" i="14"/>
  <c r="BI185" i="14" s="1"/>
  <c r="AF105" i="14"/>
  <c r="BC109" i="14"/>
  <c r="BH109" i="14"/>
  <c r="P105" i="14"/>
  <c r="BG132" i="14"/>
  <c r="BG109" i="14"/>
  <c r="BH132" i="14"/>
  <c r="AF132" i="14"/>
  <c r="BG14" i="14"/>
  <c r="BF14" i="14" s="1"/>
  <c r="BD109" i="14"/>
  <c r="BG37" i="14"/>
  <c r="BF37" i="14" s="1"/>
  <c r="AF14" i="14"/>
  <c r="BC132" i="14"/>
  <c r="BD132" i="14"/>
  <c r="BH59" i="14"/>
  <c r="AG119" i="14"/>
  <c r="AN119" i="14" s="1"/>
  <c r="AF37" i="14"/>
  <c r="BD199" i="14"/>
  <c r="AM119" i="14"/>
  <c r="AK119" i="14"/>
  <c r="BI119" i="14"/>
  <c r="BI36" i="14"/>
  <c r="BG59" i="14"/>
  <c r="BD37" i="14"/>
  <c r="H123" i="14"/>
  <c r="AH123" i="14" s="1"/>
  <c r="AJ123" i="14" s="1"/>
  <c r="Z123" i="14" s="1"/>
  <c r="P107" i="14"/>
  <c r="P117" i="14"/>
  <c r="P113" i="14"/>
  <c r="H113" i="14"/>
  <c r="AH113" i="14" s="1"/>
  <c r="AK113" i="14" s="1"/>
  <c r="P111" i="14"/>
  <c r="H111" i="14"/>
  <c r="AH111" i="14" s="1"/>
  <c r="AJ111" i="14" s="1"/>
  <c r="Z111" i="14" s="1"/>
  <c r="P123" i="14"/>
  <c r="P121" i="14"/>
  <c r="H121" i="14"/>
  <c r="AH121" i="14" s="1"/>
  <c r="AJ121" i="14" s="1"/>
  <c r="Z121" i="14" s="1"/>
  <c r="H117" i="14"/>
  <c r="AH117" i="14" s="1"/>
  <c r="AM117" i="14" s="1"/>
  <c r="H107" i="14"/>
  <c r="AH107" i="14" s="1"/>
  <c r="AJ107" i="14" s="1"/>
  <c r="Z107" i="14" s="1"/>
  <c r="BJ174" i="14"/>
  <c r="AK174" i="14"/>
  <c r="BI174" i="14"/>
  <c r="AM174" i="14"/>
  <c r="BC37" i="14"/>
  <c r="AF96" i="14"/>
  <c r="BC105" i="14"/>
  <c r="BD105" i="14"/>
  <c r="BG96" i="14"/>
  <c r="BD14" i="14"/>
  <c r="P172" i="14"/>
  <c r="P178" i="14"/>
  <c r="H178" i="14"/>
  <c r="AH178" i="14" s="1"/>
  <c r="AJ178" i="14" s="1"/>
  <c r="Z178" i="14" s="1"/>
  <c r="H176" i="14"/>
  <c r="BI176" i="14" s="1"/>
  <c r="P176" i="14"/>
  <c r="H172" i="14"/>
  <c r="AH172" i="14" s="1"/>
  <c r="AJ172" i="14" s="1"/>
  <c r="Z172" i="14" s="1"/>
  <c r="BD96" i="14"/>
  <c r="BC96" i="14"/>
  <c r="BG199" i="14"/>
  <c r="BH193" i="14"/>
  <c r="BF193" i="14" s="1"/>
  <c r="BC14" i="14"/>
  <c r="BC59" i="14"/>
  <c r="H105" i="14"/>
  <c r="AH105" i="14" s="1"/>
  <c r="AM105" i="14" s="1"/>
  <c r="BC199" i="14"/>
  <c r="AF199" i="14"/>
  <c r="BD193" i="14"/>
  <c r="AF59" i="14"/>
  <c r="AH82" i="14"/>
  <c r="AM82" i="14" s="1"/>
  <c r="BC193" i="14"/>
  <c r="BH199" i="14"/>
  <c r="BD59" i="14"/>
  <c r="BH96" i="14"/>
  <c r="BI168" i="14"/>
  <c r="BD160" i="14"/>
  <c r="BC160" i="14"/>
  <c r="BH160" i="14"/>
  <c r="BG160" i="14"/>
  <c r="P160" i="14"/>
  <c r="AG160" i="14" s="1"/>
  <c r="AI160" i="14" s="1"/>
  <c r="AA160" i="14" s="1"/>
  <c r="AJ168" i="14"/>
  <c r="Z168" i="14" s="1"/>
  <c r="BJ142" i="14"/>
  <c r="AF160" i="14"/>
  <c r="BI142" i="14"/>
  <c r="AG168" i="14"/>
  <c r="AN168" i="14" s="1"/>
  <c r="BJ168" i="14"/>
  <c r="H160" i="14"/>
  <c r="BJ36" i="14"/>
  <c r="AG36" i="14"/>
  <c r="AN36" i="14" s="1"/>
  <c r="AK168" i="14"/>
  <c r="AX168" i="14" s="1"/>
  <c r="H96" i="14"/>
  <c r="BI66" i="14"/>
  <c r="H22" i="14"/>
  <c r="AH22" i="14" s="1"/>
  <c r="AK22" i="14" s="1"/>
  <c r="P24" i="14"/>
  <c r="P12" i="14"/>
  <c r="H16" i="14"/>
  <c r="AH16" i="14" s="1"/>
  <c r="AJ16" i="14" s="1"/>
  <c r="Z16" i="14" s="1"/>
  <c r="H24" i="14"/>
  <c r="AH24" i="14" s="1"/>
  <c r="AK24" i="14" s="1"/>
  <c r="H18" i="14"/>
  <c r="AH18" i="14" s="1"/>
  <c r="AK18" i="14" s="1"/>
  <c r="H12" i="14"/>
  <c r="AH12" i="14" s="1"/>
  <c r="AM12" i="14" s="1"/>
  <c r="P16" i="14"/>
  <c r="P18" i="14"/>
  <c r="P22" i="14"/>
  <c r="H38" i="14"/>
  <c r="H28" i="14"/>
  <c r="BI28" i="14" s="1"/>
  <c r="P44" i="14"/>
  <c r="AG44" i="14" s="1"/>
  <c r="AI44" i="14" s="1"/>
  <c r="AA44" i="14" s="1"/>
  <c r="H32" i="14"/>
  <c r="H44" i="14"/>
  <c r="P26" i="14"/>
  <c r="P32" i="14"/>
  <c r="AG32" i="14" s="1"/>
  <c r="AL32" i="14" s="1"/>
  <c r="H26" i="14"/>
  <c r="AH26" i="14" s="1"/>
  <c r="AK26" i="14" s="1"/>
  <c r="H34" i="14"/>
  <c r="P42" i="14"/>
  <c r="AG42" i="14" s="1"/>
  <c r="AN42" i="14" s="1"/>
  <c r="P28" i="14"/>
  <c r="H42" i="14"/>
  <c r="P34" i="14"/>
  <c r="AG34" i="14" s="1"/>
  <c r="AI34" i="14" s="1"/>
  <c r="AA34" i="14" s="1"/>
  <c r="P46" i="14"/>
  <c r="AG46" i="14" s="1"/>
  <c r="AN46" i="14" s="1"/>
  <c r="H46" i="14"/>
  <c r="P38" i="14"/>
  <c r="H152" i="14"/>
  <c r="H122" i="14"/>
  <c r="P68" i="14"/>
  <c r="AG68" i="14" s="1"/>
  <c r="AN68" i="14" s="1"/>
  <c r="H94" i="14"/>
  <c r="P118" i="14"/>
  <c r="AG118" i="14" s="1"/>
  <c r="AL118" i="14" s="1"/>
  <c r="P116" i="14"/>
  <c r="AG116" i="14" s="1"/>
  <c r="AN116" i="14" s="1"/>
  <c r="H146" i="14"/>
  <c r="H62" i="14"/>
  <c r="H54" i="14"/>
  <c r="P102" i="14"/>
  <c r="AG102" i="14" s="1"/>
  <c r="AL102" i="14" s="1"/>
  <c r="P104" i="14"/>
  <c r="BJ104" i="14" s="1"/>
  <c r="P154" i="14"/>
  <c r="AG154" i="14" s="1"/>
  <c r="AN154" i="14" s="1"/>
  <c r="H108" i="14"/>
  <c r="P144" i="14"/>
  <c r="AG144" i="14" s="1"/>
  <c r="AI144" i="14" s="1"/>
  <c r="AA144" i="14" s="1"/>
  <c r="H134" i="14"/>
  <c r="P106" i="14"/>
  <c r="AG106" i="14" s="1"/>
  <c r="AN106" i="14" s="1"/>
  <c r="H114" i="14"/>
  <c r="P164" i="14"/>
  <c r="P138" i="14"/>
  <c r="AG138" i="14" s="1"/>
  <c r="AL138" i="14" s="1"/>
  <c r="H148" i="14"/>
  <c r="H48" i="14"/>
  <c r="P62" i="14"/>
  <c r="AG62" i="14" s="1"/>
  <c r="AI62" i="14" s="1"/>
  <c r="AA62" i="14" s="1"/>
  <c r="H144" i="14"/>
  <c r="P158" i="14"/>
  <c r="BJ158" i="14" s="1"/>
  <c r="P54" i="14"/>
  <c r="AG54" i="14" s="1"/>
  <c r="AI54" i="14" s="1"/>
  <c r="AA54" i="14" s="1"/>
  <c r="P94" i="14"/>
  <c r="AG94" i="14" s="1"/>
  <c r="AN94" i="14" s="1"/>
  <c r="H56" i="14"/>
  <c r="P48" i="14"/>
  <c r="AG48" i="14" s="1"/>
  <c r="AL48" i="14" s="1"/>
  <c r="H92" i="14"/>
  <c r="P134" i="14"/>
  <c r="BJ134" i="14" s="1"/>
  <c r="H118" i="14"/>
  <c r="P124" i="14"/>
  <c r="BJ124" i="14" s="1"/>
  <c r="P114" i="14"/>
  <c r="AG114" i="14" s="1"/>
  <c r="AL114" i="14" s="1"/>
  <c r="H116" i="14"/>
  <c r="P72" i="14"/>
  <c r="AG72" i="14" s="1"/>
  <c r="AN72" i="14" s="1"/>
  <c r="H128" i="14"/>
  <c r="P108" i="14"/>
  <c r="AG108" i="14" s="1"/>
  <c r="AI108" i="14" s="1"/>
  <c r="AA108" i="14" s="1"/>
  <c r="H52" i="14"/>
  <c r="H164" i="14"/>
  <c r="AH164" i="14" s="1"/>
  <c r="AM164" i="14" s="1"/>
  <c r="H64" i="14"/>
  <c r="P64" i="14"/>
  <c r="AG64" i="14" s="1"/>
  <c r="AI64" i="14" s="1"/>
  <c r="AA64" i="14" s="1"/>
  <c r="P148" i="14"/>
  <c r="AG148" i="14" s="1"/>
  <c r="AN148" i="14" s="1"/>
  <c r="H72" i="14"/>
  <c r="H158" i="14"/>
  <c r="P128" i="14"/>
  <c r="AG128" i="14" s="1"/>
  <c r="AI128" i="14" s="1"/>
  <c r="AA128" i="14" s="1"/>
  <c r="H124" i="14"/>
  <c r="H58" i="14"/>
  <c r="P166" i="14"/>
  <c r="H112" i="14"/>
  <c r="P152" i="14"/>
  <c r="AG152" i="14" s="1"/>
  <c r="AL152" i="14" s="1"/>
  <c r="H154" i="14"/>
  <c r="H102" i="14"/>
  <c r="H104" i="14"/>
  <c r="H166" i="14"/>
  <c r="AH166" i="14" s="1"/>
  <c r="AK166" i="14" s="1"/>
  <c r="P122" i="14"/>
  <c r="AG122" i="14" s="1"/>
  <c r="AL122" i="14" s="1"/>
  <c r="P146" i="14"/>
  <c r="AG146" i="14" s="1"/>
  <c r="AN146" i="14" s="1"/>
  <c r="P52" i="14"/>
  <c r="AG52" i="14" s="1"/>
  <c r="AI52" i="14" s="1"/>
  <c r="AA52" i="14" s="1"/>
  <c r="H162" i="14"/>
  <c r="AH162" i="14" s="1"/>
  <c r="AK162" i="14" s="1"/>
  <c r="P56" i="14"/>
  <c r="AG56" i="14" s="1"/>
  <c r="AL56" i="14" s="1"/>
  <c r="H106" i="14"/>
  <c r="P58" i="14"/>
  <c r="AG58" i="14" s="1"/>
  <c r="AN58" i="14" s="1"/>
  <c r="H68" i="14"/>
  <c r="P112" i="14"/>
  <c r="AG112" i="14" s="1"/>
  <c r="AI112" i="14" s="1"/>
  <c r="AA112" i="14" s="1"/>
  <c r="P162" i="14"/>
  <c r="H138" i="14"/>
  <c r="P92" i="14"/>
  <c r="AG92" i="14" s="1"/>
  <c r="AL92" i="14" s="1"/>
  <c r="H126" i="14"/>
  <c r="P126" i="14"/>
  <c r="BJ126" i="14" s="1"/>
  <c r="H88" i="14"/>
  <c r="H76" i="14"/>
  <c r="P84" i="14"/>
  <c r="AG84" i="14" s="1"/>
  <c r="AN84" i="14" s="1"/>
  <c r="H84" i="14"/>
  <c r="P78" i="14"/>
  <c r="AG78" i="14" s="1"/>
  <c r="P86" i="14"/>
  <c r="BJ86" i="14" s="1"/>
  <c r="P74" i="14"/>
  <c r="BJ74" i="14" s="1"/>
  <c r="P88" i="14"/>
  <c r="AG88" i="14" s="1"/>
  <c r="AN88" i="14" s="1"/>
  <c r="H86" i="14"/>
  <c r="P76" i="14"/>
  <c r="AG76" i="14" s="1"/>
  <c r="AN76" i="14" s="1"/>
  <c r="H74" i="14"/>
  <c r="H78" i="14"/>
  <c r="AI82" i="14"/>
  <c r="AA82" i="14" s="1"/>
  <c r="BJ82" i="14"/>
  <c r="AN82" i="14"/>
  <c r="AP82" i="14" s="1"/>
  <c r="BI136" i="14"/>
  <c r="AN66" i="14"/>
  <c r="BJ66" i="14"/>
  <c r="AN142" i="14"/>
  <c r="AL142" i="14"/>
  <c r="BJ136" i="14"/>
  <c r="AL66" i="14"/>
  <c r="AN136" i="14"/>
  <c r="AL136" i="14"/>
  <c r="BJ156" i="14"/>
  <c r="AI156" i="14"/>
  <c r="AA156" i="14" s="1"/>
  <c r="AH156" i="14"/>
  <c r="AM156" i="14" s="1"/>
  <c r="AL156" i="14"/>
  <c r="AW156" i="14" s="1"/>
  <c r="H140" i="14"/>
  <c r="P140" i="14"/>
  <c r="AG140" i="14" s="1"/>
  <c r="AI140" i="14" s="1"/>
  <c r="AA140" i="14" s="1"/>
  <c r="BD63" i="14"/>
  <c r="BH63" i="14"/>
  <c r="BF63" i="14" s="1"/>
  <c r="BC63" i="14"/>
  <c r="BH140" i="14"/>
  <c r="AF140" i="14"/>
  <c r="BD140" i="14"/>
  <c r="BG140" i="14"/>
  <c r="BC140" i="14"/>
  <c r="BG70" i="14"/>
  <c r="BH70" i="14"/>
  <c r="P70" i="14"/>
  <c r="BJ70" i="14" s="1"/>
  <c r="H70" i="14"/>
  <c r="AF70" i="14"/>
  <c r="BC70" i="14"/>
  <c r="BG100" i="14"/>
  <c r="BH100" i="14"/>
  <c r="BD70" i="14"/>
  <c r="H100" i="14"/>
  <c r="BC100" i="14"/>
  <c r="BD100" i="14"/>
  <c r="P100" i="14"/>
  <c r="BJ100" i="14" s="1"/>
  <c r="AF100" i="14"/>
  <c r="BG51" i="14"/>
  <c r="BF51" i="14" s="1"/>
  <c r="AF114" i="14"/>
  <c r="BD114" i="14"/>
  <c r="BC24" i="14"/>
  <c r="BC114" i="14"/>
  <c r="AF51" i="14"/>
  <c r="BD51" i="14"/>
  <c r="BC51" i="14"/>
  <c r="BD75" i="14"/>
  <c r="BH81" i="14"/>
  <c r="AF24" i="14"/>
  <c r="BG24" i="14"/>
  <c r="BG114" i="14"/>
  <c r="BF114" i="14" s="1"/>
  <c r="BH75" i="14"/>
  <c r="BG75" i="14"/>
  <c r="AF58" i="14"/>
  <c r="BD81" i="14"/>
  <c r="P75" i="14"/>
  <c r="BG58" i="14"/>
  <c r="BD58" i="14"/>
  <c r="BH58" i="14"/>
  <c r="BC75" i="14"/>
  <c r="BH24" i="14"/>
  <c r="AF75" i="14"/>
  <c r="BD24" i="14"/>
  <c r="BG81" i="14"/>
  <c r="BC58" i="14"/>
  <c r="H75" i="14"/>
  <c r="BI75" i="14" s="1"/>
  <c r="BH56" i="14"/>
  <c r="BC81" i="14"/>
  <c r="AF81" i="14"/>
  <c r="BG56" i="14"/>
  <c r="BG77" i="14"/>
  <c r="AF194" i="14"/>
  <c r="AF77" i="14"/>
  <c r="BC77" i="14"/>
  <c r="BC133" i="14"/>
  <c r="BH194" i="14"/>
  <c r="BH77" i="14"/>
  <c r="BD194" i="14"/>
  <c r="BD133" i="14"/>
  <c r="BG133" i="14"/>
  <c r="AF106" i="14"/>
  <c r="BC194" i="14"/>
  <c r="BD106" i="14"/>
  <c r="BG194" i="14"/>
  <c r="AF133" i="14"/>
  <c r="BD77" i="14"/>
  <c r="BD56" i="14"/>
  <c r="BG106" i="14"/>
  <c r="BF106" i="14" s="1"/>
  <c r="BC56" i="14"/>
  <c r="BC15" i="14"/>
  <c r="BH15" i="14"/>
  <c r="BF15" i="14" s="1"/>
  <c r="BC106" i="14"/>
  <c r="BH133" i="14"/>
  <c r="AF56" i="14"/>
  <c r="H15" i="14"/>
  <c r="AH15" i="14" s="1"/>
  <c r="AK15" i="14" s="1"/>
  <c r="BD15" i="14"/>
  <c r="BG203" i="14"/>
  <c r="BC203" i="14"/>
  <c r="AF12" i="14"/>
  <c r="AF167" i="14"/>
  <c r="AF203" i="14"/>
  <c r="P15" i="14"/>
  <c r="BH167" i="14"/>
  <c r="BG12" i="14"/>
  <c r="BF12" i="14" s="1"/>
  <c r="BD203" i="14"/>
  <c r="BH89" i="14"/>
  <c r="BH203" i="14"/>
  <c r="BC79" i="14"/>
  <c r="BD167" i="14"/>
  <c r="BD79" i="14"/>
  <c r="BG60" i="14"/>
  <c r="BC12" i="14"/>
  <c r="BG79" i="14"/>
  <c r="H55" i="14"/>
  <c r="P55" i="14"/>
  <c r="BH79" i="14"/>
  <c r="BG167" i="14"/>
  <c r="AF79" i="14"/>
  <c r="BD12" i="14"/>
  <c r="BC167" i="14"/>
  <c r="AF60" i="14"/>
  <c r="BH60" i="14"/>
  <c r="BG188" i="14"/>
  <c r="BF188" i="14" s="1"/>
  <c r="AF188" i="14"/>
  <c r="BH76" i="14"/>
  <c r="BF76" i="14" s="1"/>
  <c r="BH45" i="14"/>
  <c r="BC76" i="14"/>
  <c r="AF76" i="14"/>
  <c r="AF89" i="14"/>
  <c r="BD60" i="14"/>
  <c r="BD76" i="14"/>
  <c r="BC60" i="14"/>
  <c r="BG166" i="14"/>
  <c r="BG95" i="14"/>
  <c r="H60" i="14"/>
  <c r="P60" i="14"/>
  <c r="AG60" i="14" s="1"/>
  <c r="AI60" i="14" s="1"/>
  <c r="AA60" i="14" s="1"/>
  <c r="BD166" i="14"/>
  <c r="BH118" i="14"/>
  <c r="AF166" i="14"/>
  <c r="AF42" i="14"/>
  <c r="BH42" i="14"/>
  <c r="BC89" i="14"/>
  <c r="AF118" i="14"/>
  <c r="BC166" i="14"/>
  <c r="BD89" i="14"/>
  <c r="AF149" i="14"/>
  <c r="BG89" i="14"/>
  <c r="BC188" i="14"/>
  <c r="BD188" i="14"/>
  <c r="AF94" i="14"/>
  <c r="BD118" i="14"/>
  <c r="BC149" i="14"/>
  <c r="BH166" i="14"/>
  <c r="AF121" i="14"/>
  <c r="BG149" i="14"/>
  <c r="BH138" i="14"/>
  <c r="BH149" i="14"/>
  <c r="BH121" i="14"/>
  <c r="BC42" i="14"/>
  <c r="BC118" i="14"/>
  <c r="BD149" i="14"/>
  <c r="BH152" i="14"/>
  <c r="BC121" i="14"/>
  <c r="BH84" i="14"/>
  <c r="BG42" i="14"/>
  <c r="BG101" i="14"/>
  <c r="AF124" i="14"/>
  <c r="BC124" i="14"/>
  <c r="BD42" i="14"/>
  <c r="BG118" i="14"/>
  <c r="AF84" i="14"/>
  <c r="BD124" i="14"/>
  <c r="BG124" i="14"/>
  <c r="BF124" i="14" s="1"/>
  <c r="AF189" i="14"/>
  <c r="BH101" i="14"/>
  <c r="BG121" i="14"/>
  <c r="BD121" i="14"/>
  <c r="AF101" i="14"/>
  <c r="BD84" i="14"/>
  <c r="BD101" i="14"/>
  <c r="BG181" i="14"/>
  <c r="BC101" i="14"/>
  <c r="BG94" i="14"/>
  <c r="BH147" i="14"/>
  <c r="BH55" i="14"/>
  <c r="BC147" i="14"/>
  <c r="AF206" i="14"/>
  <c r="AF147" i="14"/>
  <c r="BG47" i="14"/>
  <c r="AF55" i="14"/>
  <c r="AF21" i="14"/>
  <c r="BH123" i="14"/>
  <c r="BC20" i="14"/>
  <c r="BH94" i="14"/>
  <c r="BH146" i="14"/>
  <c r="BC94" i="14"/>
  <c r="BC123" i="14"/>
  <c r="BG55" i="14"/>
  <c r="BG147" i="14"/>
  <c r="AF123" i="14"/>
  <c r="BD123" i="14"/>
  <c r="BH191" i="14"/>
  <c r="AF47" i="14"/>
  <c r="BD147" i="14"/>
  <c r="BC84" i="14"/>
  <c r="AF20" i="14"/>
  <c r="BH20" i="14"/>
  <c r="BD94" i="14"/>
  <c r="BG123" i="14"/>
  <c r="BH21" i="14"/>
  <c r="BC21" i="14"/>
  <c r="BH47" i="14"/>
  <c r="BD47" i="14"/>
  <c r="BH192" i="14"/>
  <c r="BD35" i="14"/>
  <c r="AF191" i="14"/>
  <c r="BG21" i="14"/>
  <c r="BG189" i="14"/>
  <c r="BC35" i="14"/>
  <c r="BD145" i="14"/>
  <c r="BC46" i="14"/>
  <c r="BH187" i="14"/>
  <c r="BF187" i="14" s="1"/>
  <c r="BC47" i="14"/>
  <c r="BD189" i="14"/>
  <c r="BG20" i="14"/>
  <c r="BD208" i="14"/>
  <c r="BD46" i="14"/>
  <c r="BD20" i="14"/>
  <c r="BD21" i="14"/>
  <c r="AF64" i="14"/>
  <c r="BH64" i="14"/>
  <c r="BH162" i="14"/>
  <c r="BD192" i="14"/>
  <c r="BC208" i="14"/>
  <c r="AF46" i="14"/>
  <c r="BG46" i="14"/>
  <c r="BH189" i="14"/>
  <c r="H20" i="14"/>
  <c r="P35" i="14"/>
  <c r="P20" i="14"/>
  <c r="AG20" i="14" s="1"/>
  <c r="AN20" i="14" s="1"/>
  <c r="BG191" i="14"/>
  <c r="BG195" i="14"/>
  <c r="AF162" i="14"/>
  <c r="BD191" i="14"/>
  <c r="BD55" i="14"/>
  <c r="AF208" i="14"/>
  <c r="BH46" i="14"/>
  <c r="BH208" i="14"/>
  <c r="BC191" i="14"/>
  <c r="BC55" i="14"/>
  <c r="BG208" i="14"/>
  <c r="AF145" i="14"/>
  <c r="BG135" i="14"/>
  <c r="BD138" i="14"/>
  <c r="AF41" i="14"/>
  <c r="BH145" i="14"/>
  <c r="BC189" i="14"/>
  <c r="BC10" i="14"/>
  <c r="AF78" i="14"/>
  <c r="AF19" i="14"/>
  <c r="BH195" i="14"/>
  <c r="BG19" i="14"/>
  <c r="BH33" i="14"/>
  <c r="BD83" i="14"/>
  <c r="BH35" i="14"/>
  <c r="BF35" i="14" s="1"/>
  <c r="BG41" i="14"/>
  <c r="BD10" i="14"/>
  <c r="BH95" i="14"/>
  <c r="BH71" i="14"/>
  <c r="BD113" i="14"/>
  <c r="BC187" i="14"/>
  <c r="BG83" i="14"/>
  <c r="BF83" i="14" s="1"/>
  <c r="BC83" i="14"/>
  <c r="BC192" i="14"/>
  <c r="P10" i="14"/>
  <c r="AG10" i="14" s="1"/>
  <c r="P145" i="14"/>
  <c r="BC30" i="14"/>
  <c r="BH97" i="14"/>
  <c r="BC145" i="14"/>
  <c r="BG84" i="14"/>
  <c r="BG145" i="14"/>
  <c r="BC162" i="14"/>
  <c r="BG192" i="14"/>
  <c r="BD135" i="14"/>
  <c r="BG34" i="14"/>
  <c r="BD111" i="14"/>
  <c r="BG146" i="14"/>
  <c r="AF138" i="14"/>
  <c r="BD162" i="14"/>
  <c r="BD187" i="14"/>
  <c r="H145" i="14"/>
  <c r="BI145" i="14" s="1"/>
  <c r="BG125" i="14"/>
  <c r="BC169" i="14"/>
  <c r="BG138" i="14"/>
  <c r="BG10" i="14"/>
  <c r="AF71" i="14"/>
  <c r="AF192" i="14"/>
  <c r="BG161" i="14"/>
  <c r="BF161" i="14" s="1"/>
  <c r="AF169" i="14"/>
  <c r="BD34" i="14"/>
  <c r="AF33" i="14"/>
  <c r="BG33" i="14"/>
  <c r="AF125" i="14"/>
  <c r="BG113" i="14"/>
  <c r="BF113" i="14" s="1"/>
  <c r="BC111" i="14"/>
  <c r="H35" i="14"/>
  <c r="AH35" i="14" s="1"/>
  <c r="AK35" i="14" s="1"/>
  <c r="BG169" i="14"/>
  <c r="AF97" i="14"/>
  <c r="BG137" i="14"/>
  <c r="BG162" i="14"/>
  <c r="BD116" i="14"/>
  <c r="BH134" i="14"/>
  <c r="BD33" i="14"/>
  <c r="BC138" i="14"/>
  <c r="AF195" i="14"/>
  <c r="BD210" i="14"/>
  <c r="BG131" i="14"/>
  <c r="BH135" i="14"/>
  <c r="AF113" i="14"/>
  <c r="BH139" i="14"/>
  <c r="BH111" i="14"/>
  <c r="BF111" i="14" s="1"/>
  <c r="BH125" i="14"/>
  <c r="BC33" i="14"/>
  <c r="BG115" i="14"/>
  <c r="BC19" i="14"/>
  <c r="BD169" i="14"/>
  <c r="BH210" i="14"/>
  <c r="BC146" i="14"/>
  <c r="AF28" i="14"/>
  <c r="BC210" i="14"/>
  <c r="P210" i="14"/>
  <c r="AG210" i="14" s="1"/>
  <c r="BG207" i="14"/>
  <c r="AF11" i="14"/>
  <c r="BH28" i="14"/>
  <c r="BF28" i="14" s="1"/>
  <c r="BD90" i="14"/>
  <c r="BG154" i="14"/>
  <c r="BF154" i="14" s="1"/>
  <c r="BC41" i="14"/>
  <c r="BC97" i="14"/>
  <c r="BC113" i="14"/>
  <c r="BD146" i="14"/>
  <c r="BD125" i="14"/>
  <c r="BD159" i="14"/>
  <c r="BH131" i="14"/>
  <c r="BD131" i="14"/>
  <c r="AF34" i="14"/>
  <c r="BH116" i="14"/>
  <c r="BH104" i="14"/>
  <c r="BH80" i="14"/>
  <c r="BG97" i="14"/>
  <c r="AF210" i="14"/>
  <c r="AF161" i="14"/>
  <c r="AF131" i="14"/>
  <c r="BG92" i="14"/>
  <c r="AF146" i="14"/>
  <c r="BC71" i="14"/>
  <c r="BH41" i="14"/>
  <c r="BH34" i="14"/>
  <c r="AF116" i="14"/>
  <c r="BC11" i="14"/>
  <c r="BH78" i="14"/>
  <c r="BD115" i="14"/>
  <c r="BC181" i="14"/>
  <c r="BC135" i="14"/>
  <c r="BC34" i="14"/>
  <c r="BG163" i="14"/>
  <c r="BG183" i="14"/>
  <c r="BH181" i="14"/>
  <c r="BH159" i="14"/>
  <c r="AF135" i="14"/>
  <c r="AF137" i="14"/>
  <c r="BD139" i="14"/>
  <c r="AF115" i="14"/>
  <c r="BC144" i="14"/>
  <c r="BC137" i="14"/>
  <c r="BG139" i="14"/>
  <c r="BG210" i="14"/>
  <c r="BC131" i="14"/>
  <c r="BD19" i="14"/>
  <c r="BD97" i="14"/>
  <c r="BG45" i="14"/>
  <c r="BD41" i="14"/>
  <c r="AF30" i="14"/>
  <c r="BH198" i="14"/>
  <c r="BD144" i="14"/>
  <c r="BG11" i="14"/>
  <c r="BG90" i="14"/>
  <c r="BG64" i="14"/>
  <c r="BG78" i="14"/>
  <c r="BH11" i="14"/>
  <c r="BC28" i="14"/>
  <c r="BD28" i="14"/>
  <c r="BH169" i="14"/>
  <c r="BD71" i="14"/>
  <c r="BH19" i="14"/>
  <c r="BD30" i="14"/>
  <c r="BG116" i="14"/>
  <c r="BD134" i="14"/>
  <c r="BH207" i="14"/>
  <c r="BD195" i="14"/>
  <c r="AF45" i="14"/>
  <c r="H210" i="14"/>
  <c r="AF139" i="14"/>
  <c r="BC78" i="14"/>
  <c r="BG71" i="14"/>
  <c r="BC80" i="14"/>
  <c r="BC115" i="14"/>
  <c r="BH137" i="14"/>
  <c r="AF50" i="14"/>
  <c r="BG27" i="14"/>
  <c r="BF27" i="14" s="1"/>
  <c r="BC164" i="14"/>
  <c r="BD181" i="14"/>
  <c r="BC90" i="14"/>
  <c r="AF90" i="14"/>
  <c r="BC64" i="14"/>
  <c r="BD154" i="14"/>
  <c r="BD92" i="14"/>
  <c r="BD11" i="14"/>
  <c r="BH115" i="14"/>
  <c r="BC125" i="14"/>
  <c r="P125" i="14"/>
  <c r="P135" i="14"/>
  <c r="H125" i="14"/>
  <c r="BI125" i="14" s="1"/>
  <c r="H135" i="14"/>
  <c r="BI135" i="14" s="1"/>
  <c r="AF134" i="14"/>
  <c r="BD137" i="14"/>
  <c r="BD80" i="14"/>
  <c r="P115" i="14"/>
  <c r="H115" i="14"/>
  <c r="BI115" i="14" s="1"/>
  <c r="BH92" i="14"/>
  <c r="BD45" i="14"/>
  <c r="AF92" i="14"/>
  <c r="BG86" i="14"/>
  <c r="BF86" i="14" s="1"/>
  <c r="BD183" i="14"/>
  <c r="BH90" i="14"/>
  <c r="BG144" i="14"/>
  <c r="BH164" i="14"/>
  <c r="BG198" i="14"/>
  <c r="BD95" i="14"/>
  <c r="AF181" i="14"/>
  <c r="BG104" i="14"/>
  <c r="AF183" i="14"/>
  <c r="BC207" i="14"/>
  <c r="BD64" i="14"/>
  <c r="BC45" i="14"/>
  <c r="BG80" i="14"/>
  <c r="BD207" i="14"/>
  <c r="BC154" i="14"/>
  <c r="BC92" i="14"/>
  <c r="BC134" i="14"/>
  <c r="P80" i="14"/>
  <c r="H80" i="14"/>
  <c r="BC198" i="14"/>
  <c r="BH183" i="14"/>
  <c r="BC139" i="14"/>
  <c r="BG134" i="14"/>
  <c r="BC95" i="14"/>
  <c r="AF198" i="14"/>
  <c r="AF207" i="14"/>
  <c r="BG68" i="14"/>
  <c r="AF80" i="14"/>
  <c r="BG50" i="14"/>
  <c r="BG164" i="14"/>
  <c r="BD104" i="14"/>
  <c r="BC183" i="14"/>
  <c r="BC172" i="14"/>
  <c r="BC104" i="14"/>
  <c r="BD78" i="14"/>
  <c r="BC195" i="14"/>
  <c r="P45" i="14"/>
  <c r="H45" i="14"/>
  <c r="AH45" i="14" s="1"/>
  <c r="AK45" i="14" s="1"/>
  <c r="H90" i="14"/>
  <c r="H195" i="14"/>
  <c r="BI195" i="14" s="1"/>
  <c r="P30" i="14"/>
  <c r="AG30" i="14" s="1"/>
  <c r="AI30" i="14" s="1"/>
  <c r="AA30" i="14" s="1"/>
  <c r="P90" i="14"/>
  <c r="AG90" i="14" s="1"/>
  <c r="AI90" i="14" s="1"/>
  <c r="AA90" i="14" s="1"/>
  <c r="P195" i="14"/>
  <c r="BC159" i="14"/>
  <c r="BC116" i="14"/>
  <c r="AF104" i="14"/>
  <c r="BH151" i="14"/>
  <c r="BF151" i="14" s="1"/>
  <c r="AF86" i="14"/>
  <c r="AF95" i="14"/>
  <c r="BD27" i="14"/>
  <c r="BD164" i="14"/>
  <c r="BG91" i="14"/>
  <c r="BH172" i="14"/>
  <c r="BG30" i="14"/>
  <c r="BC182" i="14"/>
  <c r="BD161" i="14"/>
  <c r="BC161" i="14"/>
  <c r="AF159" i="14"/>
  <c r="BG172" i="14"/>
  <c r="BD198" i="14"/>
  <c r="BG159" i="14"/>
  <c r="AF164" i="14"/>
  <c r="BC27" i="14"/>
  <c r="BH30" i="14"/>
  <c r="H95" i="14"/>
  <c r="BI95" i="14" s="1"/>
  <c r="H30" i="14"/>
  <c r="P95" i="14"/>
  <c r="AF122" i="14"/>
  <c r="BC50" i="14"/>
  <c r="BH182" i="14"/>
  <c r="BF182" i="14" s="1"/>
  <c r="BH144" i="14"/>
  <c r="AF144" i="14"/>
  <c r="BD182" i="14"/>
  <c r="BH50" i="14"/>
  <c r="BH18" i="14"/>
  <c r="BG184" i="14"/>
  <c r="BD50" i="14"/>
  <c r="BD91" i="14"/>
  <c r="AF172" i="14"/>
  <c r="BG122" i="14"/>
  <c r="AF91" i="14"/>
  <c r="BH103" i="14"/>
  <c r="AF163" i="14"/>
  <c r="AF171" i="14"/>
  <c r="BF157" i="14"/>
  <c r="BG16" i="14"/>
  <c r="H50" i="14"/>
  <c r="P50" i="14"/>
  <c r="AG50" i="14" s="1"/>
  <c r="AN50" i="14" s="1"/>
  <c r="BD172" i="14"/>
  <c r="BC91" i="14"/>
  <c r="BC68" i="14"/>
  <c r="BF67" i="14"/>
  <c r="BD68" i="14"/>
  <c r="BC179" i="14"/>
  <c r="BD151" i="14"/>
  <c r="BD171" i="14"/>
  <c r="BC171" i="14"/>
  <c r="BE136" i="14"/>
  <c r="BH68" i="14"/>
  <c r="BF13" i="14"/>
  <c r="BH117" i="14"/>
  <c r="BH179" i="14"/>
  <c r="AF68" i="14"/>
  <c r="BH177" i="14"/>
  <c r="BH171" i="14"/>
  <c r="BH25" i="14"/>
  <c r="BF165" i="14"/>
  <c r="BG25" i="14"/>
  <c r="BD29" i="14"/>
  <c r="BH32" i="14"/>
  <c r="BF32" i="14" s="1"/>
  <c r="BD178" i="14"/>
  <c r="BC86" i="14"/>
  <c r="BC25" i="14"/>
  <c r="BH122" i="14"/>
  <c r="BC151" i="14"/>
  <c r="BH99" i="14"/>
  <c r="BD126" i="14"/>
  <c r="BG179" i="14"/>
  <c r="AN157" i="14"/>
  <c r="AW157" i="14" s="1"/>
  <c r="AF126" i="14"/>
  <c r="AI157" i="14"/>
  <c r="AA157" i="14" s="1"/>
  <c r="BF43" i="14"/>
  <c r="BG171" i="14"/>
  <c r="BC178" i="14"/>
  <c r="BG39" i="14"/>
  <c r="BG73" i="14"/>
  <c r="BD122" i="14"/>
  <c r="BH209" i="14"/>
  <c r="BC122" i="14"/>
  <c r="BD186" i="14"/>
  <c r="BG74" i="14"/>
  <c r="BD196" i="14"/>
  <c r="BG205" i="14"/>
  <c r="BF205" i="14" s="1"/>
  <c r="BD74" i="14"/>
  <c r="AF209" i="14"/>
  <c r="BG186" i="14"/>
  <c r="BH91" i="14"/>
  <c r="BG178" i="14"/>
  <c r="BF178" i="14" s="1"/>
  <c r="BH196" i="14"/>
  <c r="BF196" i="14" s="1"/>
  <c r="BE82" i="14"/>
  <c r="BC16" i="14"/>
  <c r="AF186" i="14"/>
  <c r="BH73" i="14"/>
  <c r="BF82" i="14"/>
  <c r="BC177" i="14"/>
  <c r="BD177" i="14"/>
  <c r="BH16" i="14"/>
  <c r="BD201" i="14"/>
  <c r="BD22" i="14"/>
  <c r="BH126" i="14"/>
  <c r="BG22" i="14"/>
  <c r="BD163" i="14"/>
  <c r="BD16" i="14"/>
  <c r="BH163" i="14"/>
  <c r="BH54" i="14"/>
  <c r="BH184" i="14"/>
  <c r="AF177" i="14"/>
  <c r="AF99" i="14"/>
  <c r="BE85" i="14"/>
  <c r="BF49" i="14"/>
  <c r="BC103" i="14"/>
  <c r="BG143" i="14"/>
  <c r="AF117" i="14"/>
  <c r="BD38" i="14"/>
  <c r="BG38" i="14"/>
  <c r="BF38" i="14" s="1"/>
  <c r="BG26" i="14"/>
  <c r="BD87" i="14"/>
  <c r="BF36" i="14"/>
  <c r="BC87" i="14"/>
  <c r="BG155" i="14"/>
  <c r="BF155" i="14" s="1"/>
  <c r="AL67" i="14"/>
  <c r="AW67" i="14" s="1"/>
  <c r="AF73" i="14"/>
  <c r="BC54" i="14"/>
  <c r="BF204" i="14"/>
  <c r="BF65" i="14"/>
  <c r="BC205" i="14"/>
  <c r="BG126" i="14"/>
  <c r="BD73" i="14"/>
  <c r="BF156" i="14"/>
  <c r="AF143" i="14"/>
  <c r="BF200" i="14"/>
  <c r="BH102" i="14"/>
  <c r="AF190" i="14"/>
  <c r="AF103" i="14"/>
  <c r="BD117" i="14"/>
  <c r="BC38" i="14"/>
  <c r="BD205" i="14"/>
  <c r="BC143" i="14"/>
  <c r="BG29" i="14"/>
  <c r="BF29" i="14" s="1"/>
  <c r="BD32" i="14"/>
  <c r="BG190" i="14"/>
  <c r="BC29" i="14"/>
  <c r="BC196" i="14"/>
  <c r="BD143" i="14"/>
  <c r="BC73" i="14"/>
  <c r="BE165" i="14"/>
  <c r="AF25" i="14"/>
  <c r="BD25" i="14"/>
  <c r="BG52" i="14"/>
  <c r="BC163" i="14"/>
  <c r="AF87" i="14"/>
  <c r="BH39" i="14"/>
  <c r="BC74" i="14"/>
  <c r="BG103" i="14"/>
  <c r="BC186" i="14"/>
  <c r="BG87" i="14"/>
  <c r="BD190" i="14"/>
  <c r="AF152" i="14"/>
  <c r="BH143" i="14"/>
  <c r="BD52" i="14"/>
  <c r="BG201" i="14"/>
  <c r="BG177" i="14"/>
  <c r="BC120" i="14"/>
  <c r="BC150" i="14"/>
  <c r="BC190" i="14"/>
  <c r="BE175" i="14"/>
  <c r="BE156" i="14"/>
  <c r="P205" i="14"/>
  <c r="H205" i="14"/>
  <c r="AH205" i="14" s="1"/>
  <c r="AM205" i="14" s="1"/>
  <c r="BG117" i="14"/>
  <c r="BD103" i="14"/>
  <c r="BH180" i="14"/>
  <c r="BF180" i="14" s="1"/>
  <c r="AF179" i="14"/>
  <c r="BD209" i="14"/>
  <c r="AF26" i="14"/>
  <c r="BC99" i="14"/>
  <c r="BC52" i="14"/>
  <c r="AF39" i="14"/>
  <c r="BC155" i="14"/>
  <c r="BD155" i="14"/>
  <c r="BC126" i="14"/>
  <c r="BD184" i="14"/>
  <c r="BC184" i="14"/>
  <c r="BD179" i="14"/>
  <c r="H25" i="14"/>
  <c r="AH25" i="14" s="1"/>
  <c r="AK25" i="14" s="1"/>
  <c r="P155" i="14"/>
  <c r="BD18" i="14"/>
  <c r="BH112" i="14"/>
  <c r="BD99" i="14"/>
  <c r="BH120" i="14"/>
  <c r="BC39" i="14"/>
  <c r="BH22" i="14"/>
  <c r="BH26" i="14"/>
  <c r="BH186" i="14"/>
  <c r="BE204" i="14"/>
  <c r="BE168" i="14"/>
  <c r="BD206" i="14"/>
  <c r="BH150" i="14"/>
  <c r="BF150" i="14" s="1"/>
  <c r="BG54" i="14"/>
  <c r="BH88" i="14"/>
  <c r="BF88" i="14" s="1"/>
  <c r="BG206" i="14"/>
  <c r="BE157" i="14"/>
  <c r="BD61" i="14"/>
  <c r="AF184" i="14"/>
  <c r="BC107" i="14"/>
  <c r="BC209" i="14"/>
  <c r="BD128" i="14"/>
  <c r="AF16" i="14"/>
  <c r="BD53" i="14"/>
  <c r="BD153" i="14"/>
  <c r="AI67" i="14"/>
  <c r="AA67" i="14" s="1"/>
  <c r="H155" i="14"/>
  <c r="BE43" i="14"/>
  <c r="BE40" i="14"/>
  <c r="BG152" i="14"/>
  <c r="AF22" i="14"/>
  <c r="BG99" i="14"/>
  <c r="BC153" i="14"/>
  <c r="BC88" i="14"/>
  <c r="BH201" i="14"/>
  <c r="BD152" i="14"/>
  <c r="BC152" i="14"/>
  <c r="BC117" i="14"/>
  <c r="BE130" i="14"/>
  <c r="BC22" i="14"/>
  <c r="BF119" i="14"/>
  <c r="BF174" i="14"/>
  <c r="BF66" i="14"/>
  <c r="BF175" i="14"/>
  <c r="AF32" i="14"/>
  <c r="BD39" i="14"/>
  <c r="AF201" i="14"/>
  <c r="BC26" i="14"/>
  <c r="BD88" i="14"/>
  <c r="BD150" i="14"/>
  <c r="BC180" i="14"/>
  <c r="BH153" i="14"/>
  <c r="BC53" i="14"/>
  <c r="AF52" i="14"/>
  <c r="BG120" i="14"/>
  <c r="BC201" i="14"/>
  <c r="BC102" i="14"/>
  <c r="BH129" i="14"/>
  <c r="BH206" i="14"/>
  <c r="BC32" i="14"/>
  <c r="BD107" i="14"/>
  <c r="BE66" i="14"/>
  <c r="BC61" i="14"/>
  <c r="BC206" i="14"/>
  <c r="H120" i="14"/>
  <c r="P120" i="14"/>
  <c r="BJ120" i="14" s="1"/>
  <c r="P180" i="14"/>
  <c r="AG180" i="14" s="1"/>
  <c r="AI180" i="14" s="1"/>
  <c r="AA180" i="14" s="1"/>
  <c r="P150" i="14"/>
  <c r="BJ150" i="14" s="1"/>
  <c r="BD26" i="14"/>
  <c r="BH52" i="14"/>
  <c r="BH87" i="14"/>
  <c r="BH107" i="14"/>
  <c r="BF107" i="14" s="1"/>
  <c r="BD86" i="14"/>
  <c r="BH74" i="14"/>
  <c r="AF74" i="14"/>
  <c r="BH190" i="14"/>
  <c r="AF120" i="14"/>
  <c r="P190" i="14"/>
  <c r="AG190" i="14" s="1"/>
  <c r="AN190" i="14" s="1"/>
  <c r="H180" i="14"/>
  <c r="H190" i="14"/>
  <c r="AF53" i="14"/>
  <c r="BG53" i="14"/>
  <c r="BD180" i="14"/>
  <c r="BG153" i="14"/>
  <c r="AF153" i="14"/>
  <c r="BH53" i="14"/>
  <c r="BE200" i="14"/>
  <c r="H150" i="14"/>
  <c r="BH61" i="14"/>
  <c r="BF61" i="14" s="1"/>
  <c r="BD120" i="14"/>
  <c r="P25" i="14"/>
  <c r="BG209" i="14"/>
  <c r="BE67" i="14"/>
  <c r="BE65" i="14"/>
  <c r="AH200" i="14"/>
  <c r="AM200" i="14" s="1"/>
  <c r="BC57" i="14"/>
  <c r="BE119" i="14"/>
  <c r="BJ40" i="14"/>
  <c r="BE36" i="14"/>
  <c r="BE174" i="14"/>
  <c r="AG165" i="14"/>
  <c r="AN165" i="14" s="1"/>
  <c r="BH108" i="14"/>
  <c r="BF136" i="14"/>
  <c r="BD108" i="14"/>
  <c r="BE142" i="14"/>
  <c r="BE13" i="14"/>
  <c r="BE49" i="14"/>
  <c r="BF40" i="14"/>
  <c r="BH141" i="14"/>
  <c r="BJ200" i="14"/>
  <c r="BD129" i="14"/>
  <c r="BH48" i="14"/>
  <c r="BF48" i="14" s="1"/>
  <c r="BJ130" i="14"/>
  <c r="BH62" i="14"/>
  <c r="BC128" i="14"/>
  <c r="BC48" i="14"/>
  <c r="BH31" i="14"/>
  <c r="BC173" i="14"/>
  <c r="BD48" i="14"/>
  <c r="AF141" i="14"/>
  <c r="BG141" i="14"/>
  <c r="BD31" i="14"/>
  <c r="AF48" i="14"/>
  <c r="BC18" i="14"/>
  <c r="BC141" i="14"/>
  <c r="BD141" i="14"/>
  <c r="BD102" i="14"/>
  <c r="BH57" i="14"/>
  <c r="BC108" i="14"/>
  <c r="BC31" i="14"/>
  <c r="AF173" i="14"/>
  <c r="BG173" i="14"/>
  <c r="BH173" i="14"/>
  <c r="BH128" i="14"/>
  <c r="AF31" i="14"/>
  <c r="BG31" i="14"/>
  <c r="BD173" i="14"/>
  <c r="BH93" i="14"/>
  <c r="AF62" i="14"/>
  <c r="BG62" i="14"/>
  <c r="BG112" i="14"/>
  <c r="AF112" i="14"/>
  <c r="BC112" i="14"/>
  <c r="AF54" i="14"/>
  <c r="BD62" i="14"/>
  <c r="AG65" i="14"/>
  <c r="AN65" i="14" s="1"/>
  <c r="BC23" i="14"/>
  <c r="BD17" i="14"/>
  <c r="BH158" i="14"/>
  <c r="BG57" i="14"/>
  <c r="AF57" i="14"/>
  <c r="BG128" i="14"/>
  <c r="AF128" i="14"/>
  <c r="BC62" i="14"/>
  <c r="BD112" i="14"/>
  <c r="BC129" i="14"/>
  <c r="BG108" i="14"/>
  <c r="AF108" i="14"/>
  <c r="AF129" i="14"/>
  <c r="BG129" i="14"/>
  <c r="BD57" i="14"/>
  <c r="BD69" i="14"/>
  <c r="AF18" i="14"/>
  <c r="BG18" i="14"/>
  <c r="BC69" i="14"/>
  <c r="BD158" i="14"/>
  <c r="BD176" i="14"/>
  <c r="BH69" i="14"/>
  <c r="BC158" i="14"/>
  <c r="BG69" i="14"/>
  <c r="AF69" i="14"/>
  <c r="AF102" i="14"/>
  <c r="BG102" i="14"/>
  <c r="BG158" i="14"/>
  <c r="AF158" i="14"/>
  <c r="BI85" i="14"/>
  <c r="BI65" i="14"/>
  <c r="BI175" i="14"/>
  <c r="BI130" i="14"/>
  <c r="BJ85" i="14"/>
  <c r="AG85" i="14"/>
  <c r="AN85" i="14" s="1"/>
  <c r="AG175" i="14"/>
  <c r="AN175" i="14" s="1"/>
  <c r="BH44" i="14"/>
  <c r="BD54" i="14"/>
  <c r="BJ175" i="14"/>
  <c r="AH165" i="14"/>
  <c r="AK165" i="14" s="1"/>
  <c r="BD127" i="14"/>
  <c r="BH197" i="14"/>
  <c r="BC17" i="14"/>
  <c r="BI40" i="14"/>
  <c r="AF197" i="14"/>
  <c r="BG197" i="14"/>
  <c r="BD23" i="14"/>
  <c r="AF17" i="14"/>
  <c r="BG17" i="14"/>
  <c r="BG72" i="14"/>
  <c r="AF72" i="14"/>
  <c r="BG148" i="14"/>
  <c r="AF148" i="14"/>
  <c r="BD197" i="14"/>
  <c r="BD148" i="14"/>
  <c r="BD72" i="14"/>
  <c r="BC93" i="14"/>
  <c r="BH148" i="14"/>
  <c r="BC72" i="14"/>
  <c r="BH127" i="14"/>
  <c r="BC44" i="14"/>
  <c r="BC148" i="14"/>
  <c r="BH72" i="14"/>
  <c r="BG127" i="14"/>
  <c r="AF127" i="14"/>
  <c r="BC176" i="14"/>
  <c r="BH17" i="14"/>
  <c r="BG44" i="14"/>
  <c r="AF44" i="14"/>
  <c r="BH23" i="14"/>
  <c r="BG176" i="14"/>
  <c r="AF176" i="14"/>
  <c r="AF93" i="14"/>
  <c r="BG93" i="14"/>
  <c r="BC127" i="14"/>
  <c r="BC197" i="14"/>
  <c r="BH176" i="14"/>
  <c r="AF23" i="14"/>
  <c r="BG23" i="14"/>
  <c r="BD93" i="14"/>
  <c r="BD44" i="14"/>
  <c r="BK110" i="14"/>
  <c r="AI200" i="14"/>
  <c r="AA200" i="14" s="1"/>
  <c r="AL200" i="14"/>
  <c r="AN200" i="14"/>
  <c r="AL110" i="14"/>
  <c r="AI110" i="14"/>
  <c r="AA110" i="14" s="1"/>
  <c r="AN110" i="14"/>
  <c r="AE174" i="14"/>
  <c r="AM85" i="14"/>
  <c r="AK85" i="14"/>
  <c r="AJ85" i="14"/>
  <c r="Z85" i="14" s="1"/>
  <c r="AE13" i="14"/>
  <c r="AN130" i="14"/>
  <c r="AI130" i="14"/>
  <c r="AA130" i="14" s="1"/>
  <c r="AL130" i="14"/>
  <c r="AL40" i="14"/>
  <c r="AI40" i="14"/>
  <c r="AA40" i="14" s="1"/>
  <c r="AN40" i="14"/>
  <c r="AM110" i="14"/>
  <c r="AK110" i="14"/>
  <c r="AJ110" i="14"/>
  <c r="Z110" i="14" s="1"/>
  <c r="AK65" i="14"/>
  <c r="AM65" i="14"/>
  <c r="AJ65" i="14"/>
  <c r="Z65" i="14" s="1"/>
  <c r="AJ175" i="14"/>
  <c r="Z175" i="14" s="1"/>
  <c r="AM175" i="14"/>
  <c r="AK175" i="14"/>
  <c r="AE43" i="14"/>
  <c r="P96" i="14" a="1"/>
  <c r="AL10" i="14" l="1"/>
  <c r="BK43" i="14"/>
  <c r="K209" i="14"/>
  <c r="K163" i="14"/>
  <c r="K193" i="14"/>
  <c r="K192" i="14"/>
  <c r="BJ196" i="14"/>
  <c r="K206" i="14"/>
  <c r="AG208" i="14"/>
  <c r="AL208" i="14" s="1"/>
  <c r="K197" i="14"/>
  <c r="AO13" i="14"/>
  <c r="AM202" i="14"/>
  <c r="AX202" i="14" s="1"/>
  <c r="BK67" i="14"/>
  <c r="AE178" i="14"/>
  <c r="AE16" i="14"/>
  <c r="AE66" i="14"/>
  <c r="AE132" i="14"/>
  <c r="AE36" i="14"/>
  <c r="AE172" i="14"/>
  <c r="AE168" i="14"/>
  <c r="AJ202" i="14"/>
  <c r="Z202" i="14" s="1"/>
  <c r="AD112" i="14"/>
  <c r="BI202" i="14"/>
  <c r="K202" i="14"/>
  <c r="AD188" i="14"/>
  <c r="AD108" i="14"/>
  <c r="AK204" i="14"/>
  <c r="AO204" i="14" s="1"/>
  <c r="AD204" i="14"/>
  <c r="AJ204" i="14"/>
  <c r="Z204" i="14" s="1"/>
  <c r="AX13" i="14"/>
  <c r="AM208" i="14"/>
  <c r="AO208" i="14" s="1"/>
  <c r="AD156" i="14"/>
  <c r="AD62" i="14"/>
  <c r="AJ208" i="14"/>
  <c r="Z208" i="14" s="1"/>
  <c r="AD82" i="14"/>
  <c r="AD52" i="14"/>
  <c r="AD128" i="14"/>
  <c r="AJ192" i="14"/>
  <c r="Z192" i="14" s="1"/>
  <c r="AN49" i="14"/>
  <c r="AW49" i="14" s="1"/>
  <c r="AI49" i="14"/>
  <c r="AA49" i="14" s="1"/>
  <c r="AD49" i="14" s="1"/>
  <c r="BI192" i="14"/>
  <c r="BK192" i="14" s="1"/>
  <c r="AM192" i="14"/>
  <c r="AO192" i="14" s="1"/>
  <c r="AK206" i="14"/>
  <c r="AO206" i="14" s="1"/>
  <c r="AJ206" i="14"/>
  <c r="Z206" i="14" s="1"/>
  <c r="K69" i="14"/>
  <c r="BI206" i="14"/>
  <c r="BK206" i="14" s="1"/>
  <c r="K208" i="14"/>
  <c r="AX43" i="14"/>
  <c r="BI198" i="14"/>
  <c r="BK198" i="14" s="1"/>
  <c r="K169" i="14"/>
  <c r="AN204" i="14"/>
  <c r="AL204" i="14"/>
  <c r="K196" i="14"/>
  <c r="AK196" i="14"/>
  <c r="AX196" i="14" s="1"/>
  <c r="AJ196" i="14"/>
  <c r="Z196" i="14" s="1"/>
  <c r="BI196" i="14"/>
  <c r="AG198" i="14"/>
  <c r="AL198" i="14" s="1"/>
  <c r="K31" i="14"/>
  <c r="AG206" i="14"/>
  <c r="AL206" i="14" s="1"/>
  <c r="K198" i="14"/>
  <c r="BJ202" i="14"/>
  <c r="K147" i="14"/>
  <c r="AG192" i="14"/>
  <c r="AN192" i="14" s="1"/>
  <c r="AO43" i="14"/>
  <c r="K127" i="14"/>
  <c r="K17" i="14"/>
  <c r="K129" i="14"/>
  <c r="BI208" i="14"/>
  <c r="BK208" i="14" s="1"/>
  <c r="BI137" i="14"/>
  <c r="BJ47" i="14"/>
  <c r="AJ49" i="14"/>
  <c r="Z49" i="14" s="1"/>
  <c r="AE49" i="14" s="1"/>
  <c r="AM49" i="14"/>
  <c r="AX49" i="14" s="1"/>
  <c r="AX67" i="14"/>
  <c r="AK61" i="14"/>
  <c r="AX61" i="14" s="1"/>
  <c r="AJ173" i="14"/>
  <c r="Z173" i="14" s="1"/>
  <c r="AG129" i="14"/>
  <c r="AI129" i="14" s="1"/>
  <c r="AA129" i="14" s="1"/>
  <c r="AH69" i="14"/>
  <c r="AM69" i="14" s="1"/>
  <c r="AJ179" i="14"/>
  <c r="Z179" i="14" s="1"/>
  <c r="AE179" i="14" s="1"/>
  <c r="BI131" i="14"/>
  <c r="BK131" i="14" s="1"/>
  <c r="AM179" i="14"/>
  <c r="AX179" i="14" s="1"/>
  <c r="BI33" i="14"/>
  <c r="K131" i="14"/>
  <c r="K33" i="14"/>
  <c r="AK131" i="14"/>
  <c r="AM207" i="14"/>
  <c r="AJ61" i="14"/>
  <c r="Z61" i="14" s="1"/>
  <c r="AE61" i="14" s="1"/>
  <c r="AK173" i="14"/>
  <c r="AX173" i="14" s="1"/>
  <c r="BI61" i="14"/>
  <c r="BJ99" i="14"/>
  <c r="AM33" i="14"/>
  <c r="AX33" i="14" s="1"/>
  <c r="AG17" i="14"/>
  <c r="AL17" i="14" s="1"/>
  <c r="BI59" i="14"/>
  <c r="AK171" i="14"/>
  <c r="AO171" i="14" s="1"/>
  <c r="AG131" i="14"/>
  <c r="AL131" i="14" s="1"/>
  <c r="AK189" i="14"/>
  <c r="AO189" i="14" s="1"/>
  <c r="BI161" i="14"/>
  <c r="AH169" i="14"/>
  <c r="AM169" i="14" s="1"/>
  <c r="K194" i="14"/>
  <c r="BJ137" i="14"/>
  <c r="AX157" i="14"/>
  <c r="AM51" i="14"/>
  <c r="K133" i="14"/>
  <c r="AK73" i="14"/>
  <c r="BI143" i="14"/>
  <c r="BI133" i="14"/>
  <c r="AM79" i="14"/>
  <c r="AO79" i="14" s="1"/>
  <c r="BI127" i="14"/>
  <c r="AJ79" i="14"/>
  <c r="Z79" i="14" s="1"/>
  <c r="BI197" i="14"/>
  <c r="BK197" i="14" s="1"/>
  <c r="AJ59" i="14"/>
  <c r="Z59" i="14" s="1"/>
  <c r="AE59" i="14" s="1"/>
  <c r="AN169" i="14"/>
  <c r="AW169" i="14" s="1"/>
  <c r="AK59" i="14"/>
  <c r="AO59" i="14" s="1"/>
  <c r="AI169" i="14"/>
  <c r="AA169" i="14" s="1"/>
  <c r="AD169" i="14" s="1"/>
  <c r="AG187" i="14"/>
  <c r="AI187" i="14" s="1"/>
  <c r="AA187" i="14" s="1"/>
  <c r="AB187" i="14" s="1"/>
  <c r="AJ143" i="14"/>
  <c r="Z143" i="14" s="1"/>
  <c r="BJ143" i="14"/>
  <c r="AM143" i="14"/>
  <c r="AX143" i="14" s="1"/>
  <c r="BI89" i="14"/>
  <c r="BK89" i="14" s="1"/>
  <c r="BI77" i="14"/>
  <c r="BK77" i="14" s="1"/>
  <c r="K23" i="14"/>
  <c r="AE187" i="14"/>
  <c r="AG57" i="14"/>
  <c r="AN57" i="14" s="1"/>
  <c r="AH147" i="14"/>
  <c r="AK147" i="14" s="1"/>
  <c r="AE111" i="14"/>
  <c r="AE51" i="14"/>
  <c r="AE73" i="14"/>
  <c r="AE133" i="14"/>
  <c r="AE161" i="14"/>
  <c r="AM97" i="14"/>
  <c r="AE183" i="14"/>
  <c r="AE201" i="14"/>
  <c r="AE194" i="14"/>
  <c r="BI97" i="14"/>
  <c r="AE207" i="14"/>
  <c r="AE131" i="14"/>
  <c r="AE97" i="14"/>
  <c r="AE57" i="14"/>
  <c r="AG69" i="14"/>
  <c r="AI69" i="14" s="1"/>
  <c r="AA69" i="14" s="1"/>
  <c r="K97" i="14"/>
  <c r="AG63" i="14"/>
  <c r="AN63" i="14" s="1"/>
  <c r="AE53" i="14"/>
  <c r="AE41" i="14"/>
  <c r="AE123" i="14"/>
  <c r="AE159" i="14"/>
  <c r="AE121" i="14"/>
  <c r="AM39" i="14"/>
  <c r="AX39" i="14" s="1"/>
  <c r="BI39" i="14"/>
  <c r="AE107" i="14"/>
  <c r="AE71" i="14"/>
  <c r="AH197" i="14"/>
  <c r="AM197" i="14" s="1"/>
  <c r="AJ39" i="14"/>
  <c r="Z39" i="14" s="1"/>
  <c r="AB39" i="14" s="1"/>
  <c r="K103" i="14"/>
  <c r="BJ169" i="14"/>
  <c r="AG23" i="14"/>
  <c r="AL23" i="14" s="1"/>
  <c r="AM77" i="14"/>
  <c r="AX77" i="14" s="1"/>
  <c r="AH103" i="14"/>
  <c r="AK103" i="14" s="1"/>
  <c r="AH163" i="14"/>
  <c r="AM163" i="14" s="1"/>
  <c r="BJ19" i="14"/>
  <c r="AG194" i="14"/>
  <c r="AL194" i="14" s="1"/>
  <c r="K89" i="14"/>
  <c r="AJ77" i="14"/>
  <c r="Z77" i="14" s="1"/>
  <c r="AE77" i="14" s="1"/>
  <c r="BI11" i="14"/>
  <c r="BK11" i="14" s="1"/>
  <c r="AK89" i="14"/>
  <c r="AX89" i="14" s="1"/>
  <c r="AJ89" i="14"/>
  <c r="Z89" i="14" s="1"/>
  <c r="K143" i="14"/>
  <c r="K59" i="14"/>
  <c r="K77" i="14"/>
  <c r="AD167" i="14"/>
  <c r="AD103" i="14"/>
  <c r="AD177" i="14"/>
  <c r="AK71" i="14"/>
  <c r="BJ181" i="14"/>
  <c r="BK181" i="14" s="1"/>
  <c r="AM137" i="14"/>
  <c r="AO137" i="14" s="1"/>
  <c r="BI71" i="14"/>
  <c r="BK71" i="14" s="1"/>
  <c r="AJ11" i="14"/>
  <c r="Z11" i="14" s="1"/>
  <c r="AD64" i="14"/>
  <c r="AD199" i="14"/>
  <c r="AD43" i="14"/>
  <c r="AC43" i="14" s="1"/>
  <c r="AD193" i="14"/>
  <c r="AJ21" i="14"/>
  <c r="Z21" i="14" s="1"/>
  <c r="AD144" i="14"/>
  <c r="K71" i="14"/>
  <c r="AD171" i="14"/>
  <c r="AD54" i="14"/>
  <c r="K11" i="14"/>
  <c r="AD184" i="14"/>
  <c r="AD67" i="14"/>
  <c r="AC67" i="14" s="1"/>
  <c r="AD97" i="14"/>
  <c r="AD61" i="14"/>
  <c r="AD189" i="14"/>
  <c r="AD157" i="14"/>
  <c r="AC157" i="14" s="1"/>
  <c r="AJ137" i="14"/>
  <c r="Z137" i="14" s="1"/>
  <c r="AD201" i="14"/>
  <c r="AD37" i="14"/>
  <c r="AD44" i="14"/>
  <c r="AM21" i="14"/>
  <c r="AO21" i="14" s="1"/>
  <c r="AD34" i="14"/>
  <c r="AH17" i="14"/>
  <c r="AM17" i="14" s="1"/>
  <c r="AG151" i="14"/>
  <c r="AI151" i="14" s="1"/>
  <c r="AA151" i="14" s="1"/>
  <c r="BJ103" i="14"/>
  <c r="BK103" i="14" s="1"/>
  <c r="BI81" i="14"/>
  <c r="AJ81" i="14"/>
  <c r="Z81" i="14" s="1"/>
  <c r="K81" i="14"/>
  <c r="BK157" i="14"/>
  <c r="BJ183" i="14"/>
  <c r="AH127" i="14"/>
  <c r="AJ127" i="14" s="1"/>
  <c r="Z127" i="14" s="1"/>
  <c r="BI147" i="14"/>
  <c r="AH23" i="14"/>
  <c r="AM23" i="14" s="1"/>
  <c r="K109" i="14"/>
  <c r="AJ91" i="14"/>
  <c r="Z91" i="14" s="1"/>
  <c r="AE91" i="14" s="1"/>
  <c r="AG109" i="14"/>
  <c r="AL109" i="14" s="1"/>
  <c r="K167" i="14"/>
  <c r="AM91" i="14"/>
  <c r="AO91" i="14" s="1"/>
  <c r="BI91" i="14"/>
  <c r="K39" i="14"/>
  <c r="BI167" i="14"/>
  <c r="K91" i="14"/>
  <c r="BJ27" i="14"/>
  <c r="AK97" i="14"/>
  <c r="AM47" i="14"/>
  <c r="AO47" i="14" s="1"/>
  <c r="BJ59" i="14"/>
  <c r="BI149" i="14"/>
  <c r="AJ149" i="14"/>
  <c r="Z149" i="14" s="1"/>
  <c r="BJ127" i="14"/>
  <c r="BI163" i="14"/>
  <c r="BK163" i="14" s="1"/>
  <c r="AK139" i="14"/>
  <c r="AO139" i="14" s="1"/>
  <c r="AM71" i="14"/>
  <c r="BJ199" i="14"/>
  <c r="BI191" i="14"/>
  <c r="BK191" i="14" s="1"/>
  <c r="AH193" i="14"/>
  <c r="AJ193" i="14" s="1"/>
  <c r="Z193" i="14" s="1"/>
  <c r="BI21" i="14"/>
  <c r="BK21" i="14" s="1"/>
  <c r="K191" i="14"/>
  <c r="AG191" i="14"/>
  <c r="AL191" i="14" s="1"/>
  <c r="BJ161" i="14"/>
  <c r="BJ91" i="14"/>
  <c r="AG207" i="14"/>
  <c r="AI207" i="14" s="1"/>
  <c r="AA207" i="14" s="1"/>
  <c r="BI109" i="14"/>
  <c r="BK109" i="14" s="1"/>
  <c r="K137" i="14"/>
  <c r="BJ177" i="14"/>
  <c r="BK177" i="14" s="1"/>
  <c r="BI209" i="14"/>
  <c r="AK11" i="14"/>
  <c r="AO11" i="14" s="1"/>
  <c r="AJ191" i="14"/>
  <c r="Z191" i="14" s="1"/>
  <c r="AM191" i="14"/>
  <c r="AO191" i="14" s="1"/>
  <c r="BJ167" i="14"/>
  <c r="BI199" i="14"/>
  <c r="AK109" i="14"/>
  <c r="AO109" i="14" s="1"/>
  <c r="AN13" i="14"/>
  <c r="AW13" i="14" s="1"/>
  <c r="AJ47" i="14"/>
  <c r="Z47" i="14" s="1"/>
  <c r="AI13" i="14"/>
  <c r="AA13" i="14" s="1"/>
  <c r="AJ109" i="14"/>
  <c r="Z109" i="14" s="1"/>
  <c r="AE109" i="14" s="1"/>
  <c r="K47" i="14"/>
  <c r="K21" i="14"/>
  <c r="BJ73" i="14"/>
  <c r="BJ203" i="14"/>
  <c r="BI47" i="14"/>
  <c r="AM83" i="14"/>
  <c r="AX83" i="14" s="1"/>
  <c r="BJ147" i="14"/>
  <c r="AK149" i="14"/>
  <c r="AO149" i="14" s="1"/>
  <c r="BI31" i="14"/>
  <c r="AJ139" i="14"/>
  <c r="Z139" i="14" s="1"/>
  <c r="AH31" i="14"/>
  <c r="AK31" i="14" s="1"/>
  <c r="AK159" i="14"/>
  <c r="BI159" i="14"/>
  <c r="BI139" i="14"/>
  <c r="BK139" i="14" s="1"/>
  <c r="BJ39" i="14"/>
  <c r="AM57" i="14"/>
  <c r="BJ153" i="14"/>
  <c r="BJ173" i="14"/>
  <c r="BJ31" i="14"/>
  <c r="BJ61" i="14"/>
  <c r="BJ29" i="14"/>
  <c r="BJ209" i="14"/>
  <c r="BJ97" i="14"/>
  <c r="K101" i="14"/>
  <c r="BJ41" i="14"/>
  <c r="AH209" i="14"/>
  <c r="AJ209" i="14" s="1"/>
  <c r="Z209" i="14" s="1"/>
  <c r="BJ133" i="14"/>
  <c r="AK199" i="14"/>
  <c r="AX199" i="14" s="1"/>
  <c r="AM101" i="14"/>
  <c r="AO101" i="14" s="1"/>
  <c r="AJ199" i="14"/>
  <c r="Z199" i="14" s="1"/>
  <c r="K199" i="14"/>
  <c r="K51" i="14"/>
  <c r="AJ101" i="14"/>
  <c r="Z101" i="14" s="1"/>
  <c r="BI101" i="14"/>
  <c r="AK57" i="14"/>
  <c r="BI193" i="14"/>
  <c r="AJ171" i="14"/>
  <c r="Z171" i="14" s="1"/>
  <c r="AJ189" i="14"/>
  <c r="Z189" i="14" s="1"/>
  <c r="AG21" i="14"/>
  <c r="AL21" i="14" s="1"/>
  <c r="K83" i="14"/>
  <c r="AG197" i="14"/>
  <c r="AI197" i="14" s="1"/>
  <c r="AA197" i="14" s="1"/>
  <c r="AK201" i="14"/>
  <c r="BI183" i="14"/>
  <c r="AM183" i="14"/>
  <c r="BI194" i="14"/>
  <c r="BK194" i="14" s="1"/>
  <c r="K171" i="14"/>
  <c r="BI189" i="14"/>
  <c r="AM201" i="14"/>
  <c r="BJ159" i="14"/>
  <c r="BJ101" i="14"/>
  <c r="AK81" i="14"/>
  <c r="AO81" i="14" s="1"/>
  <c r="AG11" i="14"/>
  <c r="AL11" i="14" s="1"/>
  <c r="BI171" i="14"/>
  <c r="AK194" i="14"/>
  <c r="BJ93" i="14"/>
  <c r="BI201" i="14"/>
  <c r="BI41" i="14"/>
  <c r="BI83" i="14"/>
  <c r="BI57" i="14"/>
  <c r="BK57" i="14" s="1"/>
  <c r="AK207" i="14"/>
  <c r="AJ83" i="14"/>
  <c r="Z83" i="14" s="1"/>
  <c r="BJ171" i="14"/>
  <c r="BI179" i="14"/>
  <c r="BK179" i="14" s="1"/>
  <c r="AK183" i="14"/>
  <c r="AM194" i="14"/>
  <c r="AG53" i="14"/>
  <c r="AN53" i="14" s="1"/>
  <c r="K189" i="14"/>
  <c r="K179" i="14"/>
  <c r="K61" i="14"/>
  <c r="BI207" i="14"/>
  <c r="BK207" i="14" s="1"/>
  <c r="BJ149" i="14"/>
  <c r="K207" i="14"/>
  <c r="BI69" i="14"/>
  <c r="BK69" i="14" s="1"/>
  <c r="BI173" i="14"/>
  <c r="AM131" i="14"/>
  <c r="AH181" i="14"/>
  <c r="AM181" i="14" s="1"/>
  <c r="AJ33" i="14"/>
  <c r="Z33" i="14" s="1"/>
  <c r="K173" i="14"/>
  <c r="K201" i="14"/>
  <c r="K141" i="14"/>
  <c r="K79" i="14"/>
  <c r="AG51" i="14"/>
  <c r="AL51" i="14" s="1"/>
  <c r="K19" i="14"/>
  <c r="BJ33" i="14"/>
  <c r="AJ153" i="14"/>
  <c r="Z153" i="14" s="1"/>
  <c r="BJ193" i="14"/>
  <c r="AG79" i="14"/>
  <c r="AN79" i="14" s="1"/>
  <c r="AK153" i="14"/>
  <c r="AO153" i="14" s="1"/>
  <c r="BI153" i="14"/>
  <c r="AK161" i="14"/>
  <c r="K187" i="14"/>
  <c r="K203" i="14"/>
  <c r="AK203" i="14"/>
  <c r="AX203" i="14" s="1"/>
  <c r="BI203" i="14"/>
  <c r="AG163" i="14"/>
  <c r="AL163" i="14" s="1"/>
  <c r="BJ87" i="14"/>
  <c r="BK87" i="14" s="1"/>
  <c r="AJ203" i="14"/>
  <c r="Z203" i="14" s="1"/>
  <c r="AM73" i="14"/>
  <c r="BI51" i="14"/>
  <c r="BK51" i="14" s="1"/>
  <c r="BI63" i="14"/>
  <c r="BK63" i="14" s="1"/>
  <c r="K153" i="14"/>
  <c r="K73" i="14"/>
  <c r="AJ27" i="14"/>
  <c r="Z27" i="14" s="1"/>
  <c r="AG141" i="14"/>
  <c r="AN141" i="14" s="1"/>
  <c r="AM63" i="14"/>
  <c r="AX63" i="14" s="1"/>
  <c r="AG71" i="14"/>
  <c r="AI71" i="14" s="1"/>
  <c r="AA71" i="14" s="1"/>
  <c r="K161" i="14"/>
  <c r="BI27" i="14"/>
  <c r="BI169" i="14"/>
  <c r="AK187" i="14"/>
  <c r="AJ63" i="14"/>
  <c r="Z63" i="14" s="1"/>
  <c r="BI73" i="14"/>
  <c r="AM161" i="14"/>
  <c r="BI187" i="14"/>
  <c r="BK187" i="14" s="1"/>
  <c r="AM187" i="14"/>
  <c r="BI79" i="14"/>
  <c r="BK79" i="14" s="1"/>
  <c r="AK133" i="14"/>
  <c r="K27" i="14"/>
  <c r="BK13" i="14"/>
  <c r="AK27" i="14"/>
  <c r="AO27" i="14" s="1"/>
  <c r="AM133" i="14"/>
  <c r="AK51" i="14"/>
  <c r="K57" i="14"/>
  <c r="K63" i="14"/>
  <c r="K183" i="14"/>
  <c r="AK53" i="14"/>
  <c r="AM99" i="14"/>
  <c r="AO99" i="14" s="1"/>
  <c r="BI53" i="14"/>
  <c r="BK53" i="14" s="1"/>
  <c r="BI29" i="14"/>
  <c r="AK19" i="14"/>
  <c r="AO19" i="14" s="1"/>
  <c r="BJ83" i="14"/>
  <c r="K181" i="14"/>
  <c r="AG77" i="14"/>
  <c r="AI77" i="14" s="1"/>
  <c r="AA77" i="14" s="1"/>
  <c r="K93" i="14"/>
  <c r="AH129" i="14"/>
  <c r="AM129" i="14" s="1"/>
  <c r="BJ37" i="14"/>
  <c r="K41" i="14"/>
  <c r="BI19" i="14"/>
  <c r="K37" i="14"/>
  <c r="AG179" i="14"/>
  <c r="AN179" i="14" s="1"/>
  <c r="K139" i="14"/>
  <c r="K53" i="14"/>
  <c r="K159" i="14"/>
  <c r="BI99" i="14"/>
  <c r="BJ201" i="14"/>
  <c r="BI151" i="14"/>
  <c r="BK151" i="14" s="1"/>
  <c r="AJ151" i="14"/>
  <c r="Z151" i="14" s="1"/>
  <c r="AM151" i="14"/>
  <c r="AO151" i="14" s="1"/>
  <c r="AK41" i="14"/>
  <c r="AG139" i="14"/>
  <c r="AL139" i="14" s="1"/>
  <c r="K87" i="14"/>
  <c r="AH141" i="14"/>
  <c r="AJ141" i="14" s="1"/>
  <c r="Z141" i="14" s="1"/>
  <c r="AH177" i="14"/>
  <c r="AK177" i="14" s="1"/>
  <c r="AJ19" i="14"/>
  <c r="Z19" i="14" s="1"/>
  <c r="BI37" i="14"/>
  <c r="K29" i="14"/>
  <c r="AJ99" i="14"/>
  <c r="Z99" i="14" s="1"/>
  <c r="BJ81" i="14"/>
  <c r="K99" i="14"/>
  <c r="AG89" i="14"/>
  <c r="AL89" i="14" s="1"/>
  <c r="K149" i="14"/>
  <c r="AM53" i="14"/>
  <c r="AM29" i="14"/>
  <c r="AO29" i="14" s="1"/>
  <c r="AK37" i="14"/>
  <c r="K177" i="14"/>
  <c r="K151" i="14"/>
  <c r="BI93" i="14"/>
  <c r="BI129" i="14"/>
  <c r="BK129" i="14" s="1"/>
  <c r="AM37" i="14"/>
  <c r="AH87" i="14"/>
  <c r="AK87" i="14" s="1"/>
  <c r="AJ29" i="14"/>
  <c r="Z29" i="14" s="1"/>
  <c r="AM159" i="14"/>
  <c r="AM41" i="14"/>
  <c r="BJ189" i="14"/>
  <c r="AD200" i="14"/>
  <c r="AD30" i="14"/>
  <c r="AD180" i="14"/>
  <c r="AD160" i="14"/>
  <c r="AD130" i="14"/>
  <c r="AD185" i="14"/>
  <c r="AD40" i="14"/>
  <c r="AD110" i="14"/>
  <c r="AD60" i="14"/>
  <c r="AD90" i="14"/>
  <c r="AD140" i="14"/>
  <c r="BI182" i="14"/>
  <c r="AH188" i="14"/>
  <c r="AM188" i="14" s="1"/>
  <c r="BJ186" i="14"/>
  <c r="BJ182" i="14"/>
  <c r="K182" i="14"/>
  <c r="BI184" i="14"/>
  <c r="BI186" i="14"/>
  <c r="BJ184" i="14"/>
  <c r="AJ184" i="14"/>
  <c r="Z184" i="14" s="1"/>
  <c r="AM184" i="14"/>
  <c r="AO184" i="14" s="1"/>
  <c r="AM186" i="14"/>
  <c r="AO186" i="14" s="1"/>
  <c r="K184" i="14"/>
  <c r="AJ186" i="14"/>
  <c r="Z186" i="14" s="1"/>
  <c r="BJ188" i="14"/>
  <c r="BK188" i="14" s="1"/>
  <c r="K188" i="14"/>
  <c r="K186" i="14"/>
  <c r="BI14" i="14"/>
  <c r="AJ14" i="14"/>
  <c r="Z14" i="14" s="1"/>
  <c r="BJ14" i="14"/>
  <c r="K14" i="14"/>
  <c r="AK14" i="14"/>
  <c r="AO14" i="14" s="1"/>
  <c r="BF202" i="14"/>
  <c r="BE170" i="14"/>
  <c r="BF98" i="14"/>
  <c r="BE98" i="14"/>
  <c r="AW43" i="14"/>
  <c r="AB43" i="14"/>
  <c r="AH98" i="14"/>
  <c r="AK98" i="14" s="1"/>
  <c r="BF170" i="14"/>
  <c r="AN27" i="14"/>
  <c r="AP27" i="14" s="1"/>
  <c r="AI174" i="14"/>
  <c r="AA174" i="14" s="1"/>
  <c r="BF10" i="14"/>
  <c r="AL201" i="14"/>
  <c r="AI182" i="14"/>
  <c r="AA182" i="14" s="1"/>
  <c r="AN174" i="14"/>
  <c r="AW174" i="14" s="1"/>
  <c r="AN201" i="14"/>
  <c r="AL182" i="14"/>
  <c r="AP182" i="14" s="1"/>
  <c r="AN193" i="14"/>
  <c r="AG132" i="14"/>
  <c r="AL132" i="14" s="1"/>
  <c r="AG98" i="14"/>
  <c r="AL98" i="14" s="1"/>
  <c r="K98" i="14"/>
  <c r="AL193" i="14"/>
  <c r="AL143" i="14"/>
  <c r="AW143" i="14" s="1"/>
  <c r="BK65" i="14"/>
  <c r="AI143" i="14"/>
  <c r="AA143" i="14" s="1"/>
  <c r="BK98" i="14"/>
  <c r="AN39" i="14"/>
  <c r="AN61" i="14"/>
  <c r="AI27" i="14"/>
  <c r="AA27" i="14" s="1"/>
  <c r="AI181" i="14"/>
  <c r="AA181" i="14" s="1"/>
  <c r="AN186" i="14"/>
  <c r="AP186" i="14" s="1"/>
  <c r="AI186" i="14"/>
  <c r="AA186" i="14" s="1"/>
  <c r="AL61" i="14"/>
  <c r="AN196" i="14"/>
  <c r="AP196" i="14" s="1"/>
  <c r="AI196" i="14"/>
  <c r="AA196" i="14" s="1"/>
  <c r="AL177" i="14"/>
  <c r="AJ40" i="14"/>
  <c r="Z40" i="14" s="1"/>
  <c r="AM66" i="14"/>
  <c r="AI83" i="14"/>
  <c r="AA83" i="14" s="1"/>
  <c r="AM40" i="14"/>
  <c r="AO40" i="14" s="1"/>
  <c r="AN177" i="14"/>
  <c r="AG170" i="14"/>
  <c r="AI170" i="14" s="1"/>
  <c r="AA170" i="14" s="1"/>
  <c r="AI19" i="14"/>
  <c r="AA19" i="14" s="1"/>
  <c r="AK66" i="14"/>
  <c r="AN181" i="14"/>
  <c r="AP181" i="14" s="1"/>
  <c r="AL39" i="14"/>
  <c r="AL184" i="14"/>
  <c r="AN19" i="14"/>
  <c r="AW19" i="14" s="1"/>
  <c r="AB66" i="14"/>
  <c r="AN184" i="14"/>
  <c r="AI33" i="14"/>
  <c r="AA33" i="14" s="1"/>
  <c r="AL153" i="14"/>
  <c r="AW153" i="14" s="1"/>
  <c r="AI153" i="14"/>
  <c r="AA153" i="14" s="1"/>
  <c r="AM142" i="14"/>
  <c r="AO142" i="14" s="1"/>
  <c r="AN103" i="14"/>
  <c r="AI209" i="14"/>
  <c r="AA209" i="14" s="1"/>
  <c r="AL41" i="14"/>
  <c r="AW41" i="14" s="1"/>
  <c r="AI133" i="14"/>
  <c r="AA133" i="14" s="1"/>
  <c r="AN99" i="14"/>
  <c r="AP99" i="14" s="1"/>
  <c r="AL103" i="14"/>
  <c r="AN133" i="14"/>
  <c r="AP133" i="14" s="1"/>
  <c r="AN209" i="14"/>
  <c r="AP209" i="14" s="1"/>
  <c r="AN83" i="14"/>
  <c r="AP83" i="14" s="1"/>
  <c r="AL101" i="14"/>
  <c r="AW101" i="14" s="1"/>
  <c r="BK82" i="14"/>
  <c r="AN167" i="14"/>
  <c r="BK156" i="14"/>
  <c r="AI47" i="14"/>
  <c r="AA47" i="14" s="1"/>
  <c r="BK119" i="14"/>
  <c r="AN47" i="14"/>
  <c r="AW47" i="14" s="1"/>
  <c r="AL203" i="14"/>
  <c r="AP203" i="14" s="1"/>
  <c r="AI73" i="14"/>
  <c r="AA73" i="14" s="1"/>
  <c r="AJ136" i="14"/>
  <c r="Z136" i="14" s="1"/>
  <c r="AN199" i="14"/>
  <c r="AL97" i="14"/>
  <c r="AL73" i="14"/>
  <c r="AW73" i="14" s="1"/>
  <c r="AL199" i="14"/>
  <c r="AM136" i="14"/>
  <c r="AO136" i="14" s="1"/>
  <c r="AI99" i="14"/>
  <c r="AA99" i="14" s="1"/>
  <c r="AL189" i="14"/>
  <c r="AI147" i="14"/>
  <c r="AA147" i="14" s="1"/>
  <c r="AI203" i="14"/>
  <c r="AA203" i="14" s="1"/>
  <c r="AI59" i="14"/>
  <c r="AA59" i="14" s="1"/>
  <c r="AJ130" i="14"/>
  <c r="Z130" i="14" s="1"/>
  <c r="AN189" i="14"/>
  <c r="AL147" i="14"/>
  <c r="AP147" i="14" s="1"/>
  <c r="AI81" i="14"/>
  <c r="AA81" i="14" s="1"/>
  <c r="AN59" i="14"/>
  <c r="AW59" i="14" s="1"/>
  <c r="AM130" i="14"/>
  <c r="AX130" i="14" s="1"/>
  <c r="AL173" i="14"/>
  <c r="AP173" i="14" s="1"/>
  <c r="AN97" i="14"/>
  <c r="AN81" i="14"/>
  <c r="AP81" i="14" s="1"/>
  <c r="AJ142" i="14"/>
  <c r="Z142" i="14" s="1"/>
  <c r="AL167" i="14"/>
  <c r="AI173" i="14"/>
  <c r="AA173" i="14" s="1"/>
  <c r="AN14" i="14"/>
  <c r="AP14" i="14" s="1"/>
  <c r="AI101" i="14"/>
  <c r="AA101" i="14" s="1"/>
  <c r="AL188" i="14"/>
  <c r="AI14" i="14"/>
  <c r="AA14" i="14" s="1"/>
  <c r="AL171" i="14"/>
  <c r="AN171" i="14"/>
  <c r="AI41" i="14"/>
  <c r="AA41" i="14" s="1"/>
  <c r="AN188" i="14"/>
  <c r="K38" i="14"/>
  <c r="K62" i="14"/>
  <c r="K150" i="14"/>
  <c r="K30" i="14"/>
  <c r="AL33" i="14"/>
  <c r="AW33" i="14" s="1"/>
  <c r="AI137" i="14"/>
  <c r="AA137" i="14" s="1"/>
  <c r="AN149" i="14"/>
  <c r="AW149" i="14" s="1"/>
  <c r="AI149" i="14"/>
  <c r="AA149" i="14" s="1"/>
  <c r="AB37" i="14"/>
  <c r="AL91" i="14"/>
  <c r="AW91" i="14" s="1"/>
  <c r="AI91" i="14"/>
  <c r="AA91" i="14" s="1"/>
  <c r="AN137" i="14"/>
  <c r="AW137" i="14" s="1"/>
  <c r="K68" i="14"/>
  <c r="K84" i="14"/>
  <c r="K112" i="14"/>
  <c r="AL37" i="14"/>
  <c r="AN37" i="14"/>
  <c r="K78" i="14"/>
  <c r="K54" i="14"/>
  <c r="K104" i="14"/>
  <c r="K190" i="14"/>
  <c r="K210" i="14"/>
  <c r="K122" i="14"/>
  <c r="K88" i="14"/>
  <c r="K116" i="14"/>
  <c r="AI202" i="14"/>
  <c r="AA202" i="14" s="1"/>
  <c r="K100" i="14"/>
  <c r="AL202" i="14"/>
  <c r="AP202" i="14" s="1"/>
  <c r="K80" i="14"/>
  <c r="K158" i="14"/>
  <c r="K148" i="14"/>
  <c r="K102" i="14"/>
  <c r="K64" i="14"/>
  <c r="K180" i="14"/>
  <c r="AG25" i="14"/>
  <c r="AL25" i="14" s="1"/>
  <c r="K25" i="14"/>
  <c r="BJ155" i="14"/>
  <c r="K155" i="14"/>
  <c r="BJ45" i="14"/>
  <c r="K45" i="14"/>
  <c r="BJ75" i="14"/>
  <c r="BK75" i="14" s="1"/>
  <c r="K75" i="14"/>
  <c r="K138" i="14"/>
  <c r="AG18" i="14"/>
  <c r="AI18" i="14" s="1"/>
  <c r="AA18" i="14" s="1"/>
  <c r="K18" i="14"/>
  <c r="AG107" i="14"/>
  <c r="AN107" i="14" s="1"/>
  <c r="K107" i="14"/>
  <c r="AG162" i="14"/>
  <c r="AL162" i="14" s="1"/>
  <c r="K162" i="14"/>
  <c r="K94" i="14"/>
  <c r="K34" i="14"/>
  <c r="BJ16" i="14"/>
  <c r="K16" i="14"/>
  <c r="BJ15" i="14"/>
  <c r="K15" i="14"/>
  <c r="BJ95" i="14"/>
  <c r="BK95" i="14" s="1"/>
  <c r="K95" i="14"/>
  <c r="AG115" i="14"/>
  <c r="AI115" i="14" s="1"/>
  <c r="AA115" i="14" s="1"/>
  <c r="K115" i="14"/>
  <c r="BJ35" i="14"/>
  <c r="K35" i="14"/>
  <c r="AG26" i="14"/>
  <c r="AL26" i="14" s="1"/>
  <c r="K26" i="14"/>
  <c r="AG145" i="14"/>
  <c r="AI145" i="14" s="1"/>
  <c r="AA145" i="14" s="1"/>
  <c r="K145" i="14"/>
  <c r="K20" i="14"/>
  <c r="AG166" i="14"/>
  <c r="AN166" i="14" s="1"/>
  <c r="K166" i="14"/>
  <c r="K160" i="14"/>
  <c r="AG121" i="14"/>
  <c r="AI121" i="14" s="1"/>
  <c r="AA121" i="14" s="1"/>
  <c r="K121" i="14"/>
  <c r="AG195" i="14"/>
  <c r="AN195" i="14" s="1"/>
  <c r="K195" i="14"/>
  <c r="K10" i="14"/>
  <c r="K76" i="14"/>
  <c r="BJ12" i="14"/>
  <c r="K12" i="14"/>
  <c r="AG123" i="14"/>
  <c r="AI123" i="14" s="1"/>
  <c r="AA123" i="14" s="1"/>
  <c r="K123" i="14"/>
  <c r="AG205" i="14"/>
  <c r="AL205" i="14" s="1"/>
  <c r="K205" i="14"/>
  <c r="K124" i="14"/>
  <c r="AG24" i="14"/>
  <c r="AI24" i="14" s="1"/>
  <c r="AA24" i="14" s="1"/>
  <c r="K24" i="14"/>
  <c r="AG176" i="14"/>
  <c r="AI176" i="14" s="1"/>
  <c r="AA176" i="14" s="1"/>
  <c r="K176" i="14"/>
  <c r="BJ55" i="14"/>
  <c r="K55" i="14"/>
  <c r="AG111" i="14"/>
  <c r="AN111" i="14" s="1"/>
  <c r="K111" i="14"/>
  <c r="AG105" i="14"/>
  <c r="AN105" i="14" s="1"/>
  <c r="K105" i="14"/>
  <c r="BJ135" i="14"/>
  <c r="BK135" i="14" s="1"/>
  <c r="K135" i="14"/>
  <c r="AG178" i="14"/>
  <c r="AI178" i="14" s="1"/>
  <c r="AA178" i="14" s="1"/>
  <c r="K178" i="14"/>
  <c r="AG113" i="14"/>
  <c r="AI113" i="14" s="1"/>
  <c r="AA113" i="14" s="1"/>
  <c r="K113" i="14"/>
  <c r="BJ185" i="14"/>
  <c r="BK185" i="14" s="1"/>
  <c r="K185" i="14"/>
  <c r="AG125" i="14"/>
  <c r="AI125" i="14" s="1"/>
  <c r="AA125" i="14" s="1"/>
  <c r="K125" i="14"/>
  <c r="K86" i="14"/>
  <c r="BJ164" i="14"/>
  <c r="K164" i="14"/>
  <c r="AG28" i="14"/>
  <c r="AL28" i="14" s="1"/>
  <c r="K28" i="14"/>
  <c r="AG22" i="14"/>
  <c r="AL22" i="14" s="1"/>
  <c r="K22" i="14"/>
  <c r="AG172" i="14"/>
  <c r="AI172" i="14" s="1"/>
  <c r="AA172" i="14" s="1"/>
  <c r="K172" i="14"/>
  <c r="AG117" i="14"/>
  <c r="AN117" i="14" s="1"/>
  <c r="K117" i="14"/>
  <c r="K92" i="14"/>
  <c r="K114" i="14"/>
  <c r="K60" i="14"/>
  <c r="K70" i="14"/>
  <c r="K154" i="14"/>
  <c r="K56" i="14"/>
  <c r="K134" i="14"/>
  <c r="K50" i="14"/>
  <c r="K52" i="14"/>
  <c r="K108" i="14"/>
  <c r="K152" i="14"/>
  <c r="K106" i="14"/>
  <c r="K128" i="14"/>
  <c r="K44" i="14"/>
  <c r="K58" i="14"/>
  <c r="K144" i="14"/>
  <c r="K32" i="14"/>
  <c r="K170" i="14"/>
  <c r="K46" i="14"/>
  <c r="AK36" i="14"/>
  <c r="K48" i="14"/>
  <c r="K120" i="14"/>
  <c r="K140" i="14"/>
  <c r="K74" i="14"/>
  <c r="K90" i="14"/>
  <c r="K126" i="14"/>
  <c r="K72" i="14"/>
  <c r="K118" i="14"/>
  <c r="K146" i="14"/>
  <c r="K42" i="14"/>
  <c r="AM36" i="14"/>
  <c r="K132" i="14"/>
  <c r="BK200" i="14"/>
  <c r="BI88" i="14"/>
  <c r="AH124" i="14"/>
  <c r="AK124" i="14" s="1"/>
  <c r="AH116" i="14"/>
  <c r="AM116" i="14" s="1"/>
  <c r="AH46" i="14"/>
  <c r="AJ46" i="14" s="1"/>
  <c r="Z46" i="14" s="1"/>
  <c r="BI100" i="14"/>
  <c r="BK100" i="14" s="1"/>
  <c r="AH78" i="14"/>
  <c r="AJ78" i="14" s="1"/>
  <c r="Z78" i="14" s="1"/>
  <c r="AH54" i="14"/>
  <c r="AM54" i="14" s="1"/>
  <c r="AH120" i="14"/>
  <c r="AK120" i="14" s="1"/>
  <c r="BI80" i="14"/>
  <c r="AH140" i="14"/>
  <c r="AJ140" i="14" s="1"/>
  <c r="Z140" i="14" s="1"/>
  <c r="AH74" i="14"/>
  <c r="AK74" i="14" s="1"/>
  <c r="AH158" i="14"/>
  <c r="AK158" i="14" s="1"/>
  <c r="AH148" i="14"/>
  <c r="AJ148" i="14" s="1"/>
  <c r="Z148" i="14" s="1"/>
  <c r="AH62" i="14"/>
  <c r="AK62" i="14" s="1"/>
  <c r="AH38" i="14"/>
  <c r="AK38" i="14" s="1"/>
  <c r="BI90" i="14"/>
  <c r="AH126" i="14"/>
  <c r="AM126" i="14" s="1"/>
  <c r="AH72" i="14"/>
  <c r="AK72" i="14" s="1"/>
  <c r="AH118" i="14"/>
  <c r="AJ118" i="14" s="1"/>
  <c r="Z118" i="14" s="1"/>
  <c r="AH146" i="14"/>
  <c r="AK146" i="14" s="1"/>
  <c r="BI42" i="14"/>
  <c r="BI132" i="14"/>
  <c r="BK132" i="14" s="1"/>
  <c r="AH86" i="14"/>
  <c r="AK86" i="14" s="1"/>
  <c r="AH92" i="14"/>
  <c r="AJ92" i="14" s="1"/>
  <c r="Z92" i="14" s="1"/>
  <c r="AH114" i="14"/>
  <c r="AM114" i="14" s="1"/>
  <c r="BI190" i="14"/>
  <c r="AH64" i="14"/>
  <c r="AK64" i="14" s="1"/>
  <c r="AH94" i="14"/>
  <c r="AM94" i="14" s="1"/>
  <c r="AH34" i="14"/>
  <c r="AK34" i="14" s="1"/>
  <c r="BI60" i="14"/>
  <c r="BI70" i="14"/>
  <c r="BK70" i="14" s="1"/>
  <c r="AH154" i="14"/>
  <c r="AJ154" i="14" s="1"/>
  <c r="Z154" i="14" s="1"/>
  <c r="AH56" i="14"/>
  <c r="AJ56" i="14" s="1"/>
  <c r="Z56" i="14" s="1"/>
  <c r="AH134" i="14"/>
  <c r="AJ134" i="14" s="1"/>
  <c r="Z134" i="14" s="1"/>
  <c r="BI50" i="14"/>
  <c r="AH210" i="14"/>
  <c r="AM210" i="14" s="1"/>
  <c r="AH68" i="14"/>
  <c r="AK68" i="14" s="1"/>
  <c r="AH52" i="14"/>
  <c r="AK52" i="14" s="1"/>
  <c r="AH122" i="14"/>
  <c r="AK122" i="14" s="1"/>
  <c r="AH138" i="14"/>
  <c r="AJ138" i="14" s="1"/>
  <c r="Z138" i="14" s="1"/>
  <c r="BI30" i="14"/>
  <c r="AH84" i="14"/>
  <c r="AM84" i="14" s="1"/>
  <c r="AH112" i="14"/>
  <c r="AJ112" i="14" s="1"/>
  <c r="Z112" i="14" s="1"/>
  <c r="AH108" i="14"/>
  <c r="AK108" i="14" s="1"/>
  <c r="AH152" i="14"/>
  <c r="AJ152" i="14" s="1"/>
  <c r="Z152" i="14" s="1"/>
  <c r="AH20" i="14"/>
  <c r="AM20" i="14" s="1"/>
  <c r="AH106" i="14"/>
  <c r="AK106" i="14" s="1"/>
  <c r="AH128" i="14"/>
  <c r="AK128" i="14" s="1"/>
  <c r="AH44" i="14"/>
  <c r="AM44" i="14" s="1"/>
  <c r="BI160" i="14"/>
  <c r="AH104" i="14"/>
  <c r="AJ104" i="14" s="1"/>
  <c r="Z104" i="14" s="1"/>
  <c r="BI76" i="14"/>
  <c r="AH58" i="14"/>
  <c r="AJ58" i="14" s="1"/>
  <c r="Z58" i="14" s="1"/>
  <c r="AH144" i="14"/>
  <c r="AK144" i="14" s="1"/>
  <c r="AH32" i="14"/>
  <c r="AM32" i="14" s="1"/>
  <c r="AH170" i="14"/>
  <c r="AJ170" i="14" s="1"/>
  <c r="Z170" i="14" s="1"/>
  <c r="BI170" i="14"/>
  <c r="BK170" i="14" s="1"/>
  <c r="BE185" i="14"/>
  <c r="BE202" i="14"/>
  <c r="BF185" i="14"/>
  <c r="AH185" i="14"/>
  <c r="AM185" i="14" s="1"/>
  <c r="BI10" i="14"/>
  <c r="BE14" i="14"/>
  <c r="BF105" i="14"/>
  <c r="BF109" i="14"/>
  <c r="BF132" i="14"/>
  <c r="BE109" i="14"/>
  <c r="BJ105" i="14"/>
  <c r="BE132" i="14"/>
  <c r="AE37" i="14"/>
  <c r="AL119" i="14"/>
  <c r="AW119" i="14" s="1"/>
  <c r="AI119" i="14"/>
  <c r="AA119" i="14" s="1"/>
  <c r="BF59" i="14"/>
  <c r="BE199" i="14"/>
  <c r="AK123" i="14"/>
  <c r="BI111" i="14"/>
  <c r="AX119" i="14"/>
  <c r="AO119" i="14"/>
  <c r="AR119" i="14" s="1"/>
  <c r="AK111" i="14"/>
  <c r="BI121" i="14"/>
  <c r="AM111" i="14"/>
  <c r="BE37" i="14"/>
  <c r="BI107" i="14"/>
  <c r="BJ123" i="14"/>
  <c r="BK36" i="14"/>
  <c r="BJ107" i="14"/>
  <c r="AM123" i="14"/>
  <c r="BI123" i="14"/>
  <c r="BJ113" i="14"/>
  <c r="AO174" i="14"/>
  <c r="BK174" i="14"/>
  <c r="BJ111" i="14"/>
  <c r="AJ113" i="14"/>
  <c r="Z113" i="14" s="1"/>
  <c r="BJ172" i="14"/>
  <c r="AM113" i="14"/>
  <c r="AX113" i="14" s="1"/>
  <c r="BI113" i="14"/>
  <c r="AX174" i="14"/>
  <c r="BJ117" i="14"/>
  <c r="BJ121" i="14"/>
  <c r="BF96" i="14"/>
  <c r="AM121" i="14"/>
  <c r="AK121" i="14"/>
  <c r="BI117" i="14"/>
  <c r="AJ117" i="14"/>
  <c r="Z117" i="14" s="1"/>
  <c r="AK117" i="14"/>
  <c r="AX117" i="14" s="1"/>
  <c r="AK178" i="14"/>
  <c r="BJ178" i="14"/>
  <c r="BE105" i="14"/>
  <c r="AH176" i="14"/>
  <c r="AK176" i="14" s="1"/>
  <c r="AM178" i="14"/>
  <c r="BI178" i="14"/>
  <c r="BJ176" i="14"/>
  <c r="BK176" i="14" s="1"/>
  <c r="AK172" i="14"/>
  <c r="AM172" i="14"/>
  <c r="BI172" i="14"/>
  <c r="BE96" i="14"/>
  <c r="BK168" i="14"/>
  <c r="P96" i="14"/>
  <c r="K96" i="14" s="1"/>
  <c r="BF199" i="14"/>
  <c r="BE193" i="14"/>
  <c r="BE59" i="14"/>
  <c r="AK82" i="14"/>
  <c r="AO82" i="14" s="1"/>
  <c r="AJ82" i="14"/>
  <c r="Z82" i="14" s="1"/>
  <c r="BI105" i="14"/>
  <c r="BI22" i="14"/>
  <c r="BF160" i="14"/>
  <c r="BE160" i="14"/>
  <c r="BI16" i="14"/>
  <c r="AL160" i="14"/>
  <c r="AN160" i="14"/>
  <c r="BJ160" i="14"/>
  <c r="BK142" i="14"/>
  <c r="AI168" i="14"/>
  <c r="AA168" i="14" s="1"/>
  <c r="AL168" i="14"/>
  <c r="AW168" i="14" s="1"/>
  <c r="AO168" i="14"/>
  <c r="BJ18" i="14"/>
  <c r="BK66" i="14"/>
  <c r="AM22" i="14"/>
  <c r="AO22" i="14" s="1"/>
  <c r="AJ22" i="14"/>
  <c r="Z22" i="14" s="1"/>
  <c r="AH160" i="14"/>
  <c r="AM160" i="14" s="1"/>
  <c r="BJ24" i="14"/>
  <c r="BJ44" i="14"/>
  <c r="AM18" i="14"/>
  <c r="AX18" i="14" s="1"/>
  <c r="AJ18" i="14"/>
  <c r="Z18" i="14" s="1"/>
  <c r="BI18" i="14"/>
  <c r="AI36" i="14"/>
  <c r="AA36" i="14" s="1"/>
  <c r="AL36" i="14"/>
  <c r="AW36" i="14" s="1"/>
  <c r="BJ34" i="14"/>
  <c r="AL46" i="14"/>
  <c r="AW46" i="14" s="1"/>
  <c r="AI46" i="14"/>
  <c r="AA46" i="14" s="1"/>
  <c r="AH28" i="14"/>
  <c r="AK28" i="14" s="1"/>
  <c r="BJ46" i="14"/>
  <c r="AG12" i="14"/>
  <c r="AI12" i="14" s="1"/>
  <c r="AA12" i="14" s="1"/>
  <c r="AL34" i="14"/>
  <c r="AN34" i="14"/>
  <c r="BI38" i="14"/>
  <c r="AJ24" i="14"/>
  <c r="Z24" i="14" s="1"/>
  <c r="BI24" i="14"/>
  <c r="BI46" i="14"/>
  <c r="AM24" i="14"/>
  <c r="AX24" i="14" s="1"/>
  <c r="BI12" i="14"/>
  <c r="AJ12" i="14"/>
  <c r="Z12" i="14" s="1"/>
  <c r="BJ154" i="14"/>
  <c r="AK12" i="14"/>
  <c r="AX12" i="14" s="1"/>
  <c r="AH96" i="14"/>
  <c r="BI96" i="14"/>
  <c r="AG16" i="14"/>
  <c r="AN16" i="14" s="1"/>
  <c r="BJ22" i="14"/>
  <c r="AG38" i="14"/>
  <c r="AI38" i="14" s="1"/>
  <c r="AA38" i="14" s="1"/>
  <c r="BI32" i="14"/>
  <c r="AL44" i="14"/>
  <c r="BI44" i="14"/>
  <c r="BJ38" i="14"/>
  <c r="BJ68" i="14"/>
  <c r="BJ146" i="14"/>
  <c r="AK132" i="14"/>
  <c r="AI84" i="14"/>
  <c r="AA84" i="14" s="1"/>
  <c r="BJ54" i="14"/>
  <c r="BI108" i="14"/>
  <c r="AN44" i="14"/>
  <c r="BJ84" i="14"/>
  <c r="AL84" i="14"/>
  <c r="AW84" i="14" s="1"/>
  <c r="AM132" i="14"/>
  <c r="BI134" i="14"/>
  <c r="BK134" i="14" s="1"/>
  <c r="BJ112" i="14"/>
  <c r="BI26" i="14"/>
  <c r="AM26" i="14"/>
  <c r="AO26" i="14" s="1"/>
  <c r="AN54" i="14"/>
  <c r="AL54" i="14"/>
  <c r="AL94" i="14"/>
  <c r="AW94" i="14" s="1"/>
  <c r="AN32" i="14"/>
  <c r="AP32" i="14" s="1"/>
  <c r="AL68" i="14"/>
  <c r="AW68" i="14" s="1"/>
  <c r="AI68" i="14"/>
  <c r="AA68" i="14" s="1"/>
  <c r="BJ26" i="14"/>
  <c r="BI122" i="14"/>
  <c r="BJ94" i="14"/>
  <c r="BJ32" i="14"/>
  <c r="BI152" i="14"/>
  <c r="AL108" i="14"/>
  <c r="BI52" i="14"/>
  <c r="AN144" i="14"/>
  <c r="AI32" i="14"/>
  <c r="AA32" i="14" s="1"/>
  <c r="AN108" i="14"/>
  <c r="AL58" i="14"/>
  <c r="AW58" i="14" s="1"/>
  <c r="AI152" i="14"/>
  <c r="AA152" i="14" s="1"/>
  <c r="BI114" i="14"/>
  <c r="BJ64" i="14"/>
  <c r="BJ152" i="14"/>
  <c r="BI68" i="14"/>
  <c r="AN152" i="14"/>
  <c r="AW152" i="14" s="1"/>
  <c r="BI34" i="14"/>
  <c r="AH102" i="14"/>
  <c r="AJ102" i="14" s="1"/>
  <c r="Z102" i="14" s="1"/>
  <c r="BI102" i="14"/>
  <c r="BI104" i="14"/>
  <c r="BK104" i="14" s="1"/>
  <c r="BJ106" i="14"/>
  <c r="BJ144" i="14"/>
  <c r="BJ48" i="14"/>
  <c r="BJ78" i="14"/>
  <c r="BI64" i="14"/>
  <c r="AJ26" i="14"/>
  <c r="Z26" i="14" s="1"/>
  <c r="AI94" i="14"/>
  <c r="AA94" i="14" s="1"/>
  <c r="AN48" i="14"/>
  <c r="AP48" i="14" s="1"/>
  <c r="AL144" i="14"/>
  <c r="AI48" i="14"/>
  <c r="AA48" i="14" s="1"/>
  <c r="BJ162" i="14"/>
  <c r="BI94" i="14"/>
  <c r="AI106" i="14"/>
  <c r="AA106" i="14" s="1"/>
  <c r="BJ108" i="14"/>
  <c r="AI58" i="14"/>
  <c r="AA58" i="14" s="1"/>
  <c r="AW82" i="14"/>
  <c r="BI112" i="14"/>
  <c r="BJ42" i="14"/>
  <c r="BJ118" i="14"/>
  <c r="AI118" i="14"/>
  <c r="AA118" i="14" s="1"/>
  <c r="AL64" i="14"/>
  <c r="AN118" i="14"/>
  <c r="AP118" i="14" s="1"/>
  <c r="AN64" i="14"/>
  <c r="BI138" i="14"/>
  <c r="AH42" i="14"/>
  <c r="AM42" i="14" s="1"/>
  <c r="BJ28" i="14"/>
  <c r="BK28" i="14" s="1"/>
  <c r="BJ148" i="14"/>
  <c r="AI148" i="14"/>
  <c r="AA148" i="14" s="1"/>
  <c r="AK164" i="14"/>
  <c r="AX164" i="14" s="1"/>
  <c r="BI164" i="14"/>
  <c r="AJ164" i="14"/>
  <c r="Z164" i="14" s="1"/>
  <c r="BI154" i="14"/>
  <c r="AL148" i="14"/>
  <c r="AP148" i="14" s="1"/>
  <c r="AI116" i="14"/>
  <c r="AA116" i="14" s="1"/>
  <c r="AN92" i="14"/>
  <c r="AW92" i="14" s="1"/>
  <c r="AI92" i="14"/>
  <c r="AA92" i="14" s="1"/>
  <c r="BI166" i="14"/>
  <c r="AG134" i="14"/>
  <c r="AN134" i="14" s="1"/>
  <c r="AL116" i="14"/>
  <c r="AW116" i="14" s="1"/>
  <c r="BJ92" i="14"/>
  <c r="AG164" i="14"/>
  <c r="AL164" i="14" s="1"/>
  <c r="AN138" i="14"/>
  <c r="AP138" i="14" s="1"/>
  <c r="BI118" i="14"/>
  <c r="BJ116" i="14"/>
  <c r="AL106" i="14"/>
  <c r="AW106" i="14" s="1"/>
  <c r="AL128" i="14"/>
  <c r="AG124" i="14"/>
  <c r="AL124" i="14" s="1"/>
  <c r="BI148" i="14"/>
  <c r="BJ52" i="14"/>
  <c r="AN128" i="14"/>
  <c r="BI48" i="14"/>
  <c r="BJ128" i="14"/>
  <c r="AH48" i="14"/>
  <c r="AK48" i="14" s="1"/>
  <c r="BI54" i="14"/>
  <c r="AN62" i="14"/>
  <c r="BJ114" i="14"/>
  <c r="BJ62" i="14"/>
  <c r="BI84" i="14"/>
  <c r="BJ102" i="14"/>
  <c r="AI114" i="14"/>
  <c r="AA114" i="14" s="1"/>
  <c r="AN114" i="14"/>
  <c r="AP114" i="14" s="1"/>
  <c r="BJ58" i="14"/>
  <c r="BI158" i="14"/>
  <c r="BK158" i="14" s="1"/>
  <c r="AG104" i="14"/>
  <c r="AI104" i="14" s="1"/>
  <c r="AA104" i="14" s="1"/>
  <c r="BJ138" i="14"/>
  <c r="BI146" i="14"/>
  <c r="AL62" i="14"/>
  <c r="AI122" i="14"/>
  <c r="AA122" i="14" s="1"/>
  <c r="BI116" i="14"/>
  <c r="AI138" i="14"/>
  <c r="AA138" i="14" s="1"/>
  <c r="AI146" i="14"/>
  <c r="AA146" i="14" s="1"/>
  <c r="AG126" i="14"/>
  <c r="AI126" i="14" s="1"/>
  <c r="AA126" i="14" s="1"/>
  <c r="AL146" i="14"/>
  <c r="AW146" i="14" s="1"/>
  <c r="BI124" i="14"/>
  <c r="BK124" i="14" s="1"/>
  <c r="BI72" i="14"/>
  <c r="BI62" i="14"/>
  <c r="AN122" i="14"/>
  <c r="AW122" i="14" s="1"/>
  <c r="AM162" i="14"/>
  <c r="AX162" i="14" s="1"/>
  <c r="BJ122" i="14"/>
  <c r="BI162" i="14"/>
  <c r="AJ162" i="14"/>
  <c r="Z162" i="14" s="1"/>
  <c r="BI92" i="14"/>
  <c r="BI126" i="14"/>
  <c r="BK126" i="14" s="1"/>
  <c r="AH88" i="14"/>
  <c r="AM88" i="14" s="1"/>
  <c r="BJ166" i="14"/>
  <c r="BJ56" i="14"/>
  <c r="AG158" i="14"/>
  <c r="AN158" i="14" s="1"/>
  <c r="AH76" i="14"/>
  <c r="AJ76" i="14" s="1"/>
  <c r="Z76" i="14" s="1"/>
  <c r="AI56" i="14"/>
  <c r="AA56" i="14" s="1"/>
  <c r="BI58" i="14"/>
  <c r="BI106" i="14"/>
  <c r="AL72" i="14"/>
  <c r="AW72" i="14" s="1"/>
  <c r="AN56" i="14"/>
  <c r="AW56" i="14" s="1"/>
  <c r="BI128" i="14"/>
  <c r="BI144" i="14"/>
  <c r="AI72" i="14"/>
  <c r="AA72" i="14" s="1"/>
  <c r="BJ72" i="14"/>
  <c r="AL52" i="14"/>
  <c r="AN52" i="14"/>
  <c r="BI56" i="14"/>
  <c r="AG86" i="14"/>
  <c r="AI86" i="14" s="1"/>
  <c r="AA86" i="14" s="1"/>
  <c r="BJ88" i="14"/>
  <c r="AG74" i="14"/>
  <c r="AI74" i="14" s="1"/>
  <c r="AA74" i="14" s="1"/>
  <c r="BI86" i="14"/>
  <c r="BK86" i="14" s="1"/>
  <c r="AL76" i="14"/>
  <c r="AW76" i="14" s="1"/>
  <c r="AI76" i="14"/>
  <c r="AA76" i="14" s="1"/>
  <c r="AN78" i="14"/>
  <c r="AI78" i="14"/>
  <c r="AA78" i="14" s="1"/>
  <c r="AL78" i="14"/>
  <c r="BI74" i="14"/>
  <c r="BK74" i="14" s="1"/>
  <c r="BJ76" i="14"/>
  <c r="BI78" i="14"/>
  <c r="AP66" i="14"/>
  <c r="BK136" i="14"/>
  <c r="AP142" i="14"/>
  <c r="AW142" i="14"/>
  <c r="AW66" i="14"/>
  <c r="AW136" i="14"/>
  <c r="AP136" i="14"/>
  <c r="AP156" i="14"/>
  <c r="BI140" i="14"/>
  <c r="AK156" i="14"/>
  <c r="AX156" i="14" s="1"/>
  <c r="AJ156" i="14"/>
  <c r="Z156" i="14" s="1"/>
  <c r="BJ140" i="14"/>
  <c r="BE63" i="14"/>
  <c r="BF70" i="14"/>
  <c r="AG70" i="14"/>
  <c r="AL70" i="14" s="1"/>
  <c r="BF140" i="14"/>
  <c r="BE140" i="14"/>
  <c r="AH70" i="14"/>
  <c r="AK70" i="14" s="1"/>
  <c r="BE70" i="14"/>
  <c r="BF100" i="14"/>
  <c r="AH100" i="14"/>
  <c r="AK100" i="14" s="1"/>
  <c r="BE100" i="14"/>
  <c r="AG100" i="14"/>
  <c r="AL100" i="14" s="1"/>
  <c r="BE114" i="14"/>
  <c r="BE51" i="14"/>
  <c r="BE24" i="14"/>
  <c r="BF81" i="14"/>
  <c r="BE75" i="14"/>
  <c r="BF75" i="14"/>
  <c r="BF24" i="14"/>
  <c r="AG75" i="14"/>
  <c r="AN75" i="14" s="1"/>
  <c r="BE81" i="14"/>
  <c r="BE58" i="14"/>
  <c r="BF58" i="14"/>
  <c r="AH75" i="14"/>
  <c r="AJ75" i="14" s="1"/>
  <c r="Z75" i="14" s="1"/>
  <c r="BF56" i="14"/>
  <c r="BF194" i="14"/>
  <c r="BF77" i="14"/>
  <c r="BE133" i="14"/>
  <c r="BE106" i="14"/>
  <c r="BE77" i="14"/>
  <c r="BE194" i="14"/>
  <c r="BF203" i="14"/>
  <c r="BE56" i="14"/>
  <c r="BF133" i="14"/>
  <c r="BE15" i="14"/>
  <c r="BI15" i="14"/>
  <c r="AG15" i="14"/>
  <c r="AN15" i="14" s="1"/>
  <c r="BE203" i="14"/>
  <c r="BE167" i="14"/>
  <c r="AG55" i="14"/>
  <c r="AI55" i="14" s="1"/>
  <c r="AA55" i="14" s="1"/>
  <c r="BF167" i="14"/>
  <c r="BF89" i="14"/>
  <c r="BE79" i="14"/>
  <c r="BE210" i="14"/>
  <c r="BF60" i="14"/>
  <c r="AJ167" i="14"/>
  <c r="Z167" i="14" s="1"/>
  <c r="AK167" i="14"/>
  <c r="AX167" i="14" s="1"/>
  <c r="BE12" i="14"/>
  <c r="BI55" i="14"/>
  <c r="AH55" i="14"/>
  <c r="AM55" i="14" s="1"/>
  <c r="BF79" i="14"/>
  <c r="BF45" i="14"/>
  <c r="BJ60" i="14"/>
  <c r="BE76" i="14"/>
  <c r="BE60" i="14"/>
  <c r="BF166" i="14"/>
  <c r="BF95" i="14"/>
  <c r="AH60" i="14"/>
  <c r="AJ60" i="14" s="1"/>
  <c r="Z60" i="14" s="1"/>
  <c r="AN60" i="14"/>
  <c r="AL60" i="14"/>
  <c r="BE89" i="14"/>
  <c r="BE166" i="14"/>
  <c r="BF138" i="14"/>
  <c r="BF118" i="14"/>
  <c r="BF42" i="14"/>
  <c r="AI42" i="14"/>
  <c r="AA42" i="14" s="1"/>
  <c r="AL42" i="14"/>
  <c r="AW42" i="14" s="1"/>
  <c r="BF147" i="14"/>
  <c r="BE188" i="14"/>
  <c r="BF149" i="14"/>
  <c r="BE118" i="14"/>
  <c r="AM166" i="14"/>
  <c r="AX166" i="14" s="1"/>
  <c r="BE149" i="14"/>
  <c r="AJ166" i="14"/>
  <c r="Z166" i="14" s="1"/>
  <c r="BF21" i="14"/>
  <c r="BF121" i="14"/>
  <c r="BF152" i="14"/>
  <c r="BE42" i="14"/>
  <c r="BF84" i="14"/>
  <c r="BE121" i="14"/>
  <c r="BE69" i="14"/>
  <c r="BF101" i="14"/>
  <c r="BE124" i="14"/>
  <c r="BF181" i="14"/>
  <c r="L8" i="14" a="1"/>
  <c r="L8" i="14" s="1"/>
  <c r="BE84" i="14"/>
  <c r="BE101" i="14"/>
  <c r="BF55" i="14"/>
  <c r="BF94" i="14"/>
  <c r="BE147" i="14"/>
  <c r="BF47" i="14"/>
  <c r="BE20" i="14"/>
  <c r="BE94" i="14"/>
  <c r="BE45" i="14"/>
  <c r="BF46" i="14"/>
  <c r="BF20" i="14"/>
  <c r="BE123" i="14"/>
  <c r="BF123" i="14"/>
  <c r="BF146" i="14"/>
  <c r="BE30" i="14"/>
  <c r="BF135" i="14"/>
  <c r="BE46" i="14"/>
  <c r="BF191" i="14"/>
  <c r="AG35" i="14"/>
  <c r="AN35" i="14" s="1"/>
  <c r="BE189" i="14"/>
  <c r="BE47" i="14"/>
  <c r="BE21" i="14"/>
  <c r="BE55" i="14"/>
  <c r="BE35" i="14"/>
  <c r="BE145" i="14"/>
  <c r="P8" i="14" a="1"/>
  <c r="P8" i="14" s="1"/>
  <c r="BF97" i="14"/>
  <c r="BF162" i="14"/>
  <c r="BF189" i="14"/>
  <c r="BF192" i="14"/>
  <c r="BF208" i="14"/>
  <c r="BF195" i="14"/>
  <c r="BE208" i="14"/>
  <c r="AL20" i="14"/>
  <c r="AP20" i="14" s="1"/>
  <c r="BE191" i="14"/>
  <c r="BF64" i="14"/>
  <c r="BJ20" i="14"/>
  <c r="AI20" i="14"/>
  <c r="AA20" i="14" s="1"/>
  <c r="BI20" i="14"/>
  <c r="BE192" i="14"/>
  <c r="BE19" i="14"/>
  <c r="BF145" i="14"/>
  <c r="BF19" i="14"/>
  <c r="BE162" i="14"/>
  <c r="BE138" i="14"/>
  <c r="BF18" i="14"/>
  <c r="BE64" i="14"/>
  <c r="BE135" i="14"/>
  <c r="BE169" i="14"/>
  <c r="BE10" i="14"/>
  <c r="BF33" i="14"/>
  <c r="BE28" i="14"/>
  <c r="BF71" i="14"/>
  <c r="BF115" i="14"/>
  <c r="BE131" i="14"/>
  <c r="BF207" i="14"/>
  <c r="BF139" i="14"/>
  <c r="BF116" i="14"/>
  <c r="BF183" i="14"/>
  <c r="BF210" i="14"/>
  <c r="BE187" i="14"/>
  <c r="BF41" i="14"/>
  <c r="BE111" i="14"/>
  <c r="BE154" i="14"/>
  <c r="BE83" i="14"/>
  <c r="BE78" i="14"/>
  <c r="BF125" i="14"/>
  <c r="BE116" i="14"/>
  <c r="BE90" i="14"/>
  <c r="BF104" i="14"/>
  <c r="AH135" i="14"/>
  <c r="AJ135" i="14" s="1"/>
  <c r="Z135" i="14" s="1"/>
  <c r="BE113" i="14"/>
  <c r="AM35" i="14"/>
  <c r="AX35" i="14" s="1"/>
  <c r="BJ10" i="14"/>
  <c r="AI10" i="14"/>
  <c r="AJ35" i="14"/>
  <c r="Z35" i="14" s="1"/>
  <c r="BJ145" i="14"/>
  <c r="BK145" i="14" s="1"/>
  <c r="AN10" i="14"/>
  <c r="BI35" i="14"/>
  <c r="BE97" i="14"/>
  <c r="BE34" i="14"/>
  <c r="BF34" i="14"/>
  <c r="BF137" i="14"/>
  <c r="BF78" i="14"/>
  <c r="AH10" i="14"/>
  <c r="AJ198" i="14"/>
  <c r="Z198" i="14" s="1"/>
  <c r="AB97" i="14"/>
  <c r="BE183" i="14"/>
  <c r="BF131" i="14"/>
  <c r="BF11" i="14"/>
  <c r="BE11" i="14"/>
  <c r="BE144" i="14"/>
  <c r="BE115" i="14"/>
  <c r="AH145" i="14"/>
  <c r="AK145" i="14" s="1"/>
  <c r="BF159" i="14"/>
  <c r="BF80" i="14"/>
  <c r="BE33" i="14"/>
  <c r="BE41" i="14"/>
  <c r="BE104" i="14"/>
  <c r="BE95" i="14"/>
  <c r="BE146" i="14"/>
  <c r="BJ210" i="14"/>
  <c r="AH125" i="14"/>
  <c r="AM125" i="14" s="1"/>
  <c r="BE207" i="14"/>
  <c r="BE80" i="14"/>
  <c r="BE181" i="14"/>
  <c r="BE92" i="14"/>
  <c r="BE125" i="14"/>
  <c r="BF169" i="14"/>
  <c r="AI161" i="14"/>
  <c r="AA161" i="14" s="1"/>
  <c r="AH80" i="14"/>
  <c r="AJ80" i="14" s="1"/>
  <c r="Z80" i="14" s="1"/>
  <c r="AL161" i="14"/>
  <c r="AP161" i="14" s="1"/>
  <c r="BE159" i="14"/>
  <c r="BF134" i="14"/>
  <c r="BF198" i="14"/>
  <c r="BF91" i="14"/>
  <c r="BJ195" i="14"/>
  <c r="BK195" i="14" s="1"/>
  <c r="AM198" i="14"/>
  <c r="AO198" i="14" s="1"/>
  <c r="BE25" i="14"/>
  <c r="BE164" i="14"/>
  <c r="BE139" i="14"/>
  <c r="BE71" i="14"/>
  <c r="BF92" i="14"/>
  <c r="BE172" i="14"/>
  <c r="AG45" i="14"/>
  <c r="AL45" i="14" s="1"/>
  <c r="BF163" i="14"/>
  <c r="BE195" i="14"/>
  <c r="BE137" i="14"/>
  <c r="AG135" i="14"/>
  <c r="AL135" i="14" s="1"/>
  <c r="BJ115" i="14"/>
  <c r="BK115" i="14" s="1"/>
  <c r="BI210" i="14"/>
  <c r="BE148" i="14"/>
  <c r="BE134" i="14"/>
  <c r="BF90" i="14"/>
  <c r="BJ80" i="14"/>
  <c r="BJ125" i="14"/>
  <c r="BK125" i="14" s="1"/>
  <c r="AG80" i="14"/>
  <c r="AN80" i="14" s="1"/>
  <c r="BF30" i="14"/>
  <c r="BF164" i="14"/>
  <c r="BF50" i="14"/>
  <c r="BI45" i="14"/>
  <c r="AH115" i="14"/>
  <c r="AK115" i="14" s="1"/>
  <c r="BF144" i="14"/>
  <c r="BE198" i="14"/>
  <c r="BF68" i="14"/>
  <c r="AN30" i="14"/>
  <c r="AL30" i="14"/>
  <c r="AN183" i="14"/>
  <c r="AW183" i="14" s="1"/>
  <c r="AI183" i="14"/>
  <c r="AA183" i="14" s="1"/>
  <c r="AL154" i="14"/>
  <c r="AP154" i="14" s="1"/>
  <c r="AI154" i="14"/>
  <c r="AA154" i="14" s="1"/>
  <c r="BE50" i="14"/>
  <c r="BE161" i="14"/>
  <c r="AH90" i="14"/>
  <c r="AK90" i="14" s="1"/>
  <c r="AK182" i="14"/>
  <c r="AX182" i="14" s="1"/>
  <c r="AJ182" i="14"/>
  <c r="Z182" i="14" s="1"/>
  <c r="BF177" i="14"/>
  <c r="BJ30" i="14"/>
  <c r="BF172" i="14"/>
  <c r="AN90" i="14"/>
  <c r="BE68" i="14"/>
  <c r="AL90" i="14"/>
  <c r="BJ90" i="14"/>
  <c r="AH195" i="14"/>
  <c r="AJ195" i="14" s="1"/>
  <c r="Z195" i="14" s="1"/>
  <c r="BF103" i="14"/>
  <c r="BF74" i="14"/>
  <c r="BE182" i="14"/>
  <c r="BE27" i="14"/>
  <c r="AN159" i="14"/>
  <c r="AW159" i="14" s="1"/>
  <c r="AH30" i="14"/>
  <c r="AK30" i="14" s="1"/>
  <c r="AI159" i="14"/>
  <c r="AA159" i="14" s="1"/>
  <c r="AG95" i="14"/>
  <c r="AN95" i="14" s="1"/>
  <c r="AH95" i="14"/>
  <c r="AJ95" i="14" s="1"/>
  <c r="Z95" i="14" s="1"/>
  <c r="BE179" i="14"/>
  <c r="BF122" i="14"/>
  <c r="BF184" i="14"/>
  <c r="BE91" i="14"/>
  <c r="BF171" i="14"/>
  <c r="BE122" i="14"/>
  <c r="BE171" i="14"/>
  <c r="BE196" i="14"/>
  <c r="BF16" i="14"/>
  <c r="AH50" i="14"/>
  <c r="AJ50" i="14" s="1"/>
  <c r="Z50" i="14" s="1"/>
  <c r="AL50" i="14"/>
  <c r="AP50" i="14" s="1"/>
  <c r="AI50" i="14"/>
  <c r="AA50" i="14" s="1"/>
  <c r="BJ50" i="14"/>
  <c r="AP157" i="14"/>
  <c r="BE151" i="14"/>
  <c r="BF179" i="14"/>
  <c r="BF117" i="14"/>
  <c r="BE29" i="14"/>
  <c r="BE178" i="14"/>
  <c r="BE186" i="14"/>
  <c r="BE86" i="14"/>
  <c r="BF25" i="14"/>
  <c r="BF209" i="14"/>
  <c r="BE128" i="14"/>
  <c r="BF39" i="14"/>
  <c r="BF73" i="14"/>
  <c r="BE87" i="14"/>
  <c r="BE99" i="14"/>
  <c r="AB157" i="14"/>
  <c r="BE206" i="14"/>
  <c r="BF54" i="14"/>
  <c r="BE201" i="14"/>
  <c r="BF99" i="14"/>
  <c r="BE102" i="14"/>
  <c r="BE38" i="14"/>
  <c r="BE126" i="14"/>
  <c r="BF22" i="14"/>
  <c r="BE22" i="14"/>
  <c r="BE16" i="14"/>
  <c r="BF143" i="14"/>
  <c r="BF87" i="14"/>
  <c r="AM16" i="14"/>
  <c r="AK16" i="14"/>
  <c r="AJ205" i="14"/>
  <c r="Z205" i="14" s="1"/>
  <c r="BF186" i="14"/>
  <c r="BE103" i="14"/>
  <c r="BE177" i="14"/>
  <c r="BE74" i="14"/>
  <c r="AI29" i="14"/>
  <c r="AA29" i="14" s="1"/>
  <c r="AI88" i="14"/>
  <c r="AA88" i="14" s="1"/>
  <c r="AL88" i="14"/>
  <c r="AW88" i="14" s="1"/>
  <c r="AN29" i="14"/>
  <c r="AW29" i="14" s="1"/>
  <c r="BE163" i="14"/>
  <c r="BE150" i="14"/>
  <c r="BF102" i="14"/>
  <c r="BF126" i="14"/>
  <c r="BE108" i="14"/>
  <c r="BE73" i="14"/>
  <c r="BF26" i="14"/>
  <c r="BF206" i="14"/>
  <c r="BE190" i="14"/>
  <c r="BF112" i="14"/>
  <c r="BE153" i="14"/>
  <c r="BF108" i="14"/>
  <c r="BF52" i="14"/>
  <c r="BE52" i="14"/>
  <c r="AG155" i="14"/>
  <c r="AN155" i="14" s="1"/>
  <c r="AK205" i="14"/>
  <c r="AO205" i="14" s="1"/>
  <c r="BE205" i="14"/>
  <c r="BE209" i="14"/>
  <c r="AD39" i="14"/>
  <c r="BI205" i="14"/>
  <c r="BE117" i="14"/>
  <c r="BE18" i="14"/>
  <c r="BF201" i="14"/>
  <c r="BI25" i="14"/>
  <c r="AP67" i="14"/>
  <c r="AS67" i="14" s="1"/>
  <c r="BJ205" i="14"/>
  <c r="BE120" i="14"/>
  <c r="BE32" i="14"/>
  <c r="BE88" i="14"/>
  <c r="BE54" i="14"/>
  <c r="BE39" i="14"/>
  <c r="BF190" i="14"/>
  <c r="BE26" i="14"/>
  <c r="BE143" i="14"/>
  <c r="BE184" i="14"/>
  <c r="BE155" i="14"/>
  <c r="BE61" i="14"/>
  <c r="BE53" i="14"/>
  <c r="AB67" i="14"/>
  <c r="BF120" i="14"/>
  <c r="BE152" i="14"/>
  <c r="BF129" i="14"/>
  <c r="BE107" i="14"/>
  <c r="AL190" i="14"/>
  <c r="AP190" i="14" s="1"/>
  <c r="AL180" i="14"/>
  <c r="AK107" i="14"/>
  <c r="AG150" i="14"/>
  <c r="AL150" i="14" s="1"/>
  <c r="AB201" i="14"/>
  <c r="AM107" i="14"/>
  <c r="AN180" i="14"/>
  <c r="BJ180" i="14"/>
  <c r="BI155" i="14"/>
  <c r="AH155" i="14"/>
  <c r="BI120" i="14"/>
  <c r="BK120" i="14" s="1"/>
  <c r="AG120" i="14"/>
  <c r="AL120" i="14" s="1"/>
  <c r="BE17" i="14"/>
  <c r="BF153" i="14"/>
  <c r="BE180" i="14"/>
  <c r="BE57" i="14"/>
  <c r="AI190" i="14"/>
  <c r="AA190" i="14" s="1"/>
  <c r="BF53" i="14"/>
  <c r="BJ190" i="14"/>
  <c r="AH190" i="14"/>
  <c r="AM190" i="14" s="1"/>
  <c r="AI87" i="14"/>
  <c r="AA87" i="14" s="1"/>
  <c r="AL87" i="14"/>
  <c r="AN87" i="14"/>
  <c r="BJ25" i="14"/>
  <c r="BI180" i="14"/>
  <c r="AH180" i="14"/>
  <c r="AH150" i="14"/>
  <c r="BI150" i="14"/>
  <c r="BK150" i="14" s="1"/>
  <c r="AJ200" i="14"/>
  <c r="Z200" i="14" s="1"/>
  <c r="BK40" i="14"/>
  <c r="AM15" i="14"/>
  <c r="AX15" i="14" s="1"/>
  <c r="AJ15" i="14"/>
  <c r="Z15" i="14" s="1"/>
  <c r="AK200" i="14"/>
  <c r="AO200" i="14" s="1"/>
  <c r="AL165" i="14"/>
  <c r="AW165" i="14" s="1"/>
  <c r="AI165" i="14"/>
  <c r="AA165" i="14" s="1"/>
  <c r="AN185" i="14"/>
  <c r="AL185" i="14"/>
  <c r="AL65" i="14"/>
  <c r="AP65" i="14" s="1"/>
  <c r="AI65" i="14"/>
  <c r="AA65" i="14" s="1"/>
  <c r="AN112" i="14"/>
  <c r="BF31" i="14"/>
  <c r="AL112" i="14"/>
  <c r="BE23" i="14"/>
  <c r="BF128" i="14"/>
  <c r="BE173" i="14"/>
  <c r="BF62" i="14"/>
  <c r="BF57" i="14"/>
  <c r="BF141" i="14"/>
  <c r="BF93" i="14"/>
  <c r="BE129" i="14"/>
  <c r="BF158" i="14"/>
  <c r="BK130" i="14"/>
  <c r="BF176" i="14"/>
  <c r="BE31" i="14"/>
  <c r="BK141" i="14"/>
  <c r="BE48" i="14"/>
  <c r="BE141" i="14"/>
  <c r="BF173" i="14"/>
  <c r="BE62" i="14"/>
  <c r="BF44" i="14"/>
  <c r="AI102" i="14"/>
  <c r="AA102" i="14" s="1"/>
  <c r="BE158" i="14"/>
  <c r="AN31" i="14"/>
  <c r="AI31" i="14"/>
  <c r="AA31" i="14" s="1"/>
  <c r="AL31" i="14"/>
  <c r="AN102" i="14"/>
  <c r="AP102" i="14" s="1"/>
  <c r="BF72" i="14"/>
  <c r="BF23" i="14"/>
  <c r="AL140" i="14"/>
  <c r="BE112" i="14"/>
  <c r="AK105" i="14"/>
  <c r="AX105" i="14" s="1"/>
  <c r="AJ105" i="14"/>
  <c r="Z105" i="14" s="1"/>
  <c r="BF69" i="14"/>
  <c r="BE176" i="14"/>
  <c r="BK85" i="14"/>
  <c r="AL85" i="14"/>
  <c r="AW85" i="14" s="1"/>
  <c r="BE72" i="14"/>
  <c r="AI85" i="14"/>
  <c r="AA85" i="14" s="1"/>
  <c r="AL175" i="14"/>
  <c r="AW175" i="14" s="1"/>
  <c r="AI175" i="14"/>
  <c r="AA175" i="14" s="1"/>
  <c r="AJ25" i="14"/>
  <c r="Z25" i="14" s="1"/>
  <c r="AM25" i="14"/>
  <c r="AO25" i="14" s="1"/>
  <c r="AJ45" i="14"/>
  <c r="Z45" i="14" s="1"/>
  <c r="AM45" i="14"/>
  <c r="AO45" i="14" s="1"/>
  <c r="BK175" i="14"/>
  <c r="AJ165" i="14"/>
  <c r="Z165" i="14" s="1"/>
  <c r="AM165" i="14"/>
  <c r="AX165" i="14" s="1"/>
  <c r="BF197" i="14"/>
  <c r="AN140" i="14"/>
  <c r="BE127" i="14"/>
  <c r="BF148" i="14"/>
  <c r="BK23" i="14"/>
  <c r="AM93" i="14"/>
  <c r="AK93" i="14"/>
  <c r="AJ93" i="14"/>
  <c r="Z93" i="14" s="1"/>
  <c r="AI127" i="14"/>
  <c r="AA127" i="14" s="1"/>
  <c r="AL127" i="14"/>
  <c r="AN127" i="14"/>
  <c r="BF127" i="14"/>
  <c r="BE93" i="14"/>
  <c r="BF17" i="14"/>
  <c r="BK17" i="14"/>
  <c r="BE197" i="14"/>
  <c r="BE44" i="14"/>
  <c r="AI93" i="14"/>
  <c r="AA93" i="14" s="1"/>
  <c r="AN93" i="14"/>
  <c r="AL93" i="14"/>
  <c r="AR157" i="14"/>
  <c r="AP110" i="14"/>
  <c r="AW110" i="14"/>
  <c r="AX175" i="14"/>
  <c r="AO175" i="14"/>
  <c r="AE175" i="14"/>
  <c r="AE110" i="14"/>
  <c r="AB110" i="14"/>
  <c r="AW130" i="14"/>
  <c r="AP130" i="14"/>
  <c r="AE65" i="14"/>
  <c r="AX110" i="14"/>
  <c r="AO110" i="14"/>
  <c r="AE85" i="14"/>
  <c r="AI210" i="14"/>
  <c r="AA210" i="14" s="1"/>
  <c r="AL210" i="14"/>
  <c r="AN210" i="14"/>
  <c r="AO65" i="14"/>
  <c r="AX65" i="14"/>
  <c r="AR13" i="14"/>
  <c r="AW200" i="14"/>
  <c r="AP200" i="14"/>
  <c r="AX85" i="14"/>
  <c r="AO85" i="14"/>
  <c r="AW40" i="14"/>
  <c r="AP40" i="14"/>
  <c r="AR67" i="14"/>
  <c r="L84" i="14" a="1"/>
  <c r="L196" i="14" a="1"/>
  <c r="L149" i="14" a="1"/>
  <c r="L126" i="14" a="1"/>
  <c r="L180" i="14" a="1"/>
  <c r="L64" i="14" a="1"/>
  <c r="L25" i="14" a="1"/>
  <c r="L100" i="14" a="1"/>
  <c r="L93" i="14" a="1"/>
  <c r="L44" i="14" a="1"/>
  <c r="L106" i="14" a="1"/>
  <c r="L72" i="14" a="1"/>
  <c r="L105" i="14" a="1"/>
  <c r="L143" i="14" a="1"/>
  <c r="L182" i="14" a="1"/>
  <c r="L195" i="14" a="1"/>
  <c r="L29" i="14" a="1"/>
  <c r="L53" i="14" a="1"/>
  <c r="L28" i="14" a="1"/>
  <c r="L110" i="14" a="1"/>
  <c r="L18" i="14" a="1"/>
  <c r="L108" i="14" a="1"/>
  <c r="L15" i="14" a="1"/>
  <c r="L161" i="14" a="1"/>
  <c r="L144" i="14" a="1"/>
  <c r="L27" i="14" a="1"/>
  <c r="L152" i="14" a="1"/>
  <c r="L57" i="14" a="1"/>
  <c r="L154" i="14" a="1"/>
  <c r="L111" i="14" a="1"/>
  <c r="L16" i="14" a="1"/>
  <c r="L124" i="14" a="1"/>
  <c r="L117" i="14" a="1"/>
  <c r="L38" i="14" a="1"/>
  <c r="L202" i="14" a="1"/>
  <c r="L73" i="14" a="1"/>
  <c r="L121" i="14" a="1"/>
  <c r="L141" i="14" a="1"/>
  <c r="L151" i="14" a="1"/>
  <c r="L130" i="14" a="1"/>
  <c r="L103" i="14" a="1"/>
  <c r="L17" i="14" a="1"/>
  <c r="L92" i="14" a="1"/>
  <c r="L109" i="14" a="1"/>
  <c r="L172" i="14" a="1"/>
  <c r="L191" i="14" a="1"/>
  <c r="L23" i="14" a="1"/>
  <c r="L33" i="14" a="1"/>
  <c r="L118" i="14" a="1"/>
  <c r="L58" i="14" a="1"/>
  <c r="L43" i="14" a="1"/>
  <c r="L104" i="14" a="1"/>
  <c r="L76" i="14" a="1"/>
  <c r="L113" i="14" a="1"/>
  <c r="L173" i="14" a="1"/>
  <c r="L10" i="14" a="1"/>
  <c r="L86" i="14" a="1"/>
  <c r="L171" i="14" a="1"/>
  <c r="L185" i="14" a="1"/>
  <c r="L193" i="14" a="1"/>
  <c r="L30" i="14" a="1"/>
  <c r="L162" i="14" a="1"/>
  <c r="L203" i="14" a="1"/>
  <c r="L119" i="14" a="1"/>
  <c r="L132" i="14" a="1"/>
  <c r="L155" i="14" a="1"/>
  <c r="L63" i="14" a="1"/>
  <c r="L197" i="14" a="1"/>
  <c r="L120" i="14" a="1"/>
  <c r="L186" i="14" a="1"/>
  <c r="L60" i="14" a="1"/>
  <c r="L48" i="14" a="1"/>
  <c r="L69" i="14" a="1"/>
  <c r="L65" i="14" a="1"/>
  <c r="L200" i="14" a="1"/>
  <c r="L178" i="14" a="1"/>
  <c r="L112" i="14" a="1"/>
  <c r="L19" i="14" a="1"/>
  <c r="L31" i="14" a="1"/>
  <c r="L140" i="14" a="1"/>
  <c r="L181" i="14" a="1"/>
  <c r="L66" i="14" a="1"/>
  <c r="L134" i="14" a="1"/>
  <c r="L175" i="14" a="1"/>
  <c r="L20" i="14" a="1"/>
  <c r="L129" i="14" a="1"/>
  <c r="L36" i="14" a="1"/>
  <c r="L77" i="14" a="1"/>
  <c r="L166" i="14" a="1"/>
  <c r="L13" i="14" a="1"/>
  <c r="L35" i="14" a="1"/>
  <c r="L177" i="14" a="1"/>
  <c r="L147" i="14" a="1"/>
  <c r="L45" i="14" a="1"/>
  <c r="L184" i="14" a="1"/>
  <c r="L59" i="14" a="1"/>
  <c r="L81" i="14" a="1"/>
  <c r="L78" i="14" a="1"/>
  <c r="L167" i="14" a="1"/>
  <c r="L153" i="14" a="1"/>
  <c r="L61" i="14" a="1"/>
  <c r="L158" i="14" a="1"/>
  <c r="L88" i="14" a="1"/>
  <c r="L71" i="14" a="1"/>
  <c r="L41" i="14" a="1"/>
  <c r="L54" i="14" a="1"/>
  <c r="L34" i="14" a="1"/>
  <c r="L123" i="14" a="1"/>
  <c r="L192" i="14" a="1"/>
  <c r="L157" i="14" a="1"/>
  <c r="L40" i="14" a="1"/>
  <c r="L127" i="14" a="1"/>
  <c r="L208" i="14" a="1"/>
  <c r="L55" i="14" a="1"/>
  <c r="L201" i="14" a="1"/>
  <c r="L37" i="14" a="1"/>
  <c r="L159" i="14" a="1"/>
  <c r="L198" i="14" a="1"/>
  <c r="L67" i="14" a="1"/>
  <c r="L22" i="14" a="1"/>
  <c r="L179" i="14" a="1"/>
  <c r="L137" i="14" a="1"/>
  <c r="L122" i="14" a="1"/>
  <c r="L97" i="14" a="1"/>
  <c r="L46" i="14" a="1"/>
  <c r="L107" i="14" a="1"/>
  <c r="L75" i="14" a="1"/>
  <c r="L99" i="14" a="1"/>
  <c r="L194" i="14" a="1"/>
  <c r="L24" i="14" a="1"/>
  <c r="L139" i="14" a="1"/>
  <c r="L95" i="14" a="1"/>
  <c r="L165" i="14" a="1"/>
  <c r="L188" i="14" a="1"/>
  <c r="L189" i="14" a="1"/>
  <c r="L116" i="14" a="1"/>
  <c r="L204" i="14" a="1"/>
  <c r="L98" i="14" a="1"/>
  <c r="L21" i="14" a="1"/>
  <c r="L135" i="14" a="1"/>
  <c r="L206" i="14" a="1"/>
  <c r="L190" i="14" a="1"/>
  <c r="L199" i="14" a="1"/>
  <c r="L80" i="14" a="1"/>
  <c r="L14" i="14" a="1"/>
  <c r="L131" i="14" a="1"/>
  <c r="L11" i="14" a="1"/>
  <c r="L79" i="14" a="1"/>
  <c r="L207" i="14" a="1"/>
  <c r="L174" i="14" a="1"/>
  <c r="L83" i="14" a="1"/>
  <c r="L42" i="14" a="1"/>
  <c r="L82" i="14" a="1"/>
  <c r="L50" i="14" a="1"/>
  <c r="L70" i="14" a="1"/>
  <c r="L94" i="14" a="1"/>
  <c r="L89" i="14" a="1"/>
  <c r="L102" i="14" a="1"/>
  <c r="L26" i="14" a="1"/>
  <c r="L138" i="14" a="1"/>
  <c r="L115" i="14" a="1"/>
  <c r="L96" i="14" a="1"/>
  <c r="L91" i="14" a="1"/>
  <c r="L12" i="14" a="1"/>
  <c r="L133" i="14" a="1"/>
  <c r="L176" i="14" a="1"/>
  <c r="L101" i="14" a="1"/>
  <c r="L145" i="14" a="1"/>
  <c r="L32" i="14" a="1"/>
  <c r="L183" i="14" a="1"/>
  <c r="L205" i="14" a="1"/>
  <c r="L128" i="14" a="1"/>
  <c r="L148" i="14" a="1"/>
  <c r="L164" i="14" a="1"/>
  <c r="L210" i="14" a="1"/>
  <c r="L47" i="14" a="1"/>
  <c r="L168" i="14" a="1"/>
  <c r="L163" i="14" a="1"/>
  <c r="L62" i="14" a="1"/>
  <c r="L74" i="14" a="1"/>
  <c r="L85" i="14" a="1"/>
  <c r="L56" i="14" a="1"/>
  <c r="L87" i="14" a="1"/>
  <c r="L52" i="14" a="1"/>
  <c r="L160" i="14" a="1"/>
  <c r="L146" i="14" a="1"/>
  <c r="L49" i="14" a="1"/>
  <c r="L187" i="14" a="1"/>
  <c r="L125" i="14" a="1"/>
  <c r="L142" i="14" a="1"/>
  <c r="L150" i="14" a="1"/>
  <c r="L68" i="14" a="1"/>
  <c r="L51" i="14" a="1"/>
  <c r="L209" i="14" a="1"/>
  <c r="L136" i="14" a="1"/>
  <c r="L90" i="14" a="1"/>
  <c r="L170" i="14" a="1"/>
  <c r="L169" i="14" a="1"/>
  <c r="L114" i="14" a="1"/>
  <c r="L39" i="14" a="1"/>
  <c r="L156" i="14" a="1"/>
  <c r="AC66" i="14" l="1"/>
  <c r="AS82" i="14"/>
  <c r="AE202" i="14"/>
  <c r="BK29" i="14"/>
  <c r="BE8" i="14"/>
  <c r="BF8" i="14"/>
  <c r="AP10" i="14"/>
  <c r="AA10" i="14"/>
  <c r="AM10" i="14"/>
  <c r="AS157" i="14"/>
  <c r="BN157" i="14" s="1"/>
  <c r="AS43" i="14"/>
  <c r="AQ43" i="14"/>
  <c r="AR174" i="14"/>
  <c r="AR168" i="14"/>
  <c r="AQ82" i="14"/>
  <c r="AS66" i="14"/>
  <c r="AS156" i="14"/>
  <c r="AS136" i="14"/>
  <c r="AO202" i="14"/>
  <c r="AI208" i="14"/>
  <c r="AA208" i="14" s="1"/>
  <c r="BK196" i="14"/>
  <c r="AN208" i="14"/>
  <c r="AP208" i="14" s="1"/>
  <c r="AX204" i="14"/>
  <c r="AP204" i="14"/>
  <c r="AX208" i="14"/>
  <c r="BK202" i="14"/>
  <c r="AP49" i="14"/>
  <c r="AX192" i="14"/>
  <c r="AX206" i="14"/>
  <c r="AE198" i="14"/>
  <c r="AE162" i="14"/>
  <c r="AE22" i="14"/>
  <c r="AE112" i="14"/>
  <c r="AE118" i="14"/>
  <c r="AE206" i="14"/>
  <c r="AE208" i="14"/>
  <c r="AE58" i="14"/>
  <c r="AE186" i="14"/>
  <c r="AE78" i="14"/>
  <c r="AN198" i="14"/>
  <c r="AW198" i="14" s="1"/>
  <c r="AE166" i="14"/>
  <c r="AE26" i="14"/>
  <c r="AE138" i="14"/>
  <c r="AE46" i="14"/>
  <c r="AB136" i="14"/>
  <c r="AE143" i="14"/>
  <c r="AR143" i="14" s="1"/>
  <c r="AB82" i="14"/>
  <c r="AE102" i="14"/>
  <c r="AE12" i="14"/>
  <c r="AE196" i="14"/>
  <c r="AB156" i="14"/>
  <c r="AE76" i="14"/>
  <c r="AE173" i="14"/>
  <c r="AE148" i="14"/>
  <c r="AE192" i="14"/>
  <c r="AE18" i="14"/>
  <c r="AE92" i="14"/>
  <c r="AE142" i="14"/>
  <c r="AE204" i="14"/>
  <c r="AE152" i="14"/>
  <c r="AE56" i="14"/>
  <c r="AD12" i="14"/>
  <c r="AI206" i="14"/>
  <c r="AA206" i="14" s="1"/>
  <c r="AD46" i="14"/>
  <c r="AD18" i="14"/>
  <c r="AD122" i="14"/>
  <c r="AD178" i="14"/>
  <c r="AD42" i="14"/>
  <c r="AD138" i="14"/>
  <c r="AD118" i="14"/>
  <c r="AD102" i="14"/>
  <c r="AD56" i="14"/>
  <c r="AD48" i="14"/>
  <c r="AD86" i="14"/>
  <c r="AD148" i="14"/>
  <c r="AD36" i="14"/>
  <c r="AD182" i="14"/>
  <c r="AD88" i="14"/>
  <c r="AD58" i="14"/>
  <c r="AD152" i="14"/>
  <c r="AD68" i="14"/>
  <c r="AD38" i="14"/>
  <c r="AD168" i="14"/>
  <c r="AD186" i="14"/>
  <c r="AD116" i="14"/>
  <c r="AD172" i="14"/>
  <c r="AD202" i="14"/>
  <c r="AD196" i="14"/>
  <c r="AD76" i="14"/>
  <c r="AD78" i="14"/>
  <c r="AD72" i="14"/>
  <c r="AD106" i="14"/>
  <c r="AD176" i="14"/>
  <c r="AB204" i="14"/>
  <c r="AD146" i="14"/>
  <c r="AD126" i="14"/>
  <c r="AD92" i="14"/>
  <c r="AD32" i="14"/>
  <c r="AW204" i="14"/>
  <c r="AL69" i="14"/>
  <c r="AO196" i="14"/>
  <c r="AN17" i="14"/>
  <c r="AP17" i="14" s="1"/>
  <c r="AI17" i="14"/>
  <c r="AA17" i="14" s="1"/>
  <c r="AD17" i="14" s="1"/>
  <c r="AN206" i="14"/>
  <c r="AW206" i="14" s="1"/>
  <c r="AO143" i="14"/>
  <c r="AI198" i="14"/>
  <c r="AA198" i="14" s="1"/>
  <c r="AO49" i="14"/>
  <c r="AR43" i="14"/>
  <c r="AR109" i="14"/>
  <c r="AL129" i="14"/>
  <c r="AS49" i="14"/>
  <c r="AB61" i="14"/>
  <c r="AN129" i="14"/>
  <c r="AO61" i="14"/>
  <c r="AI192" i="14"/>
  <c r="AA192" i="14" s="1"/>
  <c r="AI57" i="14"/>
  <c r="AA57" i="14" s="1"/>
  <c r="AB57" i="14" s="1"/>
  <c r="AL192" i="14"/>
  <c r="AW192" i="14" s="1"/>
  <c r="AL57" i="14"/>
  <c r="AP57" i="14" s="1"/>
  <c r="BK47" i="14"/>
  <c r="AB49" i="14"/>
  <c r="AX189" i="14"/>
  <c r="BK137" i="14"/>
  <c r="BK33" i="14"/>
  <c r="AR49" i="14"/>
  <c r="AJ69" i="14"/>
  <c r="Z69" i="14" s="1"/>
  <c r="AE69" i="14" s="1"/>
  <c r="AK69" i="14"/>
  <c r="AO69" i="14" s="1"/>
  <c r="AO179" i="14"/>
  <c r="AR179" i="14" s="1"/>
  <c r="AN69" i="14"/>
  <c r="BK59" i="14"/>
  <c r="AC201" i="14"/>
  <c r="AX131" i="14"/>
  <c r="AK169" i="14"/>
  <c r="AX169" i="14" s="1"/>
  <c r="AJ169" i="14"/>
  <c r="Z169" i="14" s="1"/>
  <c r="AE169" i="14" s="1"/>
  <c r="AC169" i="14" s="1"/>
  <c r="AN23" i="14"/>
  <c r="AW23" i="14" s="1"/>
  <c r="AI23" i="14"/>
  <c r="AA23" i="14" s="1"/>
  <c r="BK169" i="14"/>
  <c r="AX207" i="14"/>
  <c r="AE79" i="14"/>
  <c r="AR79" i="14" s="1"/>
  <c r="BK99" i="14"/>
  <c r="AJ147" i="14"/>
  <c r="Z147" i="14" s="1"/>
  <c r="AE147" i="14" s="1"/>
  <c r="BK149" i="14"/>
  <c r="AO173" i="14"/>
  <c r="AJ103" i="14"/>
  <c r="Z103" i="14" s="1"/>
  <c r="AL151" i="14"/>
  <c r="AX27" i="14"/>
  <c r="AO33" i="14"/>
  <c r="BK133" i="14"/>
  <c r="AN191" i="14"/>
  <c r="AP191" i="14" s="1"/>
  <c r="AQ191" i="14" s="1"/>
  <c r="AX79" i="14"/>
  <c r="AI131" i="14"/>
  <c r="AA131" i="14" s="1"/>
  <c r="AB131" i="14" s="1"/>
  <c r="AX171" i="14"/>
  <c r="AN131" i="14"/>
  <c r="AW131" i="14" s="1"/>
  <c r="BK61" i="14"/>
  <c r="AM103" i="14"/>
  <c r="AO103" i="14" s="1"/>
  <c r="AN151" i="14"/>
  <c r="BK127" i="14"/>
  <c r="AO207" i="14"/>
  <c r="AR207" i="14" s="1"/>
  <c r="BK161" i="14"/>
  <c r="AP169" i="14"/>
  <c r="AS169" i="14" s="1"/>
  <c r="AO97" i="14"/>
  <c r="AC37" i="14"/>
  <c r="AD187" i="14"/>
  <c r="AC187" i="14" s="1"/>
  <c r="AL187" i="14"/>
  <c r="BK19" i="14"/>
  <c r="AN187" i="14"/>
  <c r="BK143" i="14"/>
  <c r="AC97" i="14"/>
  <c r="BK91" i="14"/>
  <c r="AX97" i="14"/>
  <c r="AO51" i="14"/>
  <c r="AO73" i="14"/>
  <c r="AX21" i="14"/>
  <c r="AR59" i="14"/>
  <c r="AX137" i="14"/>
  <c r="AO39" i="14"/>
  <c r="AL63" i="14"/>
  <c r="AW63" i="14" s="1"/>
  <c r="AO77" i="14"/>
  <c r="AR77" i="14" s="1"/>
  <c r="AJ17" i="14"/>
  <c r="Z17" i="14" s="1"/>
  <c r="AK17" i="14"/>
  <c r="AO17" i="14" s="1"/>
  <c r="BK39" i="14"/>
  <c r="AI63" i="14"/>
  <c r="AA63" i="14" s="1"/>
  <c r="AM147" i="14"/>
  <c r="AX147" i="14" s="1"/>
  <c r="AX59" i="14"/>
  <c r="AE137" i="14"/>
  <c r="AR137" i="14" s="1"/>
  <c r="BK97" i="14"/>
  <c r="BK147" i="14"/>
  <c r="AK197" i="14"/>
  <c r="AX197" i="14" s="1"/>
  <c r="AJ197" i="14"/>
  <c r="Z197" i="14" s="1"/>
  <c r="AE197" i="14" s="1"/>
  <c r="AC49" i="14"/>
  <c r="AJ163" i="14"/>
  <c r="Z163" i="14" s="1"/>
  <c r="AK163" i="14"/>
  <c r="AX163" i="14" s="1"/>
  <c r="AK127" i="14"/>
  <c r="AC61" i="14"/>
  <c r="AM127" i="14"/>
  <c r="AE117" i="14"/>
  <c r="AE134" i="14"/>
  <c r="AE14" i="14"/>
  <c r="AE99" i="14"/>
  <c r="AR99" i="14" s="1"/>
  <c r="AE189" i="14"/>
  <c r="AC189" i="14" s="1"/>
  <c r="AE209" i="14"/>
  <c r="AE203" i="14"/>
  <c r="AE153" i="14"/>
  <c r="AR153" i="14" s="1"/>
  <c r="AE83" i="14"/>
  <c r="AE171" i="14"/>
  <c r="AC171" i="14" s="1"/>
  <c r="AE21" i="14"/>
  <c r="AR21" i="14" s="1"/>
  <c r="AE154" i="14"/>
  <c r="AE81" i="14"/>
  <c r="AR81" i="14" s="1"/>
  <c r="AE11" i="14"/>
  <c r="AR11" i="14" s="1"/>
  <c r="AE63" i="14"/>
  <c r="AR63" i="14" s="1"/>
  <c r="AE164" i="14"/>
  <c r="AE113" i="14"/>
  <c r="AE19" i="14"/>
  <c r="AR19" i="14" s="1"/>
  <c r="AE139" i="14"/>
  <c r="AR139" i="14" s="1"/>
  <c r="AE47" i="14"/>
  <c r="AR47" i="14" s="1"/>
  <c r="AE101" i="14"/>
  <c r="AR101" i="14" s="1"/>
  <c r="AE149" i="14"/>
  <c r="AR149" i="14" s="1"/>
  <c r="AI194" i="14"/>
  <c r="AA194" i="14" s="1"/>
  <c r="AE89" i="14"/>
  <c r="AB167" i="14"/>
  <c r="AE24" i="14"/>
  <c r="AE104" i="14"/>
  <c r="AE27" i="14"/>
  <c r="AR27" i="14" s="1"/>
  <c r="BK183" i="14"/>
  <c r="AE151" i="14"/>
  <c r="AR151" i="14" s="1"/>
  <c r="AE199" i="14"/>
  <c r="AC199" i="14" s="1"/>
  <c r="AN194" i="14"/>
  <c r="AP194" i="14" s="1"/>
  <c r="AE184" i="14"/>
  <c r="AE33" i="14"/>
  <c r="AR33" i="14" s="1"/>
  <c r="AE39" i="14"/>
  <c r="AC39" i="14" s="1"/>
  <c r="AE29" i="14"/>
  <c r="AR29" i="14" s="1"/>
  <c r="AE191" i="14"/>
  <c r="AR191" i="14" s="1"/>
  <c r="AE193" i="14"/>
  <c r="AC193" i="14" s="1"/>
  <c r="AO89" i="14"/>
  <c r="BK27" i="14"/>
  <c r="AD149" i="14"/>
  <c r="AD14" i="14"/>
  <c r="AD81" i="14"/>
  <c r="AS81" i="14" s="1"/>
  <c r="AD153" i="14"/>
  <c r="AD71" i="14"/>
  <c r="AC71" i="14" s="1"/>
  <c r="AD207" i="14"/>
  <c r="AC207" i="14" s="1"/>
  <c r="AD159" i="14"/>
  <c r="AC159" i="14" s="1"/>
  <c r="AD154" i="14"/>
  <c r="AD104" i="14"/>
  <c r="AD19" i="14"/>
  <c r="AD151" i="14"/>
  <c r="AD127" i="14"/>
  <c r="AD123" i="14"/>
  <c r="AC123" i="14" s="1"/>
  <c r="AD137" i="14"/>
  <c r="AD101" i="14"/>
  <c r="AD33" i="14"/>
  <c r="AD13" i="14"/>
  <c r="AC13" i="14" s="1"/>
  <c r="AD87" i="14"/>
  <c r="AD181" i="14"/>
  <c r="AS181" i="14" s="1"/>
  <c r="AD69" i="14"/>
  <c r="AD183" i="14"/>
  <c r="AC183" i="14" s="1"/>
  <c r="AD119" i="14"/>
  <c r="AC119" i="14" s="1"/>
  <c r="AD173" i="14"/>
  <c r="AS173" i="14" s="1"/>
  <c r="AD59" i="14"/>
  <c r="AC59" i="14" s="1"/>
  <c r="AD73" i="14"/>
  <c r="AC73" i="14" s="1"/>
  <c r="AD27" i="14"/>
  <c r="AS27" i="14" s="1"/>
  <c r="AD174" i="14"/>
  <c r="AD31" i="14"/>
  <c r="AD114" i="14"/>
  <c r="AD197" i="14"/>
  <c r="AD29" i="14"/>
  <c r="AD84" i="14"/>
  <c r="AD203" i="14"/>
  <c r="AS203" i="14" s="1"/>
  <c r="AD133" i="14"/>
  <c r="AC133" i="14" s="1"/>
  <c r="AD83" i="14"/>
  <c r="AS83" i="14" s="1"/>
  <c r="AB13" i="14"/>
  <c r="AD113" i="14"/>
  <c r="AD147" i="14"/>
  <c r="AS147" i="14" s="1"/>
  <c r="BK81" i="14"/>
  <c r="AD93" i="14"/>
  <c r="AD47" i="14"/>
  <c r="AD143" i="14"/>
  <c r="AX91" i="14"/>
  <c r="AD74" i="14"/>
  <c r="AD24" i="14"/>
  <c r="AD91" i="14"/>
  <c r="AC91" i="14" s="1"/>
  <c r="AD41" i="14"/>
  <c r="AC41" i="14" s="1"/>
  <c r="AD99" i="14"/>
  <c r="AS99" i="14" s="1"/>
  <c r="AD209" i="14"/>
  <c r="AS209" i="14" s="1"/>
  <c r="AD77" i="14"/>
  <c r="AC77" i="14" s="1"/>
  <c r="AO71" i="14"/>
  <c r="AR71" i="14" s="1"/>
  <c r="AD161" i="14"/>
  <c r="AC161" i="14" s="1"/>
  <c r="AD94" i="14"/>
  <c r="AD121" i="14"/>
  <c r="AC121" i="14" s="1"/>
  <c r="AX47" i="14"/>
  <c r="AJ23" i="14"/>
  <c r="Z23" i="14" s="1"/>
  <c r="AK23" i="14"/>
  <c r="AO23" i="14" s="1"/>
  <c r="AP13" i="14"/>
  <c r="AL207" i="14"/>
  <c r="AN109" i="14"/>
  <c r="AW109" i="14" s="1"/>
  <c r="AI109" i="14"/>
  <c r="AA109" i="14" s="1"/>
  <c r="AB109" i="14" s="1"/>
  <c r="AO203" i="14"/>
  <c r="AB207" i="14"/>
  <c r="AQ27" i="14"/>
  <c r="BK193" i="14"/>
  <c r="AN207" i="14"/>
  <c r="AX11" i="14"/>
  <c r="AX71" i="14"/>
  <c r="AK181" i="14"/>
  <c r="AO181" i="14" s="1"/>
  <c r="AQ181" i="14" s="1"/>
  <c r="AX139" i="14"/>
  <c r="BK167" i="14"/>
  <c r="AO159" i="14"/>
  <c r="AR159" i="14" s="1"/>
  <c r="AB193" i="14"/>
  <c r="AX153" i="14"/>
  <c r="AI11" i="14"/>
  <c r="AA11" i="14" s="1"/>
  <c r="AJ181" i="14"/>
  <c r="Z181" i="14" s="1"/>
  <c r="AM193" i="14"/>
  <c r="AK193" i="14"/>
  <c r="AX151" i="14"/>
  <c r="AN11" i="14"/>
  <c r="AW11" i="14" s="1"/>
  <c r="AO199" i="14"/>
  <c r="BK153" i="14"/>
  <c r="AI53" i="14"/>
  <c r="AA53" i="14" s="1"/>
  <c r="AO83" i="14"/>
  <c r="BK73" i="14"/>
  <c r="AI139" i="14"/>
  <c r="AA139" i="14" s="1"/>
  <c r="AL53" i="14"/>
  <c r="AW53" i="14" s="1"/>
  <c r="AM87" i="14"/>
  <c r="AO87" i="14" s="1"/>
  <c r="AJ87" i="14"/>
  <c r="Z87" i="14" s="1"/>
  <c r="AX161" i="14"/>
  <c r="AN139" i="14"/>
  <c r="AP139" i="14" s="1"/>
  <c r="AQ139" i="14" s="1"/>
  <c r="AB199" i="14"/>
  <c r="BK209" i="14"/>
  <c r="AX159" i="14"/>
  <c r="AX183" i="14"/>
  <c r="AO131" i="14"/>
  <c r="AR131" i="14" s="1"/>
  <c r="AO53" i="14"/>
  <c r="BK93" i="14"/>
  <c r="BK199" i="14"/>
  <c r="AL197" i="14"/>
  <c r="AN197" i="14"/>
  <c r="BK173" i="14"/>
  <c r="AX149" i="14"/>
  <c r="AI191" i="14"/>
  <c r="AA191" i="14" s="1"/>
  <c r="BK201" i="14"/>
  <c r="AX133" i="14"/>
  <c r="AX53" i="14"/>
  <c r="AX191" i="14"/>
  <c r="AO57" i="14"/>
  <c r="AR57" i="14" s="1"/>
  <c r="BK203" i="14"/>
  <c r="AX109" i="14"/>
  <c r="AX101" i="14"/>
  <c r="AX99" i="14"/>
  <c r="BK31" i="14"/>
  <c r="BK83" i="14"/>
  <c r="AJ177" i="14"/>
  <c r="Z177" i="14" s="1"/>
  <c r="AO63" i="14"/>
  <c r="AO194" i="14"/>
  <c r="AM177" i="14"/>
  <c r="AO177" i="14" s="1"/>
  <c r="BK171" i="14"/>
  <c r="BK159" i="14"/>
  <c r="AJ31" i="14"/>
  <c r="Z31" i="14" s="1"/>
  <c r="BK101" i="14"/>
  <c r="AX57" i="14"/>
  <c r="AM31" i="14"/>
  <c r="AX31" i="14" s="1"/>
  <c r="AB189" i="14"/>
  <c r="AO183" i="14"/>
  <c r="AK209" i="14"/>
  <c r="AX73" i="14"/>
  <c r="AO133" i="14"/>
  <c r="AB77" i="14"/>
  <c r="AB171" i="14"/>
  <c r="AX41" i="14"/>
  <c r="AX51" i="14"/>
  <c r="AM209" i="14"/>
  <c r="AQ81" i="14"/>
  <c r="AK129" i="14"/>
  <c r="AO129" i="14" s="1"/>
  <c r="AX81" i="14"/>
  <c r="AI21" i="14"/>
  <c r="AA21" i="14" s="1"/>
  <c r="BK41" i="14"/>
  <c r="AJ129" i="14"/>
  <c r="Z129" i="14" s="1"/>
  <c r="AN21" i="14"/>
  <c r="AP21" i="14" s="1"/>
  <c r="AQ21" i="14" s="1"/>
  <c r="AI79" i="14"/>
  <c r="AA79" i="14" s="1"/>
  <c r="AL79" i="14"/>
  <c r="AW79" i="14" s="1"/>
  <c r="AB151" i="14"/>
  <c r="AO161" i="14"/>
  <c r="AR161" i="14" s="1"/>
  <c r="AX194" i="14"/>
  <c r="BK37" i="14"/>
  <c r="AX201" i="14"/>
  <c r="AO37" i="14"/>
  <c r="BK189" i="14"/>
  <c r="AN163" i="14"/>
  <c r="AP163" i="14" s="1"/>
  <c r="AX37" i="14"/>
  <c r="AL71" i="14"/>
  <c r="AO201" i="14"/>
  <c r="AR201" i="14" s="1"/>
  <c r="AI51" i="14"/>
  <c r="AA51" i="14" s="1"/>
  <c r="AN77" i="14"/>
  <c r="AB71" i="14"/>
  <c r="AX19" i="14"/>
  <c r="AN71" i="14"/>
  <c r="AI163" i="14"/>
  <c r="AA163" i="14" s="1"/>
  <c r="AL77" i="14"/>
  <c r="AN51" i="14"/>
  <c r="AP51" i="14" s="1"/>
  <c r="AX187" i="14"/>
  <c r="AK141" i="14"/>
  <c r="AM141" i="14"/>
  <c r="AX29" i="14"/>
  <c r="AL179" i="14"/>
  <c r="AW179" i="14" s="1"/>
  <c r="AO41" i="14"/>
  <c r="AR41" i="14" s="1"/>
  <c r="AL141" i="14"/>
  <c r="AP141" i="14" s="1"/>
  <c r="AI141" i="14"/>
  <c r="AA141" i="14" s="1"/>
  <c r="AO187" i="14"/>
  <c r="AR187" i="14" s="1"/>
  <c r="AQ99" i="14"/>
  <c r="AI179" i="14"/>
  <c r="AA179" i="14" s="1"/>
  <c r="AI89" i="14"/>
  <c r="AA89" i="14" s="1"/>
  <c r="AN89" i="14"/>
  <c r="AW89" i="14" s="1"/>
  <c r="AE50" i="14"/>
  <c r="AE35" i="14"/>
  <c r="AE80" i="14"/>
  <c r="AE205" i="14"/>
  <c r="AE60" i="14"/>
  <c r="AE75" i="14"/>
  <c r="AE95" i="14"/>
  <c r="AE25" i="14"/>
  <c r="AE195" i="14"/>
  <c r="AE140" i="14"/>
  <c r="AB130" i="14"/>
  <c r="AE135" i="14"/>
  <c r="AE40" i="14"/>
  <c r="AB200" i="14"/>
  <c r="AD85" i="14"/>
  <c r="AD145" i="14"/>
  <c r="AD170" i="14"/>
  <c r="AD55" i="14"/>
  <c r="AD190" i="14"/>
  <c r="AD210" i="14"/>
  <c r="AD175" i="14"/>
  <c r="AD165" i="14"/>
  <c r="AD115" i="14"/>
  <c r="AD50" i="14"/>
  <c r="AD20" i="14"/>
  <c r="AD65" i="14"/>
  <c r="AD125" i="14"/>
  <c r="AS200" i="14"/>
  <c r="AS110" i="14"/>
  <c r="AS40" i="14"/>
  <c r="AS130" i="14"/>
  <c r="AK188" i="14"/>
  <c r="AX188" i="14" s="1"/>
  <c r="AJ188" i="14"/>
  <c r="Z188" i="14" s="1"/>
  <c r="BK182" i="14"/>
  <c r="BK186" i="14"/>
  <c r="BK184" i="14"/>
  <c r="AB184" i="14"/>
  <c r="AX184" i="14"/>
  <c r="AX186" i="14"/>
  <c r="AQ186" i="14"/>
  <c r="AQ14" i="14"/>
  <c r="BK14" i="14"/>
  <c r="AX14" i="14"/>
  <c r="AR37" i="14"/>
  <c r="AP143" i="14"/>
  <c r="AW182" i="14"/>
  <c r="AB174" i="14"/>
  <c r="AJ98" i="14"/>
  <c r="Z98" i="14" s="1"/>
  <c r="AM98" i="14"/>
  <c r="AW27" i="14"/>
  <c r="AN132" i="14"/>
  <c r="AP132" i="14" s="1"/>
  <c r="AI132" i="14"/>
  <c r="AA132" i="14" s="1"/>
  <c r="AW201" i="14"/>
  <c r="AP153" i="14"/>
  <c r="AP193" i="14"/>
  <c r="AP174" i="14"/>
  <c r="AB91" i="14"/>
  <c r="AB203" i="14"/>
  <c r="AP201" i="14"/>
  <c r="AS201" i="14" s="1"/>
  <c r="AB182" i="14"/>
  <c r="AW209" i="14"/>
  <c r="AW81" i="14"/>
  <c r="AI98" i="14"/>
  <c r="AA98" i="14" s="1"/>
  <c r="AB27" i="14"/>
  <c r="AN98" i="14"/>
  <c r="AP98" i="14" s="1"/>
  <c r="AW193" i="14"/>
  <c r="AB143" i="14"/>
  <c r="AW39" i="14"/>
  <c r="AW177" i="14"/>
  <c r="AP39" i="14"/>
  <c r="AO66" i="14"/>
  <c r="L10" i="14"/>
  <c r="AW147" i="14"/>
  <c r="AB186" i="14"/>
  <c r="AX40" i="14"/>
  <c r="AK210" i="14"/>
  <c r="AX210" i="14" s="1"/>
  <c r="AP33" i="14"/>
  <c r="AX66" i="14"/>
  <c r="AP61" i="14"/>
  <c r="AS61" i="14" s="1"/>
  <c r="AL172" i="14"/>
  <c r="AP177" i="14"/>
  <c r="AS177" i="14" s="1"/>
  <c r="AW186" i="14"/>
  <c r="AO130" i="14"/>
  <c r="AW196" i="14"/>
  <c r="AB112" i="14"/>
  <c r="AW61" i="14"/>
  <c r="AL145" i="14"/>
  <c r="AB196" i="14"/>
  <c r="AP47" i="14"/>
  <c r="AQ47" i="14" s="1"/>
  <c r="AL170" i="14"/>
  <c r="AL117" i="14"/>
  <c r="AW117" i="14" s="1"/>
  <c r="AB19" i="14"/>
  <c r="AB170" i="14"/>
  <c r="AB47" i="14"/>
  <c r="AN170" i="14"/>
  <c r="AW99" i="14"/>
  <c r="AS202" i="14"/>
  <c r="L30" i="14"/>
  <c r="L20" i="14"/>
  <c r="AP19" i="14"/>
  <c r="AJ210" i="14"/>
  <c r="Z210" i="14" s="1"/>
  <c r="AB81" i="14"/>
  <c r="AM158" i="14"/>
  <c r="AO158" i="14" s="1"/>
  <c r="AN26" i="14"/>
  <c r="AW26" i="14" s="1"/>
  <c r="AP167" i="14"/>
  <c r="AS167" i="14" s="1"/>
  <c r="AI26" i="14"/>
  <c r="AA26" i="14" s="1"/>
  <c r="AB83" i="14"/>
  <c r="AB101" i="14"/>
  <c r="AJ128" i="14"/>
  <c r="Z128" i="14" s="1"/>
  <c r="AP41" i="14"/>
  <c r="AB40" i="14"/>
  <c r="AB209" i="14"/>
  <c r="AB172" i="14"/>
  <c r="AN172" i="14"/>
  <c r="AJ20" i="14"/>
  <c r="Z20" i="14" s="1"/>
  <c r="AM128" i="14"/>
  <c r="AX128" i="14" s="1"/>
  <c r="AM92" i="14"/>
  <c r="AP184" i="14"/>
  <c r="AB33" i="14"/>
  <c r="AW203" i="14"/>
  <c r="AW181" i="14"/>
  <c r="AB153" i="14"/>
  <c r="AP101" i="14"/>
  <c r="AQ101" i="14" s="1"/>
  <c r="AP103" i="14"/>
  <c r="AQ142" i="14"/>
  <c r="AW184" i="14"/>
  <c r="AX142" i="14"/>
  <c r="AB59" i="14"/>
  <c r="AM34" i="14"/>
  <c r="AO34" i="14" s="1"/>
  <c r="AB41" i="14"/>
  <c r="AI166" i="14"/>
  <c r="AA166" i="14" s="1"/>
  <c r="AW103" i="14"/>
  <c r="AI105" i="14"/>
  <c r="AA105" i="14" s="1"/>
  <c r="AW167" i="14"/>
  <c r="AP199" i="14"/>
  <c r="AS199" i="14" s="1"/>
  <c r="BK160" i="14"/>
  <c r="AE170" i="14"/>
  <c r="AW83" i="14"/>
  <c r="AP171" i="14"/>
  <c r="AS171" i="14" s="1"/>
  <c r="AJ126" i="14"/>
  <c r="Z126" i="14" s="1"/>
  <c r="AW133" i="14"/>
  <c r="AM72" i="14"/>
  <c r="AO72" i="14" s="1"/>
  <c r="AW173" i="14"/>
  <c r="AN125" i="14"/>
  <c r="AI28" i="14"/>
  <c r="AA28" i="14" s="1"/>
  <c r="AI205" i="14"/>
  <c r="AA205" i="14" s="1"/>
  <c r="AM120" i="14"/>
  <c r="AX120" i="14" s="1"/>
  <c r="AB133" i="14"/>
  <c r="AL166" i="14"/>
  <c r="AP166" i="14" s="1"/>
  <c r="AJ146" i="14"/>
  <c r="Z146" i="14" s="1"/>
  <c r="AM154" i="14"/>
  <c r="AI107" i="14"/>
  <c r="AA107" i="14" s="1"/>
  <c r="AL107" i="14"/>
  <c r="AP107" i="14" s="1"/>
  <c r="AX36" i="14"/>
  <c r="AW189" i="14"/>
  <c r="AE136" i="14"/>
  <c r="AB73" i="14"/>
  <c r="AL105" i="14"/>
  <c r="AW105" i="14" s="1"/>
  <c r="AW97" i="14"/>
  <c r="AK154" i="14"/>
  <c r="AW199" i="14"/>
  <c r="AP137" i="14"/>
  <c r="AQ137" i="14" s="1"/>
  <c r="AJ108" i="14"/>
  <c r="Z108" i="14" s="1"/>
  <c r="AB142" i="14"/>
  <c r="AN28" i="14"/>
  <c r="AW28" i="14" s="1"/>
  <c r="AP97" i="14"/>
  <c r="AS97" i="14" s="1"/>
  <c r="AM170" i="14"/>
  <c r="AK170" i="14"/>
  <c r="BK30" i="14"/>
  <c r="AM146" i="14"/>
  <c r="AO146" i="14" s="1"/>
  <c r="AJ120" i="14"/>
  <c r="Z120" i="14" s="1"/>
  <c r="AK126" i="14"/>
  <c r="AX126" i="14" s="1"/>
  <c r="AL121" i="14"/>
  <c r="AL115" i="14"/>
  <c r="AM58" i="14"/>
  <c r="AM108" i="14"/>
  <c r="AX108" i="14" s="1"/>
  <c r="AN121" i="14"/>
  <c r="AN115" i="14"/>
  <c r="AB121" i="14"/>
  <c r="AK58" i="14"/>
  <c r="AJ34" i="14"/>
  <c r="Z34" i="14" s="1"/>
  <c r="AK20" i="14"/>
  <c r="AX20" i="14" s="1"/>
  <c r="AE130" i="14"/>
  <c r="AJ158" i="14"/>
  <c r="Z158" i="14" s="1"/>
  <c r="AK92" i="14"/>
  <c r="AB202" i="14"/>
  <c r="AP189" i="14"/>
  <c r="AS189" i="14" s="1"/>
  <c r="AB140" i="14"/>
  <c r="AM134" i="14"/>
  <c r="AL113" i="14"/>
  <c r="BK35" i="14"/>
  <c r="AK134" i="14"/>
  <c r="AN22" i="14"/>
  <c r="AP22" i="14" s="1"/>
  <c r="AB173" i="14"/>
  <c r="AP73" i="14"/>
  <c r="AI195" i="14"/>
  <c r="AA195" i="14" s="1"/>
  <c r="AI162" i="14"/>
  <c r="AA162" i="14" s="1"/>
  <c r="AI22" i="14"/>
  <c r="AA22" i="14" s="1"/>
  <c r="AM74" i="14"/>
  <c r="AO74" i="14" s="1"/>
  <c r="AN162" i="14"/>
  <c r="AW162" i="14" s="1"/>
  <c r="AM140" i="14"/>
  <c r="AL195" i="14"/>
  <c r="AW195" i="14" s="1"/>
  <c r="AK140" i="14"/>
  <c r="AW188" i="14"/>
  <c r="AW171" i="14"/>
  <c r="AP37" i="14"/>
  <c r="AS37" i="14" s="1"/>
  <c r="AJ62" i="14"/>
  <c r="Z62" i="14" s="1"/>
  <c r="BK155" i="14"/>
  <c r="AP188" i="14"/>
  <c r="BK55" i="14"/>
  <c r="AM104" i="14"/>
  <c r="AJ38" i="14"/>
  <c r="Z38" i="14" s="1"/>
  <c r="BK16" i="14"/>
  <c r="AN113" i="14"/>
  <c r="AM64" i="14"/>
  <c r="AX64" i="14" s="1"/>
  <c r="AB149" i="14"/>
  <c r="AM124" i="14"/>
  <c r="AX124" i="14" s="1"/>
  <c r="AJ64" i="14"/>
  <c r="Z64" i="14" s="1"/>
  <c r="BK12" i="14"/>
  <c r="AM38" i="14"/>
  <c r="AO38" i="14" s="1"/>
  <c r="AW14" i="14"/>
  <c r="AW37" i="14"/>
  <c r="AJ74" i="14"/>
  <c r="Z74" i="14" s="1"/>
  <c r="AX136" i="14"/>
  <c r="AB14" i="14"/>
  <c r="AP149" i="14"/>
  <c r="AP59" i="14"/>
  <c r="AQ59" i="14" s="1"/>
  <c r="AI111" i="14"/>
  <c r="AA111" i="14" s="1"/>
  <c r="AM62" i="14"/>
  <c r="AO62" i="14" s="1"/>
  <c r="AJ122" i="14"/>
  <c r="Z122" i="14" s="1"/>
  <c r="BK190" i="14"/>
  <c r="AM52" i="14"/>
  <c r="AX52" i="14" s="1"/>
  <c r="AM86" i="14"/>
  <c r="AO86" i="14" s="1"/>
  <c r="BK45" i="14"/>
  <c r="AB137" i="14"/>
  <c r="AK116" i="14"/>
  <c r="AO116" i="14" s="1"/>
  <c r="AO36" i="14"/>
  <c r="AL176" i="14"/>
  <c r="BK50" i="14"/>
  <c r="AN145" i="14"/>
  <c r="AJ116" i="14"/>
  <c r="Z116" i="14" s="1"/>
  <c r="AN176" i="14"/>
  <c r="AL125" i="14"/>
  <c r="AK104" i="14"/>
  <c r="AW202" i="14"/>
  <c r="AM106" i="14"/>
  <c r="AO106" i="14" s="1"/>
  <c r="AM122" i="14"/>
  <c r="AX122" i="14" s="1"/>
  <c r="AB99" i="14"/>
  <c r="AJ124" i="14"/>
  <c r="Z124" i="14" s="1"/>
  <c r="AJ52" i="14"/>
  <c r="Z52" i="14" s="1"/>
  <c r="AJ86" i="14"/>
  <c r="Z86" i="14" s="1"/>
  <c r="AJ106" i="14"/>
  <c r="Z106" i="14" s="1"/>
  <c r="AL111" i="14"/>
  <c r="AP111" i="14" s="1"/>
  <c r="AK94" i="14"/>
  <c r="AX94" i="14" s="1"/>
  <c r="AL18" i="14"/>
  <c r="BK76" i="14"/>
  <c r="AN123" i="14"/>
  <c r="AP91" i="14"/>
  <c r="AJ144" i="14"/>
  <c r="Z144" i="14" s="1"/>
  <c r="AM144" i="14"/>
  <c r="AX144" i="14" s="1"/>
  <c r="AM138" i="14"/>
  <c r="AL123" i="14"/>
  <c r="BK60" i="14"/>
  <c r="AK138" i="14"/>
  <c r="AJ94" i="14"/>
  <c r="Z94" i="14" s="1"/>
  <c r="AK46" i="14"/>
  <c r="AM46" i="14"/>
  <c r="AN18" i="14"/>
  <c r="AJ84" i="14"/>
  <c r="Z84" i="14" s="1"/>
  <c r="AN205" i="14"/>
  <c r="AP205" i="14" s="1"/>
  <c r="BK15" i="14"/>
  <c r="AJ72" i="14"/>
  <c r="Z72" i="14" s="1"/>
  <c r="AB123" i="14"/>
  <c r="BK164" i="14"/>
  <c r="AM78" i="14"/>
  <c r="AK78" i="14"/>
  <c r="BK90" i="14"/>
  <c r="AK84" i="14"/>
  <c r="AO84" i="14" s="1"/>
  <c r="AN25" i="14"/>
  <c r="AW25" i="14" s="1"/>
  <c r="AN24" i="14"/>
  <c r="AM152" i="14"/>
  <c r="AL24" i="14"/>
  <c r="AL178" i="14"/>
  <c r="AN178" i="14"/>
  <c r="AI25" i="14"/>
  <c r="AA25" i="14" s="1"/>
  <c r="BK80" i="14"/>
  <c r="AB178" i="14"/>
  <c r="AK152" i="14"/>
  <c r="AK56" i="14"/>
  <c r="AM56" i="14"/>
  <c r="BK42" i="14"/>
  <c r="AM118" i="14"/>
  <c r="AJ32" i="14"/>
  <c r="Z32" i="14" s="1"/>
  <c r="AJ54" i="14"/>
  <c r="Z54" i="14" s="1"/>
  <c r="AK54" i="14"/>
  <c r="AX54" i="14" s="1"/>
  <c r="AK118" i="14"/>
  <c r="AM112" i="14"/>
  <c r="AK112" i="14"/>
  <c r="AK32" i="14"/>
  <c r="AX32" i="14" s="1"/>
  <c r="AI117" i="14"/>
  <c r="AA117" i="14" s="1"/>
  <c r="AK114" i="14"/>
  <c r="AO114" i="14" s="1"/>
  <c r="BK88" i="14"/>
  <c r="AM68" i="14"/>
  <c r="AO68" i="14" s="1"/>
  <c r="AJ68" i="14"/>
  <c r="Z68" i="14" s="1"/>
  <c r="AJ44" i="14"/>
  <c r="Z44" i="14" s="1"/>
  <c r="AJ114" i="14"/>
  <c r="Z114" i="14" s="1"/>
  <c r="AK148" i="14"/>
  <c r="AM148" i="14"/>
  <c r="AK44" i="14"/>
  <c r="AO44" i="14" s="1"/>
  <c r="L11" i="14"/>
  <c r="L204" i="14"/>
  <c r="L136" i="14"/>
  <c r="L142" i="14"/>
  <c r="L119" i="14"/>
  <c r="L36" i="14"/>
  <c r="L49" i="14"/>
  <c r="L13" i="14"/>
  <c r="L66" i="14"/>
  <c r="L43" i="14"/>
  <c r="L174" i="14"/>
  <c r="L67" i="14"/>
  <c r="L98" i="14"/>
  <c r="L82" i="14"/>
  <c r="L156" i="14"/>
  <c r="L168" i="14"/>
  <c r="L157" i="14"/>
  <c r="L24" i="14"/>
  <c r="L147" i="14"/>
  <c r="L78" i="14"/>
  <c r="L161" i="14"/>
  <c r="L26" i="14"/>
  <c r="L14" i="14"/>
  <c r="L58" i="14"/>
  <c r="L106" i="14"/>
  <c r="L171" i="14"/>
  <c r="L196" i="14"/>
  <c r="L186" i="14"/>
  <c r="L73" i="14"/>
  <c r="L48" i="14"/>
  <c r="L17" i="14"/>
  <c r="L148" i="14"/>
  <c r="L132" i="14"/>
  <c r="L59" i="14"/>
  <c r="L77" i="14"/>
  <c r="L56" i="14"/>
  <c r="L203" i="14"/>
  <c r="L124" i="14"/>
  <c r="L94" i="14"/>
  <c r="L208" i="14"/>
  <c r="L41" i="14"/>
  <c r="L134" i="14"/>
  <c r="L64" i="14"/>
  <c r="L27" i="14"/>
  <c r="L177" i="14"/>
  <c r="L38" i="14"/>
  <c r="L184" i="14"/>
  <c r="L87" i="14"/>
  <c r="L54" i="14"/>
  <c r="L112" i="14"/>
  <c r="L57" i="14"/>
  <c r="L93" i="14"/>
  <c r="L127" i="14"/>
  <c r="L193" i="14"/>
  <c r="L188" i="14"/>
  <c r="L149" i="14"/>
  <c r="L123" i="14"/>
  <c r="L47" i="14"/>
  <c r="L46" i="14"/>
  <c r="L154" i="14"/>
  <c r="L34" i="14"/>
  <c r="L116" i="14"/>
  <c r="L86" i="14"/>
  <c r="L74" i="14"/>
  <c r="L129" i="14"/>
  <c r="L102" i="14"/>
  <c r="L62" i="14"/>
  <c r="L176" i="14"/>
  <c r="L163" i="14"/>
  <c r="L81" i="14"/>
  <c r="L101" i="14"/>
  <c r="L189" i="14"/>
  <c r="L192" i="14"/>
  <c r="L138" i="14"/>
  <c r="L131" i="14"/>
  <c r="L137" i="14"/>
  <c r="L143" i="14"/>
  <c r="L152" i="14"/>
  <c r="L88" i="14"/>
  <c r="L109" i="14"/>
  <c r="L166" i="14"/>
  <c r="L121" i="14"/>
  <c r="L172" i="14"/>
  <c r="L92" i="14"/>
  <c r="L122" i="14"/>
  <c r="L61" i="14"/>
  <c r="L16" i="14"/>
  <c r="L107" i="14"/>
  <c r="L69" i="14"/>
  <c r="L199" i="14"/>
  <c r="L51" i="14"/>
  <c r="L162" i="14"/>
  <c r="L187" i="14"/>
  <c r="L19" i="14"/>
  <c r="L28" i="14"/>
  <c r="L68" i="14"/>
  <c r="L99" i="14"/>
  <c r="L173" i="14"/>
  <c r="L141" i="14"/>
  <c r="L158" i="14"/>
  <c r="L133" i="14"/>
  <c r="L206" i="14"/>
  <c r="L32" i="14"/>
  <c r="L202" i="14"/>
  <c r="L167" i="14"/>
  <c r="L76" i="14"/>
  <c r="L89" i="14"/>
  <c r="L21" i="14"/>
  <c r="L191" i="14"/>
  <c r="L33" i="14"/>
  <c r="L181" i="14"/>
  <c r="L139" i="14"/>
  <c r="L198" i="14"/>
  <c r="L151" i="14"/>
  <c r="L91" i="14"/>
  <c r="L126" i="14"/>
  <c r="L22" i="14"/>
  <c r="L103" i="14"/>
  <c r="L209" i="14"/>
  <c r="L108" i="14"/>
  <c r="L128" i="14"/>
  <c r="L18" i="14"/>
  <c r="L197" i="14"/>
  <c r="L29" i="14"/>
  <c r="L72" i="14"/>
  <c r="L96" i="14"/>
  <c r="L79" i="14"/>
  <c r="L83" i="14"/>
  <c r="L207" i="14"/>
  <c r="L144" i="14"/>
  <c r="L117" i="14"/>
  <c r="L153" i="14"/>
  <c r="L201" i="14"/>
  <c r="L53" i="14"/>
  <c r="L52" i="14"/>
  <c r="L44" i="14"/>
  <c r="L37" i="14"/>
  <c r="L63" i="14"/>
  <c r="L113" i="14"/>
  <c r="L97" i="14"/>
  <c r="L169" i="14"/>
  <c r="L178" i="14"/>
  <c r="L114" i="14"/>
  <c r="L12" i="14"/>
  <c r="L42" i="14"/>
  <c r="L118" i="14"/>
  <c r="L84" i="14"/>
  <c r="L111" i="14"/>
  <c r="L183" i="14"/>
  <c r="L159" i="14"/>
  <c r="L182" i="14"/>
  <c r="L179" i="14"/>
  <c r="L194" i="14"/>
  <c r="L71" i="14"/>
  <c r="L146" i="14"/>
  <c r="L104" i="14"/>
  <c r="L39" i="14"/>
  <c r="L31" i="14"/>
  <c r="L23" i="14"/>
  <c r="L164" i="14"/>
  <c r="L200" i="14"/>
  <c r="L210" i="14"/>
  <c r="L190" i="14"/>
  <c r="BK10" i="14"/>
  <c r="AK185" i="14"/>
  <c r="AO185" i="14" s="1"/>
  <c r="AJ185" i="14"/>
  <c r="Z185" i="14" s="1"/>
  <c r="L110" i="14"/>
  <c r="L85" i="14"/>
  <c r="L175" i="14"/>
  <c r="L130" i="14"/>
  <c r="L165" i="14"/>
  <c r="L40" i="14"/>
  <c r="L170" i="14"/>
  <c r="L65" i="14"/>
  <c r="L115" i="14"/>
  <c r="L180" i="14"/>
  <c r="L25" i="14"/>
  <c r="L80" i="14"/>
  <c r="L205" i="14"/>
  <c r="L35" i="14"/>
  <c r="L50" i="14"/>
  <c r="L150" i="14"/>
  <c r="L15" i="14"/>
  <c r="L185" i="14"/>
  <c r="L55" i="14"/>
  <c r="L45" i="14"/>
  <c r="L90" i="14"/>
  <c r="L60" i="14"/>
  <c r="L135" i="14"/>
  <c r="L120" i="14"/>
  <c r="L75" i="14"/>
  <c r="L145" i="14"/>
  <c r="L70" i="14"/>
  <c r="L105" i="14"/>
  <c r="L125" i="14"/>
  <c r="L155" i="14"/>
  <c r="L160" i="14"/>
  <c r="L140" i="14"/>
  <c r="L100" i="14"/>
  <c r="L195" i="14"/>
  <c r="L95" i="14"/>
  <c r="BK105" i="14"/>
  <c r="AP119" i="14"/>
  <c r="AB119" i="14"/>
  <c r="AS142" i="14"/>
  <c r="AO111" i="14"/>
  <c r="BK121" i="14"/>
  <c r="AO123" i="14"/>
  <c r="AX123" i="14"/>
  <c r="BK111" i="14"/>
  <c r="AX111" i="14"/>
  <c r="BK113" i="14"/>
  <c r="BK107" i="14"/>
  <c r="BK123" i="14"/>
  <c r="AX121" i="14"/>
  <c r="AB113" i="14"/>
  <c r="AO121" i="14"/>
  <c r="AR121" i="14" s="1"/>
  <c r="AO113" i="14"/>
  <c r="AO117" i="14"/>
  <c r="BK117" i="14"/>
  <c r="BK172" i="14"/>
  <c r="BK178" i="14"/>
  <c r="AO178" i="14"/>
  <c r="AM176" i="14"/>
  <c r="AO176" i="14" s="1"/>
  <c r="AJ176" i="14"/>
  <c r="Z176" i="14" s="1"/>
  <c r="AX178" i="14"/>
  <c r="AO172" i="14"/>
  <c r="AX172" i="14"/>
  <c r="AX82" i="14"/>
  <c r="AE82" i="14"/>
  <c r="AG96" i="14"/>
  <c r="BJ96" i="14"/>
  <c r="BK96" i="14" s="1"/>
  <c r="BK22" i="14"/>
  <c r="AW160" i="14"/>
  <c r="AP160" i="14"/>
  <c r="AB168" i="14"/>
  <c r="AP168" i="14"/>
  <c r="BK18" i="14"/>
  <c r="AX22" i="14"/>
  <c r="AL12" i="14"/>
  <c r="AN12" i="14"/>
  <c r="AJ160" i="14"/>
  <c r="Z160" i="14" s="1"/>
  <c r="AK160" i="14"/>
  <c r="AO160" i="14" s="1"/>
  <c r="AB46" i="14"/>
  <c r="AM28" i="14"/>
  <c r="AO28" i="14" s="1"/>
  <c r="BK24" i="14"/>
  <c r="AB12" i="14"/>
  <c r="AB18" i="14"/>
  <c r="AO18" i="14"/>
  <c r="BK44" i="14"/>
  <c r="AO24" i="14"/>
  <c r="AW34" i="14"/>
  <c r="AB36" i="14"/>
  <c r="BK34" i="14"/>
  <c r="AP36" i="14"/>
  <c r="BK52" i="14"/>
  <c r="AP46" i="14"/>
  <c r="BK46" i="14"/>
  <c r="AP34" i="14"/>
  <c r="BK38" i="14"/>
  <c r="AJ28" i="14"/>
  <c r="Z28" i="14" s="1"/>
  <c r="BK154" i="14"/>
  <c r="AB24" i="14"/>
  <c r="AN38" i="14"/>
  <c r="AO12" i="14"/>
  <c r="AL38" i="14"/>
  <c r="AL16" i="14"/>
  <c r="AP16" i="14" s="1"/>
  <c r="AI16" i="14"/>
  <c r="AA16" i="14" s="1"/>
  <c r="AM96" i="14"/>
  <c r="AJ96" i="14"/>
  <c r="Z96" i="14" s="1"/>
  <c r="AK96" i="14"/>
  <c r="AW44" i="14"/>
  <c r="BK32" i="14"/>
  <c r="AO132" i="14"/>
  <c r="BK146" i="14"/>
  <c r="BK68" i="14"/>
  <c r="AS48" i="14"/>
  <c r="AX132" i="14"/>
  <c r="AX26" i="14"/>
  <c r="BK122" i="14"/>
  <c r="AR194" i="14"/>
  <c r="BK54" i="14"/>
  <c r="AP44" i="14"/>
  <c r="BK108" i="14"/>
  <c r="BK26" i="14"/>
  <c r="AP84" i="14"/>
  <c r="BK84" i="14"/>
  <c r="BK112" i="14"/>
  <c r="AP144" i="14"/>
  <c r="AP152" i="14"/>
  <c r="AW54" i="14"/>
  <c r="AW32" i="14"/>
  <c r="AP54" i="14"/>
  <c r="AP94" i="14"/>
  <c r="BK114" i="14"/>
  <c r="AR51" i="14"/>
  <c r="AP68" i="14"/>
  <c r="AW108" i="14"/>
  <c r="BK78" i="14"/>
  <c r="AP58" i="14"/>
  <c r="BK162" i="14"/>
  <c r="BK102" i="14"/>
  <c r="AP108" i="14"/>
  <c r="AW144" i="14"/>
  <c r="AB152" i="14"/>
  <c r="BK106" i="14"/>
  <c r="AW48" i="14"/>
  <c r="BK64" i="14"/>
  <c r="BK152" i="14"/>
  <c r="BK48" i="14"/>
  <c r="BK94" i="14"/>
  <c r="BK144" i="14"/>
  <c r="AM102" i="14"/>
  <c r="AK102" i="14"/>
  <c r="AM48" i="14"/>
  <c r="AX48" i="14" s="1"/>
  <c r="AB118" i="14"/>
  <c r="AB58" i="14"/>
  <c r="AK42" i="14"/>
  <c r="AX42" i="14" s="1"/>
  <c r="AJ42" i="14"/>
  <c r="Z42" i="14" s="1"/>
  <c r="BK118" i="14"/>
  <c r="AW118" i="14"/>
  <c r="BK148" i="14"/>
  <c r="BK166" i="14"/>
  <c r="AO164" i="14"/>
  <c r="AP64" i="14"/>
  <c r="AP72" i="14"/>
  <c r="BK138" i="14"/>
  <c r="AW64" i="14"/>
  <c r="AP92" i="14"/>
  <c r="AB148" i="14"/>
  <c r="AB92" i="14"/>
  <c r="AW148" i="14"/>
  <c r="AW138" i="14"/>
  <c r="AP122" i="14"/>
  <c r="AP116" i="14"/>
  <c r="AP106" i="14"/>
  <c r="AN124" i="14"/>
  <c r="AW124" i="14" s="1"/>
  <c r="BK58" i="14"/>
  <c r="AW128" i="14"/>
  <c r="AI164" i="14"/>
  <c r="AA164" i="14" s="1"/>
  <c r="AI124" i="14"/>
  <c r="AA124" i="14" s="1"/>
  <c r="AN164" i="14"/>
  <c r="AP164" i="14" s="1"/>
  <c r="AJ48" i="14"/>
  <c r="Z48" i="14" s="1"/>
  <c r="BK92" i="14"/>
  <c r="AL134" i="14"/>
  <c r="AP134" i="14" s="1"/>
  <c r="AW114" i="14"/>
  <c r="BK128" i="14"/>
  <c r="AI134" i="14"/>
  <c r="AA134" i="14" s="1"/>
  <c r="AW52" i="14"/>
  <c r="AW62" i="14"/>
  <c r="AP128" i="14"/>
  <c r="BK116" i="14"/>
  <c r="BK62" i="14"/>
  <c r="AL126" i="14"/>
  <c r="AP62" i="14"/>
  <c r="AP146" i="14"/>
  <c r="AN126" i="14"/>
  <c r="AK88" i="14"/>
  <c r="AO88" i="14" s="1"/>
  <c r="AL158" i="14"/>
  <c r="AW158" i="14" s="1"/>
  <c r="AI158" i="14"/>
  <c r="AA158" i="14" s="1"/>
  <c r="AP56" i="14"/>
  <c r="AP52" i="14"/>
  <c r="AL104" i="14"/>
  <c r="AN104" i="14"/>
  <c r="BK72" i="14"/>
  <c r="AB104" i="14"/>
  <c r="AO162" i="14"/>
  <c r="AL74" i="14"/>
  <c r="AB138" i="14"/>
  <c r="AN86" i="14"/>
  <c r="AL86" i="14"/>
  <c r="BK56" i="14"/>
  <c r="AJ88" i="14"/>
  <c r="Z88" i="14" s="1"/>
  <c r="AM76" i="14"/>
  <c r="AK76" i="14"/>
  <c r="AB56" i="14"/>
  <c r="AP76" i="14"/>
  <c r="AN74" i="14"/>
  <c r="AB78" i="14"/>
  <c r="AB76" i="14"/>
  <c r="AW78" i="14"/>
  <c r="AP78" i="14"/>
  <c r="AO156" i="14"/>
  <c r="AQ136" i="14"/>
  <c r="AE156" i="14"/>
  <c r="BK140" i="14"/>
  <c r="AI70" i="14"/>
  <c r="AA70" i="14" s="1"/>
  <c r="AN70" i="14"/>
  <c r="AW70" i="14" s="1"/>
  <c r="AJ70" i="14"/>
  <c r="Z70" i="14" s="1"/>
  <c r="AM70" i="14"/>
  <c r="AO70" i="14" s="1"/>
  <c r="AM100" i="14"/>
  <c r="AO100" i="14" s="1"/>
  <c r="AJ100" i="14"/>
  <c r="Z100" i="14" s="1"/>
  <c r="AI100" i="14"/>
  <c r="AA100" i="14" s="1"/>
  <c r="AN100" i="14"/>
  <c r="AW100" i="14" s="1"/>
  <c r="AI75" i="14"/>
  <c r="AA75" i="14" s="1"/>
  <c r="AL75" i="14"/>
  <c r="AW75" i="14" s="1"/>
  <c r="AM75" i="14"/>
  <c r="AK75" i="14"/>
  <c r="AI15" i="14"/>
  <c r="AA15" i="14" s="1"/>
  <c r="AL15" i="14"/>
  <c r="AP15" i="14" s="1"/>
  <c r="AL55" i="14"/>
  <c r="AN55" i="14"/>
  <c r="AE167" i="14"/>
  <c r="AC167" i="14" s="1"/>
  <c r="AO167" i="14"/>
  <c r="AK55" i="14"/>
  <c r="AO55" i="14" s="1"/>
  <c r="AJ55" i="14"/>
  <c r="Z55" i="14" s="1"/>
  <c r="AB60" i="14"/>
  <c r="AM60" i="14"/>
  <c r="AP60" i="14"/>
  <c r="AK60" i="14"/>
  <c r="AW60" i="14"/>
  <c r="AP42" i="14"/>
  <c r="AO166" i="14"/>
  <c r="AR202" i="14"/>
  <c r="AR91" i="14"/>
  <c r="AR61" i="14"/>
  <c r="AL35" i="14"/>
  <c r="AW35" i="14" s="1"/>
  <c r="AI35" i="14"/>
  <c r="AA35" i="14" s="1"/>
  <c r="AW20" i="14"/>
  <c r="BK20" i="14"/>
  <c r="AR97" i="14"/>
  <c r="AO35" i="14"/>
  <c r="AM135" i="14"/>
  <c r="AK135" i="14"/>
  <c r="AJ145" i="14"/>
  <c r="Z145" i="14" s="1"/>
  <c r="AK10" i="14"/>
  <c r="AM145" i="14"/>
  <c r="AO145" i="14" s="1"/>
  <c r="AW10" i="14"/>
  <c r="AJ10" i="14"/>
  <c r="AM80" i="14"/>
  <c r="AK80" i="14"/>
  <c r="AX198" i="14"/>
  <c r="AJ125" i="14"/>
  <c r="Z125" i="14" s="1"/>
  <c r="AM115" i="14"/>
  <c r="AO115" i="14" s="1"/>
  <c r="AB161" i="14"/>
  <c r="AK125" i="14"/>
  <c r="AX125" i="14" s="1"/>
  <c r="BK210" i="14"/>
  <c r="AW161" i="14"/>
  <c r="AJ115" i="14"/>
  <c r="Z115" i="14" s="1"/>
  <c r="AJ90" i="14"/>
  <c r="Z90" i="14" s="1"/>
  <c r="AI45" i="14"/>
  <c r="AA45" i="14" s="1"/>
  <c r="AN45" i="14"/>
  <c r="AP45" i="14" s="1"/>
  <c r="AI135" i="14"/>
  <c r="AA135" i="14" s="1"/>
  <c r="AL80" i="14"/>
  <c r="AW80" i="14" s="1"/>
  <c r="AI80" i="14"/>
  <c r="AA80" i="14" s="1"/>
  <c r="AN135" i="14"/>
  <c r="AW135" i="14" s="1"/>
  <c r="AP183" i="14"/>
  <c r="AB183" i="14"/>
  <c r="AP30" i="14"/>
  <c r="AK195" i="14"/>
  <c r="AM195" i="14"/>
  <c r="AW30" i="14"/>
  <c r="AB154" i="14"/>
  <c r="AM30" i="14"/>
  <c r="AO30" i="14" s="1"/>
  <c r="AW154" i="14"/>
  <c r="AM90" i="14"/>
  <c r="AO90" i="14" s="1"/>
  <c r="AW90" i="14"/>
  <c r="AE182" i="14"/>
  <c r="AO182" i="14"/>
  <c r="AP90" i="14"/>
  <c r="AP159" i="14"/>
  <c r="AL95" i="14"/>
  <c r="AP95" i="14" s="1"/>
  <c r="AJ30" i="14"/>
  <c r="Z30" i="14" s="1"/>
  <c r="AK95" i="14"/>
  <c r="AM95" i="14"/>
  <c r="AB159" i="14"/>
  <c r="AI95" i="14"/>
  <c r="AA95" i="14" s="1"/>
  <c r="AK50" i="14"/>
  <c r="AM50" i="14"/>
  <c r="AW50" i="14"/>
  <c r="AB50" i="14"/>
  <c r="AQ157" i="14"/>
  <c r="AP88" i="14"/>
  <c r="AX16" i="14"/>
  <c r="AO16" i="14"/>
  <c r="AB29" i="14"/>
  <c r="AP29" i="14"/>
  <c r="AS29" i="14" s="1"/>
  <c r="AR73" i="14"/>
  <c r="AI155" i="14"/>
  <c r="AA155" i="14" s="1"/>
  <c r="AL155" i="14"/>
  <c r="AW155" i="14" s="1"/>
  <c r="AX205" i="14"/>
  <c r="BK25" i="14"/>
  <c r="BK205" i="14"/>
  <c r="BN67" i="14"/>
  <c r="AQ67" i="14"/>
  <c r="AP180" i="14"/>
  <c r="AN150" i="14"/>
  <c r="AW150" i="14" s="1"/>
  <c r="AW180" i="14"/>
  <c r="AI150" i="14"/>
  <c r="AA150" i="14" s="1"/>
  <c r="AW190" i="14"/>
  <c r="AX107" i="14"/>
  <c r="AO107" i="14"/>
  <c r="AR107" i="14" s="1"/>
  <c r="AE200" i="14"/>
  <c r="AO15" i="14"/>
  <c r="BK180" i="14"/>
  <c r="AM155" i="14"/>
  <c r="AK155" i="14"/>
  <c r="AJ155" i="14"/>
  <c r="Z155" i="14" s="1"/>
  <c r="AN120" i="14"/>
  <c r="AI120" i="14"/>
  <c r="AA120" i="14" s="1"/>
  <c r="AJ190" i="14"/>
  <c r="Z190" i="14" s="1"/>
  <c r="AK190" i="14"/>
  <c r="AK180" i="14"/>
  <c r="AJ180" i="14"/>
  <c r="Z180" i="14" s="1"/>
  <c r="AM180" i="14"/>
  <c r="AP87" i="14"/>
  <c r="AW87" i="14"/>
  <c r="AW185" i="14"/>
  <c r="AJ150" i="14"/>
  <c r="Z150" i="14" s="1"/>
  <c r="AK150" i="14"/>
  <c r="AM150" i="14"/>
  <c r="AE15" i="14"/>
  <c r="AP165" i="14"/>
  <c r="AE45" i="14"/>
  <c r="AP185" i="14"/>
  <c r="AB165" i="14"/>
  <c r="AX200" i="14"/>
  <c r="AP112" i="14"/>
  <c r="AW65" i="14"/>
  <c r="AW112" i="14"/>
  <c r="AB65" i="14"/>
  <c r="AO105" i="14"/>
  <c r="AX25" i="14"/>
  <c r="AP175" i="14"/>
  <c r="AE165" i="14"/>
  <c r="AP85" i="14"/>
  <c r="AW140" i="14"/>
  <c r="AW102" i="14"/>
  <c r="AP140" i="14"/>
  <c r="AB102" i="14"/>
  <c r="AB175" i="14"/>
  <c r="AE141" i="14"/>
  <c r="AW31" i="14"/>
  <c r="AP31" i="14"/>
  <c r="AE105" i="14"/>
  <c r="AD129" i="14"/>
  <c r="AX45" i="14"/>
  <c r="AB85" i="14"/>
  <c r="AO165" i="14"/>
  <c r="AP93" i="14"/>
  <c r="AW93" i="14"/>
  <c r="AB127" i="14"/>
  <c r="AE127" i="14"/>
  <c r="AP127" i="14"/>
  <c r="AW127" i="14"/>
  <c r="AB93" i="14"/>
  <c r="AE93" i="14"/>
  <c r="AX93" i="14"/>
  <c r="AO93" i="14"/>
  <c r="AQ110" i="14"/>
  <c r="AQ40" i="14"/>
  <c r="AQ65" i="14"/>
  <c r="AR85" i="14"/>
  <c r="AP210" i="14"/>
  <c r="AW210" i="14"/>
  <c r="AR110" i="14"/>
  <c r="AC110" i="14"/>
  <c r="AR65" i="14"/>
  <c r="AR175" i="14"/>
  <c r="AQ200" i="14"/>
  <c r="AQ202" i="14" l="1"/>
  <c r="AQ204" i="14"/>
  <c r="AC156" i="14"/>
  <c r="AC82" i="14"/>
  <c r="AC136" i="14"/>
  <c r="AC184" i="14"/>
  <c r="AR14" i="14"/>
  <c r="AC204" i="14"/>
  <c r="AC142" i="14"/>
  <c r="AR192" i="14"/>
  <c r="AR196" i="14"/>
  <c r="AR26" i="14"/>
  <c r="AR186" i="14"/>
  <c r="AR208" i="14"/>
  <c r="AR206" i="14"/>
  <c r="AC112" i="14"/>
  <c r="AR22" i="14"/>
  <c r="AR198" i="14"/>
  <c r="AS114" i="14"/>
  <c r="AC174" i="14"/>
  <c r="AS154" i="14"/>
  <c r="AS14" i="14"/>
  <c r="AS32" i="14"/>
  <c r="AS196" i="14"/>
  <c r="AC172" i="14"/>
  <c r="AS186" i="14"/>
  <c r="AC168" i="14"/>
  <c r="AS182" i="14"/>
  <c r="AC36" i="14"/>
  <c r="AS148" i="14"/>
  <c r="AS102" i="14"/>
  <c r="AS118" i="14"/>
  <c r="AS138" i="14"/>
  <c r="AC178" i="14"/>
  <c r="AC202" i="14"/>
  <c r="AB208" i="14"/>
  <c r="AD10" i="14"/>
  <c r="BK8" i="14"/>
  <c r="R2" i="7" s="1"/>
  <c r="Z10" i="14"/>
  <c r="AX10" i="14"/>
  <c r="AR205" i="14"/>
  <c r="AR40" i="14"/>
  <c r="BN40" i="14" s="1"/>
  <c r="AR25" i="14"/>
  <c r="AS65" i="14"/>
  <c r="BN65" i="14" s="1"/>
  <c r="AS20" i="14"/>
  <c r="AS10" i="14"/>
  <c r="AA6" i="14"/>
  <c r="AS133" i="14"/>
  <c r="AS19" i="14"/>
  <c r="BN19" i="14" s="1"/>
  <c r="AS159" i="14"/>
  <c r="BN159" i="14" s="1"/>
  <c r="BN43" i="14"/>
  <c r="AS119" i="14"/>
  <c r="BN119" i="14" s="1"/>
  <c r="AS91" i="14"/>
  <c r="BN91" i="14" s="1"/>
  <c r="AR189" i="14"/>
  <c r="BN189" i="14" s="1"/>
  <c r="AR142" i="14"/>
  <c r="BN142" i="14" s="1"/>
  <c r="AS127" i="14"/>
  <c r="AR171" i="14"/>
  <c r="BN171" i="14" s="1"/>
  <c r="AR204" i="14"/>
  <c r="AR199" i="14"/>
  <c r="BN199" i="14" s="1"/>
  <c r="AS161" i="14"/>
  <c r="BN161" i="14" s="1"/>
  <c r="AS149" i="14"/>
  <c r="BN149" i="14" s="1"/>
  <c r="AS190" i="14"/>
  <c r="AS50" i="14"/>
  <c r="AW208" i="14"/>
  <c r="AB206" i="14"/>
  <c r="AQ156" i="14"/>
  <c r="AR24" i="14"/>
  <c r="AR183" i="14"/>
  <c r="AD208" i="14"/>
  <c r="AR178" i="14"/>
  <c r="AR66" i="14"/>
  <c r="BN66" i="14" s="1"/>
  <c r="AR123" i="14"/>
  <c r="AQ114" i="14"/>
  <c r="AR12" i="14"/>
  <c r="AQ173" i="14"/>
  <c r="AR164" i="14"/>
  <c r="AR162" i="14"/>
  <c r="AR113" i="14"/>
  <c r="AR53" i="14"/>
  <c r="AQ203" i="14"/>
  <c r="AQ83" i="14"/>
  <c r="AR18" i="14"/>
  <c r="AR172" i="14"/>
  <c r="AR36" i="14"/>
  <c r="AQ133" i="14"/>
  <c r="AQ196" i="14"/>
  <c r="AQ182" i="14"/>
  <c r="AS103" i="14"/>
  <c r="AS204" i="14"/>
  <c r="AQ22" i="14"/>
  <c r="AS42" i="14"/>
  <c r="AS146" i="14"/>
  <c r="AS84" i="14"/>
  <c r="AQ208" i="14"/>
  <c r="AS93" i="14"/>
  <c r="AS183" i="14"/>
  <c r="AS76" i="14"/>
  <c r="AQ174" i="14"/>
  <c r="AS193" i="14"/>
  <c r="AS44" i="14"/>
  <c r="AQ153" i="14"/>
  <c r="AS92" i="14"/>
  <c r="AS94" i="14"/>
  <c r="AS168" i="14"/>
  <c r="BN168" i="14" s="1"/>
  <c r="AS52" i="14"/>
  <c r="AS128" i="14"/>
  <c r="AS54" i="14"/>
  <c r="AS34" i="14"/>
  <c r="AS184" i="14"/>
  <c r="AS56" i="14"/>
  <c r="AS108" i="14"/>
  <c r="AS72" i="14"/>
  <c r="AS46" i="14"/>
  <c r="AS188" i="14"/>
  <c r="AS78" i="14"/>
  <c r="AS106" i="14"/>
  <c r="AS64" i="14"/>
  <c r="AS152" i="14"/>
  <c r="AS116" i="14"/>
  <c r="AS58" i="14"/>
  <c r="AS144" i="14"/>
  <c r="AQ49" i="14"/>
  <c r="AC58" i="14"/>
  <c r="AC12" i="14"/>
  <c r="AQ33" i="14"/>
  <c r="AC138" i="14"/>
  <c r="AC92" i="14"/>
  <c r="AC46" i="14"/>
  <c r="AX69" i="14"/>
  <c r="AW17" i="14"/>
  <c r="AC182" i="14"/>
  <c r="AC186" i="14"/>
  <c r="AC18" i="14"/>
  <c r="AC78" i="14"/>
  <c r="AP198" i="14"/>
  <c r="AC173" i="14"/>
  <c r="AC56" i="14"/>
  <c r="AC152" i="14"/>
  <c r="AC148" i="14"/>
  <c r="AC102" i="14"/>
  <c r="AC118" i="14"/>
  <c r="AC76" i="14"/>
  <c r="AC143" i="14"/>
  <c r="AC196" i="14"/>
  <c r="AP206" i="14"/>
  <c r="AE106" i="14"/>
  <c r="AE116" i="14"/>
  <c r="AE176" i="14"/>
  <c r="AE86" i="14"/>
  <c r="AE72" i="14"/>
  <c r="AE52" i="14"/>
  <c r="AE32" i="14"/>
  <c r="AE23" i="14"/>
  <c r="AR23" i="14" s="1"/>
  <c r="AE48" i="14"/>
  <c r="AE68" i="14"/>
  <c r="AE98" i="14"/>
  <c r="AE38" i="14"/>
  <c r="AE42" i="14"/>
  <c r="AB128" i="14"/>
  <c r="AE88" i="14"/>
  <c r="AE126" i="14"/>
  <c r="AE163" i="14"/>
  <c r="AE103" i="14"/>
  <c r="AC103" i="14" s="1"/>
  <c r="AE108" i="14"/>
  <c r="AE62" i="14"/>
  <c r="AE146" i="14"/>
  <c r="AE188" i="14"/>
  <c r="AE28" i="14"/>
  <c r="AE122" i="14"/>
  <c r="AE158" i="14"/>
  <c r="AD26" i="14"/>
  <c r="AD98" i="14"/>
  <c r="AD158" i="14"/>
  <c r="AD132" i="14"/>
  <c r="AD198" i="14"/>
  <c r="AP69" i="14"/>
  <c r="AQ69" i="14" s="1"/>
  <c r="AD192" i="14"/>
  <c r="AD16" i="14"/>
  <c r="AD28" i="14"/>
  <c r="AD166" i="14"/>
  <c r="AD23" i="14"/>
  <c r="AS23" i="14" s="1"/>
  <c r="AD63" i="14"/>
  <c r="AC63" i="14" s="1"/>
  <c r="AD206" i="14"/>
  <c r="AD22" i="14"/>
  <c r="AD162" i="14"/>
  <c r="AX17" i="14"/>
  <c r="AB198" i="14"/>
  <c r="AW129" i="14"/>
  <c r="AO169" i="14"/>
  <c r="AQ169" i="14" s="1"/>
  <c r="AP23" i="14"/>
  <c r="AB17" i="14"/>
  <c r="AP129" i="14"/>
  <c r="AQ129" i="14" s="1"/>
  <c r="AW69" i="14"/>
  <c r="AB192" i="14"/>
  <c r="AD57" i="14"/>
  <c r="AC57" i="14" s="1"/>
  <c r="AB103" i="14"/>
  <c r="AE17" i="14"/>
  <c r="AC17" i="14" s="1"/>
  <c r="AR203" i="14"/>
  <c r="BN203" i="14" s="1"/>
  <c r="AR173" i="14"/>
  <c r="BN173" i="14" s="1"/>
  <c r="AR133" i="14"/>
  <c r="BN49" i="14"/>
  <c r="AR83" i="14"/>
  <c r="BN83" i="14" s="1"/>
  <c r="AW151" i="14"/>
  <c r="AP151" i="14"/>
  <c r="AS151" i="14" s="1"/>
  <c r="BN151" i="14" s="1"/>
  <c r="AW57" i="14"/>
  <c r="AB169" i="14"/>
  <c r="AS73" i="14"/>
  <c r="BN73" i="14" s="1"/>
  <c r="AP192" i="14"/>
  <c r="AS31" i="14"/>
  <c r="AB69" i="14"/>
  <c r="AR117" i="14"/>
  <c r="AS17" i="14"/>
  <c r="AR184" i="14"/>
  <c r="BN81" i="14"/>
  <c r="AS13" i="14"/>
  <c r="BN13" i="14" s="1"/>
  <c r="AR89" i="14"/>
  <c r="AR39" i="14"/>
  <c r="AS143" i="14"/>
  <c r="BN143" i="14" s="1"/>
  <c r="AX103" i="14"/>
  <c r="AP131" i="14"/>
  <c r="AQ131" i="14" s="1"/>
  <c r="AQ39" i="14"/>
  <c r="AB147" i="14"/>
  <c r="AX23" i="14"/>
  <c r="AW139" i="14"/>
  <c r="AX181" i="14"/>
  <c r="AQ13" i="14"/>
  <c r="AP11" i="14"/>
  <c r="AQ11" i="14" s="1"/>
  <c r="AC127" i="14"/>
  <c r="AC99" i="14"/>
  <c r="AW191" i="14"/>
  <c r="AC83" i="14"/>
  <c r="AD131" i="14"/>
  <c r="AC131" i="14" s="1"/>
  <c r="AP187" i="14"/>
  <c r="AS187" i="14" s="1"/>
  <c r="BN187" i="14" s="1"/>
  <c r="AC101" i="14"/>
  <c r="AC137" i="14"/>
  <c r="AW187" i="14"/>
  <c r="AP63" i="14"/>
  <c r="AB197" i="14"/>
  <c r="AC24" i="14"/>
  <c r="AQ51" i="14"/>
  <c r="AC47" i="14"/>
  <c r="AB63" i="14"/>
  <c r="AQ194" i="14"/>
  <c r="AW194" i="14"/>
  <c r="AO127" i="14"/>
  <c r="AQ127" i="14" s="1"/>
  <c r="AX127" i="14"/>
  <c r="AC33" i="14"/>
  <c r="AO147" i="14"/>
  <c r="AQ147" i="14" s="1"/>
  <c r="AC81" i="14"/>
  <c r="AC14" i="14"/>
  <c r="AO197" i="14"/>
  <c r="AO163" i="14"/>
  <c r="AC27" i="14"/>
  <c r="AC104" i="14"/>
  <c r="AC203" i="14"/>
  <c r="AB194" i="14"/>
  <c r="AD194" i="14"/>
  <c r="AC151" i="14"/>
  <c r="AC197" i="14"/>
  <c r="AC113" i="14"/>
  <c r="AC154" i="14"/>
  <c r="AC153" i="14"/>
  <c r="AC29" i="14"/>
  <c r="AC69" i="14"/>
  <c r="AW207" i="14"/>
  <c r="AC19" i="14"/>
  <c r="AC209" i="14"/>
  <c r="AE84" i="14"/>
  <c r="AE177" i="14"/>
  <c r="AC177" i="14" s="1"/>
  <c r="AE74" i="14"/>
  <c r="AE94" i="14"/>
  <c r="AE129" i="14"/>
  <c r="AC129" i="14" s="1"/>
  <c r="AW197" i="14"/>
  <c r="AE87" i="14"/>
  <c r="AC87" i="14" s="1"/>
  <c r="AB23" i="14"/>
  <c r="AP109" i="14"/>
  <c r="AQ109" i="14" s="1"/>
  <c r="AE34" i="14"/>
  <c r="AE31" i="14"/>
  <c r="AC31" i="14" s="1"/>
  <c r="AC93" i="14"/>
  <c r="AE114" i="14"/>
  <c r="AE54" i="14"/>
  <c r="AE181" i="14"/>
  <c r="AC181" i="14" s="1"/>
  <c r="AE44" i="14"/>
  <c r="AE144" i="14"/>
  <c r="AC149" i="14"/>
  <c r="AE64" i="14"/>
  <c r="AE124" i="14"/>
  <c r="AX87" i="14"/>
  <c r="AC147" i="14"/>
  <c r="AD163" i="14"/>
  <c r="AD124" i="14"/>
  <c r="AD141" i="14"/>
  <c r="AC141" i="14" s="1"/>
  <c r="AD164" i="14"/>
  <c r="AD21" i="14"/>
  <c r="AC21" i="14" s="1"/>
  <c r="AD117" i="14"/>
  <c r="AC117" i="14" s="1"/>
  <c r="AD111" i="14"/>
  <c r="AC111" i="14" s="1"/>
  <c r="AD51" i="14"/>
  <c r="AC51" i="14" s="1"/>
  <c r="AD139" i="14"/>
  <c r="AC139" i="14" s="1"/>
  <c r="AD11" i="14"/>
  <c r="AC11" i="14" s="1"/>
  <c r="AD134" i="14"/>
  <c r="AD107" i="14"/>
  <c r="AC107" i="14" s="1"/>
  <c r="AD89" i="14"/>
  <c r="AC89" i="14" s="1"/>
  <c r="AD53" i="14"/>
  <c r="AC53" i="14" s="1"/>
  <c r="AD109" i="14"/>
  <c r="AC109" i="14" s="1"/>
  <c r="AD179" i="14"/>
  <c r="AC179" i="14" s="1"/>
  <c r="AD79" i="14"/>
  <c r="AC79" i="14" s="1"/>
  <c r="AD191" i="14"/>
  <c r="AC191" i="14" s="1"/>
  <c r="AB181" i="14"/>
  <c r="AP53" i="14"/>
  <c r="AP197" i="14"/>
  <c r="AS197" i="14" s="1"/>
  <c r="AX193" i="14"/>
  <c r="AP207" i="14"/>
  <c r="AS207" i="14" s="1"/>
  <c r="BN207" i="14" s="1"/>
  <c r="AB87" i="14"/>
  <c r="AO193" i="14"/>
  <c r="AQ41" i="14"/>
  <c r="AW141" i="14"/>
  <c r="AB31" i="14"/>
  <c r="AB21" i="14"/>
  <c r="AB11" i="14"/>
  <c r="AB139" i="14"/>
  <c r="AB53" i="14"/>
  <c r="AB129" i="14"/>
  <c r="AW163" i="14"/>
  <c r="AW21" i="14"/>
  <c r="AB191" i="14"/>
  <c r="AO31" i="14"/>
  <c r="AQ31" i="14" s="1"/>
  <c r="AB177" i="14"/>
  <c r="AX177" i="14"/>
  <c r="AO209" i="14"/>
  <c r="AQ209" i="14" s="1"/>
  <c r="BN29" i="14"/>
  <c r="AQ161" i="14"/>
  <c r="AX209" i="14"/>
  <c r="AX129" i="14"/>
  <c r="BN201" i="14"/>
  <c r="AB51" i="14"/>
  <c r="AB141" i="14"/>
  <c r="AP89" i="14"/>
  <c r="AQ89" i="14" s="1"/>
  <c r="AW77" i="14"/>
  <c r="AB179" i="14"/>
  <c r="AP79" i="14"/>
  <c r="AQ79" i="14" s="1"/>
  <c r="AW51" i="14"/>
  <c r="BN99" i="14"/>
  <c r="AX141" i="14"/>
  <c r="AB79" i="14"/>
  <c r="AP71" i="14"/>
  <c r="AS71" i="14" s="1"/>
  <c r="BN71" i="14" s="1"/>
  <c r="AO141" i="14"/>
  <c r="AQ141" i="14" s="1"/>
  <c r="AP179" i="14"/>
  <c r="AW71" i="14"/>
  <c r="AP77" i="14"/>
  <c r="AS77" i="14" s="1"/>
  <c r="BN77" i="14" s="1"/>
  <c r="AB163" i="14"/>
  <c r="AB89" i="14"/>
  <c r="BN27" i="14"/>
  <c r="BN110" i="14"/>
  <c r="AC165" i="14"/>
  <c r="AC130" i="14"/>
  <c r="AC140" i="14"/>
  <c r="AR45" i="14"/>
  <c r="AC200" i="14"/>
  <c r="AC60" i="14"/>
  <c r="AC40" i="14"/>
  <c r="AC175" i="14"/>
  <c r="AC85" i="14"/>
  <c r="AC65" i="14"/>
  <c r="AC50" i="14"/>
  <c r="AB30" i="14"/>
  <c r="AE70" i="14"/>
  <c r="AE125" i="14"/>
  <c r="AE145" i="14"/>
  <c r="AE90" i="14"/>
  <c r="AC170" i="14"/>
  <c r="AB115" i="14"/>
  <c r="AB185" i="14"/>
  <c r="AB210" i="14"/>
  <c r="AE155" i="14"/>
  <c r="AE190" i="14"/>
  <c r="AE20" i="14"/>
  <c r="AE100" i="14"/>
  <c r="AE55" i="14"/>
  <c r="AE160" i="14"/>
  <c r="AE120" i="14"/>
  <c r="AD45" i="14"/>
  <c r="AD95" i="14"/>
  <c r="AD75" i="14"/>
  <c r="AD105" i="14"/>
  <c r="AD155" i="14"/>
  <c r="AD80" i="14"/>
  <c r="AD100" i="14"/>
  <c r="AD135" i="14"/>
  <c r="AD35" i="14"/>
  <c r="AD205" i="14"/>
  <c r="AD15" i="14"/>
  <c r="AD70" i="14"/>
  <c r="AD195" i="14"/>
  <c r="AD150" i="14"/>
  <c r="AD25" i="14"/>
  <c r="AQ130" i="14"/>
  <c r="AR35" i="14"/>
  <c r="AS60" i="14"/>
  <c r="AS180" i="14"/>
  <c r="AS185" i="14"/>
  <c r="AS175" i="14"/>
  <c r="BN175" i="14" s="1"/>
  <c r="AQ205" i="14"/>
  <c r="AS210" i="14"/>
  <c r="AS165" i="14"/>
  <c r="AS140" i="14"/>
  <c r="AS30" i="14"/>
  <c r="AS90" i="14"/>
  <c r="AS160" i="14"/>
  <c r="AS85" i="14"/>
  <c r="BN85" i="14" s="1"/>
  <c r="AO188" i="14"/>
  <c r="AB188" i="14"/>
  <c r="AQ143" i="14"/>
  <c r="AS33" i="14"/>
  <c r="BN33" i="14" s="1"/>
  <c r="BN37" i="14"/>
  <c r="AS39" i="14"/>
  <c r="AS59" i="14"/>
  <c r="BN59" i="14" s="1"/>
  <c r="AS101" i="14"/>
  <c r="BN101" i="14" s="1"/>
  <c r="AS153" i="14"/>
  <c r="BN153" i="14" s="1"/>
  <c r="AX98" i="14"/>
  <c r="AO98" i="14"/>
  <c r="AB132" i="14"/>
  <c r="AR136" i="14"/>
  <c r="BN136" i="14" s="1"/>
  <c r="AS41" i="14"/>
  <c r="BN41" i="14" s="1"/>
  <c r="AS137" i="14"/>
  <c r="BN137" i="14" s="1"/>
  <c r="AR130" i="14"/>
  <c r="BN130" i="14" s="1"/>
  <c r="AP117" i="14"/>
  <c r="AQ117" i="14" s="1"/>
  <c r="AS47" i="14"/>
  <c r="BN47" i="14" s="1"/>
  <c r="AS174" i="14"/>
  <c r="BN174" i="14" s="1"/>
  <c r="AQ19" i="14"/>
  <c r="AO128" i="14"/>
  <c r="AW132" i="14"/>
  <c r="AQ132" i="14"/>
  <c r="AB98" i="14"/>
  <c r="AQ201" i="14"/>
  <c r="AW98" i="14"/>
  <c r="AQ66" i="14"/>
  <c r="AQ103" i="14"/>
  <c r="AO210" i="14"/>
  <c r="AB20" i="14"/>
  <c r="AE210" i="14"/>
  <c r="AQ61" i="14"/>
  <c r="BN61" i="14"/>
  <c r="AQ177" i="14"/>
  <c r="AP172" i="14"/>
  <c r="AB26" i="14"/>
  <c r="AB25" i="14"/>
  <c r="AX106" i="14"/>
  <c r="AP26" i="14"/>
  <c r="AB62" i="14"/>
  <c r="AO92" i="14"/>
  <c r="AQ184" i="14"/>
  <c r="AQ199" i="14"/>
  <c r="AX158" i="14"/>
  <c r="AP145" i="14"/>
  <c r="AP170" i="14"/>
  <c r="AW170" i="14"/>
  <c r="AW172" i="14"/>
  <c r="BN202" i="14"/>
  <c r="AQ189" i="14"/>
  <c r="AQ167" i="14"/>
  <c r="AQ91" i="14"/>
  <c r="AB126" i="14"/>
  <c r="AP25" i="14"/>
  <c r="AB34" i="14"/>
  <c r="AX34" i="14"/>
  <c r="AB52" i="14"/>
  <c r="AB146" i="14"/>
  <c r="AO154" i="14"/>
  <c r="AE128" i="14"/>
  <c r="AX72" i="14"/>
  <c r="AB166" i="14"/>
  <c r="AB105" i="14"/>
  <c r="AW22" i="14"/>
  <c r="AO20" i="14"/>
  <c r="AX154" i="14"/>
  <c r="AP195" i="14"/>
  <c r="AB107" i="14"/>
  <c r="AB86" i="14"/>
  <c r="AX146" i="14"/>
  <c r="AQ171" i="14"/>
  <c r="AP18" i="14"/>
  <c r="AO104" i="14"/>
  <c r="AW113" i="14"/>
  <c r="AB116" i="14"/>
  <c r="AX38" i="14"/>
  <c r="AB162" i="14"/>
  <c r="AO122" i="14"/>
  <c r="AP115" i="14"/>
  <c r="AW121" i="14"/>
  <c r="AX104" i="14"/>
  <c r="AP113" i="14"/>
  <c r="AP162" i="14"/>
  <c r="AX84" i="14"/>
  <c r="AX92" i="14"/>
  <c r="AB108" i="14"/>
  <c r="AP28" i="14"/>
  <c r="AO56" i="14"/>
  <c r="AO148" i="14"/>
  <c r="AO58" i="14"/>
  <c r="AP125" i="14"/>
  <c r="AO140" i="14"/>
  <c r="AW125" i="14"/>
  <c r="AO46" i="14"/>
  <c r="AW115" i="14"/>
  <c r="AX140" i="14"/>
  <c r="AW18" i="14"/>
  <c r="AO170" i="14"/>
  <c r="AW107" i="14"/>
  <c r="AB114" i="14"/>
  <c r="AO134" i="14"/>
  <c r="AX58" i="14"/>
  <c r="AW123" i="14"/>
  <c r="AP121" i="14"/>
  <c r="AS121" i="14" s="1"/>
  <c r="BN121" i="14" s="1"/>
  <c r="AW145" i="14"/>
  <c r="AB64" i="14"/>
  <c r="AO120" i="14"/>
  <c r="AX170" i="14"/>
  <c r="AX74" i="14"/>
  <c r="AB122" i="14"/>
  <c r="AQ62" i="14"/>
  <c r="AB195" i="14"/>
  <c r="AQ97" i="14"/>
  <c r="AB94" i="14"/>
  <c r="AX134" i="14"/>
  <c r="AX62" i="14"/>
  <c r="AB54" i="14"/>
  <c r="AO108" i="14"/>
  <c r="AB74" i="14"/>
  <c r="AO124" i="14"/>
  <c r="AW166" i="14"/>
  <c r="AB205" i="14"/>
  <c r="AB22" i="14"/>
  <c r="AQ166" i="14"/>
  <c r="AO152" i="14"/>
  <c r="BN97" i="14"/>
  <c r="AO126" i="14"/>
  <c r="AO54" i="14"/>
  <c r="AB117" i="14"/>
  <c r="AP105" i="14"/>
  <c r="AX148" i="14"/>
  <c r="AB111" i="14"/>
  <c r="AP24" i="14"/>
  <c r="AB68" i="14"/>
  <c r="AQ73" i="14"/>
  <c r="AW178" i="14"/>
  <c r="AO78" i="14"/>
  <c r="AO94" i="14"/>
  <c r="AW111" i="14"/>
  <c r="AQ37" i="14"/>
  <c r="AX46" i="14"/>
  <c r="AX118" i="14"/>
  <c r="AO138" i="14"/>
  <c r="AW24" i="14"/>
  <c r="AP176" i="14"/>
  <c r="AP178" i="14"/>
  <c r="AX116" i="14"/>
  <c r="AB84" i="14"/>
  <c r="AX56" i="14"/>
  <c r="AX152" i="14"/>
  <c r="AW176" i="14"/>
  <c r="AO144" i="14"/>
  <c r="AX138" i="14"/>
  <c r="AW205" i="14"/>
  <c r="AB106" i="14"/>
  <c r="AO64" i="14"/>
  <c r="AB38" i="14"/>
  <c r="AO118" i="14"/>
  <c r="AP123" i="14"/>
  <c r="AX86" i="14"/>
  <c r="AQ149" i="14"/>
  <c r="AO32" i="14"/>
  <c r="AQ36" i="14"/>
  <c r="AX78" i="14"/>
  <c r="AO52" i="14"/>
  <c r="AB72" i="14"/>
  <c r="AQ111" i="14"/>
  <c r="AB32" i="14"/>
  <c r="AB144" i="14"/>
  <c r="AB44" i="14"/>
  <c r="AX112" i="14"/>
  <c r="AO112" i="14"/>
  <c r="AX44" i="14"/>
  <c r="AX68" i="14"/>
  <c r="AQ68" i="14"/>
  <c r="AX114" i="14"/>
  <c r="AX185" i="14"/>
  <c r="AE185" i="14"/>
  <c r="AQ119" i="14"/>
  <c r="AS36" i="14"/>
  <c r="AR111" i="14"/>
  <c r="AR82" i="14"/>
  <c r="BN82" i="14" s="1"/>
  <c r="AB176" i="14"/>
  <c r="AX176" i="14"/>
  <c r="AI96" i="14"/>
  <c r="AA96" i="14" s="1"/>
  <c r="AN96" i="14"/>
  <c r="AL96" i="14"/>
  <c r="AQ168" i="14"/>
  <c r="AQ160" i="14"/>
  <c r="AB160" i="14"/>
  <c r="AW12" i="14"/>
  <c r="AP12" i="14"/>
  <c r="AX160" i="14"/>
  <c r="AX28" i="14"/>
  <c r="AQ16" i="14"/>
  <c r="AP38" i="14"/>
  <c r="AB28" i="14"/>
  <c r="AW16" i="14"/>
  <c r="AB16" i="14"/>
  <c r="AQ34" i="14"/>
  <c r="AW38" i="14"/>
  <c r="AO96" i="14"/>
  <c r="AQ84" i="14"/>
  <c r="AX96" i="14"/>
  <c r="AE96" i="14"/>
  <c r="AR132" i="14"/>
  <c r="AQ44" i="14"/>
  <c r="AS62" i="14"/>
  <c r="AS68" i="14"/>
  <c r="AR166" i="14"/>
  <c r="AO48" i="14"/>
  <c r="AS122" i="14"/>
  <c r="AO102" i="14"/>
  <c r="AX102" i="14"/>
  <c r="AO42" i="14"/>
  <c r="AB42" i="14"/>
  <c r="AQ72" i="14"/>
  <c r="AP124" i="14"/>
  <c r="AQ164" i="14"/>
  <c r="AQ116" i="14"/>
  <c r="AW164" i="14"/>
  <c r="AB48" i="14"/>
  <c r="AQ106" i="14"/>
  <c r="AQ146" i="14"/>
  <c r="AB124" i="14"/>
  <c r="AB164" i="14"/>
  <c r="AW134" i="14"/>
  <c r="AB134" i="14"/>
  <c r="AP126" i="14"/>
  <c r="AB158" i="14"/>
  <c r="AW126" i="14"/>
  <c r="AP158" i="14"/>
  <c r="AX88" i="14"/>
  <c r="AQ88" i="14"/>
  <c r="AW104" i="14"/>
  <c r="AX76" i="14"/>
  <c r="AP104" i="14"/>
  <c r="AB88" i="14"/>
  <c r="AO76" i="14"/>
  <c r="AW74" i="14"/>
  <c r="AP86" i="14"/>
  <c r="AP74" i="14"/>
  <c r="AW86" i="14"/>
  <c r="AR156" i="14"/>
  <c r="BN156" i="14" s="1"/>
  <c r="AR167" i="14"/>
  <c r="BN167" i="14" s="1"/>
  <c r="AB70" i="14"/>
  <c r="AP70" i="14"/>
  <c r="AX70" i="14"/>
  <c r="AX100" i="14"/>
  <c r="AB100" i="14"/>
  <c r="AP100" i="14"/>
  <c r="AP75" i="14"/>
  <c r="AB75" i="14"/>
  <c r="AX75" i="14"/>
  <c r="AO75" i="14"/>
  <c r="AB15" i="14"/>
  <c r="AP55" i="14"/>
  <c r="AW55" i="14"/>
  <c r="AX55" i="14"/>
  <c r="AB55" i="14"/>
  <c r="AQ15" i="14"/>
  <c r="AW15" i="14"/>
  <c r="AX60" i="14"/>
  <c r="AO60" i="14"/>
  <c r="AR200" i="14"/>
  <c r="BN200" i="14" s="1"/>
  <c r="AP35" i="14"/>
  <c r="AR69" i="14"/>
  <c r="AB35" i="14"/>
  <c r="AO135" i="14"/>
  <c r="AR169" i="14"/>
  <c r="BN169" i="14" s="1"/>
  <c r="AX135" i="14"/>
  <c r="AO10" i="14"/>
  <c r="AX145" i="14"/>
  <c r="AB145" i="14"/>
  <c r="AO80" i="14"/>
  <c r="AX80" i="14"/>
  <c r="AX90" i="14"/>
  <c r="AX115" i="14"/>
  <c r="AW45" i="14"/>
  <c r="AB125" i="14"/>
  <c r="AB90" i="14"/>
  <c r="AO125" i="14"/>
  <c r="AR182" i="14"/>
  <c r="AQ45" i="14"/>
  <c r="AE115" i="14"/>
  <c r="AB80" i="14"/>
  <c r="AB45" i="14"/>
  <c r="AP80" i="14"/>
  <c r="AB135" i="14"/>
  <c r="AP135" i="14"/>
  <c r="AQ183" i="14"/>
  <c r="AQ90" i="14"/>
  <c r="AX30" i="14"/>
  <c r="AQ30" i="14"/>
  <c r="AX195" i="14"/>
  <c r="AO195" i="14"/>
  <c r="AB95" i="14"/>
  <c r="AO95" i="14"/>
  <c r="AE30" i="14"/>
  <c r="AX95" i="14"/>
  <c r="AW95" i="14"/>
  <c r="AQ159" i="14"/>
  <c r="AX50" i="14"/>
  <c r="AO50" i="14"/>
  <c r="AS88" i="14"/>
  <c r="AR16" i="14"/>
  <c r="AQ29" i="14"/>
  <c r="AP155" i="14"/>
  <c r="AB155" i="14"/>
  <c r="AQ107" i="14"/>
  <c r="AP150" i="14"/>
  <c r="AR15" i="14"/>
  <c r="AB190" i="14"/>
  <c r="AQ165" i="14"/>
  <c r="AR105" i="14"/>
  <c r="AQ175" i="14"/>
  <c r="AD120" i="14"/>
  <c r="AB120" i="14"/>
  <c r="AP120" i="14"/>
  <c r="AW120" i="14"/>
  <c r="AX155" i="14"/>
  <c r="AO155" i="14"/>
  <c r="AO190" i="14"/>
  <c r="AX190" i="14"/>
  <c r="AS87" i="14"/>
  <c r="AQ87" i="14"/>
  <c r="AO180" i="14"/>
  <c r="AX180" i="14"/>
  <c r="AE180" i="14"/>
  <c r="AB180" i="14"/>
  <c r="AX150" i="14"/>
  <c r="AO150" i="14"/>
  <c r="AB150" i="14"/>
  <c r="AE150" i="14"/>
  <c r="AS112" i="14"/>
  <c r="AQ185" i="14"/>
  <c r="AQ85" i="14"/>
  <c r="AR141" i="14"/>
  <c r="AQ57" i="14"/>
  <c r="AS129" i="14"/>
  <c r="AR165" i="14"/>
  <c r="AS69" i="14"/>
  <c r="AQ17" i="14"/>
  <c r="AQ93" i="14"/>
  <c r="AR93" i="14"/>
  <c r="AR197" i="14"/>
  <c r="BN196" i="14" l="1"/>
  <c r="BN182" i="14"/>
  <c r="BN186" i="14"/>
  <c r="BN14" i="14"/>
  <c r="AC128" i="14"/>
  <c r="AC64" i="14"/>
  <c r="AC144" i="14"/>
  <c r="AC44" i="14"/>
  <c r="AC54" i="14"/>
  <c r="AC114" i="14"/>
  <c r="AC34" i="14"/>
  <c r="AC94" i="14"/>
  <c r="AC74" i="14"/>
  <c r="AC84" i="14"/>
  <c r="AR158" i="14"/>
  <c r="AC122" i="14"/>
  <c r="AR28" i="14"/>
  <c r="AC188" i="14"/>
  <c r="AC146" i="14"/>
  <c r="AC62" i="14"/>
  <c r="AC108" i="14"/>
  <c r="AC126" i="14"/>
  <c r="AC88" i="14"/>
  <c r="AC42" i="14"/>
  <c r="AC38" i="14"/>
  <c r="AC68" i="14"/>
  <c r="AC48" i="14"/>
  <c r="AC32" i="14"/>
  <c r="AC52" i="14"/>
  <c r="AC72" i="14"/>
  <c r="AC86" i="14"/>
  <c r="AC176" i="14"/>
  <c r="AC116" i="14"/>
  <c r="AC106" i="14"/>
  <c r="AC134" i="14"/>
  <c r="AC164" i="14"/>
  <c r="AC194" i="14"/>
  <c r="AC162" i="14"/>
  <c r="AC22" i="14"/>
  <c r="AC206" i="14"/>
  <c r="AC166" i="14"/>
  <c r="AC16" i="14"/>
  <c r="AC192" i="14"/>
  <c r="AC198" i="14"/>
  <c r="AC132" i="14"/>
  <c r="AS98" i="14"/>
  <c r="AC26" i="14"/>
  <c r="AC208" i="14"/>
  <c r="AE10" i="14"/>
  <c r="AB10" i="14"/>
  <c r="AR90" i="14"/>
  <c r="BN90" i="14" s="1"/>
  <c r="AR145" i="14"/>
  <c r="AR55" i="14"/>
  <c r="AR70" i="14"/>
  <c r="AR100" i="14"/>
  <c r="AS45" i="14"/>
  <c r="BN45" i="14" s="1"/>
  <c r="AS205" i="14"/>
  <c r="BN205" i="14" s="1"/>
  <c r="BN133" i="14"/>
  <c r="AS111" i="14"/>
  <c r="BN111" i="14" s="1"/>
  <c r="AS16" i="14"/>
  <c r="BN16" i="14" s="1"/>
  <c r="AR146" i="14"/>
  <c r="BN146" i="14" s="1"/>
  <c r="BN204" i="14"/>
  <c r="AS63" i="14"/>
  <c r="BN63" i="14" s="1"/>
  <c r="AR106" i="14"/>
  <c r="BN106" i="14" s="1"/>
  <c r="AR129" i="14"/>
  <c r="BN129" i="14" s="1"/>
  <c r="AS22" i="14"/>
  <c r="BN22" i="14" s="1"/>
  <c r="AR38" i="14"/>
  <c r="AS134" i="14"/>
  <c r="AR88" i="14"/>
  <c r="BN88" i="14" s="1"/>
  <c r="AR176" i="14"/>
  <c r="AS107" i="14"/>
  <c r="BN107" i="14" s="1"/>
  <c r="AR68" i="14"/>
  <c r="BN68" i="14" s="1"/>
  <c r="AS166" i="14"/>
  <c r="BN166" i="14" s="1"/>
  <c r="AR86" i="14"/>
  <c r="AR116" i="14"/>
  <c r="BN116" i="14" s="1"/>
  <c r="AR34" i="14"/>
  <c r="BN34" i="14" s="1"/>
  <c r="AS57" i="14"/>
  <c r="BN57" i="14" s="1"/>
  <c r="AS51" i="14"/>
  <c r="BN51" i="14" s="1"/>
  <c r="AR17" i="14"/>
  <c r="BN17" i="14" s="1"/>
  <c r="AS132" i="14"/>
  <c r="BN132" i="14" s="1"/>
  <c r="AR72" i="14"/>
  <c r="BN72" i="14" s="1"/>
  <c r="AR114" i="14"/>
  <c r="BN114" i="14" s="1"/>
  <c r="AS164" i="14"/>
  <c r="BN164" i="14" s="1"/>
  <c r="AS179" i="14"/>
  <c r="BN179" i="14" s="1"/>
  <c r="AR177" i="14"/>
  <c r="BN177" i="14" s="1"/>
  <c r="AR87" i="14"/>
  <c r="BN87" i="14" s="1"/>
  <c r="AR62" i="14"/>
  <c r="BN62" i="14" s="1"/>
  <c r="AS131" i="14"/>
  <c r="BN131" i="14" s="1"/>
  <c r="AS208" i="14"/>
  <c r="BN208" i="14" s="1"/>
  <c r="AR103" i="14"/>
  <c r="BN103" i="14" s="1"/>
  <c r="AR160" i="14"/>
  <c r="BN160" i="14" s="1"/>
  <c r="AS15" i="14"/>
  <c r="BN15" i="14" s="1"/>
  <c r="AS95" i="14"/>
  <c r="BN183" i="14"/>
  <c r="BN93" i="14"/>
  <c r="BN184" i="14"/>
  <c r="BN36" i="14"/>
  <c r="AR102" i="14"/>
  <c r="BN102" i="14" s="1"/>
  <c r="AR78" i="14"/>
  <c r="BN78" i="14" s="1"/>
  <c r="AR48" i="14"/>
  <c r="BN48" i="14" s="1"/>
  <c r="AR64" i="14"/>
  <c r="BN64" i="14" s="1"/>
  <c r="AR104" i="14"/>
  <c r="AQ193" i="14"/>
  <c r="AR52" i="14"/>
  <c r="BN52" i="14" s="1"/>
  <c r="AR152" i="14"/>
  <c r="BN152" i="14" s="1"/>
  <c r="AR92" i="14"/>
  <c r="BN92" i="14" s="1"/>
  <c r="AQ128" i="14"/>
  <c r="AQ188" i="14"/>
  <c r="AR46" i="14"/>
  <c r="BN46" i="14" s="1"/>
  <c r="AQ163" i="14"/>
  <c r="AQ32" i="14"/>
  <c r="AQ138" i="14"/>
  <c r="AR154" i="14"/>
  <c r="BN154" i="14" s="1"/>
  <c r="AQ144" i="14"/>
  <c r="AR124" i="14"/>
  <c r="AR134" i="14"/>
  <c r="AR58" i="14"/>
  <c r="BN58" i="14" s="1"/>
  <c r="AQ122" i="14"/>
  <c r="AR112" i="14"/>
  <c r="BN112" i="14" s="1"/>
  <c r="AQ148" i="14"/>
  <c r="AQ42" i="14"/>
  <c r="AQ118" i="14"/>
  <c r="AQ54" i="14"/>
  <c r="AR108" i="14"/>
  <c r="BN108" i="14" s="1"/>
  <c r="AR56" i="14"/>
  <c r="BN56" i="14" s="1"/>
  <c r="AR126" i="14"/>
  <c r="AS86" i="14"/>
  <c r="AS74" i="14"/>
  <c r="AS24" i="14"/>
  <c r="BN24" i="14" s="1"/>
  <c r="AQ26" i="14"/>
  <c r="AS38" i="14"/>
  <c r="AS206" i="14"/>
  <c r="BN206" i="14" s="1"/>
  <c r="AQ53" i="14"/>
  <c r="AQ63" i="14"/>
  <c r="AS123" i="14"/>
  <c r="BN123" i="14" s="1"/>
  <c r="AS172" i="14"/>
  <c r="BN172" i="14" s="1"/>
  <c r="AQ23" i="14"/>
  <c r="AS12" i="14"/>
  <c r="BN12" i="14" s="1"/>
  <c r="AS28" i="14"/>
  <c r="AS104" i="14"/>
  <c r="AS158" i="14"/>
  <c r="AS178" i="14"/>
  <c r="BN178" i="14" s="1"/>
  <c r="AQ162" i="14"/>
  <c r="AS18" i="14"/>
  <c r="BN18" i="14" s="1"/>
  <c r="AS192" i="14"/>
  <c r="BN192" i="14" s="1"/>
  <c r="AS176" i="14"/>
  <c r="AS113" i="14"/>
  <c r="BN113" i="14" s="1"/>
  <c r="AS198" i="14"/>
  <c r="BN198" i="14" s="1"/>
  <c r="AQ198" i="14"/>
  <c r="AQ206" i="14"/>
  <c r="AC163" i="14"/>
  <c r="AC23" i="14"/>
  <c r="AC158" i="14"/>
  <c r="AC28" i="14"/>
  <c r="AC98" i="14"/>
  <c r="AD96" i="14"/>
  <c r="AQ192" i="14"/>
  <c r="AQ187" i="14"/>
  <c r="AS11" i="14"/>
  <c r="BN11" i="14" s="1"/>
  <c r="AR127" i="14"/>
  <c r="BN127" i="14" s="1"/>
  <c r="AQ151" i="14"/>
  <c r="AR193" i="14"/>
  <c r="BN193" i="14" s="1"/>
  <c r="BN23" i="14"/>
  <c r="AR147" i="14"/>
  <c r="BN147" i="14" s="1"/>
  <c r="AR188" i="14"/>
  <c r="BN188" i="14" s="1"/>
  <c r="AR163" i="14"/>
  <c r="AR209" i="14"/>
  <c r="BN209" i="14" s="1"/>
  <c r="AS163" i="14"/>
  <c r="AS139" i="14"/>
  <c r="BN139" i="14" s="1"/>
  <c r="AR31" i="14"/>
  <c r="BN31" i="14" s="1"/>
  <c r="AS89" i="14"/>
  <c r="BN89" i="14" s="1"/>
  <c r="AS53" i="14"/>
  <c r="BN53" i="14" s="1"/>
  <c r="AS21" i="14"/>
  <c r="BN21" i="14" s="1"/>
  <c r="AS141" i="14"/>
  <c r="BN141" i="14" s="1"/>
  <c r="AS79" i="14"/>
  <c r="BN79" i="14" s="1"/>
  <c r="AS109" i="14"/>
  <c r="BN109" i="14" s="1"/>
  <c r="AS191" i="14"/>
  <c r="BN191" i="14" s="1"/>
  <c r="AR181" i="14"/>
  <c r="BN181" i="14" s="1"/>
  <c r="AR44" i="14"/>
  <c r="BN44" i="14" s="1"/>
  <c r="AR84" i="14"/>
  <c r="BN84" i="14" s="1"/>
  <c r="AR94" i="14"/>
  <c r="BN94" i="14" s="1"/>
  <c r="AR74" i="14"/>
  <c r="BN39" i="14"/>
  <c r="AS194" i="14"/>
  <c r="BN194" i="14" s="1"/>
  <c r="AQ197" i="14"/>
  <c r="AC124" i="14"/>
  <c r="BN197" i="14"/>
  <c r="AQ207" i="14"/>
  <c r="AQ71" i="14"/>
  <c r="AQ77" i="14"/>
  <c r="AQ179" i="14"/>
  <c r="AC100" i="14"/>
  <c r="AC105" i="14"/>
  <c r="AC155" i="14"/>
  <c r="AC180" i="14"/>
  <c r="AC115" i="14"/>
  <c r="AC185" i="14"/>
  <c r="AC210" i="14"/>
  <c r="AC90" i="14"/>
  <c r="AC145" i="14"/>
  <c r="AC160" i="14"/>
  <c r="AC125" i="14"/>
  <c r="AC55" i="14"/>
  <c r="AC20" i="14"/>
  <c r="AC30" i="14"/>
  <c r="AC190" i="14"/>
  <c r="AC135" i="14"/>
  <c r="AC80" i="14"/>
  <c r="AC25" i="14"/>
  <c r="AC75" i="14"/>
  <c r="AC95" i="14"/>
  <c r="AC195" i="14"/>
  <c r="AC45" i="14"/>
  <c r="AC15" i="14"/>
  <c r="AC205" i="14"/>
  <c r="AC35" i="14"/>
  <c r="AC120" i="14"/>
  <c r="AC150" i="14"/>
  <c r="AC70" i="14"/>
  <c r="BN165" i="14"/>
  <c r="AQ10" i="14"/>
  <c r="AQ210" i="14"/>
  <c r="AQ20" i="14"/>
  <c r="AR170" i="14"/>
  <c r="AR135" i="14"/>
  <c r="AR95" i="14"/>
  <c r="AR60" i="14"/>
  <c r="BN60" i="14" s="1"/>
  <c r="AR75" i="14"/>
  <c r="AR120" i="14"/>
  <c r="AR140" i="14"/>
  <c r="BN140" i="14" s="1"/>
  <c r="AR80" i="14"/>
  <c r="AQ50" i="14"/>
  <c r="AR155" i="14"/>
  <c r="AS55" i="14"/>
  <c r="AS70" i="14"/>
  <c r="AS80" i="14"/>
  <c r="AS105" i="14"/>
  <c r="BN105" i="14" s="1"/>
  <c r="AQ25" i="14"/>
  <c r="AS170" i="14"/>
  <c r="AS145" i="14"/>
  <c r="AS75" i="14"/>
  <c r="AS100" i="14"/>
  <c r="AS125" i="14"/>
  <c r="AS115" i="14"/>
  <c r="AS155" i="14"/>
  <c r="AS35" i="14"/>
  <c r="BN35" i="14" s="1"/>
  <c r="AS150" i="14"/>
  <c r="AS195" i="14"/>
  <c r="AS135" i="14"/>
  <c r="AR20" i="14"/>
  <c r="BN20" i="14" s="1"/>
  <c r="AS26" i="14"/>
  <c r="BN26" i="14" s="1"/>
  <c r="AR54" i="14"/>
  <c r="BN54" i="14" s="1"/>
  <c r="AR210" i="14"/>
  <c r="BN210" i="14" s="1"/>
  <c r="AR148" i="14"/>
  <c r="BN148" i="14" s="1"/>
  <c r="AR118" i="14"/>
  <c r="BN118" i="14" s="1"/>
  <c r="AS117" i="14"/>
  <c r="BN117" i="14" s="1"/>
  <c r="AS162" i="14"/>
  <c r="BN162" i="14" s="1"/>
  <c r="AR138" i="14"/>
  <c r="BN138" i="14" s="1"/>
  <c r="AQ98" i="14"/>
  <c r="AR98" i="14"/>
  <c r="AS25" i="14"/>
  <c r="BN25" i="14" s="1"/>
  <c r="AR32" i="14"/>
  <c r="BN32" i="14" s="1"/>
  <c r="AR185" i="14"/>
  <c r="BN185" i="14" s="1"/>
  <c r="AR128" i="14"/>
  <c r="BN128" i="14" s="1"/>
  <c r="AR122" i="14"/>
  <c r="BN122" i="14" s="1"/>
  <c r="AR144" i="14"/>
  <c r="BN144" i="14" s="1"/>
  <c r="AQ145" i="14"/>
  <c r="AQ172" i="14"/>
  <c r="AQ28" i="14"/>
  <c r="AQ92" i="14"/>
  <c r="AQ195" i="14"/>
  <c r="AQ170" i="14"/>
  <c r="AQ56" i="14"/>
  <c r="AQ78" i="14"/>
  <c r="AQ18" i="14"/>
  <c r="AQ113" i="14"/>
  <c r="AQ154" i="14"/>
  <c r="AQ64" i="14"/>
  <c r="AQ125" i="14"/>
  <c r="AQ115" i="14"/>
  <c r="AQ121" i="14"/>
  <c r="AQ58" i="14"/>
  <c r="AQ134" i="14"/>
  <c r="AQ46" i="14"/>
  <c r="AQ140" i="14"/>
  <c r="AQ124" i="14"/>
  <c r="AQ24" i="14"/>
  <c r="AQ176" i="14"/>
  <c r="AQ108" i="14"/>
  <c r="AQ152" i="14"/>
  <c r="AQ178" i="14"/>
  <c r="AQ126" i="14"/>
  <c r="AQ52" i="14"/>
  <c r="AQ94" i="14"/>
  <c r="AQ105" i="14"/>
  <c r="AQ123" i="14"/>
  <c r="AQ112" i="14"/>
  <c r="AB96" i="14"/>
  <c r="AW96" i="14"/>
  <c r="AP96" i="14"/>
  <c r="AR96" i="14"/>
  <c r="AQ12" i="14"/>
  <c r="AQ38" i="14"/>
  <c r="AS126" i="14"/>
  <c r="AQ48" i="14"/>
  <c r="AR42" i="14"/>
  <c r="BN42" i="14" s="1"/>
  <c r="AS124" i="14"/>
  <c r="AQ76" i="14"/>
  <c r="AR76" i="14"/>
  <c r="BN76" i="14" s="1"/>
  <c r="AQ102" i="14"/>
  <c r="AQ158" i="14"/>
  <c r="AQ86" i="14"/>
  <c r="AQ104" i="14"/>
  <c r="AQ74" i="14"/>
  <c r="AQ70" i="14"/>
  <c r="AQ100" i="14"/>
  <c r="AQ75" i="14"/>
  <c r="AQ55" i="14"/>
  <c r="AQ60" i="14"/>
  <c r="AQ35" i="14"/>
  <c r="BN69" i="14"/>
  <c r="AR115" i="14"/>
  <c r="AR150" i="14"/>
  <c r="AR30" i="14"/>
  <c r="BN30" i="14" s="1"/>
  <c r="AR10" i="14"/>
  <c r="AR125" i="14"/>
  <c r="AQ80" i="14"/>
  <c r="AQ135" i="14"/>
  <c r="AR195" i="14"/>
  <c r="AQ95" i="14"/>
  <c r="AR50" i="14"/>
  <c r="BN50" i="14" s="1"/>
  <c r="AQ155" i="14"/>
  <c r="AS120" i="14"/>
  <c r="AQ120" i="14"/>
  <c r="AR190" i="14"/>
  <c r="BN190" i="14" s="1"/>
  <c r="AQ190" i="14"/>
  <c r="AQ150" i="14"/>
  <c r="AR180" i="14"/>
  <c r="BN180" i="14" s="1"/>
  <c r="AQ180" i="14"/>
  <c r="Q3" i="14"/>
  <c r="A542" i="14" s="1"/>
  <c r="AC10" i="14" l="1"/>
  <c r="BN28" i="14"/>
  <c r="BN158" i="14"/>
  <c r="AB8" i="14"/>
  <c r="BN98" i="14"/>
  <c r="AC96" i="14"/>
  <c r="BN55" i="14"/>
  <c r="BN10" i="14"/>
  <c r="BN70" i="14"/>
  <c r="BN145" i="14"/>
  <c r="BN100" i="14"/>
  <c r="BN134" i="14"/>
  <c r="BN38" i="14"/>
  <c r="BN176" i="14"/>
  <c r="BN86" i="14"/>
  <c r="BN95" i="14"/>
  <c r="BN126" i="14"/>
  <c r="BN104" i="14"/>
  <c r="BN74" i="14"/>
  <c r="BN124" i="14"/>
  <c r="AS96" i="14"/>
  <c r="BN96" i="14" s="1"/>
  <c r="BN163" i="14"/>
  <c r="BN155" i="14"/>
  <c r="BN170" i="14"/>
  <c r="BN195" i="14"/>
  <c r="BN75" i="14"/>
  <c r="BN80" i="14"/>
  <c r="BN120" i="14"/>
  <c r="BN135" i="14"/>
  <c r="BN125" i="14"/>
  <c r="BN150" i="14"/>
  <c r="BN115" i="14"/>
  <c r="AQ96" i="14"/>
  <c r="AQ8" i="14" s="1"/>
  <c r="O2" i="7" s="1"/>
  <c r="B201" i="7" a="1"/>
  <c r="B201" i="7" s="1"/>
  <c r="B200" i="7" a="1"/>
  <c r="B200" i="7" s="1"/>
  <c r="Q2" i="14"/>
  <c r="AV512" i="14" s="1"/>
  <c r="D512" i="14" s="1"/>
  <c r="A603" i="14"/>
  <c r="A616" i="14"/>
  <c r="A444" i="14"/>
  <c r="A591" i="14"/>
  <c r="A489" i="14"/>
  <c r="A501" i="14"/>
  <c r="A463" i="14"/>
  <c r="A422" i="14"/>
  <c r="A520" i="14"/>
  <c r="A472" i="14"/>
  <c r="A479" i="14"/>
  <c r="A465" i="14"/>
  <c r="A547" i="14"/>
  <c r="A503" i="14"/>
  <c r="A423" i="14"/>
  <c r="A496" i="14"/>
  <c r="A483" i="14"/>
  <c r="A593" i="14"/>
  <c r="A446" i="14"/>
  <c r="A548" i="14"/>
  <c r="A493" i="14"/>
  <c r="A435" i="14"/>
  <c r="A449" i="14"/>
  <c r="A537" i="14"/>
  <c r="A540" i="14"/>
  <c r="A534" i="14"/>
  <c r="A561" i="14"/>
  <c r="A432" i="14"/>
  <c r="A543" i="14"/>
  <c r="A474" i="14"/>
  <c r="A511" i="14"/>
  <c r="A612" i="14"/>
  <c r="A480" i="14"/>
  <c r="A455" i="14"/>
  <c r="A614" i="14"/>
  <c r="A491" i="14"/>
  <c r="A579" i="14"/>
  <c r="A436" i="14"/>
  <c r="A498" i="14"/>
  <c r="A541" i="14"/>
  <c r="A529" i="14"/>
  <c r="A611" i="14"/>
  <c r="A492" i="14"/>
  <c r="A550" i="14"/>
  <c r="A512" i="14"/>
  <c r="A459" i="14"/>
  <c r="A488" i="14"/>
  <c r="A426" i="14"/>
  <c r="A518" i="14"/>
  <c r="A443" i="14"/>
  <c r="A530" i="14"/>
  <c r="A473" i="14"/>
  <c r="A595" i="14"/>
  <c r="A569" i="14"/>
  <c r="A456" i="14"/>
  <c r="A536" i="14"/>
  <c r="A516" i="14"/>
  <c r="A470" i="14"/>
  <c r="A490" i="14"/>
  <c r="A481" i="14"/>
  <c r="A427" i="14"/>
  <c r="A433" i="14"/>
  <c r="A482" i="14"/>
  <c r="A441" i="14"/>
  <c r="A527" i="14"/>
  <c r="A447" i="14"/>
  <c r="A604" i="14"/>
  <c r="A555" i="14"/>
  <c r="A578" i="14"/>
  <c r="A521" i="14"/>
  <c r="A478" i="14"/>
  <c r="A418" i="14"/>
  <c r="A445" i="14"/>
  <c r="A507" i="14"/>
  <c r="A419" i="14"/>
  <c r="A510" i="14"/>
  <c r="A434" i="14"/>
  <c r="A513" i="14"/>
  <c r="A523" i="14"/>
  <c r="A582" i="14"/>
  <c r="A524" i="14"/>
  <c r="A440" i="14"/>
  <c r="A430" i="14"/>
  <c r="A567" i="14"/>
  <c r="A539" i="14"/>
  <c r="A600" i="14"/>
  <c r="A437" i="14"/>
  <c r="A471" i="14"/>
  <c r="A572" i="14"/>
  <c r="A559" i="14"/>
  <c r="A462" i="14"/>
  <c r="A592" i="14"/>
  <c r="A517" i="14"/>
  <c r="A522" i="14"/>
  <c r="A494" i="14"/>
  <c r="A500" i="14"/>
  <c r="A562" i="14"/>
  <c r="A502" i="14"/>
  <c r="A509" i="14"/>
  <c r="A417" i="14"/>
  <c r="A565" i="14"/>
  <c r="A544" i="14"/>
  <c r="A469" i="14"/>
  <c r="A461" i="14"/>
  <c r="A487" i="14"/>
  <c r="A535" i="14"/>
  <c r="A431" i="14"/>
  <c r="A554" i="14"/>
  <c r="A607" i="14"/>
  <c r="A552" i="14"/>
  <c r="A551" i="14"/>
  <c r="A424" i="14"/>
  <c r="A581" i="14"/>
  <c r="A448" i="14"/>
  <c r="A519" i="14"/>
  <c r="A601" i="14"/>
  <c r="A587" i="14"/>
  <c r="A596" i="14"/>
  <c r="A571" i="14"/>
  <c r="A568" i="14"/>
  <c r="A570" i="14"/>
  <c r="A429" i="14"/>
  <c r="A564" i="14"/>
  <c r="A477" i="14"/>
  <c r="A563" i="14"/>
  <c r="A602" i="14"/>
  <c r="A574" i="14"/>
  <c r="A454" i="14"/>
  <c r="A545" i="14"/>
  <c r="A590" i="14"/>
  <c r="A428" i="14"/>
  <c r="A438" i="14"/>
  <c r="A506" i="14"/>
  <c r="A580" i="14"/>
  <c r="A453" i="14"/>
  <c r="A525" i="14"/>
  <c r="A485" i="14"/>
  <c r="A556" i="14"/>
  <c r="A553" i="14"/>
  <c r="A476" i="14"/>
  <c r="A495" i="14"/>
  <c r="A505" i="14"/>
  <c r="A598" i="14"/>
  <c r="A589" i="14"/>
  <c r="A533" i="14"/>
  <c r="A549" i="14"/>
  <c r="A573" i="14"/>
  <c r="A609" i="14"/>
  <c r="A468" i="14"/>
  <c r="A457" i="14"/>
  <c r="A467" i="14"/>
  <c r="A475" i="14"/>
  <c r="A497" i="14"/>
  <c r="A499" i="14"/>
  <c r="A606" i="14"/>
  <c r="A425" i="14"/>
  <c r="A442" i="14"/>
  <c r="A466" i="14"/>
  <c r="A416" i="14"/>
  <c r="A421" i="14"/>
  <c r="A599" i="14"/>
  <c r="A608" i="14"/>
  <c r="A528" i="14"/>
  <c r="A526" i="14"/>
  <c r="A514" i="14"/>
  <c r="A504" i="14"/>
  <c r="A508" i="14"/>
  <c r="A588" i="14"/>
  <c r="A532" i="14"/>
  <c r="A460" i="14"/>
  <c r="A484" i="14"/>
  <c r="A486" i="14"/>
  <c r="A451" i="14"/>
  <c r="A557" i="14"/>
  <c r="A558" i="14"/>
  <c r="A605" i="14"/>
  <c r="A597" i="14"/>
  <c r="A584" i="14"/>
  <c r="A586" i="14"/>
  <c r="A546" i="14"/>
  <c r="A420" i="14"/>
  <c r="A450" i="14"/>
  <c r="A560" i="14"/>
  <c r="A452" i="14"/>
  <c r="A585" i="14"/>
  <c r="A458" i="14"/>
  <c r="A594" i="14"/>
  <c r="A538" i="14"/>
  <c r="A576" i="14"/>
  <c r="A439" i="14"/>
  <c r="A531" i="14"/>
  <c r="A464" i="14"/>
  <c r="A577" i="14"/>
  <c r="A615" i="14"/>
  <c r="A575" i="14"/>
  <c r="A515" i="14"/>
  <c r="A583" i="14"/>
  <c r="A566" i="14"/>
  <c r="Q5" i="14"/>
  <c r="Q4" i="14" s="1"/>
  <c r="M509" i="14"/>
  <c r="M441" i="14"/>
  <c r="M464" i="14"/>
  <c r="M521" i="14"/>
  <c r="M528" i="14"/>
  <c r="M609" i="14"/>
  <c r="M594" i="14"/>
  <c r="M588" i="14"/>
  <c r="M492" i="14"/>
  <c r="M593" i="14"/>
  <c r="M597" i="14"/>
  <c r="M568" i="14"/>
  <c r="M551" i="14"/>
  <c r="M566" i="14"/>
  <c r="M426" i="14"/>
  <c r="M422" i="14"/>
  <c r="M613" i="14"/>
  <c r="M463" i="14"/>
  <c r="M552" i="14"/>
  <c r="M518" i="14"/>
  <c r="M504" i="14"/>
  <c r="M534" i="14"/>
  <c r="M437" i="14"/>
  <c r="M416" i="14"/>
  <c r="M442" i="14"/>
  <c r="M556" i="14"/>
  <c r="M490" i="14"/>
  <c r="M484" i="14"/>
  <c r="M425" i="14"/>
  <c r="M586" i="14"/>
  <c r="M610" i="14"/>
  <c r="M474" i="14"/>
  <c r="M462" i="14"/>
  <c r="M487" i="14"/>
  <c r="M513" i="14"/>
  <c r="M450" i="14"/>
  <c r="M471" i="14"/>
  <c r="M545" i="14"/>
  <c r="M494" i="14"/>
  <c r="M576" i="14"/>
  <c r="M501" i="14"/>
  <c r="M535" i="14"/>
  <c r="M497" i="14"/>
  <c r="M417" i="14"/>
  <c r="M564" i="14"/>
  <c r="M427" i="14"/>
  <c r="M480" i="14"/>
  <c r="M579" i="14"/>
  <c r="M557" i="14"/>
  <c r="M536" i="14"/>
  <c r="M602" i="14"/>
  <c r="M575" i="14"/>
  <c r="M438" i="14"/>
  <c r="M465" i="14"/>
  <c r="M527" i="14"/>
  <c r="M483" i="14"/>
  <c r="M440" i="14"/>
  <c r="M447" i="14"/>
  <c r="M543" i="14"/>
  <c r="M612" i="14"/>
  <c r="M418" i="14"/>
  <c r="M585" i="14"/>
  <c r="M444" i="14"/>
  <c r="M615" i="14"/>
  <c r="M561" i="14"/>
  <c r="M605" i="14"/>
  <c r="M421" i="14"/>
  <c r="M598" i="14"/>
  <c r="M608" i="14"/>
  <c r="M581" i="14"/>
  <c r="M499" i="14"/>
  <c r="M491" i="14"/>
  <c r="M517" i="14"/>
  <c r="M507" i="14"/>
  <c r="M540" i="14"/>
  <c r="M554" i="14"/>
  <c r="M522" i="14"/>
  <c r="M600" i="14"/>
  <c r="M431" i="14"/>
  <c r="M549" i="14"/>
  <c r="M555" i="14"/>
  <c r="M481" i="14"/>
  <c r="M530" i="14"/>
  <c r="M488" i="14"/>
  <c r="M429" i="14"/>
  <c r="M433" i="14"/>
  <c r="M544" i="14"/>
  <c r="M493" i="14"/>
  <c r="M519" i="14"/>
  <c r="M500" i="14"/>
  <c r="M524" i="14"/>
  <c r="M475" i="14"/>
  <c r="M508" i="14"/>
  <c r="M439" i="14"/>
  <c r="M531" i="14"/>
  <c r="M591" i="14"/>
  <c r="M529" i="14"/>
  <c r="M467" i="14"/>
  <c r="M565" i="14"/>
  <c r="M446" i="14"/>
  <c r="M435" i="14"/>
  <c r="M453" i="14"/>
  <c r="M470" i="14"/>
  <c r="M457" i="14"/>
  <c r="M448" i="14"/>
  <c r="M498" i="14"/>
  <c r="M449" i="14"/>
  <c r="M469" i="14"/>
  <c r="M590" i="14"/>
  <c r="M532" i="14"/>
  <c r="M578" i="14"/>
  <c r="M607" i="14"/>
  <c r="M454" i="14"/>
  <c r="M473" i="14"/>
  <c r="M455" i="14"/>
  <c r="M479" i="14"/>
  <c r="M505" i="14"/>
  <c r="M443" i="14"/>
  <c r="M495" i="14"/>
  <c r="M460" i="14"/>
  <c r="M502" i="14"/>
  <c r="M461" i="14"/>
  <c r="M466" i="14"/>
  <c r="M476" i="14"/>
  <c r="M526" i="14"/>
  <c r="M468" i="14"/>
  <c r="M496" i="14"/>
  <c r="M592" i="14"/>
  <c r="M587" i="14"/>
  <c r="M432" i="14"/>
  <c r="M595" i="14"/>
  <c r="M601" i="14"/>
  <c r="M547" i="14"/>
  <c r="M523" i="14"/>
  <c r="M424" i="14"/>
  <c r="M616" i="14"/>
  <c r="M533" i="14"/>
  <c r="M570" i="14"/>
  <c r="M458" i="14"/>
  <c r="M503" i="14"/>
  <c r="M478" i="14"/>
  <c r="M451" i="14"/>
  <c r="M445" i="14"/>
  <c r="M486" i="14"/>
  <c r="M420" i="14"/>
  <c r="M539" i="14"/>
  <c r="M514" i="14"/>
  <c r="M456" i="14"/>
  <c r="M596" i="14"/>
  <c r="M459" i="14"/>
  <c r="M472" i="14"/>
  <c r="M572" i="14"/>
  <c r="M452" i="14"/>
  <c r="M520" i="14"/>
  <c r="M584" i="14"/>
  <c r="M567" i="14"/>
  <c r="M428" i="14"/>
  <c r="M569" i="14"/>
  <c r="M542" i="14"/>
  <c r="M489" i="14"/>
  <c r="M582" i="14"/>
  <c r="M559" i="14"/>
  <c r="M571" i="14"/>
  <c r="M563" i="14"/>
  <c r="M525" i="14"/>
  <c r="M574" i="14"/>
  <c r="Q6" i="14"/>
  <c r="M603" i="14"/>
  <c r="M562" i="14"/>
  <c r="M430" i="14"/>
  <c r="M516" i="14"/>
  <c r="M604" i="14"/>
  <c r="M589" i="14"/>
  <c r="M546" i="14"/>
  <c r="M538" i="14"/>
  <c r="M577" i="14"/>
  <c r="M423" i="14"/>
  <c r="M548" i="14"/>
  <c r="M512" i="14"/>
  <c r="M482" i="14"/>
  <c r="M550" i="14"/>
  <c r="M515" i="14"/>
  <c r="M599" i="14"/>
  <c r="M541" i="14"/>
  <c r="M573" i="14"/>
  <c r="M511" i="14"/>
  <c r="M436" i="14"/>
  <c r="M560" i="14"/>
  <c r="M485" i="14"/>
  <c r="M614" i="14"/>
  <c r="M477" i="14"/>
  <c r="M553" i="14"/>
  <c r="M583" i="14"/>
  <c r="M606" i="14"/>
  <c r="M537" i="14"/>
  <c r="M506" i="14"/>
  <c r="M510" i="14"/>
  <c r="M611" i="14"/>
  <c r="M558" i="14"/>
  <c r="M419" i="14"/>
  <c r="M580" i="14"/>
  <c r="M434" i="14"/>
  <c r="A610" i="14"/>
  <c r="A613" i="14"/>
  <c r="AC8" i="14" l="1"/>
  <c r="L2" i="7" s="1"/>
  <c r="B658" i="7" a="1"/>
  <c r="B658" i="7" s="1"/>
  <c r="BV10" i="14" a="1"/>
  <c r="BV10" i="14" s="1"/>
  <c r="B657" i="7" a="1"/>
  <c r="B657" i="7" s="1"/>
  <c r="B656" i="7" a="1"/>
  <c r="B656" i="7" s="1"/>
  <c r="AV456" i="14"/>
  <c r="D456" i="14" s="1"/>
  <c r="AV476" i="14"/>
  <c r="D476" i="14" s="1"/>
  <c r="AV495" i="14"/>
  <c r="D495" i="14" s="1"/>
  <c r="AV422" i="14"/>
  <c r="D422" i="14" s="1"/>
  <c r="AV441" i="14"/>
  <c r="D441" i="14" s="1"/>
  <c r="AV479" i="14"/>
  <c r="D479" i="14" s="1"/>
  <c r="AV542" i="14"/>
  <c r="AV574" i="14"/>
  <c r="D574" i="14" s="1"/>
  <c r="AV426" i="14"/>
  <c r="D426" i="14" s="1"/>
  <c r="AV615" i="14"/>
  <c r="D615" i="14" s="1"/>
  <c r="AV573" i="14"/>
  <c r="D573" i="14" s="1"/>
  <c r="AV530" i="14"/>
  <c r="D530" i="14" s="1"/>
  <c r="AV581" i="14"/>
  <c r="AV604" i="14"/>
  <c r="D604" i="14" s="1"/>
  <c r="AV431" i="14"/>
  <c r="D431" i="14" s="1"/>
  <c r="AV421" i="14"/>
  <c r="D421" i="14" s="1"/>
  <c r="AV478" i="14"/>
  <c r="D478" i="14" s="1"/>
  <c r="AV449" i="14"/>
  <c r="D449" i="14" s="1"/>
  <c r="AV432" i="14"/>
  <c r="D432" i="14" s="1"/>
  <c r="AV428" i="14"/>
  <c r="AV599" i="14"/>
  <c r="D599" i="14" s="1"/>
  <c r="AV420" i="14"/>
  <c r="AV546" i="14"/>
  <c r="D546" i="14" s="1"/>
  <c r="AV528" i="14"/>
  <c r="D528" i="14" s="1"/>
  <c r="AV416" i="14"/>
  <c r="D416" i="14" s="1"/>
  <c r="AV541" i="14"/>
  <c r="D541" i="14" s="1"/>
  <c r="AV568" i="14"/>
  <c r="D568" i="14" s="1"/>
  <c r="AV544" i="14"/>
  <c r="AV590" i="14"/>
  <c r="D590" i="14" s="1"/>
  <c r="AV550" i="14"/>
  <c r="D550" i="14" s="1"/>
  <c r="AV508" i="14"/>
  <c r="D508" i="14" s="1"/>
  <c r="AV570" i="14"/>
  <c r="D570" i="14" s="1"/>
  <c r="AV592" i="14"/>
  <c r="D592" i="14" s="1"/>
  <c r="AV572" i="14"/>
  <c r="D572" i="14" s="1"/>
  <c r="AV603" i="14"/>
  <c r="AV443" i="14"/>
  <c r="D443" i="14" s="1"/>
  <c r="AV591" i="14"/>
  <c r="D591" i="14" s="1"/>
  <c r="AV497" i="14"/>
  <c r="D497" i="14" s="1"/>
  <c r="AV589" i="14"/>
  <c r="AV439" i="14"/>
  <c r="AV609" i="14"/>
  <c r="D609" i="14" s="1"/>
  <c r="AV514" i="14"/>
  <c r="D514" i="14" s="1"/>
  <c r="AV464" i="14"/>
  <c r="D464" i="14" s="1"/>
  <c r="AV455" i="14"/>
  <c r="D455" i="14" s="1"/>
  <c r="AV551" i="14"/>
  <c r="D551" i="14" s="1"/>
  <c r="AV452" i="14"/>
  <c r="D452" i="14" s="1"/>
  <c r="AV423" i="14"/>
  <c r="AV511" i="14"/>
  <c r="D511" i="14" s="1"/>
  <c r="AV587" i="14"/>
  <c r="AV463" i="14"/>
  <c r="D463" i="14" s="1"/>
  <c r="AV437" i="14"/>
  <c r="D437" i="14" s="1"/>
  <c r="AV539" i="14"/>
  <c r="D539" i="14" s="1"/>
  <c r="AV509" i="14"/>
  <c r="D509" i="14" s="1"/>
  <c r="AV534" i="14"/>
  <c r="D534" i="14" s="1"/>
  <c r="AV451" i="14"/>
  <c r="D451" i="14" s="1"/>
  <c r="AV606" i="14"/>
  <c r="AV521" i="14"/>
  <c r="D521" i="14" s="1"/>
  <c r="AV516" i="14"/>
  <c r="BP516" i="14" s="1"/>
  <c r="N516" i="14" s="1"/>
  <c r="AV519" i="14"/>
  <c r="D519" i="14" s="1"/>
  <c r="AV459" i="14"/>
  <c r="AV613" i="14"/>
  <c r="D613" i="14" s="1"/>
  <c r="AV608" i="14"/>
  <c r="D608" i="14" s="1"/>
  <c r="AV529" i="14"/>
  <c r="AV434" i="14"/>
  <c r="D434" i="14" s="1"/>
  <c r="AV612" i="14"/>
  <c r="D612" i="14" s="1"/>
  <c r="AV557" i="14"/>
  <c r="D557" i="14" s="1"/>
  <c r="AV430" i="14"/>
  <c r="AV547" i="14"/>
  <c r="D547" i="14" s="1"/>
  <c r="AV450" i="14"/>
  <c r="D450" i="14" s="1"/>
  <c r="AV523" i="14"/>
  <c r="AV517" i="14"/>
  <c r="AV472" i="14"/>
  <c r="AV477" i="14"/>
  <c r="D477" i="14" s="1"/>
  <c r="AV488" i="14"/>
  <c r="AV540" i="14"/>
  <c r="D540" i="14" s="1"/>
  <c r="AV605" i="14"/>
  <c r="D605" i="14" s="1"/>
  <c r="AV419" i="14"/>
  <c r="D419" i="14" s="1"/>
  <c r="AV585" i="14"/>
  <c r="D585" i="14" s="1"/>
  <c r="AV555" i="14"/>
  <c r="AV531" i="14"/>
  <c r="AV525" i="14"/>
  <c r="D525" i="14" s="1"/>
  <c r="AV594" i="14"/>
  <c r="D594" i="14" s="1"/>
  <c r="AV616" i="14"/>
  <c r="D616" i="14" s="1"/>
  <c r="AV447" i="14"/>
  <c r="AV545" i="14"/>
  <c r="D545" i="14" s="1"/>
  <c r="AV586" i="14"/>
  <c r="D586" i="14" s="1"/>
  <c r="AV560" i="14"/>
  <c r="D560" i="14" s="1"/>
  <c r="AV460" i="14"/>
  <c r="D460" i="14" s="1"/>
  <c r="AV440" i="14"/>
  <c r="D440" i="14" s="1"/>
  <c r="AV611" i="14"/>
  <c r="D611" i="14" s="1"/>
  <c r="AV454" i="14"/>
  <c r="D454" i="14" s="1"/>
  <c r="AV538" i="14"/>
  <c r="D538" i="14" s="1"/>
  <c r="AV558" i="14"/>
  <c r="D558" i="14" s="1"/>
  <c r="AV436" i="14"/>
  <c r="D436" i="14" s="1"/>
  <c r="AV600" i="14"/>
  <c r="D600" i="14" s="1"/>
  <c r="AV502" i="14"/>
  <c r="D502" i="14" s="1"/>
  <c r="AV424" i="14"/>
  <c r="D424" i="14" s="1"/>
  <c r="AV614" i="14"/>
  <c r="AV493" i="14"/>
  <c r="AV513" i="14"/>
  <c r="D513" i="14" s="1"/>
  <c r="AV490" i="14"/>
  <c r="D490" i="14" s="1"/>
  <c r="AV504" i="14"/>
  <c r="AV593" i="14"/>
  <c r="AV575" i="14"/>
  <c r="D575" i="14" s="1"/>
  <c r="AV520" i="14"/>
  <c r="D520" i="14" s="1"/>
  <c r="AV427" i="14"/>
  <c r="D427" i="14" s="1"/>
  <c r="AV494" i="14"/>
  <c r="AV580" i="14"/>
  <c r="D580" i="14" s="1"/>
  <c r="AV503" i="14"/>
  <c r="AV578" i="14"/>
  <c r="D578" i="14" s="1"/>
  <c r="AV584" i="14"/>
  <c r="D584" i="14" s="1"/>
  <c r="AV602" i="14"/>
  <c r="D602" i="14" s="1"/>
  <c r="AV515" i="14"/>
  <c r="AV559" i="14"/>
  <c r="D559" i="14" s="1"/>
  <c r="AV444" i="14"/>
  <c r="D444" i="14" s="1"/>
  <c r="AV470" i="14"/>
  <c r="D470" i="14" s="1"/>
  <c r="AV417" i="14"/>
  <c r="AV556" i="14"/>
  <c r="D556" i="14" s="1"/>
  <c r="AV579" i="14"/>
  <c r="D579" i="14" s="1"/>
  <c r="AV468" i="14"/>
  <c r="D468" i="14" s="1"/>
  <c r="AV536" i="14"/>
  <c r="D536" i="14" s="1"/>
  <c r="AV496" i="14"/>
  <c r="D496" i="14" s="1"/>
  <c r="AV466" i="14"/>
  <c r="D466" i="14" s="1"/>
  <c r="AV501" i="14"/>
  <c r="D501" i="14" s="1"/>
  <c r="AV522" i="14"/>
  <c r="D522" i="14" s="1"/>
  <c r="AV569" i="14"/>
  <c r="D569" i="14" s="1"/>
  <c r="AV492" i="14"/>
  <c r="AV458" i="14"/>
  <c r="BP574" i="14" s="1"/>
  <c r="AV565" i="14"/>
  <c r="D565" i="14" s="1"/>
  <c r="AV469" i="14"/>
  <c r="D469" i="14" s="1"/>
  <c r="AV462" i="14"/>
  <c r="D462" i="14" s="1"/>
  <c r="AV571" i="14"/>
  <c r="D571" i="14" s="1"/>
  <c r="AV445" i="14"/>
  <c r="D445" i="14" s="1"/>
  <c r="AV595" i="14"/>
  <c r="D595" i="14" s="1"/>
  <c r="AV543" i="14"/>
  <c r="D543" i="14" s="1"/>
  <c r="AV532" i="14"/>
  <c r="D532" i="14" s="1"/>
  <c r="AV577" i="14"/>
  <c r="D577" i="14" s="1"/>
  <c r="AV486" i="14"/>
  <c r="D486" i="14" s="1"/>
  <c r="AV481" i="14"/>
  <c r="D481" i="14" s="1"/>
  <c r="AV598" i="14"/>
  <c r="D598" i="14" s="1"/>
  <c r="AV601" i="14"/>
  <c r="AV446" i="14"/>
  <c r="D446" i="14" s="1"/>
  <c r="AV487" i="14"/>
  <c r="AV553" i="14"/>
  <c r="D553" i="14" s="1"/>
  <c r="AV484" i="14"/>
  <c r="D484" i="14" s="1"/>
  <c r="AV518" i="14"/>
  <c r="D518" i="14" s="1"/>
  <c r="AV467" i="14"/>
  <c r="D467" i="14" s="1"/>
  <c r="AV480" i="14"/>
  <c r="D480" i="14" s="1"/>
  <c r="AV597" i="14"/>
  <c r="D597" i="14" s="1"/>
  <c r="AV489" i="14"/>
  <c r="AV507" i="14"/>
  <c r="D507" i="14" s="1"/>
  <c r="AV576" i="14"/>
  <c r="D576" i="14" s="1"/>
  <c r="AV607" i="14"/>
  <c r="AV567" i="14"/>
  <c r="D567" i="14" s="1"/>
  <c r="AV473" i="14"/>
  <c r="D473" i="14" s="1"/>
  <c r="AV442" i="14"/>
  <c r="BP590" i="14" s="1"/>
  <c r="AV535" i="14"/>
  <c r="D535" i="14" s="1"/>
  <c r="AV499" i="14"/>
  <c r="AV438" i="14"/>
  <c r="D438" i="14" s="1"/>
  <c r="AV564" i="14"/>
  <c r="D564" i="14" s="1"/>
  <c r="AV461" i="14"/>
  <c r="D461" i="14" s="1"/>
  <c r="AV433" i="14"/>
  <c r="D433" i="14" s="1"/>
  <c r="AV498" i="14"/>
  <c r="AV588" i="14"/>
  <c r="AV554" i="14"/>
  <c r="D554" i="14" s="1"/>
  <c r="AV435" i="14"/>
  <c r="D435" i="14" s="1"/>
  <c r="AV533" i="14"/>
  <c r="AV418" i="14"/>
  <c r="AV563" i="14"/>
  <c r="D563" i="14" s="1"/>
  <c r="AV596" i="14"/>
  <c r="AV537" i="14"/>
  <c r="BP495" i="14" s="1"/>
  <c r="AV527" i="14"/>
  <c r="D527" i="14" s="1"/>
  <c r="AV549" i="14"/>
  <c r="AV548" i="14"/>
  <c r="D548" i="14" s="1"/>
  <c r="AV505" i="14"/>
  <c r="D505" i="14" s="1"/>
  <c r="AV566" i="14"/>
  <c r="D566" i="14" s="1"/>
  <c r="AV483" i="14"/>
  <c r="D483" i="14" s="1"/>
  <c r="AV491" i="14"/>
  <c r="D491" i="14" s="1"/>
  <c r="AV453" i="14"/>
  <c r="D453" i="14" s="1"/>
  <c r="AV471" i="14"/>
  <c r="D471" i="14" s="1"/>
  <c r="AV500" i="14"/>
  <c r="AV552" i="14"/>
  <c r="D552" i="14" s="1"/>
  <c r="AV506" i="14"/>
  <c r="AV562" i="14"/>
  <c r="D562" i="14" s="1"/>
  <c r="AV561" i="14"/>
  <c r="D561" i="14" s="1"/>
  <c r="AV465" i="14"/>
  <c r="D465" i="14" s="1"/>
  <c r="AV510" i="14"/>
  <c r="D510" i="14" s="1"/>
  <c r="AV457" i="14"/>
  <c r="D457" i="14" s="1"/>
  <c r="AV429" i="14"/>
  <c r="D429" i="14" s="1"/>
  <c r="AV485" i="14"/>
  <c r="AV482" i="14"/>
  <c r="D482" i="14" s="1"/>
  <c r="AV610" i="14"/>
  <c r="D610" i="14" s="1"/>
  <c r="AV526" i="14"/>
  <c r="D526" i="14" s="1"/>
  <c r="AV448" i="14"/>
  <c r="D448" i="14" s="1"/>
  <c r="AV425" i="14"/>
  <c r="D425" i="14" s="1"/>
  <c r="AV474" i="14"/>
  <c r="D474" i="14" s="1"/>
  <c r="AV583" i="14"/>
  <c r="D583" i="14" s="1"/>
  <c r="AV582" i="14"/>
  <c r="D582" i="14" s="1"/>
  <c r="AV475" i="14"/>
  <c r="AV524" i="14"/>
  <c r="D524" i="14" s="1"/>
  <c r="D544" i="14"/>
  <c r="D439" i="14"/>
  <c r="BP557" i="14" l="1"/>
  <c r="BP509" i="14"/>
  <c r="BP520" i="14"/>
  <c r="BP455" i="14"/>
  <c r="BP539" i="14"/>
  <c r="BP544" i="14"/>
  <c r="BP542" i="14"/>
  <c r="BP532" i="14"/>
  <c r="BP490" i="14"/>
  <c r="BP531" i="14"/>
  <c r="BP593" i="14"/>
  <c r="BP430" i="14"/>
  <c r="D542" i="14"/>
  <c r="BP439" i="14"/>
  <c r="BP577" i="14"/>
  <c r="BP606" i="14"/>
  <c r="BP504" i="14"/>
  <c r="D593" i="14"/>
  <c r="BP581" i="14"/>
  <c r="BP598" i="14"/>
  <c r="BP573" i="14"/>
  <c r="BP534" i="14"/>
  <c r="BP612" i="14"/>
  <c r="BP502" i="14"/>
  <c r="BP526" i="14"/>
  <c r="BP443" i="14"/>
  <c r="BP608" i="14"/>
  <c r="D581" i="14"/>
  <c r="BP459" i="14"/>
  <c r="BP609" i="14"/>
  <c r="BP488" i="14"/>
  <c r="BP615" i="14"/>
  <c r="BP528" i="14"/>
  <c r="BP470" i="14"/>
  <c r="BP496" i="14"/>
  <c r="BP553" i="14"/>
  <c r="BP571" i="14"/>
  <c r="BP503" i="14"/>
  <c r="BP538" i="14"/>
  <c r="BP515" i="14"/>
  <c r="BP418" i="14"/>
  <c r="BP529" i="14"/>
  <c r="BP445" i="14"/>
  <c r="BP552" i="14"/>
  <c r="BP614" i="14"/>
  <c r="BP518" i="14"/>
  <c r="BP545" i="14"/>
  <c r="BP493" i="14"/>
  <c r="BP591" i="14"/>
  <c r="BP431" i="14"/>
  <c r="BP425" i="14"/>
  <c r="BP543" i="14"/>
  <c r="BP589" i="14"/>
  <c r="BP613" i="14"/>
  <c r="BP537" i="14"/>
  <c r="N537" i="14" s="1"/>
  <c r="I537" i="14" s="1"/>
  <c r="BP535" i="14"/>
  <c r="D587" i="14"/>
  <c r="BP500" i="14"/>
  <c r="BP424" i="14"/>
  <c r="D589" i="14"/>
  <c r="D614" i="14"/>
  <c r="D503" i="14"/>
  <c r="D488" i="14"/>
  <c r="BP472" i="14"/>
  <c r="D529" i="14"/>
  <c r="D493" i="14"/>
  <c r="BP419" i="14"/>
  <c r="BP441" i="14"/>
  <c r="BP595" i="14"/>
  <c r="BP497" i="14"/>
  <c r="D537" i="14"/>
  <c r="BP437" i="14"/>
  <c r="BP587" i="14"/>
  <c r="BP492" i="14"/>
  <c r="BP555" i="14"/>
  <c r="BP451" i="14"/>
  <c r="BP464" i="14"/>
  <c r="D506" i="14"/>
  <c r="BP428" i="14"/>
  <c r="BP568" i="14"/>
  <c r="BP421" i="14"/>
  <c r="BP602" i="14"/>
  <c r="BP501" i="14"/>
  <c r="BP583" i="14"/>
  <c r="BP426" i="14"/>
  <c r="BP447" i="14"/>
  <c r="BP477" i="14"/>
  <c r="BP540" i="14"/>
  <c r="D531" i="14"/>
  <c r="BP536" i="14"/>
  <c r="BP604" i="14"/>
  <c r="BP527" i="14"/>
  <c r="BP484" i="14"/>
  <c r="BP578" i="14"/>
  <c r="BP463" i="14"/>
  <c r="BP456" i="14"/>
  <c r="BP547" i="14"/>
  <c r="BP566" i="14"/>
  <c r="D458" i="14"/>
  <c r="BP457" i="14"/>
  <c r="BP524" i="14"/>
  <c r="BP458" i="14"/>
  <c r="N574" i="14" s="1"/>
  <c r="W574" i="14" s="1"/>
  <c r="D428" i="14"/>
  <c r="D606" i="14"/>
  <c r="BP505" i="14"/>
  <c r="D492" i="14"/>
  <c r="BP417" i="14"/>
  <c r="BP601" i="14"/>
  <c r="BP475" i="14"/>
  <c r="BP548" i="14"/>
  <c r="BP599" i="14"/>
  <c r="BP498" i="14"/>
  <c r="BP499" i="14"/>
  <c r="BP446" i="14"/>
  <c r="BP427" i="14"/>
  <c r="BP444" i="14"/>
  <c r="BP567" i="14"/>
  <c r="BP523" i="14"/>
  <c r="D430" i="14"/>
  <c r="BP519" i="14"/>
  <c r="BP611" i="14"/>
  <c r="BP569" i="14"/>
  <c r="BP450" i="14"/>
  <c r="BP592" i="14"/>
  <c r="D555" i="14"/>
  <c r="D489" i="14"/>
  <c r="D504" i="14"/>
  <c r="BP420" i="14"/>
  <c r="BP572" i="14"/>
  <c r="D498" i="14"/>
  <c r="BP489" i="14"/>
  <c r="BP585" i="14"/>
  <c r="BP560" i="14"/>
  <c r="BP448" i="14"/>
  <c r="BP491" i="14"/>
  <c r="BP429" i="14"/>
  <c r="BP554" i="14"/>
  <c r="BP485" i="14"/>
  <c r="BP442" i="14"/>
  <c r="N442" i="14" s="1"/>
  <c r="BP594" i="14"/>
  <c r="BP576" i="14"/>
  <c r="BP565" i="14"/>
  <c r="BP423" i="14"/>
  <c r="BP494" i="14"/>
  <c r="BP462" i="14"/>
  <c r="BP483" i="14"/>
  <c r="BP435" i="14"/>
  <c r="BP510" i="14"/>
  <c r="BP517" i="14"/>
  <c r="BP607" i="14"/>
  <c r="BP482" i="14"/>
  <c r="BP610" i="14"/>
  <c r="BP600" i="14"/>
  <c r="BP616" i="14"/>
  <c r="BP436" i="14"/>
  <c r="BP533" i="14"/>
  <c r="BP487" i="14"/>
  <c r="BP556" i="14"/>
  <c r="BP546" i="14"/>
  <c r="BP473" i="14"/>
  <c r="BP474" i="14"/>
  <c r="BP511" i="14"/>
  <c r="BP512" i="14"/>
  <c r="D603" i="14"/>
  <c r="D475" i="14"/>
  <c r="BP551" i="14"/>
  <c r="BP508" i="14"/>
  <c r="BP525" i="14"/>
  <c r="BP575" i="14"/>
  <c r="BP588" i="14"/>
  <c r="D588" i="14"/>
  <c r="BP440" i="14"/>
  <c r="BP433" i="14"/>
  <c r="BP507" i="14"/>
  <c r="D417" i="14"/>
  <c r="BP434" i="14"/>
  <c r="D515" i="14"/>
  <c r="BP562" i="14"/>
  <c r="BP466" i="14"/>
  <c r="BP486" i="14"/>
  <c r="D523" i="14"/>
  <c r="BP454" i="14"/>
  <c r="BP460" i="14"/>
  <c r="D494" i="14"/>
  <c r="D420" i="14"/>
  <c r="BP514" i="14"/>
  <c r="BP605" i="14"/>
  <c r="D499" i="14"/>
  <c r="BP522" i="14"/>
  <c r="BP603" i="14"/>
  <c r="D517" i="14"/>
  <c r="BP549" i="14"/>
  <c r="D601" i="14"/>
  <c r="BP476" i="14"/>
  <c r="BP422" i="14"/>
  <c r="D459" i="14"/>
  <c r="BP465" i="14"/>
  <c r="D533" i="14"/>
  <c r="BP521" i="14"/>
  <c r="BP467" i="14"/>
  <c r="D472" i="14"/>
  <c r="BP582" i="14"/>
  <c r="BP416" i="14"/>
  <c r="BP579" i="14"/>
  <c r="BP580" i="14"/>
  <c r="D485" i="14"/>
  <c r="D418" i="14"/>
  <c r="BP530" i="14"/>
  <c r="BP597" i="14"/>
  <c r="D487" i="14"/>
  <c r="BP541" i="14"/>
  <c r="D607" i="14"/>
  <c r="BP586" i="14"/>
  <c r="BP461" i="14"/>
  <c r="BP561" i="14"/>
  <c r="D423" i="14"/>
  <c r="BP432" i="14"/>
  <c r="BP478" i="14"/>
  <c r="BP564" i="14"/>
  <c r="D442" i="14"/>
  <c r="BP438" i="14"/>
  <c r="BP559" i="14"/>
  <c r="BP570" i="14"/>
  <c r="D447" i="14"/>
  <c r="BP596" i="14"/>
  <c r="BP453" i="14"/>
  <c r="BP481" i="14"/>
  <c r="BP563" i="14"/>
  <c r="BP452" i="14"/>
  <c r="BP513" i="14"/>
  <c r="D516" i="14"/>
  <c r="BP550" i="14"/>
  <c r="BP479" i="14"/>
  <c r="D500" i="14"/>
  <c r="BP471" i="14"/>
  <c r="BP449" i="14"/>
  <c r="D549" i="14"/>
  <c r="BP558" i="14"/>
  <c r="BP584" i="14"/>
  <c r="BP480" i="14"/>
  <c r="BP506" i="14"/>
  <c r="D596" i="14"/>
  <c r="BP469" i="14"/>
  <c r="BP468" i="14"/>
  <c r="BA516" i="14"/>
  <c r="W516" i="14"/>
  <c r="Q516" i="14"/>
  <c r="I516" i="14"/>
  <c r="AY516" i="14"/>
  <c r="G516" i="14"/>
  <c r="AZ516" i="14"/>
  <c r="R516" i="14"/>
  <c r="BL516" i="14"/>
  <c r="T516" i="14"/>
  <c r="J516" i="14"/>
  <c r="E516" i="14"/>
  <c r="BM516" i="14"/>
  <c r="U516" i="14"/>
  <c r="BB516" i="14"/>
  <c r="P516" i="14" a="1"/>
  <c r="H516" i="14" a="1"/>
  <c r="N557" i="14" l="1"/>
  <c r="AY557" i="14" s="1"/>
  <c r="N509" i="14"/>
  <c r="R509" i="14" s="1"/>
  <c r="N520" i="14"/>
  <c r="W520" i="14" s="1"/>
  <c r="N455" i="14"/>
  <c r="BB455" i="14" s="1"/>
  <c r="N534" i="14"/>
  <c r="I534" i="14" s="1"/>
  <c r="N542" i="14"/>
  <c r="Q542" i="14" s="1"/>
  <c r="N490" i="14"/>
  <c r="BM490" i="14" s="1"/>
  <c r="N493" i="14"/>
  <c r="W493" i="14" s="1"/>
  <c r="N488" i="14"/>
  <c r="AZ488" i="14" s="1"/>
  <c r="N500" i="14"/>
  <c r="W500" i="14" s="1"/>
  <c r="N531" i="14"/>
  <c r="Q531" i="14" s="1"/>
  <c r="N430" i="14"/>
  <c r="U430" i="14" s="1"/>
  <c r="N593" i="14"/>
  <c r="U593" i="14" s="1"/>
  <c r="N431" i="14"/>
  <c r="W431" i="14" s="1"/>
  <c r="N577" i="14"/>
  <c r="T577" i="14" s="1"/>
  <c r="N606" i="14"/>
  <c r="W606" i="14" s="1"/>
  <c r="N581" i="14"/>
  <c r="R581" i="14" s="1"/>
  <c r="N439" i="14"/>
  <c r="BA439" i="14" s="1"/>
  <c r="N528" i="14"/>
  <c r="AY528" i="14" s="1"/>
  <c r="N504" i="14"/>
  <c r="BA504" i="14" s="1"/>
  <c r="N494" i="14"/>
  <c r="I494" i="14" s="1"/>
  <c r="N487" i="14"/>
  <c r="AY487" i="14" s="1"/>
  <c r="N464" i="14"/>
  <c r="AY464" i="14" s="1"/>
  <c r="N532" i="14"/>
  <c r="T532" i="14" s="1"/>
  <c r="N529" i="14"/>
  <c r="AZ529" i="14" s="1"/>
  <c r="N589" i="14"/>
  <c r="E589" i="14" s="1"/>
  <c r="N539" i="14"/>
  <c r="BB539" i="14" s="1"/>
  <c r="N497" i="14"/>
  <c r="Q497" i="14" s="1"/>
  <c r="N420" i="14"/>
  <c r="T420" i="14" s="1"/>
  <c r="N441" i="14"/>
  <c r="AY441" i="14" s="1"/>
  <c r="N418" i="14"/>
  <c r="J418" i="14" s="1"/>
  <c r="N459" i="14"/>
  <c r="T459" i="14" s="1"/>
  <c r="N611" i="14"/>
  <c r="BM611" i="14" s="1"/>
  <c r="N437" i="14"/>
  <c r="I437" i="14" s="1"/>
  <c r="N443" i="14"/>
  <c r="AY443" i="14" s="1"/>
  <c r="N613" i="14"/>
  <c r="BB613" i="14" s="1"/>
  <c r="N495" i="14"/>
  <c r="T495" i="14" s="1"/>
  <c r="N560" i="14"/>
  <c r="I560" i="14" s="1"/>
  <c r="N424" i="14"/>
  <c r="J424" i="14" s="1"/>
  <c r="N544" i="14"/>
  <c r="BM544" i="14" s="1"/>
  <c r="N607" i="14"/>
  <c r="W607" i="14" s="1"/>
  <c r="N517" i="14"/>
  <c r="BB517" i="14" s="1"/>
  <c r="N608" i="14"/>
  <c r="G608" i="14" s="1"/>
  <c r="BG608" i="14" s="1"/>
  <c r="N503" i="14"/>
  <c r="I503" i="14" s="1"/>
  <c r="N591" i="14"/>
  <c r="BA591" i="14" s="1"/>
  <c r="N573" i="14"/>
  <c r="U573" i="14" s="1"/>
  <c r="N595" i="14"/>
  <c r="BM595" i="14" s="1"/>
  <c r="N568" i="14"/>
  <c r="AY568" i="14" s="1"/>
  <c r="N614" i="14"/>
  <c r="I614" i="14" s="1"/>
  <c r="N419" i="14"/>
  <c r="Q419" i="14" s="1"/>
  <c r="N535" i="14"/>
  <c r="J535" i="14" s="1"/>
  <c r="N502" i="14"/>
  <c r="I502" i="14" s="1"/>
  <c r="N526" i="14"/>
  <c r="BM526" i="14" s="1"/>
  <c r="N555" i="14"/>
  <c r="I555" i="14" s="1"/>
  <c r="N598" i="14"/>
  <c r="R598" i="14" s="1"/>
  <c r="N552" i="14"/>
  <c r="J552" i="14" s="1"/>
  <c r="N609" i="14"/>
  <c r="BA609" i="14" s="1"/>
  <c r="N615" i="14"/>
  <c r="J615" i="14" s="1"/>
  <c r="N428" i="14"/>
  <c r="AZ428" i="14" s="1"/>
  <c r="N445" i="14"/>
  <c r="G445" i="14" s="1"/>
  <c r="BG445" i="14" s="1"/>
  <c r="N470" i="14"/>
  <c r="AY470" i="14" s="1"/>
  <c r="N571" i="14"/>
  <c r="AY571" i="14" s="1"/>
  <c r="N583" i="14"/>
  <c r="AY583" i="14" s="1"/>
  <c r="N566" i="14"/>
  <c r="AZ566" i="14" s="1"/>
  <c r="N475" i="14"/>
  <c r="BA475" i="14" s="1"/>
  <c r="N553" i="14"/>
  <c r="T553" i="14" s="1"/>
  <c r="N578" i="14"/>
  <c r="BA578" i="14" s="1"/>
  <c r="N426" i="14"/>
  <c r="BM426" i="14" s="1"/>
  <c r="N496" i="14"/>
  <c r="W496" i="14" s="1"/>
  <c r="N602" i="14"/>
  <c r="E602" i="14" s="1"/>
  <c r="N518" i="14"/>
  <c r="U518" i="14" s="1"/>
  <c r="N482" i="14"/>
  <c r="AY482" i="14" s="1"/>
  <c r="N501" i="14"/>
  <c r="AY501" i="14" s="1"/>
  <c r="N463" i="14"/>
  <c r="G463" i="14" s="1"/>
  <c r="BG463" i="14" s="1"/>
  <c r="N587" i="14"/>
  <c r="W587" i="14" s="1"/>
  <c r="N543" i="14"/>
  <c r="I543" i="14" s="1"/>
  <c r="N492" i="14"/>
  <c r="R492" i="14" s="1"/>
  <c r="N451" i="14"/>
  <c r="J451" i="14" s="1"/>
  <c r="N458" i="14"/>
  <c r="I458" i="14" s="1"/>
  <c r="N536" i="14"/>
  <c r="BL536" i="14" s="1"/>
  <c r="N523" i="14"/>
  <c r="AY523" i="14" s="1"/>
  <c r="N604" i="14"/>
  <c r="T604" i="14" s="1"/>
  <c r="N477" i="14"/>
  <c r="G477" i="14" s="1"/>
  <c r="BG477" i="14" s="1"/>
  <c r="N540" i="14"/>
  <c r="Q540" i="14" s="1"/>
  <c r="N489" i="14"/>
  <c r="AZ489" i="14" s="1"/>
  <c r="N505" i="14"/>
  <c r="BL505" i="14" s="1"/>
  <c r="N585" i="14"/>
  <c r="G585" i="14" s="1"/>
  <c r="BG585" i="14" s="1"/>
  <c r="N576" i="14"/>
  <c r="E576" i="14" s="1"/>
  <c r="N548" i="14"/>
  <c r="BL548" i="14" s="1"/>
  <c r="N485" i="14"/>
  <c r="BM485" i="14" s="1"/>
  <c r="N472" i="14"/>
  <c r="BB472" i="14" s="1"/>
  <c r="N447" i="14"/>
  <c r="W447" i="14" s="1"/>
  <c r="N421" i="14"/>
  <c r="G421" i="14" s="1"/>
  <c r="BG421" i="14" s="1"/>
  <c r="N457" i="14"/>
  <c r="AZ457" i="14" s="1"/>
  <c r="N545" i="14"/>
  <c r="AZ545" i="14" s="1"/>
  <c r="N425" i="14"/>
  <c r="R425" i="14" s="1"/>
  <c r="N590" i="14"/>
  <c r="I590" i="14" s="1"/>
  <c r="N484" i="14"/>
  <c r="U484" i="14" s="1"/>
  <c r="N515" i="14"/>
  <c r="AY515" i="14" s="1"/>
  <c r="N499" i="14"/>
  <c r="BA499" i="14" s="1"/>
  <c r="N527" i="14"/>
  <c r="BM527" i="14" s="1"/>
  <c r="N473" i="14"/>
  <c r="BA473" i="14" s="1"/>
  <c r="N524" i="14"/>
  <c r="I524" i="14" s="1"/>
  <c r="N580" i="14"/>
  <c r="AY580" i="14" s="1"/>
  <c r="N579" i="14"/>
  <c r="BL579" i="14" s="1"/>
  <c r="U574" i="14"/>
  <c r="Q574" i="14"/>
  <c r="BA574" i="14"/>
  <c r="J574" i="14"/>
  <c r="R574" i="14"/>
  <c r="E574" i="14"/>
  <c r="BM574" i="14"/>
  <c r="T574" i="14"/>
  <c r="BH574" i="14" s="1"/>
  <c r="AZ574" i="14"/>
  <c r="BL574" i="14"/>
  <c r="G574" i="14"/>
  <c r="BG574" i="14" s="1"/>
  <c r="AY574" i="14"/>
  <c r="I574" i="14"/>
  <c r="BB574" i="14"/>
  <c r="BM442" i="14"/>
  <c r="T442" i="14"/>
  <c r="BL442" i="14"/>
  <c r="J442" i="14"/>
  <c r="I442" i="14"/>
  <c r="W442" i="14"/>
  <c r="AZ442" i="14"/>
  <c r="R442" i="14"/>
  <c r="BA442" i="14"/>
  <c r="U442" i="14"/>
  <c r="AY442" i="14"/>
  <c r="Q442" i="14"/>
  <c r="BB442" i="14"/>
  <c r="E442" i="14"/>
  <c r="G442" i="14"/>
  <c r="BG442" i="14" s="1"/>
  <c r="N450" i="14"/>
  <c r="Q450" i="14" s="1"/>
  <c r="N610" i="14"/>
  <c r="G610" i="14" s="1"/>
  <c r="BG610" i="14" s="1"/>
  <c r="N519" i="14"/>
  <c r="U519" i="14" s="1"/>
  <c r="N417" i="14"/>
  <c r="Q417" i="14" s="1"/>
  <c r="N599" i="14"/>
  <c r="R599" i="14" s="1"/>
  <c r="N601" i="14"/>
  <c r="BM601" i="14" s="1"/>
  <c r="N592" i="14"/>
  <c r="BL592" i="14" s="1"/>
  <c r="BB537" i="14"/>
  <c r="N498" i="14"/>
  <c r="G498" i="14" s="1"/>
  <c r="N569" i="14"/>
  <c r="BB569" i="14" s="1"/>
  <c r="N546" i="14"/>
  <c r="BA546" i="14" s="1"/>
  <c r="N446" i="14"/>
  <c r="I446" i="14" s="1"/>
  <c r="N427" i="14"/>
  <c r="J427" i="14" s="1"/>
  <c r="N572" i="14"/>
  <c r="I572" i="14" s="1"/>
  <c r="J537" i="14"/>
  <c r="BL537" i="14"/>
  <c r="E537" i="14"/>
  <c r="W537" i="14"/>
  <c r="Q537" i="14"/>
  <c r="N456" i="14"/>
  <c r="R456" i="14" s="1"/>
  <c r="N533" i="14"/>
  <c r="BM533" i="14" s="1"/>
  <c r="N565" i="14"/>
  <c r="W565" i="14" s="1"/>
  <c r="N612" i="14"/>
  <c r="N538" i="14"/>
  <c r="N547" i="14"/>
  <c r="BA547" i="14" s="1"/>
  <c r="N525" i="14"/>
  <c r="T525" i="14" s="1"/>
  <c r="BM537" i="14"/>
  <c r="BA537" i="14"/>
  <c r="U537" i="14"/>
  <c r="N594" i="14"/>
  <c r="I594" i="14" s="1"/>
  <c r="N567" i="14"/>
  <c r="BA567" i="14" s="1"/>
  <c r="G537" i="14"/>
  <c r="N444" i="14"/>
  <c r="BA444" i="14" s="1"/>
  <c r="R537" i="14"/>
  <c r="T537" i="14"/>
  <c r="AZ537" i="14"/>
  <c r="AY537" i="14"/>
  <c r="N436" i="14"/>
  <c r="BB436" i="14" s="1"/>
  <c r="N491" i="14"/>
  <c r="AY491" i="14" s="1"/>
  <c r="N435" i="14"/>
  <c r="E435" i="14" s="1"/>
  <c r="N561" i="14"/>
  <c r="U561" i="14" s="1"/>
  <c r="N554" i="14"/>
  <c r="BA554" i="14" s="1"/>
  <c r="N448" i="14"/>
  <c r="W448" i="14" s="1"/>
  <c r="N551" i="14"/>
  <c r="BA551" i="14" s="1"/>
  <c r="N616" i="14"/>
  <c r="Q616" i="14" s="1"/>
  <c r="N429" i="14"/>
  <c r="R429" i="14" s="1"/>
  <c r="N556" i="14"/>
  <c r="BA556" i="14" s="1"/>
  <c r="N483" i="14"/>
  <c r="BM483" i="14" s="1"/>
  <c r="N563" i="14"/>
  <c r="BM563" i="14" s="1"/>
  <c r="N423" i="14"/>
  <c r="AZ423" i="14" s="1"/>
  <c r="N600" i="14"/>
  <c r="BL600" i="14" s="1"/>
  <c r="N462" i="14"/>
  <c r="BL462" i="14" s="1"/>
  <c r="N564" i="14"/>
  <c r="BB564" i="14" s="1"/>
  <c r="N474" i="14"/>
  <c r="T474" i="14" s="1"/>
  <c r="N510" i="14"/>
  <c r="I510" i="14" s="1"/>
  <c r="N511" i="14"/>
  <c r="BA511" i="14" s="1"/>
  <c r="N562" i="14"/>
  <c r="N465" i="14"/>
  <c r="N433" i="14"/>
  <c r="N506" i="14"/>
  <c r="N605" i="14"/>
  <c r="N432" i="14"/>
  <c r="N513" i="14"/>
  <c r="N582" i="14"/>
  <c r="N460" i="14"/>
  <c r="N530" i="14"/>
  <c r="N586" i="14"/>
  <c r="N521" i="14"/>
  <c r="N522" i="14"/>
  <c r="N514" i="14"/>
  <c r="N440" i="14"/>
  <c r="N512" i="14"/>
  <c r="N558" i="14"/>
  <c r="N597" i="14"/>
  <c r="N476" i="14"/>
  <c r="N596" i="14"/>
  <c r="N508" i="14"/>
  <c r="N549" i="14"/>
  <c r="N541" i="14"/>
  <c r="N438" i="14"/>
  <c r="N468" i="14"/>
  <c r="U468" i="14" s="1"/>
  <c r="N449" i="14"/>
  <c r="N479" i="14"/>
  <c r="N466" i="14"/>
  <c r="N416" i="14"/>
  <c r="N452" i="14"/>
  <c r="W452" i="14" s="1"/>
  <c r="N461" i="14"/>
  <c r="N454" i="14"/>
  <c r="N588" i="14"/>
  <c r="N575" i="14"/>
  <c r="N469" i="14"/>
  <c r="U469" i="14" s="1"/>
  <c r="N453" i="14"/>
  <c r="Q453" i="14" s="1"/>
  <c r="N507" i="14"/>
  <c r="BB507" i="14" s="1"/>
  <c r="N559" i="14"/>
  <c r="N422" i="14"/>
  <c r="N584" i="14"/>
  <c r="N471" i="14"/>
  <c r="I471" i="14" s="1"/>
  <c r="N486" i="14"/>
  <c r="N550" i="14"/>
  <c r="N603" i="14"/>
  <c r="N481" i="14"/>
  <c r="N478" i="14"/>
  <c r="N480" i="14"/>
  <c r="N570" i="14"/>
  <c r="N467" i="14"/>
  <c r="N434" i="14"/>
  <c r="BQ416" i="14" a="1"/>
  <c r="BQ416" i="14" s="1"/>
  <c r="BH516" i="14"/>
  <c r="P516" i="14"/>
  <c r="H516" i="14"/>
  <c r="BC516" i="14"/>
  <c r="BD516" i="14"/>
  <c r="BG516" i="14"/>
  <c r="AF516" i="14"/>
  <c r="H574" i="14" a="1"/>
  <c r="P574" i="14" a="1"/>
  <c r="H537" i="14" a="1"/>
  <c r="P442" i="14" a="1"/>
  <c r="P537" i="14" a="1"/>
  <c r="H442" i="14" a="1"/>
  <c r="Q557" i="14" l="1"/>
  <c r="W557" i="14"/>
  <c r="U557" i="14"/>
  <c r="BL557" i="14"/>
  <c r="E557" i="14"/>
  <c r="I557" i="14"/>
  <c r="G557" i="14"/>
  <c r="BG557" i="14" s="1"/>
  <c r="J557" i="14"/>
  <c r="AZ557" i="14"/>
  <c r="R557" i="14"/>
  <c r="T557" i="14"/>
  <c r="BM557" i="14"/>
  <c r="BA557" i="14"/>
  <c r="BB557" i="14"/>
  <c r="J534" i="14"/>
  <c r="BB534" i="14"/>
  <c r="I455" i="14"/>
  <c r="U509" i="14"/>
  <c r="BA509" i="14"/>
  <c r="BL509" i="14"/>
  <c r="AY509" i="14"/>
  <c r="G509" i="14"/>
  <c r="BG509" i="14" s="1"/>
  <c r="J509" i="14"/>
  <c r="T509" i="14"/>
  <c r="E509" i="14"/>
  <c r="BB509" i="14"/>
  <c r="AZ509" i="14"/>
  <c r="I509" i="14"/>
  <c r="BM509" i="14"/>
  <c r="Q509" i="14"/>
  <c r="W509" i="14"/>
  <c r="AY455" i="14"/>
  <c r="U455" i="14"/>
  <c r="BA534" i="14"/>
  <c r="Q534" i="14"/>
  <c r="E534" i="14"/>
  <c r="W534" i="14"/>
  <c r="AY534" i="14"/>
  <c r="G534" i="14"/>
  <c r="BG534" i="14" s="1"/>
  <c r="BM534" i="14"/>
  <c r="AZ455" i="14"/>
  <c r="W455" i="14"/>
  <c r="R534" i="14"/>
  <c r="AY542" i="14"/>
  <c r="I520" i="14"/>
  <c r="AY520" i="14"/>
  <c r="BL455" i="14"/>
  <c r="J455" i="14"/>
  <c r="T455" i="14"/>
  <c r="R455" i="14"/>
  <c r="BM455" i="14"/>
  <c r="E455" i="14"/>
  <c r="Q455" i="14"/>
  <c r="BA455" i="14"/>
  <c r="G455" i="14"/>
  <c r="BG455" i="14" s="1"/>
  <c r="U520" i="14"/>
  <c r="BL520" i="14"/>
  <c r="R520" i="14"/>
  <c r="T520" i="14"/>
  <c r="BH520" i="14" s="1"/>
  <c r="BA520" i="14"/>
  <c r="G520" i="14"/>
  <c r="AF520" i="14" s="1"/>
  <c r="J520" i="14"/>
  <c r="BM520" i="14"/>
  <c r="BB520" i="14"/>
  <c r="AZ520" i="14"/>
  <c r="Q520" i="14"/>
  <c r="E520" i="14"/>
  <c r="BL534" i="14"/>
  <c r="AZ534" i="14"/>
  <c r="U534" i="14"/>
  <c r="BB542" i="14"/>
  <c r="AZ493" i="14"/>
  <c r="U490" i="14"/>
  <c r="R490" i="14"/>
  <c r="E490" i="14"/>
  <c r="T490" i="14"/>
  <c r="AY490" i="14"/>
  <c r="T534" i="14"/>
  <c r="J488" i="14"/>
  <c r="R488" i="14"/>
  <c r="BB488" i="14"/>
  <c r="E488" i="14"/>
  <c r="W488" i="14"/>
  <c r="BA490" i="14"/>
  <c r="AZ490" i="14"/>
  <c r="BL490" i="14"/>
  <c r="W490" i="14"/>
  <c r="I490" i="14"/>
  <c r="BB490" i="14"/>
  <c r="J490" i="14"/>
  <c r="Q490" i="14"/>
  <c r="G490" i="14"/>
  <c r="BG490" i="14" s="1"/>
  <c r="J493" i="14"/>
  <c r="BA500" i="14"/>
  <c r="BA488" i="14"/>
  <c r="I488" i="14"/>
  <c r="Q488" i="14"/>
  <c r="BL488" i="14"/>
  <c r="BM488" i="14"/>
  <c r="T488" i="14"/>
  <c r="U488" i="14"/>
  <c r="AY488" i="14"/>
  <c r="G488" i="14"/>
  <c r="J531" i="14"/>
  <c r="G493" i="14"/>
  <c r="BG493" i="14" s="1"/>
  <c r="BM493" i="14"/>
  <c r="AY500" i="14"/>
  <c r="U493" i="14"/>
  <c r="BL500" i="14"/>
  <c r="AZ542" i="14"/>
  <c r="I542" i="14"/>
  <c r="E542" i="14"/>
  <c r="G542" i="14"/>
  <c r="BG542" i="14" s="1"/>
  <c r="BA542" i="14"/>
  <c r="BM542" i="14"/>
  <c r="R542" i="14"/>
  <c r="J542" i="14"/>
  <c r="T542" i="14"/>
  <c r="W542" i="14"/>
  <c r="U542" i="14"/>
  <c r="BL542" i="14"/>
  <c r="AZ531" i="14"/>
  <c r="E531" i="14"/>
  <c r="BM531" i="14"/>
  <c r="I500" i="14"/>
  <c r="E500" i="14"/>
  <c r="J500" i="14"/>
  <c r="AZ500" i="14"/>
  <c r="Q500" i="14"/>
  <c r="BB500" i="14"/>
  <c r="BM500" i="14"/>
  <c r="T500" i="14"/>
  <c r="BH500" i="14" s="1"/>
  <c r="BL531" i="14"/>
  <c r="BB531" i="14"/>
  <c r="AY531" i="14"/>
  <c r="BA531" i="14"/>
  <c r="E593" i="14"/>
  <c r="T531" i="14"/>
  <c r="J593" i="14"/>
  <c r="G531" i="14"/>
  <c r="BG531" i="14" s="1"/>
  <c r="W531" i="14"/>
  <c r="R593" i="14"/>
  <c r="BA593" i="14"/>
  <c r="R500" i="14"/>
  <c r="U531" i="14"/>
  <c r="I531" i="14"/>
  <c r="R531" i="14"/>
  <c r="W593" i="14"/>
  <c r="G500" i="14"/>
  <c r="BG500" i="14" s="1"/>
  <c r="I431" i="14"/>
  <c r="Q431" i="14"/>
  <c r="E431" i="14"/>
  <c r="BB431" i="14"/>
  <c r="BA431" i="14"/>
  <c r="T430" i="14"/>
  <c r="E493" i="14"/>
  <c r="BL493" i="14"/>
  <c r="I493" i="14"/>
  <c r="AY493" i="14"/>
  <c r="Q493" i="14"/>
  <c r="BA493" i="14"/>
  <c r="R493" i="14"/>
  <c r="BB493" i="14"/>
  <c r="T493" i="14"/>
  <c r="BH493" i="14" s="1"/>
  <c r="T431" i="14"/>
  <c r="BH431" i="14" s="1"/>
  <c r="G431" i="14"/>
  <c r="AF431" i="14" s="1"/>
  <c r="Q593" i="14"/>
  <c r="BM593" i="14"/>
  <c r="T593" i="14"/>
  <c r="G593" i="14"/>
  <c r="BG593" i="14" s="1"/>
  <c r="I593" i="14"/>
  <c r="BL593" i="14"/>
  <c r="AZ593" i="14"/>
  <c r="AY593" i="14"/>
  <c r="BB593" i="14"/>
  <c r="U500" i="14"/>
  <c r="BL431" i="14"/>
  <c r="AZ430" i="14"/>
  <c r="I430" i="14"/>
  <c r="BB430" i="14"/>
  <c r="Q430" i="14"/>
  <c r="G430" i="14"/>
  <c r="BG430" i="14" s="1"/>
  <c r="AY430" i="14"/>
  <c r="E430" i="14"/>
  <c r="BM430" i="14"/>
  <c r="W430" i="14"/>
  <c r="R430" i="14"/>
  <c r="J430" i="14"/>
  <c r="BL430" i="14"/>
  <c r="BA430" i="14"/>
  <c r="G581" i="14"/>
  <c r="BG581" i="14" s="1"/>
  <c r="AY431" i="14"/>
  <c r="R431" i="14"/>
  <c r="J431" i="14"/>
  <c r="U581" i="14"/>
  <c r="AZ431" i="14"/>
  <c r="BM431" i="14"/>
  <c r="U431" i="14"/>
  <c r="U577" i="14"/>
  <c r="W577" i="14"/>
  <c r="BH577" i="14" s="1"/>
  <c r="AY577" i="14"/>
  <c r="BM577" i="14"/>
  <c r="AZ577" i="14"/>
  <c r="BL577" i="14"/>
  <c r="G577" i="14"/>
  <c r="BG577" i="14" s="1"/>
  <c r="Q577" i="14"/>
  <c r="E577" i="14"/>
  <c r="J577" i="14"/>
  <c r="BA577" i="14"/>
  <c r="R577" i="14"/>
  <c r="I577" i="14"/>
  <c r="BB577" i="14"/>
  <c r="Q581" i="14"/>
  <c r="BA581" i="14"/>
  <c r="J581" i="14"/>
  <c r="E581" i="14"/>
  <c r="AZ581" i="14"/>
  <c r="AY581" i="14"/>
  <c r="BB581" i="14"/>
  <c r="W581" i="14"/>
  <c r="BL581" i="14"/>
  <c r="BM581" i="14"/>
  <c r="I581" i="14"/>
  <c r="T581" i="14"/>
  <c r="G439" i="14"/>
  <c r="BG439" i="14" s="1"/>
  <c r="R439" i="14"/>
  <c r="U439" i="14"/>
  <c r="BM439" i="14"/>
  <c r="E439" i="14"/>
  <c r="I439" i="14"/>
  <c r="BB439" i="14"/>
  <c r="T439" i="14"/>
  <c r="Q439" i="14"/>
  <c r="J439" i="14"/>
  <c r="T606" i="14"/>
  <c r="BH606" i="14" s="1"/>
  <c r="U606" i="14"/>
  <c r="BA606" i="14"/>
  <c r="BL606" i="14"/>
  <c r="J606" i="14"/>
  <c r="Q606" i="14"/>
  <c r="G606" i="14"/>
  <c r="AF606" i="14" s="1"/>
  <c r="E606" i="14"/>
  <c r="BB606" i="14"/>
  <c r="R606" i="14"/>
  <c r="AZ606" i="14"/>
  <c r="I606" i="14"/>
  <c r="AY606" i="14"/>
  <c r="BM606" i="14"/>
  <c r="W439" i="14"/>
  <c r="BL439" i="14"/>
  <c r="AZ439" i="14"/>
  <c r="AY439" i="14"/>
  <c r="U528" i="14"/>
  <c r="BA528" i="14"/>
  <c r="Q528" i="14"/>
  <c r="W528" i="14"/>
  <c r="G528" i="14"/>
  <c r="T528" i="14"/>
  <c r="AZ528" i="14"/>
  <c r="BM528" i="14"/>
  <c r="BL528" i="14"/>
  <c r="J528" i="14"/>
  <c r="BB528" i="14"/>
  <c r="E528" i="14"/>
  <c r="R528" i="14"/>
  <c r="I528" i="14"/>
  <c r="Q494" i="14"/>
  <c r="BM494" i="14"/>
  <c r="W464" i="14"/>
  <c r="W494" i="14"/>
  <c r="BA494" i="14"/>
  <c r="R494" i="14"/>
  <c r="E494" i="14"/>
  <c r="AZ494" i="14"/>
  <c r="AY494" i="14"/>
  <c r="G494" i="14"/>
  <c r="BG494" i="14" s="1"/>
  <c r="BL494" i="14"/>
  <c r="U494" i="14"/>
  <c r="BB494" i="14"/>
  <c r="W504" i="14"/>
  <c r="T504" i="14"/>
  <c r="R504" i="14"/>
  <c r="Q464" i="14"/>
  <c r="G504" i="14"/>
  <c r="BG504" i="14" s="1"/>
  <c r="Q504" i="14"/>
  <c r="I504" i="14"/>
  <c r="J504" i="14"/>
  <c r="AZ504" i="14"/>
  <c r="U504" i="14"/>
  <c r="BM504" i="14"/>
  <c r="BL504" i="14"/>
  <c r="BB504" i="14"/>
  <c r="AY504" i="14"/>
  <c r="E504" i="14"/>
  <c r="J494" i="14"/>
  <c r="T494" i="14"/>
  <c r="BA464" i="14"/>
  <c r="G487" i="14"/>
  <c r="BG487" i="14" s="1"/>
  <c r="E487" i="14"/>
  <c r="BM487" i="14"/>
  <c r="BM529" i="14"/>
  <c r="BL532" i="14"/>
  <c r="BB532" i="14"/>
  <c r="BM464" i="14"/>
  <c r="G464" i="14"/>
  <c r="BG464" i="14" s="1"/>
  <c r="AY529" i="14"/>
  <c r="T464" i="14"/>
  <c r="E464" i="14"/>
  <c r="AZ464" i="14"/>
  <c r="R464" i="14"/>
  <c r="BB464" i="14"/>
  <c r="U464" i="14"/>
  <c r="I464" i="14"/>
  <c r="R529" i="14"/>
  <c r="AZ532" i="14"/>
  <c r="R532" i="14"/>
  <c r="G532" i="14"/>
  <c r="BG532" i="14" s="1"/>
  <c r="BA532" i="14"/>
  <c r="AY532" i="14"/>
  <c r="BL464" i="14"/>
  <c r="J464" i="14"/>
  <c r="Q487" i="14"/>
  <c r="AZ487" i="14"/>
  <c r="I487" i="14"/>
  <c r="BL487" i="14"/>
  <c r="U487" i="14"/>
  <c r="BA487" i="14"/>
  <c r="BB487" i="14"/>
  <c r="J487" i="14"/>
  <c r="R487" i="14"/>
  <c r="W487" i="14"/>
  <c r="T487" i="14"/>
  <c r="W529" i="14"/>
  <c r="BL529" i="14"/>
  <c r="I529" i="14"/>
  <c r="I539" i="14"/>
  <c r="BM539" i="14"/>
  <c r="Q529" i="14"/>
  <c r="J529" i="14"/>
  <c r="E529" i="14"/>
  <c r="T529" i="14"/>
  <c r="BA529" i="14"/>
  <c r="U529" i="14"/>
  <c r="G529" i="14"/>
  <c r="BG529" i="14" s="1"/>
  <c r="BB529" i="14"/>
  <c r="BL589" i="14"/>
  <c r="U589" i="14"/>
  <c r="G497" i="14"/>
  <c r="BG497" i="14" s="1"/>
  <c r="T497" i="14"/>
  <c r="R589" i="14"/>
  <c r="AY497" i="14"/>
  <c r="BM589" i="14"/>
  <c r="I497" i="14"/>
  <c r="W497" i="14"/>
  <c r="E497" i="14"/>
  <c r="BM497" i="14"/>
  <c r="BL497" i="14"/>
  <c r="R539" i="14"/>
  <c r="I598" i="14"/>
  <c r="J589" i="14"/>
  <c r="E532" i="14"/>
  <c r="BA539" i="14"/>
  <c r="G589" i="14"/>
  <c r="BG589" i="14" s="1"/>
  <c r="W532" i="14"/>
  <c r="BH532" i="14" s="1"/>
  <c r="U420" i="14"/>
  <c r="W539" i="14"/>
  <c r="J532" i="14"/>
  <c r="I532" i="14"/>
  <c r="BB589" i="14"/>
  <c r="Q532" i="14"/>
  <c r="BM532" i="14"/>
  <c r="AY539" i="14"/>
  <c r="AZ589" i="14"/>
  <c r="U532" i="14"/>
  <c r="T539" i="14"/>
  <c r="AY535" i="14"/>
  <c r="W589" i="14"/>
  <c r="I589" i="14"/>
  <c r="AY589" i="14"/>
  <c r="BL539" i="14"/>
  <c r="AZ539" i="14"/>
  <c r="U539" i="14"/>
  <c r="G539" i="14"/>
  <c r="BG539" i="14" s="1"/>
  <c r="U535" i="14"/>
  <c r="Q589" i="14"/>
  <c r="BM420" i="14"/>
  <c r="T589" i="14"/>
  <c r="E539" i="14"/>
  <c r="BA589" i="14"/>
  <c r="W418" i="14"/>
  <c r="BA441" i="14"/>
  <c r="R418" i="14"/>
  <c r="BL420" i="14"/>
  <c r="I418" i="14"/>
  <c r="J497" i="14"/>
  <c r="U497" i="14"/>
  <c r="G420" i="14"/>
  <c r="BG420" i="14" s="1"/>
  <c r="BA497" i="14"/>
  <c r="Q418" i="14"/>
  <c r="U418" i="14"/>
  <c r="Q539" i="14"/>
  <c r="J539" i="14"/>
  <c r="AZ497" i="14"/>
  <c r="R420" i="14"/>
  <c r="Q598" i="14"/>
  <c r="BB497" i="14"/>
  <c r="R497" i="14"/>
  <c r="BB420" i="14"/>
  <c r="J420" i="14"/>
  <c r="W420" i="14"/>
  <c r="BH420" i="14" s="1"/>
  <c r="J441" i="14"/>
  <c r="W441" i="14"/>
  <c r="E420" i="14"/>
  <c r="AZ420" i="14"/>
  <c r="T608" i="14"/>
  <c r="R459" i="14"/>
  <c r="BM459" i="14"/>
  <c r="G441" i="14"/>
  <c r="BG441" i="14" s="1"/>
  <c r="BA420" i="14"/>
  <c r="Q420" i="14"/>
  <c r="I420" i="14"/>
  <c r="G517" i="14"/>
  <c r="BG517" i="14" s="1"/>
  <c r="AY420" i="14"/>
  <c r="U441" i="14"/>
  <c r="AZ441" i="14"/>
  <c r="E441" i="14"/>
  <c r="BB441" i="14"/>
  <c r="E459" i="14"/>
  <c r="G459" i="14"/>
  <c r="BG459" i="14" s="1"/>
  <c r="BL591" i="14"/>
  <c r="Q437" i="14"/>
  <c r="BM591" i="14"/>
  <c r="BL611" i="14"/>
  <c r="T598" i="14"/>
  <c r="T418" i="14"/>
  <c r="BL441" i="14"/>
  <c r="G598" i="14"/>
  <c r="BG598" i="14" s="1"/>
  <c r="G418" i="14"/>
  <c r="R441" i="14"/>
  <c r="BM418" i="14"/>
  <c r="AY418" i="14"/>
  <c r="BL418" i="14"/>
  <c r="BB418" i="14"/>
  <c r="BM441" i="14"/>
  <c r="BA418" i="14"/>
  <c r="E418" i="14"/>
  <c r="AZ418" i="14"/>
  <c r="J517" i="14"/>
  <c r="T441" i="14"/>
  <c r="J608" i="14"/>
  <c r="I441" i="14"/>
  <c r="Q441" i="14"/>
  <c r="G495" i="14"/>
  <c r="BG495" i="14" s="1"/>
  <c r="G568" i="14"/>
  <c r="BG568" i="14" s="1"/>
  <c r="W614" i="14"/>
  <c r="J568" i="14"/>
  <c r="T611" i="14"/>
  <c r="E611" i="14"/>
  <c r="BB611" i="14"/>
  <c r="Q613" i="14"/>
  <c r="BM437" i="14"/>
  <c r="AZ611" i="14"/>
  <c r="J611" i="14"/>
  <c r="I611" i="14"/>
  <c r="T568" i="14"/>
  <c r="Q611" i="14"/>
  <c r="I568" i="14"/>
  <c r="W611" i="14"/>
  <c r="AY611" i="14"/>
  <c r="BB437" i="14"/>
  <c r="BB591" i="14"/>
  <c r="BL568" i="14"/>
  <c r="G613" i="14"/>
  <c r="BG613" i="14" s="1"/>
  <c r="BM568" i="14"/>
  <c r="BM613" i="14"/>
  <c r="AY613" i="14"/>
  <c r="E568" i="14"/>
  <c r="AZ568" i="14"/>
  <c r="R611" i="14"/>
  <c r="I613" i="14"/>
  <c r="BA611" i="14"/>
  <c r="U613" i="14"/>
  <c r="BA613" i="14"/>
  <c r="AZ613" i="14"/>
  <c r="U611" i="14"/>
  <c r="J437" i="14"/>
  <c r="T437" i="14"/>
  <c r="Q568" i="14"/>
  <c r="E613" i="14"/>
  <c r="W613" i="14"/>
  <c r="BL613" i="14"/>
  <c r="R613" i="14"/>
  <c r="R568" i="14"/>
  <c r="J613" i="14"/>
  <c r="BA568" i="14"/>
  <c r="T613" i="14"/>
  <c r="G611" i="14"/>
  <c r="BG611" i="14" s="1"/>
  <c r="BB568" i="14"/>
  <c r="U568" i="14"/>
  <c r="W568" i="14"/>
  <c r="W443" i="14"/>
  <c r="J495" i="14"/>
  <c r="U495" i="14"/>
  <c r="BA437" i="14"/>
  <c r="BM443" i="14"/>
  <c r="R437" i="14"/>
  <c r="E437" i="14"/>
  <c r="R495" i="14"/>
  <c r="G437" i="14"/>
  <c r="BG437" i="14" s="1"/>
  <c r="BA495" i="14"/>
  <c r="E495" i="14"/>
  <c r="BL495" i="14"/>
  <c r="W495" i="14"/>
  <c r="BH495" i="14" s="1"/>
  <c r="R443" i="14"/>
  <c r="E614" i="14"/>
  <c r="I495" i="14"/>
  <c r="BL459" i="14"/>
  <c r="I608" i="14"/>
  <c r="AZ437" i="14"/>
  <c r="W437" i="14"/>
  <c r="R614" i="14"/>
  <c r="BA443" i="14"/>
  <c r="I552" i="14"/>
  <c r="BA459" i="14"/>
  <c r="U459" i="14"/>
  <c r="J443" i="14"/>
  <c r="BA598" i="14"/>
  <c r="BB495" i="14"/>
  <c r="BM428" i="14"/>
  <c r="BB459" i="14"/>
  <c r="AZ459" i="14"/>
  <c r="BL437" i="14"/>
  <c r="BA614" i="14"/>
  <c r="BB443" i="14"/>
  <c r="Q443" i="14"/>
  <c r="BL598" i="14"/>
  <c r="BM495" i="14"/>
  <c r="W459" i="14"/>
  <c r="BH459" i="14" s="1"/>
  <c r="AY437" i="14"/>
  <c r="G443" i="14"/>
  <c r="BG443" i="14" s="1"/>
  <c r="J595" i="14"/>
  <c r="E443" i="14"/>
  <c r="T443" i="14"/>
  <c r="I459" i="14"/>
  <c r="E608" i="14"/>
  <c r="Q459" i="14"/>
  <c r="AZ443" i="14"/>
  <c r="U443" i="14"/>
  <c r="AY459" i="14"/>
  <c r="BM608" i="14"/>
  <c r="J459" i="14"/>
  <c r="BB598" i="14"/>
  <c r="Q495" i="14"/>
  <c r="AZ608" i="14"/>
  <c r="U608" i="14"/>
  <c r="BA608" i="14"/>
  <c r="U437" i="14"/>
  <c r="AY495" i="14"/>
  <c r="BB614" i="14"/>
  <c r="G614" i="14"/>
  <c r="BG614" i="14" s="1"/>
  <c r="Q614" i="14"/>
  <c r="J614" i="14"/>
  <c r="T614" i="14"/>
  <c r="U614" i="14"/>
  <c r="AY614" i="14"/>
  <c r="W544" i="14"/>
  <c r="BL443" i="14"/>
  <c r="AZ495" i="14"/>
  <c r="I443" i="14"/>
  <c r="AZ614" i="14"/>
  <c r="BL614" i="14"/>
  <c r="BM614" i="14"/>
  <c r="I544" i="14"/>
  <c r="R502" i="14"/>
  <c r="T544" i="14"/>
  <c r="BA544" i="14"/>
  <c r="R544" i="14"/>
  <c r="E544" i="14"/>
  <c r="AZ544" i="14"/>
  <c r="J419" i="14"/>
  <c r="AZ419" i="14"/>
  <c r="W419" i="14"/>
  <c r="E424" i="14"/>
  <c r="BB419" i="14"/>
  <c r="AY560" i="14"/>
  <c r="BL419" i="14"/>
  <c r="BB560" i="14"/>
  <c r="BM419" i="14"/>
  <c r="BM560" i="14"/>
  <c r="BL560" i="14"/>
  <c r="G526" i="14"/>
  <c r="BG526" i="14" s="1"/>
  <c r="BB502" i="14"/>
  <c r="Q502" i="14"/>
  <c r="E502" i="14"/>
  <c r="BA607" i="14"/>
  <c r="U544" i="14"/>
  <c r="J502" i="14"/>
  <c r="BM502" i="14"/>
  <c r="AY502" i="14"/>
  <c r="J607" i="14"/>
  <c r="J544" i="14"/>
  <c r="BL544" i="14"/>
  <c r="G502" i="14"/>
  <c r="BG502" i="14" s="1"/>
  <c r="BA502" i="14"/>
  <c r="AY607" i="14"/>
  <c r="W502" i="14"/>
  <c r="G607" i="14"/>
  <c r="AF607" i="14" s="1"/>
  <c r="G544" i="14"/>
  <c r="BG544" i="14" s="1"/>
  <c r="BB544" i="14"/>
  <c r="T502" i="14"/>
  <c r="T607" i="14"/>
  <c r="BH607" i="14" s="1"/>
  <c r="I607" i="14"/>
  <c r="Q544" i="14"/>
  <c r="AY544" i="14"/>
  <c r="BB424" i="14"/>
  <c r="AZ526" i="14"/>
  <c r="U419" i="14"/>
  <c r="T517" i="14"/>
  <c r="U607" i="14"/>
  <c r="Q607" i="14"/>
  <c r="W560" i="14"/>
  <c r="U424" i="14"/>
  <c r="AY424" i="14"/>
  <c r="E517" i="14"/>
  <c r="R607" i="14"/>
  <c r="BL555" i="14"/>
  <c r="BA560" i="14"/>
  <c r="T424" i="14"/>
  <c r="W424" i="14"/>
  <c r="U517" i="14"/>
  <c r="BA517" i="14"/>
  <c r="T419" i="14"/>
  <c r="R517" i="14"/>
  <c r="AZ607" i="14"/>
  <c r="E560" i="14"/>
  <c r="AZ424" i="14"/>
  <c r="BM424" i="14"/>
  <c r="AY517" i="14"/>
  <c r="I517" i="14"/>
  <c r="BL607" i="14"/>
  <c r="R560" i="14"/>
  <c r="Q560" i="14"/>
  <c r="R424" i="14"/>
  <c r="BL424" i="14"/>
  <c r="I419" i="14"/>
  <c r="Q517" i="14"/>
  <c r="BB607" i="14"/>
  <c r="E419" i="14"/>
  <c r="AZ560" i="14"/>
  <c r="J560" i="14"/>
  <c r="I424" i="14"/>
  <c r="G419" i="14"/>
  <c r="BG419" i="14" s="1"/>
  <c r="BM517" i="14"/>
  <c r="E607" i="14"/>
  <c r="G560" i="14"/>
  <c r="BG560" i="14" s="1"/>
  <c r="U560" i="14"/>
  <c r="BA424" i="14"/>
  <c r="W517" i="14"/>
  <c r="AY419" i="14"/>
  <c r="BL517" i="14"/>
  <c r="BM607" i="14"/>
  <c r="BA535" i="14"/>
  <c r="R419" i="14"/>
  <c r="T560" i="14"/>
  <c r="Q424" i="14"/>
  <c r="G424" i="14"/>
  <c r="BG424" i="14" s="1"/>
  <c r="AZ517" i="14"/>
  <c r="BM535" i="14"/>
  <c r="BA419" i="14"/>
  <c r="R552" i="14"/>
  <c r="BB503" i="14"/>
  <c r="E615" i="14"/>
  <c r="R503" i="14"/>
  <c r="J503" i="14"/>
  <c r="Q552" i="14"/>
  <c r="AZ552" i="14"/>
  <c r="BA595" i="14"/>
  <c r="AZ595" i="14"/>
  <c r="BL595" i="14"/>
  <c r="R595" i="14"/>
  <c r="BA615" i="14"/>
  <c r="BL609" i="14"/>
  <c r="R573" i="14"/>
  <c r="E573" i="14"/>
  <c r="BA552" i="14"/>
  <c r="AY598" i="14"/>
  <c r="W591" i="14"/>
  <c r="W595" i="14"/>
  <c r="Q608" i="14"/>
  <c r="AY609" i="14"/>
  <c r="Q591" i="14"/>
  <c r="W573" i="14"/>
  <c r="R591" i="14"/>
  <c r="T503" i="14"/>
  <c r="BA503" i="14"/>
  <c r="Q595" i="14"/>
  <c r="R615" i="14"/>
  <c r="AY615" i="14"/>
  <c r="AZ591" i="14"/>
  <c r="AZ573" i="14"/>
  <c r="AY573" i="14"/>
  <c r="BL573" i="14"/>
  <c r="G552" i="14"/>
  <c r="BG552" i="14" s="1"/>
  <c r="BM598" i="14"/>
  <c r="BL503" i="14"/>
  <c r="AZ503" i="14"/>
  <c r="E503" i="14"/>
  <c r="E609" i="14"/>
  <c r="J591" i="14"/>
  <c r="J573" i="14"/>
  <c r="I573" i="14"/>
  <c r="AY428" i="14"/>
  <c r="W552" i="14"/>
  <c r="AY591" i="14"/>
  <c r="T591" i="14"/>
  <c r="U595" i="14"/>
  <c r="E595" i="14"/>
  <c r="U503" i="14"/>
  <c r="BB608" i="14"/>
  <c r="T573" i="14"/>
  <c r="E428" i="14"/>
  <c r="BB428" i="14"/>
  <c r="AY552" i="14"/>
  <c r="W503" i="14"/>
  <c r="T552" i="14"/>
  <c r="G591" i="14"/>
  <c r="BG591" i="14" s="1"/>
  <c r="G595" i="14"/>
  <c r="BG595" i="14" s="1"/>
  <c r="BL552" i="14"/>
  <c r="BB552" i="14"/>
  <c r="J598" i="14"/>
  <c r="AZ598" i="14"/>
  <c r="I591" i="14"/>
  <c r="U591" i="14"/>
  <c r="BB595" i="14"/>
  <c r="R428" i="14"/>
  <c r="G428" i="14"/>
  <c r="BG428" i="14" s="1"/>
  <c r="T609" i="14"/>
  <c r="Q573" i="14"/>
  <c r="G503" i="14"/>
  <c r="BG503" i="14" s="1"/>
  <c r="U552" i="14"/>
  <c r="W598" i="14"/>
  <c r="U598" i="14"/>
  <c r="E591" i="14"/>
  <c r="T595" i="14"/>
  <c r="Q503" i="14"/>
  <c r="R608" i="14"/>
  <c r="W608" i="14"/>
  <c r="AF608" i="14" s="1"/>
  <c r="AY608" i="14"/>
  <c r="BB573" i="14"/>
  <c r="BM573" i="14"/>
  <c r="BA428" i="14"/>
  <c r="AY503" i="14"/>
  <c r="BL428" i="14"/>
  <c r="BM552" i="14"/>
  <c r="E552" i="14"/>
  <c r="E598" i="14"/>
  <c r="W428" i="14"/>
  <c r="BM503" i="14"/>
  <c r="BL608" i="14"/>
  <c r="I595" i="14"/>
  <c r="AY595" i="14"/>
  <c r="I609" i="14"/>
  <c r="G573" i="14"/>
  <c r="BG573" i="14" s="1"/>
  <c r="T526" i="14"/>
  <c r="U526" i="14"/>
  <c r="BL502" i="14"/>
  <c r="Q535" i="14"/>
  <c r="G535" i="14"/>
  <c r="BG535" i="14" s="1"/>
  <c r="W555" i="14"/>
  <c r="I535" i="14"/>
  <c r="AZ535" i="14"/>
  <c r="T555" i="14"/>
  <c r="R535" i="14"/>
  <c r="E535" i="14"/>
  <c r="E555" i="14"/>
  <c r="BA555" i="14"/>
  <c r="J526" i="14"/>
  <c r="G555" i="14"/>
  <c r="BG555" i="14" s="1"/>
  <c r="J555" i="14"/>
  <c r="W526" i="14"/>
  <c r="BB535" i="14"/>
  <c r="BB555" i="14"/>
  <c r="R526" i="14"/>
  <c r="BA526" i="14"/>
  <c r="E526" i="14"/>
  <c r="I526" i="14"/>
  <c r="U502" i="14"/>
  <c r="U555" i="14"/>
  <c r="BL526" i="14"/>
  <c r="AY555" i="14"/>
  <c r="W535" i="14"/>
  <c r="BB526" i="14"/>
  <c r="AY526" i="14"/>
  <c r="BL535" i="14"/>
  <c r="Q555" i="14"/>
  <c r="T535" i="14"/>
  <c r="Q526" i="14"/>
  <c r="AZ502" i="14"/>
  <c r="AZ555" i="14"/>
  <c r="R555" i="14"/>
  <c r="BM555" i="14"/>
  <c r="BA573" i="14"/>
  <c r="BM615" i="14"/>
  <c r="BL615" i="14"/>
  <c r="AZ583" i="14"/>
  <c r="Q615" i="14"/>
  <c r="J583" i="14"/>
  <c r="BB615" i="14"/>
  <c r="W615" i="14"/>
  <c r="T615" i="14"/>
  <c r="U615" i="14"/>
  <c r="BA445" i="14"/>
  <c r="T445" i="14"/>
  <c r="BL445" i="14"/>
  <c r="AZ445" i="14"/>
  <c r="T428" i="14"/>
  <c r="BM609" i="14"/>
  <c r="U609" i="14"/>
  <c r="BM445" i="14"/>
  <c r="Q445" i="14"/>
  <c r="Q609" i="14"/>
  <c r="U445" i="14"/>
  <c r="J428" i="14"/>
  <c r="U428" i="14"/>
  <c r="AZ609" i="14"/>
  <c r="J445" i="14"/>
  <c r="R445" i="14"/>
  <c r="I428" i="14"/>
  <c r="I445" i="14"/>
  <c r="AY445" i="14"/>
  <c r="W609" i="14"/>
  <c r="G609" i="14"/>
  <c r="BG609" i="14" s="1"/>
  <c r="R609" i="14"/>
  <c r="E445" i="14"/>
  <c r="W445" i="14"/>
  <c r="AF445" i="14" s="1"/>
  <c r="Q428" i="14"/>
  <c r="BB445" i="14"/>
  <c r="J609" i="14"/>
  <c r="BB609" i="14"/>
  <c r="W501" i="14"/>
  <c r="G615" i="14"/>
  <c r="BG615" i="14" s="1"/>
  <c r="AZ615" i="14"/>
  <c r="I615" i="14"/>
  <c r="Q553" i="14"/>
  <c r="U463" i="14"/>
  <c r="I501" i="14"/>
  <c r="E501" i="14"/>
  <c r="R501" i="14"/>
  <c r="BM501" i="14"/>
  <c r="BA501" i="14"/>
  <c r="Q501" i="14"/>
  <c r="AZ501" i="14"/>
  <c r="J501" i="14"/>
  <c r="BB501" i="14"/>
  <c r="G501" i="14"/>
  <c r="BL501" i="14"/>
  <c r="U501" i="14"/>
  <c r="T501" i="14"/>
  <c r="I463" i="14"/>
  <c r="AZ463" i="14"/>
  <c r="BA463" i="14"/>
  <c r="BL463" i="14"/>
  <c r="T463" i="14"/>
  <c r="BA553" i="14"/>
  <c r="BM553" i="14"/>
  <c r="J463" i="14"/>
  <c r="J470" i="14"/>
  <c r="Q463" i="14"/>
  <c r="U553" i="14"/>
  <c r="R463" i="14"/>
  <c r="AY553" i="14"/>
  <c r="BB553" i="14"/>
  <c r="T470" i="14"/>
  <c r="BM477" i="14"/>
  <c r="J553" i="14"/>
  <c r="R553" i="14"/>
  <c r="E463" i="14"/>
  <c r="G553" i="14"/>
  <c r="BG553" i="14" s="1"/>
  <c r="E553" i="14"/>
  <c r="W553" i="14"/>
  <c r="BH553" i="14" s="1"/>
  <c r="BB463" i="14"/>
  <c r="AY463" i="14"/>
  <c r="W463" i="14"/>
  <c r="AF463" i="14" s="1"/>
  <c r="BL553" i="14"/>
  <c r="AZ553" i="14"/>
  <c r="I553" i="14"/>
  <c r="BL587" i="14"/>
  <c r="G587" i="14"/>
  <c r="AF587" i="14" s="1"/>
  <c r="G505" i="14"/>
  <c r="BG505" i="14" s="1"/>
  <c r="W470" i="14"/>
  <c r="R518" i="14"/>
  <c r="U470" i="14"/>
  <c r="I587" i="14"/>
  <c r="E470" i="14"/>
  <c r="AY587" i="14"/>
  <c r="G470" i="14"/>
  <c r="BG470" i="14" s="1"/>
  <c r="Q587" i="14"/>
  <c r="E587" i="14"/>
  <c r="BM587" i="14"/>
  <c r="AZ470" i="14"/>
  <c r="AZ587" i="14"/>
  <c r="I470" i="14"/>
  <c r="T587" i="14"/>
  <c r="BH587" i="14" s="1"/>
  <c r="BA587" i="14"/>
  <c r="Q470" i="14"/>
  <c r="BB587" i="14"/>
  <c r="BL470" i="14"/>
  <c r="T482" i="14"/>
  <c r="R587" i="14"/>
  <c r="R470" i="14"/>
  <c r="U587" i="14"/>
  <c r="BM470" i="14"/>
  <c r="J587" i="14"/>
  <c r="BB470" i="14"/>
  <c r="BA470" i="14"/>
  <c r="Q578" i="14"/>
  <c r="AZ578" i="14"/>
  <c r="E492" i="14"/>
  <c r="J492" i="14"/>
  <c r="BM492" i="14"/>
  <c r="BL492" i="14"/>
  <c r="R578" i="14"/>
  <c r="BB578" i="14"/>
  <c r="AZ505" i="14"/>
  <c r="AZ571" i="14"/>
  <c r="BM571" i="14"/>
  <c r="G489" i="14"/>
  <c r="BG489" i="14" s="1"/>
  <c r="BB543" i="14"/>
  <c r="BA496" i="14"/>
  <c r="Q566" i="14"/>
  <c r="BB566" i="14"/>
  <c r="BA566" i="14"/>
  <c r="E566" i="14"/>
  <c r="AY566" i="14"/>
  <c r="U583" i="14"/>
  <c r="E426" i="14"/>
  <c r="U505" i="14"/>
  <c r="BB492" i="14"/>
  <c r="BA492" i="14"/>
  <c r="E583" i="14"/>
  <c r="R571" i="14"/>
  <c r="BA583" i="14"/>
  <c r="AY505" i="14"/>
  <c r="Q571" i="14"/>
  <c r="W583" i="14"/>
  <c r="I578" i="14"/>
  <c r="J505" i="14"/>
  <c r="BL571" i="14"/>
  <c r="G583" i="14"/>
  <c r="BG583" i="14" s="1"/>
  <c r="I583" i="14"/>
  <c r="AY578" i="14"/>
  <c r="G578" i="14"/>
  <c r="BG578" i="14" s="1"/>
  <c r="R505" i="14"/>
  <c r="J571" i="14"/>
  <c r="T583" i="14"/>
  <c r="BM583" i="14"/>
  <c r="J578" i="14"/>
  <c r="W578" i="14"/>
  <c r="U492" i="14"/>
  <c r="BB571" i="14"/>
  <c r="BB583" i="14"/>
  <c r="Q583" i="14"/>
  <c r="U578" i="14"/>
  <c r="BL578" i="14"/>
  <c r="Q505" i="14"/>
  <c r="AZ492" i="14"/>
  <c r="T505" i="14"/>
  <c r="BA571" i="14"/>
  <c r="BL583" i="14"/>
  <c r="R583" i="14"/>
  <c r="E578" i="14"/>
  <c r="T578" i="14"/>
  <c r="W505" i="14"/>
  <c r="I492" i="14"/>
  <c r="W492" i="14"/>
  <c r="Q475" i="14"/>
  <c r="W475" i="14"/>
  <c r="R475" i="14"/>
  <c r="I475" i="14"/>
  <c r="U475" i="14"/>
  <c r="BB496" i="14"/>
  <c r="E496" i="14"/>
  <c r="G496" i="14"/>
  <c r="AF496" i="14" s="1"/>
  <c r="J566" i="14"/>
  <c r="Q496" i="14"/>
  <c r="BL566" i="14"/>
  <c r="I566" i="14"/>
  <c r="Q518" i="14"/>
  <c r="AY518" i="14"/>
  <c r="E485" i="14"/>
  <c r="Q485" i="14"/>
  <c r="BB475" i="14"/>
  <c r="R496" i="14"/>
  <c r="J482" i="14"/>
  <c r="J475" i="14"/>
  <c r="U496" i="14"/>
  <c r="T496" i="14"/>
  <c r="BH496" i="14" s="1"/>
  <c r="I571" i="14"/>
  <c r="U482" i="14"/>
  <c r="BA518" i="14"/>
  <c r="W566" i="14"/>
  <c r="E475" i="14"/>
  <c r="AZ496" i="14"/>
  <c r="R566" i="14"/>
  <c r="G571" i="14"/>
  <c r="BG571" i="14" s="1"/>
  <c r="BM482" i="14"/>
  <c r="I518" i="14"/>
  <c r="BA458" i="14"/>
  <c r="T475" i="14"/>
  <c r="BM475" i="14"/>
  <c r="BB518" i="14"/>
  <c r="AZ475" i="14"/>
  <c r="E518" i="14"/>
  <c r="U571" i="14"/>
  <c r="W571" i="14"/>
  <c r="R482" i="14"/>
  <c r="G518" i="14"/>
  <c r="BG518" i="14" s="1"/>
  <c r="G475" i="14"/>
  <c r="BG475" i="14" s="1"/>
  <c r="AY496" i="14"/>
  <c r="T518" i="14"/>
  <c r="BL482" i="14"/>
  <c r="I496" i="14"/>
  <c r="BM518" i="14"/>
  <c r="W518" i="14"/>
  <c r="J518" i="14"/>
  <c r="BB482" i="14"/>
  <c r="Q482" i="14"/>
  <c r="E571" i="14"/>
  <c r="G482" i="14"/>
  <c r="BG482" i="14" s="1"/>
  <c r="AZ518" i="14"/>
  <c r="W482" i="14"/>
  <c r="T566" i="14"/>
  <c r="BM496" i="14"/>
  <c r="J496" i="14"/>
  <c r="BL496" i="14"/>
  <c r="BA482" i="14"/>
  <c r="E482" i="14"/>
  <c r="AZ482" i="14"/>
  <c r="G566" i="14"/>
  <c r="BG566" i="14" s="1"/>
  <c r="BM566" i="14"/>
  <c r="T571" i="14"/>
  <c r="BL518" i="14"/>
  <c r="I482" i="14"/>
  <c r="U566" i="14"/>
  <c r="AY475" i="14"/>
  <c r="BL475" i="14"/>
  <c r="J543" i="14"/>
  <c r="R543" i="14"/>
  <c r="BM463" i="14"/>
  <c r="T543" i="14"/>
  <c r="U543" i="14"/>
  <c r="Q543" i="14"/>
  <c r="G543" i="14"/>
  <c r="BG543" i="14" s="1"/>
  <c r="BA451" i="14"/>
  <c r="G451" i="14"/>
  <c r="BG451" i="14" s="1"/>
  <c r="U451" i="14"/>
  <c r="BL451" i="14"/>
  <c r="Q451" i="14"/>
  <c r="R451" i="14"/>
  <c r="AZ451" i="14"/>
  <c r="BB451" i="14"/>
  <c r="BM451" i="14"/>
  <c r="I451" i="14"/>
  <c r="T451" i="14"/>
  <c r="W451" i="14"/>
  <c r="E451" i="14"/>
  <c r="AY451" i="14"/>
  <c r="W426" i="14"/>
  <c r="G426" i="14"/>
  <c r="BG426" i="14" s="1"/>
  <c r="E458" i="14"/>
  <c r="AZ536" i="14"/>
  <c r="T426" i="14"/>
  <c r="R458" i="14"/>
  <c r="J426" i="14"/>
  <c r="U458" i="14"/>
  <c r="Q426" i="14"/>
  <c r="I426" i="14"/>
  <c r="BL426" i="14"/>
  <c r="R426" i="14"/>
  <c r="BL458" i="14"/>
  <c r="BA426" i="14"/>
  <c r="AY426" i="14"/>
  <c r="BB458" i="14"/>
  <c r="AZ543" i="14"/>
  <c r="W602" i="14"/>
  <c r="AY458" i="14"/>
  <c r="T458" i="14"/>
  <c r="U585" i="14"/>
  <c r="BM543" i="14"/>
  <c r="BL602" i="14"/>
  <c r="J536" i="14"/>
  <c r="G602" i="14"/>
  <c r="BG602" i="14" s="1"/>
  <c r="BM505" i="14"/>
  <c r="J458" i="14"/>
  <c r="Q492" i="14"/>
  <c r="W458" i="14"/>
  <c r="I505" i="14"/>
  <c r="BL543" i="14"/>
  <c r="U602" i="14"/>
  <c r="I602" i="14"/>
  <c r="AZ602" i="14"/>
  <c r="R602" i="14"/>
  <c r="BA602" i="14"/>
  <c r="BB426" i="14"/>
  <c r="BA505" i="14"/>
  <c r="G458" i="14"/>
  <c r="BG458" i="14" s="1"/>
  <c r="AY492" i="14"/>
  <c r="AZ458" i="14"/>
  <c r="Q458" i="14"/>
  <c r="Q602" i="14"/>
  <c r="J602" i="14"/>
  <c r="T602" i="14"/>
  <c r="AY602" i="14"/>
  <c r="G536" i="14"/>
  <c r="BG536" i="14" s="1"/>
  <c r="G492" i="14"/>
  <c r="BG492" i="14" s="1"/>
  <c r="U426" i="14"/>
  <c r="BB602" i="14"/>
  <c r="BM536" i="14"/>
  <c r="AZ426" i="14"/>
  <c r="AY543" i="14"/>
  <c r="W543" i="14"/>
  <c r="I536" i="14"/>
  <c r="BM578" i="14"/>
  <c r="BM602" i="14"/>
  <c r="BB505" i="14"/>
  <c r="E505" i="14"/>
  <c r="BM458" i="14"/>
  <c r="BA585" i="14"/>
  <c r="T492" i="14"/>
  <c r="E543" i="14"/>
  <c r="BA604" i="14"/>
  <c r="BM576" i="14"/>
  <c r="BL604" i="14"/>
  <c r="R604" i="14"/>
  <c r="R523" i="14"/>
  <c r="G604" i="14"/>
  <c r="BG604" i="14" s="1"/>
  <c r="Q523" i="14"/>
  <c r="W604" i="14"/>
  <c r="BH604" i="14" s="1"/>
  <c r="BM604" i="14"/>
  <c r="Q604" i="14"/>
  <c r="BB604" i="14"/>
  <c r="AZ604" i="14"/>
  <c r="U604" i="14"/>
  <c r="I604" i="14"/>
  <c r="E604" i="14"/>
  <c r="W576" i="14"/>
  <c r="AY604" i="14"/>
  <c r="J604" i="14"/>
  <c r="AY485" i="14"/>
  <c r="G485" i="14"/>
  <c r="BG485" i="14" s="1"/>
  <c r="E523" i="14"/>
  <c r="I523" i="14"/>
  <c r="BA485" i="14"/>
  <c r="BL485" i="14"/>
  <c r="BA536" i="14"/>
  <c r="R485" i="14"/>
  <c r="I485" i="14"/>
  <c r="BA523" i="14"/>
  <c r="AZ485" i="14"/>
  <c r="T585" i="14"/>
  <c r="BL477" i="14"/>
  <c r="W485" i="14"/>
  <c r="BL523" i="14"/>
  <c r="W523" i="14"/>
  <c r="W536" i="14"/>
  <c r="AY536" i="14"/>
  <c r="U536" i="14"/>
  <c r="BB536" i="14"/>
  <c r="BB485" i="14"/>
  <c r="G523" i="14"/>
  <c r="BG523" i="14" s="1"/>
  <c r="AZ523" i="14"/>
  <c r="BB523" i="14"/>
  <c r="BB477" i="14"/>
  <c r="T536" i="14"/>
  <c r="BA543" i="14"/>
  <c r="U523" i="14"/>
  <c r="R536" i="14"/>
  <c r="J485" i="14"/>
  <c r="AY585" i="14"/>
  <c r="J523" i="14"/>
  <c r="R477" i="14"/>
  <c r="U485" i="14"/>
  <c r="T485" i="14"/>
  <c r="T523" i="14"/>
  <c r="Q536" i="14"/>
  <c r="BM523" i="14"/>
  <c r="E536" i="14"/>
  <c r="U477" i="14"/>
  <c r="I477" i="14"/>
  <c r="Q477" i="14"/>
  <c r="AZ477" i="14"/>
  <c r="W477" i="14"/>
  <c r="AF477" i="14" s="1"/>
  <c r="E477" i="14"/>
  <c r="BA477" i="14"/>
  <c r="R540" i="14"/>
  <c r="BM540" i="14"/>
  <c r="T489" i="14"/>
  <c r="G540" i="14"/>
  <c r="BG540" i="14" s="1"/>
  <c r="I489" i="14"/>
  <c r="E540" i="14"/>
  <c r="U540" i="14"/>
  <c r="E489" i="14"/>
  <c r="BL540" i="14"/>
  <c r="BA540" i="14"/>
  <c r="J489" i="14"/>
  <c r="T540" i="14"/>
  <c r="W489" i="14"/>
  <c r="R489" i="14"/>
  <c r="J540" i="14"/>
  <c r="W540" i="14"/>
  <c r="BA489" i="14"/>
  <c r="Q489" i="14"/>
  <c r="I540" i="14"/>
  <c r="AZ540" i="14"/>
  <c r="BL489" i="14"/>
  <c r="U489" i="14"/>
  <c r="BB540" i="14"/>
  <c r="AY489" i="14"/>
  <c r="BB489" i="14"/>
  <c r="BM489" i="14"/>
  <c r="AY540" i="14"/>
  <c r="J477" i="14"/>
  <c r="AY477" i="14"/>
  <c r="T477" i="14"/>
  <c r="J576" i="14"/>
  <c r="W585" i="14"/>
  <c r="AZ585" i="14"/>
  <c r="R585" i="14"/>
  <c r="BL585" i="14"/>
  <c r="J585" i="14"/>
  <c r="BL576" i="14"/>
  <c r="BM585" i="14"/>
  <c r="T576" i="14"/>
  <c r="BB585" i="14"/>
  <c r="Q585" i="14"/>
  <c r="R576" i="14"/>
  <c r="BB576" i="14"/>
  <c r="AY576" i="14"/>
  <c r="I585" i="14"/>
  <c r="E585" i="14"/>
  <c r="U576" i="14"/>
  <c r="BA576" i="14"/>
  <c r="Q576" i="14"/>
  <c r="AZ576" i="14"/>
  <c r="I576" i="14"/>
  <c r="G576" i="14"/>
  <c r="BG576" i="14" s="1"/>
  <c r="BM548" i="14"/>
  <c r="Q592" i="14"/>
  <c r="AZ472" i="14"/>
  <c r="Q472" i="14"/>
  <c r="BM472" i="14"/>
  <c r="BL472" i="14"/>
  <c r="BA472" i="14"/>
  <c r="I472" i="14"/>
  <c r="G472" i="14"/>
  <c r="BG472" i="14" s="1"/>
  <c r="U472" i="14"/>
  <c r="J472" i="14"/>
  <c r="AZ580" i="14"/>
  <c r="Q473" i="14"/>
  <c r="T473" i="14"/>
  <c r="J527" i="14"/>
  <c r="BA421" i="14"/>
  <c r="R472" i="14"/>
  <c r="W472" i="14"/>
  <c r="R421" i="14"/>
  <c r="T472" i="14"/>
  <c r="E472" i="14"/>
  <c r="Q447" i="14"/>
  <c r="AY457" i="14"/>
  <c r="AY447" i="14"/>
  <c r="T447" i="14"/>
  <c r="BH447" i="14" s="1"/>
  <c r="G457" i="14"/>
  <c r="BG457" i="14" s="1"/>
  <c r="E447" i="14"/>
  <c r="BB457" i="14"/>
  <c r="BL447" i="14"/>
  <c r="I447" i="14"/>
  <c r="AZ447" i="14"/>
  <c r="E457" i="14"/>
  <c r="W457" i="14"/>
  <c r="G447" i="14"/>
  <c r="BG447" i="14" s="1"/>
  <c r="BM447" i="14"/>
  <c r="U457" i="14"/>
  <c r="Q457" i="14"/>
  <c r="U447" i="14"/>
  <c r="BA457" i="14"/>
  <c r="BM457" i="14"/>
  <c r="T457" i="14"/>
  <c r="BL457" i="14"/>
  <c r="BB447" i="14"/>
  <c r="R457" i="14"/>
  <c r="I457" i="14"/>
  <c r="J457" i="14"/>
  <c r="I545" i="14"/>
  <c r="AZ548" i="14"/>
  <c r="BA548" i="14"/>
  <c r="G548" i="14"/>
  <c r="BG548" i="14" s="1"/>
  <c r="Q548" i="14"/>
  <c r="T548" i="14"/>
  <c r="E548" i="14"/>
  <c r="U548" i="14"/>
  <c r="BB548" i="14"/>
  <c r="I548" i="14"/>
  <c r="J548" i="14"/>
  <c r="R548" i="14"/>
  <c r="W548" i="14"/>
  <c r="AY548" i="14"/>
  <c r="BA447" i="14"/>
  <c r="T421" i="14"/>
  <c r="E421" i="14"/>
  <c r="J421" i="14"/>
  <c r="BB527" i="14"/>
  <c r="BL527" i="14"/>
  <c r="AZ421" i="14"/>
  <c r="U421" i="14"/>
  <c r="W421" i="14"/>
  <c r="AF421" i="14" s="1"/>
  <c r="BL421" i="14"/>
  <c r="AY421" i="14"/>
  <c r="I421" i="14"/>
  <c r="BB421" i="14"/>
  <c r="Q421" i="14"/>
  <c r="BM421" i="14"/>
  <c r="AY472" i="14"/>
  <c r="R447" i="14"/>
  <c r="Q579" i="14"/>
  <c r="I425" i="14"/>
  <c r="BL425" i="14"/>
  <c r="Q545" i="14"/>
  <c r="U425" i="14"/>
  <c r="G545" i="14"/>
  <c r="BG545" i="14" s="1"/>
  <c r="AY545" i="14"/>
  <c r="BL545" i="14"/>
  <c r="Q425" i="14"/>
  <c r="BA545" i="14"/>
  <c r="U545" i="14"/>
  <c r="W425" i="14"/>
  <c r="W545" i="14"/>
  <c r="R545" i="14"/>
  <c r="J545" i="14"/>
  <c r="T545" i="14"/>
  <c r="BB545" i="14"/>
  <c r="E545" i="14"/>
  <c r="BM545" i="14"/>
  <c r="AY590" i="14"/>
  <c r="BM425" i="14"/>
  <c r="J425" i="14"/>
  <c r="G425" i="14"/>
  <c r="BG425" i="14" s="1"/>
  <c r="E425" i="14"/>
  <c r="AZ425" i="14"/>
  <c r="BA425" i="14"/>
  <c r="AY425" i="14"/>
  <c r="T425" i="14"/>
  <c r="BB425" i="14"/>
  <c r="BB484" i="14"/>
  <c r="J484" i="14"/>
  <c r="I484" i="14"/>
  <c r="R484" i="14"/>
  <c r="T484" i="14"/>
  <c r="E484" i="14"/>
  <c r="BL484" i="14"/>
  <c r="BM484" i="14"/>
  <c r="Q484" i="14"/>
  <c r="AY484" i="14"/>
  <c r="G484" i="14"/>
  <c r="BG484" i="14" s="1"/>
  <c r="AZ484" i="14"/>
  <c r="BA484" i="14"/>
  <c r="W484" i="14"/>
  <c r="J447" i="14"/>
  <c r="E590" i="14"/>
  <c r="I515" i="14"/>
  <c r="BM590" i="14"/>
  <c r="W590" i="14"/>
  <c r="BL590" i="14"/>
  <c r="T590" i="14"/>
  <c r="Q590" i="14"/>
  <c r="AZ590" i="14"/>
  <c r="R590" i="14"/>
  <c r="J515" i="14"/>
  <c r="G590" i="14"/>
  <c r="BG590" i="14" s="1"/>
  <c r="BA590" i="14"/>
  <c r="R515" i="14"/>
  <c r="BB590" i="14"/>
  <c r="U590" i="14"/>
  <c r="J590" i="14"/>
  <c r="G515" i="14"/>
  <c r="BG515" i="14" s="1"/>
  <c r="AY499" i="14"/>
  <c r="BB499" i="14"/>
  <c r="I499" i="14"/>
  <c r="W499" i="14"/>
  <c r="Q499" i="14"/>
  <c r="G499" i="14"/>
  <c r="BG499" i="14" s="1"/>
  <c r="R499" i="14"/>
  <c r="T499" i="14"/>
  <c r="AZ499" i="14"/>
  <c r="E499" i="14"/>
  <c r="U499" i="14"/>
  <c r="BM499" i="14"/>
  <c r="BL499" i="14"/>
  <c r="J499" i="14"/>
  <c r="Q515" i="14"/>
  <c r="R527" i="14"/>
  <c r="AZ515" i="14"/>
  <c r="BM580" i="14"/>
  <c r="Q527" i="14"/>
  <c r="BM515" i="14"/>
  <c r="T527" i="14"/>
  <c r="BA515" i="14"/>
  <c r="U580" i="14"/>
  <c r="J580" i="14"/>
  <c r="W527" i="14"/>
  <c r="BL515" i="14"/>
  <c r="BL580" i="14"/>
  <c r="AZ527" i="14"/>
  <c r="I527" i="14"/>
  <c r="U515" i="14"/>
  <c r="W515" i="14"/>
  <c r="W580" i="14"/>
  <c r="BA527" i="14"/>
  <c r="E527" i="14"/>
  <c r="AY527" i="14"/>
  <c r="E515" i="14"/>
  <c r="U527" i="14"/>
  <c r="T515" i="14"/>
  <c r="G527" i="14"/>
  <c r="BG527" i="14" s="1"/>
  <c r="BB515" i="14"/>
  <c r="J473" i="14"/>
  <c r="BB473" i="14"/>
  <c r="AY473" i="14"/>
  <c r="BB524" i="14"/>
  <c r="AZ524" i="14"/>
  <c r="BB610" i="14"/>
  <c r="W524" i="14"/>
  <c r="U524" i="14"/>
  <c r="J519" i="14"/>
  <c r="W473" i="14"/>
  <c r="G473" i="14"/>
  <c r="BG473" i="14" s="1"/>
  <c r="BM524" i="14"/>
  <c r="E524" i="14"/>
  <c r="BL524" i="14"/>
  <c r="R524" i="14"/>
  <c r="AZ519" i="14"/>
  <c r="AZ473" i="14"/>
  <c r="T601" i="14"/>
  <c r="R473" i="14"/>
  <c r="G524" i="14"/>
  <c r="BG524" i="14" s="1"/>
  <c r="BL473" i="14"/>
  <c r="U473" i="14"/>
  <c r="E473" i="14"/>
  <c r="AY524" i="14"/>
  <c r="T524" i="14"/>
  <c r="Q519" i="14"/>
  <c r="I473" i="14"/>
  <c r="BM473" i="14"/>
  <c r="J524" i="14"/>
  <c r="T594" i="14"/>
  <c r="BB579" i="14"/>
  <c r="J498" i="14"/>
  <c r="AY579" i="14"/>
  <c r="I579" i="14"/>
  <c r="J579" i="14"/>
  <c r="Q524" i="14"/>
  <c r="J444" i="14"/>
  <c r="BA524" i="14"/>
  <c r="R580" i="14"/>
  <c r="Q580" i="14"/>
  <c r="G579" i="14"/>
  <c r="BG579" i="14" s="1"/>
  <c r="G580" i="14"/>
  <c r="BG580" i="14" s="1"/>
  <c r="BB580" i="14"/>
  <c r="R579" i="14"/>
  <c r="T579" i="14"/>
  <c r="BA580" i="14"/>
  <c r="E579" i="14"/>
  <c r="W579" i="14"/>
  <c r="T580" i="14"/>
  <c r="U579" i="14"/>
  <c r="E580" i="14"/>
  <c r="BM579" i="14"/>
  <c r="I580" i="14"/>
  <c r="BA579" i="14"/>
  <c r="AZ579" i="14"/>
  <c r="AY592" i="14"/>
  <c r="BL429" i="14"/>
  <c r="T429" i="14"/>
  <c r="T592" i="14"/>
  <c r="BM429" i="14"/>
  <c r="J572" i="14"/>
  <c r="U592" i="14"/>
  <c r="J429" i="14"/>
  <c r="R600" i="14"/>
  <c r="BB429" i="14"/>
  <c r="BA592" i="14"/>
  <c r="AZ592" i="14"/>
  <c r="W429" i="14"/>
  <c r="R592" i="14"/>
  <c r="E592" i="14"/>
  <c r="W592" i="14"/>
  <c r="BM592" i="14"/>
  <c r="I564" i="14"/>
  <c r="I592" i="14"/>
  <c r="G592" i="14"/>
  <c r="BG592" i="14" s="1"/>
  <c r="J592" i="14"/>
  <c r="BB592" i="14"/>
  <c r="R450" i="14"/>
  <c r="BB450" i="14"/>
  <c r="T450" i="14"/>
  <c r="BA450" i="14"/>
  <c r="E450" i="14"/>
  <c r="U450" i="14"/>
  <c r="W450" i="14"/>
  <c r="BM450" i="14"/>
  <c r="I546" i="14"/>
  <c r="AZ450" i="14"/>
  <c r="J450" i="14"/>
  <c r="AY546" i="14"/>
  <c r="BL450" i="14"/>
  <c r="I450" i="14"/>
  <c r="G450" i="14"/>
  <c r="BG450" i="14" s="1"/>
  <c r="AY450" i="14"/>
  <c r="AZ572" i="14"/>
  <c r="E572" i="14"/>
  <c r="BM572" i="14"/>
  <c r="U417" i="14"/>
  <c r="BB417" i="14"/>
  <c r="R556" i="14"/>
  <c r="T417" i="14"/>
  <c r="BD574" i="14"/>
  <c r="BA519" i="14"/>
  <c r="R610" i="14"/>
  <c r="AF574" i="14"/>
  <c r="Q610" i="14"/>
  <c r="BD442" i="14"/>
  <c r="BA498" i="14"/>
  <c r="BB601" i="14"/>
  <c r="E498" i="14"/>
  <c r="U498" i="14"/>
  <c r="AZ498" i="14"/>
  <c r="BM498" i="14"/>
  <c r="J610" i="14"/>
  <c r="G594" i="14"/>
  <c r="BG594" i="14" s="1"/>
  <c r="BL564" i="14"/>
  <c r="W564" i="14"/>
  <c r="BA564" i="14"/>
  <c r="R564" i="14"/>
  <c r="U564" i="14"/>
  <c r="Q564" i="14"/>
  <c r="I563" i="14"/>
  <c r="BL563" i="14"/>
  <c r="AZ563" i="14"/>
  <c r="U563" i="14"/>
  <c r="BA563" i="14"/>
  <c r="BB563" i="14"/>
  <c r="E563" i="14"/>
  <c r="U446" i="14"/>
  <c r="W563" i="14"/>
  <c r="T563" i="14"/>
  <c r="G563" i="14"/>
  <c r="BG563" i="14" s="1"/>
  <c r="Q563" i="14"/>
  <c r="AY563" i="14"/>
  <c r="R563" i="14"/>
  <c r="J563" i="14"/>
  <c r="BG498" i="14"/>
  <c r="Q554" i="14"/>
  <c r="E429" i="14"/>
  <c r="Q556" i="14"/>
  <c r="AY498" i="14"/>
  <c r="BA594" i="14"/>
  <c r="BA429" i="14"/>
  <c r="AZ556" i="14"/>
  <c r="BL498" i="14"/>
  <c r="T498" i="14"/>
  <c r="BH442" i="14"/>
  <c r="BF442" i="14" s="1"/>
  <c r="I436" i="14"/>
  <c r="U594" i="14"/>
  <c r="AZ429" i="14"/>
  <c r="I556" i="14"/>
  <c r="R498" i="14"/>
  <c r="R565" i="14"/>
  <c r="W594" i="14"/>
  <c r="Q429" i="14"/>
  <c r="E565" i="14"/>
  <c r="J462" i="14"/>
  <c r="BB594" i="14"/>
  <c r="U429" i="14"/>
  <c r="W498" i="14"/>
  <c r="AF498" i="14" s="1"/>
  <c r="BC574" i="14"/>
  <c r="I498" i="14"/>
  <c r="Q498" i="14"/>
  <c r="BL594" i="14"/>
  <c r="BM594" i="14"/>
  <c r="U556" i="14"/>
  <c r="R444" i="14"/>
  <c r="BB498" i="14"/>
  <c r="P574" i="14"/>
  <c r="AG574" i="14" s="1"/>
  <c r="BL519" i="14"/>
  <c r="BL427" i="14"/>
  <c r="U610" i="14"/>
  <c r="AY601" i="14"/>
  <c r="W519" i="14"/>
  <c r="AZ610" i="14"/>
  <c r="AY610" i="14"/>
  <c r="R601" i="14"/>
  <c r="I601" i="14"/>
  <c r="BM417" i="14"/>
  <c r="BL601" i="14"/>
  <c r="G519" i="14"/>
  <c r="E610" i="14"/>
  <c r="T610" i="14"/>
  <c r="U601" i="14"/>
  <c r="BH537" i="14"/>
  <c r="J601" i="14"/>
  <c r="I519" i="14"/>
  <c r="W610" i="14"/>
  <c r="AF610" i="14" s="1"/>
  <c r="E601" i="14"/>
  <c r="AY519" i="14"/>
  <c r="BM610" i="14"/>
  <c r="U599" i="14"/>
  <c r="I417" i="14"/>
  <c r="G601" i="14"/>
  <c r="R417" i="14"/>
  <c r="T519" i="14"/>
  <c r="BA610" i="14"/>
  <c r="E519" i="14"/>
  <c r="BL610" i="14"/>
  <c r="AZ601" i="14"/>
  <c r="BM519" i="14"/>
  <c r="R519" i="14"/>
  <c r="I610" i="14"/>
  <c r="W601" i="14"/>
  <c r="BA601" i="14"/>
  <c r="G417" i="14"/>
  <c r="BG417" i="14" s="1"/>
  <c r="AZ417" i="14"/>
  <c r="Q601" i="14"/>
  <c r="BB519" i="14"/>
  <c r="AY417" i="14"/>
  <c r="H574" i="14"/>
  <c r="AH574" i="14" s="1"/>
  <c r="Q600" i="14"/>
  <c r="AZ427" i="14"/>
  <c r="W599" i="14"/>
  <c r="J417" i="14"/>
  <c r="R427" i="14"/>
  <c r="E599" i="14"/>
  <c r="G600" i="14"/>
  <c r="BG600" i="14" s="1"/>
  <c r="U427" i="14"/>
  <c r="AZ599" i="14"/>
  <c r="BA417" i="14"/>
  <c r="Q599" i="14"/>
  <c r="W417" i="14"/>
  <c r="I427" i="14"/>
  <c r="BL599" i="14"/>
  <c r="T599" i="14"/>
  <c r="BA599" i="14"/>
  <c r="BL417" i="14"/>
  <c r="BM599" i="14"/>
  <c r="G599" i="14"/>
  <c r="BG599" i="14" s="1"/>
  <c r="I599" i="14"/>
  <c r="E417" i="14"/>
  <c r="AY599" i="14"/>
  <c r="J599" i="14"/>
  <c r="R547" i="14"/>
  <c r="BB547" i="14"/>
  <c r="BA569" i="14"/>
  <c r="BC442" i="14"/>
  <c r="BB599" i="14"/>
  <c r="BC537" i="14"/>
  <c r="AF442" i="14"/>
  <c r="P442" i="14"/>
  <c r="AG442" i="14" s="1"/>
  <c r="H442" i="14"/>
  <c r="BI442" i="14" s="1"/>
  <c r="W572" i="14"/>
  <c r="AY572" i="14"/>
  <c r="Q572" i="14"/>
  <c r="J446" i="14"/>
  <c r="G446" i="14"/>
  <c r="BG446" i="14" s="1"/>
  <c r="Q594" i="14"/>
  <c r="G572" i="14"/>
  <c r="U572" i="14"/>
  <c r="AY594" i="14"/>
  <c r="R572" i="14"/>
  <c r="E594" i="14"/>
  <c r="BB572" i="14"/>
  <c r="E446" i="14"/>
  <c r="AZ594" i="14"/>
  <c r="W462" i="14"/>
  <c r="R594" i="14"/>
  <c r="BA572" i="14"/>
  <c r="J594" i="14"/>
  <c r="BL572" i="14"/>
  <c r="T572" i="14"/>
  <c r="BM427" i="14"/>
  <c r="U569" i="14"/>
  <c r="AZ547" i="14"/>
  <c r="W427" i="14"/>
  <c r="I547" i="14"/>
  <c r="BB525" i="14"/>
  <c r="AY427" i="14"/>
  <c r="AY525" i="14"/>
  <c r="T547" i="14"/>
  <c r="BL547" i="14"/>
  <c r="I448" i="14"/>
  <c r="E427" i="14"/>
  <c r="J569" i="14"/>
  <c r="T569" i="14"/>
  <c r="Q547" i="14"/>
  <c r="W569" i="14"/>
  <c r="BA462" i="14"/>
  <c r="Q427" i="14"/>
  <c r="AY547" i="14"/>
  <c r="T427" i="14"/>
  <c r="Q569" i="14"/>
  <c r="G547" i="14"/>
  <c r="BG547" i="14" s="1"/>
  <c r="BA427" i="14"/>
  <c r="G427" i="14"/>
  <c r="BG427" i="14" s="1"/>
  <c r="BM569" i="14"/>
  <c r="R569" i="14"/>
  <c r="J547" i="14"/>
  <c r="AF537" i="14"/>
  <c r="BB427" i="14"/>
  <c r="BL569" i="14"/>
  <c r="T448" i="14"/>
  <c r="BH448" i="14" s="1"/>
  <c r="BA446" i="14"/>
  <c r="BB446" i="14"/>
  <c r="BL446" i="14"/>
  <c r="R446" i="14"/>
  <c r="T446" i="14"/>
  <c r="AY448" i="14"/>
  <c r="W446" i="14"/>
  <c r="I533" i="14"/>
  <c r="AZ446" i="14"/>
  <c r="Q446" i="14"/>
  <c r="E551" i="14"/>
  <c r="E533" i="14"/>
  <c r="J448" i="14"/>
  <c r="AY446" i="14"/>
  <c r="BB471" i="14"/>
  <c r="BM446" i="14"/>
  <c r="T546" i="14"/>
  <c r="Q533" i="14"/>
  <c r="U491" i="14"/>
  <c r="BB448" i="14"/>
  <c r="BL546" i="14"/>
  <c r="T533" i="14"/>
  <c r="AY456" i="14"/>
  <c r="Q448" i="14"/>
  <c r="W491" i="14"/>
  <c r="BA491" i="14"/>
  <c r="U546" i="14"/>
  <c r="W533" i="14"/>
  <c r="BB456" i="14"/>
  <c r="BG537" i="14"/>
  <c r="G448" i="14"/>
  <c r="BG448" i="14" s="1"/>
  <c r="E448" i="14"/>
  <c r="T554" i="14"/>
  <c r="AZ491" i="14"/>
  <c r="BM491" i="14"/>
  <c r="I491" i="14"/>
  <c r="AZ546" i="14"/>
  <c r="BB533" i="14"/>
  <c r="W456" i="14"/>
  <c r="BB546" i="14"/>
  <c r="BA533" i="14"/>
  <c r="E456" i="14"/>
  <c r="BA456" i="14"/>
  <c r="AZ448" i="14"/>
  <c r="BM448" i="14"/>
  <c r="R491" i="14"/>
  <c r="E546" i="14"/>
  <c r="G546" i="14"/>
  <c r="BG546" i="14" s="1"/>
  <c r="J533" i="14"/>
  <c r="BM456" i="14"/>
  <c r="I456" i="14"/>
  <c r="Q456" i="14"/>
  <c r="T551" i="14"/>
  <c r="BA448" i="14"/>
  <c r="U448" i="14"/>
  <c r="G491" i="14"/>
  <c r="BG491" i="14" s="1"/>
  <c r="BL510" i="14"/>
  <c r="R546" i="14"/>
  <c r="Q546" i="14"/>
  <c r="R533" i="14"/>
  <c r="U456" i="14"/>
  <c r="T456" i="14"/>
  <c r="BB491" i="14"/>
  <c r="BL448" i="14"/>
  <c r="T491" i="14"/>
  <c r="E491" i="14"/>
  <c r="U510" i="14"/>
  <c r="W546" i="14"/>
  <c r="BL533" i="14"/>
  <c r="U533" i="14"/>
  <c r="Q491" i="14"/>
  <c r="BL456" i="14"/>
  <c r="G456" i="14"/>
  <c r="BG456" i="14" s="1"/>
  <c r="R448" i="14"/>
  <c r="BL491" i="14"/>
  <c r="J491" i="14"/>
  <c r="BM546" i="14"/>
  <c r="AY533" i="14"/>
  <c r="AZ533" i="14"/>
  <c r="BB551" i="14"/>
  <c r="J546" i="14"/>
  <c r="G533" i="14"/>
  <c r="BG533" i="14" s="1"/>
  <c r="G569" i="14"/>
  <c r="BG569" i="14" s="1"/>
  <c r="I569" i="14"/>
  <c r="AZ569" i="14"/>
  <c r="E569" i="14"/>
  <c r="AY569" i="14"/>
  <c r="U525" i="14"/>
  <c r="J525" i="14"/>
  <c r="BM525" i="14"/>
  <c r="W525" i="14"/>
  <c r="BH525" i="14" s="1"/>
  <c r="R525" i="14"/>
  <c r="BA525" i="14"/>
  <c r="AZ525" i="14"/>
  <c r="BD537" i="14"/>
  <c r="Q525" i="14"/>
  <c r="E525" i="14"/>
  <c r="G525" i="14"/>
  <c r="BG525" i="14" s="1"/>
  <c r="BL525" i="14"/>
  <c r="I525" i="14"/>
  <c r="AZ616" i="14"/>
  <c r="U565" i="14"/>
  <c r="J510" i="14"/>
  <c r="BB444" i="14"/>
  <c r="BM444" i="14"/>
  <c r="I565" i="14"/>
  <c r="W510" i="14"/>
  <c r="G444" i="14"/>
  <c r="BG444" i="14" s="1"/>
  <c r="U444" i="14"/>
  <c r="BB565" i="14"/>
  <c r="R510" i="14"/>
  <c r="AY444" i="14"/>
  <c r="T444" i="14"/>
  <c r="BA565" i="14"/>
  <c r="BA510" i="14"/>
  <c r="BL444" i="14"/>
  <c r="W444" i="14"/>
  <c r="AZ565" i="14"/>
  <c r="BM510" i="14"/>
  <c r="E444" i="14"/>
  <c r="AY565" i="14"/>
  <c r="J565" i="14"/>
  <c r="AZ510" i="14"/>
  <c r="Q444" i="14"/>
  <c r="G565" i="14"/>
  <c r="BG565" i="14" s="1"/>
  <c r="BL565" i="14"/>
  <c r="G510" i="14"/>
  <c r="BG510" i="14" s="1"/>
  <c r="Q510" i="14"/>
  <c r="I444" i="14"/>
  <c r="AY510" i="14"/>
  <c r="E510" i="14"/>
  <c r="W483" i="14"/>
  <c r="T565" i="14"/>
  <c r="BH565" i="14" s="1"/>
  <c r="Q565" i="14"/>
  <c r="BM565" i="14"/>
  <c r="T510" i="14"/>
  <c r="AZ444" i="14"/>
  <c r="BB510" i="14"/>
  <c r="T511" i="14"/>
  <c r="J511" i="14"/>
  <c r="G511" i="14"/>
  <c r="R511" i="14"/>
  <c r="H537" i="14"/>
  <c r="BI537" i="14" s="1"/>
  <c r="J456" i="14"/>
  <c r="AZ456" i="14"/>
  <c r="Q474" i="14"/>
  <c r="BL538" i="14"/>
  <c r="BM538" i="14"/>
  <c r="U538" i="14"/>
  <c r="AZ538" i="14"/>
  <c r="Q538" i="14"/>
  <c r="R538" i="14"/>
  <c r="BA538" i="14"/>
  <c r="BB538" i="14"/>
  <c r="W538" i="14"/>
  <c r="E538" i="14"/>
  <c r="I538" i="14"/>
  <c r="G538" i="14"/>
  <c r="AY538" i="14"/>
  <c r="T538" i="14"/>
  <c r="J538" i="14"/>
  <c r="BA612" i="14"/>
  <c r="AZ612" i="14"/>
  <c r="I612" i="14"/>
  <c r="Q612" i="14"/>
  <c r="T612" i="14"/>
  <c r="G612" i="14"/>
  <c r="AY612" i="14"/>
  <c r="BM612" i="14"/>
  <c r="BB612" i="14"/>
  <c r="U612" i="14"/>
  <c r="R612" i="14"/>
  <c r="J612" i="14"/>
  <c r="BL612" i="14"/>
  <c r="W612" i="14"/>
  <c r="E612" i="14"/>
  <c r="W547" i="14"/>
  <c r="U547" i="14"/>
  <c r="E547" i="14"/>
  <c r="BM547" i="14"/>
  <c r="U436" i="14"/>
  <c r="W511" i="14"/>
  <c r="Q511" i="14"/>
  <c r="W567" i="14"/>
  <c r="E511" i="14"/>
  <c r="R436" i="14"/>
  <c r="T423" i="14"/>
  <c r="T453" i="14"/>
  <c r="J436" i="14"/>
  <c r="W436" i="14"/>
  <c r="AZ567" i="14"/>
  <c r="E567" i="14"/>
  <c r="I567" i="14"/>
  <c r="T564" i="14"/>
  <c r="J564" i="14"/>
  <c r="I511" i="14"/>
  <c r="AZ511" i="14"/>
  <c r="BL436" i="14"/>
  <c r="BL511" i="14"/>
  <c r="U511" i="14"/>
  <c r="BL567" i="14"/>
  <c r="U423" i="14"/>
  <c r="AY436" i="14"/>
  <c r="AY567" i="14"/>
  <c r="U567" i="14"/>
  <c r="AY564" i="14"/>
  <c r="E453" i="14"/>
  <c r="Q436" i="14"/>
  <c r="T435" i="14"/>
  <c r="T567" i="14"/>
  <c r="J567" i="14"/>
  <c r="AZ564" i="14"/>
  <c r="E564" i="14"/>
  <c r="BA436" i="14"/>
  <c r="G436" i="14"/>
  <c r="BG436" i="14" s="1"/>
  <c r="BB511" i="14"/>
  <c r="BM511" i="14"/>
  <c r="BM564" i="14"/>
  <c r="G564" i="14"/>
  <c r="BG564" i="14" s="1"/>
  <c r="E436" i="14"/>
  <c r="BM436" i="14"/>
  <c r="T436" i="14"/>
  <c r="R567" i="14"/>
  <c r="AZ483" i="14"/>
  <c r="AY511" i="14"/>
  <c r="AZ436" i="14"/>
  <c r="G567" i="14"/>
  <c r="BG567" i="14" s="1"/>
  <c r="Q567" i="14"/>
  <c r="BB567" i="14"/>
  <c r="BL483" i="14"/>
  <c r="BM435" i="14"/>
  <c r="BM567" i="14"/>
  <c r="P537" i="14"/>
  <c r="AG537" i="14" s="1"/>
  <c r="BM561" i="14"/>
  <c r="BB561" i="14"/>
  <c r="I561" i="14"/>
  <c r="Q561" i="14"/>
  <c r="G561" i="14"/>
  <c r="BG561" i="14" s="1"/>
  <c r="R561" i="14"/>
  <c r="AZ561" i="14"/>
  <c r="W561" i="14"/>
  <c r="AY561" i="14"/>
  <c r="BL561" i="14"/>
  <c r="T561" i="14"/>
  <c r="J561" i="14"/>
  <c r="BA561" i="14"/>
  <c r="E561" i="14"/>
  <c r="AY471" i="14"/>
  <c r="BA471" i="14"/>
  <c r="E471" i="14"/>
  <c r="J423" i="14"/>
  <c r="R423" i="14"/>
  <c r="U600" i="14"/>
  <c r="G471" i="14"/>
  <c r="BG471" i="14" s="1"/>
  <c r="E556" i="14"/>
  <c r="BM556" i="14"/>
  <c r="E423" i="14"/>
  <c r="BB600" i="14"/>
  <c r="T471" i="14"/>
  <c r="AZ600" i="14"/>
  <c r="Q471" i="14"/>
  <c r="W423" i="14"/>
  <c r="AY600" i="14"/>
  <c r="E600" i="14"/>
  <c r="R471" i="14"/>
  <c r="W471" i="14"/>
  <c r="BL471" i="14"/>
  <c r="T556" i="14"/>
  <c r="BL423" i="14"/>
  <c r="W600" i="14"/>
  <c r="J600" i="14"/>
  <c r="AZ471" i="14"/>
  <c r="G556" i="14"/>
  <c r="BG556" i="14" s="1"/>
  <c r="T600" i="14"/>
  <c r="BM471" i="14"/>
  <c r="BA600" i="14"/>
  <c r="J556" i="14"/>
  <c r="AY556" i="14"/>
  <c r="BM600" i="14"/>
  <c r="U471" i="14"/>
  <c r="BB556" i="14"/>
  <c r="Q423" i="14"/>
  <c r="AY452" i="14"/>
  <c r="I600" i="14"/>
  <c r="J471" i="14"/>
  <c r="W556" i="14"/>
  <c r="BL556" i="14"/>
  <c r="G474" i="14"/>
  <c r="BG474" i="14" s="1"/>
  <c r="G452" i="14"/>
  <c r="AF452" i="14" s="1"/>
  <c r="BM452" i="14"/>
  <c r="AZ474" i="14"/>
  <c r="AY474" i="14"/>
  <c r="BL452" i="14"/>
  <c r="Q435" i="14"/>
  <c r="I435" i="14"/>
  <c r="BM474" i="14"/>
  <c r="R474" i="14"/>
  <c r="U452" i="14"/>
  <c r="BA452" i="14"/>
  <c r="BL474" i="14"/>
  <c r="W468" i="14"/>
  <c r="AZ452" i="14"/>
  <c r="U507" i="14"/>
  <c r="J474" i="14"/>
  <c r="G435" i="14"/>
  <c r="BG435" i="14" s="1"/>
  <c r="W474" i="14"/>
  <c r="BH474" i="14" s="1"/>
  <c r="AY435" i="14"/>
  <c r="BA435" i="14"/>
  <c r="E474" i="14"/>
  <c r="BB453" i="14"/>
  <c r="J452" i="14"/>
  <c r="U435" i="14"/>
  <c r="W435" i="14"/>
  <c r="R435" i="14"/>
  <c r="BA474" i="14"/>
  <c r="BB452" i="14"/>
  <c r="BB435" i="14"/>
  <c r="BB474" i="14"/>
  <c r="I452" i="14"/>
  <c r="AZ435" i="14"/>
  <c r="I474" i="14"/>
  <c r="T452" i="14"/>
  <c r="BH452" i="14" s="1"/>
  <c r="R452" i="14"/>
  <c r="BL435" i="14"/>
  <c r="U474" i="14"/>
  <c r="AY453" i="14"/>
  <c r="Q452" i="14"/>
  <c r="E452" i="14"/>
  <c r="J435" i="14"/>
  <c r="BM468" i="14"/>
  <c r="J468" i="14"/>
  <c r="W554" i="14"/>
  <c r="E462" i="14"/>
  <c r="G462" i="14"/>
  <c r="BB462" i="14"/>
  <c r="I462" i="14"/>
  <c r="BA483" i="14"/>
  <c r="BA616" i="14"/>
  <c r="BL453" i="14"/>
  <c r="BM453" i="14"/>
  <c r="U554" i="14"/>
  <c r="I551" i="14"/>
  <c r="U551" i="14"/>
  <c r="E483" i="14"/>
  <c r="BM616" i="14"/>
  <c r="W616" i="14"/>
  <c r="AZ554" i="14"/>
  <c r="BM554" i="14"/>
  <c r="BM551" i="14"/>
  <c r="I483" i="14"/>
  <c r="T616" i="14"/>
  <c r="E616" i="14"/>
  <c r="BA453" i="14"/>
  <c r="J453" i="14"/>
  <c r="G453" i="14"/>
  <c r="BG453" i="14" s="1"/>
  <c r="BA468" i="14"/>
  <c r="R554" i="14"/>
  <c r="J551" i="14"/>
  <c r="BL616" i="14"/>
  <c r="U616" i="14"/>
  <c r="R453" i="14"/>
  <c r="G468" i="14"/>
  <c r="BG468" i="14" s="1"/>
  <c r="E554" i="14"/>
  <c r="BB468" i="14"/>
  <c r="J554" i="14"/>
  <c r="Q551" i="14"/>
  <c r="BM462" i="14"/>
  <c r="T483" i="14"/>
  <c r="G616" i="14"/>
  <c r="BG616" i="14" s="1"/>
  <c r="R468" i="14"/>
  <c r="R616" i="14"/>
  <c r="I554" i="14"/>
  <c r="I453" i="14"/>
  <c r="Q468" i="14"/>
  <c r="U462" i="14"/>
  <c r="AY483" i="14"/>
  <c r="J616" i="14"/>
  <c r="BB554" i="14"/>
  <c r="AY554" i="14"/>
  <c r="E468" i="14"/>
  <c r="I468" i="14"/>
  <c r="T468" i="14"/>
  <c r="R551" i="14"/>
  <c r="G483" i="14"/>
  <c r="BB483" i="14"/>
  <c r="I616" i="14"/>
  <c r="BL468" i="14"/>
  <c r="AZ468" i="14"/>
  <c r="U453" i="14"/>
  <c r="AZ551" i="14"/>
  <c r="AY551" i="14"/>
  <c r="T462" i="14"/>
  <c r="Q462" i="14"/>
  <c r="U483" i="14"/>
  <c r="BL551" i="14"/>
  <c r="AY616" i="14"/>
  <c r="AZ453" i="14"/>
  <c r="BL554" i="14"/>
  <c r="AY462" i="14"/>
  <c r="R483" i="14"/>
  <c r="BB616" i="14"/>
  <c r="W453" i="14"/>
  <c r="G554" i="14"/>
  <c r="BG554" i="14" s="1"/>
  <c r="AY468" i="14"/>
  <c r="W551" i="14"/>
  <c r="G551" i="14"/>
  <c r="BG551" i="14" s="1"/>
  <c r="AZ462" i="14"/>
  <c r="R462" i="14"/>
  <c r="J483" i="14"/>
  <c r="Q483" i="14"/>
  <c r="G429" i="14"/>
  <c r="BG429" i="14" s="1"/>
  <c r="I429" i="14"/>
  <c r="AY429" i="14"/>
  <c r="AY423" i="14"/>
  <c r="G423" i="14"/>
  <c r="I423" i="14"/>
  <c r="BA423" i="14"/>
  <c r="BB423" i="14"/>
  <c r="BM423" i="14"/>
  <c r="AZ507" i="14"/>
  <c r="T507" i="14"/>
  <c r="J507" i="14"/>
  <c r="W507" i="14"/>
  <c r="BA507" i="14"/>
  <c r="BL507" i="14"/>
  <c r="E507" i="14"/>
  <c r="I507" i="14"/>
  <c r="D166" i="7"/>
  <c r="D179" i="7"/>
  <c r="BA469" i="14"/>
  <c r="D193" i="7"/>
  <c r="D155" i="7"/>
  <c r="D177" i="7"/>
  <c r="J469" i="14"/>
  <c r="D140" i="7"/>
  <c r="I469" i="14"/>
  <c r="AY469" i="14"/>
  <c r="W469" i="14"/>
  <c r="D161" i="7"/>
  <c r="D194" i="7"/>
  <c r="BM469" i="14"/>
  <c r="D158" i="7"/>
  <c r="D170" i="7"/>
  <c r="AZ469" i="14"/>
  <c r="Q469" i="14"/>
  <c r="R469" i="14"/>
  <c r="BL469" i="14"/>
  <c r="T469" i="14"/>
  <c r="G469" i="14"/>
  <c r="BG469" i="14" s="1"/>
  <c r="E469" i="14"/>
  <c r="BB469" i="14"/>
  <c r="G507" i="14"/>
  <c r="BG507" i="14" s="1"/>
  <c r="BM507" i="14"/>
  <c r="AY507" i="14"/>
  <c r="D173" i="7"/>
  <c r="G562" i="14"/>
  <c r="AY562" i="14"/>
  <c r="T562" i="14"/>
  <c r="BM562" i="14"/>
  <c r="BB562" i="14"/>
  <c r="U562" i="14"/>
  <c r="AZ562" i="14"/>
  <c r="BL562" i="14"/>
  <c r="W562" i="14"/>
  <c r="J562" i="14"/>
  <c r="BA562" i="14"/>
  <c r="R562" i="14"/>
  <c r="I562" i="14"/>
  <c r="E562" i="14"/>
  <c r="Q562" i="14"/>
  <c r="D139" i="7"/>
  <c r="D189" i="7"/>
  <c r="D157" i="7"/>
  <c r="D127" i="7"/>
  <c r="D143" i="7"/>
  <c r="D124" i="7"/>
  <c r="D171" i="7"/>
  <c r="D181" i="7"/>
  <c r="D163" i="7"/>
  <c r="D164" i="7"/>
  <c r="D198" i="7"/>
  <c r="D199" i="7"/>
  <c r="D182" i="7"/>
  <c r="D148" i="7"/>
  <c r="D195" i="7"/>
  <c r="D175" i="7"/>
  <c r="D132" i="7"/>
  <c r="D153" i="7"/>
  <c r="D176" i="7"/>
  <c r="D184" i="7"/>
  <c r="D187" i="7"/>
  <c r="D168" i="7"/>
  <c r="D160" i="7"/>
  <c r="D192" i="7"/>
  <c r="D197" i="7"/>
  <c r="D145" i="7"/>
  <c r="D172" i="7"/>
  <c r="D162" i="7"/>
  <c r="D156" i="7"/>
  <c r="D190" i="7"/>
  <c r="D167" i="7"/>
  <c r="D154" i="7"/>
  <c r="D142" i="7"/>
  <c r="D136" i="7"/>
  <c r="D149" i="7"/>
  <c r="D134" i="7"/>
  <c r="D196" i="7"/>
  <c r="D165" i="7"/>
  <c r="D180" i="7"/>
  <c r="D191" i="7"/>
  <c r="D126" i="7"/>
  <c r="D151" i="7"/>
  <c r="D200" i="7"/>
  <c r="D146" i="7"/>
  <c r="D135" i="7"/>
  <c r="D144" i="7"/>
  <c r="D137" i="7"/>
  <c r="D152" i="7"/>
  <c r="D131" i="7"/>
  <c r="D138" i="7"/>
  <c r="D185" i="7"/>
  <c r="D186" i="7"/>
  <c r="D130" i="7"/>
  <c r="D188" i="7"/>
  <c r="D150" i="7"/>
  <c r="D125" i="7"/>
  <c r="D128" i="7"/>
  <c r="D202" i="7"/>
  <c r="D147" i="7"/>
  <c r="D159" i="7"/>
  <c r="D129" i="7"/>
  <c r="D183" i="7"/>
  <c r="D169" i="7"/>
  <c r="D174" i="7"/>
  <c r="D133" i="7"/>
  <c r="D178" i="7"/>
  <c r="D141" i="7"/>
  <c r="D201" i="7"/>
  <c r="I467" i="14"/>
  <c r="G467" i="14"/>
  <c r="AY467" i="14"/>
  <c r="T467" i="14"/>
  <c r="AZ467" i="14"/>
  <c r="BL467" i="14"/>
  <c r="J467" i="14"/>
  <c r="U467" i="14"/>
  <c r="R467" i="14"/>
  <c r="Q467" i="14"/>
  <c r="BM467" i="14"/>
  <c r="W467" i="14"/>
  <c r="BB467" i="14"/>
  <c r="BA467" i="14"/>
  <c r="E467" i="14"/>
  <c r="U522" i="14"/>
  <c r="J522" i="14"/>
  <c r="BM522" i="14"/>
  <c r="AZ522" i="14"/>
  <c r="E522" i="14"/>
  <c r="BB522" i="14"/>
  <c r="Q522" i="14"/>
  <c r="T522" i="14"/>
  <c r="G522" i="14"/>
  <c r="R522" i="14"/>
  <c r="W522" i="14"/>
  <c r="BL522" i="14"/>
  <c r="BA522" i="14"/>
  <c r="I522" i="14"/>
  <c r="AY522" i="14"/>
  <c r="I570" i="14"/>
  <c r="AY570" i="14"/>
  <c r="G570" i="14"/>
  <c r="AZ570" i="14"/>
  <c r="BM570" i="14"/>
  <c r="BL570" i="14"/>
  <c r="BB570" i="14"/>
  <c r="J570" i="14"/>
  <c r="R570" i="14"/>
  <c r="Q570" i="14"/>
  <c r="E570" i="14"/>
  <c r="BA570" i="14"/>
  <c r="T570" i="14"/>
  <c r="W570" i="14"/>
  <c r="U570" i="14"/>
  <c r="AZ438" i="14"/>
  <c r="BL438" i="14"/>
  <c r="BM438" i="14"/>
  <c r="BB438" i="14"/>
  <c r="E438" i="14"/>
  <c r="U438" i="14"/>
  <c r="Q438" i="14"/>
  <c r="R438" i="14"/>
  <c r="BA438" i="14"/>
  <c r="T438" i="14"/>
  <c r="W438" i="14"/>
  <c r="J438" i="14"/>
  <c r="I438" i="14"/>
  <c r="G438" i="14"/>
  <c r="AY438" i="14"/>
  <c r="BL521" i="14"/>
  <c r="AZ521" i="14"/>
  <c r="J521" i="14"/>
  <c r="BB521" i="14"/>
  <c r="U521" i="14"/>
  <c r="BM521" i="14"/>
  <c r="W521" i="14"/>
  <c r="R521" i="14"/>
  <c r="BA521" i="14"/>
  <c r="E521" i="14"/>
  <c r="I521" i="14"/>
  <c r="T521" i="14"/>
  <c r="Q521" i="14"/>
  <c r="G521" i="14"/>
  <c r="AY521" i="14"/>
  <c r="J480" i="14"/>
  <c r="T480" i="14"/>
  <c r="BM480" i="14"/>
  <c r="AZ480" i="14"/>
  <c r="BB480" i="14"/>
  <c r="E480" i="14"/>
  <c r="Q480" i="14"/>
  <c r="R480" i="14"/>
  <c r="W480" i="14"/>
  <c r="BL480" i="14"/>
  <c r="BA480" i="14"/>
  <c r="U480" i="14"/>
  <c r="I480" i="14"/>
  <c r="AY480" i="14"/>
  <c r="G480" i="14"/>
  <c r="G541" i="14"/>
  <c r="U541" i="14"/>
  <c r="BB541" i="14"/>
  <c r="J541" i="14"/>
  <c r="BL541" i="14"/>
  <c r="E541" i="14"/>
  <c r="Q541" i="14"/>
  <c r="AZ541" i="14"/>
  <c r="W541" i="14"/>
  <c r="BM541" i="14"/>
  <c r="BA541" i="14"/>
  <c r="R541" i="14"/>
  <c r="I541" i="14"/>
  <c r="T541" i="14"/>
  <c r="AY541" i="14"/>
  <c r="I586" i="14"/>
  <c r="AY586" i="14"/>
  <c r="G586" i="14"/>
  <c r="AZ586" i="14"/>
  <c r="J586" i="14"/>
  <c r="BL586" i="14"/>
  <c r="BB586" i="14"/>
  <c r="E586" i="14"/>
  <c r="U586" i="14"/>
  <c r="Q586" i="14"/>
  <c r="BM586" i="14"/>
  <c r="W586" i="14"/>
  <c r="R586" i="14"/>
  <c r="BA586" i="14"/>
  <c r="T586" i="14"/>
  <c r="Q507" i="14"/>
  <c r="Q478" i="14"/>
  <c r="G478" i="14"/>
  <c r="T478" i="14"/>
  <c r="AY478" i="14"/>
  <c r="AZ478" i="14"/>
  <c r="U478" i="14"/>
  <c r="E478" i="14"/>
  <c r="BB478" i="14"/>
  <c r="J478" i="14"/>
  <c r="BA478" i="14"/>
  <c r="BL478" i="14"/>
  <c r="W478" i="14"/>
  <c r="BM478" i="14"/>
  <c r="I478" i="14"/>
  <c r="R478" i="14"/>
  <c r="BM575" i="14"/>
  <c r="Q575" i="14"/>
  <c r="BB575" i="14"/>
  <c r="BA575" i="14"/>
  <c r="E575" i="14"/>
  <c r="W575" i="14"/>
  <c r="J575" i="14"/>
  <c r="I575" i="14"/>
  <c r="G575" i="14"/>
  <c r="T575" i="14"/>
  <c r="AY575" i="14"/>
  <c r="AZ575" i="14"/>
  <c r="R575" i="14"/>
  <c r="BL575" i="14"/>
  <c r="U575" i="14"/>
  <c r="BM549" i="14"/>
  <c r="AY549" i="14"/>
  <c r="AZ549" i="14"/>
  <c r="Q549" i="14"/>
  <c r="E549" i="14"/>
  <c r="W549" i="14"/>
  <c r="BA549" i="14"/>
  <c r="R549" i="14"/>
  <c r="U549" i="14"/>
  <c r="T549" i="14"/>
  <c r="J549" i="14"/>
  <c r="I549" i="14"/>
  <c r="BL549" i="14"/>
  <c r="BB549" i="14"/>
  <c r="G549" i="14"/>
  <c r="BA530" i="14"/>
  <c r="AZ530" i="14"/>
  <c r="W530" i="14"/>
  <c r="E530" i="14"/>
  <c r="Q530" i="14"/>
  <c r="BM530" i="14"/>
  <c r="I530" i="14"/>
  <c r="G530" i="14"/>
  <c r="AY530" i="14"/>
  <c r="T530" i="14"/>
  <c r="J530" i="14"/>
  <c r="BB530" i="14"/>
  <c r="U530" i="14"/>
  <c r="BL530" i="14"/>
  <c r="R530" i="14"/>
  <c r="T481" i="14"/>
  <c r="U481" i="14"/>
  <c r="BM481" i="14"/>
  <c r="R481" i="14"/>
  <c r="AZ481" i="14"/>
  <c r="J481" i="14"/>
  <c r="Q481" i="14"/>
  <c r="BB481" i="14"/>
  <c r="BA481" i="14"/>
  <c r="BL481" i="14"/>
  <c r="W481" i="14"/>
  <c r="E481" i="14"/>
  <c r="I481" i="14"/>
  <c r="AY481" i="14"/>
  <c r="G481" i="14"/>
  <c r="U588" i="14"/>
  <c r="AZ588" i="14"/>
  <c r="BB588" i="14"/>
  <c r="W588" i="14"/>
  <c r="R588" i="14"/>
  <c r="BA588" i="14"/>
  <c r="E588" i="14"/>
  <c r="I588" i="14"/>
  <c r="J588" i="14"/>
  <c r="Q588" i="14"/>
  <c r="AY588" i="14"/>
  <c r="G588" i="14"/>
  <c r="T588" i="14"/>
  <c r="BM588" i="14"/>
  <c r="BL588" i="14"/>
  <c r="BB508" i="14"/>
  <c r="AZ508" i="14"/>
  <c r="BL508" i="14"/>
  <c r="W508" i="14"/>
  <c r="U508" i="14"/>
  <c r="BA508" i="14"/>
  <c r="BM508" i="14"/>
  <c r="I508" i="14"/>
  <c r="R508" i="14"/>
  <c r="Q508" i="14"/>
  <c r="AY508" i="14"/>
  <c r="G508" i="14"/>
  <c r="T508" i="14"/>
  <c r="J508" i="14"/>
  <c r="E508" i="14"/>
  <c r="BB460" i="14"/>
  <c r="U460" i="14"/>
  <c r="J460" i="14"/>
  <c r="BA460" i="14"/>
  <c r="E460" i="14"/>
  <c r="W460" i="14"/>
  <c r="T460" i="14"/>
  <c r="I460" i="14"/>
  <c r="BM460" i="14"/>
  <c r="Q460" i="14"/>
  <c r="AY460" i="14"/>
  <c r="G460" i="14"/>
  <c r="R460" i="14"/>
  <c r="BL460" i="14"/>
  <c r="AZ460" i="14"/>
  <c r="Q603" i="14"/>
  <c r="BL603" i="14"/>
  <c r="BA603" i="14"/>
  <c r="BM603" i="14"/>
  <c r="W603" i="14"/>
  <c r="U603" i="14"/>
  <c r="I603" i="14"/>
  <c r="AY603" i="14"/>
  <c r="G603" i="14"/>
  <c r="R603" i="14"/>
  <c r="BB603" i="14"/>
  <c r="J603" i="14"/>
  <c r="T603" i="14"/>
  <c r="AZ603" i="14"/>
  <c r="E603" i="14"/>
  <c r="BL454" i="14"/>
  <c r="BM454" i="14"/>
  <c r="BB454" i="14"/>
  <c r="AZ454" i="14"/>
  <c r="U454" i="14"/>
  <c r="E454" i="14"/>
  <c r="BA454" i="14"/>
  <c r="T454" i="14"/>
  <c r="W454" i="14"/>
  <c r="R454" i="14"/>
  <c r="Q454" i="14"/>
  <c r="J454" i="14"/>
  <c r="I454" i="14"/>
  <c r="AY454" i="14"/>
  <c r="G454" i="14"/>
  <c r="BL596" i="14"/>
  <c r="BM596" i="14"/>
  <c r="AZ596" i="14"/>
  <c r="BA596" i="14"/>
  <c r="BB596" i="14"/>
  <c r="W596" i="14"/>
  <c r="E596" i="14"/>
  <c r="I596" i="14"/>
  <c r="R596" i="14"/>
  <c r="Q596" i="14"/>
  <c r="G596" i="14"/>
  <c r="T596" i="14"/>
  <c r="AY596" i="14"/>
  <c r="U596" i="14"/>
  <c r="J596" i="14"/>
  <c r="BA582" i="14"/>
  <c r="BB582" i="14"/>
  <c r="W582" i="14"/>
  <c r="J582" i="14"/>
  <c r="I582" i="14"/>
  <c r="BL582" i="14"/>
  <c r="Q582" i="14"/>
  <c r="G582" i="14"/>
  <c r="AY582" i="14"/>
  <c r="T582" i="14"/>
  <c r="AZ582" i="14"/>
  <c r="BM582" i="14"/>
  <c r="E582" i="14"/>
  <c r="U582" i="14"/>
  <c r="R582" i="14"/>
  <c r="R507" i="14"/>
  <c r="G550" i="14"/>
  <c r="J550" i="14"/>
  <c r="BB550" i="14"/>
  <c r="BM550" i="14"/>
  <c r="U550" i="14"/>
  <c r="E550" i="14"/>
  <c r="T550" i="14"/>
  <c r="AZ550" i="14"/>
  <c r="BA550" i="14"/>
  <c r="W550" i="14"/>
  <c r="R550" i="14"/>
  <c r="I550" i="14"/>
  <c r="BL550" i="14"/>
  <c r="Q550" i="14"/>
  <c r="AY550" i="14"/>
  <c r="BM461" i="14"/>
  <c r="R461" i="14"/>
  <c r="BL461" i="14"/>
  <c r="BA461" i="14"/>
  <c r="E461" i="14"/>
  <c r="W461" i="14"/>
  <c r="AZ461" i="14"/>
  <c r="I461" i="14"/>
  <c r="T461" i="14"/>
  <c r="Q461" i="14"/>
  <c r="AY461" i="14"/>
  <c r="G461" i="14"/>
  <c r="J461" i="14"/>
  <c r="BB461" i="14"/>
  <c r="U461" i="14"/>
  <c r="I476" i="14"/>
  <c r="E476" i="14"/>
  <c r="Q476" i="14"/>
  <c r="AY476" i="14"/>
  <c r="G476" i="14"/>
  <c r="BM476" i="14"/>
  <c r="BL476" i="14"/>
  <c r="AZ476" i="14"/>
  <c r="BB476" i="14"/>
  <c r="U476" i="14"/>
  <c r="T476" i="14"/>
  <c r="BA476" i="14"/>
  <c r="J476" i="14"/>
  <c r="W476" i="14"/>
  <c r="R476" i="14"/>
  <c r="BL513" i="14"/>
  <c r="BM513" i="14"/>
  <c r="R513" i="14"/>
  <c r="E513" i="14"/>
  <c r="BB513" i="14"/>
  <c r="T513" i="14"/>
  <c r="W513" i="14"/>
  <c r="AZ513" i="14"/>
  <c r="BA513" i="14"/>
  <c r="U513" i="14"/>
  <c r="Q513" i="14"/>
  <c r="J513" i="14"/>
  <c r="I513" i="14"/>
  <c r="G513" i="14"/>
  <c r="AY513" i="14"/>
  <c r="BM486" i="14"/>
  <c r="BL486" i="14"/>
  <c r="E486" i="14"/>
  <c r="U486" i="14"/>
  <c r="AZ486" i="14"/>
  <c r="J486" i="14"/>
  <c r="BA486" i="14"/>
  <c r="T486" i="14"/>
  <c r="W486" i="14"/>
  <c r="BB486" i="14"/>
  <c r="Q486" i="14"/>
  <c r="R486" i="14"/>
  <c r="I486" i="14"/>
  <c r="AY486" i="14"/>
  <c r="G486" i="14"/>
  <c r="W597" i="14"/>
  <c r="J597" i="14"/>
  <c r="BA597" i="14"/>
  <c r="U597" i="14"/>
  <c r="I597" i="14"/>
  <c r="E597" i="14"/>
  <c r="Q597" i="14"/>
  <c r="AY597" i="14"/>
  <c r="G597" i="14"/>
  <c r="AZ597" i="14"/>
  <c r="R597" i="14"/>
  <c r="BL597" i="14"/>
  <c r="BB597" i="14"/>
  <c r="T597" i="14"/>
  <c r="BM597" i="14"/>
  <c r="Q432" i="14"/>
  <c r="AY432" i="14"/>
  <c r="G432" i="14"/>
  <c r="T432" i="14"/>
  <c r="BB432" i="14"/>
  <c r="BL432" i="14"/>
  <c r="R432" i="14"/>
  <c r="J432" i="14"/>
  <c r="E432" i="14"/>
  <c r="W432" i="14"/>
  <c r="BM432" i="14"/>
  <c r="BA432" i="14"/>
  <c r="AZ432" i="14"/>
  <c r="I432" i="14"/>
  <c r="U432" i="14"/>
  <c r="I416" i="14"/>
  <c r="AZ416" i="14"/>
  <c r="R416" i="14"/>
  <c r="T416" i="14"/>
  <c r="AY416" i="14"/>
  <c r="BB416" i="14"/>
  <c r="G416" i="14"/>
  <c r="E416" i="14"/>
  <c r="J416" i="14"/>
  <c r="BL416" i="14"/>
  <c r="BA416" i="14"/>
  <c r="BM416" i="14"/>
  <c r="W416" i="14"/>
  <c r="U416" i="14"/>
  <c r="Q416" i="14"/>
  <c r="J558" i="14"/>
  <c r="BB558" i="14"/>
  <c r="AZ558" i="14"/>
  <c r="E558" i="14"/>
  <c r="R558" i="14"/>
  <c r="BL558" i="14"/>
  <c r="W558" i="14"/>
  <c r="BM558" i="14"/>
  <c r="BA558" i="14"/>
  <c r="U558" i="14"/>
  <c r="I558" i="14"/>
  <c r="T558" i="14"/>
  <c r="Q558" i="14"/>
  <c r="G558" i="14"/>
  <c r="AY558" i="14"/>
  <c r="W605" i="14"/>
  <c r="E605" i="14"/>
  <c r="BA605" i="14"/>
  <c r="R605" i="14"/>
  <c r="Q605" i="14"/>
  <c r="BL605" i="14"/>
  <c r="I605" i="14"/>
  <c r="G605" i="14"/>
  <c r="T605" i="14"/>
  <c r="AY605" i="14"/>
  <c r="BM605" i="14"/>
  <c r="U605" i="14"/>
  <c r="AZ605" i="14"/>
  <c r="J605" i="14"/>
  <c r="BB605" i="14"/>
  <c r="AY584" i="14"/>
  <c r="U584" i="14"/>
  <c r="AZ584" i="14"/>
  <c r="E584" i="14"/>
  <c r="BL584" i="14"/>
  <c r="R584" i="14"/>
  <c r="T584" i="14"/>
  <c r="BA584" i="14"/>
  <c r="BM584" i="14"/>
  <c r="W584" i="14"/>
  <c r="BB584" i="14"/>
  <c r="Q584" i="14"/>
  <c r="J584" i="14"/>
  <c r="I584" i="14"/>
  <c r="G584" i="14"/>
  <c r="T466" i="14"/>
  <c r="AZ466" i="14"/>
  <c r="U466" i="14"/>
  <c r="BA466" i="14"/>
  <c r="J466" i="14"/>
  <c r="W466" i="14"/>
  <c r="R466" i="14"/>
  <c r="I466" i="14"/>
  <c r="BL466" i="14"/>
  <c r="Q466" i="14"/>
  <c r="AY466" i="14"/>
  <c r="G466" i="14"/>
  <c r="BM466" i="14"/>
  <c r="BB466" i="14"/>
  <c r="E466" i="14"/>
  <c r="U512" i="14"/>
  <c r="BA512" i="14"/>
  <c r="Q512" i="14"/>
  <c r="BB512" i="14"/>
  <c r="BL512" i="14"/>
  <c r="BM512" i="14"/>
  <c r="J512" i="14"/>
  <c r="W512" i="14"/>
  <c r="R512" i="14"/>
  <c r="T512" i="14"/>
  <c r="E512" i="14"/>
  <c r="AZ512" i="14"/>
  <c r="AY512" i="14"/>
  <c r="G512" i="14"/>
  <c r="I512" i="14"/>
  <c r="U506" i="14"/>
  <c r="T506" i="14"/>
  <c r="AZ506" i="14"/>
  <c r="W506" i="14"/>
  <c r="R506" i="14"/>
  <c r="BA506" i="14"/>
  <c r="J506" i="14"/>
  <c r="Q506" i="14"/>
  <c r="E506" i="14"/>
  <c r="I506" i="14"/>
  <c r="AY506" i="14"/>
  <c r="G506" i="14"/>
  <c r="BB506" i="14"/>
  <c r="BL506" i="14"/>
  <c r="BM506" i="14"/>
  <c r="BM422" i="14"/>
  <c r="AZ422" i="14"/>
  <c r="R422" i="14"/>
  <c r="J422" i="14"/>
  <c r="T422" i="14"/>
  <c r="E422" i="14"/>
  <c r="BA422" i="14"/>
  <c r="BB422" i="14"/>
  <c r="W422" i="14"/>
  <c r="U422" i="14"/>
  <c r="Q422" i="14"/>
  <c r="BL422" i="14"/>
  <c r="I422" i="14"/>
  <c r="G422" i="14"/>
  <c r="AY422" i="14"/>
  <c r="W479" i="14"/>
  <c r="R479" i="14"/>
  <c r="BA479" i="14"/>
  <c r="J479" i="14"/>
  <c r="I479" i="14"/>
  <c r="E479" i="14"/>
  <c r="Q479" i="14"/>
  <c r="AY479" i="14"/>
  <c r="G479" i="14"/>
  <c r="U479" i="14"/>
  <c r="BM479" i="14"/>
  <c r="AZ479" i="14"/>
  <c r="T479" i="14"/>
  <c r="BB479" i="14"/>
  <c r="BL479" i="14"/>
  <c r="T440" i="14"/>
  <c r="BB440" i="14"/>
  <c r="U440" i="14"/>
  <c r="BM440" i="14"/>
  <c r="AZ440" i="14"/>
  <c r="BL440" i="14"/>
  <c r="Q440" i="14"/>
  <c r="R440" i="14"/>
  <c r="BA440" i="14"/>
  <c r="E440" i="14"/>
  <c r="W440" i="14"/>
  <c r="J440" i="14"/>
  <c r="I440" i="14"/>
  <c r="G440" i="14"/>
  <c r="AY440" i="14"/>
  <c r="BM433" i="14"/>
  <c r="W433" i="14"/>
  <c r="BA433" i="14"/>
  <c r="AZ433" i="14"/>
  <c r="AY433" i="14"/>
  <c r="Q433" i="14"/>
  <c r="R433" i="14"/>
  <c r="I433" i="14"/>
  <c r="T433" i="14"/>
  <c r="G433" i="14"/>
  <c r="BL433" i="14"/>
  <c r="BB433" i="14"/>
  <c r="E433" i="14"/>
  <c r="J433" i="14"/>
  <c r="U433" i="14"/>
  <c r="E434" i="14"/>
  <c r="T434" i="14"/>
  <c r="BB434" i="14"/>
  <c r="BL434" i="14"/>
  <c r="BM434" i="14"/>
  <c r="AZ434" i="14"/>
  <c r="W434" i="14"/>
  <c r="U434" i="14"/>
  <c r="BA434" i="14"/>
  <c r="J434" i="14"/>
  <c r="I434" i="14"/>
  <c r="R434" i="14"/>
  <c r="Q434" i="14"/>
  <c r="G434" i="14"/>
  <c r="AY434" i="14"/>
  <c r="W559" i="14"/>
  <c r="E559" i="14"/>
  <c r="BA559" i="14"/>
  <c r="J559" i="14"/>
  <c r="I559" i="14"/>
  <c r="T559" i="14"/>
  <c r="Q559" i="14"/>
  <c r="AY559" i="14"/>
  <c r="G559" i="14"/>
  <c r="AZ559" i="14"/>
  <c r="BM559" i="14"/>
  <c r="R559" i="14"/>
  <c r="BB559" i="14"/>
  <c r="U559" i="14"/>
  <c r="BL559" i="14"/>
  <c r="BL449" i="14"/>
  <c r="BM449" i="14"/>
  <c r="R449" i="14"/>
  <c r="Q449" i="14"/>
  <c r="BB449" i="14"/>
  <c r="BA449" i="14"/>
  <c r="U449" i="14"/>
  <c r="W449" i="14"/>
  <c r="AZ449" i="14"/>
  <c r="I449" i="14"/>
  <c r="AY449" i="14"/>
  <c r="T449" i="14"/>
  <c r="G449" i="14"/>
  <c r="E449" i="14"/>
  <c r="J449" i="14"/>
  <c r="BA514" i="14"/>
  <c r="U514" i="14"/>
  <c r="W514" i="14"/>
  <c r="E514" i="14"/>
  <c r="Q514" i="14"/>
  <c r="BL514" i="14"/>
  <c r="I514" i="14"/>
  <c r="AY514" i="14"/>
  <c r="G514" i="14"/>
  <c r="R514" i="14"/>
  <c r="BM514" i="14"/>
  <c r="AZ514" i="14"/>
  <c r="J514" i="14"/>
  <c r="T514" i="14"/>
  <c r="BB514" i="14"/>
  <c r="W465" i="14"/>
  <c r="BM465" i="14"/>
  <c r="BA465" i="14"/>
  <c r="BL465" i="14"/>
  <c r="I465" i="14"/>
  <c r="U465" i="14"/>
  <c r="Q465" i="14"/>
  <c r="AY465" i="14"/>
  <c r="G465" i="14"/>
  <c r="J465" i="14"/>
  <c r="T465" i="14"/>
  <c r="BB465" i="14"/>
  <c r="AZ465" i="14"/>
  <c r="E465" i="14"/>
  <c r="R465" i="14"/>
  <c r="BF516" i="14"/>
  <c r="BF574" i="14"/>
  <c r="AG516" i="14"/>
  <c r="BJ516" i="14"/>
  <c r="BE516" i="14"/>
  <c r="AH516" i="14"/>
  <c r="BI516" i="14"/>
  <c r="H541" i="14" a="1"/>
  <c r="P546" i="14" a="1"/>
  <c r="P481" i="14" a="1"/>
  <c r="P491" i="14" a="1"/>
  <c r="H456" i="14" a="1"/>
  <c r="P446" i="14" a="1"/>
  <c r="H523" i="14" a="1"/>
  <c r="P433" i="14" a="1"/>
  <c r="H581" i="14" a="1"/>
  <c r="P518" i="14" a="1"/>
  <c r="P512" i="14" a="1"/>
  <c r="P494" i="14" a="1"/>
  <c r="H432" i="14" a="1"/>
  <c r="H479" i="14" a="1"/>
  <c r="H430" i="14" a="1"/>
  <c r="P423" i="14" a="1"/>
  <c r="H453" i="14" a="1"/>
  <c r="P454" i="14" a="1"/>
  <c r="P587" i="14" a="1"/>
  <c r="H565" i="14" a="1"/>
  <c r="P564" i="14" a="1"/>
  <c r="P472" i="14" a="1"/>
  <c r="H520" i="14" a="1"/>
  <c r="P556" i="14" a="1"/>
  <c r="H613" i="14" a="1"/>
  <c r="H448" i="14" a="1"/>
  <c r="H475" i="14" a="1"/>
  <c r="H554" i="14" a="1"/>
  <c r="P578" i="14" a="1"/>
  <c r="H470" i="14" a="1"/>
  <c r="H594" i="14" a="1"/>
  <c r="H457" i="14" a="1"/>
  <c r="P504" i="14" a="1"/>
  <c r="P455" i="14" a="1"/>
  <c r="H435" i="14" a="1"/>
  <c r="H589" i="14" a="1"/>
  <c r="H590" i="14" a="1"/>
  <c r="H467" i="14" a="1"/>
  <c r="H431" i="14" a="1"/>
  <c r="P596" i="14" a="1"/>
  <c r="P437" i="14" a="1"/>
  <c r="P418" i="14" a="1"/>
  <c r="H585" i="14" a="1"/>
  <c r="H477" i="14" a="1"/>
  <c r="P554" i="14" a="1"/>
  <c r="P445" i="14" a="1"/>
  <c r="H616" i="14" a="1"/>
  <c r="H478" i="14" a="1"/>
  <c r="P434" i="14" a="1"/>
  <c r="P501" i="14" a="1"/>
  <c r="P452" i="14" a="1"/>
  <c r="H492" i="14" a="1"/>
  <c r="H569" i="14" a="1"/>
  <c r="H551" i="14" a="1"/>
  <c r="H599" i="14" a="1"/>
  <c r="H584" i="14" a="1"/>
  <c r="P486" i="14" a="1"/>
  <c r="P611" i="14" a="1"/>
  <c r="H525" i="14" a="1"/>
  <c r="H531" i="14" a="1"/>
  <c r="H490" i="14" a="1"/>
  <c r="P581" i="14" a="1"/>
  <c r="P548" i="14" a="1"/>
  <c r="P591" i="14" a="1"/>
  <c r="P484" i="14" a="1"/>
  <c r="H472" i="14" a="1"/>
  <c r="H542" i="14" a="1"/>
  <c r="P498" i="14" a="1"/>
  <c r="H511" i="14" a="1"/>
  <c r="H593" i="14" a="1"/>
  <c r="P511" i="14" a="1"/>
  <c r="H604" i="14" a="1"/>
  <c r="H449" i="14" a="1"/>
  <c r="H460" i="14" a="1"/>
  <c r="H595" i="14" a="1"/>
  <c r="P579" i="14" a="1"/>
  <c r="H510" i="14" a="1"/>
  <c r="H437" i="14" a="1"/>
  <c r="H418" i="14" a="1"/>
  <c r="H612" i="14" a="1"/>
  <c r="H468" i="14" a="1"/>
  <c r="H605" i="14" a="1"/>
  <c r="P429" i="14" a="1"/>
  <c r="H559" i="14" a="1"/>
  <c r="P492" i="14" a="1"/>
  <c r="P467" i="14" a="1"/>
  <c r="P613" i="14" a="1"/>
  <c r="P560" i="14" a="1"/>
  <c r="H451" i="14" a="1"/>
  <c r="H429" i="14" a="1"/>
  <c r="H597" i="14" a="1"/>
  <c r="P449" i="14" a="1"/>
  <c r="P421" i="14" a="1"/>
  <c r="H427" i="14" a="1"/>
  <c r="P571" i="14" a="1"/>
  <c r="P483" i="14" a="1"/>
  <c r="P608" i="14" a="1"/>
  <c r="P493" i="14" a="1"/>
  <c r="P478" i="14" a="1"/>
  <c r="H497" i="14" a="1"/>
  <c r="P541" i="14" a="1"/>
  <c r="P480" i="14" a="1"/>
  <c r="P476" i="14" a="1"/>
  <c r="P444" i="14" a="1"/>
  <c r="H443" i="14" a="1"/>
  <c r="P416" i="14" a="1"/>
  <c r="H615" i="14" a="1"/>
  <c r="H602" i="14" a="1"/>
  <c r="P542" i="14" a="1"/>
  <c r="H606" i="14" a="1"/>
  <c r="H505" i="14" a="1"/>
  <c r="H528" i="14" a="1"/>
  <c r="H526" i="14" a="1"/>
  <c r="P465" i="14" a="1"/>
  <c r="P593" i="14" a="1"/>
  <c r="H549" i="14" a="1"/>
  <c r="P520" i="14" a="1"/>
  <c r="H547" i="14" a="1"/>
  <c r="P582" i="14" a="1"/>
  <c r="H573" i="14" a="1"/>
  <c r="P469" i="14" a="1"/>
  <c r="H592" i="14" a="1"/>
  <c r="P506" i="14" a="1"/>
  <c r="H444" i="14" a="1"/>
  <c r="H576" i="14" a="1"/>
  <c r="P576" i="14" a="1"/>
  <c r="P598" i="14" a="1"/>
  <c r="P586" i="14" a="1"/>
  <c r="H439" i="14" a="1"/>
  <c r="H600" i="14" a="1"/>
  <c r="H471" i="14" a="1"/>
  <c r="P543" i="14" a="1"/>
  <c r="P451" i="14" a="1"/>
  <c r="H493" i="14" a="1"/>
  <c r="H588" i="14" a="1"/>
  <c r="P489" i="14" a="1"/>
  <c r="H446" i="14" a="1"/>
  <c r="H515" i="14" a="1"/>
  <c r="H507" i="14" a="1"/>
  <c r="H459" i="14" a="1"/>
  <c r="P461" i="14" a="1"/>
  <c r="P515" i="14" a="1"/>
  <c r="P507" i="14" a="1"/>
  <c r="P479" i="14" a="1"/>
  <c r="P616" i="14" a="1"/>
  <c r="H596" i="14" a="1"/>
  <c r="P567" i="14" a="1"/>
  <c r="H546" i="14" a="1"/>
  <c r="H498" i="14" a="1"/>
  <c r="H566" i="14" a="1"/>
  <c r="P439" i="14" a="1"/>
  <c r="P565" i="14" a="1"/>
  <c r="P508" i="14" a="1"/>
  <c r="H543" i="14" a="1"/>
  <c r="P604" i="14" a="1"/>
  <c r="H519" i="14" a="1"/>
  <c r="P583" i="14" a="1"/>
  <c r="H603" i="14" a="1"/>
  <c r="H441" i="14" a="1"/>
  <c r="H575" i="14" a="1"/>
  <c r="H586" i="14" a="1"/>
  <c r="P600" i="14" a="1"/>
  <c r="P612" i="14" a="1"/>
  <c r="P534" i="14" a="1"/>
  <c r="P551" i="14" a="1"/>
  <c r="P563" i="14" a="1"/>
  <c r="P595" i="14" a="1"/>
  <c r="H428" i="14" a="1"/>
  <c r="H416" i="14" a="1"/>
  <c r="P499" i="14" a="1"/>
  <c r="P473" i="14" a="1"/>
  <c r="P462" i="14" a="1"/>
  <c r="P547" i="14" a="1"/>
  <c r="P610" i="14" a="1"/>
  <c r="P544" i="14" a="1"/>
  <c r="H421" i="14" a="1"/>
  <c r="H538" i="14" a="1"/>
  <c r="P585" i="14" a="1"/>
  <c r="H462" i="14" a="1"/>
  <c r="H503" i="14" a="1"/>
  <c r="P490" i="14" a="1"/>
  <c r="P592" i="14" a="1"/>
  <c r="P468" i="14" a="1"/>
  <c r="H489" i="14" a="1"/>
  <c r="H533" i="14" a="1"/>
  <c r="P607" i="14" a="1"/>
  <c r="P533" i="14" a="1"/>
  <c r="H436" i="14" a="1"/>
  <c r="P528" i="14" a="1"/>
  <c r="H506" i="14" a="1"/>
  <c r="P431" i="14" a="1"/>
  <c r="P523" i="14" a="1"/>
  <c r="H484" i="14" a="1"/>
  <c r="P525" i="14" a="1"/>
  <c r="H548" i="14" a="1"/>
  <c r="H527" i="14" a="1"/>
  <c r="P460" i="14" a="1"/>
  <c r="P538" i="14" a="1"/>
  <c r="P456" i="14" a="1"/>
  <c r="P569" i="14" a="1"/>
  <c r="H514" i="14" a="1"/>
  <c r="P497" i="14" a="1"/>
  <c r="H476" i="14" a="1"/>
  <c r="P588" i="14" a="1"/>
  <c r="H557" i="14" a="1"/>
  <c r="P609" i="14" a="1"/>
  <c r="P531" i="14" a="1"/>
  <c r="P495" i="14" a="1"/>
  <c r="P601" i="14" a="1"/>
  <c r="P477" i="14" a="1"/>
  <c r="P458" i="14" a="1"/>
  <c r="P514" i="14" a="1"/>
  <c r="H545" i="14" a="1"/>
  <c r="P430" i="14" a="1"/>
  <c r="P419" i="14" a="1"/>
  <c r="P475" i="14" a="1"/>
  <c r="H601" i="14" a="1"/>
  <c r="P422" i="14" a="1"/>
  <c r="H534" i="14" a="1"/>
  <c r="H488" i="14" a="1"/>
  <c r="P424" i="14" a="1"/>
  <c r="P535" i="14" a="1"/>
  <c r="P417" i="14" a="1"/>
  <c r="P427" i="14" a="1"/>
  <c r="H582" i="14" a="1"/>
  <c r="P487" i="14" a="1"/>
  <c r="P519" i="14" a="1"/>
  <c r="H512" i="14" a="1"/>
  <c r="H445" i="14" a="1"/>
  <c r="P559" i="14" a="1"/>
  <c r="H572" i="14" a="1"/>
  <c r="P457" i="14" a="1"/>
  <c r="P602" i="14" a="1"/>
  <c r="H558" i="14" a="1"/>
  <c r="H504" i="14" a="1"/>
  <c r="P589" i="14" a="1"/>
  <c r="H614" i="14" a="1"/>
  <c r="H570" i="14" a="1"/>
  <c r="H417" i="14" a="1"/>
  <c r="H458" i="14" a="1"/>
  <c r="H608" i="14" a="1"/>
  <c r="H580" i="14" a="1"/>
  <c r="H560" i="14" a="1"/>
  <c r="P505" i="14" a="1"/>
  <c r="H469" i="14" a="1"/>
  <c r="P471" i="14" a="1"/>
  <c r="P536" i="14" a="1"/>
  <c r="P496" i="14" a="1"/>
  <c r="P435" i="14" a="1"/>
  <c r="H461" i="14" a="1"/>
  <c r="H438" i="14" a="1"/>
  <c r="P428" i="14" a="1"/>
  <c r="H540" i="14" a="1"/>
  <c r="H487" i="14" a="1"/>
  <c r="P521" i="14" a="1"/>
  <c r="H450" i="14" a="1"/>
  <c r="H440" i="14" a="1"/>
  <c r="H555" i="14" a="1"/>
  <c r="P615" i="14" a="1"/>
  <c r="P450" i="14" a="1"/>
  <c r="H598" i="14" a="1"/>
  <c r="P436" i="14" a="1"/>
  <c r="P606" i="14" a="1"/>
  <c r="H544" i="14" a="1"/>
  <c r="P426" i="14" a="1"/>
  <c r="H591" i="14" a="1"/>
  <c r="H577" i="14" a="1"/>
  <c r="H454" i="14" a="1"/>
  <c r="H420" i="14" a="1"/>
  <c r="H496" i="14" a="1"/>
  <c r="H494" i="14" a="1"/>
  <c r="H529" i="14" a="1"/>
  <c r="H561" i="14" a="1"/>
  <c r="H452" i="14" a="1"/>
  <c r="H481" i="14" a="1"/>
  <c r="H521" i="14" a="1"/>
  <c r="H474" i="14" a="1"/>
  <c r="P474" i="14" a="1"/>
  <c r="P580" i="14" a="1"/>
  <c r="H426" i="14" a="1"/>
  <c r="P573" i="14" a="1"/>
  <c r="P599" i="14" a="1"/>
  <c r="P443" i="14" a="1"/>
  <c r="H424" i="14" a="1"/>
  <c r="H455" i="14" a="1"/>
  <c r="H509" i="14" a="1"/>
  <c r="P529" i="14" a="1"/>
  <c r="H508" i="14" a="1"/>
  <c r="P527" i="14" a="1"/>
  <c r="P440" i="14" a="1"/>
  <c r="H611" i="14" a="1"/>
  <c r="P509" i="14" a="1"/>
  <c r="P522" i="14" a="1"/>
  <c r="H447" i="14" a="1"/>
  <c r="H483" i="14" a="1"/>
  <c r="P453" i="14" a="1"/>
  <c r="H567" i="14" a="1"/>
  <c r="H564" i="14" a="1"/>
  <c r="H502" i="14" a="1"/>
  <c r="H499" i="14" a="1"/>
  <c r="P502" i="14" a="1"/>
  <c r="H522" i="14" a="1"/>
  <c r="P517" i="14" a="1"/>
  <c r="P510" i="14" a="1"/>
  <c r="P552" i="14" a="1"/>
  <c r="H609" i="14" a="1"/>
  <c r="H425" i="14" a="1"/>
  <c r="P464" i="14" a="1"/>
  <c r="H607" i="14" a="1"/>
  <c r="P557" i="14" a="1"/>
  <c r="H486" i="14" a="1"/>
  <c r="P503" i="14" a="1"/>
  <c r="H536" i="14" a="1"/>
  <c r="P570" i="14" a="1"/>
  <c r="P562" i="14" a="1"/>
  <c r="P614" i="14" a="1"/>
  <c r="H563" i="14" a="1"/>
  <c r="H530" i="14" a="1"/>
  <c r="P545" i="14" a="1"/>
  <c r="H579" i="14" a="1"/>
  <c r="P463" i="14" a="1"/>
  <c r="P553" i="14" a="1"/>
  <c r="P549" i="14" a="1"/>
  <c r="P605" i="14" a="1"/>
  <c r="P485" i="14" a="1"/>
  <c r="P584" i="14" a="1"/>
  <c r="H517" i="14" a="1"/>
  <c r="P575" i="14" a="1"/>
  <c r="P441" i="14" a="1"/>
  <c r="H473" i="14" a="1"/>
  <c r="H434" i="14" a="1"/>
  <c r="H500" i="14" a="1"/>
  <c r="P577" i="14" a="1"/>
  <c r="H553" i="14" a="1"/>
  <c r="P540" i="14" a="1"/>
  <c r="H495" i="14" a="1"/>
  <c r="P488" i="14" a="1"/>
  <c r="H587" i="14" a="1"/>
  <c r="H562" i="14" a="1"/>
  <c r="H568" i="14" a="1"/>
  <c r="P603" i="14" a="1"/>
  <c r="P420" i="14" a="1"/>
  <c r="P466" i="14" a="1"/>
  <c r="H535" i="14" a="1"/>
  <c r="H524" i="14" a="1"/>
  <c r="P448" i="14" a="1"/>
  <c r="P590" i="14" a="1"/>
  <c r="H464" i="14" a="1"/>
  <c r="P500" i="14" a="1"/>
  <c r="P597" i="14" a="1"/>
  <c r="P566" i="14" a="1"/>
  <c r="P550" i="14" a="1"/>
  <c r="P530" i="14" a="1"/>
  <c r="H513" i="14" a="1"/>
  <c r="P432" i="14" a="1"/>
  <c r="H419" i="14" a="1"/>
  <c r="H556" i="14" a="1"/>
  <c r="P526" i="14" a="1"/>
  <c r="H501" i="14" a="1"/>
  <c r="H552" i="14" a="1"/>
  <c r="H518" i="14" a="1"/>
  <c r="H550" i="14" a="1"/>
  <c r="P561" i="14" a="1"/>
  <c r="H485" i="14" a="1"/>
  <c r="P539" i="14" a="1"/>
  <c r="P513" i="14" a="1"/>
  <c r="H422" i="14" a="1"/>
  <c r="P438" i="14" a="1"/>
  <c r="P572" i="14" a="1"/>
  <c r="H466" i="14" a="1"/>
  <c r="P482" i="14" a="1"/>
  <c r="H463" i="14" a="1"/>
  <c r="H491" i="14" a="1"/>
  <c r="H539" i="14" a="1"/>
  <c r="H571" i="14" a="1"/>
  <c r="H480" i="14" a="1"/>
  <c r="P447" i="14" a="1"/>
  <c r="H610" i="14" a="1"/>
  <c r="P524" i="14" a="1"/>
  <c r="P568" i="14" a="1"/>
  <c r="H532" i="14" a="1"/>
  <c r="P470" i="14" a="1"/>
  <c r="P425" i="14" a="1"/>
  <c r="H433" i="14" a="1"/>
  <c r="P555" i="14" a="1"/>
  <c r="H583" i="14" a="1"/>
  <c r="H482" i="14" a="1"/>
  <c r="H465" i="14" a="1"/>
  <c r="H423" i="14" a="1"/>
  <c r="H578" i="14" a="1"/>
  <c r="P532" i="14" a="1"/>
  <c r="P558" i="14" a="1"/>
  <c r="P459" i="14" a="1"/>
  <c r="P594" i="14" a="1"/>
  <c r="BH557" i="14" l="1"/>
  <c r="BF557" i="14" s="1"/>
  <c r="AF557" i="14"/>
  <c r="BD557" i="14"/>
  <c r="BC557" i="14"/>
  <c r="P557" i="14"/>
  <c r="AG557" i="14" s="1"/>
  <c r="AI557" i="14" s="1"/>
  <c r="AA557" i="14" s="1"/>
  <c r="AD557" i="14" s="1"/>
  <c r="H557" i="14"/>
  <c r="AH557" i="14" s="1"/>
  <c r="AM557" i="14" s="1"/>
  <c r="H534" i="14"/>
  <c r="AH534" i="14" s="1"/>
  <c r="AJ534" i="14" s="1"/>
  <c r="Z534" i="14" s="1"/>
  <c r="BH509" i="14"/>
  <c r="BF509" i="14" s="1"/>
  <c r="AF509" i="14"/>
  <c r="BD509" i="14"/>
  <c r="BC509" i="14"/>
  <c r="AF534" i="14"/>
  <c r="H509" i="14"/>
  <c r="BI509" i="14" s="1"/>
  <c r="P509" i="14"/>
  <c r="BJ509" i="14" s="1"/>
  <c r="BH534" i="14"/>
  <c r="BF534" i="14" s="1"/>
  <c r="BC534" i="14"/>
  <c r="BH455" i="14"/>
  <c r="BF455" i="14" s="1"/>
  <c r="BG520" i="14"/>
  <c r="BF520" i="14" s="1"/>
  <c r="BD455" i="14"/>
  <c r="P534" i="14"/>
  <c r="BJ534" i="14" s="1"/>
  <c r="BC455" i="14"/>
  <c r="AF455" i="14"/>
  <c r="P455" i="14"/>
  <c r="AG455" i="14" s="1"/>
  <c r="AN455" i="14" s="1"/>
  <c r="H455" i="14"/>
  <c r="AH455" i="14" s="1"/>
  <c r="AM455" i="14" s="1"/>
  <c r="BD520" i="14"/>
  <c r="BC520" i="14"/>
  <c r="H520" i="14"/>
  <c r="BI520" i="14" s="1"/>
  <c r="P520" i="14"/>
  <c r="AG520" i="14" s="1"/>
  <c r="AN520" i="14" s="1"/>
  <c r="BD534" i="14"/>
  <c r="BC490" i="14"/>
  <c r="BH490" i="14"/>
  <c r="BF490" i="14" s="1"/>
  <c r="BD490" i="14"/>
  <c r="BH488" i="14"/>
  <c r="AF488" i="14"/>
  <c r="BH542" i="14"/>
  <c r="BF542" i="14" s="1"/>
  <c r="P490" i="14"/>
  <c r="BJ490" i="14" s="1"/>
  <c r="H490" i="14"/>
  <c r="BI490" i="14" s="1"/>
  <c r="AF490" i="14"/>
  <c r="BC488" i="14"/>
  <c r="BG488" i="14"/>
  <c r="BD488" i="14"/>
  <c r="P488" i="14"/>
  <c r="AG488" i="14" s="1"/>
  <c r="AN488" i="14" s="1"/>
  <c r="H488" i="14"/>
  <c r="BI488" i="14" s="1"/>
  <c r="BF493" i="14"/>
  <c r="AF493" i="14"/>
  <c r="AF542" i="14"/>
  <c r="AF500" i="14"/>
  <c r="BC542" i="14"/>
  <c r="AF531" i="14"/>
  <c r="BC500" i="14"/>
  <c r="BF500" i="14"/>
  <c r="BD542" i="14"/>
  <c r="P542" i="14"/>
  <c r="BJ542" i="14" s="1"/>
  <c r="H542" i="14"/>
  <c r="BI542" i="14" s="1"/>
  <c r="BC531" i="14"/>
  <c r="BD500" i="14"/>
  <c r="BH531" i="14"/>
  <c r="BF531" i="14" s="1"/>
  <c r="H500" i="14"/>
  <c r="BI500" i="14" s="1"/>
  <c r="BC493" i="14"/>
  <c r="BH593" i="14"/>
  <c r="BF593" i="14" s="1"/>
  <c r="BD531" i="14"/>
  <c r="P500" i="14"/>
  <c r="AG500" i="14" s="1"/>
  <c r="AN500" i="14" s="1"/>
  <c r="H531" i="14"/>
  <c r="BI531" i="14" s="1"/>
  <c r="P531" i="14"/>
  <c r="BJ531" i="14" s="1"/>
  <c r="AF593" i="14"/>
  <c r="BD493" i="14"/>
  <c r="BG431" i="14"/>
  <c r="BF431" i="14" s="1"/>
  <c r="P493" i="14"/>
  <c r="BJ493" i="14" s="1"/>
  <c r="H493" i="14"/>
  <c r="BI493" i="14" s="1"/>
  <c r="BD593" i="14"/>
  <c r="BC593" i="14"/>
  <c r="AF430" i="14"/>
  <c r="H593" i="14"/>
  <c r="AH593" i="14" s="1"/>
  <c r="AK593" i="14" s="1"/>
  <c r="P593" i="14"/>
  <c r="AG593" i="14" s="1"/>
  <c r="AL593" i="14" s="1"/>
  <c r="BD431" i="14"/>
  <c r="BH430" i="14"/>
  <c r="BF430" i="14" s="1"/>
  <c r="BG606" i="14"/>
  <c r="BF606" i="14" s="1"/>
  <c r="BC430" i="14"/>
  <c r="BC431" i="14"/>
  <c r="BD430" i="14"/>
  <c r="AF581" i="14"/>
  <c r="H430" i="14"/>
  <c r="BI430" i="14" s="1"/>
  <c r="P430" i="14"/>
  <c r="AG430" i="14" s="1"/>
  <c r="AN430" i="14" s="1"/>
  <c r="BF577" i="14"/>
  <c r="BC577" i="14"/>
  <c r="H431" i="14"/>
  <c r="AH431" i="14" s="1"/>
  <c r="AK431" i="14" s="1"/>
  <c r="P431" i="14"/>
  <c r="AG431" i="14" s="1"/>
  <c r="AI431" i="14" s="1"/>
  <c r="AA431" i="14" s="1"/>
  <c r="AD431" i="14" s="1"/>
  <c r="AF577" i="14"/>
  <c r="BD577" i="14"/>
  <c r="P577" i="14"/>
  <c r="BJ577" i="14" s="1"/>
  <c r="H577" i="14"/>
  <c r="BI577" i="14" s="1"/>
  <c r="BH581" i="14"/>
  <c r="BF581" i="14" s="1"/>
  <c r="BC581" i="14"/>
  <c r="P581" i="14"/>
  <c r="AG581" i="14" s="1"/>
  <c r="AL581" i="14" s="1"/>
  <c r="BD581" i="14"/>
  <c r="H581" i="14"/>
  <c r="AH581" i="14" s="1"/>
  <c r="AM581" i="14" s="1"/>
  <c r="BD439" i="14"/>
  <c r="BH439" i="14"/>
  <c r="BF439" i="14" s="1"/>
  <c r="P439" i="14"/>
  <c r="BJ439" i="14" s="1"/>
  <c r="H439" i="14"/>
  <c r="BI439" i="14" s="1"/>
  <c r="BC606" i="14"/>
  <c r="BD606" i="14"/>
  <c r="BC439" i="14"/>
  <c r="H606" i="14"/>
  <c r="AH606" i="14" s="1"/>
  <c r="AJ606" i="14" s="1"/>
  <c r="Z606" i="14" s="1"/>
  <c r="P606" i="14"/>
  <c r="BJ606" i="14" s="1"/>
  <c r="AF439" i="14"/>
  <c r="BH528" i="14"/>
  <c r="AF528" i="14"/>
  <c r="BG528" i="14"/>
  <c r="BC528" i="14"/>
  <c r="BD528" i="14"/>
  <c r="H528" i="14"/>
  <c r="BI528" i="14" s="1"/>
  <c r="P528" i="14"/>
  <c r="BJ528" i="14" s="1"/>
  <c r="BH464" i="14"/>
  <c r="BF464" i="14" s="1"/>
  <c r="AF494" i="14"/>
  <c r="BH504" i="14"/>
  <c r="BF504" i="14" s="1"/>
  <c r="BH494" i="14"/>
  <c r="BF494" i="14" s="1"/>
  <c r="BC494" i="14"/>
  <c r="BD494" i="14"/>
  <c r="P494" i="14"/>
  <c r="AG494" i="14" s="1"/>
  <c r="AN494" i="14" s="1"/>
  <c r="AF504" i="14"/>
  <c r="AF487" i="14"/>
  <c r="BD504" i="14"/>
  <c r="BC504" i="14"/>
  <c r="H504" i="14"/>
  <c r="AH504" i="14" s="1"/>
  <c r="AM504" i="14" s="1"/>
  <c r="P504" i="14"/>
  <c r="BJ504" i="14" s="1"/>
  <c r="H494" i="14"/>
  <c r="BI494" i="14" s="1"/>
  <c r="BC487" i="14"/>
  <c r="BC464" i="14"/>
  <c r="AF464" i="14"/>
  <c r="BC529" i="14"/>
  <c r="P464" i="14"/>
  <c r="AG464" i="14" s="1"/>
  <c r="AN464" i="14" s="1"/>
  <c r="BD464" i="14"/>
  <c r="BD532" i="14"/>
  <c r="BF532" i="14"/>
  <c r="BD487" i="14"/>
  <c r="H464" i="14"/>
  <c r="AH464" i="14" s="1"/>
  <c r="AK464" i="14" s="1"/>
  <c r="BH487" i="14"/>
  <c r="BF487" i="14" s="1"/>
  <c r="H487" i="14"/>
  <c r="BI487" i="14" s="1"/>
  <c r="P487" i="14"/>
  <c r="AG487" i="14" s="1"/>
  <c r="AI487" i="14" s="1"/>
  <c r="AA487" i="14" s="1"/>
  <c r="AD487" i="14" s="1"/>
  <c r="BH529" i="14"/>
  <c r="BF529" i="14" s="1"/>
  <c r="AF529" i="14"/>
  <c r="AF589" i="14"/>
  <c r="BD529" i="14"/>
  <c r="H529" i="14"/>
  <c r="BI529" i="14" s="1"/>
  <c r="P529" i="14"/>
  <c r="BJ529" i="14" s="1"/>
  <c r="BH497" i="14"/>
  <c r="BF497" i="14" s="1"/>
  <c r="AF418" i="14"/>
  <c r="AF497" i="14"/>
  <c r="BC497" i="14"/>
  <c r="BC589" i="14"/>
  <c r="AF532" i="14"/>
  <c r="BD589" i="14"/>
  <c r="BH539" i="14"/>
  <c r="BF539" i="14" s="1"/>
  <c r="BH589" i="14"/>
  <c r="BF589" i="14" s="1"/>
  <c r="BC532" i="14"/>
  <c r="BD539" i="14"/>
  <c r="BC539" i="14"/>
  <c r="P532" i="14"/>
  <c r="AG532" i="14" s="1"/>
  <c r="AL532" i="14" s="1"/>
  <c r="H532" i="14"/>
  <c r="BI532" i="14" s="1"/>
  <c r="AF539" i="14"/>
  <c r="BD497" i="14"/>
  <c r="P589" i="14"/>
  <c r="AG589" i="14" s="1"/>
  <c r="AI589" i="14" s="1"/>
  <c r="AA589" i="14" s="1"/>
  <c r="AD589" i="14" s="1"/>
  <c r="H589" i="14"/>
  <c r="BI589" i="14" s="1"/>
  <c r="AF420" i="14"/>
  <c r="BH418" i="14"/>
  <c r="BF420" i="14"/>
  <c r="H539" i="14"/>
  <c r="BI539" i="14" s="1"/>
  <c r="H497" i="14"/>
  <c r="AH497" i="14" s="1"/>
  <c r="AJ497" i="14" s="1"/>
  <c r="Z497" i="14" s="1"/>
  <c r="H418" i="14"/>
  <c r="AH418" i="14" s="1"/>
  <c r="AK418" i="14" s="1"/>
  <c r="P539" i="14"/>
  <c r="AG539" i="14" s="1"/>
  <c r="AN539" i="14" s="1"/>
  <c r="P418" i="14"/>
  <c r="AG418" i="14" s="1"/>
  <c r="AN418" i="14" s="1"/>
  <c r="BC420" i="14"/>
  <c r="P497" i="14"/>
  <c r="AG497" i="14" s="1"/>
  <c r="AL497" i="14" s="1"/>
  <c r="P598" i="14"/>
  <c r="BJ598" i="14" s="1"/>
  <c r="BH441" i="14"/>
  <c r="BF441" i="14" s="1"/>
  <c r="BD420" i="14"/>
  <c r="AF441" i="14"/>
  <c r="AF517" i="14"/>
  <c r="BD441" i="14"/>
  <c r="AF526" i="14"/>
  <c r="AF598" i="14"/>
  <c r="H420" i="14"/>
  <c r="AH420" i="14" s="1"/>
  <c r="AJ420" i="14" s="1"/>
  <c r="Z420" i="14" s="1"/>
  <c r="P420" i="14"/>
  <c r="BJ420" i="14" s="1"/>
  <c r="BC441" i="14"/>
  <c r="BG418" i="14"/>
  <c r="BC418" i="14"/>
  <c r="AF613" i="14"/>
  <c r="AF568" i="14"/>
  <c r="BH614" i="14"/>
  <c r="BF614" i="14" s="1"/>
  <c r="BF495" i="14"/>
  <c r="BH611" i="14"/>
  <c r="BF611" i="14" s="1"/>
  <c r="BD418" i="14"/>
  <c r="P441" i="14"/>
  <c r="AG441" i="14" s="1"/>
  <c r="AL441" i="14" s="1"/>
  <c r="H441" i="14"/>
  <c r="AH441" i="14" s="1"/>
  <c r="AJ441" i="14" s="1"/>
  <c r="Z441" i="14" s="1"/>
  <c r="BC611" i="14"/>
  <c r="BC459" i="14"/>
  <c r="BH443" i="14"/>
  <c r="BF443" i="14" s="1"/>
  <c r="BH424" i="14"/>
  <c r="BF424" i="14" s="1"/>
  <c r="BD568" i="14"/>
  <c r="BD611" i="14"/>
  <c r="BH437" i="14"/>
  <c r="BF437" i="14" s="1"/>
  <c r="BC544" i="14"/>
  <c r="BC443" i="14"/>
  <c r="BD591" i="14"/>
  <c r="BC568" i="14"/>
  <c r="BH613" i="14"/>
  <c r="BF613" i="14" s="1"/>
  <c r="BD613" i="14"/>
  <c r="H568" i="14"/>
  <c r="BI568" i="14" s="1"/>
  <c r="H611" i="14"/>
  <c r="AH611" i="14" s="1"/>
  <c r="AJ611" i="14" s="1"/>
  <c r="Z611" i="14" s="1"/>
  <c r="BH568" i="14"/>
  <c r="BF568" i="14" s="1"/>
  <c r="AF443" i="14"/>
  <c r="AF495" i="14"/>
  <c r="BH552" i="14"/>
  <c r="BF552" i="14" s="1"/>
  <c r="BD614" i="14"/>
  <c r="BH560" i="14"/>
  <c r="BF560" i="14" s="1"/>
  <c r="BC613" i="14"/>
  <c r="P613" i="14"/>
  <c r="BJ613" i="14" s="1"/>
  <c r="H613" i="14"/>
  <c r="AH613" i="14" s="1"/>
  <c r="AM613" i="14" s="1"/>
  <c r="P611" i="14"/>
  <c r="AG611" i="14" s="1"/>
  <c r="AN611" i="14" s="1"/>
  <c r="P568" i="14"/>
  <c r="BJ568" i="14" s="1"/>
  <c r="H437" i="14"/>
  <c r="AH437" i="14" s="1"/>
  <c r="AJ437" i="14" s="1"/>
  <c r="Z437" i="14" s="1"/>
  <c r="AF437" i="14"/>
  <c r="AF611" i="14"/>
  <c r="BD459" i="14"/>
  <c r="AF614" i="14"/>
  <c r="BD443" i="14"/>
  <c r="BD495" i="14"/>
  <c r="P437" i="14"/>
  <c r="AG437" i="14" s="1"/>
  <c r="AL437" i="14" s="1"/>
  <c r="BC495" i="14"/>
  <c r="BD437" i="14"/>
  <c r="AF535" i="14"/>
  <c r="BC419" i="14"/>
  <c r="BD607" i="14"/>
  <c r="BH544" i="14"/>
  <c r="BF544" i="14" s="1"/>
  <c r="BC437" i="14"/>
  <c r="P443" i="14"/>
  <c r="AG443" i="14" s="1"/>
  <c r="AL443" i="14" s="1"/>
  <c r="H552" i="14"/>
  <c r="BI552" i="14" s="1"/>
  <c r="P459" i="14"/>
  <c r="BJ459" i="14" s="1"/>
  <c r="H459" i="14"/>
  <c r="AH459" i="14" s="1"/>
  <c r="AJ459" i="14" s="1"/>
  <c r="Z459" i="14" s="1"/>
  <c r="H608" i="14"/>
  <c r="BI608" i="14" s="1"/>
  <c r="P495" i="14"/>
  <c r="BJ495" i="14" s="1"/>
  <c r="H495" i="14"/>
  <c r="BI495" i="14" s="1"/>
  <c r="BD598" i="14"/>
  <c r="AF459" i="14"/>
  <c r="BF459" i="14"/>
  <c r="BH502" i="14"/>
  <c r="BF502" i="14" s="1"/>
  <c r="AF419" i="14"/>
  <c r="BC614" i="14"/>
  <c r="BH535" i="14"/>
  <c r="BF535" i="14" s="1"/>
  <c r="BC608" i="14"/>
  <c r="BD608" i="14"/>
  <c r="BD535" i="14"/>
  <c r="BC615" i="14"/>
  <c r="H614" i="14"/>
  <c r="AH614" i="14" s="1"/>
  <c r="AJ614" i="14" s="1"/>
  <c r="Z614" i="14" s="1"/>
  <c r="P614" i="14"/>
  <c r="BJ614" i="14" s="1"/>
  <c r="BH609" i="14"/>
  <c r="BF609" i="14" s="1"/>
  <c r="BC526" i="14"/>
  <c r="BH428" i="14"/>
  <c r="BF428" i="14" s="1"/>
  <c r="BD595" i="14"/>
  <c r="BH419" i="14"/>
  <c r="BF419" i="14" s="1"/>
  <c r="BC503" i="14"/>
  <c r="BH615" i="14"/>
  <c r="BF615" i="14" s="1"/>
  <c r="H443" i="14"/>
  <c r="AH443" i="14" s="1"/>
  <c r="AJ443" i="14" s="1"/>
  <c r="Z443" i="14" s="1"/>
  <c r="BH526" i="14"/>
  <c r="BF526" i="14" s="1"/>
  <c r="BC598" i="14"/>
  <c r="BH573" i="14"/>
  <c r="BF573" i="14" s="1"/>
  <c r="BD544" i="14"/>
  <c r="BC517" i="14"/>
  <c r="BD517" i="14"/>
  <c r="BC424" i="14"/>
  <c r="AF615" i="14"/>
  <c r="BC573" i="14"/>
  <c r="AF552" i="14"/>
  <c r="AF560" i="14"/>
  <c r="AF501" i="14"/>
  <c r="BD555" i="14"/>
  <c r="AF424" i="14"/>
  <c r="BG607" i="14"/>
  <c r="BF607" i="14" s="1"/>
  <c r="AF544" i="14"/>
  <c r="BD573" i="14"/>
  <c r="BD502" i="14"/>
  <c r="BD609" i="14"/>
  <c r="BC607" i="14"/>
  <c r="BC502" i="14"/>
  <c r="AF573" i="14"/>
  <c r="BD419" i="14"/>
  <c r="BD424" i="14"/>
  <c r="BC560" i="14"/>
  <c r="BH517" i="14"/>
  <c r="BF517" i="14" s="1"/>
  <c r="BD560" i="14"/>
  <c r="AF555" i="14"/>
  <c r="P544" i="14"/>
  <c r="AG544" i="14" s="1"/>
  <c r="AL544" i="14" s="1"/>
  <c r="H544" i="14"/>
  <c r="BI544" i="14" s="1"/>
  <c r="H607" i="14"/>
  <c r="AH607" i="14" s="1"/>
  <c r="AK607" i="14" s="1"/>
  <c r="H502" i="14"/>
  <c r="AH502" i="14" s="1"/>
  <c r="AJ502" i="14" s="1"/>
  <c r="Z502" i="14" s="1"/>
  <c r="P502" i="14"/>
  <c r="AG502" i="14" s="1"/>
  <c r="AN502" i="14" s="1"/>
  <c r="AF502" i="14"/>
  <c r="BH555" i="14"/>
  <c r="BF555" i="14" s="1"/>
  <c r="BC428" i="14"/>
  <c r="H560" i="14"/>
  <c r="BI560" i="14" s="1"/>
  <c r="P517" i="14"/>
  <c r="AG517" i="14" s="1"/>
  <c r="AI517" i="14" s="1"/>
  <c r="AA517" i="14" s="1"/>
  <c r="AD517" i="14" s="1"/>
  <c r="H419" i="14"/>
  <c r="BI419" i="14" s="1"/>
  <c r="P607" i="14"/>
  <c r="BJ607" i="14" s="1"/>
  <c r="P560" i="14"/>
  <c r="BJ560" i="14" s="1"/>
  <c r="P424" i="14"/>
  <c r="AG424" i="14" s="1"/>
  <c r="AL424" i="14" s="1"/>
  <c r="P419" i="14"/>
  <c r="BJ419" i="14" s="1"/>
  <c r="H424" i="14"/>
  <c r="AH424" i="14" s="1"/>
  <c r="AK424" i="14" s="1"/>
  <c r="H517" i="14"/>
  <c r="BI517" i="14" s="1"/>
  <c r="BC555" i="14"/>
  <c r="BD552" i="14"/>
  <c r="BC595" i="14"/>
  <c r="BD503" i="14"/>
  <c r="BH501" i="14"/>
  <c r="BH595" i="14"/>
  <c r="BF595" i="14" s="1"/>
  <c r="BC535" i="14"/>
  <c r="BC552" i="14"/>
  <c r="P552" i="14"/>
  <c r="BJ552" i="14" s="1"/>
  <c r="H503" i="14"/>
  <c r="AH503" i="14" s="1"/>
  <c r="AJ503" i="14" s="1"/>
  <c r="Z503" i="14" s="1"/>
  <c r="BH598" i="14"/>
  <c r="BF598" i="14" s="1"/>
  <c r="BD526" i="14"/>
  <c r="AF503" i="14"/>
  <c r="BC591" i="14"/>
  <c r="BH591" i="14"/>
  <c r="BF591" i="14" s="1"/>
  <c r="H573" i="14"/>
  <c r="BI573" i="14" s="1"/>
  <c r="P503" i="14"/>
  <c r="AG503" i="14" s="1"/>
  <c r="AN503" i="14" s="1"/>
  <c r="H591" i="14"/>
  <c r="BI591" i="14" s="1"/>
  <c r="P595" i="14"/>
  <c r="BJ595" i="14" s="1"/>
  <c r="H598" i="14"/>
  <c r="BI598" i="14" s="1"/>
  <c r="H595" i="14"/>
  <c r="BI595" i="14" s="1"/>
  <c r="P591" i="14"/>
  <c r="AG591" i="14" s="1"/>
  <c r="AL591" i="14" s="1"/>
  <c r="P573" i="14"/>
  <c r="AG573" i="14" s="1"/>
  <c r="AI573" i="14" s="1"/>
  <c r="AA573" i="14" s="1"/>
  <c r="AD573" i="14" s="1"/>
  <c r="P608" i="14"/>
  <c r="BJ608" i="14" s="1"/>
  <c r="BH608" i="14"/>
  <c r="BF608" i="14" s="1"/>
  <c r="AF428" i="14"/>
  <c r="AF591" i="14"/>
  <c r="AF595" i="14"/>
  <c r="BC609" i="14"/>
  <c r="BH503" i="14"/>
  <c r="BF503" i="14" s="1"/>
  <c r="BD428" i="14"/>
  <c r="BG496" i="14"/>
  <c r="BF496" i="14" s="1"/>
  <c r="BG501" i="14"/>
  <c r="H526" i="14"/>
  <c r="BI526" i="14" s="1"/>
  <c r="P526" i="14"/>
  <c r="BJ526" i="14" s="1"/>
  <c r="P555" i="14"/>
  <c r="AG555" i="14" s="1"/>
  <c r="AL555" i="14" s="1"/>
  <c r="H535" i="14"/>
  <c r="AH535" i="14" s="1"/>
  <c r="AK535" i="14" s="1"/>
  <c r="H555" i="14"/>
  <c r="AH555" i="14" s="1"/>
  <c r="AK555" i="14" s="1"/>
  <c r="P535" i="14"/>
  <c r="BJ535" i="14" s="1"/>
  <c r="BC445" i="14"/>
  <c r="BD445" i="14"/>
  <c r="BD615" i="14"/>
  <c r="P615" i="14"/>
  <c r="AG615" i="14" s="1"/>
  <c r="AI615" i="14" s="1"/>
  <c r="AA615" i="14" s="1"/>
  <c r="AD615" i="14" s="1"/>
  <c r="AF489" i="14"/>
  <c r="P445" i="14"/>
  <c r="AG445" i="14" s="1"/>
  <c r="AI445" i="14" s="1"/>
  <c r="AA445" i="14" s="1"/>
  <c r="AD445" i="14" s="1"/>
  <c r="P609" i="14"/>
  <c r="AG609" i="14" s="1"/>
  <c r="AL609" i="14" s="1"/>
  <c r="H445" i="14"/>
  <c r="BI445" i="14" s="1"/>
  <c r="P428" i="14"/>
  <c r="BJ428" i="14" s="1"/>
  <c r="H428" i="14"/>
  <c r="AH428" i="14" s="1"/>
  <c r="AM428" i="14" s="1"/>
  <c r="H609" i="14"/>
  <c r="BI609" i="14" s="1"/>
  <c r="AF609" i="14"/>
  <c r="BH445" i="14"/>
  <c r="BF445" i="14" s="1"/>
  <c r="BC501" i="14"/>
  <c r="H615" i="14"/>
  <c r="BI615" i="14" s="1"/>
  <c r="BD501" i="14"/>
  <c r="BC470" i="14"/>
  <c r="BG587" i="14"/>
  <c r="BF587" i="14" s="1"/>
  <c r="BH470" i="14"/>
  <c r="BF470" i="14" s="1"/>
  <c r="BF553" i="14"/>
  <c r="BD553" i="14"/>
  <c r="H501" i="14"/>
  <c r="BI501" i="14" s="1"/>
  <c r="P501" i="14"/>
  <c r="BJ501" i="14" s="1"/>
  <c r="BC482" i="14"/>
  <c r="BC463" i="14"/>
  <c r="BD463" i="14"/>
  <c r="BD470" i="14"/>
  <c r="BC553" i="14"/>
  <c r="BH463" i="14"/>
  <c r="BF463" i="14" s="1"/>
  <c r="AF553" i="14"/>
  <c r="BH583" i="14"/>
  <c r="BF583" i="14" s="1"/>
  <c r="BD583" i="14"/>
  <c r="P463" i="14"/>
  <c r="BJ463" i="14" s="1"/>
  <c r="H463" i="14"/>
  <c r="AH463" i="14" s="1"/>
  <c r="AK463" i="14" s="1"/>
  <c r="P553" i="14"/>
  <c r="AG553" i="14" s="1"/>
  <c r="AL553" i="14" s="1"/>
  <c r="H553" i="14"/>
  <c r="AH553" i="14" s="1"/>
  <c r="AK553" i="14" s="1"/>
  <c r="BH578" i="14"/>
  <c r="BF578" i="14" s="1"/>
  <c r="BD475" i="14"/>
  <c r="AF482" i="14"/>
  <c r="BH458" i="14"/>
  <c r="BF458" i="14" s="1"/>
  <c r="BD571" i="14"/>
  <c r="BC587" i="14"/>
  <c r="AF470" i="14"/>
  <c r="BC566" i="14"/>
  <c r="BD587" i="14"/>
  <c r="AF543" i="14"/>
  <c r="P587" i="14"/>
  <c r="AG587" i="14" s="1"/>
  <c r="AI587" i="14" s="1"/>
  <c r="AA587" i="14" s="1"/>
  <c r="AD587" i="14" s="1"/>
  <c r="P470" i="14"/>
  <c r="AG470" i="14" s="1"/>
  <c r="AL470" i="14" s="1"/>
  <c r="H587" i="14"/>
  <c r="AH587" i="14" s="1"/>
  <c r="AJ587" i="14" s="1"/>
  <c r="Z587" i="14" s="1"/>
  <c r="H470" i="14"/>
  <c r="BI470" i="14" s="1"/>
  <c r="BH482" i="14"/>
  <c r="BF482" i="14" s="1"/>
  <c r="BD566" i="14"/>
  <c r="BC571" i="14"/>
  <c r="BH566" i="14"/>
  <c r="BF566" i="14" s="1"/>
  <c r="BH505" i="14"/>
  <c r="BF505" i="14" s="1"/>
  <c r="BC492" i="14"/>
  <c r="AF518" i="14"/>
  <c r="P578" i="14"/>
  <c r="BJ578" i="14" s="1"/>
  <c r="BH475" i="14"/>
  <c r="BF475" i="14" s="1"/>
  <c r="BH518" i="14"/>
  <c r="BF518" i="14" s="1"/>
  <c r="BC578" i="14"/>
  <c r="BC458" i="14"/>
  <c r="BC518" i="14"/>
  <c r="BD518" i="14"/>
  <c r="BD578" i="14"/>
  <c r="BC583" i="14"/>
  <c r="BD492" i="14"/>
  <c r="AF451" i="14"/>
  <c r="BD496" i="14"/>
  <c r="BD482" i="14"/>
  <c r="AF602" i="14"/>
  <c r="BH451" i="14"/>
  <c r="BF451" i="14" s="1"/>
  <c r="AF475" i="14"/>
  <c r="AF505" i="14"/>
  <c r="BH492" i="14"/>
  <c r="BF492" i="14" s="1"/>
  <c r="AF583" i="14"/>
  <c r="AF492" i="14"/>
  <c r="AF578" i="14"/>
  <c r="H578" i="14"/>
  <c r="AH578" i="14" s="1"/>
  <c r="AM578" i="14" s="1"/>
  <c r="P571" i="14"/>
  <c r="AG571" i="14" s="1"/>
  <c r="AN571" i="14" s="1"/>
  <c r="P505" i="14"/>
  <c r="BJ505" i="14" s="1"/>
  <c r="H492" i="14"/>
  <c r="AH492" i="14" s="1"/>
  <c r="AK492" i="14" s="1"/>
  <c r="P583" i="14"/>
  <c r="BJ583" i="14" s="1"/>
  <c r="H583" i="14"/>
  <c r="AH583" i="14" s="1"/>
  <c r="AM583" i="14" s="1"/>
  <c r="P475" i="14"/>
  <c r="AG475" i="14" s="1"/>
  <c r="AI475" i="14" s="1"/>
  <c r="AA475" i="14" s="1"/>
  <c r="AD475" i="14" s="1"/>
  <c r="BC475" i="14"/>
  <c r="H566" i="14"/>
  <c r="BI566" i="14" s="1"/>
  <c r="P518" i="14"/>
  <c r="AG518" i="14" s="1"/>
  <c r="AN518" i="14" s="1"/>
  <c r="BH571" i="14"/>
  <c r="BF571" i="14" s="1"/>
  <c r="BC496" i="14"/>
  <c r="BD543" i="14"/>
  <c r="AF426" i="14"/>
  <c r="H496" i="14"/>
  <c r="AH496" i="14" s="1"/>
  <c r="AM496" i="14" s="1"/>
  <c r="H571" i="14"/>
  <c r="BI571" i="14" s="1"/>
  <c r="H482" i="14"/>
  <c r="AH482" i="14" s="1"/>
  <c r="AM482" i="14" s="1"/>
  <c r="H518" i="14"/>
  <c r="AH518" i="14" s="1"/>
  <c r="AK518" i="14" s="1"/>
  <c r="H475" i="14"/>
  <c r="AH475" i="14" s="1"/>
  <c r="AK475" i="14" s="1"/>
  <c r="P482" i="14"/>
  <c r="BJ482" i="14" s="1"/>
  <c r="P496" i="14"/>
  <c r="BJ496" i="14" s="1"/>
  <c r="P566" i="14"/>
  <c r="AG566" i="14" s="1"/>
  <c r="AL566" i="14" s="1"/>
  <c r="AF571" i="14"/>
  <c r="BD458" i="14"/>
  <c r="BD451" i="14"/>
  <c r="AF566" i="14"/>
  <c r="P543" i="14"/>
  <c r="BJ543" i="14" s="1"/>
  <c r="H543" i="14"/>
  <c r="AH543" i="14" s="1"/>
  <c r="AJ543" i="14" s="1"/>
  <c r="Z543" i="14" s="1"/>
  <c r="BH426" i="14"/>
  <c r="BF426" i="14" s="1"/>
  <c r="AF485" i="14"/>
  <c r="BC426" i="14"/>
  <c r="BC451" i="14"/>
  <c r="BD536" i="14"/>
  <c r="BC543" i="14"/>
  <c r="BF604" i="14"/>
  <c r="BC602" i="14"/>
  <c r="AF458" i="14"/>
  <c r="BH543" i="14"/>
  <c r="BF543" i="14" s="1"/>
  <c r="H451" i="14"/>
  <c r="AH451" i="14" s="1"/>
  <c r="AK451" i="14" s="1"/>
  <c r="P451" i="14"/>
  <c r="BJ451" i="14" s="1"/>
  <c r="BH576" i="14"/>
  <c r="BF576" i="14" s="1"/>
  <c r="AF523" i="14"/>
  <c r="BD604" i="14"/>
  <c r="BH602" i="14"/>
  <c r="BF602" i="14" s="1"/>
  <c r="BD426" i="14"/>
  <c r="H426" i="14"/>
  <c r="BI426" i="14" s="1"/>
  <c r="P426" i="14"/>
  <c r="AG426" i="14" s="1"/>
  <c r="AL426" i="14" s="1"/>
  <c r="AF604" i="14"/>
  <c r="BH536" i="14"/>
  <c r="BF536" i="14" s="1"/>
  <c r="BD485" i="14"/>
  <c r="BC604" i="14"/>
  <c r="BD602" i="14"/>
  <c r="BD505" i="14"/>
  <c r="BC505" i="14"/>
  <c r="BC489" i="14"/>
  <c r="BH489" i="14"/>
  <c r="BF489" i="14" s="1"/>
  <c r="H458" i="14"/>
  <c r="AH458" i="14" s="1"/>
  <c r="AK458" i="14" s="1"/>
  <c r="H602" i="14"/>
  <c r="BI602" i="14" s="1"/>
  <c r="H536" i="14"/>
  <c r="BI536" i="14" s="1"/>
  <c r="P602" i="14"/>
  <c r="BJ602" i="14" s="1"/>
  <c r="P458" i="14"/>
  <c r="AG458" i="14" s="1"/>
  <c r="AL458" i="14" s="1"/>
  <c r="H505" i="14"/>
  <c r="BI505" i="14" s="1"/>
  <c r="P492" i="14"/>
  <c r="AG492" i="14" s="1"/>
  <c r="AN492" i="14" s="1"/>
  <c r="BC536" i="14"/>
  <c r="BH540" i="14"/>
  <c r="BF540" i="14" s="1"/>
  <c r="BH523" i="14"/>
  <c r="BF523" i="14" s="1"/>
  <c r="BD523" i="14"/>
  <c r="BD477" i="14"/>
  <c r="BC485" i="14"/>
  <c r="AF540" i="14"/>
  <c r="P523" i="14"/>
  <c r="AG523" i="14" s="1"/>
  <c r="AI523" i="14" s="1"/>
  <c r="AA523" i="14" s="1"/>
  <c r="AD523" i="14" s="1"/>
  <c r="AF536" i="14"/>
  <c r="BH485" i="14"/>
  <c r="BF485" i="14" s="1"/>
  <c r="BC523" i="14"/>
  <c r="H604" i="14"/>
  <c r="AH604" i="14" s="1"/>
  <c r="AM604" i="14" s="1"/>
  <c r="P604" i="14"/>
  <c r="BJ604" i="14" s="1"/>
  <c r="BH585" i="14"/>
  <c r="BF585" i="14" s="1"/>
  <c r="AF585" i="14"/>
  <c r="BC477" i="14"/>
  <c r="H485" i="14"/>
  <c r="AH485" i="14" s="1"/>
  <c r="AJ485" i="14" s="1"/>
  <c r="Z485" i="14" s="1"/>
  <c r="P485" i="14"/>
  <c r="AG485" i="14" s="1"/>
  <c r="AN485" i="14" s="1"/>
  <c r="P477" i="14"/>
  <c r="AG477" i="14" s="1"/>
  <c r="AL477" i="14" s="1"/>
  <c r="H523" i="14"/>
  <c r="BI523" i="14" s="1"/>
  <c r="P536" i="14"/>
  <c r="BJ536" i="14" s="1"/>
  <c r="BH477" i="14"/>
  <c r="BF477" i="14" s="1"/>
  <c r="BC540" i="14"/>
  <c r="BD576" i="14"/>
  <c r="BD489" i="14"/>
  <c r="BD540" i="14"/>
  <c r="P540" i="14"/>
  <c r="AG540" i="14" s="1"/>
  <c r="AL540" i="14" s="1"/>
  <c r="H540" i="14"/>
  <c r="AH540" i="14" s="1"/>
  <c r="AM540" i="14" s="1"/>
  <c r="P489" i="14"/>
  <c r="AG489" i="14" s="1"/>
  <c r="AN489" i="14" s="1"/>
  <c r="H489" i="14"/>
  <c r="BI489" i="14" s="1"/>
  <c r="H477" i="14"/>
  <c r="BI477" i="14" s="1"/>
  <c r="BD585" i="14"/>
  <c r="BC576" i="14"/>
  <c r="BC585" i="14"/>
  <c r="H576" i="14"/>
  <c r="AH576" i="14" s="1"/>
  <c r="AJ576" i="14" s="1"/>
  <c r="Z576" i="14" s="1"/>
  <c r="P576" i="14"/>
  <c r="AG576" i="14" s="1"/>
  <c r="AL576" i="14" s="1"/>
  <c r="H585" i="14"/>
  <c r="AH585" i="14" s="1"/>
  <c r="AK585" i="14" s="1"/>
  <c r="P585" i="14"/>
  <c r="AG585" i="14" s="1"/>
  <c r="AI585" i="14" s="1"/>
  <c r="AA585" i="14" s="1"/>
  <c r="AD585" i="14" s="1"/>
  <c r="BH472" i="14"/>
  <c r="BF472" i="14" s="1"/>
  <c r="AF576" i="14"/>
  <c r="AF472" i="14"/>
  <c r="BD472" i="14"/>
  <c r="AF548" i="14"/>
  <c r="BC457" i="14"/>
  <c r="BH599" i="14"/>
  <c r="BF599" i="14" s="1"/>
  <c r="BC472" i="14"/>
  <c r="BH548" i="14"/>
  <c r="BF548" i="14" s="1"/>
  <c r="BH473" i="14"/>
  <c r="BF473" i="14" s="1"/>
  <c r="H616" i="14"/>
  <c r="AH616" i="14" s="1"/>
  <c r="P616" i="14"/>
  <c r="BJ616" i="14" s="1"/>
  <c r="AF457" i="14"/>
  <c r="BD457" i="14"/>
  <c r="BD548" i="14"/>
  <c r="BD447" i="14"/>
  <c r="H472" i="14"/>
  <c r="AH472" i="14" s="1"/>
  <c r="AM472" i="14" s="1"/>
  <c r="P472" i="14"/>
  <c r="BJ472" i="14" s="1"/>
  <c r="BF447" i="14"/>
  <c r="BC548" i="14"/>
  <c r="BC447" i="14"/>
  <c r="BH421" i="14"/>
  <c r="BF421" i="14" s="1"/>
  <c r="AF447" i="14"/>
  <c r="BH457" i="14"/>
  <c r="BF457" i="14" s="1"/>
  <c r="H457" i="14"/>
  <c r="BI457" i="14" s="1"/>
  <c r="P457" i="14"/>
  <c r="BJ457" i="14" s="1"/>
  <c r="BD421" i="14"/>
  <c r="H548" i="14"/>
  <c r="BI548" i="14" s="1"/>
  <c r="P548" i="14"/>
  <c r="BJ548" i="14" s="1"/>
  <c r="BC421" i="14"/>
  <c r="P421" i="14"/>
  <c r="AG421" i="14" s="1"/>
  <c r="AL421" i="14" s="1"/>
  <c r="H421" i="14"/>
  <c r="AH421" i="14" s="1"/>
  <c r="AM421" i="14" s="1"/>
  <c r="P447" i="14"/>
  <c r="BJ447" i="14" s="1"/>
  <c r="AF545" i="14"/>
  <c r="BC545" i="14"/>
  <c r="BD473" i="14"/>
  <c r="BH545" i="14"/>
  <c r="BF545" i="14" s="1"/>
  <c r="AF590" i="14"/>
  <c r="BH556" i="14"/>
  <c r="BF556" i="14" s="1"/>
  <c r="BH425" i="14"/>
  <c r="BF425" i="14" s="1"/>
  <c r="BD545" i="14"/>
  <c r="P425" i="14"/>
  <c r="BJ425" i="14" s="1"/>
  <c r="BH590" i="14"/>
  <c r="BF590" i="14" s="1"/>
  <c r="BH484" i="14"/>
  <c r="BF484" i="14" s="1"/>
  <c r="BC590" i="14"/>
  <c r="BD425" i="14"/>
  <c r="AF594" i="14"/>
  <c r="H545" i="14"/>
  <c r="BI545" i="14" s="1"/>
  <c r="P545" i="14"/>
  <c r="AG545" i="14" s="1"/>
  <c r="AL545" i="14" s="1"/>
  <c r="AF425" i="14"/>
  <c r="BC515" i="14"/>
  <c r="BC425" i="14"/>
  <c r="BD484" i="14"/>
  <c r="H425" i="14"/>
  <c r="BI425" i="14" s="1"/>
  <c r="AF524" i="14"/>
  <c r="BD515" i="14"/>
  <c r="BC484" i="14"/>
  <c r="BC473" i="14"/>
  <c r="BC527" i="14"/>
  <c r="BD499" i="14"/>
  <c r="BD590" i="14"/>
  <c r="P484" i="14"/>
  <c r="AG484" i="14" s="1"/>
  <c r="AN484" i="14" s="1"/>
  <c r="H447" i="14"/>
  <c r="AH447" i="14" s="1"/>
  <c r="AJ447" i="14" s="1"/>
  <c r="Z447" i="14" s="1"/>
  <c r="H484" i="14"/>
  <c r="BI484" i="14" s="1"/>
  <c r="AF484" i="14"/>
  <c r="BH601" i="14"/>
  <c r="BD580" i="14"/>
  <c r="AF527" i="14"/>
  <c r="BH499" i="14"/>
  <c r="BF499" i="14" s="1"/>
  <c r="AF499" i="14"/>
  <c r="BH515" i="14"/>
  <c r="BF515" i="14" s="1"/>
  <c r="BC499" i="14"/>
  <c r="H590" i="14"/>
  <c r="BI590" i="14" s="1"/>
  <c r="H515" i="14"/>
  <c r="AH515" i="14" s="1"/>
  <c r="AM515" i="14" s="1"/>
  <c r="P590" i="14"/>
  <c r="BJ590" i="14" s="1"/>
  <c r="AF515" i="14"/>
  <c r="BH580" i="14"/>
  <c r="BF580" i="14" s="1"/>
  <c r="BC524" i="14"/>
  <c r="BD527" i="14"/>
  <c r="BH527" i="14"/>
  <c r="BF527" i="14" s="1"/>
  <c r="P499" i="14"/>
  <c r="BJ499" i="14" s="1"/>
  <c r="H499" i="14"/>
  <c r="BI499" i="14" s="1"/>
  <c r="AF580" i="14"/>
  <c r="BC580" i="14"/>
  <c r="P527" i="14"/>
  <c r="AG527" i="14" s="1"/>
  <c r="AN527" i="14" s="1"/>
  <c r="H527" i="14"/>
  <c r="AH527" i="14" s="1"/>
  <c r="AJ527" i="14" s="1"/>
  <c r="Z527" i="14" s="1"/>
  <c r="P515" i="14"/>
  <c r="AG515" i="14" s="1"/>
  <c r="AL515" i="14" s="1"/>
  <c r="BH524" i="14"/>
  <c r="BF524" i="14" s="1"/>
  <c r="AF473" i="14"/>
  <c r="BD524" i="14"/>
  <c r="H524" i="14"/>
  <c r="BI524" i="14" s="1"/>
  <c r="P473" i="14"/>
  <c r="BJ473" i="14" s="1"/>
  <c r="H473" i="14"/>
  <c r="AH473" i="14" s="1"/>
  <c r="AK473" i="14" s="1"/>
  <c r="BH429" i="14"/>
  <c r="BF429" i="14" s="1"/>
  <c r="H579" i="14"/>
  <c r="AH579" i="14" s="1"/>
  <c r="AJ579" i="14" s="1"/>
  <c r="Z579" i="14" s="1"/>
  <c r="AF592" i="14"/>
  <c r="BE574" i="14"/>
  <c r="BH564" i="14"/>
  <c r="BF564" i="14" s="1"/>
  <c r="BC579" i="14"/>
  <c r="P524" i="14"/>
  <c r="BJ524" i="14" s="1"/>
  <c r="BC450" i="14"/>
  <c r="BD592" i="14"/>
  <c r="BD579" i="14"/>
  <c r="BD450" i="14"/>
  <c r="BC592" i="14"/>
  <c r="BF525" i="14"/>
  <c r="BH610" i="14"/>
  <c r="BF610" i="14" s="1"/>
  <c r="AF579" i="14"/>
  <c r="BH519" i="14"/>
  <c r="BC572" i="14"/>
  <c r="BH567" i="14"/>
  <c r="BF567" i="14" s="1"/>
  <c r="BH450" i="14"/>
  <c r="BF450" i="14" s="1"/>
  <c r="P579" i="14"/>
  <c r="BJ579" i="14" s="1"/>
  <c r="H580" i="14"/>
  <c r="BI580" i="14" s="1"/>
  <c r="P580" i="14"/>
  <c r="AG580" i="14" s="1"/>
  <c r="AN580" i="14" s="1"/>
  <c r="AF450" i="14"/>
  <c r="BH579" i="14"/>
  <c r="BF579" i="14" s="1"/>
  <c r="BH592" i="14"/>
  <c r="BF592" i="14" s="1"/>
  <c r="BH594" i="14"/>
  <c r="BF594" i="14" s="1"/>
  <c r="BC429" i="14"/>
  <c r="H592" i="14"/>
  <c r="AH592" i="14" s="1"/>
  <c r="AJ592" i="14" s="1"/>
  <c r="Z592" i="14" s="1"/>
  <c r="H572" i="14"/>
  <c r="AH572" i="14" s="1"/>
  <c r="AJ572" i="14" s="1"/>
  <c r="Z572" i="14" s="1"/>
  <c r="P592" i="14"/>
  <c r="BJ592" i="14" s="1"/>
  <c r="H450" i="14"/>
  <c r="AH450" i="14" s="1"/>
  <c r="AJ450" i="14" s="1"/>
  <c r="Z450" i="14" s="1"/>
  <c r="P450" i="14"/>
  <c r="AG450" i="14" s="1"/>
  <c r="AN450" i="14" s="1"/>
  <c r="BE442" i="14"/>
  <c r="BF448" i="14"/>
  <c r="BH417" i="14"/>
  <c r="BF417" i="14" s="1"/>
  <c r="BH563" i="14"/>
  <c r="BF563" i="14" s="1"/>
  <c r="BH572" i="14"/>
  <c r="BD601" i="14"/>
  <c r="BC519" i="14"/>
  <c r="BF537" i="14"/>
  <c r="AF572" i="14"/>
  <c r="BC498" i="14"/>
  <c r="AF563" i="14"/>
  <c r="BD462" i="14"/>
  <c r="AF446" i="14"/>
  <c r="AF567" i="14"/>
  <c r="BD519" i="14"/>
  <c r="BD429" i="14"/>
  <c r="BD564" i="14"/>
  <c r="P610" i="14"/>
  <c r="BJ610" i="14" s="1"/>
  <c r="BC456" i="14"/>
  <c r="AF448" i="14"/>
  <c r="AF599" i="14"/>
  <c r="BC594" i="14"/>
  <c r="BC610" i="14"/>
  <c r="BD610" i="14"/>
  <c r="BD498" i="14"/>
  <c r="BD417" i="14"/>
  <c r="BC599" i="14"/>
  <c r="BD563" i="14"/>
  <c r="BD572" i="14"/>
  <c r="BC417" i="14"/>
  <c r="P564" i="14"/>
  <c r="AG564" i="14" s="1"/>
  <c r="AL564" i="14" s="1"/>
  <c r="BD594" i="14"/>
  <c r="AF436" i="14"/>
  <c r="BJ574" i="14"/>
  <c r="BD569" i="14"/>
  <c r="BH551" i="14"/>
  <c r="BF551" i="14" s="1"/>
  <c r="BH498" i="14"/>
  <c r="BF498" i="14" s="1"/>
  <c r="AF600" i="14"/>
  <c r="BE537" i="14"/>
  <c r="AF519" i="14"/>
  <c r="BD427" i="14"/>
  <c r="BC563" i="14"/>
  <c r="AH442" i="14"/>
  <c r="AK442" i="14" s="1"/>
  <c r="P563" i="14"/>
  <c r="BJ563" i="14" s="1"/>
  <c r="H563" i="14"/>
  <c r="AH563" i="14" s="1"/>
  <c r="AK563" i="14" s="1"/>
  <c r="BD561" i="14"/>
  <c r="BD599" i="14"/>
  <c r="BG519" i="14"/>
  <c r="BH554" i="14"/>
  <c r="BF554" i="14" s="1"/>
  <c r="BC427" i="14"/>
  <c r="BI574" i="14"/>
  <c r="P498" i="14"/>
  <c r="AG498" i="14" s="1"/>
  <c r="AL498" i="14" s="1"/>
  <c r="H498" i="14"/>
  <c r="AH498" i="14" s="1"/>
  <c r="AJ498" i="14" s="1"/>
  <c r="Z498" i="14" s="1"/>
  <c r="P556" i="14"/>
  <c r="AG556" i="14" s="1"/>
  <c r="AL556" i="14" s="1"/>
  <c r="P429" i="14"/>
  <c r="BJ429" i="14" s="1"/>
  <c r="BC601" i="14"/>
  <c r="H601" i="14"/>
  <c r="BI601" i="14" s="1"/>
  <c r="H519" i="14"/>
  <c r="AH519" i="14" s="1"/>
  <c r="AK519" i="14" s="1"/>
  <c r="P601" i="14"/>
  <c r="BJ601" i="14" s="1"/>
  <c r="P417" i="14"/>
  <c r="BJ417" i="14" s="1"/>
  <c r="H610" i="14"/>
  <c r="AH610" i="14" s="1"/>
  <c r="AM610" i="14" s="1"/>
  <c r="P519" i="14"/>
  <c r="BJ519" i="14" s="1"/>
  <c r="BG572" i="14"/>
  <c r="BD456" i="14"/>
  <c r="BH446" i="14"/>
  <c r="BF446" i="14" s="1"/>
  <c r="BH427" i="14"/>
  <c r="BF427" i="14" s="1"/>
  <c r="AF601" i="14"/>
  <c r="BG601" i="14"/>
  <c r="BH546" i="14"/>
  <c r="BF546" i="14" s="1"/>
  <c r="BD547" i="14"/>
  <c r="BD546" i="14"/>
  <c r="BH491" i="14"/>
  <c r="BF491" i="14" s="1"/>
  <c r="H417" i="14"/>
  <c r="AH417" i="14" s="1"/>
  <c r="AM417" i="14" s="1"/>
  <c r="H427" i="14"/>
  <c r="BI427" i="14" s="1"/>
  <c r="P600" i="14"/>
  <c r="BJ600" i="14" s="1"/>
  <c r="H599" i="14"/>
  <c r="AH599" i="14" s="1"/>
  <c r="AM599" i="14" s="1"/>
  <c r="P599" i="14"/>
  <c r="BJ599" i="14" s="1"/>
  <c r="BJ442" i="14"/>
  <c r="BK442" i="14" s="1"/>
  <c r="AF565" i="14"/>
  <c r="BH462" i="14"/>
  <c r="AF462" i="14"/>
  <c r="BH569" i="14"/>
  <c r="BF569" i="14" s="1"/>
  <c r="BF565" i="14"/>
  <c r="BD565" i="14"/>
  <c r="BH533" i="14"/>
  <c r="BF533" i="14" s="1"/>
  <c r="AF417" i="14"/>
  <c r="BC446" i="14"/>
  <c r="BD491" i="14"/>
  <c r="P572" i="14"/>
  <c r="BJ572" i="14" s="1"/>
  <c r="H594" i="14"/>
  <c r="AH594" i="14" s="1"/>
  <c r="AJ594" i="14" s="1"/>
  <c r="Z594" i="14" s="1"/>
  <c r="P594" i="14"/>
  <c r="AG594" i="14" s="1"/>
  <c r="AL594" i="14" s="1"/>
  <c r="H446" i="14"/>
  <c r="AH446" i="14" s="1"/>
  <c r="AK446" i="14" s="1"/>
  <c r="AF511" i="14"/>
  <c r="BC533" i="14"/>
  <c r="BC448" i="14"/>
  <c r="BC491" i="14"/>
  <c r="BD446" i="14"/>
  <c r="AF427" i="14"/>
  <c r="BH483" i="14"/>
  <c r="AF491" i="14"/>
  <c r="P547" i="14"/>
  <c r="AG547" i="14" s="1"/>
  <c r="AI547" i="14" s="1"/>
  <c r="AA547" i="14" s="1"/>
  <c r="AD547" i="14" s="1"/>
  <c r="P569" i="14"/>
  <c r="BJ569" i="14" s="1"/>
  <c r="P427" i="14"/>
  <c r="BJ427" i="14" s="1"/>
  <c r="H547" i="14"/>
  <c r="BI547" i="14" s="1"/>
  <c r="AF456" i="14"/>
  <c r="BD567" i="14"/>
  <c r="AF546" i="14"/>
  <c r="BD533" i="14"/>
  <c r="BC546" i="14"/>
  <c r="BD448" i="14"/>
  <c r="P446" i="14"/>
  <c r="BJ446" i="14" s="1"/>
  <c r="H448" i="14"/>
  <c r="AH448" i="14" s="1"/>
  <c r="AK448" i="14" s="1"/>
  <c r="BC471" i="14"/>
  <c r="BC483" i="14"/>
  <c r="AF533" i="14"/>
  <c r="BD444" i="14"/>
  <c r="BC569" i="14"/>
  <c r="BD556" i="14"/>
  <c r="BH600" i="14"/>
  <c r="BF600" i="14" s="1"/>
  <c r="BH561" i="14"/>
  <c r="BF561" i="14" s="1"/>
  <c r="AF510" i="14"/>
  <c r="BD436" i="14"/>
  <c r="BC554" i="14"/>
  <c r="H546" i="14"/>
  <c r="BI546" i="14" s="1"/>
  <c r="P546" i="14"/>
  <c r="BJ546" i="14" s="1"/>
  <c r="H491" i="14"/>
  <c r="AH491" i="14" s="1"/>
  <c r="AJ491" i="14" s="1"/>
  <c r="Z491" i="14" s="1"/>
  <c r="P456" i="14"/>
  <c r="BJ456" i="14" s="1"/>
  <c r="P448" i="14"/>
  <c r="AG448" i="14" s="1"/>
  <c r="AI448" i="14" s="1"/>
  <c r="AA448" i="14" s="1"/>
  <c r="AD448" i="14" s="1"/>
  <c r="H533" i="14"/>
  <c r="BI533" i="14" s="1"/>
  <c r="P491" i="14"/>
  <c r="BJ491" i="14" s="1"/>
  <c r="P533" i="14"/>
  <c r="BJ533" i="14" s="1"/>
  <c r="BG511" i="14"/>
  <c r="AF556" i="14"/>
  <c r="BH436" i="14"/>
  <c r="BF436" i="14" s="1"/>
  <c r="BD551" i="14"/>
  <c r="BC444" i="14"/>
  <c r="BH468" i="14"/>
  <c r="BF468" i="14" s="1"/>
  <c r="BD510" i="14"/>
  <c r="BC565" i="14"/>
  <c r="BD525" i="14"/>
  <c r="AF525" i="14"/>
  <c r="AF561" i="14"/>
  <c r="BH456" i="14"/>
  <c r="BF456" i="14" s="1"/>
  <c r="H569" i="14"/>
  <c r="BI569" i="14" s="1"/>
  <c r="AF569" i="14"/>
  <c r="BH511" i="14"/>
  <c r="BC510" i="14"/>
  <c r="BC525" i="14"/>
  <c r="BH444" i="14"/>
  <c r="BF444" i="14" s="1"/>
  <c r="P525" i="14"/>
  <c r="BJ525" i="14" s="1"/>
  <c r="H525" i="14"/>
  <c r="BI525" i="14" s="1"/>
  <c r="BG462" i="14"/>
  <c r="BC474" i="14"/>
  <c r="AH537" i="14"/>
  <c r="AM537" i="14" s="1"/>
  <c r="AF444" i="14"/>
  <c r="BH423" i="14"/>
  <c r="BC435" i="14"/>
  <c r="AF564" i="14"/>
  <c r="BJ537" i="14"/>
  <c r="BK537" i="14" s="1"/>
  <c r="P510" i="14"/>
  <c r="AG510" i="14" s="1"/>
  <c r="AL510" i="14" s="1"/>
  <c r="H444" i="14"/>
  <c r="BI444" i="14" s="1"/>
  <c r="H565" i="14"/>
  <c r="BI565" i="14" s="1"/>
  <c r="H510" i="14"/>
  <c r="AH510" i="14" s="1"/>
  <c r="AJ510" i="14" s="1"/>
  <c r="Z510" i="14" s="1"/>
  <c r="P444" i="14"/>
  <c r="AG444" i="14" s="1"/>
  <c r="AL444" i="14" s="1"/>
  <c r="P565" i="14"/>
  <c r="AG565" i="14" s="1"/>
  <c r="AN565" i="14" s="1"/>
  <c r="AF468" i="14"/>
  <c r="BD616" i="14"/>
  <c r="BC511" i="14"/>
  <c r="BD435" i="14"/>
  <c r="BD471" i="14"/>
  <c r="BD554" i="14"/>
  <c r="BC453" i="14"/>
  <c r="BC564" i="14"/>
  <c r="BH510" i="14"/>
  <c r="BF510" i="14" s="1"/>
  <c r="AF471" i="14"/>
  <c r="BG452" i="14"/>
  <c r="BF452" i="14" s="1"/>
  <c r="BH538" i="14"/>
  <c r="BD452" i="14"/>
  <c r="BC600" i="14"/>
  <c r="BC556" i="14"/>
  <c r="BC561" i="14"/>
  <c r="BD511" i="14"/>
  <c r="BD469" i="14"/>
  <c r="H456" i="14"/>
  <c r="BI456" i="14" s="1"/>
  <c r="BC469" i="14"/>
  <c r="BC612" i="14"/>
  <c r="BC567" i="14"/>
  <c r="BC436" i="14"/>
  <c r="BH453" i="14"/>
  <c r="BF453" i="14" s="1"/>
  <c r="P612" i="14"/>
  <c r="H612" i="14"/>
  <c r="P538" i="14"/>
  <c r="H538" i="14"/>
  <c r="BG612" i="14"/>
  <c r="AF612" i="14"/>
  <c r="BD538" i="14"/>
  <c r="BD507" i="14"/>
  <c r="BC468" i="14"/>
  <c r="BH435" i="14"/>
  <c r="BF435" i="14" s="1"/>
  <c r="BC452" i="14"/>
  <c r="BH612" i="14"/>
  <c r="BD612" i="14"/>
  <c r="BC547" i="14"/>
  <c r="BC538" i="14"/>
  <c r="BG538" i="14"/>
  <c r="AF538" i="14"/>
  <c r="AF547" i="14"/>
  <c r="BH547" i="14"/>
  <c r="BF547" i="14" s="1"/>
  <c r="H436" i="14"/>
  <c r="AH436" i="14" s="1"/>
  <c r="AJ436" i="14" s="1"/>
  <c r="Z436" i="14" s="1"/>
  <c r="P436" i="14"/>
  <c r="AG436" i="14" s="1"/>
  <c r="AI436" i="14" s="1"/>
  <c r="AA436" i="14" s="1"/>
  <c r="AD436" i="14" s="1"/>
  <c r="P567" i="14"/>
  <c r="BJ567" i="14" s="1"/>
  <c r="H511" i="14"/>
  <c r="BI511" i="14" s="1"/>
  <c r="H564" i="14"/>
  <c r="BI564" i="14" s="1"/>
  <c r="P511" i="14"/>
  <c r="AG511" i="14" s="1"/>
  <c r="AL511" i="14" s="1"/>
  <c r="H567" i="14"/>
  <c r="AH567" i="14" s="1"/>
  <c r="AJ567" i="14" s="1"/>
  <c r="Z567" i="14" s="1"/>
  <c r="AF551" i="14"/>
  <c r="BH469" i="14"/>
  <c r="BF469" i="14" s="1"/>
  <c r="BC462" i="14"/>
  <c r="BC551" i="14"/>
  <c r="BF474" i="14"/>
  <c r="BD474" i="14"/>
  <c r="BH471" i="14"/>
  <c r="BF471" i="14" s="1"/>
  <c r="BD600" i="14"/>
  <c r="AF616" i="14"/>
  <c r="P561" i="14"/>
  <c r="AG561" i="14" s="1"/>
  <c r="AL561" i="14" s="1"/>
  <c r="H561" i="14"/>
  <c r="BI561" i="14" s="1"/>
  <c r="AF469" i="14"/>
  <c r="AF554" i="14"/>
  <c r="BD468" i="14"/>
  <c r="BD453" i="14"/>
  <c r="AF474" i="14"/>
  <c r="H471" i="14"/>
  <c r="AH471" i="14" s="1"/>
  <c r="AK471" i="14" s="1"/>
  <c r="H600" i="14"/>
  <c r="BI600" i="14" s="1"/>
  <c r="P423" i="14"/>
  <c r="P471" i="14"/>
  <c r="BJ471" i="14" s="1"/>
  <c r="H556" i="14"/>
  <c r="BI556" i="14" s="1"/>
  <c r="BC423" i="14"/>
  <c r="P452" i="14"/>
  <c r="AG452" i="14" s="1"/>
  <c r="AL452" i="14" s="1"/>
  <c r="H435" i="14"/>
  <c r="BI435" i="14" s="1"/>
  <c r="P435" i="14"/>
  <c r="BJ435" i="14" s="1"/>
  <c r="P474" i="14"/>
  <c r="AG474" i="14" s="1"/>
  <c r="AI474" i="14" s="1"/>
  <c r="AA474" i="14" s="1"/>
  <c r="AD474" i="14" s="1"/>
  <c r="H474" i="14"/>
  <c r="BI474" i="14" s="1"/>
  <c r="H452" i="14"/>
  <c r="AH452" i="14" s="1"/>
  <c r="AJ452" i="14" s="1"/>
  <c r="Z452" i="14" s="1"/>
  <c r="BC616" i="14"/>
  <c r="BD483" i="14"/>
  <c r="AF435" i="14"/>
  <c r="P468" i="14"/>
  <c r="BJ468" i="14" s="1"/>
  <c r="P483" i="14"/>
  <c r="AG483" i="14" s="1"/>
  <c r="AN483" i="14" s="1"/>
  <c r="H554" i="14"/>
  <c r="AH554" i="14" s="1"/>
  <c r="AM554" i="14" s="1"/>
  <c r="H453" i="14"/>
  <c r="BI453" i="14" s="1"/>
  <c r="H462" i="14"/>
  <c r="BI462" i="14" s="1"/>
  <c r="P462" i="14"/>
  <c r="BJ462" i="14" s="1"/>
  <c r="H468" i="14"/>
  <c r="AH468" i="14" s="1"/>
  <c r="AM468" i="14" s="1"/>
  <c r="P551" i="14"/>
  <c r="AG551" i="14" s="1"/>
  <c r="AI551" i="14" s="1"/>
  <c r="AA551" i="14" s="1"/>
  <c r="AD551" i="14" s="1"/>
  <c r="P453" i="14"/>
  <c r="BJ453" i="14" s="1"/>
  <c r="H551" i="14"/>
  <c r="AH551" i="14" s="1"/>
  <c r="AM551" i="14" s="1"/>
  <c r="H483" i="14"/>
  <c r="BI483" i="14" s="1"/>
  <c r="P554" i="14"/>
  <c r="AG554" i="14" s="1"/>
  <c r="AL554" i="14" s="1"/>
  <c r="BC507" i="14"/>
  <c r="AF483" i="14"/>
  <c r="BG483" i="14"/>
  <c r="AF453" i="14"/>
  <c r="BH616" i="14"/>
  <c r="BF616" i="14" s="1"/>
  <c r="BD423" i="14"/>
  <c r="AF429" i="14"/>
  <c r="H429" i="14"/>
  <c r="BI429" i="14" s="1"/>
  <c r="BH486" i="14"/>
  <c r="BH507" i="14"/>
  <c r="BF507" i="14" s="1"/>
  <c r="H423" i="14"/>
  <c r="AF423" i="14"/>
  <c r="BG423" i="14"/>
  <c r="H507" i="14"/>
  <c r="AH507" i="14" s="1"/>
  <c r="AM507" i="14" s="1"/>
  <c r="H469" i="14"/>
  <c r="AH469" i="14" s="1"/>
  <c r="AK469" i="14" s="1"/>
  <c r="P469" i="14"/>
  <c r="AG469" i="14" s="1"/>
  <c r="AL469" i="14" s="1"/>
  <c r="BD512" i="14"/>
  <c r="BD584" i="14"/>
  <c r="BC486" i="14"/>
  <c r="BH460" i="14"/>
  <c r="BH416" i="14"/>
  <c r="BH480" i="14"/>
  <c r="BD506" i="14"/>
  <c r="BD550" i="14"/>
  <c r="H562" i="14"/>
  <c r="P562" i="14"/>
  <c r="BC562" i="14"/>
  <c r="BG562" i="14"/>
  <c r="AF562" i="14"/>
  <c r="BD562" i="14"/>
  <c r="BD465" i="14"/>
  <c r="BC434" i="14"/>
  <c r="BC422" i="14"/>
  <c r="BH461" i="14"/>
  <c r="BH449" i="14"/>
  <c r="BH512" i="14"/>
  <c r="BH476" i="14"/>
  <c r="BD588" i="14"/>
  <c r="BH575" i="14"/>
  <c r="BH562" i="14"/>
  <c r="AF507" i="14"/>
  <c r="BH586" i="14"/>
  <c r="BH514" i="14"/>
  <c r="BD449" i="14"/>
  <c r="BD597" i="14"/>
  <c r="BD476" i="14"/>
  <c r="BC596" i="14"/>
  <c r="BH588" i="14"/>
  <c r="BD575" i="14"/>
  <c r="BH438" i="14"/>
  <c r="BH570" i="14"/>
  <c r="BH433" i="14"/>
  <c r="BH422" i="14"/>
  <c r="BH434" i="14"/>
  <c r="BC481" i="14"/>
  <c r="BC476" i="14"/>
  <c r="BH481" i="14"/>
  <c r="BC438" i="14"/>
  <c r="BH467" i="14"/>
  <c r="BD440" i="14"/>
  <c r="BD558" i="14"/>
  <c r="BD582" i="14"/>
  <c r="BD586" i="14"/>
  <c r="BH465" i="14"/>
  <c r="BH506" i="14"/>
  <c r="BH558" i="14"/>
  <c r="BD486" i="14"/>
  <c r="BD461" i="14"/>
  <c r="BC603" i="14"/>
  <c r="BC460" i="14"/>
  <c r="BC549" i="14"/>
  <c r="BC541" i="14"/>
  <c r="BD521" i="14"/>
  <c r="BD513" i="14"/>
  <c r="BH605" i="14"/>
  <c r="BH597" i="14"/>
  <c r="BH603" i="14"/>
  <c r="BC522" i="14"/>
  <c r="BC440" i="14"/>
  <c r="H514" i="14"/>
  <c r="H449" i="14"/>
  <c r="H605" i="14"/>
  <c r="H416" i="14"/>
  <c r="P597" i="14"/>
  <c r="H513" i="14"/>
  <c r="H588" i="14"/>
  <c r="H575" i="14"/>
  <c r="P433" i="14"/>
  <c r="P476" i="14"/>
  <c r="P549" i="14"/>
  <c r="H521" i="14"/>
  <c r="P514" i="14"/>
  <c r="H584" i="14"/>
  <c r="P605" i="14"/>
  <c r="H432" i="14"/>
  <c r="H597" i="14"/>
  <c r="P513" i="14"/>
  <c r="H586" i="14"/>
  <c r="P480" i="14"/>
  <c r="H438" i="14"/>
  <c r="P522" i="14"/>
  <c r="P467" i="14"/>
  <c r="P434" i="14"/>
  <c r="P440" i="14"/>
  <c r="H422" i="14"/>
  <c r="P466" i="14"/>
  <c r="P432" i="14"/>
  <c r="H476" i="14"/>
  <c r="P584" i="14"/>
  <c r="H603" i="14"/>
  <c r="P460" i="14"/>
  <c r="P481" i="14"/>
  <c r="H434" i="14"/>
  <c r="P422" i="14"/>
  <c r="H466" i="14"/>
  <c r="H549" i="14"/>
  <c r="P586" i="14"/>
  <c r="H541" i="14"/>
  <c r="H570" i="14"/>
  <c r="P449" i="14"/>
  <c r="P559" i="14"/>
  <c r="P479" i="14"/>
  <c r="H460" i="14"/>
  <c r="P575" i="14"/>
  <c r="H512" i="14"/>
  <c r="P512" i="14"/>
  <c r="P582" i="14"/>
  <c r="P596" i="14"/>
  <c r="H454" i="14"/>
  <c r="P508" i="14"/>
  <c r="H530" i="14"/>
  <c r="H522" i="14"/>
  <c r="H559" i="14"/>
  <c r="H479" i="14"/>
  <c r="P550" i="14"/>
  <c r="H480" i="14"/>
  <c r="P438" i="14"/>
  <c r="P570" i="14"/>
  <c r="P465" i="14"/>
  <c r="H440" i="14"/>
  <c r="H506" i="14"/>
  <c r="P558" i="14"/>
  <c r="H486" i="14"/>
  <c r="P461" i="14"/>
  <c r="H582" i="14"/>
  <c r="H596" i="14"/>
  <c r="P454" i="14"/>
  <c r="H508" i="14"/>
  <c r="P530" i="14"/>
  <c r="H478" i="14"/>
  <c r="P416" i="14"/>
  <c r="H550" i="14"/>
  <c r="P603" i="14"/>
  <c r="P588" i="14"/>
  <c r="H481" i="14"/>
  <c r="P478" i="14"/>
  <c r="H465" i="14"/>
  <c r="H433" i="14"/>
  <c r="P506" i="14"/>
  <c r="H558" i="14"/>
  <c r="P486" i="14"/>
  <c r="H461" i="14"/>
  <c r="P507" i="14"/>
  <c r="AG507" i="14" s="1"/>
  <c r="AI507" i="14" s="1"/>
  <c r="AA507" i="14" s="1"/>
  <c r="AD507" i="14" s="1"/>
  <c r="P541" i="14"/>
  <c r="P521" i="14"/>
  <c r="H467" i="14"/>
  <c r="BH559" i="14"/>
  <c r="BH479" i="14"/>
  <c r="BH550" i="14"/>
  <c r="AF586" i="14"/>
  <c r="BG586" i="14"/>
  <c r="BG522" i="14"/>
  <c r="AF522" i="14"/>
  <c r="BG466" i="14"/>
  <c r="AF466" i="14"/>
  <c r="AF584" i="14"/>
  <c r="BG584" i="14"/>
  <c r="BG432" i="14"/>
  <c r="AF432" i="14"/>
  <c r="BD596" i="14"/>
  <c r="BD454" i="14"/>
  <c r="BH508" i="14"/>
  <c r="BD530" i="14"/>
  <c r="BD478" i="14"/>
  <c r="BC586" i="14"/>
  <c r="BG438" i="14"/>
  <c r="AF438" i="14"/>
  <c r="AF434" i="14"/>
  <c r="BG434" i="14"/>
  <c r="BC433" i="14"/>
  <c r="BG422" i="14"/>
  <c r="AF422" i="14"/>
  <c r="BC466" i="14"/>
  <c r="BD416" i="14"/>
  <c r="BC432" i="14"/>
  <c r="AF603" i="14"/>
  <c r="BG603" i="14"/>
  <c r="AF460" i="14"/>
  <c r="BG460" i="14"/>
  <c r="BD481" i="14"/>
  <c r="BG549" i="14"/>
  <c r="AF549" i="14"/>
  <c r="BC584" i="14"/>
  <c r="BG570" i="14"/>
  <c r="AF570" i="14"/>
  <c r="AF559" i="14"/>
  <c r="BG559" i="14"/>
  <c r="BD433" i="14"/>
  <c r="BG479" i="14"/>
  <c r="AF479" i="14"/>
  <c r="BD605" i="14"/>
  <c r="BD432" i="14"/>
  <c r="BC570" i="14"/>
  <c r="BC559" i="14"/>
  <c r="BC479" i="14"/>
  <c r="BC582" i="14"/>
  <c r="AF454" i="14"/>
  <c r="BG454" i="14"/>
  <c r="BG508" i="14"/>
  <c r="AF508" i="14"/>
  <c r="BC530" i="14"/>
  <c r="AF541" i="14"/>
  <c r="BG541" i="14"/>
  <c r="BH521" i="14"/>
  <c r="BD514" i="14"/>
  <c r="BH584" i="14"/>
  <c r="AF416" i="14"/>
  <c r="BG416" i="14"/>
  <c r="BH432" i="14"/>
  <c r="BH513" i="14"/>
  <c r="AF582" i="14"/>
  <c r="BG582" i="14"/>
  <c r="BG596" i="14"/>
  <c r="AF596" i="14"/>
  <c r="BC454" i="14"/>
  <c r="BC508" i="14"/>
  <c r="AF530" i="14"/>
  <c r="BG530" i="14"/>
  <c r="BG480" i="14"/>
  <c r="AF480" i="14"/>
  <c r="BD438" i="14"/>
  <c r="BD570" i="14"/>
  <c r="AF465" i="14"/>
  <c r="BG465" i="14"/>
  <c r="BD434" i="14"/>
  <c r="BG506" i="14"/>
  <c r="AF506" i="14"/>
  <c r="BH466" i="14"/>
  <c r="BC558" i="14"/>
  <c r="BG486" i="14"/>
  <c r="AF486" i="14"/>
  <c r="AF461" i="14"/>
  <c r="BG461" i="14"/>
  <c r="BC550" i="14"/>
  <c r="BC478" i="14"/>
  <c r="BD541" i="14"/>
  <c r="BC480" i="14"/>
  <c r="BC465" i="14"/>
  <c r="AF440" i="14"/>
  <c r="BG440" i="14"/>
  <c r="BC506" i="14"/>
  <c r="BG512" i="14"/>
  <c r="AF512" i="14"/>
  <c r="BG558" i="14"/>
  <c r="AF558" i="14"/>
  <c r="BC416" i="14"/>
  <c r="BC461" i="14"/>
  <c r="BD603" i="14"/>
  <c r="BG588" i="14"/>
  <c r="AF588" i="14"/>
  <c r="BG481" i="14"/>
  <c r="AF481" i="14"/>
  <c r="BD522" i="14"/>
  <c r="AF449" i="14"/>
  <c r="BG449" i="14"/>
  <c r="BG433" i="14"/>
  <c r="AF433" i="14"/>
  <c r="BD422" i="14"/>
  <c r="BC512" i="14"/>
  <c r="BD466" i="14"/>
  <c r="BC605" i="14"/>
  <c r="AF550" i="14"/>
  <c r="BG550" i="14"/>
  <c r="BC588" i="14"/>
  <c r="BC575" i="14"/>
  <c r="AF478" i="14"/>
  <c r="BG478" i="14"/>
  <c r="BH541" i="14"/>
  <c r="BC521" i="14"/>
  <c r="BC467" i="14"/>
  <c r="AF514" i="14"/>
  <c r="BG514" i="14"/>
  <c r="BD559" i="14"/>
  <c r="BD479" i="14"/>
  <c r="AF597" i="14"/>
  <c r="BG597" i="14"/>
  <c r="BC513" i="14"/>
  <c r="BD460" i="14"/>
  <c r="BD549" i="14"/>
  <c r="BD480" i="14"/>
  <c r="BG521" i="14"/>
  <c r="AF521" i="14"/>
  <c r="BH522" i="14"/>
  <c r="BD467" i="14"/>
  <c r="BG467" i="14"/>
  <c r="AF467" i="14"/>
  <c r="BC514" i="14"/>
  <c r="BC449" i="14"/>
  <c r="BH440" i="14"/>
  <c r="BG605" i="14"/>
  <c r="AF605" i="14"/>
  <c r="BC597" i="14"/>
  <c r="AF513" i="14"/>
  <c r="BG513" i="14"/>
  <c r="BG476" i="14"/>
  <c r="AF476" i="14"/>
  <c r="BH582" i="14"/>
  <c r="BH596" i="14"/>
  <c r="BH454" i="14"/>
  <c r="BD508" i="14"/>
  <c r="BH530" i="14"/>
  <c r="BH549" i="14"/>
  <c r="BG575" i="14"/>
  <c r="AF575" i="14"/>
  <c r="BH478" i="14"/>
  <c r="BK516" i="14"/>
  <c r="AI516" i="14"/>
  <c r="AA516" i="14" s="1"/>
  <c r="AD516" i="14" s="1"/>
  <c r="AL516" i="14"/>
  <c r="AN516" i="14"/>
  <c r="AJ516" i="14"/>
  <c r="Z516" i="14" s="1"/>
  <c r="AK516" i="14"/>
  <c r="AM516" i="14"/>
  <c r="AI442" i="14"/>
  <c r="AA442" i="14" s="1"/>
  <c r="AD442" i="14" s="1"/>
  <c r="AL442" i="14"/>
  <c r="AN442" i="14"/>
  <c r="AN574" i="14"/>
  <c r="AL574" i="14"/>
  <c r="AI574" i="14"/>
  <c r="AA574" i="14" s="1"/>
  <c r="AD574" i="14" s="1"/>
  <c r="AI537" i="14"/>
  <c r="AA537" i="14" s="1"/>
  <c r="AD537" i="14" s="1"/>
  <c r="AN537" i="14"/>
  <c r="AL537" i="14"/>
  <c r="AM574" i="14"/>
  <c r="AJ574" i="14"/>
  <c r="Z574" i="14" s="1"/>
  <c r="AK574" i="14"/>
  <c r="AL557" i="14" l="1"/>
  <c r="AN557" i="14"/>
  <c r="BJ557" i="14"/>
  <c r="AK557" i="14"/>
  <c r="AO557" i="14" s="1"/>
  <c r="BE557" i="14"/>
  <c r="AJ557" i="14"/>
  <c r="Z557" i="14" s="1"/>
  <c r="AB557" i="14" s="1"/>
  <c r="AM534" i="14"/>
  <c r="AK534" i="14"/>
  <c r="BI557" i="14"/>
  <c r="BI534" i="14"/>
  <c r="BK534" i="14" s="1"/>
  <c r="AH509" i="14"/>
  <c r="AJ509" i="14" s="1"/>
  <c r="Z509" i="14" s="1"/>
  <c r="AE509" i="14" s="1"/>
  <c r="BE509" i="14"/>
  <c r="BK509" i="14"/>
  <c r="AG509" i="14"/>
  <c r="AI509" i="14" s="1"/>
  <c r="AA509" i="14" s="1"/>
  <c r="AD509" i="14" s="1"/>
  <c r="BE534" i="14"/>
  <c r="BE455" i="14"/>
  <c r="BI455" i="14"/>
  <c r="BE520" i="14"/>
  <c r="AG534" i="14"/>
  <c r="AL534" i="14" s="1"/>
  <c r="AK455" i="14"/>
  <c r="AO455" i="14" s="1"/>
  <c r="AJ455" i="14"/>
  <c r="Z455" i="14" s="1"/>
  <c r="AE455" i="14" s="1"/>
  <c r="AL455" i="14"/>
  <c r="AP455" i="14" s="1"/>
  <c r="AL520" i="14"/>
  <c r="AP520" i="14" s="1"/>
  <c r="AI520" i="14"/>
  <c r="AA520" i="14" s="1"/>
  <c r="AD520" i="14" s="1"/>
  <c r="AI455" i="14"/>
  <c r="AA455" i="14" s="1"/>
  <c r="AD455" i="14" s="1"/>
  <c r="BJ455" i="14"/>
  <c r="AH520" i="14"/>
  <c r="AJ520" i="14" s="1"/>
  <c r="Z520" i="14" s="1"/>
  <c r="AE520" i="14" s="1"/>
  <c r="BJ520" i="14"/>
  <c r="BK520" i="14" s="1"/>
  <c r="BE490" i="14"/>
  <c r="AG490" i="14"/>
  <c r="AI490" i="14" s="1"/>
  <c r="AA490" i="14" s="1"/>
  <c r="AD490" i="14" s="1"/>
  <c r="BF488" i="14"/>
  <c r="AH490" i="14"/>
  <c r="AJ490" i="14" s="1"/>
  <c r="Z490" i="14" s="1"/>
  <c r="AE490" i="14" s="1"/>
  <c r="BE488" i="14"/>
  <c r="BK490" i="14"/>
  <c r="AL488" i="14"/>
  <c r="AP488" i="14" s="1"/>
  <c r="AI488" i="14"/>
  <c r="AA488" i="14" s="1"/>
  <c r="AD488" i="14" s="1"/>
  <c r="BJ488" i="14"/>
  <c r="BK488" i="14" s="1"/>
  <c r="AH542" i="14"/>
  <c r="AK542" i="14" s="1"/>
  <c r="AH488" i="14"/>
  <c r="AK488" i="14" s="1"/>
  <c r="BE542" i="14"/>
  <c r="BK542" i="14"/>
  <c r="BE500" i="14"/>
  <c r="AG542" i="14"/>
  <c r="AI542" i="14" s="1"/>
  <c r="AA542" i="14" s="1"/>
  <c r="AD542" i="14" s="1"/>
  <c r="AH500" i="14"/>
  <c r="AM500" i="14" s="1"/>
  <c r="BE531" i="14"/>
  <c r="AG531" i="14"/>
  <c r="AN531" i="14" s="1"/>
  <c r="AI500" i="14"/>
  <c r="AA500" i="14" s="1"/>
  <c r="AD500" i="14" s="1"/>
  <c r="AL500" i="14"/>
  <c r="AP500" i="14" s="1"/>
  <c r="AN593" i="14"/>
  <c r="AP593" i="14" s="1"/>
  <c r="BE493" i="14"/>
  <c r="AG493" i="14"/>
  <c r="AL493" i="14" s="1"/>
  <c r="BK531" i="14"/>
  <c r="BE593" i="14"/>
  <c r="BK493" i="14"/>
  <c r="AH493" i="14"/>
  <c r="AK493" i="14" s="1"/>
  <c r="AH531" i="14"/>
  <c r="AK531" i="14" s="1"/>
  <c r="BJ500" i="14"/>
  <c r="BK500" i="14" s="1"/>
  <c r="AI593" i="14"/>
  <c r="AA593" i="14" s="1"/>
  <c r="AD593" i="14" s="1"/>
  <c r="BJ593" i="14"/>
  <c r="BE431" i="14"/>
  <c r="AM593" i="14"/>
  <c r="AO593" i="14" s="1"/>
  <c r="BI593" i="14"/>
  <c r="AJ593" i="14"/>
  <c r="Z593" i="14" s="1"/>
  <c r="AE593" i="14" s="1"/>
  <c r="BE430" i="14"/>
  <c r="AH430" i="14"/>
  <c r="AJ430" i="14" s="1"/>
  <c r="Z430" i="14" s="1"/>
  <c r="AE430" i="14" s="1"/>
  <c r="AL430" i="14"/>
  <c r="AP430" i="14" s="1"/>
  <c r="AI430" i="14"/>
  <c r="AA430" i="14" s="1"/>
  <c r="AD430" i="14" s="1"/>
  <c r="AJ431" i="14"/>
  <c r="Z431" i="14" s="1"/>
  <c r="AE431" i="14" s="1"/>
  <c r="AM431" i="14"/>
  <c r="AO431" i="14" s="1"/>
  <c r="BJ430" i="14"/>
  <c r="BK430" i="14" s="1"/>
  <c r="BE577" i="14"/>
  <c r="AG577" i="14"/>
  <c r="AI577" i="14" s="1"/>
  <c r="AA577" i="14" s="1"/>
  <c r="AD577" i="14" s="1"/>
  <c r="AN431" i="14"/>
  <c r="BI431" i="14"/>
  <c r="AL431" i="14"/>
  <c r="BJ431" i="14"/>
  <c r="BK577" i="14"/>
  <c r="AH577" i="14"/>
  <c r="AJ577" i="14" s="1"/>
  <c r="Z577" i="14" s="1"/>
  <c r="AE577" i="14" s="1"/>
  <c r="BE581" i="14"/>
  <c r="AI581" i="14"/>
  <c r="AA581" i="14" s="1"/>
  <c r="AD581" i="14" s="1"/>
  <c r="BJ581" i="14"/>
  <c r="AN581" i="14"/>
  <c r="AP581" i="14" s="1"/>
  <c r="AJ581" i="14"/>
  <c r="Z581" i="14" s="1"/>
  <c r="BI581" i="14"/>
  <c r="AK581" i="14"/>
  <c r="AO581" i="14" s="1"/>
  <c r="AG439" i="14"/>
  <c r="AN439" i="14" s="1"/>
  <c r="BE439" i="14"/>
  <c r="BE606" i="14"/>
  <c r="AH439" i="14"/>
  <c r="AJ439" i="14" s="1"/>
  <c r="Z439" i="14" s="1"/>
  <c r="AE439" i="14" s="1"/>
  <c r="BK439" i="14"/>
  <c r="AG606" i="14"/>
  <c r="AN606" i="14" s="1"/>
  <c r="AM606" i="14"/>
  <c r="AK606" i="14"/>
  <c r="BI606" i="14"/>
  <c r="BK606" i="14" s="1"/>
  <c r="BF528" i="14"/>
  <c r="BE528" i="14"/>
  <c r="AH528" i="14"/>
  <c r="AJ528" i="14" s="1"/>
  <c r="Z528" i="14" s="1"/>
  <c r="AE528" i="14" s="1"/>
  <c r="AG528" i="14"/>
  <c r="AL528" i="14" s="1"/>
  <c r="BK528" i="14"/>
  <c r="BE494" i="14"/>
  <c r="BJ494" i="14"/>
  <c r="BK494" i="14" s="1"/>
  <c r="AI494" i="14"/>
  <c r="AA494" i="14" s="1"/>
  <c r="AD494" i="14" s="1"/>
  <c r="AL494" i="14"/>
  <c r="AP494" i="14" s="1"/>
  <c r="BI504" i="14"/>
  <c r="BK504" i="14" s="1"/>
  <c r="AJ504" i="14"/>
  <c r="Z504" i="14" s="1"/>
  <c r="AE504" i="14" s="1"/>
  <c r="AK504" i="14"/>
  <c r="AO504" i="14" s="1"/>
  <c r="BF513" i="14"/>
  <c r="AG504" i="14"/>
  <c r="AN504" i="14" s="1"/>
  <c r="AH494" i="14"/>
  <c r="AM494" i="14" s="1"/>
  <c r="BE504" i="14"/>
  <c r="BE487" i="14"/>
  <c r="AI464" i="14"/>
  <c r="AA464" i="14" s="1"/>
  <c r="AD464" i="14" s="1"/>
  <c r="AL464" i="14"/>
  <c r="AP464" i="14" s="1"/>
  <c r="BJ464" i="14"/>
  <c r="AJ464" i="14"/>
  <c r="Z464" i="14" s="1"/>
  <c r="BE464" i="14"/>
  <c r="BE529" i="14"/>
  <c r="AM464" i="14"/>
  <c r="AO464" i="14" s="1"/>
  <c r="BI464" i="14"/>
  <c r="BE532" i="14"/>
  <c r="AH487" i="14"/>
  <c r="AK487" i="14" s="1"/>
  <c r="AN487" i="14"/>
  <c r="AL487" i="14"/>
  <c r="BJ487" i="14"/>
  <c r="BK487" i="14" s="1"/>
  <c r="BK529" i="14"/>
  <c r="AH529" i="14"/>
  <c r="AK529" i="14" s="1"/>
  <c r="AG529" i="14"/>
  <c r="AI529" i="14" s="1"/>
  <c r="AA529" i="14" s="1"/>
  <c r="AD529" i="14" s="1"/>
  <c r="BE497" i="14"/>
  <c r="BE589" i="14"/>
  <c r="AN532" i="14"/>
  <c r="AP532" i="14" s="1"/>
  <c r="AI532" i="14"/>
  <c r="AA532" i="14" s="1"/>
  <c r="AD532" i="14" s="1"/>
  <c r="BJ532" i="14"/>
  <c r="BK532" i="14" s="1"/>
  <c r="BE539" i="14"/>
  <c r="AH532" i="14"/>
  <c r="AM532" i="14" s="1"/>
  <c r="AN589" i="14"/>
  <c r="AL589" i="14"/>
  <c r="AH589" i="14"/>
  <c r="AM589" i="14" s="1"/>
  <c r="BJ589" i="14"/>
  <c r="BK589" i="14" s="1"/>
  <c r="AG598" i="14"/>
  <c r="AL598" i="14" s="1"/>
  <c r="AH539" i="14"/>
  <c r="AJ539" i="14" s="1"/>
  <c r="Z539" i="14" s="1"/>
  <c r="AE539" i="14" s="1"/>
  <c r="BF418" i="14"/>
  <c r="AK497" i="14"/>
  <c r="AM497" i="14"/>
  <c r="AM418" i="14"/>
  <c r="AO418" i="14" s="1"/>
  <c r="AJ418" i="14"/>
  <c r="Z418" i="14" s="1"/>
  <c r="AE418" i="14" s="1"/>
  <c r="BI497" i="14"/>
  <c r="BI418" i="14"/>
  <c r="AI539" i="14"/>
  <c r="AA539" i="14" s="1"/>
  <c r="AD539" i="14" s="1"/>
  <c r="AL539" i="14"/>
  <c r="AP539" i="14" s="1"/>
  <c r="BJ539" i="14"/>
  <c r="BK539" i="14" s="1"/>
  <c r="AI497" i="14"/>
  <c r="AA497" i="14" s="1"/>
  <c r="AD497" i="14" s="1"/>
  <c r="AN497" i="14"/>
  <c r="AP497" i="14" s="1"/>
  <c r="BJ497" i="14"/>
  <c r="BE420" i="14"/>
  <c r="BK598" i="14"/>
  <c r="BJ418" i="14"/>
  <c r="BE441" i="14"/>
  <c r="BI420" i="14"/>
  <c r="BK420" i="14" s="1"/>
  <c r="BI614" i="14"/>
  <c r="BK614" i="14" s="1"/>
  <c r="AK420" i="14"/>
  <c r="AM420" i="14"/>
  <c r="AG420" i="14"/>
  <c r="AI420" i="14" s="1"/>
  <c r="AA420" i="14" s="1"/>
  <c r="AD420" i="14" s="1"/>
  <c r="BE418" i="14"/>
  <c r="AI437" i="14"/>
  <c r="AA437" i="14" s="1"/>
  <c r="AD437" i="14" s="1"/>
  <c r="AN437" i="14"/>
  <c r="AP437" i="14" s="1"/>
  <c r="BE443" i="14"/>
  <c r="AH568" i="14"/>
  <c r="AJ568" i="14" s="1"/>
  <c r="Z568" i="14" s="1"/>
  <c r="AE568" i="14" s="1"/>
  <c r="AK614" i="14"/>
  <c r="AN441" i="14"/>
  <c r="AP441" i="14" s="1"/>
  <c r="AI441" i="14"/>
  <c r="AA441" i="14" s="1"/>
  <c r="AD441" i="14" s="1"/>
  <c r="BJ437" i="14"/>
  <c r="BJ441" i="14"/>
  <c r="AM614" i="14"/>
  <c r="AK441" i="14"/>
  <c r="AH495" i="14"/>
  <c r="AK495" i="14" s="1"/>
  <c r="AM441" i="14"/>
  <c r="BI441" i="14"/>
  <c r="BI437" i="14"/>
  <c r="AK611" i="14"/>
  <c r="AM611" i="14"/>
  <c r="AM437" i="14"/>
  <c r="AK437" i="14"/>
  <c r="BI611" i="14"/>
  <c r="BE568" i="14"/>
  <c r="BE611" i="14"/>
  <c r="BE459" i="14"/>
  <c r="BE598" i="14"/>
  <c r="BE591" i="14"/>
  <c r="BE495" i="14"/>
  <c r="AM443" i="14"/>
  <c r="BE437" i="14"/>
  <c r="BE608" i="14"/>
  <c r="BE544" i="14"/>
  <c r="AM459" i="14"/>
  <c r="AM503" i="14"/>
  <c r="BK568" i="14"/>
  <c r="AG568" i="14"/>
  <c r="AN568" i="14" s="1"/>
  <c r="AG613" i="14"/>
  <c r="AL613" i="14" s="1"/>
  <c r="BE555" i="14"/>
  <c r="BE419" i="14"/>
  <c r="BE613" i="14"/>
  <c r="AG459" i="14"/>
  <c r="AI459" i="14" s="1"/>
  <c r="AA459" i="14" s="1"/>
  <c r="AD459" i="14" s="1"/>
  <c r="BE607" i="14"/>
  <c r="BE614" i="14"/>
  <c r="AK503" i="14"/>
  <c r="AK459" i="14"/>
  <c r="BI459" i="14"/>
  <c r="BK459" i="14" s="1"/>
  <c r="AK613" i="14"/>
  <c r="AO613" i="14" s="1"/>
  <c r="AJ613" i="14"/>
  <c r="Z613" i="14" s="1"/>
  <c r="AE613" i="14" s="1"/>
  <c r="AI611" i="14"/>
  <c r="AA611" i="14" s="1"/>
  <c r="AD611" i="14" s="1"/>
  <c r="BI613" i="14"/>
  <c r="BK613" i="14" s="1"/>
  <c r="BJ611" i="14"/>
  <c r="AL611" i="14"/>
  <c r="AP611" i="14" s="1"/>
  <c r="BE424" i="14"/>
  <c r="AG614" i="14"/>
  <c r="AL614" i="14" s="1"/>
  <c r="BE517" i="14"/>
  <c r="BE526" i="14"/>
  <c r="AI443" i="14"/>
  <c r="AA443" i="14" s="1"/>
  <c r="AD443" i="14" s="1"/>
  <c r="BJ443" i="14"/>
  <c r="AN615" i="14"/>
  <c r="BK495" i="14"/>
  <c r="AN443" i="14"/>
  <c r="AP443" i="14" s="1"/>
  <c r="AG560" i="14"/>
  <c r="AI560" i="14" s="1"/>
  <c r="AA560" i="14" s="1"/>
  <c r="AD560" i="14" s="1"/>
  <c r="AG595" i="14"/>
  <c r="AL595" i="14" s="1"/>
  <c r="BE503" i="14"/>
  <c r="AH552" i="14"/>
  <c r="AK552" i="14" s="1"/>
  <c r="AH544" i="14"/>
  <c r="AJ544" i="14" s="1"/>
  <c r="Z544" i="14" s="1"/>
  <c r="AE544" i="14" s="1"/>
  <c r="AL615" i="14"/>
  <c r="AJ607" i="14"/>
  <c r="Z607" i="14" s="1"/>
  <c r="AE607" i="14" s="1"/>
  <c r="AH608" i="14"/>
  <c r="AJ608" i="14" s="1"/>
  <c r="Z608" i="14" s="1"/>
  <c r="AE608" i="14" s="1"/>
  <c r="BE573" i="14"/>
  <c r="AN573" i="14"/>
  <c r="BE560" i="14"/>
  <c r="AG495" i="14"/>
  <c r="AI495" i="14" s="1"/>
  <c r="AA495" i="14" s="1"/>
  <c r="AD495" i="14" s="1"/>
  <c r="BK608" i="14"/>
  <c r="BE595" i="14"/>
  <c r="BK552" i="14"/>
  <c r="BE615" i="14"/>
  <c r="BE535" i="14"/>
  <c r="BE609" i="14"/>
  <c r="AK443" i="14"/>
  <c r="BJ502" i="14"/>
  <c r="BK595" i="14"/>
  <c r="AM607" i="14"/>
  <c r="AO607" i="14" s="1"/>
  <c r="BI607" i="14"/>
  <c r="BK607" i="14" s="1"/>
  <c r="AI591" i="14"/>
  <c r="AA591" i="14" s="1"/>
  <c r="AD591" i="14" s="1"/>
  <c r="AN591" i="14"/>
  <c r="AP591" i="14" s="1"/>
  <c r="BJ609" i="14"/>
  <c r="BK609" i="14" s="1"/>
  <c r="BI443" i="14"/>
  <c r="AL502" i="14"/>
  <c r="AP502" i="14" s="1"/>
  <c r="AG552" i="14"/>
  <c r="AL552" i="14" s="1"/>
  <c r="BE502" i="14"/>
  <c r="AN424" i="14"/>
  <c r="AP424" i="14" s="1"/>
  <c r="AI424" i="14"/>
  <c r="AA424" i="14" s="1"/>
  <c r="AD424" i="14" s="1"/>
  <c r="AK502" i="14"/>
  <c r="BI502" i="14"/>
  <c r="BI503" i="14"/>
  <c r="AH598" i="14"/>
  <c r="AM598" i="14" s="1"/>
  <c r="AG419" i="14"/>
  <c r="AI419" i="14" s="1"/>
  <c r="AA419" i="14" s="1"/>
  <c r="AD419" i="14" s="1"/>
  <c r="AM502" i="14"/>
  <c r="AH595" i="14"/>
  <c r="AJ595" i="14" s="1"/>
  <c r="Z595" i="14" s="1"/>
  <c r="AE595" i="14" s="1"/>
  <c r="AH445" i="14"/>
  <c r="AJ445" i="14" s="1"/>
  <c r="Z445" i="14" s="1"/>
  <c r="AE445" i="14" s="1"/>
  <c r="BJ424" i="14"/>
  <c r="AI544" i="14"/>
  <c r="AA544" i="14" s="1"/>
  <c r="AD544" i="14" s="1"/>
  <c r="AN544" i="14"/>
  <c r="AP544" i="14" s="1"/>
  <c r="BF501" i="14"/>
  <c r="BJ544" i="14"/>
  <c r="BK544" i="14" s="1"/>
  <c r="AG607" i="14"/>
  <c r="AI607" i="14" s="1"/>
  <c r="AA607" i="14" s="1"/>
  <c r="AD607" i="14" s="1"/>
  <c r="BK560" i="14"/>
  <c r="BE428" i="14"/>
  <c r="AH573" i="14"/>
  <c r="AK573" i="14" s="1"/>
  <c r="AJ555" i="14"/>
  <c r="Z555" i="14" s="1"/>
  <c r="AE555" i="14" s="1"/>
  <c r="AL517" i="14"/>
  <c r="AN517" i="14"/>
  <c r="AL573" i="14"/>
  <c r="AG526" i="14"/>
  <c r="AI526" i="14" s="1"/>
  <c r="AA526" i="14" s="1"/>
  <c r="AD526" i="14" s="1"/>
  <c r="AH517" i="14"/>
  <c r="AJ517" i="14" s="1"/>
  <c r="Z517" i="14" s="1"/>
  <c r="AB517" i="14" s="1"/>
  <c r="AI503" i="14"/>
  <c r="AA503" i="14" s="1"/>
  <c r="AD503" i="14" s="1"/>
  <c r="BJ517" i="14"/>
  <c r="BK517" i="14" s="1"/>
  <c r="AL503" i="14"/>
  <c r="AP503" i="14" s="1"/>
  <c r="AH560" i="14"/>
  <c r="AJ560" i="14" s="1"/>
  <c r="Z560" i="14" s="1"/>
  <c r="BK526" i="14"/>
  <c r="BI424" i="14"/>
  <c r="AN609" i="14"/>
  <c r="AP609" i="14" s="1"/>
  <c r="AI609" i="14"/>
  <c r="AA609" i="14" s="1"/>
  <c r="AD609" i="14" s="1"/>
  <c r="BJ591" i="14"/>
  <c r="BK591" i="14" s="1"/>
  <c r="AJ424" i="14"/>
  <c r="Z424" i="14" s="1"/>
  <c r="AE424" i="14" s="1"/>
  <c r="AI502" i="14"/>
  <c r="AA502" i="14" s="1"/>
  <c r="AD502" i="14" s="1"/>
  <c r="BK419" i="14"/>
  <c r="AM424" i="14"/>
  <c r="AO424" i="14" s="1"/>
  <c r="AH526" i="14"/>
  <c r="AJ526" i="14" s="1"/>
  <c r="Z526" i="14" s="1"/>
  <c r="AE526" i="14" s="1"/>
  <c r="BE445" i="14"/>
  <c r="BE552" i="14"/>
  <c r="AH419" i="14"/>
  <c r="AK419" i="14" s="1"/>
  <c r="BI535" i="14"/>
  <c r="BK535" i="14" s="1"/>
  <c r="AM535" i="14"/>
  <c r="AO535" i="14" s="1"/>
  <c r="AJ535" i="14"/>
  <c r="Z535" i="14" s="1"/>
  <c r="AE535" i="14" s="1"/>
  <c r="BJ503" i="14"/>
  <c r="AH591" i="14"/>
  <c r="AM591" i="14" s="1"/>
  <c r="AN555" i="14"/>
  <c r="AP555" i="14" s="1"/>
  <c r="AM555" i="14"/>
  <c r="AO555" i="14" s="1"/>
  <c r="AG608" i="14"/>
  <c r="AI608" i="14" s="1"/>
  <c r="AA608" i="14" s="1"/>
  <c r="AD608" i="14" s="1"/>
  <c r="AG535" i="14"/>
  <c r="AL535" i="14" s="1"/>
  <c r="BJ555" i="14"/>
  <c r="BJ573" i="14"/>
  <c r="BK573" i="14" s="1"/>
  <c r="AI555" i="14"/>
  <c r="AA555" i="14" s="1"/>
  <c r="AD555" i="14" s="1"/>
  <c r="BI555" i="14"/>
  <c r="AN445" i="14"/>
  <c r="BJ615" i="14"/>
  <c r="BK615" i="14" s="1"/>
  <c r="AL445" i="14"/>
  <c r="BJ445" i="14"/>
  <c r="BK445" i="14" s="1"/>
  <c r="AJ428" i="14"/>
  <c r="Z428" i="14" s="1"/>
  <c r="AE428" i="14" s="1"/>
  <c r="AH609" i="14"/>
  <c r="AJ609" i="14" s="1"/>
  <c r="Z609" i="14" s="1"/>
  <c r="AE609" i="14" s="1"/>
  <c r="AK428" i="14"/>
  <c r="AO428" i="14" s="1"/>
  <c r="BI428" i="14"/>
  <c r="BK428" i="14" s="1"/>
  <c r="AG428" i="14"/>
  <c r="AL428" i="14" s="1"/>
  <c r="AH615" i="14"/>
  <c r="AJ615" i="14" s="1"/>
  <c r="Z615" i="14" s="1"/>
  <c r="AE615" i="14" s="1"/>
  <c r="BE482" i="14"/>
  <c r="BE501" i="14"/>
  <c r="AG501" i="14"/>
  <c r="AN501" i="14" s="1"/>
  <c r="BE470" i="14"/>
  <c r="BK501" i="14"/>
  <c r="AH501" i="14"/>
  <c r="AM501" i="14" s="1"/>
  <c r="BE583" i="14"/>
  <c r="BE463" i="14"/>
  <c r="BE553" i="14"/>
  <c r="BE475" i="14"/>
  <c r="BK505" i="14"/>
  <c r="BE587" i="14"/>
  <c r="AG463" i="14"/>
  <c r="AL463" i="14" s="1"/>
  <c r="AJ553" i="14"/>
  <c r="Z553" i="14" s="1"/>
  <c r="AE553" i="14" s="1"/>
  <c r="BI553" i="14"/>
  <c r="AI553" i="14"/>
  <c r="AA553" i="14" s="1"/>
  <c r="AD553" i="14" s="1"/>
  <c r="AN553" i="14"/>
  <c r="AP553" i="14" s="1"/>
  <c r="BJ553" i="14"/>
  <c r="BI463" i="14"/>
  <c r="BK463" i="14" s="1"/>
  <c r="AM553" i="14"/>
  <c r="AO553" i="14" s="1"/>
  <c r="AM463" i="14"/>
  <c r="AO463" i="14" s="1"/>
  <c r="BE571" i="14"/>
  <c r="AJ463" i="14"/>
  <c r="Z463" i="14" s="1"/>
  <c r="AE463" i="14" s="1"/>
  <c r="AN587" i="14"/>
  <c r="BE566" i="14"/>
  <c r="BI451" i="14"/>
  <c r="BK451" i="14" s="1"/>
  <c r="AG583" i="14"/>
  <c r="AN583" i="14" s="1"/>
  <c r="AG505" i="14"/>
  <c r="AL505" i="14" s="1"/>
  <c r="AH470" i="14"/>
  <c r="AJ470" i="14" s="1"/>
  <c r="Z470" i="14" s="1"/>
  <c r="AE470" i="14" s="1"/>
  <c r="AN470" i="14"/>
  <c r="AP470" i="14" s="1"/>
  <c r="AL587" i="14"/>
  <c r="AI470" i="14"/>
  <c r="AA470" i="14" s="1"/>
  <c r="AD470" i="14" s="1"/>
  <c r="BJ470" i="14"/>
  <c r="BK470" i="14" s="1"/>
  <c r="AL571" i="14"/>
  <c r="AP571" i="14" s="1"/>
  <c r="AM587" i="14"/>
  <c r="AI571" i="14"/>
  <c r="AA571" i="14" s="1"/>
  <c r="AD571" i="14" s="1"/>
  <c r="AK587" i="14"/>
  <c r="BJ587" i="14"/>
  <c r="BI587" i="14"/>
  <c r="AG578" i="14"/>
  <c r="AL578" i="14" s="1"/>
  <c r="BJ571" i="14"/>
  <c r="BK571" i="14" s="1"/>
  <c r="BE492" i="14"/>
  <c r="BE578" i="14"/>
  <c r="BE518" i="14"/>
  <c r="AK583" i="14"/>
  <c r="AO583" i="14" s="1"/>
  <c r="AM492" i="14"/>
  <c r="AO492" i="14" s="1"/>
  <c r="BE458" i="14"/>
  <c r="BI492" i="14"/>
  <c r="AJ492" i="14"/>
  <c r="Z492" i="14" s="1"/>
  <c r="AE492" i="14" s="1"/>
  <c r="BE451" i="14"/>
  <c r="AL475" i="14"/>
  <c r="AM475" i="14"/>
  <c r="AO475" i="14" s="1"/>
  <c r="AJ475" i="14"/>
  <c r="Z475" i="14" s="1"/>
  <c r="AB475" i="14" s="1"/>
  <c r="BI475" i="14"/>
  <c r="BI583" i="14"/>
  <c r="BK583" i="14" s="1"/>
  <c r="BE426" i="14"/>
  <c r="BE543" i="14"/>
  <c r="AJ578" i="14"/>
  <c r="Z578" i="14" s="1"/>
  <c r="AE578" i="14" s="1"/>
  <c r="BJ518" i="14"/>
  <c r="BE496" i="14"/>
  <c r="BE505" i="14"/>
  <c r="BI578" i="14"/>
  <c r="BK578" i="14" s="1"/>
  <c r="AK578" i="14"/>
  <c r="AO578" i="14" s="1"/>
  <c r="AK604" i="14"/>
  <c r="AO604" i="14" s="1"/>
  <c r="AJ604" i="14"/>
  <c r="Z604" i="14" s="1"/>
  <c r="AE604" i="14" s="1"/>
  <c r="AG482" i="14"/>
  <c r="AN482" i="14" s="1"/>
  <c r="AL518" i="14"/>
  <c r="AP518" i="14" s="1"/>
  <c r="AI518" i="14"/>
  <c r="AA518" i="14" s="1"/>
  <c r="AD518" i="14" s="1"/>
  <c r="AI566" i="14"/>
  <c r="AA566" i="14" s="1"/>
  <c r="AD566" i="14" s="1"/>
  <c r="AN566" i="14"/>
  <c r="AP566" i="14" s="1"/>
  <c r="AN475" i="14"/>
  <c r="AH566" i="14"/>
  <c r="AJ566" i="14" s="1"/>
  <c r="Z566" i="14" s="1"/>
  <c r="BJ475" i="14"/>
  <c r="AJ583" i="14"/>
  <c r="Z583" i="14" s="1"/>
  <c r="AE583" i="14" s="1"/>
  <c r="AH571" i="14"/>
  <c r="AJ571" i="14" s="1"/>
  <c r="Z571" i="14" s="1"/>
  <c r="AJ496" i="14"/>
  <c r="Z496" i="14" s="1"/>
  <c r="AE496" i="14" s="1"/>
  <c r="AK496" i="14"/>
  <c r="AO496" i="14" s="1"/>
  <c r="AG543" i="14"/>
  <c r="AN543" i="14" s="1"/>
  <c r="BI496" i="14"/>
  <c r="BK496" i="14" s="1"/>
  <c r="BI518" i="14"/>
  <c r="AL492" i="14"/>
  <c r="AP492" i="14" s="1"/>
  <c r="AI492" i="14"/>
  <c r="AA492" i="14" s="1"/>
  <c r="AD492" i="14" s="1"/>
  <c r="AM518" i="14"/>
  <c r="AO518" i="14" s="1"/>
  <c r="AJ518" i="14"/>
  <c r="Z518" i="14" s="1"/>
  <c r="AM543" i="14"/>
  <c r="BI482" i="14"/>
  <c r="BK482" i="14" s="1"/>
  <c r="AK543" i="14"/>
  <c r="AH505" i="14"/>
  <c r="AM505" i="14" s="1"/>
  <c r="AM451" i="14"/>
  <c r="AO451" i="14" s="1"/>
  <c r="AJ451" i="14"/>
  <c r="Z451" i="14" s="1"/>
  <c r="AE451" i="14" s="1"/>
  <c r="AJ482" i="14"/>
  <c r="Z482" i="14" s="1"/>
  <c r="AE482" i="14" s="1"/>
  <c r="BI543" i="14"/>
  <c r="BK543" i="14" s="1"/>
  <c r="AK482" i="14"/>
  <c r="AO482" i="14" s="1"/>
  <c r="BE444" i="14"/>
  <c r="BE485" i="14"/>
  <c r="AG496" i="14"/>
  <c r="AL496" i="14" s="1"/>
  <c r="BE489" i="14"/>
  <c r="BJ566" i="14"/>
  <c r="BK566" i="14" s="1"/>
  <c r="BI458" i="14"/>
  <c r="BE523" i="14"/>
  <c r="BE536" i="14"/>
  <c r="AM458" i="14"/>
  <c r="AO458" i="14" s="1"/>
  <c r="AJ458" i="14"/>
  <c r="Z458" i="14" s="1"/>
  <c r="AH426" i="14"/>
  <c r="AK426" i="14" s="1"/>
  <c r="BJ485" i="14"/>
  <c r="AI540" i="14"/>
  <c r="AA540" i="14" s="1"/>
  <c r="AD540" i="14" s="1"/>
  <c r="BK602" i="14"/>
  <c r="AN540" i="14"/>
  <c r="AP540" i="14" s="1"/>
  <c r="AL485" i="14"/>
  <c r="AP485" i="14" s="1"/>
  <c r="AI485" i="14"/>
  <c r="AA485" i="14" s="1"/>
  <c r="AD485" i="14" s="1"/>
  <c r="AL523" i="14"/>
  <c r="BE604" i="14"/>
  <c r="AN523" i="14"/>
  <c r="BJ523" i="14"/>
  <c r="BK523" i="14" s="1"/>
  <c r="AG602" i="14"/>
  <c r="AI602" i="14" s="1"/>
  <c r="AA602" i="14" s="1"/>
  <c r="AD602" i="14" s="1"/>
  <c r="BE602" i="14"/>
  <c r="AG451" i="14"/>
  <c r="AI451" i="14" s="1"/>
  <c r="AA451" i="14" s="1"/>
  <c r="AD451" i="14" s="1"/>
  <c r="BJ492" i="14"/>
  <c r="BE477" i="14"/>
  <c r="AI426" i="14"/>
  <c r="AA426" i="14" s="1"/>
  <c r="AD426" i="14" s="1"/>
  <c r="AN426" i="14"/>
  <c r="AP426" i="14" s="1"/>
  <c r="AN458" i="14"/>
  <c r="AP458" i="14" s="1"/>
  <c r="AI458" i="14"/>
  <c r="AA458" i="14" s="1"/>
  <c r="AD458" i="14" s="1"/>
  <c r="AK540" i="14"/>
  <c r="AO540" i="14" s="1"/>
  <c r="AH602" i="14"/>
  <c r="AM602" i="14" s="1"/>
  <c r="BJ458" i="14"/>
  <c r="AH536" i="14"/>
  <c r="AJ536" i="14" s="1"/>
  <c r="Z536" i="14" s="1"/>
  <c r="AE536" i="14" s="1"/>
  <c r="BJ426" i="14"/>
  <c r="BK426" i="14" s="1"/>
  <c r="BJ477" i="14"/>
  <c r="BK477" i="14" s="1"/>
  <c r="BK536" i="14"/>
  <c r="AG604" i="14"/>
  <c r="AN604" i="14" s="1"/>
  <c r="BI604" i="14"/>
  <c r="BK604" i="14" s="1"/>
  <c r="BE576" i="14"/>
  <c r="AN585" i="14"/>
  <c r="AH523" i="14"/>
  <c r="AM523" i="14" s="1"/>
  <c r="BE473" i="14"/>
  <c r="AL585" i="14"/>
  <c r="BI540" i="14"/>
  <c r="AK485" i="14"/>
  <c r="BI485" i="14"/>
  <c r="AM485" i="14"/>
  <c r="AI477" i="14"/>
  <c r="AA477" i="14" s="1"/>
  <c r="AD477" i="14" s="1"/>
  <c r="AN477" i="14"/>
  <c r="AP477" i="14" s="1"/>
  <c r="BE540" i="14"/>
  <c r="AG536" i="14"/>
  <c r="AI536" i="14" s="1"/>
  <c r="AA536" i="14" s="1"/>
  <c r="AD536" i="14" s="1"/>
  <c r="AH489" i="14"/>
  <c r="AK489" i="14" s="1"/>
  <c r="AI489" i="14"/>
  <c r="AA489" i="14" s="1"/>
  <c r="AD489" i="14" s="1"/>
  <c r="AL489" i="14"/>
  <c r="AP489" i="14" s="1"/>
  <c r="BJ489" i="14"/>
  <c r="BK489" i="14" s="1"/>
  <c r="AJ540" i="14"/>
  <c r="Z540" i="14" s="1"/>
  <c r="AE540" i="14" s="1"/>
  <c r="BJ540" i="14"/>
  <c r="BJ585" i="14"/>
  <c r="BE585" i="14"/>
  <c r="AH477" i="14"/>
  <c r="AM477" i="14" s="1"/>
  <c r="BJ576" i="14"/>
  <c r="AK576" i="14"/>
  <c r="BI576" i="14"/>
  <c r="AM576" i="14"/>
  <c r="AK472" i="14"/>
  <c r="AO472" i="14" s="1"/>
  <c r="AJ585" i="14"/>
  <c r="Z585" i="14" s="1"/>
  <c r="AE585" i="14" s="1"/>
  <c r="BI585" i="14"/>
  <c r="AM585" i="14"/>
  <c r="AO585" i="14" s="1"/>
  <c r="AN576" i="14"/>
  <c r="AP576" i="14" s="1"/>
  <c r="AI576" i="14"/>
  <c r="AA576" i="14" s="1"/>
  <c r="AD576" i="14" s="1"/>
  <c r="BE472" i="14"/>
  <c r="BE457" i="14"/>
  <c r="AG616" i="14"/>
  <c r="AI616" i="14" s="1"/>
  <c r="AA616" i="14" s="1"/>
  <c r="AD616" i="14" s="1"/>
  <c r="BI616" i="14"/>
  <c r="BK616" i="14" s="1"/>
  <c r="BE447" i="14"/>
  <c r="BE548" i="14"/>
  <c r="AJ472" i="14"/>
  <c r="Z472" i="14" s="1"/>
  <c r="AE472" i="14" s="1"/>
  <c r="BI472" i="14"/>
  <c r="BK472" i="14" s="1"/>
  <c r="AH548" i="14"/>
  <c r="AJ548" i="14" s="1"/>
  <c r="Z548" i="14" s="1"/>
  <c r="AE548" i="14" s="1"/>
  <c r="BE434" i="14"/>
  <c r="BF586" i="14"/>
  <c r="AG472" i="14"/>
  <c r="AI472" i="14" s="1"/>
  <c r="AA472" i="14" s="1"/>
  <c r="AD472" i="14" s="1"/>
  <c r="BK457" i="14"/>
  <c r="AG457" i="14"/>
  <c r="AI457" i="14" s="1"/>
  <c r="AA457" i="14" s="1"/>
  <c r="AD457" i="14" s="1"/>
  <c r="AH457" i="14"/>
  <c r="AK457" i="14" s="1"/>
  <c r="BE421" i="14"/>
  <c r="AN421" i="14"/>
  <c r="AP421" i="14" s="1"/>
  <c r="BK548" i="14"/>
  <c r="AG548" i="14"/>
  <c r="AN548" i="14" s="1"/>
  <c r="BJ421" i="14"/>
  <c r="AI421" i="14"/>
  <c r="AA421" i="14" s="1"/>
  <c r="AD421" i="14" s="1"/>
  <c r="BI421" i="14"/>
  <c r="AJ421" i="14"/>
  <c r="Z421" i="14" s="1"/>
  <c r="AE421" i="14" s="1"/>
  <c r="AK421" i="14"/>
  <c r="AO421" i="14" s="1"/>
  <c r="AG447" i="14"/>
  <c r="AL447" i="14" s="1"/>
  <c r="BE484" i="14"/>
  <c r="BE545" i="14"/>
  <c r="AL484" i="14"/>
  <c r="AP484" i="14" s="1"/>
  <c r="BE527" i="14"/>
  <c r="BE590" i="14"/>
  <c r="AG425" i="14"/>
  <c r="AL425" i="14" s="1"/>
  <c r="BE515" i="14"/>
  <c r="AI484" i="14"/>
  <c r="AA484" i="14" s="1"/>
  <c r="AD484" i="14" s="1"/>
  <c r="AK515" i="14"/>
  <c r="AO515" i="14" s="1"/>
  <c r="AJ515" i="14"/>
  <c r="Z515" i="14" s="1"/>
  <c r="AE515" i="14" s="1"/>
  <c r="AM527" i="14"/>
  <c r="AH425" i="14"/>
  <c r="AM425" i="14" s="1"/>
  <c r="AN545" i="14"/>
  <c r="AP545" i="14" s="1"/>
  <c r="BJ545" i="14"/>
  <c r="BK545" i="14" s="1"/>
  <c r="AI545" i="14"/>
  <c r="AA545" i="14" s="1"/>
  <c r="AD545" i="14" s="1"/>
  <c r="AH545" i="14"/>
  <c r="AK545" i="14" s="1"/>
  <c r="BE499" i="14"/>
  <c r="BE425" i="14"/>
  <c r="BK425" i="14"/>
  <c r="AK527" i="14"/>
  <c r="AM447" i="14"/>
  <c r="AK447" i="14"/>
  <c r="BE524" i="14"/>
  <c r="BI447" i="14"/>
  <c r="BK447" i="14" s="1"/>
  <c r="BJ527" i="14"/>
  <c r="BI527" i="14"/>
  <c r="AH590" i="14"/>
  <c r="AK590" i="14" s="1"/>
  <c r="BJ484" i="14"/>
  <c r="BK484" i="14" s="1"/>
  <c r="BF519" i="14"/>
  <c r="BI515" i="14"/>
  <c r="AI527" i="14"/>
  <c r="AA527" i="14" s="1"/>
  <c r="AD527" i="14" s="1"/>
  <c r="AL527" i="14"/>
  <c r="AP527" i="14" s="1"/>
  <c r="AH484" i="14"/>
  <c r="AM484" i="14" s="1"/>
  <c r="BK590" i="14"/>
  <c r="AI515" i="14"/>
  <c r="AA515" i="14" s="1"/>
  <c r="AD515" i="14" s="1"/>
  <c r="AN515" i="14"/>
  <c r="AP515" i="14" s="1"/>
  <c r="BJ515" i="14"/>
  <c r="AG590" i="14"/>
  <c r="AI590" i="14" s="1"/>
  <c r="AA590" i="14" s="1"/>
  <c r="AD590" i="14" s="1"/>
  <c r="BE580" i="14"/>
  <c r="BI579" i="14"/>
  <c r="BK579" i="14" s="1"/>
  <c r="AM579" i="14"/>
  <c r="AK579" i="14"/>
  <c r="BF601" i="14"/>
  <c r="BK499" i="14"/>
  <c r="BE592" i="14"/>
  <c r="BE519" i="14"/>
  <c r="AH499" i="14"/>
  <c r="AJ499" i="14" s="1"/>
  <c r="Z499" i="14" s="1"/>
  <c r="AE499" i="14" s="1"/>
  <c r="AG499" i="14"/>
  <c r="AN499" i="14" s="1"/>
  <c r="AG473" i="14"/>
  <c r="AL473" i="14" s="1"/>
  <c r="AH524" i="14"/>
  <c r="AM524" i="14" s="1"/>
  <c r="AJ473" i="14"/>
  <c r="Z473" i="14" s="1"/>
  <c r="AE473" i="14" s="1"/>
  <c r="AM473" i="14"/>
  <c r="AO473" i="14" s="1"/>
  <c r="BI473" i="14"/>
  <c r="BK473" i="14" s="1"/>
  <c r="BE594" i="14"/>
  <c r="BE572" i="14"/>
  <c r="BK524" i="14"/>
  <c r="BE450" i="14"/>
  <c r="BE565" i="14"/>
  <c r="AG579" i="14"/>
  <c r="AL579" i="14" s="1"/>
  <c r="AL450" i="14"/>
  <c r="AP450" i="14" s="1"/>
  <c r="AI580" i="14"/>
  <c r="AA580" i="14" s="1"/>
  <c r="AD580" i="14" s="1"/>
  <c r="BE601" i="14"/>
  <c r="BF572" i="14"/>
  <c r="BJ450" i="14"/>
  <c r="AL580" i="14"/>
  <c r="AP580" i="14" s="1"/>
  <c r="AI450" i="14"/>
  <c r="AA450" i="14" s="1"/>
  <c r="AD450" i="14" s="1"/>
  <c r="BJ580" i="14"/>
  <c r="BK580" i="14" s="1"/>
  <c r="BE579" i="14"/>
  <c r="AG524" i="14"/>
  <c r="AI524" i="14" s="1"/>
  <c r="AA524" i="14" s="1"/>
  <c r="AD524" i="14" s="1"/>
  <c r="BE564" i="14"/>
  <c r="AG610" i="14"/>
  <c r="AL610" i="14" s="1"/>
  <c r="AM450" i="14"/>
  <c r="AH580" i="14"/>
  <c r="AK580" i="14" s="1"/>
  <c r="AK450" i="14"/>
  <c r="BE610" i="14"/>
  <c r="BI450" i="14"/>
  <c r="BE429" i="14"/>
  <c r="BF511" i="14"/>
  <c r="AM592" i="14"/>
  <c r="AK572" i="14"/>
  <c r="AM572" i="14"/>
  <c r="BI572" i="14"/>
  <c r="BK572" i="14" s="1"/>
  <c r="BI592" i="14"/>
  <c r="BK592" i="14" s="1"/>
  <c r="AK592" i="14"/>
  <c r="AG592" i="14"/>
  <c r="AN592" i="14" s="1"/>
  <c r="BE446" i="14"/>
  <c r="BE462" i="14"/>
  <c r="BE599" i="14"/>
  <c r="BE456" i="14"/>
  <c r="BE569" i="14"/>
  <c r="BE563" i="14"/>
  <c r="BE498" i="14"/>
  <c r="AN564" i="14"/>
  <c r="AP564" i="14" s="1"/>
  <c r="BE452" i="14"/>
  <c r="BE417" i="14"/>
  <c r="BE561" i="14"/>
  <c r="BF462" i="14"/>
  <c r="BJ564" i="14"/>
  <c r="BK564" i="14" s="1"/>
  <c r="AI564" i="14"/>
  <c r="AA564" i="14" s="1"/>
  <c r="AD564" i="14" s="1"/>
  <c r="AK491" i="14"/>
  <c r="AM491" i="14"/>
  <c r="AM442" i="14"/>
  <c r="AO442" i="14" s="1"/>
  <c r="BI491" i="14"/>
  <c r="BK491" i="14" s="1"/>
  <c r="AG563" i="14"/>
  <c r="AL563" i="14" s="1"/>
  <c r="AJ442" i="14"/>
  <c r="Z442" i="14" s="1"/>
  <c r="AE442" i="14" s="1"/>
  <c r="AJ563" i="14"/>
  <c r="Z563" i="14" s="1"/>
  <c r="AE563" i="14" s="1"/>
  <c r="AH601" i="14"/>
  <c r="AK601" i="14" s="1"/>
  <c r="AM563" i="14"/>
  <c r="AO563" i="14" s="1"/>
  <c r="BI563" i="14"/>
  <c r="BK563" i="14" s="1"/>
  <c r="BI519" i="14"/>
  <c r="BK519" i="14" s="1"/>
  <c r="AN594" i="14"/>
  <c r="AP594" i="14" s="1"/>
  <c r="AK610" i="14"/>
  <c r="AO610" i="14" s="1"/>
  <c r="BK574" i="14"/>
  <c r="AJ610" i="14"/>
  <c r="Z610" i="14" s="1"/>
  <c r="AE610" i="14" s="1"/>
  <c r="AI498" i="14"/>
  <c r="AA498" i="14" s="1"/>
  <c r="AD498" i="14" s="1"/>
  <c r="AN498" i="14"/>
  <c r="AP498" i="14" s="1"/>
  <c r="AJ417" i="14"/>
  <c r="Z417" i="14" s="1"/>
  <c r="AE417" i="14" s="1"/>
  <c r="BI610" i="14"/>
  <c r="BK610" i="14" s="1"/>
  <c r="BJ498" i="14"/>
  <c r="BE427" i="14"/>
  <c r="BE547" i="14"/>
  <c r="BE546" i="14"/>
  <c r="AK498" i="14"/>
  <c r="AJ599" i="14"/>
  <c r="Z599" i="14" s="1"/>
  <c r="AE599" i="14" s="1"/>
  <c r="AM498" i="14"/>
  <c r="AH427" i="14"/>
  <c r="AM427" i="14" s="1"/>
  <c r="AL547" i="14"/>
  <c r="AG417" i="14"/>
  <c r="AI417" i="14" s="1"/>
  <c r="AA417" i="14" s="1"/>
  <c r="AD417" i="14" s="1"/>
  <c r="BI498" i="14"/>
  <c r="AN556" i="14"/>
  <c r="AP556" i="14" s="1"/>
  <c r="AI556" i="14"/>
  <c r="AA556" i="14" s="1"/>
  <c r="AD556" i="14" s="1"/>
  <c r="AG599" i="14"/>
  <c r="AL599" i="14" s="1"/>
  <c r="BJ556" i="14"/>
  <c r="BK556" i="14" s="1"/>
  <c r="BK429" i="14"/>
  <c r="AG429" i="14"/>
  <c r="AL429" i="14" s="1"/>
  <c r="AM519" i="14"/>
  <c r="AO519" i="14" s="1"/>
  <c r="AJ519" i="14"/>
  <c r="Z519" i="14" s="1"/>
  <c r="AE519" i="14" s="1"/>
  <c r="BK601" i="14"/>
  <c r="AG601" i="14"/>
  <c r="AI601" i="14" s="1"/>
  <c r="AA601" i="14" s="1"/>
  <c r="AD601" i="14" s="1"/>
  <c r="BE491" i="14"/>
  <c r="BE533" i="14"/>
  <c r="BE551" i="14"/>
  <c r="BE510" i="14"/>
  <c r="BE448" i="14"/>
  <c r="AG519" i="14"/>
  <c r="AL519" i="14" s="1"/>
  <c r="BK427" i="14"/>
  <c r="BE507" i="14"/>
  <c r="BE554" i="14"/>
  <c r="BE453" i="14"/>
  <c r="BJ547" i="14"/>
  <c r="BK547" i="14" s="1"/>
  <c r="AG600" i="14"/>
  <c r="AN600" i="14" s="1"/>
  <c r="BI417" i="14"/>
  <c r="BK417" i="14" s="1"/>
  <c r="AK417" i="14"/>
  <c r="AO417" i="14" s="1"/>
  <c r="BI599" i="14"/>
  <c r="BK599" i="14" s="1"/>
  <c r="AG446" i="14"/>
  <c r="AL446" i="14" s="1"/>
  <c r="BJ594" i="14"/>
  <c r="BK600" i="14"/>
  <c r="AK599" i="14"/>
  <c r="AO599" i="14" s="1"/>
  <c r="AI594" i="14"/>
  <c r="AA594" i="14" s="1"/>
  <c r="AD594" i="14" s="1"/>
  <c r="AN547" i="14"/>
  <c r="AH547" i="14"/>
  <c r="AK547" i="14" s="1"/>
  <c r="AG572" i="14"/>
  <c r="AL572" i="14" s="1"/>
  <c r="BI446" i="14"/>
  <c r="BK446" i="14" s="1"/>
  <c r="AM446" i="14"/>
  <c r="AO446" i="14" s="1"/>
  <c r="AM594" i="14"/>
  <c r="AK594" i="14"/>
  <c r="BI448" i="14"/>
  <c r="BI594" i="14"/>
  <c r="AJ446" i="14"/>
  <c r="Z446" i="14" s="1"/>
  <c r="AE446" i="14" s="1"/>
  <c r="BF483" i="14"/>
  <c r="BE567" i="14"/>
  <c r="BE538" i="14"/>
  <c r="BE483" i="14"/>
  <c r="AG427" i="14"/>
  <c r="AL427" i="14" s="1"/>
  <c r="BE471" i="14"/>
  <c r="BK569" i="14"/>
  <c r="BE436" i="14"/>
  <c r="AG569" i="14"/>
  <c r="AI569" i="14" s="1"/>
  <c r="AA569" i="14" s="1"/>
  <c r="AD569" i="14" s="1"/>
  <c r="AG456" i="14"/>
  <c r="AN456" i="14" s="1"/>
  <c r="AJ448" i="14"/>
  <c r="Z448" i="14" s="1"/>
  <c r="AE448" i="14" s="1"/>
  <c r="AM448" i="14"/>
  <c r="AO448" i="14" s="1"/>
  <c r="BK456" i="14"/>
  <c r="BE556" i="14"/>
  <c r="AL448" i="14"/>
  <c r="AH533" i="14"/>
  <c r="AM533" i="14" s="1"/>
  <c r="BF423" i="14"/>
  <c r="AG525" i="14"/>
  <c r="AN525" i="14" s="1"/>
  <c r="BJ448" i="14"/>
  <c r="AG491" i="14"/>
  <c r="AL491" i="14" s="1"/>
  <c r="AH525" i="14"/>
  <c r="AJ525" i="14" s="1"/>
  <c r="Z525" i="14" s="1"/>
  <c r="AE525" i="14" s="1"/>
  <c r="BK533" i="14"/>
  <c r="BK546" i="14"/>
  <c r="AH546" i="14"/>
  <c r="AM546" i="14" s="1"/>
  <c r="AG546" i="14"/>
  <c r="AI546" i="14" s="1"/>
  <c r="AA546" i="14" s="1"/>
  <c r="AD546" i="14" s="1"/>
  <c r="AK436" i="14"/>
  <c r="BE474" i="14"/>
  <c r="BE435" i="14"/>
  <c r="BE525" i="14"/>
  <c r="BE600" i="14"/>
  <c r="AN448" i="14"/>
  <c r="BE612" i="14"/>
  <c r="BK525" i="14"/>
  <c r="BJ510" i="14"/>
  <c r="AN510" i="14"/>
  <c r="AP510" i="14" s="1"/>
  <c r="AI510" i="14"/>
  <c r="AA510" i="14" s="1"/>
  <c r="AD510" i="14" s="1"/>
  <c r="AH569" i="14"/>
  <c r="AM569" i="14" s="1"/>
  <c r="AG533" i="14"/>
  <c r="AL533" i="14" s="1"/>
  <c r="BE511" i="14"/>
  <c r="BE616" i="14"/>
  <c r="BE469" i="14"/>
  <c r="BF538" i="14"/>
  <c r="AK537" i="14"/>
  <c r="AO537" i="14" s="1"/>
  <c r="AJ537" i="14"/>
  <c r="Z537" i="14" s="1"/>
  <c r="AE537" i="14" s="1"/>
  <c r="BE522" i="14"/>
  <c r="AK510" i="14"/>
  <c r="AI565" i="14"/>
  <c r="AA565" i="14" s="1"/>
  <c r="AD565" i="14" s="1"/>
  <c r="AM510" i="14"/>
  <c r="BI510" i="14"/>
  <c r="AH456" i="14"/>
  <c r="AK456" i="14" s="1"/>
  <c r="AM436" i="14"/>
  <c r="AH435" i="14"/>
  <c r="AJ435" i="14" s="1"/>
  <c r="Z435" i="14" s="1"/>
  <c r="AE435" i="14" s="1"/>
  <c r="AG471" i="14"/>
  <c r="AN471" i="14" s="1"/>
  <c r="AH565" i="14"/>
  <c r="AK565" i="14" s="1"/>
  <c r="AG462" i="14"/>
  <c r="AL462" i="14" s="1"/>
  <c r="AH444" i="14"/>
  <c r="AM444" i="14" s="1"/>
  <c r="AN436" i="14"/>
  <c r="AL436" i="14"/>
  <c r="AL565" i="14"/>
  <c r="AP565" i="14" s="1"/>
  <c r="AI444" i="14"/>
  <c r="AA444" i="14" s="1"/>
  <c r="AD444" i="14" s="1"/>
  <c r="AN444" i="14"/>
  <c r="AP444" i="14" s="1"/>
  <c r="BJ444" i="14"/>
  <c r="BK444" i="14" s="1"/>
  <c r="BJ565" i="14"/>
  <c r="BK565" i="14" s="1"/>
  <c r="AG567" i="14"/>
  <c r="AL567" i="14" s="1"/>
  <c r="AJ468" i="14"/>
  <c r="Z468" i="14" s="1"/>
  <c r="AE468" i="14" s="1"/>
  <c r="BE506" i="14"/>
  <c r="AN554" i="14"/>
  <c r="AP554" i="14" s="1"/>
  <c r="AI554" i="14"/>
  <c r="AA554" i="14" s="1"/>
  <c r="AD554" i="14" s="1"/>
  <c r="BJ554" i="14"/>
  <c r="BJ436" i="14"/>
  <c r="AH429" i="14"/>
  <c r="AJ429" i="14" s="1"/>
  <c r="Z429" i="14" s="1"/>
  <c r="AE429" i="14" s="1"/>
  <c r="BF486" i="14"/>
  <c r="BE468" i="14"/>
  <c r="AK567" i="14"/>
  <c r="AM567" i="14"/>
  <c r="BI567" i="14"/>
  <c r="BK567" i="14" s="1"/>
  <c r="BE460" i="14"/>
  <c r="BF512" i="14"/>
  <c r="AI511" i="14"/>
  <c r="AA511" i="14" s="1"/>
  <c r="AD511" i="14" s="1"/>
  <c r="AN511" i="14"/>
  <c r="AP511" i="14" s="1"/>
  <c r="AH511" i="14"/>
  <c r="AJ511" i="14" s="1"/>
  <c r="Z511" i="14" s="1"/>
  <c r="AE511" i="14" s="1"/>
  <c r="BJ511" i="14"/>
  <c r="BK511" i="14" s="1"/>
  <c r="AH564" i="14"/>
  <c r="AK564" i="14" s="1"/>
  <c r="BE449" i="14"/>
  <c r="BF612" i="14"/>
  <c r="BF460" i="14"/>
  <c r="AH538" i="14"/>
  <c r="BI538" i="14"/>
  <c r="BJ538" i="14"/>
  <c r="AG538" i="14"/>
  <c r="BF514" i="14"/>
  <c r="BI612" i="14"/>
  <c r="AH612" i="14"/>
  <c r="AG612" i="14"/>
  <c r="BJ612" i="14"/>
  <c r="BI436" i="14"/>
  <c r="AH453" i="14"/>
  <c r="AK453" i="14" s="1"/>
  <c r="AK468" i="14"/>
  <c r="AO468" i="14" s="1"/>
  <c r="AH556" i="14"/>
  <c r="AK556" i="14" s="1"/>
  <c r="BE423" i="14"/>
  <c r="AM471" i="14"/>
  <c r="AO471" i="14" s="1"/>
  <c r="AJ471" i="14"/>
  <c r="Z471" i="14" s="1"/>
  <c r="AE471" i="14" s="1"/>
  <c r="BI471" i="14"/>
  <c r="BK471" i="14" s="1"/>
  <c r="BI452" i="14"/>
  <c r="AM452" i="14"/>
  <c r="AK452" i="14"/>
  <c r="AI561" i="14"/>
  <c r="AA561" i="14" s="1"/>
  <c r="AD561" i="14" s="1"/>
  <c r="BJ561" i="14"/>
  <c r="BK561" i="14" s="1"/>
  <c r="AN561" i="14"/>
  <c r="AP561" i="14" s="1"/>
  <c r="AH600" i="14"/>
  <c r="AJ600" i="14" s="1"/>
  <c r="Z600" i="14" s="1"/>
  <c r="AE600" i="14" s="1"/>
  <c r="AH561" i="14"/>
  <c r="AJ561" i="14" s="1"/>
  <c r="Z561" i="14" s="1"/>
  <c r="AE561" i="14" s="1"/>
  <c r="BK435" i="14"/>
  <c r="AG435" i="14"/>
  <c r="AN435" i="14" s="1"/>
  <c r="BK453" i="14"/>
  <c r="AN551" i="14"/>
  <c r="AL551" i="14"/>
  <c r="AN474" i="14"/>
  <c r="AL474" i="14"/>
  <c r="BJ474" i="14"/>
  <c r="BK474" i="14" s="1"/>
  <c r="BI468" i="14"/>
  <c r="BK468" i="14" s="1"/>
  <c r="BE513" i="14"/>
  <c r="AH474" i="14"/>
  <c r="AM474" i="14" s="1"/>
  <c r="AG453" i="14"/>
  <c r="AL453" i="14" s="1"/>
  <c r="BJ452" i="14"/>
  <c r="AI452" i="14"/>
  <c r="AA452" i="14" s="1"/>
  <c r="AD452" i="14" s="1"/>
  <c r="AN452" i="14"/>
  <c r="AP452" i="14" s="1"/>
  <c r="BJ423" i="14"/>
  <c r="AG423" i="14"/>
  <c r="BF480" i="14"/>
  <c r="BF603" i="14"/>
  <c r="AK507" i="14"/>
  <c r="AO507" i="14" s="1"/>
  <c r="AK554" i="14"/>
  <c r="AO554" i="14" s="1"/>
  <c r="BF434" i="14"/>
  <c r="BE465" i="14"/>
  <c r="BF506" i="14"/>
  <c r="BE486" i="14"/>
  <c r="BI554" i="14"/>
  <c r="BI507" i="14"/>
  <c r="AJ554" i="14"/>
  <c r="Z554" i="14" s="1"/>
  <c r="AE554" i="14" s="1"/>
  <c r="BK462" i="14"/>
  <c r="AJ507" i="14"/>
  <c r="Z507" i="14" s="1"/>
  <c r="AB507" i="14" s="1"/>
  <c r="AI483" i="14"/>
  <c r="AA483" i="14" s="1"/>
  <c r="AD483" i="14" s="1"/>
  <c r="AL483" i="14"/>
  <c r="AP483" i="14" s="1"/>
  <c r="BI551" i="14"/>
  <c r="AJ551" i="14"/>
  <c r="Z551" i="14" s="1"/>
  <c r="AB551" i="14" s="1"/>
  <c r="BJ483" i="14"/>
  <c r="BK483" i="14" s="1"/>
  <c r="AK551" i="14"/>
  <c r="AO551" i="14" s="1"/>
  <c r="AG468" i="14"/>
  <c r="AI468" i="14" s="1"/>
  <c r="AA468" i="14" s="1"/>
  <c r="AD468" i="14" s="1"/>
  <c r="BJ551" i="14"/>
  <c r="AH462" i="14"/>
  <c r="AJ462" i="14" s="1"/>
  <c r="Z462" i="14" s="1"/>
  <c r="AE462" i="14" s="1"/>
  <c r="BE549" i="14"/>
  <c r="AH483" i="14"/>
  <c r="BJ469" i="14"/>
  <c r="AL418" i="14"/>
  <c r="AP418" i="14" s="1"/>
  <c r="AI418" i="14"/>
  <c r="AA418" i="14" s="1"/>
  <c r="AD418" i="14" s="1"/>
  <c r="AI469" i="14"/>
  <c r="AA469" i="14" s="1"/>
  <c r="AD469" i="14" s="1"/>
  <c r="AN469" i="14"/>
  <c r="AP469" i="14" s="1"/>
  <c r="AL507" i="14"/>
  <c r="AN507" i="14"/>
  <c r="BE512" i="14"/>
  <c r="BF433" i="14"/>
  <c r="BE582" i="14"/>
  <c r="BF570" i="14"/>
  <c r="BF605" i="14"/>
  <c r="BE416" i="14"/>
  <c r="BF550" i="14"/>
  <c r="BE586" i="14"/>
  <c r="BI423" i="14"/>
  <c r="AH423" i="14"/>
  <c r="BE521" i="14"/>
  <c r="BF575" i="14"/>
  <c r="BE584" i="14"/>
  <c r="BF422" i="14"/>
  <c r="BI469" i="14"/>
  <c r="BE558" i="14"/>
  <c r="AM469" i="14"/>
  <c r="AO469" i="14" s="1"/>
  <c r="BF597" i="14"/>
  <c r="BE481" i="14"/>
  <c r="AJ469" i="14"/>
  <c r="Z469" i="14" s="1"/>
  <c r="AE469" i="14" s="1"/>
  <c r="BF438" i="14"/>
  <c r="BE530" i="14"/>
  <c r="BF479" i="14"/>
  <c r="BF465" i="14"/>
  <c r="BE514" i="14"/>
  <c r="BE440" i="14"/>
  <c r="BF467" i="14"/>
  <c r="BF588" i="14"/>
  <c r="BE575" i="14"/>
  <c r="BE541" i="14"/>
  <c r="BE588" i="14"/>
  <c r="BF476" i="14"/>
  <c r="BE461" i="14"/>
  <c r="BE478" i="14"/>
  <c r="BE422" i="14"/>
  <c r="BE550" i="14"/>
  <c r="BF461" i="14"/>
  <c r="BE438" i="14"/>
  <c r="BE597" i="14"/>
  <c r="BF558" i="14"/>
  <c r="BF416" i="14"/>
  <c r="BE562" i="14"/>
  <c r="BF481" i="14"/>
  <c r="BE476" i="14"/>
  <c r="BE603" i="14"/>
  <c r="BF521" i="14"/>
  <c r="BF562" i="14"/>
  <c r="BE596" i="14"/>
  <c r="BF449" i="14"/>
  <c r="BJ562" i="14"/>
  <c r="AG562" i="14"/>
  <c r="AH562" i="14"/>
  <c r="BI562" i="14"/>
  <c r="BF454" i="14"/>
  <c r="BF478" i="14"/>
  <c r="BF530" i="14"/>
  <c r="BF466" i="14"/>
  <c r="BE605" i="14"/>
  <c r="BE480" i="14"/>
  <c r="BF596" i="14"/>
  <c r="BF508" i="14"/>
  <c r="BF559" i="14"/>
  <c r="BE432" i="14"/>
  <c r="BJ507" i="14"/>
  <c r="BJ416" i="14"/>
  <c r="AG416" i="14"/>
  <c r="BJ465" i="14"/>
  <c r="AG465" i="14"/>
  <c r="BJ582" i="14"/>
  <c r="AG582" i="14"/>
  <c r="AH466" i="14"/>
  <c r="BI466" i="14"/>
  <c r="AG434" i="14"/>
  <c r="BJ434" i="14"/>
  <c r="BI521" i="14"/>
  <c r="AH521" i="14"/>
  <c r="AG570" i="14"/>
  <c r="BJ570" i="14"/>
  <c r="BF582" i="14"/>
  <c r="AG486" i="14"/>
  <c r="BJ486" i="14"/>
  <c r="AG530" i="14"/>
  <c r="BJ530" i="14"/>
  <c r="BJ438" i="14"/>
  <c r="AG438" i="14"/>
  <c r="BI512" i="14"/>
  <c r="AH512" i="14"/>
  <c r="BI434" i="14"/>
  <c r="AH434" i="14"/>
  <c r="BJ522" i="14"/>
  <c r="AG522" i="14"/>
  <c r="BJ476" i="14"/>
  <c r="AG476" i="14"/>
  <c r="BF522" i="14"/>
  <c r="BI558" i="14"/>
  <c r="AH558" i="14"/>
  <c r="AH508" i="14"/>
  <c r="BI508" i="14"/>
  <c r="AH480" i="14"/>
  <c r="BI480" i="14"/>
  <c r="BJ575" i="14"/>
  <c r="AG575" i="14"/>
  <c r="BJ481" i="14"/>
  <c r="AG481" i="14"/>
  <c r="BI438" i="14"/>
  <c r="AH438" i="14"/>
  <c r="AG433" i="14"/>
  <c r="BJ433" i="14"/>
  <c r="BJ467" i="14"/>
  <c r="AG467" i="14"/>
  <c r="BE467" i="14"/>
  <c r="AG506" i="14"/>
  <c r="BJ506" i="14"/>
  <c r="BJ454" i="14"/>
  <c r="AG454" i="14"/>
  <c r="AG550" i="14"/>
  <c r="BJ550" i="14"/>
  <c r="BI460" i="14"/>
  <c r="AH460" i="14"/>
  <c r="AG460" i="14"/>
  <c r="BJ460" i="14"/>
  <c r="BJ480" i="14"/>
  <c r="AG480" i="14"/>
  <c r="AH575" i="14"/>
  <c r="BI575" i="14"/>
  <c r="AH478" i="14"/>
  <c r="BI478" i="14"/>
  <c r="BE466" i="14"/>
  <c r="AH433" i="14"/>
  <c r="BI433" i="14"/>
  <c r="AH596" i="14"/>
  <c r="BI596" i="14"/>
  <c r="AH479" i="14"/>
  <c r="BI479" i="14"/>
  <c r="AG479" i="14"/>
  <c r="BJ479" i="14"/>
  <c r="AH603" i="14"/>
  <c r="BI603" i="14"/>
  <c r="BI586" i="14"/>
  <c r="AH586" i="14"/>
  <c r="BI588" i="14"/>
  <c r="AH588" i="14"/>
  <c r="BJ422" i="14"/>
  <c r="AG422" i="14"/>
  <c r="AH465" i="14"/>
  <c r="BI465" i="14"/>
  <c r="BI582" i="14"/>
  <c r="AH582" i="14"/>
  <c r="AH559" i="14"/>
  <c r="BI559" i="14"/>
  <c r="AG559" i="14"/>
  <c r="BJ559" i="14"/>
  <c r="AG584" i="14"/>
  <c r="BJ584" i="14"/>
  <c r="BJ513" i="14"/>
  <c r="AG513" i="14"/>
  <c r="BI513" i="14"/>
  <c r="AH513" i="14"/>
  <c r="AG512" i="14"/>
  <c r="BJ512" i="14"/>
  <c r="BE479" i="14"/>
  <c r="BJ478" i="14"/>
  <c r="AG478" i="14"/>
  <c r="AG461" i="14"/>
  <c r="BJ461" i="14"/>
  <c r="BI522" i="14"/>
  <c r="AH522" i="14"/>
  <c r="AG449" i="14"/>
  <c r="BJ449" i="14"/>
  <c r="AH476" i="14"/>
  <c r="BI476" i="14"/>
  <c r="BI597" i="14"/>
  <c r="AH597" i="14"/>
  <c r="AG597" i="14"/>
  <c r="BJ597" i="14"/>
  <c r="AG549" i="14"/>
  <c r="BJ549" i="14"/>
  <c r="BE559" i="14"/>
  <c r="AH481" i="14"/>
  <c r="BI481" i="14"/>
  <c r="BI486" i="14"/>
  <c r="AH486" i="14"/>
  <c r="AH530" i="14"/>
  <c r="BI530" i="14"/>
  <c r="AH570" i="14"/>
  <c r="BI570" i="14"/>
  <c r="AG432" i="14"/>
  <c r="BJ432" i="14"/>
  <c r="AH432" i="14"/>
  <c r="BI432" i="14"/>
  <c r="BI416" i="14"/>
  <c r="AH416" i="14"/>
  <c r="BI461" i="14"/>
  <c r="AH461" i="14"/>
  <c r="BE570" i="14"/>
  <c r="BF549" i="14"/>
  <c r="BE433" i="14"/>
  <c r="BF432" i="14"/>
  <c r="BI467" i="14"/>
  <c r="AH467" i="14"/>
  <c r="BJ588" i="14"/>
  <c r="AG588" i="14"/>
  <c r="BJ558" i="14"/>
  <c r="AG558" i="14"/>
  <c r="AG508" i="14"/>
  <c r="BJ508" i="14"/>
  <c r="AH541" i="14"/>
  <c r="BI541" i="14"/>
  <c r="AG466" i="14"/>
  <c r="BJ466" i="14"/>
  <c r="BJ605" i="14"/>
  <c r="AG605" i="14"/>
  <c r="BI605" i="14"/>
  <c r="AH605" i="14"/>
  <c r="BF440" i="14"/>
  <c r="BE508" i="14"/>
  <c r="BF584" i="14"/>
  <c r="AG521" i="14"/>
  <c r="BJ521" i="14"/>
  <c r="BJ603" i="14"/>
  <c r="AG603" i="14"/>
  <c r="BI506" i="14"/>
  <c r="AH506" i="14"/>
  <c r="BI454" i="14"/>
  <c r="AH454" i="14"/>
  <c r="AG586" i="14"/>
  <c r="BJ586" i="14"/>
  <c r="AH422" i="14"/>
  <c r="BI422" i="14"/>
  <c r="AH584" i="14"/>
  <c r="BI584" i="14"/>
  <c r="BI449" i="14"/>
  <c r="AH449" i="14"/>
  <c r="BE454" i="14"/>
  <c r="BF541" i="14"/>
  <c r="BJ541" i="14"/>
  <c r="AG541" i="14"/>
  <c r="BI550" i="14"/>
  <c r="AH550" i="14"/>
  <c r="AH440" i="14"/>
  <c r="BI440" i="14"/>
  <c r="BJ596" i="14"/>
  <c r="AG596" i="14"/>
  <c r="AH549" i="14"/>
  <c r="BI549" i="14"/>
  <c r="AG440" i="14"/>
  <c r="BJ440" i="14"/>
  <c r="AG514" i="14"/>
  <c r="BJ514" i="14"/>
  <c r="AH514" i="14"/>
  <c r="BI514" i="14"/>
  <c r="AP537" i="14"/>
  <c r="AS537" i="14" s="1"/>
  <c r="AP574" i="14"/>
  <c r="AS574" i="14" s="1"/>
  <c r="AP516" i="14"/>
  <c r="AS516" i="14" s="1"/>
  <c r="AP442" i="14"/>
  <c r="AS442" i="14" s="1"/>
  <c r="AO516" i="14"/>
  <c r="AE574" i="14"/>
  <c r="AB574" i="14"/>
  <c r="AE516" i="14"/>
  <c r="AB516" i="14"/>
  <c r="AE452" i="14"/>
  <c r="AE443" i="14"/>
  <c r="AO574" i="14"/>
  <c r="AB436" i="14"/>
  <c r="AE436" i="14"/>
  <c r="AE579" i="14"/>
  <c r="AE437" i="14"/>
  <c r="AE567" i="14"/>
  <c r="AE497" i="14"/>
  <c r="AE447" i="14"/>
  <c r="AE502" i="14"/>
  <c r="AE441" i="14"/>
  <c r="AE527" i="14"/>
  <c r="AE594" i="14"/>
  <c r="AE606" i="14"/>
  <c r="AE510" i="14"/>
  <c r="AE592" i="14"/>
  <c r="AE459" i="14"/>
  <c r="AE576" i="14"/>
  <c r="AK616" i="14"/>
  <c r="AM616" i="14"/>
  <c r="AJ616" i="14"/>
  <c r="Z616" i="14" s="1"/>
  <c r="AE498" i="14"/>
  <c r="AE491" i="14"/>
  <c r="AE485" i="14"/>
  <c r="AE614" i="14"/>
  <c r="AE450" i="14"/>
  <c r="AE503" i="14"/>
  <c r="AE534" i="14"/>
  <c r="AE420" i="14"/>
  <c r="AE587" i="14"/>
  <c r="AB587" i="14"/>
  <c r="AE572" i="14"/>
  <c r="AE611" i="14"/>
  <c r="AE543" i="14"/>
  <c r="AP557" i="14" l="1"/>
  <c r="AS557" i="14" s="1"/>
  <c r="AO534" i="14"/>
  <c r="AE557" i="14"/>
  <c r="AC557" i="14" s="1"/>
  <c r="BK557" i="14"/>
  <c r="AM509" i="14"/>
  <c r="AK509" i="14"/>
  <c r="AL509" i="14"/>
  <c r="AB509" i="14"/>
  <c r="AN509" i="14"/>
  <c r="AN534" i="14"/>
  <c r="AP534" i="14" s="1"/>
  <c r="AI534" i="14"/>
  <c r="AA534" i="14" s="1"/>
  <c r="AD534" i="14" s="1"/>
  <c r="AS534" i="14" s="1"/>
  <c r="BK455" i="14"/>
  <c r="AB455" i="14"/>
  <c r="AS455" i="14"/>
  <c r="AK520" i="14"/>
  <c r="AS520" i="14"/>
  <c r="AM520" i="14"/>
  <c r="AB520" i="14"/>
  <c r="AB490" i="14"/>
  <c r="AN490" i="14"/>
  <c r="AL490" i="14"/>
  <c r="AK490" i="14"/>
  <c r="AM490" i="14"/>
  <c r="AS488" i="14"/>
  <c r="AJ542" i="14"/>
  <c r="Z542" i="14" s="1"/>
  <c r="AB542" i="14" s="1"/>
  <c r="AM542" i="14"/>
  <c r="AO542" i="14" s="1"/>
  <c r="AM488" i="14"/>
  <c r="AO488" i="14" s="1"/>
  <c r="AQ488" i="14" s="1"/>
  <c r="AJ488" i="14"/>
  <c r="Z488" i="14" s="1"/>
  <c r="AB488" i="14" s="1"/>
  <c r="AN542" i="14"/>
  <c r="AL542" i="14"/>
  <c r="AK500" i="14"/>
  <c r="AO500" i="14" s="1"/>
  <c r="AQ500" i="14" s="1"/>
  <c r="AJ500" i="14"/>
  <c r="Z500" i="14" s="1"/>
  <c r="AB500" i="14" s="1"/>
  <c r="AI531" i="14"/>
  <c r="AA531" i="14" s="1"/>
  <c r="AD531" i="14" s="1"/>
  <c r="AL531" i="14"/>
  <c r="AP531" i="14" s="1"/>
  <c r="AS500" i="14"/>
  <c r="AI493" i="14"/>
  <c r="AA493" i="14" s="1"/>
  <c r="AD493" i="14" s="1"/>
  <c r="AN493" i="14"/>
  <c r="AP493" i="14" s="1"/>
  <c r="AM531" i="14"/>
  <c r="AO531" i="14" s="1"/>
  <c r="AJ531" i="14"/>
  <c r="Z531" i="14" s="1"/>
  <c r="AE531" i="14" s="1"/>
  <c r="AM493" i="14"/>
  <c r="AO493" i="14" s="1"/>
  <c r="AJ493" i="14"/>
  <c r="Z493" i="14" s="1"/>
  <c r="AE493" i="14" s="1"/>
  <c r="AS593" i="14"/>
  <c r="AB593" i="14"/>
  <c r="BK593" i="14"/>
  <c r="AK430" i="14"/>
  <c r="AB430" i="14"/>
  <c r="AM430" i="14"/>
  <c r="AS430" i="14"/>
  <c r="AP431" i="14"/>
  <c r="AS431" i="14" s="1"/>
  <c r="AB431" i="14"/>
  <c r="AL577" i="14"/>
  <c r="AN577" i="14"/>
  <c r="BK431" i="14"/>
  <c r="AS581" i="14"/>
  <c r="AK577" i="14"/>
  <c r="AM577" i="14"/>
  <c r="AB577" i="14"/>
  <c r="AB581" i="14"/>
  <c r="AE581" i="14"/>
  <c r="AC581" i="14" s="1"/>
  <c r="AI439" i="14"/>
  <c r="AA439" i="14" s="1"/>
  <c r="AD439" i="14" s="1"/>
  <c r="AC439" i="14" s="1"/>
  <c r="BK581" i="14"/>
  <c r="AL439" i="14"/>
  <c r="AP439" i="14" s="1"/>
  <c r="AK439" i="14"/>
  <c r="AM439" i="14"/>
  <c r="AL606" i="14"/>
  <c r="AP606" i="14" s="1"/>
  <c r="AI606" i="14"/>
  <c r="AA606" i="14" s="1"/>
  <c r="AD606" i="14" s="1"/>
  <c r="AO606" i="14"/>
  <c r="AR606" i="14" s="1"/>
  <c r="AM528" i="14"/>
  <c r="AK528" i="14"/>
  <c r="AI528" i="14"/>
  <c r="AA528" i="14" s="1"/>
  <c r="AD528" i="14" s="1"/>
  <c r="AC528" i="14" s="1"/>
  <c r="AN528" i="14"/>
  <c r="AP528" i="14" s="1"/>
  <c r="AS494" i="14"/>
  <c r="AI504" i="14"/>
  <c r="AA504" i="14" s="1"/>
  <c r="AD504" i="14" s="1"/>
  <c r="AC504" i="14" s="1"/>
  <c r="AL504" i="14"/>
  <c r="AP504" i="14" s="1"/>
  <c r="AQ504" i="14" s="1"/>
  <c r="AK494" i="14"/>
  <c r="AO494" i="14" s="1"/>
  <c r="AQ494" i="14" s="1"/>
  <c r="AJ494" i="14"/>
  <c r="Z494" i="14" s="1"/>
  <c r="AE494" i="14" s="1"/>
  <c r="AC494" i="14" s="1"/>
  <c r="AS464" i="14"/>
  <c r="AB464" i="14"/>
  <c r="AE464" i="14"/>
  <c r="AC464" i="14" s="1"/>
  <c r="AK532" i="14"/>
  <c r="AO532" i="14" s="1"/>
  <c r="AQ532" i="14" s="1"/>
  <c r="BK464" i="14"/>
  <c r="AM487" i="14"/>
  <c r="AO487" i="14" s="1"/>
  <c r="AJ487" i="14"/>
  <c r="Z487" i="14" s="1"/>
  <c r="AE487" i="14" s="1"/>
  <c r="AC487" i="14" s="1"/>
  <c r="AM529" i="14"/>
  <c r="AO529" i="14" s="1"/>
  <c r="AN529" i="14"/>
  <c r="AP487" i="14"/>
  <c r="AS487" i="14" s="1"/>
  <c r="AJ529" i="14"/>
  <c r="Z529" i="14" s="1"/>
  <c r="AB529" i="14" s="1"/>
  <c r="AL529" i="14"/>
  <c r="AS532" i="14"/>
  <c r="AP589" i="14"/>
  <c r="AS589" i="14" s="1"/>
  <c r="AJ532" i="14"/>
  <c r="Z532" i="14" s="1"/>
  <c r="AB532" i="14" s="1"/>
  <c r="AK589" i="14"/>
  <c r="AO589" i="14" s="1"/>
  <c r="AJ589" i="14"/>
  <c r="Z589" i="14" s="1"/>
  <c r="AB589" i="14" s="1"/>
  <c r="AI598" i="14"/>
  <c r="AA598" i="14" s="1"/>
  <c r="AD598" i="14" s="1"/>
  <c r="AN598" i="14"/>
  <c r="AP598" i="14" s="1"/>
  <c r="AK539" i="14"/>
  <c r="AM539" i="14"/>
  <c r="AO497" i="14"/>
  <c r="AQ497" i="14" s="1"/>
  <c r="AS539" i="14"/>
  <c r="AB539" i="14"/>
  <c r="AN420" i="14"/>
  <c r="AB497" i="14"/>
  <c r="AS497" i="14"/>
  <c r="BK497" i="14"/>
  <c r="BK418" i="14"/>
  <c r="AO420" i="14"/>
  <c r="AR420" i="14" s="1"/>
  <c r="AB420" i="14"/>
  <c r="AL420" i="14"/>
  <c r="AB437" i="14"/>
  <c r="AS437" i="14"/>
  <c r="AM568" i="14"/>
  <c r="AK568" i="14"/>
  <c r="AO459" i="14"/>
  <c r="AR459" i="14" s="1"/>
  <c r="AB441" i="14"/>
  <c r="AO614" i="14"/>
  <c r="AR614" i="14" s="1"/>
  <c r="AO437" i="14"/>
  <c r="AQ437" i="14" s="1"/>
  <c r="AS441" i="14"/>
  <c r="AO611" i="14"/>
  <c r="AQ611" i="14" s="1"/>
  <c r="BK437" i="14"/>
  <c r="AO441" i="14"/>
  <c r="AQ441" i="14" s="1"/>
  <c r="BK441" i="14"/>
  <c r="AJ495" i="14"/>
  <c r="Z495" i="14" s="1"/>
  <c r="AE495" i="14" s="1"/>
  <c r="AC495" i="14" s="1"/>
  <c r="AO443" i="14"/>
  <c r="AQ443" i="14" s="1"/>
  <c r="AM495" i="14"/>
  <c r="AO495" i="14" s="1"/>
  <c r="BK611" i="14"/>
  <c r="AS443" i="14"/>
  <c r="AI613" i="14"/>
  <c r="AA613" i="14" s="1"/>
  <c r="AD613" i="14" s="1"/>
  <c r="AC613" i="14" s="1"/>
  <c r="AB611" i="14"/>
  <c r="AL568" i="14"/>
  <c r="AP568" i="14" s="1"/>
  <c r="AI568" i="14"/>
  <c r="AA568" i="14" s="1"/>
  <c r="AD568" i="14" s="1"/>
  <c r="AC568" i="14" s="1"/>
  <c r="AN613" i="14"/>
  <c r="AP613" i="14" s="1"/>
  <c r="AQ613" i="14" s="1"/>
  <c r="AS611" i="14"/>
  <c r="AO503" i="14"/>
  <c r="AQ503" i="14" s="1"/>
  <c r="AN614" i="14"/>
  <c r="AP614" i="14" s="1"/>
  <c r="AL459" i="14"/>
  <c r="AP615" i="14"/>
  <c r="AS615" i="14" s="1"/>
  <c r="AB459" i="14"/>
  <c r="AN459" i="14"/>
  <c r="AI614" i="14"/>
  <c r="AA614" i="14" s="1"/>
  <c r="AD614" i="14" s="1"/>
  <c r="AC614" i="14" s="1"/>
  <c r="AL495" i="14"/>
  <c r="AB443" i="14"/>
  <c r="BK443" i="14"/>
  <c r="AN495" i="14"/>
  <c r="AB560" i="14"/>
  <c r="AN595" i="14"/>
  <c r="AP595" i="14" s="1"/>
  <c r="AL560" i="14"/>
  <c r="AK544" i="14"/>
  <c r="AN560" i="14"/>
  <c r="AI595" i="14"/>
  <c r="AA595" i="14" s="1"/>
  <c r="AD595" i="14" s="1"/>
  <c r="AC595" i="14" s="1"/>
  <c r="AM552" i="14"/>
  <c r="AO552" i="14" s="1"/>
  <c r="AJ552" i="14"/>
  <c r="Z552" i="14" s="1"/>
  <c r="AE552" i="14" s="1"/>
  <c r="AE517" i="14"/>
  <c r="AC517" i="14" s="1"/>
  <c r="AL526" i="14"/>
  <c r="AM544" i="14"/>
  <c r="AN526" i="14"/>
  <c r="AK608" i="14"/>
  <c r="AM517" i="14"/>
  <c r="BK502" i="14"/>
  <c r="AK517" i="14"/>
  <c r="AM608" i="14"/>
  <c r="AP573" i="14"/>
  <c r="AS573" i="14" s="1"/>
  <c r="AS424" i="14"/>
  <c r="AB503" i="14"/>
  <c r="AN607" i="14"/>
  <c r="AS591" i="14"/>
  <c r="BK503" i="14"/>
  <c r="AK598" i="14"/>
  <c r="AO598" i="14" s="1"/>
  <c r="AO502" i="14"/>
  <c r="AQ502" i="14" s="1"/>
  <c r="AJ591" i="14"/>
  <c r="Z591" i="14" s="1"/>
  <c r="AE591" i="14" s="1"/>
  <c r="AC591" i="14" s="1"/>
  <c r="AK591" i="14"/>
  <c r="AO591" i="14" s="1"/>
  <c r="AQ591" i="14" s="1"/>
  <c r="AS544" i="14"/>
  <c r="AI552" i="14"/>
  <c r="AA552" i="14" s="1"/>
  <c r="AD552" i="14" s="1"/>
  <c r="AB424" i="14"/>
  <c r="AK595" i="14"/>
  <c r="BK424" i="14"/>
  <c r="AN552" i="14"/>
  <c r="AP552" i="14" s="1"/>
  <c r="AB544" i="14"/>
  <c r="AB607" i="14"/>
  <c r="AJ598" i="14"/>
  <c r="Z598" i="14" s="1"/>
  <c r="AE598" i="14" s="1"/>
  <c r="AM595" i="14"/>
  <c r="AB445" i="14"/>
  <c r="AN419" i="14"/>
  <c r="AS503" i="14"/>
  <c r="AM445" i="14"/>
  <c r="AL419" i="14"/>
  <c r="AK445" i="14"/>
  <c r="AL607" i="14"/>
  <c r="AM573" i="14"/>
  <c r="AO573" i="14" s="1"/>
  <c r="AJ573" i="14"/>
  <c r="Z573" i="14" s="1"/>
  <c r="AB573" i="14" s="1"/>
  <c r="AE560" i="14"/>
  <c r="AC560" i="14" s="1"/>
  <c r="AP517" i="14"/>
  <c r="AS517" i="14" s="1"/>
  <c r="AM560" i="14"/>
  <c r="AS555" i="14"/>
  <c r="AK560" i="14"/>
  <c r="AS609" i="14"/>
  <c r="AB502" i="14"/>
  <c r="AS502" i="14"/>
  <c r="AM419" i="14"/>
  <c r="AO419" i="14" s="1"/>
  <c r="AJ419" i="14"/>
  <c r="Z419" i="14" s="1"/>
  <c r="AB419" i="14" s="1"/>
  <c r="AM526" i="14"/>
  <c r="AK526" i="14"/>
  <c r="AB526" i="14"/>
  <c r="AK609" i="14"/>
  <c r="AM609" i="14"/>
  <c r="AB609" i="14"/>
  <c r="AN535" i="14"/>
  <c r="AP535" i="14" s="1"/>
  <c r="AQ535" i="14" s="1"/>
  <c r="AI535" i="14"/>
  <c r="AA535" i="14" s="1"/>
  <c r="AD535" i="14" s="1"/>
  <c r="AC535" i="14" s="1"/>
  <c r="BK555" i="14"/>
  <c r="AN608" i="14"/>
  <c r="AL608" i="14"/>
  <c r="AB608" i="14"/>
  <c r="AB555" i="14"/>
  <c r="AP445" i="14"/>
  <c r="AS445" i="14" s="1"/>
  <c r="AN428" i="14"/>
  <c r="AP428" i="14" s="1"/>
  <c r="AQ428" i="14" s="1"/>
  <c r="AI428" i="14"/>
  <c r="AA428" i="14" s="1"/>
  <c r="AD428" i="14" s="1"/>
  <c r="AC428" i="14" s="1"/>
  <c r="AB615" i="14"/>
  <c r="AL501" i="14"/>
  <c r="AP501" i="14" s="1"/>
  <c r="AM615" i="14"/>
  <c r="AK615" i="14"/>
  <c r="AI501" i="14"/>
  <c r="AA501" i="14" s="1"/>
  <c r="AD501" i="14" s="1"/>
  <c r="AK501" i="14"/>
  <c r="AO501" i="14" s="1"/>
  <c r="AJ501" i="14"/>
  <c r="Z501" i="14" s="1"/>
  <c r="AE501" i="14" s="1"/>
  <c r="BK553" i="14"/>
  <c r="AL583" i="14"/>
  <c r="AP583" i="14" s="1"/>
  <c r="AQ583" i="14" s="1"/>
  <c r="AN463" i="14"/>
  <c r="AP463" i="14" s="1"/>
  <c r="AQ463" i="14" s="1"/>
  <c r="AI463" i="14"/>
  <c r="AA463" i="14" s="1"/>
  <c r="AD463" i="14" s="1"/>
  <c r="AC463" i="14" s="1"/>
  <c r="AS553" i="14"/>
  <c r="AB553" i="14"/>
  <c r="AB470" i="14"/>
  <c r="AS470" i="14"/>
  <c r="AK470" i="14"/>
  <c r="AM470" i="14"/>
  <c r="AP587" i="14"/>
  <c r="AS587" i="14" s="1"/>
  <c r="AN505" i="14"/>
  <c r="AP505" i="14" s="1"/>
  <c r="AI583" i="14"/>
  <c r="AA583" i="14" s="1"/>
  <c r="AD583" i="14" s="1"/>
  <c r="AC583" i="14" s="1"/>
  <c r="AI505" i="14"/>
  <c r="AA505" i="14" s="1"/>
  <c r="AD505" i="14" s="1"/>
  <c r="AO587" i="14"/>
  <c r="AR587" i="14" s="1"/>
  <c r="AS571" i="14"/>
  <c r="AB571" i="14"/>
  <c r="BK587" i="14"/>
  <c r="AI578" i="14"/>
  <c r="AA578" i="14" s="1"/>
  <c r="AD578" i="14" s="1"/>
  <c r="AC578" i="14" s="1"/>
  <c r="AN578" i="14"/>
  <c r="AP578" i="14" s="1"/>
  <c r="AQ578" i="14" s="1"/>
  <c r="AK566" i="14"/>
  <c r="BK492" i="14"/>
  <c r="AO543" i="14"/>
  <c r="AR543" i="14" s="1"/>
  <c r="AE475" i="14"/>
  <c r="AC475" i="14" s="1"/>
  <c r="AP475" i="14"/>
  <c r="AS475" i="14" s="1"/>
  <c r="AS566" i="14"/>
  <c r="BK518" i="14"/>
  <c r="BK475" i="14"/>
  <c r="AI482" i="14"/>
  <c r="AA482" i="14" s="1"/>
  <c r="AD482" i="14" s="1"/>
  <c r="AC482" i="14" s="1"/>
  <c r="AJ523" i="14"/>
  <c r="Z523" i="14" s="1"/>
  <c r="AE523" i="14" s="1"/>
  <c r="AK505" i="14"/>
  <c r="AO505" i="14" s="1"/>
  <c r="AJ505" i="14"/>
  <c r="Z505" i="14" s="1"/>
  <c r="AE505" i="14" s="1"/>
  <c r="AL482" i="14"/>
  <c r="AP482" i="14" s="1"/>
  <c r="AQ482" i="14" s="1"/>
  <c r="AS518" i="14"/>
  <c r="AB518" i="14"/>
  <c r="AB566" i="14"/>
  <c r="BK570" i="14"/>
  <c r="AE566" i="14"/>
  <c r="AC566" i="14" s="1"/>
  <c r="AE571" i="14"/>
  <c r="AC571" i="14" s="1"/>
  <c r="AN496" i="14"/>
  <c r="AP496" i="14" s="1"/>
  <c r="AQ496" i="14" s="1"/>
  <c r="AM566" i="14"/>
  <c r="AI496" i="14"/>
  <c r="AA496" i="14" s="1"/>
  <c r="AD496" i="14" s="1"/>
  <c r="AC496" i="14" s="1"/>
  <c r="AB458" i="14"/>
  <c r="AM571" i="14"/>
  <c r="AK571" i="14"/>
  <c r="BK458" i="14"/>
  <c r="AS458" i="14"/>
  <c r="AE458" i="14"/>
  <c r="AR458" i="14" s="1"/>
  <c r="AI543" i="14"/>
  <c r="AA543" i="14" s="1"/>
  <c r="AD543" i="14" s="1"/>
  <c r="AC543" i="14" s="1"/>
  <c r="AJ602" i="14"/>
  <c r="Z602" i="14" s="1"/>
  <c r="AE602" i="14" s="1"/>
  <c r="AL543" i="14"/>
  <c r="AP543" i="14" s="1"/>
  <c r="AN536" i="14"/>
  <c r="AN602" i="14"/>
  <c r="AS492" i="14"/>
  <c r="AL602" i="14"/>
  <c r="BK485" i="14"/>
  <c r="AE518" i="14"/>
  <c r="AR518" i="14" s="1"/>
  <c r="AB492" i="14"/>
  <c r="AJ426" i="14"/>
  <c r="Z426" i="14" s="1"/>
  <c r="AE426" i="14" s="1"/>
  <c r="AM426" i="14"/>
  <c r="AO426" i="14" s="1"/>
  <c r="AQ426" i="14" s="1"/>
  <c r="AS540" i="14"/>
  <c r="AS485" i="14"/>
  <c r="AS426" i="14"/>
  <c r="AP523" i="14"/>
  <c r="AS523" i="14" s="1"/>
  <c r="AB485" i="14"/>
  <c r="AK602" i="14"/>
  <c r="AO602" i="14" s="1"/>
  <c r="AN451" i="14"/>
  <c r="AL451" i="14"/>
  <c r="AB451" i="14"/>
  <c r="AK536" i="14"/>
  <c r="AM536" i="14"/>
  <c r="AL604" i="14"/>
  <c r="AP604" i="14" s="1"/>
  <c r="AQ604" i="14" s="1"/>
  <c r="AI604" i="14"/>
  <c r="AA604" i="14" s="1"/>
  <c r="AD604" i="14" s="1"/>
  <c r="AC604" i="14" s="1"/>
  <c r="AK523" i="14"/>
  <c r="AO523" i="14" s="1"/>
  <c r="AP585" i="14"/>
  <c r="AS585" i="14" s="1"/>
  <c r="AS489" i="14"/>
  <c r="AO485" i="14"/>
  <c r="AQ485" i="14" s="1"/>
  <c r="AL616" i="14"/>
  <c r="AM489" i="14"/>
  <c r="AO489" i="14" s="1"/>
  <c r="AQ489" i="14" s="1"/>
  <c r="AN616" i="14"/>
  <c r="AJ489" i="14"/>
  <c r="Z489" i="14" s="1"/>
  <c r="AB489" i="14" s="1"/>
  <c r="BK540" i="14"/>
  <c r="AB536" i="14"/>
  <c r="AS477" i="14"/>
  <c r="AL536" i="14"/>
  <c r="AB540" i="14"/>
  <c r="AB576" i="14"/>
  <c r="BK585" i="14"/>
  <c r="AJ477" i="14"/>
  <c r="Z477" i="14" s="1"/>
  <c r="AE477" i="14" s="1"/>
  <c r="AC477" i="14" s="1"/>
  <c r="AK477" i="14"/>
  <c r="AO477" i="14" s="1"/>
  <c r="AQ477" i="14" s="1"/>
  <c r="AO576" i="14"/>
  <c r="AQ576" i="14" s="1"/>
  <c r="BK576" i="14"/>
  <c r="AB585" i="14"/>
  <c r="AS576" i="14"/>
  <c r="AS564" i="14"/>
  <c r="AS469" i="14"/>
  <c r="AS418" i="14"/>
  <c r="AS510" i="14"/>
  <c r="AS565" i="14"/>
  <c r="AS515" i="14"/>
  <c r="AS483" i="14"/>
  <c r="AS444" i="14"/>
  <c r="AS561" i="14"/>
  <c r="AS527" i="14"/>
  <c r="AS452" i="14"/>
  <c r="AS554" i="14"/>
  <c r="AS511" i="14"/>
  <c r="AS556" i="14"/>
  <c r="AS580" i="14"/>
  <c r="AS498" i="14"/>
  <c r="AS421" i="14"/>
  <c r="AS484" i="14"/>
  <c r="AS450" i="14"/>
  <c r="AS545" i="14"/>
  <c r="AS594" i="14"/>
  <c r="AL548" i="14"/>
  <c r="AP548" i="14" s="1"/>
  <c r="AK548" i="14"/>
  <c r="AM548" i="14"/>
  <c r="AL472" i="14"/>
  <c r="AB472" i="14"/>
  <c r="AN472" i="14"/>
  <c r="AL457" i="14"/>
  <c r="AN457" i="14"/>
  <c r="AM457" i="14"/>
  <c r="AO457" i="14" s="1"/>
  <c r="AJ457" i="14"/>
  <c r="Z457" i="14" s="1"/>
  <c r="AB457" i="14" s="1"/>
  <c r="AI548" i="14"/>
  <c r="AA548" i="14" s="1"/>
  <c r="AD548" i="14" s="1"/>
  <c r="AC548" i="14" s="1"/>
  <c r="BK421" i="14"/>
  <c r="AB421" i="14"/>
  <c r="AN447" i="14"/>
  <c r="AP447" i="14" s="1"/>
  <c r="AI447" i="14"/>
  <c r="AA447" i="14" s="1"/>
  <c r="AD447" i="14" s="1"/>
  <c r="AC447" i="14" s="1"/>
  <c r="AI425" i="14"/>
  <c r="AA425" i="14" s="1"/>
  <c r="AD425" i="14" s="1"/>
  <c r="AN425" i="14"/>
  <c r="AP425" i="14" s="1"/>
  <c r="AJ425" i="14"/>
  <c r="Z425" i="14" s="1"/>
  <c r="AK425" i="14"/>
  <c r="AO425" i="14" s="1"/>
  <c r="AM545" i="14"/>
  <c r="AO545" i="14" s="1"/>
  <c r="AQ545" i="14" s="1"/>
  <c r="AJ545" i="14"/>
  <c r="Z545" i="14" s="1"/>
  <c r="AE545" i="14" s="1"/>
  <c r="AC545" i="14" s="1"/>
  <c r="AO527" i="14"/>
  <c r="AR527" i="14" s="1"/>
  <c r="AK484" i="14"/>
  <c r="AO484" i="14" s="1"/>
  <c r="AQ484" i="14" s="1"/>
  <c r="AJ484" i="14"/>
  <c r="Z484" i="14" s="1"/>
  <c r="AE484" i="14" s="1"/>
  <c r="AC484" i="14" s="1"/>
  <c r="AL499" i="14"/>
  <c r="AP499" i="14" s="1"/>
  <c r="AO447" i="14"/>
  <c r="AR447" i="14" s="1"/>
  <c r="AJ590" i="14"/>
  <c r="Z590" i="14" s="1"/>
  <c r="AE590" i="14" s="1"/>
  <c r="AC590" i="14" s="1"/>
  <c r="BK527" i="14"/>
  <c r="BK515" i="14"/>
  <c r="AM590" i="14"/>
  <c r="AO590" i="14" s="1"/>
  <c r="AJ580" i="14"/>
  <c r="Z580" i="14" s="1"/>
  <c r="AE580" i="14" s="1"/>
  <c r="AC580" i="14" s="1"/>
  <c r="AI499" i="14"/>
  <c r="AA499" i="14" s="1"/>
  <c r="AD499" i="14" s="1"/>
  <c r="AC499" i="14" s="1"/>
  <c r="AO579" i="14"/>
  <c r="AR579" i="14" s="1"/>
  <c r="AN473" i="14"/>
  <c r="AP473" i="14" s="1"/>
  <c r="AQ473" i="14" s="1"/>
  <c r="AJ524" i="14"/>
  <c r="Z524" i="14" s="1"/>
  <c r="AE524" i="14" s="1"/>
  <c r="AC524" i="14" s="1"/>
  <c r="AI473" i="14"/>
  <c r="AA473" i="14" s="1"/>
  <c r="AD473" i="14" s="1"/>
  <c r="AC473" i="14" s="1"/>
  <c r="AB527" i="14"/>
  <c r="AK499" i="14"/>
  <c r="AM499" i="14"/>
  <c r="AB515" i="14"/>
  <c r="AK524" i="14"/>
  <c r="AO524" i="14" s="1"/>
  <c r="AL590" i="14"/>
  <c r="AN590" i="14"/>
  <c r="AI579" i="14"/>
  <c r="AA579" i="14" s="1"/>
  <c r="AD579" i="14" s="1"/>
  <c r="AC579" i="14" s="1"/>
  <c r="AI610" i="14"/>
  <c r="AA610" i="14" s="1"/>
  <c r="AD610" i="14" s="1"/>
  <c r="AC610" i="14" s="1"/>
  <c r="AN524" i="14"/>
  <c r="AN610" i="14"/>
  <c r="AP610" i="14" s="1"/>
  <c r="AN579" i="14"/>
  <c r="AP579" i="14" s="1"/>
  <c r="AL524" i="14"/>
  <c r="AO450" i="14"/>
  <c r="AQ450" i="14" s="1"/>
  <c r="AM580" i="14"/>
  <c r="AO580" i="14" s="1"/>
  <c r="BK450" i="14"/>
  <c r="AB450" i="14"/>
  <c r="AO592" i="14"/>
  <c r="AR592" i="14" s="1"/>
  <c r="AO572" i="14"/>
  <c r="AR572" i="14" s="1"/>
  <c r="AI592" i="14"/>
  <c r="AA592" i="14" s="1"/>
  <c r="AD592" i="14" s="1"/>
  <c r="AC592" i="14" s="1"/>
  <c r="AL592" i="14"/>
  <c r="AP592" i="14" s="1"/>
  <c r="BK498" i="14"/>
  <c r="AO491" i="14"/>
  <c r="AR491" i="14" s="1"/>
  <c r="AB442" i="14"/>
  <c r="AN563" i="14"/>
  <c r="AP563" i="14" s="1"/>
  <c r="AI563" i="14"/>
  <c r="AA563" i="14" s="1"/>
  <c r="AD563" i="14" s="1"/>
  <c r="AC563" i="14" s="1"/>
  <c r="AB417" i="14"/>
  <c r="AM601" i="14"/>
  <c r="AO601" i="14" s="1"/>
  <c r="AJ601" i="14"/>
  <c r="Z601" i="14" s="1"/>
  <c r="AE601" i="14" s="1"/>
  <c r="AC601" i="14" s="1"/>
  <c r="AL417" i="14"/>
  <c r="AB498" i="14"/>
  <c r="AN417" i="14"/>
  <c r="AI599" i="14"/>
  <c r="AA599" i="14" s="1"/>
  <c r="AD599" i="14" s="1"/>
  <c r="AC599" i="14" s="1"/>
  <c r="AI600" i="14"/>
  <c r="AA600" i="14" s="1"/>
  <c r="AD600" i="14" s="1"/>
  <c r="AC600" i="14" s="1"/>
  <c r="AO594" i="14"/>
  <c r="AQ594" i="14" s="1"/>
  <c r="AO498" i="14"/>
  <c r="AR498" i="14" s="1"/>
  <c r="AN599" i="14"/>
  <c r="AP599" i="14" s="1"/>
  <c r="AP547" i="14"/>
  <c r="AS547" i="14" s="1"/>
  <c r="AK427" i="14"/>
  <c r="AO427" i="14" s="1"/>
  <c r="AJ427" i="14"/>
  <c r="Z427" i="14" s="1"/>
  <c r="AE427" i="14" s="1"/>
  <c r="AI429" i="14"/>
  <c r="AA429" i="14" s="1"/>
  <c r="AD429" i="14" s="1"/>
  <c r="AC429" i="14" s="1"/>
  <c r="AN429" i="14"/>
  <c r="AP429" i="14" s="1"/>
  <c r="AN601" i="14"/>
  <c r="AL601" i="14"/>
  <c r="AI519" i="14"/>
  <c r="AA519" i="14" s="1"/>
  <c r="AD519" i="14" s="1"/>
  <c r="AC519" i="14" s="1"/>
  <c r="BK594" i="14"/>
  <c r="AL600" i="14"/>
  <c r="AP600" i="14" s="1"/>
  <c r="AN446" i="14"/>
  <c r="AP446" i="14" s="1"/>
  <c r="AI446" i="14"/>
  <c r="AA446" i="14" s="1"/>
  <c r="AD446" i="14" s="1"/>
  <c r="AC446" i="14" s="1"/>
  <c r="AN519" i="14"/>
  <c r="AP519" i="14" s="1"/>
  <c r="AO436" i="14"/>
  <c r="AR436" i="14" s="1"/>
  <c r="AN572" i="14"/>
  <c r="AP572" i="14" s="1"/>
  <c r="AN427" i="14"/>
  <c r="AP427" i="14" s="1"/>
  <c r="AM547" i="14"/>
  <c r="AO547" i="14" s="1"/>
  <c r="AB594" i="14"/>
  <c r="AN491" i="14"/>
  <c r="AP491" i="14" s="1"/>
  <c r="AJ547" i="14"/>
  <c r="Z547" i="14" s="1"/>
  <c r="AE547" i="14" s="1"/>
  <c r="AC547" i="14" s="1"/>
  <c r="AN569" i="14"/>
  <c r="AI572" i="14"/>
  <c r="AA572" i="14" s="1"/>
  <c r="AD572" i="14" s="1"/>
  <c r="AC572" i="14" s="1"/>
  <c r="AK435" i="14"/>
  <c r="AL569" i="14"/>
  <c r="BK448" i="14"/>
  <c r="AI491" i="14"/>
  <c r="AA491" i="14" s="1"/>
  <c r="AD491" i="14" s="1"/>
  <c r="AC491" i="14" s="1"/>
  <c r="AK569" i="14"/>
  <c r="AO569" i="14" s="1"/>
  <c r="AI427" i="14"/>
  <c r="AA427" i="14" s="1"/>
  <c r="AD427" i="14" s="1"/>
  <c r="AM525" i="14"/>
  <c r="AL471" i="14"/>
  <c r="AP471" i="14" s="1"/>
  <c r="AK525" i="14"/>
  <c r="AM435" i="14"/>
  <c r="AB510" i="14"/>
  <c r="AI471" i="14"/>
  <c r="AA471" i="14" s="1"/>
  <c r="AD471" i="14" s="1"/>
  <c r="AC471" i="14" s="1"/>
  <c r="AP448" i="14"/>
  <c r="AS448" i="14" s="1"/>
  <c r="AN567" i="14"/>
  <c r="AP567" i="14" s="1"/>
  <c r="AP436" i="14"/>
  <c r="AS436" i="14" s="1"/>
  <c r="AL525" i="14"/>
  <c r="AP525" i="14" s="1"/>
  <c r="AI525" i="14"/>
  <c r="AA525" i="14" s="1"/>
  <c r="AD525" i="14" s="1"/>
  <c r="AC525" i="14" s="1"/>
  <c r="AB448" i="14"/>
  <c r="AI456" i="14"/>
  <c r="AA456" i="14" s="1"/>
  <c r="AD456" i="14" s="1"/>
  <c r="AL456" i="14"/>
  <c r="AP456" i="14" s="1"/>
  <c r="AK546" i="14"/>
  <c r="AO546" i="14" s="1"/>
  <c r="AJ546" i="14"/>
  <c r="Z546" i="14" s="1"/>
  <c r="AE546" i="14" s="1"/>
  <c r="AC546" i="14" s="1"/>
  <c r="AN533" i="14"/>
  <c r="AP533" i="14" s="1"/>
  <c r="AJ569" i="14"/>
  <c r="Z569" i="14" s="1"/>
  <c r="AE569" i="14" s="1"/>
  <c r="AC569" i="14" s="1"/>
  <c r="AI533" i="14"/>
  <c r="AA533" i="14" s="1"/>
  <c r="AD533" i="14" s="1"/>
  <c r="AK533" i="14"/>
  <c r="AO533" i="14" s="1"/>
  <c r="AJ533" i="14"/>
  <c r="Z533" i="14" s="1"/>
  <c r="AE533" i="14" s="1"/>
  <c r="AL546" i="14"/>
  <c r="AN546" i="14"/>
  <c r="AO510" i="14"/>
  <c r="AQ510" i="14" s="1"/>
  <c r="AB537" i="14"/>
  <c r="AJ565" i="14"/>
  <c r="Z565" i="14" s="1"/>
  <c r="AB565" i="14" s="1"/>
  <c r="BK510" i="14"/>
  <c r="AJ444" i="14"/>
  <c r="Z444" i="14" s="1"/>
  <c r="AB444" i="14" s="1"/>
  <c r="AK444" i="14"/>
  <c r="AO444" i="14" s="1"/>
  <c r="AM565" i="14"/>
  <c r="AO565" i="14" s="1"/>
  <c r="AQ565" i="14" s="1"/>
  <c r="AM429" i="14"/>
  <c r="AK429" i="14"/>
  <c r="AI462" i="14"/>
  <c r="AA462" i="14" s="1"/>
  <c r="AD462" i="14" s="1"/>
  <c r="AC462" i="14" s="1"/>
  <c r="AN462" i="14"/>
  <c r="AP462" i="14" s="1"/>
  <c r="BK554" i="14"/>
  <c r="AJ456" i="14"/>
  <c r="Z456" i="14" s="1"/>
  <c r="AE456" i="14" s="1"/>
  <c r="AM456" i="14"/>
  <c r="AO456" i="14" s="1"/>
  <c r="AO567" i="14"/>
  <c r="AR567" i="14" s="1"/>
  <c r="AL435" i="14"/>
  <c r="AP435" i="14" s="1"/>
  <c r="AI567" i="14"/>
  <c r="AA567" i="14" s="1"/>
  <c r="AD567" i="14" s="1"/>
  <c r="AC567" i="14" s="1"/>
  <c r="BK436" i="14"/>
  <c r="AB511" i="14"/>
  <c r="BK538" i="14"/>
  <c r="AM564" i="14"/>
  <c r="AO564" i="14" s="1"/>
  <c r="AK511" i="14"/>
  <c r="AM511" i="14"/>
  <c r="BK612" i="14"/>
  <c r="AJ564" i="14"/>
  <c r="Z564" i="14" s="1"/>
  <c r="AE564" i="14" s="1"/>
  <c r="AC564" i="14" s="1"/>
  <c r="AL612" i="14"/>
  <c r="AN612" i="14"/>
  <c r="AI612" i="14"/>
  <c r="AA612" i="14" s="1"/>
  <c r="AD612" i="14" s="1"/>
  <c r="AN538" i="14"/>
  <c r="AI538" i="14"/>
  <c r="AA538" i="14" s="1"/>
  <c r="AD538" i="14" s="1"/>
  <c r="AL538" i="14"/>
  <c r="AJ538" i="14"/>
  <c r="Z538" i="14" s="1"/>
  <c r="AM538" i="14"/>
  <c r="AK538" i="14"/>
  <c r="AJ612" i="14"/>
  <c r="Z612" i="14" s="1"/>
  <c r="AM612" i="14"/>
  <c r="AK612" i="14"/>
  <c r="AM453" i="14"/>
  <c r="AO453" i="14" s="1"/>
  <c r="AJ453" i="14"/>
  <c r="Z453" i="14" s="1"/>
  <c r="AE453" i="14" s="1"/>
  <c r="AP474" i="14"/>
  <c r="AS474" i="14" s="1"/>
  <c r="AK561" i="14"/>
  <c r="AM600" i="14"/>
  <c r="AJ556" i="14"/>
  <c r="Z556" i="14" s="1"/>
  <c r="AE556" i="14" s="1"/>
  <c r="AC556" i="14" s="1"/>
  <c r="AK600" i="14"/>
  <c r="AM561" i="14"/>
  <c r="AM556" i="14"/>
  <c r="AO556" i="14" s="1"/>
  <c r="AB561" i="14"/>
  <c r="BK452" i="14"/>
  <c r="AI435" i="14"/>
  <c r="AA435" i="14" s="1"/>
  <c r="AD435" i="14" s="1"/>
  <c r="AC435" i="14" s="1"/>
  <c r="AB418" i="14"/>
  <c r="BK423" i="14"/>
  <c r="AK474" i="14"/>
  <c r="AO474" i="14" s="1"/>
  <c r="AJ474" i="14"/>
  <c r="Z474" i="14" s="1"/>
  <c r="AE474" i="14" s="1"/>
  <c r="AC474" i="14" s="1"/>
  <c r="AO452" i="14"/>
  <c r="AR452" i="14" s="1"/>
  <c r="AP551" i="14"/>
  <c r="AS551" i="14" s="1"/>
  <c r="AB452" i="14"/>
  <c r="AE507" i="14"/>
  <c r="AC507" i="14" s="1"/>
  <c r="AN468" i="14"/>
  <c r="AL468" i="14"/>
  <c r="AB468" i="14"/>
  <c r="AP507" i="14"/>
  <c r="AS507" i="14" s="1"/>
  <c r="AI453" i="14"/>
  <c r="AA453" i="14" s="1"/>
  <c r="AD453" i="14" s="1"/>
  <c r="AN453" i="14"/>
  <c r="AP453" i="14" s="1"/>
  <c r="AB554" i="14"/>
  <c r="BK507" i="14"/>
  <c r="AN423" i="14"/>
  <c r="AI423" i="14"/>
  <c r="AA423" i="14" s="1"/>
  <c r="AD423" i="14" s="1"/>
  <c r="AL423" i="14"/>
  <c r="BK551" i="14"/>
  <c r="AK462" i="14"/>
  <c r="AM462" i="14"/>
  <c r="AE551" i="14"/>
  <c r="AC551" i="14" s="1"/>
  <c r="BK469" i="14"/>
  <c r="AM483" i="14"/>
  <c r="AJ483" i="14"/>
  <c r="Z483" i="14" s="1"/>
  <c r="AK483" i="14"/>
  <c r="BK476" i="14"/>
  <c r="BK465" i="14"/>
  <c r="BK486" i="14"/>
  <c r="BK481" i="14"/>
  <c r="AJ423" i="14"/>
  <c r="Z423" i="14" s="1"/>
  <c r="AM423" i="14"/>
  <c r="AK423" i="14"/>
  <c r="BK605" i="14"/>
  <c r="AB469" i="14"/>
  <c r="BK530" i="14"/>
  <c r="BK422" i="14"/>
  <c r="BK582" i="14"/>
  <c r="BK550" i="14"/>
  <c r="BK461" i="14"/>
  <c r="BK575" i="14"/>
  <c r="BK584" i="14"/>
  <c r="BK454" i="14"/>
  <c r="BK440" i="14"/>
  <c r="BK438" i="14"/>
  <c r="BK562" i="14"/>
  <c r="BK449" i="14"/>
  <c r="BK512" i="14"/>
  <c r="AM562" i="14"/>
  <c r="AK562" i="14"/>
  <c r="AJ562" i="14"/>
  <c r="Z562" i="14" s="1"/>
  <c r="AN562" i="14"/>
  <c r="AL562" i="14"/>
  <c r="AI562" i="14"/>
  <c r="AA562" i="14" s="1"/>
  <c r="AD562" i="14" s="1"/>
  <c r="BK416" i="14"/>
  <c r="BK467" i="14"/>
  <c r="BK506" i="14"/>
  <c r="BK559" i="14"/>
  <c r="BK432" i="14"/>
  <c r="BK522" i="14"/>
  <c r="BK541" i="14"/>
  <c r="BK597" i="14"/>
  <c r="BK480" i="14"/>
  <c r="BK434" i="14"/>
  <c r="AM549" i="14"/>
  <c r="AK549" i="14"/>
  <c r="AJ549" i="14"/>
  <c r="Z549" i="14" s="1"/>
  <c r="AM582" i="14"/>
  <c r="AK582" i="14"/>
  <c r="AJ582" i="14"/>
  <c r="Z582" i="14" s="1"/>
  <c r="AJ575" i="14"/>
  <c r="Z575" i="14" s="1"/>
  <c r="AK575" i="14"/>
  <c r="AM575" i="14"/>
  <c r="AN506" i="14"/>
  <c r="AI506" i="14"/>
  <c r="AA506" i="14" s="1"/>
  <c r="AD506" i="14" s="1"/>
  <c r="AL506" i="14"/>
  <c r="AM521" i="14"/>
  <c r="AK521" i="14"/>
  <c r="AJ521" i="14"/>
  <c r="Z521" i="14" s="1"/>
  <c r="AL596" i="14"/>
  <c r="AI596" i="14"/>
  <c r="AA596" i="14" s="1"/>
  <c r="AD596" i="14" s="1"/>
  <c r="AN596" i="14"/>
  <c r="AJ541" i="14"/>
  <c r="Z541" i="14" s="1"/>
  <c r="AK541" i="14"/>
  <c r="AM541" i="14"/>
  <c r="AJ530" i="14"/>
  <c r="Z530" i="14" s="1"/>
  <c r="AM530" i="14"/>
  <c r="AK530" i="14"/>
  <c r="AI512" i="14"/>
  <c r="AA512" i="14" s="1"/>
  <c r="AD512" i="14" s="1"/>
  <c r="AL512" i="14"/>
  <c r="AN512" i="14"/>
  <c r="AL479" i="14"/>
  <c r="AI479" i="14"/>
  <c r="AA479" i="14" s="1"/>
  <c r="AD479" i="14" s="1"/>
  <c r="AN479" i="14"/>
  <c r="AI480" i="14"/>
  <c r="AA480" i="14" s="1"/>
  <c r="AD480" i="14" s="1"/>
  <c r="AL480" i="14"/>
  <c r="AN480" i="14"/>
  <c r="AJ480" i="14"/>
  <c r="Z480" i="14" s="1"/>
  <c r="AM480" i="14"/>
  <c r="AK480" i="14"/>
  <c r="AJ512" i="14"/>
  <c r="Z512" i="14" s="1"/>
  <c r="AK512" i="14"/>
  <c r="AM512" i="14"/>
  <c r="BK521" i="14"/>
  <c r="AJ584" i="14"/>
  <c r="Z584" i="14" s="1"/>
  <c r="AM584" i="14"/>
  <c r="AK584" i="14"/>
  <c r="AL521" i="14"/>
  <c r="AN521" i="14"/>
  <c r="AI521" i="14"/>
  <c r="AA521" i="14" s="1"/>
  <c r="AD521" i="14" s="1"/>
  <c r="AK461" i="14"/>
  <c r="AJ461" i="14"/>
  <c r="Z461" i="14" s="1"/>
  <c r="AM461" i="14"/>
  <c r="AM486" i="14"/>
  <c r="AK486" i="14"/>
  <c r="AJ486" i="14"/>
  <c r="Z486" i="14" s="1"/>
  <c r="AK476" i="14"/>
  <c r="AJ476" i="14"/>
  <c r="Z476" i="14" s="1"/>
  <c r="AM476" i="14"/>
  <c r="AJ513" i="14"/>
  <c r="Z513" i="14" s="1"/>
  <c r="AM513" i="14"/>
  <c r="AK513" i="14"/>
  <c r="BK479" i="14"/>
  <c r="AN467" i="14"/>
  <c r="AI467" i="14"/>
  <c r="AA467" i="14" s="1"/>
  <c r="AD467" i="14" s="1"/>
  <c r="AL467" i="14"/>
  <c r="BK508" i="14"/>
  <c r="AI508" i="14"/>
  <c r="AA508" i="14" s="1"/>
  <c r="AD508" i="14" s="1"/>
  <c r="AL508" i="14"/>
  <c r="AN508" i="14"/>
  <c r="BK513" i="14"/>
  <c r="AJ465" i="14"/>
  <c r="Z465" i="14" s="1"/>
  <c r="AK465" i="14"/>
  <c r="AM465" i="14"/>
  <c r="AK479" i="14"/>
  <c r="AJ479" i="14"/>
  <c r="Z479" i="14" s="1"/>
  <c r="AM479" i="14"/>
  <c r="AK508" i="14"/>
  <c r="AJ508" i="14"/>
  <c r="Z508" i="14" s="1"/>
  <c r="AM508" i="14"/>
  <c r="AI438" i="14"/>
  <c r="AA438" i="14" s="1"/>
  <c r="AD438" i="14" s="1"/>
  <c r="AL438" i="14"/>
  <c r="AN438" i="14"/>
  <c r="AL434" i="14"/>
  <c r="AI434" i="14"/>
  <c r="AA434" i="14" s="1"/>
  <c r="AD434" i="14" s="1"/>
  <c r="AN434" i="14"/>
  <c r="AJ440" i="14"/>
  <c r="Z440" i="14" s="1"/>
  <c r="AM440" i="14"/>
  <c r="AK440" i="14"/>
  <c r="AM422" i="14"/>
  <c r="AK422" i="14"/>
  <c r="AJ422" i="14"/>
  <c r="Z422" i="14" s="1"/>
  <c r="AI558" i="14"/>
  <c r="AA558" i="14" s="1"/>
  <c r="AD558" i="14" s="1"/>
  <c r="AL558" i="14"/>
  <c r="AN558" i="14"/>
  <c r="AJ416" i="14"/>
  <c r="Z416" i="14" s="1"/>
  <c r="AM416" i="14"/>
  <c r="AK416" i="14"/>
  <c r="AL449" i="14"/>
  <c r="AN449" i="14"/>
  <c r="AI449" i="14"/>
  <c r="AA449" i="14" s="1"/>
  <c r="AD449" i="14" s="1"/>
  <c r="AN513" i="14"/>
  <c r="AL513" i="14"/>
  <c r="AI513" i="14"/>
  <c r="AA513" i="14" s="1"/>
  <c r="AD513" i="14" s="1"/>
  <c r="AI422" i="14"/>
  <c r="AA422" i="14" s="1"/>
  <c r="AD422" i="14" s="1"/>
  <c r="AL422" i="14"/>
  <c r="AN422" i="14"/>
  <c r="BK596" i="14"/>
  <c r="AL460" i="14"/>
  <c r="AI460" i="14"/>
  <c r="AA460" i="14" s="1"/>
  <c r="AD460" i="14" s="1"/>
  <c r="AN460" i="14"/>
  <c r="AM558" i="14"/>
  <c r="AK558" i="14"/>
  <c r="AJ558" i="14"/>
  <c r="Z558" i="14" s="1"/>
  <c r="BK466" i="14"/>
  <c r="BK514" i="14"/>
  <c r="AK550" i="14"/>
  <c r="AM550" i="14"/>
  <c r="AJ550" i="14"/>
  <c r="Z550" i="14" s="1"/>
  <c r="AK481" i="14"/>
  <c r="AM481" i="14"/>
  <c r="AJ481" i="14"/>
  <c r="Z481" i="14" s="1"/>
  <c r="AM522" i="14"/>
  <c r="AK522" i="14"/>
  <c r="AJ522" i="14"/>
  <c r="Z522" i="14" s="1"/>
  <c r="AM596" i="14"/>
  <c r="AK596" i="14"/>
  <c r="AJ596" i="14"/>
  <c r="Z596" i="14" s="1"/>
  <c r="AM460" i="14"/>
  <c r="AK460" i="14"/>
  <c r="AJ460" i="14"/>
  <c r="Z460" i="14" s="1"/>
  <c r="AL433" i="14"/>
  <c r="AN433" i="14"/>
  <c r="AI433" i="14"/>
  <c r="AA433" i="14" s="1"/>
  <c r="AD433" i="14" s="1"/>
  <c r="BK558" i="14"/>
  <c r="AM466" i="14"/>
  <c r="AK466" i="14"/>
  <c r="AJ466" i="14"/>
  <c r="Z466" i="14" s="1"/>
  <c r="AJ514" i="14"/>
  <c r="Z514" i="14" s="1"/>
  <c r="AK514" i="14"/>
  <c r="AM514" i="14"/>
  <c r="AI586" i="14"/>
  <c r="AA586" i="14" s="1"/>
  <c r="AD586" i="14" s="1"/>
  <c r="AL586" i="14"/>
  <c r="AN586" i="14"/>
  <c r="AM605" i="14"/>
  <c r="AK605" i="14"/>
  <c r="AJ605" i="14"/>
  <c r="Z605" i="14" s="1"/>
  <c r="AI588" i="14"/>
  <c r="AA588" i="14" s="1"/>
  <c r="AD588" i="14" s="1"/>
  <c r="AN588" i="14"/>
  <c r="AL588" i="14"/>
  <c r="AJ588" i="14"/>
  <c r="Z588" i="14" s="1"/>
  <c r="AM588" i="14"/>
  <c r="AK588" i="14"/>
  <c r="BK433" i="14"/>
  <c r="BK460" i="14"/>
  <c r="AJ438" i="14"/>
  <c r="Z438" i="14" s="1"/>
  <c r="AK438" i="14"/>
  <c r="AM438" i="14"/>
  <c r="AI530" i="14"/>
  <c r="AA530" i="14" s="1"/>
  <c r="AD530" i="14" s="1"/>
  <c r="AL530" i="14"/>
  <c r="AN530" i="14"/>
  <c r="AL582" i="14"/>
  <c r="AN582" i="14"/>
  <c r="AI582" i="14"/>
  <c r="AA582" i="14" s="1"/>
  <c r="AD582" i="14" s="1"/>
  <c r="AI541" i="14"/>
  <c r="AA541" i="14" s="1"/>
  <c r="AD541" i="14" s="1"/>
  <c r="AL541" i="14"/>
  <c r="AN541" i="14"/>
  <c r="AJ454" i="14"/>
  <c r="Z454" i="14" s="1"/>
  <c r="AM454" i="14"/>
  <c r="AK454" i="14"/>
  <c r="AK432" i="14"/>
  <c r="AM432" i="14"/>
  <c r="AJ432" i="14"/>
  <c r="Z432" i="14" s="1"/>
  <c r="AN584" i="14"/>
  <c r="AL584" i="14"/>
  <c r="AI584" i="14"/>
  <c r="AA584" i="14" s="1"/>
  <c r="AD584" i="14" s="1"/>
  <c r="BK588" i="14"/>
  <c r="AK433" i="14"/>
  <c r="AJ433" i="14"/>
  <c r="Z433" i="14" s="1"/>
  <c r="AM433" i="14"/>
  <c r="AL476" i="14"/>
  <c r="AI476" i="14"/>
  <c r="AA476" i="14" s="1"/>
  <c r="AD476" i="14" s="1"/>
  <c r="AN476" i="14"/>
  <c r="AI514" i="14"/>
  <c r="AA514" i="14" s="1"/>
  <c r="AD514" i="14" s="1"/>
  <c r="AL514" i="14"/>
  <c r="AN514" i="14"/>
  <c r="AL605" i="14"/>
  <c r="AI605" i="14"/>
  <c r="AA605" i="14" s="1"/>
  <c r="AD605" i="14" s="1"/>
  <c r="AN605" i="14"/>
  <c r="AK467" i="14"/>
  <c r="AJ467" i="14"/>
  <c r="Z467" i="14" s="1"/>
  <c r="AM467" i="14"/>
  <c r="AI549" i="14"/>
  <c r="AA549" i="14" s="1"/>
  <c r="AD549" i="14" s="1"/>
  <c r="AN549" i="14"/>
  <c r="AL549" i="14"/>
  <c r="AI461" i="14"/>
  <c r="AA461" i="14" s="1"/>
  <c r="AD461" i="14" s="1"/>
  <c r="AL461" i="14"/>
  <c r="AN461" i="14"/>
  <c r="AM586" i="14"/>
  <c r="AK586" i="14"/>
  <c r="AJ586" i="14"/>
  <c r="Z586" i="14" s="1"/>
  <c r="AN550" i="14"/>
  <c r="AL550" i="14"/>
  <c r="AI550" i="14"/>
  <c r="AA550" i="14" s="1"/>
  <c r="AD550" i="14" s="1"/>
  <c r="AI481" i="14"/>
  <c r="AA481" i="14" s="1"/>
  <c r="AD481" i="14" s="1"/>
  <c r="AN481" i="14"/>
  <c r="AL481" i="14"/>
  <c r="AI486" i="14"/>
  <c r="AA486" i="14" s="1"/>
  <c r="AD486" i="14" s="1"/>
  <c r="AN486" i="14"/>
  <c r="AL486" i="14"/>
  <c r="AN465" i="14"/>
  <c r="AL465" i="14"/>
  <c r="AI465" i="14"/>
  <c r="AA465" i="14" s="1"/>
  <c r="AD465" i="14" s="1"/>
  <c r="AK506" i="14"/>
  <c r="AJ506" i="14"/>
  <c r="Z506" i="14" s="1"/>
  <c r="AM506" i="14"/>
  <c r="AN432" i="14"/>
  <c r="AI432" i="14"/>
  <c r="AA432" i="14" s="1"/>
  <c r="AD432" i="14" s="1"/>
  <c r="AL432" i="14"/>
  <c r="AL478" i="14"/>
  <c r="AN478" i="14"/>
  <c r="AI478" i="14"/>
  <c r="AA478" i="14" s="1"/>
  <c r="AD478" i="14" s="1"/>
  <c r="AL559" i="14"/>
  <c r="AN559" i="14"/>
  <c r="AI559" i="14"/>
  <c r="AA559" i="14" s="1"/>
  <c r="AD559" i="14" s="1"/>
  <c r="BK586" i="14"/>
  <c r="BK478" i="14"/>
  <c r="AL454" i="14"/>
  <c r="AI454" i="14"/>
  <c r="AA454" i="14" s="1"/>
  <c r="AD454" i="14" s="1"/>
  <c r="AN454" i="14"/>
  <c r="AL522" i="14"/>
  <c r="AN522" i="14"/>
  <c r="AI522" i="14"/>
  <c r="AA522" i="14" s="1"/>
  <c r="AD522" i="14" s="1"/>
  <c r="AN440" i="14"/>
  <c r="AL440" i="14"/>
  <c r="AI440" i="14"/>
  <c r="AA440" i="14" s="1"/>
  <c r="AD440" i="14" s="1"/>
  <c r="AL597" i="14"/>
  <c r="AI597" i="14"/>
  <c r="AA597" i="14" s="1"/>
  <c r="AD597" i="14" s="1"/>
  <c r="AN597" i="14"/>
  <c r="BK603" i="14"/>
  <c r="AK478" i="14"/>
  <c r="AM478" i="14"/>
  <c r="AJ478" i="14"/>
  <c r="Z478" i="14" s="1"/>
  <c r="AI575" i="14"/>
  <c r="AA575" i="14" s="1"/>
  <c r="AD575" i="14" s="1"/>
  <c r="AN575" i="14"/>
  <c r="AL575" i="14"/>
  <c r="AN416" i="14"/>
  <c r="AL416" i="14"/>
  <c r="AI416" i="14"/>
  <c r="AA416" i="14" s="1"/>
  <c r="AD416" i="14" s="1"/>
  <c r="BK549" i="14"/>
  <c r="AM449" i="14"/>
  <c r="AK449" i="14"/>
  <c r="AJ449" i="14"/>
  <c r="Z449" i="14" s="1"/>
  <c r="AI603" i="14"/>
  <c r="AA603" i="14" s="1"/>
  <c r="AD603" i="14" s="1"/>
  <c r="AN603" i="14"/>
  <c r="AL603" i="14"/>
  <c r="AI466" i="14"/>
  <c r="AA466" i="14" s="1"/>
  <c r="AD466" i="14" s="1"/>
  <c r="AN466" i="14"/>
  <c r="AL466" i="14"/>
  <c r="AK570" i="14"/>
  <c r="AM570" i="14"/>
  <c r="AJ570" i="14"/>
  <c r="Z570" i="14" s="1"/>
  <c r="AJ597" i="14"/>
  <c r="Z597" i="14" s="1"/>
  <c r="AK597" i="14"/>
  <c r="AM597" i="14"/>
  <c r="AJ559" i="14"/>
  <c r="Z559" i="14" s="1"/>
  <c r="AM559" i="14"/>
  <c r="AK559" i="14"/>
  <c r="AJ603" i="14"/>
  <c r="Z603" i="14" s="1"/>
  <c r="AM603" i="14"/>
  <c r="AK603" i="14"/>
  <c r="AK434" i="14"/>
  <c r="AM434" i="14"/>
  <c r="AJ434" i="14"/>
  <c r="Z434" i="14" s="1"/>
  <c r="AI570" i="14"/>
  <c r="AA570" i="14" s="1"/>
  <c r="AD570" i="14" s="1"/>
  <c r="AN570" i="14"/>
  <c r="AL570" i="14"/>
  <c r="AR424" i="14"/>
  <c r="AR431" i="14"/>
  <c r="AR504" i="14"/>
  <c r="AR607" i="14"/>
  <c r="AR555" i="14"/>
  <c r="AR446" i="14"/>
  <c r="AR515" i="14"/>
  <c r="AR473" i="14"/>
  <c r="AR585" i="14"/>
  <c r="AR492" i="14"/>
  <c r="AR421" i="14"/>
  <c r="AR496" i="14"/>
  <c r="AR442" i="14"/>
  <c r="BN442" i="14" s="1"/>
  <c r="AR472" i="14"/>
  <c r="AR471" i="14"/>
  <c r="AR482" i="14"/>
  <c r="AR604" i="14"/>
  <c r="AR451" i="14"/>
  <c r="AR469" i="14"/>
  <c r="AR519" i="14"/>
  <c r="AR599" i="14"/>
  <c r="AR540" i="14"/>
  <c r="AR563" i="14"/>
  <c r="AR534" i="14"/>
  <c r="AR537" i="14"/>
  <c r="BN537" i="14" s="1"/>
  <c r="AR593" i="14"/>
  <c r="AR578" i="14"/>
  <c r="AR613" i="14"/>
  <c r="AR553" i="14"/>
  <c r="AR610" i="14"/>
  <c r="AR516" i="14"/>
  <c r="BN516" i="14" s="1"/>
  <c r="AR448" i="14"/>
  <c r="AR468" i="14"/>
  <c r="AR574" i="14"/>
  <c r="BN574" i="14" s="1"/>
  <c r="AR428" i="14"/>
  <c r="AR554" i="14"/>
  <c r="AR418" i="14"/>
  <c r="AR535" i="14"/>
  <c r="AR583" i="14"/>
  <c r="AR417" i="14"/>
  <c r="AR463" i="14"/>
  <c r="AR455" i="14"/>
  <c r="AR557" i="14"/>
  <c r="AC455" i="14"/>
  <c r="AQ593" i="14"/>
  <c r="AQ469" i="14"/>
  <c r="AQ553" i="14"/>
  <c r="AQ442" i="14"/>
  <c r="AC574" i="14"/>
  <c r="AQ418" i="14"/>
  <c r="AQ458" i="14"/>
  <c r="AQ581" i="14"/>
  <c r="AC515" i="14"/>
  <c r="AQ574" i="14"/>
  <c r="AQ540" i="14"/>
  <c r="AQ555" i="14"/>
  <c r="AC418" i="14"/>
  <c r="AQ516" i="14"/>
  <c r="AC502" i="14"/>
  <c r="AQ554" i="14"/>
  <c r="AQ421" i="14"/>
  <c r="AQ537" i="14"/>
  <c r="AQ492" i="14"/>
  <c r="AC527" i="14"/>
  <c r="AC526" i="14"/>
  <c r="AQ455" i="14"/>
  <c r="AQ464" i="14"/>
  <c r="AQ515" i="14"/>
  <c r="AC498" i="14"/>
  <c r="AC490" i="14"/>
  <c r="AC443" i="14"/>
  <c r="AC437" i="14"/>
  <c r="AC554" i="14"/>
  <c r="AC492" i="14"/>
  <c r="AC417" i="14"/>
  <c r="AC516" i="14"/>
  <c r="AQ424" i="14"/>
  <c r="AC468" i="14"/>
  <c r="AC459" i="14"/>
  <c r="AC576" i="14"/>
  <c r="AO616" i="14"/>
  <c r="AC587" i="14"/>
  <c r="AC430" i="14"/>
  <c r="AC611" i="14"/>
  <c r="AC472" i="14"/>
  <c r="AC594" i="14"/>
  <c r="AC561" i="14"/>
  <c r="AC469" i="14"/>
  <c r="AC450" i="14"/>
  <c r="AC511" i="14"/>
  <c r="AC503" i="14"/>
  <c r="AC451" i="14"/>
  <c r="AC420" i="14"/>
  <c r="AC536" i="14"/>
  <c r="AC615" i="14"/>
  <c r="AC540" i="14"/>
  <c r="AC424" i="14"/>
  <c r="AC544" i="14"/>
  <c r="AC485" i="14"/>
  <c r="AC537" i="14"/>
  <c r="AC441" i="14"/>
  <c r="AC539" i="14"/>
  <c r="AC585" i="14"/>
  <c r="AC593" i="14"/>
  <c r="AC577" i="14"/>
  <c r="AC609" i="14"/>
  <c r="AC431" i="14"/>
  <c r="AC442" i="14"/>
  <c r="AC553" i="14"/>
  <c r="AC509" i="14"/>
  <c r="AC445" i="14"/>
  <c r="AC452" i="14"/>
  <c r="AB616" i="14"/>
  <c r="AE616" i="14"/>
  <c r="AQ518" i="14"/>
  <c r="AC607" i="14"/>
  <c r="AC436" i="14"/>
  <c r="AC520" i="14"/>
  <c r="AC470" i="14"/>
  <c r="AC555" i="14"/>
  <c r="AC510" i="14"/>
  <c r="AC448" i="14"/>
  <c r="AC497" i="14"/>
  <c r="AC608" i="14"/>
  <c r="AC421" i="14"/>
  <c r="AQ557" i="14" l="1"/>
  <c r="BN557" i="14"/>
  <c r="AQ534" i="14"/>
  <c r="AO509" i="14"/>
  <c r="AR509" i="14" s="1"/>
  <c r="AP509" i="14"/>
  <c r="AS509" i="14" s="1"/>
  <c r="BN455" i="14"/>
  <c r="AO520" i="14"/>
  <c r="AQ520" i="14" s="1"/>
  <c r="AC534" i="14"/>
  <c r="AB534" i="14"/>
  <c r="AP490" i="14"/>
  <c r="AS490" i="14" s="1"/>
  <c r="AR497" i="14"/>
  <c r="BN497" i="14" s="1"/>
  <c r="AO490" i="14"/>
  <c r="AR490" i="14" s="1"/>
  <c r="AE542" i="14"/>
  <c r="AC542" i="14" s="1"/>
  <c r="AP542" i="14"/>
  <c r="AS542" i="14" s="1"/>
  <c r="AE488" i="14"/>
  <c r="AC488" i="14" s="1"/>
  <c r="AE500" i="14"/>
  <c r="AC500" i="14" s="1"/>
  <c r="AS531" i="14"/>
  <c r="AB493" i="14"/>
  <c r="BN431" i="14"/>
  <c r="AS493" i="14"/>
  <c r="AC531" i="14"/>
  <c r="AQ531" i="14"/>
  <c r="AR493" i="14"/>
  <c r="AR531" i="14"/>
  <c r="AC493" i="14"/>
  <c r="AB531" i="14"/>
  <c r="AQ493" i="14"/>
  <c r="AR503" i="14"/>
  <c r="BN503" i="14" s="1"/>
  <c r="AR443" i="14"/>
  <c r="BN443" i="14" s="1"/>
  <c r="AO430" i="14"/>
  <c r="AQ430" i="14" s="1"/>
  <c r="BN593" i="14"/>
  <c r="AQ431" i="14"/>
  <c r="AR576" i="14"/>
  <c r="BN576" i="14" s="1"/>
  <c r="AP577" i="14"/>
  <c r="AS577" i="14" s="1"/>
  <c r="AR437" i="14"/>
  <c r="BN437" i="14" s="1"/>
  <c r="AS606" i="14"/>
  <c r="BN606" i="14" s="1"/>
  <c r="AR505" i="14"/>
  <c r="AR611" i="14"/>
  <c r="BN611" i="14" s="1"/>
  <c r="AR441" i="14"/>
  <c r="BN441" i="14" s="1"/>
  <c r="AR523" i="14"/>
  <c r="BN523" i="14" s="1"/>
  <c r="AR485" i="14"/>
  <c r="BN485" i="14" s="1"/>
  <c r="AO577" i="14"/>
  <c r="AR577" i="14" s="1"/>
  <c r="AR502" i="14"/>
  <c r="BN502" i="14" s="1"/>
  <c r="AR602" i="14"/>
  <c r="AS505" i="14"/>
  <c r="AR426" i="14"/>
  <c r="BN426" i="14" s="1"/>
  <c r="AR581" i="14"/>
  <c r="BN581" i="14" s="1"/>
  <c r="AB439" i="14"/>
  <c r="AS439" i="14"/>
  <c r="AB606" i="14"/>
  <c r="AC606" i="14"/>
  <c r="AQ606" i="14"/>
  <c r="AO439" i="14"/>
  <c r="AR439" i="14" s="1"/>
  <c r="AR464" i="14"/>
  <c r="BN464" i="14" s="1"/>
  <c r="AB528" i="14"/>
  <c r="AS528" i="14"/>
  <c r="AO528" i="14"/>
  <c r="AS504" i="14"/>
  <c r="BN504" i="14" s="1"/>
  <c r="AB504" i="14"/>
  <c r="AR494" i="14"/>
  <c r="BN494" i="14" s="1"/>
  <c r="AB494" i="14"/>
  <c r="AB487" i="14"/>
  <c r="AR487" i="14"/>
  <c r="BN487" i="14" s="1"/>
  <c r="AQ487" i="14"/>
  <c r="AP529" i="14"/>
  <c r="AS529" i="14" s="1"/>
  <c r="AE529" i="14"/>
  <c r="AC529" i="14" s="1"/>
  <c r="AQ589" i="14"/>
  <c r="AE589" i="14"/>
  <c r="AC589" i="14" s="1"/>
  <c r="AE532" i="14"/>
  <c r="AR532" i="14" s="1"/>
  <c r="BN532" i="14" s="1"/>
  <c r="AS598" i="14"/>
  <c r="AO539" i="14"/>
  <c r="AQ539" i="14" s="1"/>
  <c r="AQ598" i="14"/>
  <c r="AC598" i="14"/>
  <c r="AP420" i="14"/>
  <c r="AS420" i="14" s="1"/>
  <c r="BN420" i="14" s="1"/>
  <c r="AO568" i="14"/>
  <c r="AQ568" i="14" s="1"/>
  <c r="AQ614" i="14"/>
  <c r="AB495" i="14"/>
  <c r="AR495" i="14"/>
  <c r="AS613" i="14"/>
  <c r="BN613" i="14" s="1"/>
  <c r="AB613" i="14"/>
  <c r="AB568" i="14"/>
  <c r="AS568" i="14"/>
  <c r="AP459" i="14"/>
  <c r="AS459" i="14" s="1"/>
  <c r="BN459" i="14" s="1"/>
  <c r="AB614" i="14"/>
  <c r="AS614" i="14"/>
  <c r="BN614" i="14" s="1"/>
  <c r="AP495" i="14"/>
  <c r="AS495" i="14" s="1"/>
  <c r="AO608" i="14"/>
  <c r="AR608" i="14" s="1"/>
  <c r="AP560" i="14"/>
  <c r="AS560" i="14" s="1"/>
  <c r="AO544" i="14"/>
  <c r="AQ544" i="14" s="1"/>
  <c r="AR591" i="14"/>
  <c r="BN591" i="14" s="1"/>
  <c r="AQ552" i="14"/>
  <c r="AP526" i="14"/>
  <c r="AS526" i="14" s="1"/>
  <c r="AS595" i="14"/>
  <c r="AO517" i="14"/>
  <c r="AR517" i="14" s="1"/>
  <c r="BN517" i="14" s="1"/>
  <c r="AR552" i="14"/>
  <c r="AB595" i="14"/>
  <c r="AC552" i="14"/>
  <c r="AQ573" i="14"/>
  <c r="BN424" i="14"/>
  <c r="AP607" i="14"/>
  <c r="AS607" i="14" s="1"/>
  <c r="BN607" i="14" s="1"/>
  <c r="AP419" i="14"/>
  <c r="AS419" i="14" s="1"/>
  <c r="AO445" i="14"/>
  <c r="AR445" i="14" s="1"/>
  <c r="BN445" i="14" s="1"/>
  <c r="AO560" i="14"/>
  <c r="AR560" i="14" s="1"/>
  <c r="AS552" i="14"/>
  <c r="AB552" i="14"/>
  <c r="AO595" i="14"/>
  <c r="AR595" i="14" s="1"/>
  <c r="AB591" i="14"/>
  <c r="BN555" i="14"/>
  <c r="AB598" i="14"/>
  <c r="AO609" i="14"/>
  <c r="AQ609" i="14" s="1"/>
  <c r="AR598" i="14"/>
  <c r="AE573" i="14"/>
  <c r="AR573" i="14" s="1"/>
  <c r="BN573" i="14" s="1"/>
  <c r="AO526" i="14"/>
  <c r="AR526" i="14" s="1"/>
  <c r="AP608" i="14"/>
  <c r="AS608" i="14" s="1"/>
  <c r="AE419" i="14"/>
  <c r="AC419" i="14" s="1"/>
  <c r="AB428" i="14"/>
  <c r="AS428" i="14"/>
  <c r="BN428" i="14" s="1"/>
  <c r="AS535" i="14"/>
  <c r="BN535" i="14" s="1"/>
  <c r="AB535" i="14"/>
  <c r="AQ501" i="14"/>
  <c r="AO615" i="14"/>
  <c r="AS501" i="14"/>
  <c r="AC501" i="14"/>
  <c r="AR501" i="14"/>
  <c r="AB501" i="14"/>
  <c r="BN553" i="14"/>
  <c r="AB463" i="14"/>
  <c r="AS463" i="14"/>
  <c r="BN463" i="14" s="1"/>
  <c r="BN587" i="14"/>
  <c r="AB583" i="14"/>
  <c r="AQ587" i="14"/>
  <c r="AS583" i="14"/>
  <c r="BN583" i="14" s="1"/>
  <c r="AO470" i="14"/>
  <c r="AR470" i="14" s="1"/>
  <c r="BN470" i="14" s="1"/>
  <c r="AQ505" i="14"/>
  <c r="AR475" i="14"/>
  <c r="BN475" i="14" s="1"/>
  <c r="AB578" i="14"/>
  <c r="AS578" i="14"/>
  <c r="BN578" i="14" s="1"/>
  <c r="AO566" i="14"/>
  <c r="AQ566" i="14" s="1"/>
  <c r="AQ475" i="14"/>
  <c r="AQ543" i="14"/>
  <c r="AS482" i="14"/>
  <c r="BN482" i="14" s="1"/>
  <c r="AB482" i="14"/>
  <c r="AC505" i="14"/>
  <c r="AB523" i="14"/>
  <c r="AC523" i="14"/>
  <c r="AB505" i="14"/>
  <c r="BN518" i="14"/>
  <c r="AP536" i="14"/>
  <c r="AS536" i="14" s="1"/>
  <c r="AS543" i="14"/>
  <c r="BN543" i="14" s="1"/>
  <c r="AB602" i="14"/>
  <c r="AS496" i="14"/>
  <c r="BN496" i="14" s="1"/>
  <c r="AB496" i="14"/>
  <c r="BN492" i="14"/>
  <c r="AP602" i="14"/>
  <c r="AS602" i="14" s="1"/>
  <c r="AO571" i="14"/>
  <c r="AQ571" i="14" s="1"/>
  <c r="BN458" i="14"/>
  <c r="AC426" i="14"/>
  <c r="AC458" i="14"/>
  <c r="AB426" i="14"/>
  <c r="AC602" i="14"/>
  <c r="BN540" i="14"/>
  <c r="BN585" i="14"/>
  <c r="AB543" i="14"/>
  <c r="AC518" i="14"/>
  <c r="AP451" i="14"/>
  <c r="AS451" i="14" s="1"/>
  <c r="BN451" i="14" s="1"/>
  <c r="AO536" i="14"/>
  <c r="AR536" i="14" s="1"/>
  <c r="AQ523" i="14"/>
  <c r="AP616" i="14"/>
  <c r="AS616" i="14" s="1"/>
  <c r="AQ585" i="14"/>
  <c r="AS604" i="14"/>
  <c r="BN604" i="14" s="1"/>
  <c r="AB604" i="14"/>
  <c r="AE489" i="14"/>
  <c r="AC489" i="14" s="1"/>
  <c r="AR477" i="14"/>
  <c r="BN477" i="14" s="1"/>
  <c r="AB477" i="14"/>
  <c r="BN469" i="14"/>
  <c r="BN418" i="14"/>
  <c r="BN515" i="14"/>
  <c r="BN527" i="14"/>
  <c r="BN554" i="14"/>
  <c r="BN421" i="14"/>
  <c r="BN534" i="14"/>
  <c r="BN452" i="14"/>
  <c r="AS471" i="14"/>
  <c r="BN471" i="14" s="1"/>
  <c r="AS600" i="14"/>
  <c r="AR551" i="14"/>
  <c r="BN551" i="14" s="1"/>
  <c r="AR601" i="14"/>
  <c r="AS525" i="14"/>
  <c r="AS563" i="14"/>
  <c r="BN563" i="14" s="1"/>
  <c r="AS610" i="14"/>
  <c r="BN610" i="14" s="1"/>
  <c r="AR564" i="14"/>
  <c r="BN564" i="14" s="1"/>
  <c r="AS599" i="14"/>
  <c r="BN599" i="14" s="1"/>
  <c r="AS592" i="14"/>
  <c r="BN592" i="14" s="1"/>
  <c r="AS579" i="14"/>
  <c r="BN579" i="14" s="1"/>
  <c r="AS548" i="14"/>
  <c r="AS453" i="14"/>
  <c r="AR546" i="14"/>
  <c r="AS427" i="14"/>
  <c r="AS429" i="14"/>
  <c r="AR524" i="14"/>
  <c r="AS425" i="14"/>
  <c r="AS572" i="14"/>
  <c r="BN572" i="14" s="1"/>
  <c r="AR580" i="14"/>
  <c r="BN580" i="14" s="1"/>
  <c r="AR507" i="14"/>
  <c r="BN507" i="14" s="1"/>
  <c r="AR453" i="14"/>
  <c r="AR533" i="14"/>
  <c r="AS519" i="14"/>
  <c r="BN519" i="14" s="1"/>
  <c r="AS499" i="14"/>
  <c r="AS456" i="14"/>
  <c r="AR474" i="14"/>
  <c r="BN474" i="14" s="1"/>
  <c r="AR427" i="14"/>
  <c r="AS447" i="14"/>
  <c r="BN447" i="14" s="1"/>
  <c r="AS435" i="14"/>
  <c r="AS446" i="14"/>
  <c r="BN446" i="14" s="1"/>
  <c r="BN498" i="14"/>
  <c r="AS533" i="14"/>
  <c r="AS491" i="14"/>
  <c r="BN491" i="14" s="1"/>
  <c r="AR556" i="14"/>
  <c r="BN556" i="14" s="1"/>
  <c r="AS567" i="14"/>
  <c r="BN567" i="14" s="1"/>
  <c r="AS462" i="14"/>
  <c r="AR569" i="14"/>
  <c r="AR590" i="14"/>
  <c r="AP472" i="14"/>
  <c r="AS472" i="14" s="1"/>
  <c r="BN472" i="14" s="1"/>
  <c r="AO548" i="14"/>
  <c r="AR548" i="14" s="1"/>
  <c r="AP457" i="14"/>
  <c r="AS457" i="14" s="1"/>
  <c r="AE457" i="14"/>
  <c r="AC457" i="14" s="1"/>
  <c r="AB548" i="14"/>
  <c r="AQ425" i="14"/>
  <c r="AB447" i="14"/>
  <c r="AB545" i="14"/>
  <c r="AQ527" i="14"/>
  <c r="AB425" i="14"/>
  <c r="AR484" i="14"/>
  <c r="BN484" i="14" s="1"/>
  <c r="AB484" i="14"/>
  <c r="AR545" i="14"/>
  <c r="BN545" i="14" s="1"/>
  <c r="AE425" i="14"/>
  <c r="AC425" i="14" s="1"/>
  <c r="AQ447" i="14"/>
  <c r="AB590" i="14"/>
  <c r="AS473" i="14"/>
  <c r="BN473" i="14" s="1"/>
  <c r="AQ579" i="14"/>
  <c r="AB499" i="14"/>
  <c r="AB473" i="14"/>
  <c r="AB524" i="14"/>
  <c r="AP590" i="14"/>
  <c r="AS590" i="14" s="1"/>
  <c r="AB580" i="14"/>
  <c r="AO499" i="14"/>
  <c r="AQ499" i="14" s="1"/>
  <c r="AR450" i="14"/>
  <c r="BN450" i="14" s="1"/>
  <c r="AB579" i="14"/>
  <c r="AB610" i="14"/>
  <c r="AQ610" i="14"/>
  <c r="AP524" i="14"/>
  <c r="AS524" i="14" s="1"/>
  <c r="AQ580" i="14"/>
  <c r="AQ592" i="14"/>
  <c r="AB592" i="14"/>
  <c r="AQ563" i="14"/>
  <c r="AB600" i="14"/>
  <c r="AQ599" i="14"/>
  <c r="AP417" i="14"/>
  <c r="AS417" i="14" s="1"/>
  <c r="BN417" i="14" s="1"/>
  <c r="AQ519" i="14"/>
  <c r="AB563" i="14"/>
  <c r="AB601" i="14"/>
  <c r="AO435" i="14"/>
  <c r="AQ435" i="14" s="1"/>
  <c r="AQ547" i="14"/>
  <c r="AB491" i="14"/>
  <c r="AB599" i="14"/>
  <c r="AQ491" i="14"/>
  <c r="AR547" i="14"/>
  <c r="BN547" i="14" s="1"/>
  <c r="AB519" i="14"/>
  <c r="AO525" i="14"/>
  <c r="AR525" i="14" s="1"/>
  <c r="AR594" i="14"/>
  <c r="BN594" i="14" s="1"/>
  <c r="AQ498" i="14"/>
  <c r="BN448" i="14"/>
  <c r="AB429" i="14"/>
  <c r="AP601" i="14"/>
  <c r="AS601" i="14" s="1"/>
  <c r="AC427" i="14"/>
  <c r="AB427" i="14"/>
  <c r="AQ448" i="14"/>
  <c r="AB547" i="14"/>
  <c r="AQ456" i="14"/>
  <c r="AB446" i="14"/>
  <c r="AQ446" i="14"/>
  <c r="AQ572" i="14"/>
  <c r="AQ427" i="14"/>
  <c r="AQ444" i="14"/>
  <c r="AQ471" i="14"/>
  <c r="AR510" i="14"/>
  <c r="BN510" i="14" s="1"/>
  <c r="AP569" i="14"/>
  <c r="AS569" i="14" s="1"/>
  <c r="BN436" i="14"/>
  <c r="AQ436" i="14"/>
  <c r="AC456" i="14"/>
  <c r="AP546" i="14"/>
  <c r="AS546" i="14" s="1"/>
  <c r="AB572" i="14"/>
  <c r="AC533" i="14"/>
  <c r="AB471" i="14"/>
  <c r="AB525" i="14"/>
  <c r="AB569" i="14"/>
  <c r="AB546" i="14"/>
  <c r="AQ533" i="14"/>
  <c r="AB533" i="14"/>
  <c r="AB462" i="14"/>
  <c r="AR520" i="14"/>
  <c r="BN520" i="14" s="1"/>
  <c r="AO429" i="14"/>
  <c r="AQ429" i="14" s="1"/>
  <c r="AE565" i="14"/>
  <c r="AC565" i="14" s="1"/>
  <c r="AE444" i="14"/>
  <c r="AC444" i="14" s="1"/>
  <c r="AB567" i="14"/>
  <c r="AR456" i="14"/>
  <c r="AB456" i="14"/>
  <c r="AQ567" i="14"/>
  <c r="AO511" i="14"/>
  <c r="AR511" i="14" s="1"/>
  <c r="BN511" i="14" s="1"/>
  <c r="AC453" i="14"/>
  <c r="AQ551" i="14"/>
  <c r="AP468" i="14"/>
  <c r="AS468" i="14" s="1"/>
  <c r="BN468" i="14" s="1"/>
  <c r="AQ564" i="14"/>
  <c r="AB556" i="14"/>
  <c r="AO561" i="14"/>
  <c r="AQ561" i="14" s="1"/>
  <c r="AQ453" i="14"/>
  <c r="AB564" i="14"/>
  <c r="AP612" i="14"/>
  <c r="AS612" i="14" s="1"/>
  <c r="AB474" i="14"/>
  <c r="AQ556" i="14"/>
  <c r="AO612" i="14"/>
  <c r="AO600" i="14"/>
  <c r="AR600" i="14" s="1"/>
  <c r="AQ474" i="14"/>
  <c r="AO538" i="14"/>
  <c r="AE538" i="14"/>
  <c r="AC538" i="14" s="1"/>
  <c r="AB538" i="14"/>
  <c r="AE612" i="14"/>
  <c r="AC612" i="14" s="1"/>
  <c r="AB612" i="14"/>
  <c r="AP538" i="14"/>
  <c r="AS538" i="14" s="1"/>
  <c r="AQ507" i="14"/>
  <c r="AB435" i="14"/>
  <c r="AQ452" i="14"/>
  <c r="AO462" i="14"/>
  <c r="AQ462" i="14" s="1"/>
  <c r="AB453" i="14"/>
  <c r="AP423" i="14"/>
  <c r="AS423" i="14" s="1"/>
  <c r="AB483" i="14"/>
  <c r="AE483" i="14"/>
  <c r="AC483" i="14" s="1"/>
  <c r="AO483" i="14"/>
  <c r="AO423" i="14"/>
  <c r="AB423" i="14"/>
  <c r="AE423" i="14"/>
  <c r="AC423" i="14" s="1"/>
  <c r="AO478" i="14"/>
  <c r="AO438" i="14"/>
  <c r="AO465" i="14"/>
  <c r="AO434" i="14"/>
  <c r="AO570" i="14"/>
  <c r="AO514" i="14"/>
  <c r="AP562" i="14"/>
  <c r="AS562" i="14" s="1"/>
  <c r="AE562" i="14"/>
  <c r="AC562" i="14" s="1"/>
  <c r="AB562" i="14"/>
  <c r="AO562" i="14"/>
  <c r="AP575" i="14"/>
  <c r="AS575" i="14" s="1"/>
  <c r="AP486" i="14"/>
  <c r="AS486" i="14" s="1"/>
  <c r="AP588" i="14"/>
  <c r="AS588" i="14" s="1"/>
  <c r="AP522" i="14"/>
  <c r="AS522" i="14" s="1"/>
  <c r="AO432" i="14"/>
  <c r="AP449" i="14"/>
  <c r="AS449" i="14" s="1"/>
  <c r="AP481" i="14"/>
  <c r="AS481" i="14" s="1"/>
  <c r="AP549" i="14"/>
  <c r="AS549" i="14" s="1"/>
  <c r="AP479" i="14"/>
  <c r="AS479" i="14" s="1"/>
  <c r="AP596" i="14"/>
  <c r="AS596" i="14" s="1"/>
  <c r="AO508" i="14"/>
  <c r="AP582" i="14"/>
  <c r="AS582" i="14" s="1"/>
  <c r="AO512" i="14"/>
  <c r="AP512" i="14"/>
  <c r="AS512" i="14" s="1"/>
  <c r="AP508" i="14"/>
  <c r="AO521" i="14"/>
  <c r="AO476" i="14"/>
  <c r="AO449" i="14"/>
  <c r="AO550" i="14"/>
  <c r="AP454" i="14"/>
  <c r="AS454" i="14" s="1"/>
  <c r="AP434" i="14"/>
  <c r="AS434" i="14" s="1"/>
  <c r="AO597" i="14"/>
  <c r="AP433" i="14"/>
  <c r="AS433" i="14" s="1"/>
  <c r="AO481" i="14"/>
  <c r="AP521" i="14"/>
  <c r="AP480" i="14"/>
  <c r="AS480" i="14" s="1"/>
  <c r="AO541" i="14"/>
  <c r="AO575" i="14"/>
  <c r="AP597" i="14"/>
  <c r="AP541" i="14"/>
  <c r="AO584" i="14"/>
  <c r="AP605" i="14"/>
  <c r="AS605" i="14" s="1"/>
  <c r="AP559" i="14"/>
  <c r="AS559" i="14" s="1"/>
  <c r="AO603" i="14"/>
  <c r="AP466" i="14"/>
  <c r="AS466" i="14" s="1"/>
  <c r="AP440" i="14"/>
  <c r="AS440" i="14" s="1"/>
  <c r="AO596" i="14"/>
  <c r="AO549" i="14"/>
  <c r="AO466" i="14"/>
  <c r="AO558" i="14"/>
  <c r="AO440" i="14"/>
  <c r="AP467" i="14"/>
  <c r="AS467" i="14" s="1"/>
  <c r="AP476" i="14"/>
  <c r="AP460" i="14"/>
  <c r="AS460" i="14" s="1"/>
  <c r="AE479" i="14"/>
  <c r="AC479" i="14" s="1"/>
  <c r="AB479" i="14"/>
  <c r="AB461" i="14"/>
  <c r="AE461" i="14"/>
  <c r="AC461" i="14" s="1"/>
  <c r="AO559" i="14"/>
  <c r="AP603" i="14"/>
  <c r="AB478" i="14"/>
  <c r="AE478" i="14"/>
  <c r="AC478" i="14" s="1"/>
  <c r="AB605" i="14"/>
  <c r="AE605" i="14"/>
  <c r="AC605" i="14" s="1"/>
  <c r="AO522" i="14"/>
  <c r="AB440" i="14"/>
  <c r="AE440" i="14"/>
  <c r="AC440" i="14" s="1"/>
  <c r="AO480" i="14"/>
  <c r="AO530" i="14"/>
  <c r="AB559" i="14"/>
  <c r="AE559" i="14"/>
  <c r="AC559" i="14" s="1"/>
  <c r="AB481" i="14"/>
  <c r="AE481" i="14"/>
  <c r="AC481" i="14" s="1"/>
  <c r="AE480" i="14"/>
  <c r="AC480" i="14" s="1"/>
  <c r="AB480" i="14"/>
  <c r="AE530" i="14"/>
  <c r="AC530" i="14" s="1"/>
  <c r="AB530" i="14"/>
  <c r="AP506" i="14"/>
  <c r="AS506" i="14" s="1"/>
  <c r="AE449" i="14"/>
  <c r="AC449" i="14" s="1"/>
  <c r="AB449" i="14"/>
  <c r="AP432" i="14"/>
  <c r="AS432" i="14" s="1"/>
  <c r="AO454" i="14"/>
  <c r="AO605" i="14"/>
  <c r="AO416" i="14"/>
  <c r="AO513" i="14"/>
  <c r="AP570" i="14"/>
  <c r="AO506" i="14"/>
  <c r="AO467" i="14"/>
  <c r="AO433" i="14"/>
  <c r="AB454" i="14"/>
  <c r="AE454" i="14"/>
  <c r="AC454" i="14" s="1"/>
  <c r="AE438" i="14"/>
  <c r="AC438" i="14" s="1"/>
  <c r="AB438" i="14"/>
  <c r="AP586" i="14"/>
  <c r="AS586" i="14" s="1"/>
  <c r="AE416" i="14"/>
  <c r="AC416" i="14" s="1"/>
  <c r="AB416" i="14"/>
  <c r="AB465" i="14"/>
  <c r="AE465" i="14"/>
  <c r="AC465" i="14" s="1"/>
  <c r="AE513" i="14"/>
  <c r="AC513" i="14" s="1"/>
  <c r="AB513" i="14"/>
  <c r="AE597" i="14"/>
  <c r="AC597" i="14" s="1"/>
  <c r="AB597" i="14"/>
  <c r="AE506" i="14"/>
  <c r="AC506" i="14" s="1"/>
  <c r="AB506" i="14"/>
  <c r="AB467" i="14"/>
  <c r="AE467" i="14"/>
  <c r="AC467" i="14" s="1"/>
  <c r="AE433" i="14"/>
  <c r="AC433" i="14" s="1"/>
  <c r="AB433" i="14"/>
  <c r="AB460" i="14"/>
  <c r="AE460" i="14"/>
  <c r="AC460" i="14" s="1"/>
  <c r="AE550" i="14"/>
  <c r="AC550" i="14" s="1"/>
  <c r="AB550" i="14"/>
  <c r="AP422" i="14"/>
  <c r="AS422" i="14" s="1"/>
  <c r="AP558" i="14"/>
  <c r="AP438" i="14"/>
  <c r="AB541" i="14"/>
  <c r="AE541" i="14"/>
  <c r="AC541" i="14" s="1"/>
  <c r="AE575" i="14"/>
  <c r="AC575" i="14" s="1"/>
  <c r="AB575" i="14"/>
  <c r="AE434" i="14"/>
  <c r="AC434" i="14" s="1"/>
  <c r="AB434" i="14"/>
  <c r="AE570" i="14"/>
  <c r="AC570" i="14" s="1"/>
  <c r="AB570" i="14"/>
  <c r="AP550" i="14"/>
  <c r="AB476" i="14"/>
  <c r="AE476" i="14"/>
  <c r="AC476" i="14" s="1"/>
  <c r="AE582" i="14"/>
  <c r="AC582" i="14" s="1"/>
  <c r="AB582" i="14"/>
  <c r="AE586" i="14"/>
  <c r="AC586" i="14" s="1"/>
  <c r="AB586" i="14"/>
  <c r="AO460" i="14"/>
  <c r="AE584" i="14"/>
  <c r="AC584" i="14" s="1"/>
  <c r="AB584" i="14"/>
  <c r="AO588" i="14"/>
  <c r="AE596" i="14"/>
  <c r="AC596" i="14" s="1"/>
  <c r="AB596" i="14"/>
  <c r="AB422" i="14"/>
  <c r="AE422" i="14"/>
  <c r="AC422" i="14" s="1"/>
  <c r="AE486" i="14"/>
  <c r="AC486" i="14" s="1"/>
  <c r="AB486" i="14"/>
  <c r="AO582" i="14"/>
  <c r="AP416" i="14"/>
  <c r="AS416" i="14" s="1"/>
  <c r="AP465" i="14"/>
  <c r="AO586" i="14"/>
  <c r="AE588" i="14"/>
  <c r="AC588" i="14" s="1"/>
  <c r="AB588" i="14"/>
  <c r="AB514" i="14"/>
  <c r="AE514" i="14"/>
  <c r="AC514" i="14" s="1"/>
  <c r="AE508" i="14"/>
  <c r="AC508" i="14" s="1"/>
  <c r="AB508" i="14"/>
  <c r="AB521" i="14"/>
  <c r="AE521" i="14"/>
  <c r="AC521" i="14" s="1"/>
  <c r="AB549" i="14"/>
  <c r="AE549" i="14"/>
  <c r="AC549" i="14" s="1"/>
  <c r="AP461" i="14"/>
  <c r="AS461" i="14" s="1"/>
  <c r="AP514" i="14"/>
  <c r="AP584" i="14"/>
  <c r="AB466" i="14"/>
  <c r="AE466" i="14"/>
  <c r="AC466" i="14" s="1"/>
  <c r="AE558" i="14"/>
  <c r="AC558" i="14" s="1"/>
  <c r="AB558" i="14"/>
  <c r="AP513" i="14"/>
  <c r="AS513" i="14" s="1"/>
  <c r="AO422" i="14"/>
  <c r="AO486" i="14"/>
  <c r="AE603" i="14"/>
  <c r="AC603" i="14" s="1"/>
  <c r="AB603" i="14"/>
  <c r="AP478" i="14"/>
  <c r="AE432" i="14"/>
  <c r="AC432" i="14" s="1"/>
  <c r="AB432" i="14"/>
  <c r="AP530" i="14"/>
  <c r="AS530" i="14" s="1"/>
  <c r="AE522" i="14"/>
  <c r="AC522" i="14" s="1"/>
  <c r="AB522" i="14"/>
  <c r="AO479" i="14"/>
  <c r="AO461" i="14"/>
  <c r="AB512" i="14"/>
  <c r="AE512" i="14"/>
  <c r="AC512" i="14" s="1"/>
  <c r="AR616" i="14"/>
  <c r="AC616" i="14"/>
  <c r="R3" i="14"/>
  <c r="BN509" i="14" l="1"/>
  <c r="AQ509" i="14"/>
  <c r="AR542" i="14"/>
  <c r="BN542" i="14" s="1"/>
  <c r="AQ490" i="14"/>
  <c r="BN490" i="14"/>
  <c r="AR488" i="14"/>
  <c r="BN488" i="14" s="1"/>
  <c r="AR500" i="14"/>
  <c r="BN500" i="14" s="1"/>
  <c r="AR430" i="14"/>
  <c r="BN430" i="14" s="1"/>
  <c r="AQ542" i="14"/>
  <c r="BN531" i="14"/>
  <c r="BN493" i="14"/>
  <c r="BN577" i="14"/>
  <c r="BN505" i="14"/>
  <c r="AR568" i="14"/>
  <c r="BN568" i="14" s="1"/>
  <c r="AQ577" i="14"/>
  <c r="AR571" i="14"/>
  <c r="BN571" i="14" s="1"/>
  <c r="AR609" i="14"/>
  <c r="BN609" i="14" s="1"/>
  <c r="BN602" i="14"/>
  <c r="AR566" i="14"/>
  <c r="BN566" i="14" s="1"/>
  <c r="AR544" i="14"/>
  <c r="BN544" i="14" s="1"/>
  <c r="AR539" i="14"/>
  <c r="BN539" i="14" s="1"/>
  <c r="BN439" i="14"/>
  <c r="AQ615" i="14"/>
  <c r="AR615" i="14"/>
  <c r="BN615" i="14" s="1"/>
  <c r="AQ528" i="14"/>
  <c r="AR528" i="14"/>
  <c r="BN528" i="14" s="1"/>
  <c r="AQ439" i="14"/>
  <c r="AR529" i="14"/>
  <c r="BN529" i="14" s="1"/>
  <c r="AR589" i="14"/>
  <c r="BN589" i="14" s="1"/>
  <c r="AR419" i="14"/>
  <c r="BN419" i="14" s="1"/>
  <c r="AQ529" i="14"/>
  <c r="AC532" i="14"/>
  <c r="BN598" i="14"/>
  <c r="AQ420" i="14"/>
  <c r="BN495" i="14"/>
  <c r="AQ495" i="14"/>
  <c r="AQ459" i="14"/>
  <c r="BN608" i="14"/>
  <c r="BN560" i="14"/>
  <c r="AQ517" i="14"/>
  <c r="BN526" i="14"/>
  <c r="BN595" i="14"/>
  <c r="AQ607" i="14"/>
  <c r="BN552" i="14"/>
  <c r="AQ445" i="14"/>
  <c r="AQ560" i="14"/>
  <c r="AQ608" i="14"/>
  <c r="AQ419" i="14"/>
  <c r="AQ595" i="14"/>
  <c r="AC573" i="14"/>
  <c r="AQ526" i="14"/>
  <c r="BN501" i="14"/>
  <c r="AQ470" i="14"/>
  <c r="BN536" i="14"/>
  <c r="AQ602" i="14"/>
  <c r="AQ616" i="14"/>
  <c r="AQ451" i="14"/>
  <c r="AQ536" i="14"/>
  <c r="BN616" i="14"/>
  <c r="AR489" i="14"/>
  <c r="BN489" i="14" s="1"/>
  <c r="BN548" i="14"/>
  <c r="BN600" i="14"/>
  <c r="BN525" i="14"/>
  <c r="AQ472" i="14"/>
  <c r="BN533" i="14"/>
  <c r="BN546" i="14"/>
  <c r="BN601" i="14"/>
  <c r="AR565" i="14"/>
  <c r="BN565" i="14" s="1"/>
  <c r="AR550" i="14"/>
  <c r="BN453" i="14"/>
  <c r="BN569" i="14"/>
  <c r="BN590" i="14"/>
  <c r="AR457" i="14"/>
  <c r="BN457" i="14" s="1"/>
  <c r="BN427" i="14"/>
  <c r="BN524" i="14"/>
  <c r="AR425" i="14"/>
  <c r="BN425" i="14" s="1"/>
  <c r="AR584" i="14"/>
  <c r="AR514" i="14"/>
  <c r="AR476" i="14"/>
  <c r="AR434" i="14"/>
  <c r="BN434" i="14" s="1"/>
  <c r="BN456" i="14"/>
  <c r="AR521" i="14"/>
  <c r="AR570" i="14"/>
  <c r="AR558" i="14"/>
  <c r="AR432" i="14"/>
  <c r="BN432" i="14" s="1"/>
  <c r="AR465" i="14"/>
  <c r="AR541" i="14"/>
  <c r="AR438" i="14"/>
  <c r="AR478" i="14"/>
  <c r="AR481" i="14"/>
  <c r="BN481" i="14" s="1"/>
  <c r="AR508" i="14"/>
  <c r="AR603" i="14"/>
  <c r="AR597" i="14"/>
  <c r="AR444" i="14"/>
  <c r="BN444" i="14" s="1"/>
  <c r="AQ457" i="14"/>
  <c r="AQ548" i="14"/>
  <c r="AR499" i="14"/>
  <c r="BN499" i="14" s="1"/>
  <c r="AQ590" i="14"/>
  <c r="AR435" i="14"/>
  <c r="BN435" i="14" s="1"/>
  <c r="AQ524" i="14"/>
  <c r="AQ417" i="14"/>
  <c r="AQ525" i="14"/>
  <c r="AQ601" i="14"/>
  <c r="AQ569" i="14"/>
  <c r="AR429" i="14"/>
  <c r="BN429" i="14" s="1"/>
  <c r="AQ546" i="14"/>
  <c r="AQ468" i="14"/>
  <c r="AQ511" i="14"/>
  <c r="AR561" i="14"/>
  <c r="BN561" i="14" s="1"/>
  <c r="AQ600" i="14"/>
  <c r="AQ538" i="14"/>
  <c r="AR538" i="14"/>
  <c r="BN538" i="14" s="1"/>
  <c r="AR462" i="14"/>
  <c r="BN462" i="14" s="1"/>
  <c r="AR612" i="14"/>
  <c r="BN612" i="14" s="1"/>
  <c r="AQ612" i="14"/>
  <c r="AR483" i="14"/>
  <c r="BN483" i="14" s="1"/>
  <c r="AQ483" i="14"/>
  <c r="AQ423" i="14"/>
  <c r="AR423" i="14"/>
  <c r="BN423" i="14" s="1"/>
  <c r="AQ562" i="14"/>
  <c r="AR562" i="14"/>
  <c r="BN562" i="14" s="1"/>
  <c r="AQ481" i="14"/>
  <c r="AQ512" i="14"/>
  <c r="AR512" i="14"/>
  <c r="BN512" i="14" s="1"/>
  <c r="AS508" i="14"/>
  <c r="AQ508" i="14"/>
  <c r="AQ575" i="14"/>
  <c r="AR575" i="14"/>
  <c r="BN575" i="14" s="1"/>
  <c r="AS521" i="14"/>
  <c r="AQ521" i="14"/>
  <c r="AQ434" i="14"/>
  <c r="AQ449" i="14"/>
  <c r="AR449" i="14"/>
  <c r="BN449" i="14" s="1"/>
  <c r="AS476" i="14"/>
  <c r="AQ476" i="14"/>
  <c r="AQ440" i="14"/>
  <c r="AR440" i="14"/>
  <c r="BN440" i="14" s="1"/>
  <c r="AR466" i="14"/>
  <c r="BN466" i="14" s="1"/>
  <c r="AQ466" i="14"/>
  <c r="AS541" i="14"/>
  <c r="AQ541" i="14"/>
  <c r="AR549" i="14"/>
  <c r="BN549" i="14" s="1"/>
  <c r="AQ549" i="14"/>
  <c r="AS597" i="14"/>
  <c r="AQ597" i="14"/>
  <c r="AR596" i="14"/>
  <c r="BN596" i="14" s="1"/>
  <c r="AQ596" i="14"/>
  <c r="AR416" i="14"/>
  <c r="BN416" i="14" s="1"/>
  <c r="AQ416" i="14"/>
  <c r="AQ479" i="14"/>
  <c r="AR479" i="14"/>
  <c r="BN479" i="14" s="1"/>
  <c r="AR605" i="14"/>
  <c r="BN605" i="14" s="1"/>
  <c r="AQ605" i="14"/>
  <c r="AQ454" i="14"/>
  <c r="AR454" i="14"/>
  <c r="BN454" i="14" s="1"/>
  <c r="AS603" i="14"/>
  <c r="AQ603" i="14"/>
  <c r="AS438" i="14"/>
  <c r="AQ438" i="14"/>
  <c r="AR559" i="14"/>
  <c r="BN559" i="14" s="1"/>
  <c r="AQ559" i="14"/>
  <c r="AR588" i="14"/>
  <c r="BN588" i="14" s="1"/>
  <c r="AQ588" i="14"/>
  <c r="AS558" i="14"/>
  <c r="AQ558" i="14"/>
  <c r="AS550" i="14"/>
  <c r="AQ550" i="14"/>
  <c r="AQ530" i="14"/>
  <c r="AR530" i="14"/>
  <c r="BN530" i="14" s="1"/>
  <c r="AQ461" i="14"/>
  <c r="AR461" i="14"/>
  <c r="BN461" i="14" s="1"/>
  <c r="AS514" i="14"/>
  <c r="AQ514" i="14"/>
  <c r="AQ586" i="14"/>
  <c r="AR586" i="14"/>
  <c r="BN586" i="14" s="1"/>
  <c r="AR480" i="14"/>
  <c r="BN480" i="14" s="1"/>
  <c r="AQ480" i="14"/>
  <c r="AS584" i="14"/>
  <c r="AQ584" i="14"/>
  <c r="AS478" i="14"/>
  <c r="AQ478" i="14"/>
  <c r="AS465" i="14"/>
  <c r="AQ465" i="14"/>
  <c r="AQ433" i="14"/>
  <c r="AR433" i="14"/>
  <c r="BN433" i="14" s="1"/>
  <c r="AR467" i="14"/>
  <c r="BN467" i="14" s="1"/>
  <c r="AQ467" i="14"/>
  <c r="AQ582" i="14"/>
  <c r="AR582" i="14"/>
  <c r="BN582" i="14" s="1"/>
  <c r="AQ460" i="14"/>
  <c r="AR460" i="14"/>
  <c r="BN460" i="14" s="1"/>
  <c r="AR506" i="14"/>
  <c r="BN506" i="14" s="1"/>
  <c r="AQ506" i="14"/>
  <c r="AQ522" i="14"/>
  <c r="AR522" i="14"/>
  <c r="BN522" i="14" s="1"/>
  <c r="AQ486" i="14"/>
  <c r="AR486" i="14"/>
  <c r="BN486" i="14" s="1"/>
  <c r="AS570" i="14"/>
  <c r="AQ570" i="14"/>
  <c r="AR422" i="14"/>
  <c r="BN422" i="14" s="1"/>
  <c r="AQ422" i="14"/>
  <c r="AR513" i="14"/>
  <c r="BN513" i="14" s="1"/>
  <c r="AQ513" i="14"/>
  <c r="AQ432" i="14"/>
  <c r="M690" i="14"/>
  <c r="M694" i="14"/>
  <c r="M755" i="14"/>
  <c r="M647" i="14"/>
  <c r="M653" i="14"/>
  <c r="M657" i="14"/>
  <c r="M661" i="14"/>
  <c r="M790" i="14"/>
  <c r="M670" i="14"/>
  <c r="M674" i="14"/>
  <c r="M714" i="14"/>
  <c r="M728" i="14"/>
  <c r="M643" i="14"/>
  <c r="M740" i="14"/>
  <c r="M767" i="14"/>
  <c r="M731" i="14"/>
  <c r="M737" i="14"/>
  <c r="R2" i="14"/>
  <c r="M644" i="14"/>
  <c r="M780" i="14"/>
  <c r="M689" i="14"/>
  <c r="M819" i="14"/>
  <c r="M659" i="14"/>
  <c r="M742" i="14"/>
  <c r="M717" i="14"/>
  <c r="M789" i="14"/>
  <c r="M658" i="14"/>
  <c r="M683" i="14"/>
  <c r="M706" i="14"/>
  <c r="M778" i="14"/>
  <c r="M662" i="14"/>
  <c r="M730" i="14"/>
  <c r="M639" i="14"/>
  <c r="M619" i="14"/>
  <c r="M738" i="14"/>
  <c r="M672" i="14"/>
  <c r="M716" i="14"/>
  <c r="M809" i="14"/>
  <c r="M763" i="14"/>
  <c r="M735" i="14"/>
  <c r="M812" i="14"/>
  <c r="M761" i="14"/>
  <c r="M788" i="14"/>
  <c r="M783" i="14"/>
  <c r="R6" i="14"/>
  <c r="M675" i="14"/>
  <c r="M650" i="14"/>
  <c r="M648" i="14"/>
  <c r="M768" i="14"/>
  <c r="M772" i="14"/>
  <c r="M635" i="14"/>
  <c r="M691" i="14"/>
  <c r="M814" i="14"/>
  <c r="M800" i="14"/>
  <c r="M627" i="14"/>
  <c r="M629" i="14"/>
  <c r="M797" i="14"/>
  <c r="M754" i="14"/>
  <c r="M623" i="14"/>
  <c r="M720" i="14"/>
  <c r="M777" i="14"/>
  <c r="M687" i="14"/>
  <c r="M699" i="14"/>
  <c r="M620" i="14"/>
  <c r="M677" i="14"/>
  <c r="M743" i="14"/>
  <c r="M816" i="14"/>
  <c r="M664" i="14"/>
  <c r="M652" i="14"/>
  <c r="M621" i="14"/>
  <c r="M628" i="14"/>
  <c r="M698" i="14"/>
  <c r="M791" i="14"/>
  <c r="M725" i="14"/>
  <c r="M813" i="14"/>
  <c r="M786" i="14"/>
  <c r="M622" i="14"/>
  <c r="M686" i="14"/>
  <c r="M804" i="14"/>
  <c r="M727" i="14"/>
  <c r="M636" i="14"/>
  <c r="M719" i="14"/>
  <c r="M711" i="14"/>
  <c r="M748" i="14"/>
  <c r="M756" i="14"/>
  <c r="M641" i="14"/>
  <c r="M760" i="14"/>
  <c r="M764" i="14"/>
  <c r="M773" i="14"/>
  <c r="M656" i="14"/>
  <c r="M787" i="14"/>
  <c r="M746" i="14"/>
  <c r="M758" i="14"/>
  <c r="M806" i="14"/>
  <c r="M626" i="14"/>
  <c r="M702" i="14"/>
  <c r="M724" i="14"/>
  <c r="M713" i="14"/>
  <c r="M654" i="14"/>
  <c r="M803" i="14"/>
  <c r="M708" i="14"/>
  <c r="M726" i="14"/>
  <c r="M655" i="14"/>
  <c r="M651" i="14"/>
  <c r="M811" i="14"/>
  <c r="M808" i="14"/>
  <c r="M703" i="14"/>
  <c r="M796" i="14"/>
  <c r="M625" i="14"/>
  <c r="M705" i="14"/>
  <c r="M739" i="14"/>
  <c r="M766" i="14"/>
  <c r="M807" i="14"/>
  <c r="M747" i="14"/>
  <c r="M633" i="14"/>
  <c r="M801" i="14"/>
  <c r="M776" i="14"/>
  <c r="M815" i="14"/>
  <c r="M802" i="14"/>
  <c r="M765" i="14"/>
  <c r="M693" i="14"/>
  <c r="M697" i="14"/>
  <c r="M642" i="14"/>
  <c r="M649" i="14"/>
  <c r="M685" i="14"/>
  <c r="M718" i="14"/>
  <c r="M692" i="14"/>
  <c r="M799" i="14"/>
  <c r="A644" i="14"/>
  <c r="A765" i="14"/>
  <c r="A757" i="14"/>
  <c r="A800" i="14"/>
  <c r="A759" i="14"/>
  <c r="A690" i="14"/>
  <c r="A627" i="14"/>
  <c r="A625" i="14"/>
  <c r="A783" i="14"/>
  <c r="A662" i="14"/>
  <c r="A716" i="14"/>
  <c r="A652" i="14"/>
  <c r="A737" i="14"/>
  <c r="A619" i="14"/>
  <c r="A664" i="14"/>
  <c r="A643" i="14"/>
  <c r="A713" i="14"/>
  <c r="A732" i="14"/>
  <c r="A674" i="14"/>
  <c r="A683" i="14"/>
  <c r="A791" i="14"/>
  <c r="A758" i="14"/>
  <c r="A717" i="14"/>
  <c r="A692" i="14"/>
  <c r="A744" i="14"/>
  <c r="A634" i="14"/>
  <c r="A669" i="14"/>
  <c r="A745" i="14"/>
  <c r="A725" i="14"/>
  <c r="A748" i="14"/>
  <c r="A809" i="14"/>
  <c r="A701" i="14"/>
  <c r="A719" i="14"/>
  <c r="A769" i="14"/>
  <c r="A620" i="14"/>
  <c r="A731" i="14"/>
  <c r="A796" i="14"/>
  <c r="A630" i="14"/>
  <c r="A704" i="14"/>
  <c r="A764" i="14"/>
  <c r="A676" i="14"/>
  <c r="A740" i="14"/>
  <c r="A712" i="14"/>
  <c r="A779" i="14"/>
  <c r="A698" i="14"/>
  <c r="A687" i="14"/>
  <c r="A686" i="14"/>
  <c r="A700" i="14"/>
  <c r="A786" i="14"/>
  <c r="A661" i="14"/>
  <c r="A755" i="14"/>
  <c r="A777" i="14"/>
  <c r="A684" i="14"/>
  <c r="A781" i="14"/>
  <c r="A724" i="14"/>
  <c r="A727" i="14"/>
  <c r="A775" i="14"/>
  <c r="A707" i="14"/>
  <c r="A660" i="14"/>
  <c r="A792" i="14"/>
  <c r="A667" i="14"/>
  <c r="A651" i="14"/>
  <c r="A812" i="14"/>
  <c r="A626" i="14"/>
  <c r="A631" i="14"/>
  <c r="A778" i="14"/>
  <c r="A794" i="14"/>
  <c r="A741" i="14"/>
  <c r="A629" i="14"/>
  <c r="A780" i="14"/>
  <c r="A766" i="14"/>
  <c r="A675" i="14"/>
  <c r="A721" i="14"/>
  <c r="A636" i="14"/>
  <c r="A697" i="14"/>
  <c r="A736" i="14"/>
  <c r="A728" i="14"/>
  <c r="A770" i="14"/>
  <c r="A659" i="14"/>
  <c r="A816" i="14"/>
  <c r="A776" i="14"/>
  <c r="A752" i="14"/>
  <c r="A635" i="14"/>
  <c r="A753" i="14"/>
  <c r="A797" i="14"/>
  <c r="A754" i="14"/>
  <c r="A735" i="14"/>
  <c r="A695" i="14"/>
  <c r="A799" i="14"/>
  <c r="A694" i="14"/>
  <c r="A677" i="14"/>
  <c r="A647" i="14"/>
  <c r="A804" i="14"/>
  <c r="A720" i="14"/>
  <c r="A685" i="14"/>
  <c r="A774" i="14"/>
  <c r="A715" i="14"/>
  <c r="A641" i="14"/>
  <c r="A815" i="14"/>
  <c r="A622" i="14"/>
  <c r="A640" i="14"/>
  <c r="A688" i="14"/>
  <c r="A760" i="14"/>
  <c r="A672" i="14"/>
  <c r="A649" i="14"/>
  <c r="A653" i="14"/>
  <c r="A650" i="14"/>
  <c r="A789" i="14"/>
  <c r="A714" i="14"/>
  <c r="A749" i="14"/>
  <c r="A681" i="14"/>
  <c r="A637" i="14"/>
  <c r="A638" i="14"/>
  <c r="A798" i="14"/>
  <c r="A761" i="14"/>
  <c r="A663" i="14"/>
  <c r="A678" i="14"/>
  <c r="A813" i="14"/>
  <c r="A750" i="14"/>
  <c r="A705" i="14"/>
  <c r="A670" i="14"/>
  <c r="A768" i="14"/>
  <c r="A746" i="14"/>
  <c r="A805" i="14"/>
  <c r="A689" i="14"/>
  <c r="A819" i="14"/>
  <c r="A646" i="14"/>
  <c r="A803" i="14"/>
  <c r="A801" i="14"/>
  <c r="A699" i="14"/>
  <c r="A623" i="14"/>
  <c r="A795" i="14"/>
  <c r="A734" i="14"/>
  <c r="A793" i="14"/>
  <c r="A807" i="14"/>
  <c r="A648" i="14"/>
  <c r="A751" i="14"/>
  <c r="A645" i="14"/>
  <c r="A772" i="14"/>
  <c r="A708" i="14"/>
  <c r="A624" i="14"/>
  <c r="A696" i="14"/>
  <c r="A771" i="14"/>
  <c r="A763" i="14"/>
  <c r="A729" i="14"/>
  <c r="A665" i="14"/>
  <c r="A710" i="14"/>
  <c r="A723" i="14"/>
  <c r="A747" i="14"/>
  <c r="A702" i="14"/>
  <c r="A632" i="14"/>
  <c r="A658" i="14"/>
  <c r="A817" i="14"/>
  <c r="A682" i="14"/>
  <c r="A743" i="14"/>
  <c r="A790" i="14"/>
  <c r="A718" i="14"/>
  <c r="A802" i="14"/>
  <c r="A738" i="14"/>
  <c r="A788" i="14"/>
  <c r="A621" i="14"/>
  <c r="A810" i="14"/>
  <c r="A742" i="14"/>
  <c r="A628" i="14"/>
  <c r="A722" i="14"/>
  <c r="A726" i="14"/>
  <c r="A671" i="14"/>
  <c r="A657" i="14"/>
  <c r="A767" i="14"/>
  <c r="A762" i="14"/>
  <c r="A739" i="14"/>
  <c r="A806" i="14"/>
  <c r="A691" i="14"/>
  <c r="A730" i="14"/>
  <c r="A733" i="14"/>
  <c r="A656" i="14"/>
  <c r="A642" i="14"/>
  <c r="A639" i="14"/>
  <c r="A693" i="14"/>
  <c r="A784" i="14"/>
  <c r="A673" i="14"/>
  <c r="A654" i="14"/>
  <c r="A814" i="14"/>
  <c r="A782" i="14"/>
  <c r="A706" i="14"/>
  <c r="A680" i="14"/>
  <c r="A666" i="14"/>
  <c r="A633" i="14"/>
  <c r="A818" i="14"/>
  <c r="A773" i="14"/>
  <c r="A756" i="14"/>
  <c r="A703" i="14"/>
  <c r="A679" i="14"/>
  <c r="A668" i="14"/>
  <c r="A655" i="14"/>
  <c r="A787" i="14"/>
  <c r="A785" i="14"/>
  <c r="A811" i="14"/>
  <c r="A711" i="14"/>
  <c r="A709" i="14"/>
  <c r="A808" i="14"/>
  <c r="M751" i="14"/>
  <c r="M774" i="14"/>
  <c r="M775" i="14"/>
  <c r="M638" i="14"/>
  <c r="M679" i="14"/>
  <c r="M779" i="14"/>
  <c r="M818" i="14"/>
  <c r="M769" i="14"/>
  <c r="M753" i="14"/>
  <c r="M704" i="14"/>
  <c r="M722" i="14"/>
  <c r="M752" i="14"/>
  <c r="M667" i="14"/>
  <c r="M681" i="14"/>
  <c r="M684" i="14"/>
  <c r="M665" i="14"/>
  <c r="M673" i="14"/>
  <c r="M757" i="14"/>
  <c r="M669" i="14"/>
  <c r="M762" i="14"/>
  <c r="M784" i="14"/>
  <c r="M696" i="14"/>
  <c r="M759" i="14"/>
  <c r="M710" i="14"/>
  <c r="M668" i="14"/>
  <c r="M734" i="14"/>
  <c r="M640" i="14"/>
  <c r="M798" i="14"/>
  <c r="M723" i="14"/>
  <c r="M736" i="14"/>
  <c r="M770" i="14"/>
  <c r="M795" i="14"/>
  <c r="M785" i="14"/>
  <c r="M645" i="14"/>
  <c r="M700" i="14"/>
  <c r="M676" i="14"/>
  <c r="M771" i="14"/>
  <c r="M745" i="14"/>
  <c r="M794" i="14"/>
  <c r="M733" i="14"/>
  <c r="M630" i="14"/>
  <c r="M682" i="14"/>
  <c r="M817" i="14"/>
  <c r="M744" i="14"/>
  <c r="M680" i="14"/>
  <c r="M750" i="14"/>
  <c r="M666" i="14"/>
  <c r="M741" i="14"/>
  <c r="M793" i="14"/>
  <c r="M632" i="14"/>
  <c r="M646" i="14"/>
  <c r="M663" i="14"/>
  <c r="M671" i="14"/>
  <c r="M805" i="14"/>
  <c r="M631" i="14"/>
  <c r="M782" i="14"/>
  <c r="M721" i="14"/>
  <c r="M715" i="14"/>
  <c r="M701" i="14"/>
  <c r="R5" i="14"/>
  <c r="R4" i="14" s="1"/>
  <c r="M709" i="14"/>
  <c r="M712" i="14"/>
  <c r="M695" i="14"/>
  <c r="M749" i="14"/>
  <c r="M637" i="14"/>
  <c r="M707" i="14"/>
  <c r="M729" i="14"/>
  <c r="M810" i="14"/>
  <c r="M792" i="14"/>
  <c r="M781" i="14"/>
  <c r="M732" i="14"/>
  <c r="M688" i="14"/>
  <c r="M624" i="14"/>
  <c r="M634" i="14"/>
  <c r="M660" i="14"/>
  <c r="M678" i="14"/>
  <c r="BN514" i="14" l="1"/>
  <c r="BN550" i="14"/>
  <c r="BN603" i="14"/>
  <c r="BN597" i="14"/>
  <c r="BN476" i="14"/>
  <c r="BN570" i="14"/>
  <c r="BN584" i="14"/>
  <c r="BN541" i="14"/>
  <c r="BN478" i="14"/>
  <c r="BN508" i="14"/>
  <c r="BN558" i="14"/>
  <c r="BN521" i="14"/>
  <c r="BN465" i="14"/>
  <c r="BN438" i="14"/>
  <c r="AV686" i="14"/>
  <c r="AV780" i="14"/>
  <c r="AV632" i="14"/>
  <c r="AV647" i="14"/>
  <c r="AV679" i="14"/>
  <c r="AV727" i="14"/>
  <c r="AV736" i="14"/>
  <c r="AV663" i="14"/>
  <c r="AV635" i="14"/>
  <c r="AV646" i="14"/>
  <c r="AV623" i="14"/>
  <c r="AV757" i="14"/>
  <c r="AV750" i="14"/>
  <c r="AV786" i="14"/>
  <c r="AV715" i="14"/>
  <c r="AV743" i="14"/>
  <c r="AV685" i="14"/>
  <c r="AV641" i="14"/>
  <c r="AV804" i="14"/>
  <c r="AV695" i="14"/>
  <c r="AV774" i="14"/>
  <c r="AV620" i="14"/>
  <c r="AV726" i="14"/>
  <c r="AV758" i="14"/>
  <c r="AV781" i="14"/>
  <c r="AV739" i="14"/>
  <c r="AV814" i="14"/>
  <c r="AV714" i="14"/>
  <c r="AV683" i="14"/>
  <c r="AV711" i="14"/>
  <c r="AV784" i="14"/>
  <c r="AV730" i="14"/>
  <c r="AV762" i="14"/>
  <c r="AV719" i="14"/>
  <c r="AV817" i="14"/>
  <c r="AV670" i="14"/>
  <c r="AV731" i="14"/>
  <c r="AV702" i="14"/>
  <c r="AV649" i="14"/>
  <c r="AV676" i="14"/>
  <c r="AV819" i="14"/>
  <c r="AV716" i="14"/>
  <c r="AV763" i="14"/>
  <c r="AV682" i="14"/>
  <c r="AV815" i="14"/>
  <c r="AV790" i="14"/>
  <c r="AV745" i="14"/>
  <c r="AV732" i="14"/>
  <c r="AV723" i="14"/>
  <c r="AV708" i="14"/>
  <c r="AV689" i="14"/>
  <c r="AV755" i="14"/>
  <c r="AV717" i="14"/>
  <c r="AV692" i="14"/>
  <c r="AV690" i="14"/>
  <c r="AV628" i="14"/>
  <c r="AV693" i="14"/>
  <c r="AV746" i="14"/>
  <c r="AV687" i="14"/>
  <c r="AV807" i="14"/>
  <c r="AV674" i="14"/>
  <c r="AV662" i="14"/>
  <c r="AV625" i="14"/>
  <c r="AV754" i="14"/>
  <c r="AV800" i="14"/>
  <c r="AV672" i="14"/>
  <c r="AV643" i="14"/>
  <c r="AV668" i="14"/>
  <c r="AV665" i="14"/>
  <c r="AV725" i="14"/>
  <c r="AV748" i="14"/>
  <c r="AV773" i="14"/>
  <c r="AV738" i="14"/>
  <c r="AV675" i="14"/>
  <c r="AV626" i="14"/>
  <c r="AV741" i="14"/>
  <c r="AV633" i="14"/>
  <c r="AV770" i="14"/>
  <c r="AV722" i="14"/>
  <c r="AV724" i="14"/>
  <c r="AV749" i="14"/>
  <c r="AV808" i="14"/>
  <c r="AV791" i="14"/>
  <c r="AV737" i="14"/>
  <c r="AV818" i="14"/>
  <c r="AV768" i="14"/>
  <c r="AV794" i="14"/>
  <c r="AV642" i="14"/>
  <c r="AV787" i="14"/>
  <c r="AV636" i="14"/>
  <c r="AV729" i="14"/>
  <c r="AV697" i="14"/>
  <c r="AV678" i="14"/>
  <c r="AV721" i="14"/>
  <c r="AV659" i="14"/>
  <c r="AV796" i="14"/>
  <c r="AV640" i="14"/>
  <c r="AV810" i="14"/>
  <c r="AV777" i="14"/>
  <c r="AV811" i="14"/>
  <c r="AV805" i="14"/>
  <c r="AV752" i="14"/>
  <c r="AV638" i="14"/>
  <c r="AV759" i="14"/>
  <c r="AV778" i="14"/>
  <c r="AV619" i="14"/>
  <c r="AV735" i="14"/>
  <c r="AV771" i="14"/>
  <c r="AV621" i="14"/>
  <c r="AV680" i="14"/>
  <c r="AV756" i="14"/>
  <c r="AV696" i="14"/>
  <c r="AV766" i="14"/>
  <c r="AV629" i="14"/>
  <c r="AV733" i="14"/>
  <c r="AV789" i="14"/>
  <c r="AV765" i="14"/>
  <c r="AV806" i="14"/>
  <c r="AV622" i="14"/>
  <c r="AV667" i="14"/>
  <c r="AV677" i="14"/>
  <c r="AV645" i="14"/>
  <c r="AV767" i="14"/>
  <c r="AV664" i="14"/>
  <c r="AV637" i="14"/>
  <c r="AV801" i="14"/>
  <c r="AV703" i="14"/>
  <c r="AV769" i="14"/>
  <c r="AV713" i="14"/>
  <c r="AV634" i="14"/>
  <c r="AV802" i="14"/>
  <c r="AV797" i="14"/>
  <c r="AV744" i="14"/>
  <c r="AV656" i="14"/>
  <c r="AV652" i="14"/>
  <c r="AV660" i="14"/>
  <c r="AV720" i="14"/>
  <c r="AV753" i="14"/>
  <c r="AV655" i="14"/>
  <c r="AV779" i="14"/>
  <c r="AV673" i="14"/>
  <c r="AV706" i="14"/>
  <c r="AV776" i="14"/>
  <c r="AV751" i="14"/>
  <c r="AV666" i="14"/>
  <c r="AV648" i="14"/>
  <c r="AV644" i="14"/>
  <c r="AV813" i="14"/>
  <c r="AV728" i="14"/>
  <c r="AV764" i="14"/>
  <c r="AV624" i="14"/>
  <c r="AV734" i="14"/>
  <c r="AV630" i="14"/>
  <c r="AV809" i="14"/>
  <c r="AV699" i="14"/>
  <c r="AV661" i="14"/>
  <c r="AV651" i="14"/>
  <c r="AV669" i="14"/>
  <c r="AV783" i="14"/>
  <c r="AV684" i="14"/>
  <c r="AV742" i="14"/>
  <c r="AV698" i="14"/>
  <c r="AV803" i="14"/>
  <c r="AV658" i="14"/>
  <c r="AV718" i="14"/>
  <c r="AV785" i="14"/>
  <c r="AV812" i="14"/>
  <c r="AV747" i="14"/>
  <c r="AV775" i="14"/>
  <c r="AV631" i="14"/>
  <c r="AV691" i="14"/>
  <c r="AV816" i="14"/>
  <c r="AV709" i="14"/>
  <c r="AV700" i="14"/>
  <c r="AV653" i="14"/>
  <c r="AV712" i="14"/>
  <c r="AV681" i="14"/>
  <c r="AV654" i="14"/>
  <c r="AV707" i="14"/>
  <c r="AV705" i="14"/>
  <c r="AV760" i="14"/>
  <c r="AV639" i="14"/>
  <c r="AV657" i="14"/>
  <c r="AV704" i="14"/>
  <c r="AV671" i="14"/>
  <c r="AV788" i="14"/>
  <c r="AV798" i="14"/>
  <c r="AV782" i="14"/>
  <c r="AV772" i="14"/>
  <c r="AV761" i="14"/>
  <c r="AV650" i="14"/>
  <c r="AV710" i="14"/>
  <c r="AV799" i="14"/>
  <c r="AV792" i="14"/>
  <c r="AV627" i="14"/>
  <c r="AV795" i="14"/>
  <c r="AV694" i="14"/>
  <c r="AV701" i="14"/>
  <c r="AV740" i="14"/>
  <c r="AV688" i="14"/>
  <c r="AV793" i="14"/>
  <c r="BP629" i="14" l="1"/>
  <c r="D809" i="14"/>
  <c r="D806" i="14"/>
  <c r="BP632" i="14"/>
  <c r="BP717" i="14"/>
  <c r="D721" i="14"/>
  <c r="BP630" i="14"/>
  <c r="D808" i="14"/>
  <c r="BP692" i="14"/>
  <c r="D746" i="14"/>
  <c r="BP648" i="14"/>
  <c r="D790" i="14"/>
  <c r="BP719" i="14"/>
  <c r="N719" i="14" s="1"/>
  <c r="D719" i="14"/>
  <c r="BP818" i="14"/>
  <c r="D620" i="14"/>
  <c r="BP792" i="14"/>
  <c r="D646" i="14"/>
  <c r="BP677" i="14"/>
  <c r="D761" i="14"/>
  <c r="BP653" i="14"/>
  <c r="D785" i="14"/>
  <c r="BP732" i="14"/>
  <c r="D706" i="14"/>
  <c r="BP804" i="14"/>
  <c r="D634" i="14"/>
  <c r="BP819" i="14"/>
  <c r="D619" i="14"/>
  <c r="BP713" i="14"/>
  <c r="D725" i="14"/>
  <c r="BP645" i="14"/>
  <c r="D793" i="14"/>
  <c r="D772" i="14"/>
  <c r="BP666" i="14"/>
  <c r="BP757" i="14"/>
  <c r="D681" i="14"/>
  <c r="BP720" i="14"/>
  <c r="D718" i="14"/>
  <c r="BP808" i="14"/>
  <c r="D630" i="14"/>
  <c r="BP765" i="14"/>
  <c r="D673" i="14"/>
  <c r="D713" i="14"/>
  <c r="BP725" i="14"/>
  <c r="BP673" i="14"/>
  <c r="D765" i="14"/>
  <c r="BP660" i="14"/>
  <c r="D778" i="14"/>
  <c r="BP760" i="14"/>
  <c r="D678" i="14"/>
  <c r="BP689" i="14"/>
  <c r="D749" i="14"/>
  <c r="BP773" i="14"/>
  <c r="D665" i="14"/>
  <c r="BP745" i="14"/>
  <c r="D693" i="14"/>
  <c r="D815" i="14"/>
  <c r="BP623" i="14"/>
  <c r="BP676" i="14"/>
  <c r="D762" i="14"/>
  <c r="BP664" i="14"/>
  <c r="D774" i="14"/>
  <c r="BP803" i="14"/>
  <c r="D635" i="14"/>
  <c r="BP750" i="14"/>
  <c r="D688" i="14"/>
  <c r="BP656" i="14"/>
  <c r="D782" i="14"/>
  <c r="BP726" i="14"/>
  <c r="D712" i="14"/>
  <c r="BP780" i="14"/>
  <c r="D658" i="14"/>
  <c r="BP704" i="14"/>
  <c r="D734" i="14"/>
  <c r="BP659" i="14"/>
  <c r="D779" i="14"/>
  <c r="BP669" i="14"/>
  <c r="D769" i="14"/>
  <c r="D789" i="14"/>
  <c r="BP649" i="14"/>
  <c r="D759" i="14"/>
  <c r="BP679" i="14"/>
  <c r="BP741" i="14"/>
  <c r="D697" i="14"/>
  <c r="BP714" i="14"/>
  <c r="D724" i="14"/>
  <c r="BP770" i="14"/>
  <c r="D668" i="14"/>
  <c r="BP810" i="14"/>
  <c r="D628" i="14"/>
  <c r="D682" i="14"/>
  <c r="BP756" i="14"/>
  <c r="BP708" i="14"/>
  <c r="D730" i="14"/>
  <c r="BP743" i="14"/>
  <c r="D695" i="14"/>
  <c r="BP775" i="14"/>
  <c r="D663" i="14"/>
  <c r="BP698" i="14"/>
  <c r="D740" i="14"/>
  <c r="BP635" i="14"/>
  <c r="D803" i="14"/>
  <c r="BP814" i="14"/>
  <c r="D624" i="14"/>
  <c r="BP783" i="14"/>
  <c r="D655" i="14"/>
  <c r="BP735" i="14"/>
  <c r="D703" i="14"/>
  <c r="BP705" i="14"/>
  <c r="D733" i="14"/>
  <c r="BP800" i="14"/>
  <c r="D638" i="14"/>
  <c r="BP709" i="14"/>
  <c r="D729" i="14"/>
  <c r="D722" i="14"/>
  <c r="BP716" i="14"/>
  <c r="BP795" i="14"/>
  <c r="D643" i="14"/>
  <c r="BP748" i="14"/>
  <c r="D690" i="14"/>
  <c r="BP675" i="14"/>
  <c r="D763" i="14"/>
  <c r="BP654" i="14"/>
  <c r="D784" i="14"/>
  <c r="BP634" i="14"/>
  <c r="D804" i="14"/>
  <c r="BP702" i="14"/>
  <c r="D736" i="14"/>
  <c r="BP740" i="14"/>
  <c r="D698" i="14"/>
  <c r="BP686" i="14"/>
  <c r="D752" i="14"/>
  <c r="BP766" i="14"/>
  <c r="D672" i="14"/>
  <c r="BP746" i="14"/>
  <c r="D692" i="14"/>
  <c r="BP722" i="14"/>
  <c r="D716" i="14"/>
  <c r="BP727" i="14"/>
  <c r="D711" i="14"/>
  <c r="BP797" i="14"/>
  <c r="D641" i="14"/>
  <c r="BP711" i="14"/>
  <c r="D727" i="14"/>
  <c r="BP785" i="14"/>
  <c r="D653" i="14"/>
  <c r="BP737" i="14"/>
  <c r="D701" i="14"/>
  <c r="BP674" i="14"/>
  <c r="D764" i="14"/>
  <c r="BP809" i="14"/>
  <c r="D629" i="14"/>
  <c r="BP802" i="14"/>
  <c r="D636" i="14"/>
  <c r="BP744" i="14"/>
  <c r="D694" i="14"/>
  <c r="BP767" i="14"/>
  <c r="D671" i="14"/>
  <c r="BP729" i="14"/>
  <c r="D709" i="14"/>
  <c r="D742" i="14"/>
  <c r="BP696" i="14"/>
  <c r="D728" i="14"/>
  <c r="BP710" i="14"/>
  <c r="BP718" i="14"/>
  <c r="D720" i="14"/>
  <c r="BP801" i="14"/>
  <c r="D637" i="14"/>
  <c r="BP672" i="14"/>
  <c r="D766" i="14"/>
  <c r="BP633" i="14"/>
  <c r="D805" i="14"/>
  <c r="BP651" i="14"/>
  <c r="D787" i="14"/>
  <c r="D633" i="14"/>
  <c r="BP805" i="14"/>
  <c r="BP638" i="14"/>
  <c r="D800" i="14"/>
  <c r="D717" i="14"/>
  <c r="BP721" i="14"/>
  <c r="BP619" i="14"/>
  <c r="D819" i="14"/>
  <c r="BP755" i="14"/>
  <c r="D683" i="14"/>
  <c r="BP753" i="14"/>
  <c r="D685" i="14"/>
  <c r="BP759" i="14"/>
  <c r="D679" i="14"/>
  <c r="D798" i="14"/>
  <c r="BP640" i="14"/>
  <c r="D788" i="14"/>
  <c r="BP650" i="14"/>
  <c r="BP685" i="14"/>
  <c r="D753" i="14"/>
  <c r="D770" i="14"/>
  <c r="BP668" i="14"/>
  <c r="BP643" i="14"/>
  <c r="D795" i="14"/>
  <c r="BP734" i="14"/>
  <c r="D704" i="14"/>
  <c r="BP622" i="14"/>
  <c r="D816" i="14"/>
  <c r="BP754" i="14"/>
  <c r="D684" i="14"/>
  <c r="BP625" i="14"/>
  <c r="D813" i="14"/>
  <c r="BP778" i="14"/>
  <c r="D660" i="14"/>
  <c r="BP774" i="14"/>
  <c r="D664" i="14"/>
  <c r="BP742" i="14"/>
  <c r="D696" i="14"/>
  <c r="BP627" i="14"/>
  <c r="D811" i="14"/>
  <c r="BP796" i="14"/>
  <c r="D642" i="14"/>
  <c r="BP697" i="14"/>
  <c r="D741" i="14"/>
  <c r="BP684" i="14"/>
  <c r="D754" i="14"/>
  <c r="BP683" i="14"/>
  <c r="D755" i="14"/>
  <c r="BP762" i="14"/>
  <c r="D676" i="14"/>
  <c r="BP724" i="14"/>
  <c r="D714" i="14"/>
  <c r="BP695" i="14"/>
  <c r="D743" i="14"/>
  <c r="BP791" i="14"/>
  <c r="D647" i="14"/>
  <c r="BP738" i="14"/>
  <c r="D700" i="14"/>
  <c r="BP637" i="14"/>
  <c r="D801" i="14"/>
  <c r="BP811" i="14"/>
  <c r="D627" i="14"/>
  <c r="BP781" i="14"/>
  <c r="D657" i="14"/>
  <c r="BP747" i="14"/>
  <c r="D691" i="14"/>
  <c r="BP655" i="14"/>
  <c r="D783" i="14"/>
  <c r="BP794" i="14"/>
  <c r="D644" i="14"/>
  <c r="BP786" i="14"/>
  <c r="D652" i="14"/>
  <c r="BP671" i="14"/>
  <c r="D767" i="14"/>
  <c r="BP682" i="14"/>
  <c r="D756" i="14"/>
  <c r="BP661" i="14"/>
  <c r="D777" i="14"/>
  <c r="D794" i="14"/>
  <c r="BP644" i="14"/>
  <c r="BP812" i="14"/>
  <c r="D626" i="14"/>
  <c r="BP813" i="14"/>
  <c r="D625" i="14"/>
  <c r="BP749" i="14"/>
  <c r="D689" i="14"/>
  <c r="BP789" i="14"/>
  <c r="D649" i="14"/>
  <c r="BP624" i="14"/>
  <c r="D814" i="14"/>
  <c r="BP723" i="14"/>
  <c r="D715" i="14"/>
  <c r="BP806" i="14"/>
  <c r="D632" i="14"/>
  <c r="BP646" i="14"/>
  <c r="D792" i="14"/>
  <c r="BP799" i="14"/>
  <c r="D639" i="14"/>
  <c r="BP807" i="14"/>
  <c r="D631" i="14"/>
  <c r="BP769" i="14"/>
  <c r="D669" i="14"/>
  <c r="BP790" i="14"/>
  <c r="D648" i="14"/>
  <c r="BP782" i="14"/>
  <c r="D656" i="14"/>
  <c r="BP793" i="14"/>
  <c r="D645" i="14"/>
  <c r="BP758" i="14"/>
  <c r="D680" i="14"/>
  <c r="BP628" i="14"/>
  <c r="D810" i="14"/>
  <c r="BP670" i="14"/>
  <c r="D768" i="14"/>
  <c r="D675" i="14"/>
  <c r="BP763" i="14"/>
  <c r="BP776" i="14"/>
  <c r="D662" i="14"/>
  <c r="BP730" i="14"/>
  <c r="D708" i="14"/>
  <c r="BP736" i="14"/>
  <c r="D702" i="14"/>
  <c r="BP699" i="14"/>
  <c r="D739" i="14"/>
  <c r="BP652" i="14"/>
  <c r="D786" i="14"/>
  <c r="BP658" i="14"/>
  <c r="D780" i="14"/>
  <c r="BP639" i="14"/>
  <c r="D799" i="14"/>
  <c r="BP761" i="14"/>
  <c r="D677" i="14"/>
  <c r="BP620" i="14"/>
  <c r="D818" i="14"/>
  <c r="BP700" i="14"/>
  <c r="D738" i="14"/>
  <c r="BP764" i="14"/>
  <c r="D674" i="14"/>
  <c r="BP715" i="14"/>
  <c r="D723" i="14"/>
  <c r="BP707" i="14"/>
  <c r="D731" i="14"/>
  <c r="BP657" i="14"/>
  <c r="D781" i="14"/>
  <c r="BP688" i="14"/>
  <c r="D750" i="14"/>
  <c r="BP752" i="14"/>
  <c r="D686" i="14"/>
  <c r="BP784" i="14"/>
  <c r="D654" i="14"/>
  <c r="BP663" i="14"/>
  <c r="D775" i="14"/>
  <c r="BP772" i="14"/>
  <c r="D666" i="14"/>
  <c r="BP817" i="14"/>
  <c r="D621" i="14"/>
  <c r="BP728" i="14"/>
  <c r="D710" i="14"/>
  <c r="BP733" i="14"/>
  <c r="D705" i="14"/>
  <c r="BP691" i="14"/>
  <c r="D747" i="14"/>
  <c r="BP777" i="14"/>
  <c r="D661" i="14"/>
  <c r="BP687" i="14"/>
  <c r="D751" i="14"/>
  <c r="BP641" i="14"/>
  <c r="D797" i="14"/>
  <c r="BP771" i="14"/>
  <c r="D667" i="14"/>
  <c r="BP667" i="14"/>
  <c r="D771" i="14"/>
  <c r="BP642" i="14"/>
  <c r="D796" i="14"/>
  <c r="BP701" i="14"/>
  <c r="D737" i="14"/>
  <c r="D773" i="14"/>
  <c r="BP665" i="14"/>
  <c r="BP631" i="14"/>
  <c r="D807" i="14"/>
  <c r="BP706" i="14"/>
  <c r="D732" i="14"/>
  <c r="BP768" i="14"/>
  <c r="D670" i="14"/>
  <c r="D758" i="14"/>
  <c r="BP680" i="14"/>
  <c r="BP681" i="14"/>
  <c r="D757" i="14"/>
  <c r="BP678" i="14"/>
  <c r="D760" i="14"/>
  <c r="BP787" i="14"/>
  <c r="D651" i="14"/>
  <c r="BP694" i="14"/>
  <c r="D744" i="14"/>
  <c r="BP798" i="14"/>
  <c r="D640" i="14"/>
  <c r="BP788" i="14"/>
  <c r="D650" i="14"/>
  <c r="BP731" i="14"/>
  <c r="D707" i="14"/>
  <c r="BP626" i="14"/>
  <c r="D812" i="14"/>
  <c r="BP739" i="14"/>
  <c r="D699" i="14"/>
  <c r="D776" i="14"/>
  <c r="BP662" i="14"/>
  <c r="BP636" i="14"/>
  <c r="D802" i="14"/>
  <c r="BP816" i="14"/>
  <c r="D622" i="14"/>
  <c r="BP703" i="14"/>
  <c r="D735" i="14"/>
  <c r="BP779" i="14"/>
  <c r="D659" i="14"/>
  <c r="BP647" i="14"/>
  <c r="D791" i="14"/>
  <c r="BP690" i="14"/>
  <c r="D748" i="14"/>
  <c r="D687" i="14"/>
  <c r="BP751" i="14"/>
  <c r="BP693" i="14"/>
  <c r="D745" i="14"/>
  <c r="BP621" i="14"/>
  <c r="D817" i="14"/>
  <c r="BP712" i="14"/>
  <c r="D726" i="14"/>
  <c r="BP815" i="14"/>
  <c r="D623" i="14"/>
  <c r="N702" i="14" l="1"/>
  <c r="R702" i="14" s="1"/>
  <c r="N775" i="14"/>
  <c r="R775" i="14" s="1"/>
  <c r="N792" i="14"/>
  <c r="I792" i="14" s="1"/>
  <c r="N812" i="14"/>
  <c r="W812" i="14" s="1"/>
  <c r="N818" i="14"/>
  <c r="BM818" i="14" s="1"/>
  <c r="N766" i="14"/>
  <c r="BB766" i="14" s="1"/>
  <c r="N796" i="14"/>
  <c r="E796" i="14" s="1"/>
  <c r="N669" i="14"/>
  <c r="BA669" i="14" s="1"/>
  <c r="N674" i="14"/>
  <c r="T674" i="14" s="1"/>
  <c r="N632" i="14"/>
  <c r="W632" i="14" s="1"/>
  <c r="N747" i="14"/>
  <c r="AY747" i="14" s="1"/>
  <c r="N717" i="14"/>
  <c r="G717" i="14" s="1"/>
  <c r="N689" i="14"/>
  <c r="BA689" i="14" s="1"/>
  <c r="N750" i="14"/>
  <c r="AY750" i="14" s="1"/>
  <c r="N810" i="14"/>
  <c r="AY810" i="14" s="1"/>
  <c r="N802" i="14"/>
  <c r="AY802" i="14" s="1"/>
  <c r="N659" i="14"/>
  <c r="Q659" i="14" s="1"/>
  <c r="N773" i="14"/>
  <c r="BB773" i="14" s="1"/>
  <c r="N723" i="14"/>
  <c r="R723" i="14" s="1"/>
  <c r="N714" i="14"/>
  <c r="W714" i="14" s="1"/>
  <c r="N720" i="14"/>
  <c r="AZ720" i="14" s="1"/>
  <c r="N704" i="14"/>
  <c r="E704" i="14" s="1"/>
  <c r="N664" i="14"/>
  <c r="BA664" i="14" s="1"/>
  <c r="N804" i="14"/>
  <c r="J804" i="14" s="1"/>
  <c r="N705" i="14"/>
  <c r="AZ705" i="14" s="1"/>
  <c r="N767" i="14"/>
  <c r="Q767" i="14" s="1"/>
  <c r="N629" i="14"/>
  <c r="Q629" i="14" s="1"/>
  <c r="N760" i="14"/>
  <c r="Q760" i="14" s="1"/>
  <c r="N675" i="14"/>
  <c r="Q675" i="14" s="1"/>
  <c r="N651" i="14"/>
  <c r="R651" i="14" s="1"/>
  <c r="N709" i="14"/>
  <c r="J709" i="14" s="1"/>
  <c r="N743" i="14"/>
  <c r="I743" i="14" s="1"/>
  <c r="N745" i="14"/>
  <c r="W745" i="14" s="1"/>
  <c r="N622" i="14"/>
  <c r="W622" i="14" s="1"/>
  <c r="N786" i="14"/>
  <c r="I786" i="14" s="1"/>
  <c r="N814" i="14"/>
  <c r="BB814" i="14" s="1"/>
  <c r="N817" i="14"/>
  <c r="BL817" i="14" s="1"/>
  <c r="N654" i="14"/>
  <c r="BL654" i="14" s="1"/>
  <c r="N800" i="14"/>
  <c r="BL800" i="14" s="1"/>
  <c r="N687" i="14"/>
  <c r="J687" i="14" s="1"/>
  <c r="N755" i="14"/>
  <c r="T755" i="14" s="1"/>
  <c r="N803" i="14"/>
  <c r="T803" i="14" s="1"/>
  <c r="N770" i="14"/>
  <c r="T770" i="14" s="1"/>
  <c r="N737" i="14"/>
  <c r="AZ737" i="14" s="1"/>
  <c r="N776" i="14"/>
  <c r="BM776" i="14" s="1"/>
  <c r="N696" i="14"/>
  <c r="E696" i="14" s="1"/>
  <c r="N727" i="14"/>
  <c r="BM727" i="14" s="1"/>
  <c r="N738" i="14"/>
  <c r="I738" i="14" s="1"/>
  <c r="N698" i="14"/>
  <c r="AZ698" i="14" s="1"/>
  <c r="N679" i="14"/>
  <c r="AY679" i="14" s="1"/>
  <c r="N707" i="14"/>
  <c r="BM707" i="14" s="1"/>
  <c r="N699" i="14"/>
  <c r="E699" i="14" s="1"/>
  <c r="N807" i="14"/>
  <c r="BA807" i="14" s="1"/>
  <c r="N797" i="14"/>
  <c r="W797" i="14" s="1"/>
  <c r="N781" i="14"/>
  <c r="BA781" i="14" s="1"/>
  <c r="N708" i="14"/>
  <c r="J708" i="14" s="1"/>
  <c r="N795" i="14"/>
  <c r="BL795" i="14" s="1"/>
  <c r="N726" i="14"/>
  <c r="AY726" i="14" s="1"/>
  <c r="N692" i="14"/>
  <c r="G692" i="14" s="1"/>
  <c r="N783" i="14"/>
  <c r="Q783" i="14" s="1"/>
  <c r="N653" i="14"/>
  <c r="J653" i="14" s="1"/>
  <c r="N758" i="14"/>
  <c r="BM758" i="14" s="1"/>
  <c r="N640" i="14"/>
  <c r="T640" i="14" s="1"/>
  <c r="N649" i="14"/>
  <c r="BB649" i="14" s="1"/>
  <c r="N756" i="14"/>
  <c r="G756" i="14" s="1"/>
  <c r="N710" i="14"/>
  <c r="G710" i="14" s="1"/>
  <c r="N623" i="14"/>
  <c r="BL623" i="14" s="1"/>
  <c r="N791" i="14"/>
  <c r="BM791" i="14" s="1"/>
  <c r="N677" i="14"/>
  <c r="G677" i="14" s="1"/>
  <c r="N645" i="14"/>
  <c r="R645" i="14" s="1"/>
  <c r="N625" i="14"/>
  <c r="BB625" i="14" s="1"/>
  <c r="N716" i="14"/>
  <c r="E716" i="14" s="1"/>
  <c r="N666" i="14"/>
  <c r="W666" i="14" s="1"/>
  <c r="N799" i="14"/>
  <c r="BL799" i="14" s="1"/>
  <c r="N656" i="14"/>
  <c r="Q656" i="14" s="1"/>
  <c r="N630" i="14"/>
  <c r="J630" i="14" s="1"/>
  <c r="N670" i="14"/>
  <c r="BB670" i="14" s="1"/>
  <c r="N686" i="14"/>
  <c r="I686" i="14" s="1"/>
  <c r="N744" i="14"/>
  <c r="AZ744" i="14" s="1"/>
  <c r="N732" i="14"/>
  <c r="BL732" i="14" s="1"/>
  <c r="N676" i="14"/>
  <c r="J676" i="14" s="1"/>
  <c r="N748" i="14"/>
  <c r="G748" i="14" s="1"/>
  <c r="N801" i="14"/>
  <c r="I801" i="14" s="1"/>
  <c r="N754" i="14"/>
  <c r="I754" i="14" s="1"/>
  <c r="N660" i="14"/>
  <c r="W660" i="14" s="1"/>
  <c r="N735" i="14"/>
  <c r="R735" i="14" s="1"/>
  <c r="N757" i="14"/>
  <c r="BM757" i="14" s="1"/>
  <c r="N661" i="14"/>
  <c r="AY661" i="14" s="1"/>
  <c r="N780" i="14"/>
  <c r="BM780" i="14" s="1"/>
  <c r="N648" i="14"/>
  <c r="J648" i="14" s="1"/>
  <c r="N741" i="14"/>
  <c r="U741" i="14" s="1"/>
  <c r="N650" i="14"/>
  <c r="BA650" i="14" s="1"/>
  <c r="N771" i="14"/>
  <c r="W771" i="14" s="1"/>
  <c r="N765" i="14"/>
  <c r="U765" i="14" s="1"/>
  <c r="N713" i="14"/>
  <c r="T713" i="14" s="1"/>
  <c r="N753" i="14"/>
  <c r="I753" i="14" s="1"/>
  <c r="N811" i="14"/>
  <c r="AZ811" i="14" s="1"/>
  <c r="N685" i="14"/>
  <c r="E685" i="14" s="1"/>
  <c r="N644" i="14"/>
  <c r="I644" i="14" s="1"/>
  <c r="N805" i="14"/>
  <c r="G805" i="14" s="1"/>
  <c r="N788" i="14"/>
  <c r="E788" i="14" s="1"/>
  <c r="N768" i="14"/>
  <c r="Q768" i="14" s="1"/>
  <c r="N777" i="14"/>
  <c r="W777" i="14" s="1"/>
  <c r="N691" i="14"/>
  <c r="AY691" i="14" s="1"/>
  <c r="N642" i="14"/>
  <c r="J642" i="14" s="1"/>
  <c r="N684" i="14"/>
  <c r="I684" i="14" s="1"/>
  <c r="N637" i="14"/>
  <c r="G637" i="14" s="1"/>
  <c r="N694" i="14"/>
  <c r="J694" i="14" s="1"/>
  <c r="N752" i="14"/>
  <c r="Q752" i="14" s="1"/>
  <c r="N690" i="14"/>
  <c r="T690" i="14" s="1"/>
  <c r="N703" i="14"/>
  <c r="BL703" i="14" s="1"/>
  <c r="N695" i="14"/>
  <c r="BA695" i="14" s="1"/>
  <c r="N697" i="14"/>
  <c r="AY697" i="14" s="1"/>
  <c r="N658" i="14"/>
  <c r="AY658" i="14" s="1"/>
  <c r="N762" i="14"/>
  <c r="AY762" i="14" s="1"/>
  <c r="N778" i="14"/>
  <c r="Q778" i="14" s="1"/>
  <c r="N681" i="14"/>
  <c r="U681" i="14" s="1"/>
  <c r="N706" i="14"/>
  <c r="R706" i="14" s="1"/>
  <c r="N790" i="14"/>
  <c r="AY790" i="14" s="1"/>
  <c r="N798" i="14"/>
  <c r="AZ798" i="14" s="1"/>
  <c r="N759" i="14"/>
  <c r="T759" i="14" s="1"/>
  <c r="N815" i="14"/>
  <c r="BB815" i="14" s="1"/>
  <c r="N772" i="14"/>
  <c r="BA772" i="14" s="1"/>
  <c r="N739" i="14"/>
  <c r="Q739" i="14" s="1"/>
  <c r="N631" i="14"/>
  <c r="E631" i="14" s="1"/>
  <c r="N657" i="14"/>
  <c r="G657" i="14" s="1"/>
  <c r="N816" i="14"/>
  <c r="W816" i="14" s="1"/>
  <c r="N636" i="14"/>
  <c r="Q636" i="14" s="1"/>
  <c r="N641" i="14"/>
  <c r="T641" i="14" s="1"/>
  <c r="N643" i="14"/>
  <c r="G643" i="14" s="1"/>
  <c r="N655" i="14"/>
  <c r="Q655" i="14" s="1"/>
  <c r="N730" i="14"/>
  <c r="T730" i="14" s="1"/>
  <c r="N712" i="14"/>
  <c r="T712" i="14" s="1"/>
  <c r="N785" i="14"/>
  <c r="BM785" i="14" s="1"/>
  <c r="N746" i="14"/>
  <c r="Q746" i="14" s="1"/>
  <c r="N633" i="14"/>
  <c r="BA633" i="14" s="1"/>
  <c r="N728" i="14"/>
  <c r="BA728" i="14" s="1"/>
  <c r="N722" i="14"/>
  <c r="BB722" i="14" s="1"/>
  <c r="N682" i="14"/>
  <c r="I682" i="14" s="1"/>
  <c r="N789" i="14"/>
  <c r="BA789" i="14" s="1"/>
  <c r="N667" i="14"/>
  <c r="W667" i="14" s="1"/>
  <c r="N680" i="14"/>
  <c r="I680" i="14" s="1"/>
  <c r="N639" i="14"/>
  <c r="R639" i="14" s="1"/>
  <c r="N627" i="14"/>
  <c r="T627" i="14" s="1"/>
  <c r="N711" i="14"/>
  <c r="I711" i="14" s="1"/>
  <c r="N736" i="14"/>
  <c r="Q736" i="14" s="1"/>
  <c r="N624" i="14"/>
  <c r="Q624" i="14" s="1"/>
  <c r="N782" i="14"/>
  <c r="T782" i="14" s="1"/>
  <c r="N693" i="14"/>
  <c r="AZ693" i="14" s="1"/>
  <c r="N793" i="14"/>
  <c r="AY793" i="14" s="1"/>
  <c r="N761" i="14"/>
  <c r="BM761" i="14" s="1"/>
  <c r="N808" i="14"/>
  <c r="U808" i="14" s="1"/>
  <c r="N742" i="14"/>
  <c r="G742" i="14" s="1"/>
  <c r="N621" i="14"/>
  <c r="E621" i="14" s="1"/>
  <c r="N652" i="14"/>
  <c r="BA652" i="14" s="1"/>
  <c r="N787" i="14"/>
  <c r="T787" i="14" s="1"/>
  <c r="N764" i="14"/>
  <c r="E764" i="14" s="1"/>
  <c r="N729" i="14"/>
  <c r="BL729" i="14" s="1"/>
  <c r="N628" i="14"/>
  <c r="Q628" i="14" s="1"/>
  <c r="N769" i="14"/>
  <c r="T769" i="14" s="1"/>
  <c r="N688" i="14"/>
  <c r="W688" i="14" s="1"/>
  <c r="N665" i="14"/>
  <c r="I665" i="14" s="1"/>
  <c r="N673" i="14"/>
  <c r="T673" i="14" s="1"/>
  <c r="N725" i="14"/>
  <c r="G725" i="14" s="1"/>
  <c r="N646" i="14"/>
  <c r="R646" i="14" s="1"/>
  <c r="N721" i="14"/>
  <c r="G721" i="14" s="1"/>
  <c r="N806" i="14"/>
  <c r="BA806" i="14" s="1"/>
  <c r="N751" i="14"/>
  <c r="E751" i="14" s="1"/>
  <c r="N731" i="14"/>
  <c r="AY731" i="14" s="1"/>
  <c r="N662" i="14"/>
  <c r="T662" i="14" s="1"/>
  <c r="N626" i="14"/>
  <c r="Q626" i="14" s="1"/>
  <c r="N700" i="14"/>
  <c r="W700" i="14" s="1"/>
  <c r="N683" i="14"/>
  <c r="I683" i="14" s="1"/>
  <c r="N701" i="14"/>
  <c r="AY701" i="14" s="1"/>
  <c r="N784" i="14"/>
  <c r="W784" i="14" s="1"/>
  <c r="N638" i="14"/>
  <c r="W638" i="14" s="1"/>
  <c r="N740" i="14"/>
  <c r="AY740" i="14" s="1"/>
  <c r="N668" i="14"/>
  <c r="BL668" i="14" s="1"/>
  <c r="N779" i="14"/>
  <c r="AY779" i="14" s="1"/>
  <c r="N635" i="14"/>
  <c r="BB635" i="14" s="1"/>
  <c r="N749" i="14"/>
  <c r="T749" i="14" s="1"/>
  <c r="N619" i="14"/>
  <c r="N620" i="14"/>
  <c r="BM620" i="14" s="1"/>
  <c r="N794" i="14"/>
  <c r="T794" i="14" s="1"/>
  <c r="N715" i="14"/>
  <c r="R715" i="14" s="1"/>
  <c r="N647" i="14"/>
  <c r="E647" i="14" s="1"/>
  <c r="N813" i="14"/>
  <c r="Q813" i="14" s="1"/>
  <c r="N671" i="14"/>
  <c r="BA671" i="14" s="1"/>
  <c r="N672" i="14"/>
  <c r="G672" i="14" s="1"/>
  <c r="N763" i="14"/>
  <c r="I763" i="14" s="1"/>
  <c r="N733" i="14"/>
  <c r="R733" i="14" s="1"/>
  <c r="N663" i="14"/>
  <c r="E663" i="14" s="1"/>
  <c r="N724" i="14"/>
  <c r="U724" i="14" s="1"/>
  <c r="N734" i="14"/>
  <c r="Q734" i="14" s="1"/>
  <c r="N774" i="14"/>
  <c r="G774" i="14" s="1"/>
  <c r="N678" i="14"/>
  <c r="E678" i="14" s="1"/>
  <c r="N718" i="14"/>
  <c r="BL718" i="14" s="1"/>
  <c r="N634" i="14"/>
  <c r="W634" i="14" s="1"/>
  <c r="N809" i="14"/>
  <c r="BM809" i="14" s="1"/>
  <c r="N819" i="14"/>
  <c r="BQ619" i="14" a="1"/>
  <c r="BQ619" i="14" s="1"/>
  <c r="T719" i="14"/>
  <c r="AY719" i="14"/>
  <c r="G719" i="14"/>
  <c r="I719" i="14"/>
  <c r="Q719" i="14"/>
  <c r="W719" i="14"/>
  <c r="BA719" i="14"/>
  <c r="BB719" i="14"/>
  <c r="AZ719" i="14"/>
  <c r="BM719" i="14"/>
  <c r="BL719" i="14"/>
  <c r="E719" i="14"/>
  <c r="J719" i="14"/>
  <c r="R719" i="14"/>
  <c r="U719" i="14"/>
  <c r="P719" i="14" a="1"/>
  <c r="H719" i="14" a="1"/>
  <c r="BM702" i="14" l="1"/>
  <c r="BM792" i="14"/>
  <c r="AY792" i="14"/>
  <c r="T792" i="14"/>
  <c r="E702" i="14"/>
  <c r="I702" i="14"/>
  <c r="Q702" i="14"/>
  <c r="G702" i="14"/>
  <c r="BG702" i="14" s="1"/>
  <c r="BB702" i="14"/>
  <c r="AY702" i="14"/>
  <c r="J702" i="14"/>
  <c r="BL702" i="14"/>
  <c r="T702" i="14"/>
  <c r="U702" i="14"/>
  <c r="BA702" i="14"/>
  <c r="AZ702" i="14"/>
  <c r="W702" i="14"/>
  <c r="W792" i="14"/>
  <c r="G792" i="14"/>
  <c r="BG792" i="14" s="1"/>
  <c r="E775" i="14"/>
  <c r="BL775" i="14"/>
  <c r="BM775" i="14"/>
  <c r="Q775" i="14"/>
  <c r="U775" i="14"/>
  <c r="AZ775" i="14"/>
  <c r="G775" i="14"/>
  <c r="BG775" i="14" s="1"/>
  <c r="W775" i="14"/>
  <c r="BA775" i="14"/>
  <c r="J775" i="14"/>
  <c r="BB775" i="14"/>
  <c r="T775" i="14"/>
  <c r="I775" i="14"/>
  <c r="AY775" i="14"/>
  <c r="AZ792" i="14"/>
  <c r="R792" i="14"/>
  <c r="U792" i="14"/>
  <c r="E792" i="14"/>
  <c r="BA792" i="14"/>
  <c r="BL792" i="14"/>
  <c r="BB792" i="14"/>
  <c r="Q792" i="14"/>
  <c r="J792" i="14"/>
  <c r="Q796" i="14"/>
  <c r="R796" i="14"/>
  <c r="BB796" i="14"/>
  <c r="BL796" i="14"/>
  <c r="AZ796" i="14"/>
  <c r="AY796" i="14"/>
  <c r="U812" i="14"/>
  <c r="AZ812" i="14"/>
  <c r="BA796" i="14"/>
  <c r="T796" i="14"/>
  <c r="BL619" i="14"/>
  <c r="I766" i="14"/>
  <c r="BB818" i="14"/>
  <c r="J812" i="14"/>
  <c r="Q812" i="14"/>
  <c r="AY812" i="14"/>
  <c r="G812" i="14"/>
  <c r="BG812" i="14" s="1"/>
  <c r="T812" i="14"/>
  <c r="BH812" i="14" s="1"/>
  <c r="BB812" i="14"/>
  <c r="BM669" i="14"/>
  <c r="I812" i="14"/>
  <c r="E812" i="14"/>
  <c r="BM812" i="14"/>
  <c r="R812" i="14"/>
  <c r="BA812" i="14"/>
  <c r="BL812" i="14"/>
  <c r="AZ674" i="14"/>
  <c r="U674" i="14"/>
  <c r="AY669" i="14"/>
  <c r="G796" i="14"/>
  <c r="BG796" i="14" s="1"/>
  <c r="BM796" i="14"/>
  <c r="J796" i="14"/>
  <c r="AZ632" i="14"/>
  <c r="U796" i="14"/>
  <c r="T747" i="14"/>
  <c r="W796" i="14"/>
  <c r="I796" i="14"/>
  <c r="BL818" i="14"/>
  <c r="BL632" i="14"/>
  <c r="U632" i="14"/>
  <c r="E632" i="14"/>
  <c r="I632" i="14"/>
  <c r="BL669" i="14"/>
  <c r="Q632" i="14"/>
  <c r="R669" i="14"/>
  <c r="J669" i="14"/>
  <c r="Q747" i="14"/>
  <c r="G632" i="14"/>
  <c r="AF632" i="14" s="1"/>
  <c r="AY632" i="14"/>
  <c r="T632" i="14"/>
  <c r="BH632" i="14" s="1"/>
  <c r="I674" i="14"/>
  <c r="E669" i="14"/>
  <c r="BB669" i="14"/>
  <c r="W669" i="14"/>
  <c r="Q669" i="14"/>
  <c r="AZ669" i="14"/>
  <c r="W747" i="14"/>
  <c r="I669" i="14"/>
  <c r="T669" i="14"/>
  <c r="BB674" i="14"/>
  <c r="G766" i="14"/>
  <c r="U766" i="14"/>
  <c r="I818" i="14"/>
  <c r="E766" i="14"/>
  <c r="AZ818" i="14"/>
  <c r="BA766" i="14"/>
  <c r="U818" i="14"/>
  <c r="AY818" i="14"/>
  <c r="BL747" i="14"/>
  <c r="J766" i="14"/>
  <c r="Q818" i="14"/>
  <c r="T766" i="14"/>
  <c r="G818" i="14"/>
  <c r="AZ766" i="14"/>
  <c r="BA818" i="14"/>
  <c r="R766" i="14"/>
  <c r="R818" i="14"/>
  <c r="BM766" i="14"/>
  <c r="J818" i="14"/>
  <c r="U669" i="14"/>
  <c r="G669" i="14"/>
  <c r="Q766" i="14"/>
  <c r="AY766" i="14"/>
  <c r="T818" i="14"/>
  <c r="W766" i="14"/>
  <c r="E818" i="14"/>
  <c r="BL766" i="14"/>
  <c r="W818" i="14"/>
  <c r="J674" i="14"/>
  <c r="BM674" i="14"/>
  <c r="BM632" i="14"/>
  <c r="J632" i="14"/>
  <c r="R632" i="14"/>
  <c r="BB632" i="14"/>
  <c r="BA632" i="14"/>
  <c r="E674" i="14"/>
  <c r="BL674" i="14"/>
  <c r="AZ747" i="14"/>
  <c r="I747" i="14"/>
  <c r="Q674" i="14"/>
  <c r="BA674" i="14"/>
  <c r="AY674" i="14"/>
  <c r="W674" i="14"/>
  <c r="BH674" i="14" s="1"/>
  <c r="G674" i="14"/>
  <c r="R674" i="14"/>
  <c r="W689" i="14"/>
  <c r="G747" i="14"/>
  <c r="U747" i="14"/>
  <c r="R747" i="14"/>
  <c r="AZ717" i="14"/>
  <c r="E747" i="14"/>
  <c r="BA747" i="14"/>
  <c r="J747" i="14"/>
  <c r="AZ689" i="14"/>
  <c r="T689" i="14"/>
  <c r="U717" i="14"/>
  <c r="E717" i="14"/>
  <c r="BL717" i="14"/>
  <c r="AY717" i="14"/>
  <c r="T717" i="14"/>
  <c r="E689" i="14"/>
  <c r="BM689" i="14"/>
  <c r="R689" i="14"/>
  <c r="BL689" i="14"/>
  <c r="BM747" i="14"/>
  <c r="J717" i="14"/>
  <c r="Q717" i="14"/>
  <c r="BB747" i="14"/>
  <c r="BA717" i="14"/>
  <c r="R717" i="14"/>
  <c r="BB717" i="14"/>
  <c r="W717" i="14"/>
  <c r="AF717" i="14" s="1"/>
  <c r="I717" i="14"/>
  <c r="BM717" i="14"/>
  <c r="AZ810" i="14"/>
  <c r="BA750" i="14"/>
  <c r="U689" i="14"/>
  <c r="AY689" i="14"/>
  <c r="J689" i="14"/>
  <c r="BB689" i="14"/>
  <c r="I689" i="14"/>
  <c r="T750" i="14"/>
  <c r="Q689" i="14"/>
  <c r="G689" i="14"/>
  <c r="R810" i="14"/>
  <c r="T810" i="14"/>
  <c r="BM810" i="14"/>
  <c r="J810" i="14"/>
  <c r="E810" i="14"/>
  <c r="BB810" i="14"/>
  <c r="W810" i="14"/>
  <c r="G810" i="14"/>
  <c r="BG810" i="14" s="1"/>
  <c r="BA810" i="14"/>
  <c r="E750" i="14"/>
  <c r="AZ750" i="14"/>
  <c r="W750" i="14"/>
  <c r="BM750" i="14"/>
  <c r="U750" i="14"/>
  <c r="BL750" i="14"/>
  <c r="BB750" i="14"/>
  <c r="Q750" i="14"/>
  <c r="I750" i="14"/>
  <c r="R750" i="14"/>
  <c r="G750" i="14"/>
  <c r="J750" i="14"/>
  <c r="I810" i="14"/>
  <c r="BL810" i="14"/>
  <c r="Q810" i="14"/>
  <c r="U810" i="14"/>
  <c r="E723" i="14"/>
  <c r="BL802" i="14"/>
  <c r="T802" i="14"/>
  <c r="AZ723" i="14"/>
  <c r="BM723" i="14"/>
  <c r="Q723" i="14"/>
  <c r="U723" i="14"/>
  <c r="I723" i="14"/>
  <c r="BL723" i="14"/>
  <c r="BB723" i="14"/>
  <c r="BA723" i="14"/>
  <c r="AY723" i="14"/>
  <c r="G723" i="14"/>
  <c r="BG723" i="14" s="1"/>
  <c r="T723" i="14"/>
  <c r="BB659" i="14"/>
  <c r="J659" i="14"/>
  <c r="E773" i="14"/>
  <c r="U659" i="14"/>
  <c r="W659" i="14"/>
  <c r="AY659" i="14"/>
  <c r="BM659" i="14"/>
  <c r="I659" i="14"/>
  <c r="G659" i="14"/>
  <c r="BG659" i="14" s="1"/>
  <c r="T659" i="14"/>
  <c r="BL659" i="14"/>
  <c r="J773" i="14"/>
  <c r="T773" i="14"/>
  <c r="AZ659" i="14"/>
  <c r="E659" i="14"/>
  <c r="I704" i="14"/>
  <c r="Q622" i="14"/>
  <c r="Q704" i="14"/>
  <c r="BM696" i="14"/>
  <c r="BB696" i="14"/>
  <c r="I696" i="14"/>
  <c r="G696" i="14"/>
  <c r="BG696" i="14" s="1"/>
  <c r="T743" i="14"/>
  <c r="BM773" i="14"/>
  <c r="U773" i="14"/>
  <c r="I773" i="14"/>
  <c r="G773" i="14"/>
  <c r="BG773" i="14" s="1"/>
  <c r="W773" i="14"/>
  <c r="R659" i="14"/>
  <c r="BA773" i="14"/>
  <c r="Q773" i="14"/>
  <c r="AY773" i="14"/>
  <c r="BA659" i="14"/>
  <c r="BL773" i="14"/>
  <c r="AZ773" i="14"/>
  <c r="W802" i="14"/>
  <c r="BM802" i="14"/>
  <c r="U802" i="14"/>
  <c r="R802" i="14"/>
  <c r="BA802" i="14"/>
  <c r="G802" i="14"/>
  <c r="E802" i="14"/>
  <c r="I802" i="14"/>
  <c r="AZ802" i="14"/>
  <c r="Q802" i="14"/>
  <c r="J802" i="14"/>
  <c r="BB802" i="14"/>
  <c r="E743" i="14"/>
  <c r="T714" i="14"/>
  <c r="BH714" i="14" s="1"/>
  <c r="R773" i="14"/>
  <c r="J714" i="14"/>
  <c r="BM743" i="14"/>
  <c r="AY720" i="14"/>
  <c r="BL776" i="14"/>
  <c r="T720" i="14"/>
  <c r="R720" i="14"/>
  <c r="E720" i="14"/>
  <c r="BA720" i="14"/>
  <c r="W720" i="14"/>
  <c r="I720" i="14"/>
  <c r="J704" i="14"/>
  <c r="W704" i="14"/>
  <c r="AZ664" i="14"/>
  <c r="E804" i="14"/>
  <c r="BL804" i="14"/>
  <c r="BM795" i="14"/>
  <c r="Q720" i="14"/>
  <c r="Q743" i="14"/>
  <c r="J720" i="14"/>
  <c r="G720" i="14"/>
  <c r="BG720" i="14" s="1"/>
  <c r="BL720" i="14"/>
  <c r="BM714" i="14"/>
  <c r="U720" i="14"/>
  <c r="R714" i="14"/>
  <c r="BM720" i="14"/>
  <c r="BB720" i="14"/>
  <c r="Q714" i="14"/>
  <c r="U743" i="14"/>
  <c r="I714" i="14"/>
  <c r="R743" i="14"/>
  <c r="I664" i="14"/>
  <c r="Q664" i="14"/>
  <c r="BL714" i="14"/>
  <c r="G714" i="14"/>
  <c r="AF714" i="14" s="1"/>
  <c r="W743" i="14"/>
  <c r="AY743" i="14"/>
  <c r="J723" i="14"/>
  <c r="BL664" i="14"/>
  <c r="G664" i="14"/>
  <c r="BG664" i="14" s="1"/>
  <c r="AY704" i="14"/>
  <c r="AZ714" i="14"/>
  <c r="AY714" i="14"/>
  <c r="J743" i="14"/>
  <c r="G743" i="14"/>
  <c r="BG743" i="14" s="1"/>
  <c r="BM664" i="14"/>
  <c r="AY664" i="14"/>
  <c r="BB664" i="14"/>
  <c r="T664" i="14"/>
  <c r="E714" i="14"/>
  <c r="BL743" i="14"/>
  <c r="R622" i="14"/>
  <c r="W723" i="14"/>
  <c r="E664" i="14"/>
  <c r="J696" i="14"/>
  <c r="BB714" i="14"/>
  <c r="AZ743" i="14"/>
  <c r="I622" i="14"/>
  <c r="U664" i="14"/>
  <c r="R664" i="14"/>
  <c r="BL704" i="14"/>
  <c r="T696" i="14"/>
  <c r="U714" i="14"/>
  <c r="BB743" i="14"/>
  <c r="J664" i="14"/>
  <c r="W664" i="14"/>
  <c r="BA714" i="14"/>
  <c r="BA743" i="14"/>
  <c r="R704" i="14"/>
  <c r="R804" i="14"/>
  <c r="BA804" i="14"/>
  <c r="AZ804" i="14"/>
  <c r="BB804" i="14"/>
  <c r="BA767" i="14"/>
  <c r="BM767" i="14"/>
  <c r="G804" i="14"/>
  <c r="BG804" i="14" s="1"/>
  <c r="I767" i="14"/>
  <c r="T804" i="14"/>
  <c r="T767" i="14"/>
  <c r="I804" i="14"/>
  <c r="AY783" i="14"/>
  <c r="I629" i="14"/>
  <c r="I705" i="14"/>
  <c r="T705" i="14"/>
  <c r="AY629" i="14"/>
  <c r="T629" i="14"/>
  <c r="BB629" i="14"/>
  <c r="BL629" i="14"/>
  <c r="U629" i="14"/>
  <c r="J629" i="14"/>
  <c r="W629" i="14"/>
  <c r="R705" i="14"/>
  <c r="T783" i="14"/>
  <c r="W804" i="14"/>
  <c r="BA629" i="14"/>
  <c r="BM704" i="14"/>
  <c r="U696" i="14"/>
  <c r="W705" i="14"/>
  <c r="Q705" i="14"/>
  <c r="Q804" i="14"/>
  <c r="E629" i="14"/>
  <c r="G629" i="14"/>
  <c r="BG629" i="14" s="1"/>
  <c r="BA704" i="14"/>
  <c r="R696" i="14"/>
  <c r="AY705" i="14"/>
  <c r="BB622" i="14"/>
  <c r="BM804" i="14"/>
  <c r="AY804" i="14"/>
  <c r="AZ629" i="14"/>
  <c r="BB704" i="14"/>
  <c r="G704" i="14"/>
  <c r="AY696" i="14"/>
  <c r="G622" i="14"/>
  <c r="AF622" i="14" s="1"/>
  <c r="AZ704" i="14"/>
  <c r="BM629" i="14"/>
  <c r="U804" i="14"/>
  <c r="R629" i="14"/>
  <c r="U704" i="14"/>
  <c r="BA696" i="14"/>
  <c r="T704" i="14"/>
  <c r="I783" i="14"/>
  <c r="T760" i="14"/>
  <c r="W696" i="14"/>
  <c r="E705" i="14"/>
  <c r="R767" i="14"/>
  <c r="J705" i="14"/>
  <c r="G767" i="14"/>
  <c r="BG767" i="14" s="1"/>
  <c r="BL705" i="14"/>
  <c r="G705" i="14"/>
  <c r="BM705" i="14"/>
  <c r="BA705" i="14"/>
  <c r="BB705" i="14"/>
  <c r="U705" i="14"/>
  <c r="W651" i="14"/>
  <c r="BA651" i="14"/>
  <c r="I675" i="14"/>
  <c r="BL760" i="14"/>
  <c r="R760" i="14"/>
  <c r="BM760" i="14"/>
  <c r="W760" i="14"/>
  <c r="G760" i="14"/>
  <c r="I709" i="14"/>
  <c r="G709" i="14"/>
  <c r="BG709" i="14" s="1"/>
  <c r="I651" i="14"/>
  <c r="J651" i="14"/>
  <c r="G651" i="14"/>
  <c r="BG651" i="14" s="1"/>
  <c r="E651" i="14"/>
  <c r="AY651" i="14"/>
  <c r="BA709" i="14"/>
  <c r="BB651" i="14"/>
  <c r="T651" i="14"/>
  <c r="Q651" i="14"/>
  <c r="BL709" i="14"/>
  <c r="BL651" i="14"/>
  <c r="AY709" i="14"/>
  <c r="BM709" i="14"/>
  <c r="BM651" i="14"/>
  <c r="R709" i="14"/>
  <c r="AZ651" i="14"/>
  <c r="AZ709" i="14"/>
  <c r="U651" i="14"/>
  <c r="E709" i="14"/>
  <c r="G675" i="14"/>
  <c r="W675" i="14"/>
  <c r="BA675" i="14"/>
  <c r="U709" i="14"/>
  <c r="E760" i="14"/>
  <c r="AY760" i="14"/>
  <c r="W767" i="14"/>
  <c r="BL675" i="14"/>
  <c r="AZ675" i="14"/>
  <c r="AY675" i="14"/>
  <c r="Q709" i="14"/>
  <c r="AZ760" i="14"/>
  <c r="U767" i="14"/>
  <c r="AY767" i="14"/>
  <c r="E767" i="14"/>
  <c r="J675" i="14"/>
  <c r="BB760" i="14"/>
  <c r="BL767" i="14"/>
  <c r="BB675" i="14"/>
  <c r="BB709" i="14"/>
  <c r="T709" i="14"/>
  <c r="U760" i="14"/>
  <c r="BB767" i="14"/>
  <c r="E675" i="14"/>
  <c r="J760" i="14"/>
  <c r="BM675" i="14"/>
  <c r="W709" i="14"/>
  <c r="BA760" i="14"/>
  <c r="AZ767" i="14"/>
  <c r="T675" i="14"/>
  <c r="R675" i="14"/>
  <c r="U675" i="14"/>
  <c r="I760" i="14"/>
  <c r="J767" i="14"/>
  <c r="W814" i="14"/>
  <c r="AZ727" i="14"/>
  <c r="R783" i="14"/>
  <c r="BM783" i="14"/>
  <c r="U738" i="14"/>
  <c r="BA783" i="14"/>
  <c r="T738" i="14"/>
  <c r="J738" i="14"/>
  <c r="U730" i="14"/>
  <c r="E738" i="14"/>
  <c r="BL738" i="14"/>
  <c r="AY738" i="14"/>
  <c r="R745" i="14"/>
  <c r="BA776" i="14"/>
  <c r="AZ745" i="14"/>
  <c r="W776" i="14"/>
  <c r="E745" i="14"/>
  <c r="Q776" i="14"/>
  <c r="BA745" i="14"/>
  <c r="I776" i="14"/>
  <c r="I745" i="14"/>
  <c r="T677" i="14"/>
  <c r="AZ776" i="14"/>
  <c r="G776" i="14"/>
  <c r="BG776" i="14" s="1"/>
  <c r="Q745" i="14"/>
  <c r="J776" i="14"/>
  <c r="AY776" i="14"/>
  <c r="G745" i="14"/>
  <c r="AF745" i="14" s="1"/>
  <c r="U776" i="14"/>
  <c r="T776" i="14"/>
  <c r="BB745" i="14"/>
  <c r="AY745" i="14"/>
  <c r="R776" i="14"/>
  <c r="U745" i="14"/>
  <c r="T745" i="14"/>
  <c r="BH745" i="14" s="1"/>
  <c r="E776" i="14"/>
  <c r="BM745" i="14"/>
  <c r="BB776" i="14"/>
  <c r="BL745" i="14"/>
  <c r="J745" i="14"/>
  <c r="BL622" i="14"/>
  <c r="Q696" i="14"/>
  <c r="AY622" i="14"/>
  <c r="AZ696" i="14"/>
  <c r="J622" i="14"/>
  <c r="U622" i="14"/>
  <c r="BL696" i="14"/>
  <c r="E622" i="14"/>
  <c r="BB679" i="14"/>
  <c r="U654" i="14"/>
  <c r="BM738" i="14"/>
  <c r="W798" i="14"/>
  <c r="AZ622" i="14"/>
  <c r="T622" i="14"/>
  <c r="BH622" i="14" s="1"/>
  <c r="U787" i="14"/>
  <c r="U814" i="14"/>
  <c r="BM622" i="14"/>
  <c r="G753" i="14"/>
  <c r="BG753" i="14" s="1"/>
  <c r="BL814" i="14"/>
  <c r="BA622" i="14"/>
  <c r="U627" i="14"/>
  <c r="BL753" i="14"/>
  <c r="U783" i="14"/>
  <c r="G814" i="14"/>
  <c r="BL751" i="14"/>
  <c r="W727" i="14"/>
  <c r="BB786" i="14"/>
  <c r="AY786" i="14"/>
  <c r="BM786" i="14"/>
  <c r="AZ786" i="14"/>
  <c r="T786" i="14"/>
  <c r="BA786" i="14"/>
  <c r="W786" i="14"/>
  <c r="G786" i="14"/>
  <c r="BG786" i="14" s="1"/>
  <c r="U786" i="14"/>
  <c r="J786" i="14"/>
  <c r="Q786" i="14"/>
  <c r="E786" i="14"/>
  <c r="BL786" i="14"/>
  <c r="R786" i="14"/>
  <c r="G817" i="14"/>
  <c r="BG817" i="14" s="1"/>
  <c r="W783" i="14"/>
  <c r="I716" i="14"/>
  <c r="T817" i="14"/>
  <c r="R738" i="14"/>
  <c r="G738" i="14"/>
  <c r="BG738" i="14" s="1"/>
  <c r="Q707" i="14"/>
  <c r="BM814" i="14"/>
  <c r="BB783" i="14"/>
  <c r="G783" i="14"/>
  <c r="BG783" i="14" s="1"/>
  <c r="U635" i="14"/>
  <c r="BA738" i="14"/>
  <c r="BA814" i="14"/>
  <c r="BB817" i="14"/>
  <c r="BB738" i="14"/>
  <c r="AZ814" i="14"/>
  <c r="I814" i="14"/>
  <c r="J783" i="14"/>
  <c r="W754" i="14"/>
  <c r="AZ817" i="14"/>
  <c r="AZ738" i="14"/>
  <c r="E814" i="14"/>
  <c r="AY814" i="14"/>
  <c r="Q814" i="14"/>
  <c r="Q663" i="14"/>
  <c r="E783" i="14"/>
  <c r="BM817" i="14"/>
  <c r="W738" i="14"/>
  <c r="R814" i="14"/>
  <c r="T814" i="14"/>
  <c r="Q817" i="14"/>
  <c r="Q738" i="14"/>
  <c r="J814" i="14"/>
  <c r="AZ783" i="14"/>
  <c r="BL783" i="14"/>
  <c r="I817" i="14"/>
  <c r="AZ800" i="14"/>
  <c r="G800" i="14"/>
  <c r="BG800" i="14" s="1"/>
  <c r="U800" i="14"/>
  <c r="BA707" i="14"/>
  <c r="R640" i="14"/>
  <c r="E656" i="14"/>
  <c r="W656" i="14"/>
  <c r="W817" i="14"/>
  <c r="AY817" i="14"/>
  <c r="BL640" i="14"/>
  <c r="AY656" i="14"/>
  <c r="U817" i="14"/>
  <c r="Q620" i="14"/>
  <c r="R817" i="14"/>
  <c r="W698" i="14"/>
  <c r="T656" i="14"/>
  <c r="BM724" i="14"/>
  <c r="BA817" i="14"/>
  <c r="I698" i="14"/>
  <c r="J817" i="14"/>
  <c r="BM656" i="14"/>
  <c r="E817" i="14"/>
  <c r="J644" i="14"/>
  <c r="AZ699" i="14"/>
  <c r="U649" i="14"/>
  <c r="R649" i="14"/>
  <c r="AY631" i="14"/>
  <c r="U630" i="14"/>
  <c r="R687" i="14"/>
  <c r="AZ715" i="14"/>
  <c r="W630" i="14"/>
  <c r="BA687" i="14"/>
  <c r="BB699" i="14"/>
  <c r="Q630" i="14"/>
  <c r="W687" i="14"/>
  <c r="I630" i="14"/>
  <c r="U715" i="14"/>
  <c r="BL699" i="14"/>
  <c r="T679" i="14"/>
  <c r="U687" i="14"/>
  <c r="E649" i="14"/>
  <c r="I699" i="14"/>
  <c r="W654" i="14"/>
  <c r="AZ654" i="14"/>
  <c r="U688" i="14"/>
  <c r="I654" i="14"/>
  <c r="AY805" i="14"/>
  <c r="AZ769" i="14"/>
  <c r="E679" i="14"/>
  <c r="Q654" i="14"/>
  <c r="BA683" i="14"/>
  <c r="J679" i="14"/>
  <c r="Q683" i="14"/>
  <c r="R679" i="14"/>
  <c r="AZ649" i="14"/>
  <c r="BM679" i="14"/>
  <c r="I687" i="14"/>
  <c r="W649" i="14"/>
  <c r="W699" i="14"/>
  <c r="BB630" i="14"/>
  <c r="AY630" i="14"/>
  <c r="BA699" i="14"/>
  <c r="Q687" i="14"/>
  <c r="BA649" i="14"/>
  <c r="BM630" i="14"/>
  <c r="T630" i="14"/>
  <c r="Q699" i="14"/>
  <c r="BM687" i="14"/>
  <c r="G687" i="14"/>
  <c r="BG687" i="14" s="1"/>
  <c r="R756" i="14"/>
  <c r="Q649" i="14"/>
  <c r="R699" i="14"/>
  <c r="AY699" i="14"/>
  <c r="BB687" i="14"/>
  <c r="T687" i="14"/>
  <c r="BB756" i="14"/>
  <c r="I649" i="14"/>
  <c r="T683" i="14"/>
  <c r="G699" i="14"/>
  <c r="BG699" i="14" s="1"/>
  <c r="E687" i="14"/>
  <c r="AY687" i="14"/>
  <c r="J649" i="14"/>
  <c r="G649" i="14"/>
  <c r="BG649" i="14" s="1"/>
  <c r="BL630" i="14"/>
  <c r="BM699" i="14"/>
  <c r="AZ630" i="14"/>
  <c r="U699" i="14"/>
  <c r="T699" i="14"/>
  <c r="BL687" i="14"/>
  <c r="AZ728" i="14"/>
  <c r="BL649" i="14"/>
  <c r="AY649" i="14"/>
  <c r="BB661" i="14"/>
  <c r="BA630" i="14"/>
  <c r="J699" i="14"/>
  <c r="T693" i="14"/>
  <c r="AZ687" i="14"/>
  <c r="J728" i="14"/>
  <c r="BM649" i="14"/>
  <c r="T649" i="14"/>
  <c r="J670" i="14"/>
  <c r="W715" i="14"/>
  <c r="G630" i="14"/>
  <c r="R630" i="14"/>
  <c r="E630" i="14"/>
  <c r="T661" i="14"/>
  <c r="R805" i="14"/>
  <c r="BM755" i="14"/>
  <c r="I728" i="14"/>
  <c r="Q631" i="14"/>
  <c r="R670" i="14"/>
  <c r="R770" i="14"/>
  <c r="BL770" i="14"/>
  <c r="E770" i="14"/>
  <c r="BM715" i="14"/>
  <c r="AY683" i="14"/>
  <c r="AZ770" i="14"/>
  <c r="R728" i="14"/>
  <c r="BL756" i="14"/>
  <c r="G631" i="14"/>
  <c r="BG631" i="14" s="1"/>
  <c r="BL670" i="14"/>
  <c r="Q715" i="14"/>
  <c r="BB770" i="14"/>
  <c r="J688" i="14"/>
  <c r="G728" i="14"/>
  <c r="BG728" i="14" s="1"/>
  <c r="Q756" i="14"/>
  <c r="BA670" i="14"/>
  <c r="AY715" i="14"/>
  <c r="BA770" i="14"/>
  <c r="R688" i="14"/>
  <c r="BL807" i="14"/>
  <c r="AY728" i="14"/>
  <c r="AY756" i="14"/>
  <c r="W670" i="14"/>
  <c r="W770" i="14"/>
  <c r="BH770" i="14" s="1"/>
  <c r="Q688" i="14"/>
  <c r="BM807" i="14"/>
  <c r="R693" i="14"/>
  <c r="I670" i="14"/>
  <c r="BL697" i="14"/>
  <c r="G715" i="14"/>
  <c r="BG715" i="14" s="1"/>
  <c r="U780" i="14"/>
  <c r="I770" i="14"/>
  <c r="I688" i="14"/>
  <c r="J807" i="14"/>
  <c r="J693" i="14"/>
  <c r="AZ697" i="14"/>
  <c r="R780" i="14"/>
  <c r="Q770" i="14"/>
  <c r="AY688" i="14"/>
  <c r="J755" i="14"/>
  <c r="Q807" i="14"/>
  <c r="BB693" i="14"/>
  <c r="J697" i="14"/>
  <c r="AZ683" i="14"/>
  <c r="BM770" i="14"/>
  <c r="AY770" i="14"/>
  <c r="T688" i="14"/>
  <c r="BH688" i="14" s="1"/>
  <c r="BB755" i="14"/>
  <c r="I807" i="14"/>
  <c r="W693" i="14"/>
  <c r="BA631" i="14"/>
  <c r="Q697" i="14"/>
  <c r="AZ718" i="14"/>
  <c r="I718" i="14"/>
  <c r="W780" i="14"/>
  <c r="W683" i="14"/>
  <c r="U770" i="14"/>
  <c r="G770" i="14"/>
  <c r="BG770" i="14" s="1"/>
  <c r="W755" i="14"/>
  <c r="BH755" i="14" s="1"/>
  <c r="AY807" i="14"/>
  <c r="I693" i="14"/>
  <c r="AZ631" i="14"/>
  <c r="BB697" i="14"/>
  <c r="BB718" i="14"/>
  <c r="J780" i="14"/>
  <c r="T718" i="14"/>
  <c r="I780" i="14"/>
  <c r="R683" i="14"/>
  <c r="J770" i="14"/>
  <c r="BL755" i="14"/>
  <c r="T807" i="14"/>
  <c r="AY693" i="14"/>
  <c r="BM728" i="14"/>
  <c r="U631" i="14"/>
  <c r="T697" i="14"/>
  <c r="E756" i="14"/>
  <c r="BB631" i="14"/>
  <c r="T788" i="14"/>
  <c r="R803" i="14"/>
  <c r="AZ803" i="14"/>
  <c r="R788" i="14"/>
  <c r="AZ788" i="14"/>
  <c r="BM686" i="14"/>
  <c r="J737" i="14"/>
  <c r="W737" i="14"/>
  <c r="R737" i="14"/>
  <c r="I737" i="14"/>
  <c r="Q737" i="14"/>
  <c r="BM788" i="14"/>
  <c r="T710" i="14"/>
  <c r="W788" i="14"/>
  <c r="W803" i="14"/>
  <c r="BH803" i="14" s="1"/>
  <c r="BA800" i="14"/>
  <c r="AZ640" i="14"/>
  <c r="BB707" i="14"/>
  <c r="AY768" i="14"/>
  <c r="Q718" i="14"/>
  <c r="AY647" i="14"/>
  <c r="BA715" i="14"/>
  <c r="AZ780" i="14"/>
  <c r="U737" i="14"/>
  <c r="BB683" i="14"/>
  <c r="G683" i="14"/>
  <c r="BG683" i="14" s="1"/>
  <c r="BL656" i="14"/>
  <c r="G656" i="14"/>
  <c r="E688" i="14"/>
  <c r="BB803" i="14"/>
  <c r="U755" i="14"/>
  <c r="E807" i="14"/>
  <c r="BL710" i="14"/>
  <c r="BA693" i="14"/>
  <c r="AZ679" i="14"/>
  <c r="Q728" i="14"/>
  <c r="BM800" i="14"/>
  <c r="U756" i="14"/>
  <c r="T756" i="14"/>
  <c r="BL631" i="14"/>
  <c r="Q670" i="14"/>
  <c r="U640" i="14"/>
  <c r="AZ707" i="14"/>
  <c r="BM697" i="14"/>
  <c r="BM654" i="14"/>
  <c r="J788" i="14"/>
  <c r="BA656" i="14"/>
  <c r="BA803" i="14"/>
  <c r="I800" i="14"/>
  <c r="E640" i="14"/>
  <c r="J707" i="14"/>
  <c r="I715" i="14"/>
  <c r="BA780" i="14"/>
  <c r="E737" i="14"/>
  <c r="U683" i="14"/>
  <c r="BB656" i="14"/>
  <c r="AZ688" i="14"/>
  <c r="G688" i="14"/>
  <c r="BG688" i="14" s="1"/>
  <c r="U803" i="14"/>
  <c r="AZ755" i="14"/>
  <c r="W807" i="14"/>
  <c r="G807" i="14"/>
  <c r="BG807" i="14" s="1"/>
  <c r="E693" i="14"/>
  <c r="G693" i="14"/>
  <c r="BA679" i="14"/>
  <c r="U728" i="14"/>
  <c r="T728" i="14"/>
  <c r="Q800" i="14"/>
  <c r="BM756" i="14"/>
  <c r="I631" i="14"/>
  <c r="G670" i="14"/>
  <c r="BG670" i="14" s="1"/>
  <c r="J640" i="14"/>
  <c r="W707" i="14"/>
  <c r="U697" i="14"/>
  <c r="R654" i="14"/>
  <c r="BL788" i="14"/>
  <c r="R800" i="14"/>
  <c r="G737" i="14"/>
  <c r="J683" i="14"/>
  <c r="AY644" i="14"/>
  <c r="J656" i="14"/>
  <c r="BL688" i="14"/>
  <c r="Q803" i="14"/>
  <c r="I755" i="14"/>
  <c r="BB807" i="14"/>
  <c r="U693" i="14"/>
  <c r="W679" i="14"/>
  <c r="E728" i="14"/>
  <c r="W800" i="14"/>
  <c r="T800" i="14"/>
  <c r="AZ756" i="14"/>
  <c r="J631" i="14"/>
  <c r="T631" i="14"/>
  <c r="U670" i="14"/>
  <c r="AY670" i="14"/>
  <c r="I640" i="14"/>
  <c r="R707" i="14"/>
  <c r="G707" i="14"/>
  <c r="BG707" i="14" s="1"/>
  <c r="W697" i="14"/>
  <c r="E654" i="14"/>
  <c r="G654" i="14"/>
  <c r="BA788" i="14"/>
  <c r="BM644" i="14"/>
  <c r="J803" i="14"/>
  <c r="AY800" i="14"/>
  <c r="J715" i="14"/>
  <c r="T715" i="14"/>
  <c r="Q780" i="14"/>
  <c r="BL737" i="14"/>
  <c r="W718" i="14"/>
  <c r="E715" i="14"/>
  <c r="E780" i="14"/>
  <c r="AY780" i="14"/>
  <c r="BA737" i="14"/>
  <c r="AY737" i="14"/>
  <c r="E683" i="14"/>
  <c r="G644" i="14"/>
  <c r="BG644" i="14" s="1"/>
  <c r="AZ656" i="14"/>
  <c r="BA688" i="14"/>
  <c r="BL628" i="14"/>
  <c r="I803" i="14"/>
  <c r="Q755" i="14"/>
  <c r="AZ807" i="14"/>
  <c r="BL693" i="14"/>
  <c r="I679" i="14"/>
  <c r="BB728" i="14"/>
  <c r="J800" i="14"/>
  <c r="W756" i="14"/>
  <c r="AF756" i="14" s="1"/>
  <c r="W631" i="14"/>
  <c r="AZ670" i="14"/>
  <c r="T670" i="14"/>
  <c r="Q640" i="14"/>
  <c r="E707" i="14"/>
  <c r="AY707" i="14"/>
  <c r="BA697" i="14"/>
  <c r="J654" i="14"/>
  <c r="AY654" i="14"/>
  <c r="Q788" i="14"/>
  <c r="BL715" i="14"/>
  <c r="BB780" i="14"/>
  <c r="G780" i="14"/>
  <c r="BG780" i="14" s="1"/>
  <c r="BM737" i="14"/>
  <c r="T737" i="14"/>
  <c r="BL683" i="14"/>
  <c r="R656" i="14"/>
  <c r="BM688" i="14"/>
  <c r="E803" i="14"/>
  <c r="AY803" i="14"/>
  <c r="BA755" i="14"/>
  <c r="AY755" i="14"/>
  <c r="U807" i="14"/>
  <c r="BM693" i="14"/>
  <c r="Q679" i="14"/>
  <c r="BL728" i="14"/>
  <c r="E800" i="14"/>
  <c r="BA756" i="14"/>
  <c r="BM631" i="14"/>
  <c r="E670" i="14"/>
  <c r="BA640" i="14"/>
  <c r="G640" i="14"/>
  <c r="BL707" i="14"/>
  <c r="T707" i="14"/>
  <c r="I697" i="14"/>
  <c r="BB654" i="14"/>
  <c r="T654" i="14"/>
  <c r="I788" i="14"/>
  <c r="U656" i="14"/>
  <c r="BA757" i="14"/>
  <c r="BM683" i="14"/>
  <c r="I656" i="14"/>
  <c r="BB688" i="14"/>
  <c r="BL803" i="14"/>
  <c r="G803" i="14"/>
  <c r="R755" i="14"/>
  <c r="G755" i="14"/>
  <c r="BG755" i="14" s="1"/>
  <c r="R807" i="14"/>
  <c r="Q693" i="14"/>
  <c r="BL679" i="14"/>
  <c r="G679" i="14"/>
  <c r="BG679" i="14" s="1"/>
  <c r="W728" i="14"/>
  <c r="BB800" i="14"/>
  <c r="I756" i="14"/>
  <c r="R631" i="14"/>
  <c r="BM670" i="14"/>
  <c r="W640" i="14"/>
  <c r="BH640" i="14" s="1"/>
  <c r="AY640" i="14"/>
  <c r="U707" i="14"/>
  <c r="R697" i="14"/>
  <c r="G697" i="14"/>
  <c r="BA654" i="14"/>
  <c r="AY788" i="14"/>
  <c r="BM624" i="14"/>
  <c r="BM640" i="14"/>
  <c r="I707" i="14"/>
  <c r="U718" i="14"/>
  <c r="J718" i="14"/>
  <c r="E718" i="14"/>
  <c r="BB715" i="14"/>
  <c r="BL780" i="14"/>
  <c r="T780" i="14"/>
  <c r="BB737" i="14"/>
  <c r="BM718" i="14"/>
  <c r="W757" i="14"/>
  <c r="BM803" i="14"/>
  <c r="E755" i="14"/>
  <c r="U679" i="14"/>
  <c r="J756" i="14"/>
  <c r="BB640" i="14"/>
  <c r="E697" i="14"/>
  <c r="G788" i="14"/>
  <c r="I724" i="14"/>
  <c r="BA712" i="14"/>
  <c r="BA698" i="14"/>
  <c r="Q727" i="14"/>
  <c r="AZ653" i="14"/>
  <c r="Q660" i="14"/>
  <c r="U698" i="14"/>
  <c r="G698" i="14"/>
  <c r="BG698" i="14" s="1"/>
  <c r="BA727" i="14"/>
  <c r="AY660" i="14"/>
  <c r="BL731" i="14"/>
  <c r="E698" i="14"/>
  <c r="AY698" i="14"/>
  <c r="I727" i="14"/>
  <c r="BB749" i="14"/>
  <c r="R698" i="14"/>
  <c r="T698" i="14"/>
  <c r="BB727" i="14"/>
  <c r="AY727" i="14"/>
  <c r="BL698" i="14"/>
  <c r="U727" i="14"/>
  <c r="G727" i="14"/>
  <c r="BG727" i="14" s="1"/>
  <c r="J698" i="14"/>
  <c r="J727" i="14"/>
  <c r="T727" i="14"/>
  <c r="BB698" i="14"/>
  <c r="E727" i="14"/>
  <c r="BM698" i="14"/>
  <c r="R727" i="14"/>
  <c r="Q698" i="14"/>
  <c r="BL727" i="14"/>
  <c r="BA724" i="14"/>
  <c r="E813" i="14"/>
  <c r="Q816" i="14"/>
  <c r="E682" i="14"/>
  <c r="G682" i="14"/>
  <c r="BG682" i="14" s="1"/>
  <c r="I813" i="14"/>
  <c r="AZ784" i="14"/>
  <c r="AY682" i="14"/>
  <c r="G813" i="14"/>
  <c r="BG813" i="14" s="1"/>
  <c r="I784" i="14"/>
  <c r="BM673" i="14"/>
  <c r="E762" i="14"/>
  <c r="BL741" i="14"/>
  <c r="BB673" i="14"/>
  <c r="BM623" i="14"/>
  <c r="BM762" i="14"/>
  <c r="Q777" i="14"/>
  <c r="BM741" i="14"/>
  <c r="W781" i="14"/>
  <c r="J623" i="14"/>
  <c r="G762" i="14"/>
  <c r="BG762" i="14" s="1"/>
  <c r="I777" i="14"/>
  <c r="Q781" i="14"/>
  <c r="U744" i="14"/>
  <c r="T762" i="14"/>
  <c r="R744" i="14"/>
  <c r="R761" i="14"/>
  <c r="Q761" i="14"/>
  <c r="J809" i="14"/>
  <c r="U809" i="14"/>
  <c r="R682" i="14"/>
  <c r="I816" i="14"/>
  <c r="Q647" i="14"/>
  <c r="BA638" i="14"/>
  <c r="BB710" i="14"/>
  <c r="BB686" i="14"/>
  <c r="Q686" i="14"/>
  <c r="BA665" i="14"/>
  <c r="G686" i="14"/>
  <c r="BG686" i="14" s="1"/>
  <c r="G665" i="14"/>
  <c r="BG665" i="14" s="1"/>
  <c r="AY686" i="14"/>
  <c r="BM658" i="14"/>
  <c r="BB634" i="14"/>
  <c r="J797" i="14"/>
  <c r="E648" i="14"/>
  <c r="U648" i="14"/>
  <c r="BL797" i="14"/>
  <c r="BA648" i="14"/>
  <c r="BM797" i="14"/>
  <c r="E710" i="14"/>
  <c r="I638" i="14"/>
  <c r="BB708" i="14"/>
  <c r="BB732" i="14"/>
  <c r="T682" i="14"/>
  <c r="BL816" i="14"/>
  <c r="R762" i="14"/>
  <c r="BA777" i="14"/>
  <c r="AZ809" i="14"/>
  <c r="AZ634" i="14"/>
  <c r="BB671" i="14"/>
  <c r="BA813" i="14"/>
  <c r="AY813" i="14"/>
  <c r="Q741" i="14"/>
  <c r="AZ648" i="14"/>
  <c r="R784" i="14"/>
  <c r="G784" i="14"/>
  <c r="BG784" i="14" s="1"/>
  <c r="E673" i="14"/>
  <c r="BL781" i="14"/>
  <c r="G781" i="14"/>
  <c r="BA797" i="14"/>
  <c r="W623" i="14"/>
  <c r="U710" i="14"/>
  <c r="BL808" i="14"/>
  <c r="BA761" i="14"/>
  <c r="BA744" i="14"/>
  <c r="BM682" i="14"/>
  <c r="W722" i="14"/>
  <c r="BM816" i="14"/>
  <c r="AY816" i="14"/>
  <c r="AZ686" i="14"/>
  <c r="T686" i="14"/>
  <c r="J762" i="14"/>
  <c r="T658" i="14"/>
  <c r="U777" i="14"/>
  <c r="AY777" i="14"/>
  <c r="AY638" i="14"/>
  <c r="I781" i="14"/>
  <c r="W732" i="14"/>
  <c r="BB648" i="14"/>
  <c r="J784" i="14"/>
  <c r="AY784" i="14"/>
  <c r="R673" i="14"/>
  <c r="U781" i="14"/>
  <c r="AY781" i="14"/>
  <c r="I797" i="14"/>
  <c r="BA623" i="14"/>
  <c r="R710" i="14"/>
  <c r="BB808" i="14"/>
  <c r="I761" i="14"/>
  <c r="I744" i="14"/>
  <c r="BB682" i="14"/>
  <c r="J816" i="14"/>
  <c r="T816" i="14"/>
  <c r="BH816" i="14" s="1"/>
  <c r="BL686" i="14"/>
  <c r="BL762" i="14"/>
  <c r="BB777" i="14"/>
  <c r="T777" i="14"/>
  <c r="BH777" i="14" s="1"/>
  <c r="Q784" i="14"/>
  <c r="BL682" i="14"/>
  <c r="G816" i="14"/>
  <c r="BG816" i="14" s="1"/>
  <c r="BA809" i="14"/>
  <c r="BM634" i="14"/>
  <c r="Q671" i="14"/>
  <c r="AZ813" i="14"/>
  <c r="W741" i="14"/>
  <c r="G741" i="14"/>
  <c r="BG741" i="14" s="1"/>
  <c r="W809" i="14"/>
  <c r="U634" i="14"/>
  <c r="G671" i="14"/>
  <c r="BG671" i="14" s="1"/>
  <c r="R813" i="14"/>
  <c r="BB741" i="14"/>
  <c r="AY741" i="14"/>
  <c r="W648" i="14"/>
  <c r="BA784" i="14"/>
  <c r="T784" i="14"/>
  <c r="BH784" i="14" s="1"/>
  <c r="BL673" i="14"/>
  <c r="AZ781" i="14"/>
  <c r="T781" i="14"/>
  <c r="Q797" i="14"/>
  <c r="Q623" i="14"/>
  <c r="J710" i="14"/>
  <c r="E761" i="14"/>
  <c r="G761" i="14"/>
  <c r="BG761" i="14" s="1"/>
  <c r="Q744" i="14"/>
  <c r="U682" i="14"/>
  <c r="E816" i="14"/>
  <c r="U686" i="14"/>
  <c r="W762" i="14"/>
  <c r="BM777" i="14"/>
  <c r="I691" i="14"/>
  <c r="I741" i="14"/>
  <c r="BL813" i="14"/>
  <c r="R741" i="14"/>
  <c r="T741" i="14"/>
  <c r="Q648" i="14"/>
  <c r="E784" i="14"/>
  <c r="BL701" i="14"/>
  <c r="R725" i="14"/>
  <c r="U673" i="14"/>
  <c r="R781" i="14"/>
  <c r="E797" i="14"/>
  <c r="G797" i="14"/>
  <c r="AF797" i="14" s="1"/>
  <c r="BB791" i="14"/>
  <c r="I623" i="14"/>
  <c r="Q710" i="14"/>
  <c r="J761" i="14"/>
  <c r="AY761" i="14"/>
  <c r="E744" i="14"/>
  <c r="G744" i="14"/>
  <c r="BG744" i="14" s="1"/>
  <c r="AZ682" i="14"/>
  <c r="BL636" i="14"/>
  <c r="BB816" i="14"/>
  <c r="J686" i="14"/>
  <c r="BB762" i="14"/>
  <c r="J777" i="14"/>
  <c r="AZ673" i="14"/>
  <c r="W761" i="14"/>
  <c r="J744" i="14"/>
  <c r="Q809" i="14"/>
  <c r="BL784" i="14"/>
  <c r="E725" i="14"/>
  <c r="I673" i="14"/>
  <c r="E781" i="14"/>
  <c r="AZ797" i="14"/>
  <c r="AY797" i="14"/>
  <c r="BB623" i="14"/>
  <c r="AY623" i="14"/>
  <c r="W710" i="14"/>
  <c r="BL761" i="14"/>
  <c r="T761" i="14"/>
  <c r="BB744" i="14"/>
  <c r="AY744" i="14"/>
  <c r="J682" i="14"/>
  <c r="BM636" i="14"/>
  <c r="U816" i="14"/>
  <c r="R686" i="14"/>
  <c r="AZ762" i="14"/>
  <c r="E777" i="14"/>
  <c r="G777" i="14"/>
  <c r="AF777" i="14" s="1"/>
  <c r="I809" i="14"/>
  <c r="J634" i="14"/>
  <c r="E634" i="14"/>
  <c r="BB813" i="14"/>
  <c r="E741" i="14"/>
  <c r="R647" i="14"/>
  <c r="I648" i="14"/>
  <c r="R809" i="14"/>
  <c r="AY809" i="14"/>
  <c r="I634" i="14"/>
  <c r="W813" i="14"/>
  <c r="J741" i="14"/>
  <c r="BL647" i="14"/>
  <c r="BL648" i="14"/>
  <c r="AY648" i="14"/>
  <c r="BM784" i="14"/>
  <c r="T725" i="14"/>
  <c r="Q673" i="14"/>
  <c r="BM781" i="14"/>
  <c r="U797" i="14"/>
  <c r="T797" i="14"/>
  <c r="BH797" i="14" s="1"/>
  <c r="U623" i="14"/>
  <c r="G623" i="14"/>
  <c r="BG623" i="14" s="1"/>
  <c r="BA710" i="14"/>
  <c r="AZ761" i="14"/>
  <c r="J793" i="14"/>
  <c r="W744" i="14"/>
  <c r="T744" i="14"/>
  <c r="W682" i="14"/>
  <c r="AZ816" i="14"/>
  <c r="E657" i="14"/>
  <c r="E686" i="14"/>
  <c r="BA762" i="14"/>
  <c r="BL777" i="14"/>
  <c r="E809" i="14"/>
  <c r="U813" i="14"/>
  <c r="BA741" i="14"/>
  <c r="BM647" i="14"/>
  <c r="BM648" i="14"/>
  <c r="G648" i="14"/>
  <c r="BG648" i="14" s="1"/>
  <c r="BB784" i="14"/>
  <c r="J673" i="14"/>
  <c r="G673" i="14"/>
  <c r="BG673" i="14" s="1"/>
  <c r="BB781" i="14"/>
  <c r="BB797" i="14"/>
  <c r="R623" i="14"/>
  <c r="T623" i="14"/>
  <c r="I710" i="14"/>
  <c r="BB761" i="14"/>
  <c r="T793" i="14"/>
  <c r="BL744" i="14"/>
  <c r="BA682" i="14"/>
  <c r="R816" i="14"/>
  <c r="T657" i="14"/>
  <c r="W686" i="14"/>
  <c r="I762" i="14"/>
  <c r="AZ777" i="14"/>
  <c r="BM813" i="14"/>
  <c r="BA647" i="14"/>
  <c r="W673" i="14"/>
  <c r="BH673" i="14" s="1"/>
  <c r="AY673" i="14"/>
  <c r="J781" i="14"/>
  <c r="R797" i="14"/>
  <c r="AZ623" i="14"/>
  <c r="BM710" i="14"/>
  <c r="AY710" i="14"/>
  <c r="U761" i="14"/>
  <c r="BM744" i="14"/>
  <c r="Q682" i="14"/>
  <c r="BA816" i="14"/>
  <c r="BA686" i="14"/>
  <c r="Q762" i="14"/>
  <c r="R777" i="14"/>
  <c r="T813" i="14"/>
  <c r="E623" i="14"/>
  <c r="BB809" i="14"/>
  <c r="G809" i="14"/>
  <c r="BG809" i="14" s="1"/>
  <c r="G634" i="14"/>
  <c r="AF634" i="14" s="1"/>
  <c r="BL809" i="14"/>
  <c r="T809" i="14"/>
  <c r="AY634" i="14"/>
  <c r="J813" i="14"/>
  <c r="AZ741" i="14"/>
  <c r="R648" i="14"/>
  <c r="T648" i="14"/>
  <c r="U784" i="14"/>
  <c r="T634" i="14"/>
  <c r="BH634" i="14" s="1"/>
  <c r="I647" i="14"/>
  <c r="BA673" i="14"/>
  <c r="AZ710" i="14"/>
  <c r="U762" i="14"/>
  <c r="AZ768" i="14"/>
  <c r="BM677" i="14"/>
  <c r="E646" i="14"/>
  <c r="U676" i="14"/>
  <c r="J789" i="14"/>
  <c r="G636" i="14"/>
  <c r="BG636" i="14" s="1"/>
  <c r="BB789" i="14"/>
  <c r="T636" i="14"/>
  <c r="AY789" i="14"/>
  <c r="I650" i="14"/>
  <c r="T789" i="14"/>
  <c r="AZ740" i="14"/>
  <c r="T740" i="14"/>
  <c r="I667" i="14"/>
  <c r="R778" i="14"/>
  <c r="R742" i="14"/>
  <c r="E778" i="14"/>
  <c r="U672" i="14"/>
  <c r="T742" i="14"/>
  <c r="G778" i="14"/>
  <c r="BG778" i="14" s="1"/>
  <c r="AY778" i="14"/>
  <c r="I771" i="14"/>
  <c r="R641" i="14"/>
  <c r="G771" i="14"/>
  <c r="AF771" i="14" s="1"/>
  <c r="R691" i="14"/>
  <c r="BM672" i="14"/>
  <c r="T672" i="14"/>
  <c r="W671" i="14"/>
  <c r="BM740" i="14"/>
  <c r="G740" i="14"/>
  <c r="BG740" i="14" s="1"/>
  <c r="Q638" i="14"/>
  <c r="U646" i="14"/>
  <c r="BM725" i="14"/>
  <c r="AY725" i="14"/>
  <c r="U795" i="14"/>
  <c r="E708" i="14"/>
  <c r="BL677" i="14"/>
  <c r="AY677" i="14"/>
  <c r="BL791" i="14"/>
  <c r="U742" i="14"/>
  <c r="AY742" i="14"/>
  <c r="Q732" i="14"/>
  <c r="E808" i="14"/>
  <c r="BB676" i="14"/>
  <c r="R667" i="14"/>
  <c r="BM789" i="14"/>
  <c r="Q789" i="14"/>
  <c r="AZ641" i="14"/>
  <c r="W636" i="14"/>
  <c r="AY636" i="14"/>
  <c r="Q771" i="14"/>
  <c r="Q681" i="14"/>
  <c r="I778" i="14"/>
  <c r="AZ691" i="14"/>
  <c r="T691" i="14"/>
  <c r="W650" i="14"/>
  <c r="E795" i="14"/>
  <c r="W708" i="14"/>
  <c r="W791" i="14"/>
  <c r="E676" i="14"/>
  <c r="R672" i="14"/>
  <c r="R740" i="14"/>
  <c r="BM638" i="14"/>
  <c r="G638" i="14"/>
  <c r="AF638" i="14" s="1"/>
  <c r="BM646" i="14"/>
  <c r="BB725" i="14"/>
  <c r="R795" i="14"/>
  <c r="BL708" i="14"/>
  <c r="BB677" i="14"/>
  <c r="BA791" i="14"/>
  <c r="BM742" i="14"/>
  <c r="BA732" i="14"/>
  <c r="Q808" i="14"/>
  <c r="Q676" i="14"/>
  <c r="J667" i="14"/>
  <c r="G667" i="14"/>
  <c r="AF667" i="14" s="1"/>
  <c r="U789" i="14"/>
  <c r="BB641" i="14"/>
  <c r="AZ636" i="14"/>
  <c r="BL771" i="14"/>
  <c r="AY771" i="14"/>
  <c r="BL778" i="14"/>
  <c r="T778" i="14"/>
  <c r="E642" i="14"/>
  <c r="E691" i="14"/>
  <c r="BL650" i="14"/>
  <c r="AY650" i="14"/>
  <c r="AY671" i="14"/>
  <c r="AZ672" i="14"/>
  <c r="R671" i="14"/>
  <c r="T671" i="14"/>
  <c r="J740" i="14"/>
  <c r="U638" i="14"/>
  <c r="T638" i="14"/>
  <c r="BH638" i="14" s="1"/>
  <c r="AZ646" i="14"/>
  <c r="AZ725" i="14"/>
  <c r="BA795" i="14"/>
  <c r="BM708" i="14"/>
  <c r="U677" i="14"/>
  <c r="I791" i="14"/>
  <c r="BB742" i="14"/>
  <c r="I732" i="14"/>
  <c r="R808" i="14"/>
  <c r="BM676" i="14"/>
  <c r="BB667" i="14"/>
  <c r="AY667" i="14"/>
  <c r="E789" i="14"/>
  <c r="U641" i="14"/>
  <c r="BB636" i="14"/>
  <c r="BM771" i="14"/>
  <c r="T771" i="14"/>
  <c r="BH771" i="14" s="1"/>
  <c r="AZ778" i="14"/>
  <c r="Q642" i="14"/>
  <c r="J691" i="14"/>
  <c r="AZ650" i="14"/>
  <c r="G650" i="14"/>
  <c r="BG650" i="14" s="1"/>
  <c r="U671" i="14"/>
  <c r="J672" i="14"/>
  <c r="E671" i="14"/>
  <c r="E740" i="14"/>
  <c r="AZ638" i="14"/>
  <c r="BB646" i="14"/>
  <c r="BA725" i="14"/>
  <c r="BB795" i="14"/>
  <c r="AZ708" i="14"/>
  <c r="AZ677" i="14"/>
  <c r="AZ791" i="14"/>
  <c r="AY791" i="14"/>
  <c r="AZ742" i="14"/>
  <c r="AZ732" i="14"/>
  <c r="G732" i="14"/>
  <c r="BA808" i="14"/>
  <c r="W676" i="14"/>
  <c r="E667" i="14"/>
  <c r="T667" i="14"/>
  <c r="BH667" i="14" s="1"/>
  <c r="AZ789" i="14"/>
  <c r="Q641" i="14"/>
  <c r="U636" i="14"/>
  <c r="R771" i="14"/>
  <c r="U778" i="14"/>
  <c r="W642" i="14"/>
  <c r="BB691" i="14"/>
  <c r="BB650" i="14"/>
  <c r="T650" i="14"/>
  <c r="BB672" i="14"/>
  <c r="BL646" i="14"/>
  <c r="Q650" i="14"/>
  <c r="BB740" i="14"/>
  <c r="E638" i="14"/>
  <c r="Q646" i="14"/>
  <c r="U725" i="14"/>
  <c r="I795" i="14"/>
  <c r="I708" i="14"/>
  <c r="R677" i="14"/>
  <c r="R791" i="14"/>
  <c r="G791" i="14"/>
  <c r="BG791" i="14" s="1"/>
  <c r="BL742" i="14"/>
  <c r="BM732" i="14"/>
  <c r="AY732" i="14"/>
  <c r="W808" i="14"/>
  <c r="BA676" i="14"/>
  <c r="BL667" i="14"/>
  <c r="BL789" i="14"/>
  <c r="BA641" i="14"/>
  <c r="J636" i="14"/>
  <c r="U771" i="14"/>
  <c r="W778" i="14"/>
  <c r="I642" i="14"/>
  <c r="U691" i="14"/>
  <c r="U650" i="14"/>
  <c r="E641" i="14"/>
  <c r="W672" i="14"/>
  <c r="BM671" i="14"/>
  <c r="BL740" i="14"/>
  <c r="BL638" i="14"/>
  <c r="I646" i="14"/>
  <c r="W725" i="14"/>
  <c r="AF725" i="14" s="1"/>
  <c r="Q795" i="14"/>
  <c r="Q708" i="14"/>
  <c r="W677" i="14"/>
  <c r="E791" i="14"/>
  <c r="T791" i="14"/>
  <c r="BA742" i="14"/>
  <c r="U732" i="14"/>
  <c r="T732" i="14"/>
  <c r="I808" i="14"/>
  <c r="I676" i="14"/>
  <c r="U667" i="14"/>
  <c r="R789" i="14"/>
  <c r="W641" i="14"/>
  <c r="BH641" i="14" s="1"/>
  <c r="R636" i="14"/>
  <c r="BB771" i="14"/>
  <c r="BA778" i="14"/>
  <c r="BA691" i="14"/>
  <c r="E650" i="14"/>
  <c r="J677" i="14"/>
  <c r="E742" i="14"/>
  <c r="Q667" i="14"/>
  <c r="BA771" i="14"/>
  <c r="W740" i="14"/>
  <c r="BB638" i="14"/>
  <c r="W646" i="14"/>
  <c r="G646" i="14"/>
  <c r="BG646" i="14" s="1"/>
  <c r="BL725" i="14"/>
  <c r="J795" i="14"/>
  <c r="AY795" i="14"/>
  <c r="BA708" i="14"/>
  <c r="G708" i="14"/>
  <c r="BA677" i="14"/>
  <c r="U791" i="14"/>
  <c r="W742" i="14"/>
  <c r="AF742" i="14" s="1"/>
  <c r="R732" i="14"/>
  <c r="AZ808" i="14"/>
  <c r="AY808" i="14"/>
  <c r="AZ676" i="14"/>
  <c r="G676" i="14"/>
  <c r="BG676" i="14" s="1"/>
  <c r="BA667" i="14"/>
  <c r="I789" i="14"/>
  <c r="I641" i="14"/>
  <c r="E636" i="14"/>
  <c r="J771" i="14"/>
  <c r="J778" i="14"/>
  <c r="W691" i="14"/>
  <c r="BM650" i="14"/>
  <c r="BL671" i="14"/>
  <c r="AZ671" i="14"/>
  <c r="I672" i="14"/>
  <c r="J671" i="14"/>
  <c r="I740" i="14"/>
  <c r="R638" i="14"/>
  <c r="BA646" i="14"/>
  <c r="AY646" i="14"/>
  <c r="I725" i="14"/>
  <c r="W795" i="14"/>
  <c r="G795" i="14"/>
  <c r="BG795" i="14" s="1"/>
  <c r="R708" i="14"/>
  <c r="AY708" i="14"/>
  <c r="I677" i="14"/>
  <c r="Q791" i="14"/>
  <c r="I742" i="14"/>
  <c r="J732" i="14"/>
  <c r="J808" i="14"/>
  <c r="G808" i="14"/>
  <c r="BG808" i="14" s="1"/>
  <c r="BL676" i="14"/>
  <c r="AY676" i="14"/>
  <c r="BM667" i="14"/>
  <c r="G789" i="14"/>
  <c r="BG789" i="14" s="1"/>
  <c r="J641" i="14"/>
  <c r="G641" i="14"/>
  <c r="BG641" i="14" s="1"/>
  <c r="BA636" i="14"/>
  <c r="AZ771" i="14"/>
  <c r="BM681" i="14"/>
  <c r="BM778" i="14"/>
  <c r="Q691" i="14"/>
  <c r="R650" i="14"/>
  <c r="U740" i="14"/>
  <c r="BL672" i="14"/>
  <c r="AY672" i="14"/>
  <c r="I671" i="14"/>
  <c r="Q740" i="14"/>
  <c r="J638" i="14"/>
  <c r="J646" i="14"/>
  <c r="T646" i="14"/>
  <c r="Q725" i="14"/>
  <c r="AZ795" i="14"/>
  <c r="T795" i="14"/>
  <c r="U708" i="14"/>
  <c r="T708" i="14"/>
  <c r="Q677" i="14"/>
  <c r="J791" i="14"/>
  <c r="Q742" i="14"/>
  <c r="E732" i="14"/>
  <c r="BM808" i="14"/>
  <c r="T808" i="14"/>
  <c r="R676" i="14"/>
  <c r="T676" i="14"/>
  <c r="AZ667" i="14"/>
  <c r="W789" i="14"/>
  <c r="BL641" i="14"/>
  <c r="AY641" i="14"/>
  <c r="I636" i="14"/>
  <c r="E771" i="14"/>
  <c r="BB681" i="14"/>
  <c r="BB778" i="14"/>
  <c r="BL691" i="14"/>
  <c r="G691" i="14"/>
  <c r="BG691" i="14" s="1"/>
  <c r="J650" i="14"/>
  <c r="BA672" i="14"/>
  <c r="Q672" i="14"/>
  <c r="E672" i="14"/>
  <c r="BA740" i="14"/>
  <c r="J725" i="14"/>
  <c r="E677" i="14"/>
  <c r="J742" i="14"/>
  <c r="BM641" i="14"/>
  <c r="R681" i="14"/>
  <c r="BM691" i="14"/>
  <c r="R643" i="14"/>
  <c r="BA684" i="14"/>
  <c r="T643" i="14"/>
  <c r="AZ763" i="14"/>
  <c r="AY763" i="14"/>
  <c r="U726" i="14"/>
  <c r="E763" i="14"/>
  <c r="R621" i="14"/>
  <c r="BM706" i="14"/>
  <c r="E668" i="14"/>
  <c r="BA721" i="14"/>
  <c r="W668" i="14"/>
  <c r="BA645" i="14"/>
  <c r="G668" i="14"/>
  <c r="BG668" i="14" s="1"/>
  <c r="BL680" i="14"/>
  <c r="AZ748" i="14"/>
  <c r="AY680" i="14"/>
  <c r="Q765" i="14"/>
  <c r="BM652" i="14"/>
  <c r="AY692" i="14"/>
  <c r="T692" i="14"/>
  <c r="I652" i="14"/>
  <c r="E625" i="14"/>
  <c r="J637" i="14"/>
  <c r="AZ713" i="14"/>
  <c r="BL639" i="14"/>
  <c r="BL692" i="14"/>
  <c r="T639" i="14"/>
  <c r="AZ692" i="14"/>
  <c r="BM692" i="14"/>
  <c r="E692" i="14"/>
  <c r="U763" i="14"/>
  <c r="G763" i="14"/>
  <c r="BG763" i="14" s="1"/>
  <c r="BB668" i="14"/>
  <c r="R721" i="14"/>
  <c r="T721" i="14"/>
  <c r="W645" i="14"/>
  <c r="AZ621" i="14"/>
  <c r="BB748" i="14"/>
  <c r="T748" i="14"/>
  <c r="Q680" i="14"/>
  <c r="R726" i="14"/>
  <c r="T726" i="14"/>
  <c r="R765" i="14"/>
  <c r="AZ643" i="14"/>
  <c r="AY643" i="14"/>
  <c r="E706" i="14"/>
  <c r="G684" i="14"/>
  <c r="BG684" i="14" s="1"/>
  <c r="R763" i="14"/>
  <c r="E721" i="14"/>
  <c r="Q645" i="14"/>
  <c r="Q621" i="14"/>
  <c r="U748" i="14"/>
  <c r="AZ680" i="14"/>
  <c r="G680" i="14"/>
  <c r="BG680" i="14" s="1"/>
  <c r="AZ726" i="14"/>
  <c r="E765" i="14"/>
  <c r="E643" i="14"/>
  <c r="U706" i="14"/>
  <c r="BB684" i="14"/>
  <c r="W684" i="14"/>
  <c r="T763" i="14"/>
  <c r="I668" i="14"/>
  <c r="BL763" i="14"/>
  <c r="Q668" i="14"/>
  <c r="BB721" i="14"/>
  <c r="I645" i="14"/>
  <c r="I621" i="14"/>
  <c r="J748" i="14"/>
  <c r="W680" i="14"/>
  <c r="T680" i="14"/>
  <c r="BL726" i="14"/>
  <c r="W765" i="14"/>
  <c r="U643" i="14"/>
  <c r="Q706" i="14"/>
  <c r="BL681" i="14"/>
  <c r="BM684" i="14"/>
  <c r="AY684" i="14"/>
  <c r="BA642" i="14"/>
  <c r="AY621" i="14"/>
  <c r="BB680" i="14"/>
  <c r="J726" i="14"/>
  <c r="BA765" i="14"/>
  <c r="BL643" i="14"/>
  <c r="I706" i="14"/>
  <c r="E684" i="14"/>
  <c r="T684" i="14"/>
  <c r="W721" i="14"/>
  <c r="AF721" i="14" s="1"/>
  <c r="BB645" i="14"/>
  <c r="J621" i="14"/>
  <c r="BL748" i="14"/>
  <c r="J763" i="14"/>
  <c r="AZ668" i="14"/>
  <c r="AY668" i="14"/>
  <c r="BM721" i="14"/>
  <c r="E645" i="14"/>
  <c r="AY645" i="14"/>
  <c r="BL621" i="14"/>
  <c r="G621" i="14"/>
  <c r="BG621" i="14" s="1"/>
  <c r="BM748" i="14"/>
  <c r="U680" i="14"/>
  <c r="BB726" i="14"/>
  <c r="I765" i="14"/>
  <c r="BB643" i="14"/>
  <c r="BB706" i="14"/>
  <c r="G706" i="14"/>
  <c r="BG706" i="14" s="1"/>
  <c r="W681" i="14"/>
  <c r="J684" i="14"/>
  <c r="BB642" i="14"/>
  <c r="AY642" i="14"/>
  <c r="T645" i="14"/>
  <c r="T621" i="14"/>
  <c r="R748" i="14"/>
  <c r="R680" i="14"/>
  <c r="Q726" i="14"/>
  <c r="BB765" i="14"/>
  <c r="G765" i="14"/>
  <c r="BG765" i="14" s="1"/>
  <c r="BM643" i="14"/>
  <c r="J706" i="14"/>
  <c r="AY706" i="14"/>
  <c r="BA681" i="14"/>
  <c r="BL684" i="14"/>
  <c r="AZ642" i="14"/>
  <c r="T642" i="14"/>
  <c r="BM763" i="14"/>
  <c r="J645" i="14"/>
  <c r="BB763" i="14"/>
  <c r="BA668" i="14"/>
  <c r="J721" i="14"/>
  <c r="BL645" i="14"/>
  <c r="BM621" i="14"/>
  <c r="E748" i="14"/>
  <c r="E680" i="14"/>
  <c r="BA726" i="14"/>
  <c r="BM765" i="14"/>
  <c r="AY765" i="14"/>
  <c r="Q643" i="14"/>
  <c r="BA706" i="14"/>
  <c r="T706" i="14"/>
  <c r="I681" i="14"/>
  <c r="AZ684" i="14"/>
  <c r="U642" i="14"/>
  <c r="G642" i="14"/>
  <c r="BG642" i="14" s="1"/>
  <c r="T668" i="14"/>
  <c r="BA763" i="14"/>
  <c r="U668" i="14"/>
  <c r="I721" i="14"/>
  <c r="AZ645" i="14"/>
  <c r="BB621" i="14"/>
  <c r="I748" i="14"/>
  <c r="BM680" i="14"/>
  <c r="W726" i="14"/>
  <c r="J765" i="14"/>
  <c r="T765" i="14"/>
  <c r="W643" i="14"/>
  <c r="BL706" i="14"/>
  <c r="E681" i="14"/>
  <c r="G681" i="14"/>
  <c r="BG681" i="14" s="1"/>
  <c r="R684" i="14"/>
  <c r="BL642" i="14"/>
  <c r="G645" i="14"/>
  <c r="BG645" i="14" s="1"/>
  <c r="J668" i="14"/>
  <c r="Q721" i="14"/>
  <c r="U645" i="14"/>
  <c r="BA621" i="14"/>
  <c r="Q748" i="14"/>
  <c r="J680" i="14"/>
  <c r="I726" i="14"/>
  <c r="BL765" i="14"/>
  <c r="BA643" i="14"/>
  <c r="AZ706" i="14"/>
  <c r="J681" i="14"/>
  <c r="AY681" i="14"/>
  <c r="U684" i="14"/>
  <c r="BM642" i="14"/>
  <c r="R668" i="14"/>
  <c r="U721" i="14"/>
  <c r="W621" i="14"/>
  <c r="W763" i="14"/>
  <c r="Q763" i="14"/>
  <c r="BM668" i="14"/>
  <c r="BL721" i="14"/>
  <c r="AY721" i="14"/>
  <c r="BM645" i="14"/>
  <c r="U621" i="14"/>
  <c r="W748" i="14"/>
  <c r="AF748" i="14" s="1"/>
  <c r="AY748" i="14"/>
  <c r="BA680" i="14"/>
  <c r="E726" i="14"/>
  <c r="G726" i="14"/>
  <c r="BG726" i="14" s="1"/>
  <c r="AZ765" i="14"/>
  <c r="I643" i="14"/>
  <c r="W706" i="14"/>
  <c r="AZ681" i="14"/>
  <c r="T681" i="14"/>
  <c r="Q684" i="14"/>
  <c r="R642" i="14"/>
  <c r="AZ721" i="14"/>
  <c r="BA748" i="14"/>
  <c r="BM726" i="14"/>
  <c r="J643" i="14"/>
  <c r="R619" i="14"/>
  <c r="BA660" i="14"/>
  <c r="T801" i="14"/>
  <c r="T711" i="14"/>
  <c r="J639" i="14"/>
  <c r="E690" i="14"/>
  <c r="Q724" i="14"/>
  <c r="U692" i="14"/>
  <c r="AZ731" i="14"/>
  <c r="Q652" i="14"/>
  <c r="BL713" i="14"/>
  <c r="W712" i="14"/>
  <c r="BH712" i="14" s="1"/>
  <c r="BB733" i="14"/>
  <c r="BB653" i="14"/>
  <c r="BL749" i="14"/>
  <c r="BB692" i="14"/>
  <c r="U731" i="14"/>
  <c r="U625" i="14"/>
  <c r="I713" i="14"/>
  <c r="BL655" i="14"/>
  <c r="W790" i="14"/>
  <c r="BL637" i="14"/>
  <c r="BM749" i="14"/>
  <c r="J692" i="14"/>
  <c r="G731" i="14"/>
  <c r="BG731" i="14" s="1"/>
  <c r="R806" i="14"/>
  <c r="W764" i="14"/>
  <c r="R625" i="14"/>
  <c r="E655" i="14"/>
  <c r="I790" i="14"/>
  <c r="BA666" i="14"/>
  <c r="AZ806" i="14"/>
  <c r="Q764" i="14"/>
  <c r="T625" i="14"/>
  <c r="BA655" i="14"/>
  <c r="U811" i="14"/>
  <c r="U733" i="14"/>
  <c r="W733" i="14"/>
  <c r="E779" i="14"/>
  <c r="BA692" i="14"/>
  <c r="U666" i="14"/>
  <c r="Q806" i="14"/>
  <c r="G764" i="14"/>
  <c r="BG764" i="14" s="1"/>
  <c r="U801" i="14"/>
  <c r="U735" i="14"/>
  <c r="AY655" i="14"/>
  <c r="U653" i="14"/>
  <c r="E733" i="14"/>
  <c r="BA653" i="14"/>
  <c r="R692" i="14"/>
  <c r="T733" i="14"/>
  <c r="BM779" i="14"/>
  <c r="I692" i="14"/>
  <c r="AY666" i="14"/>
  <c r="G806" i="14"/>
  <c r="R801" i="14"/>
  <c r="J711" i="14"/>
  <c r="T655" i="14"/>
  <c r="BB799" i="14"/>
  <c r="W779" i="14"/>
  <c r="Q692" i="14"/>
  <c r="G666" i="14"/>
  <c r="BG666" i="14" s="1"/>
  <c r="U685" i="14"/>
  <c r="J801" i="14"/>
  <c r="BM711" i="14"/>
  <c r="Q785" i="14"/>
  <c r="G734" i="14"/>
  <c r="BG734" i="14" s="1"/>
  <c r="W692" i="14"/>
  <c r="BB660" i="14"/>
  <c r="AY801" i="14"/>
  <c r="AY711" i="14"/>
  <c r="BB639" i="14"/>
  <c r="BA758" i="14"/>
  <c r="J734" i="14"/>
  <c r="J749" i="14"/>
  <c r="BB731" i="14"/>
  <c r="I666" i="14"/>
  <c r="U764" i="14"/>
  <c r="BM685" i="14"/>
  <c r="I734" i="14"/>
  <c r="BB724" i="14"/>
  <c r="R653" i="14"/>
  <c r="E749" i="14"/>
  <c r="I660" i="14"/>
  <c r="J799" i="14"/>
  <c r="E731" i="14"/>
  <c r="T731" i="14"/>
  <c r="Q666" i="14"/>
  <c r="I764" i="14"/>
  <c r="BB685" i="14"/>
  <c r="AZ735" i="14"/>
  <c r="AZ711" i="14"/>
  <c r="G711" i="14"/>
  <c r="BG711" i="14" s="1"/>
  <c r="AZ785" i="14"/>
  <c r="J712" i="14"/>
  <c r="BB811" i="14"/>
  <c r="J690" i="14"/>
  <c r="J758" i="14"/>
  <c r="G619" i="14"/>
  <c r="BG619" i="14" s="1"/>
  <c r="Q749" i="14"/>
  <c r="E660" i="14"/>
  <c r="G660" i="14"/>
  <c r="BG660" i="14" s="1"/>
  <c r="R799" i="14"/>
  <c r="R731" i="14"/>
  <c r="J666" i="14"/>
  <c r="T666" i="14"/>
  <c r="BH666" i="14" s="1"/>
  <c r="BA764" i="14"/>
  <c r="AY764" i="14"/>
  <c r="W685" i="14"/>
  <c r="E735" i="14"/>
  <c r="U711" i="14"/>
  <c r="I712" i="14"/>
  <c r="BM811" i="14"/>
  <c r="BA752" i="14"/>
  <c r="I758" i="14"/>
  <c r="I785" i="14"/>
  <c r="W758" i="14"/>
  <c r="AZ724" i="14"/>
  <c r="R724" i="14"/>
  <c r="I653" i="14"/>
  <c r="W749" i="14"/>
  <c r="BH749" i="14" s="1"/>
  <c r="AZ660" i="14"/>
  <c r="T660" i="14"/>
  <c r="BH660" i="14" s="1"/>
  <c r="BL662" i="14"/>
  <c r="E799" i="14"/>
  <c r="J731" i="14"/>
  <c r="R666" i="14"/>
  <c r="AZ764" i="14"/>
  <c r="T764" i="14"/>
  <c r="BA685" i="14"/>
  <c r="I735" i="14"/>
  <c r="BL711" i="14"/>
  <c r="G712" i="14"/>
  <c r="BG712" i="14" s="1"/>
  <c r="E811" i="14"/>
  <c r="E815" i="14"/>
  <c r="BL752" i="14"/>
  <c r="Q758" i="14"/>
  <c r="Q685" i="14"/>
  <c r="G724" i="14"/>
  <c r="BG724" i="14" s="1"/>
  <c r="W653" i="14"/>
  <c r="AY724" i="14"/>
  <c r="J724" i="14"/>
  <c r="T724" i="14"/>
  <c r="Q653" i="14"/>
  <c r="BA749" i="14"/>
  <c r="J660" i="14"/>
  <c r="BM662" i="14"/>
  <c r="I799" i="14"/>
  <c r="BM731" i="14"/>
  <c r="E666" i="14"/>
  <c r="BB764" i="14"/>
  <c r="I685" i="14"/>
  <c r="Q735" i="14"/>
  <c r="BA711" i="14"/>
  <c r="BA811" i="14"/>
  <c r="J815" i="14"/>
  <c r="R790" i="14"/>
  <c r="BM752" i="14"/>
  <c r="BB758" i="14"/>
  <c r="AY758" i="14"/>
  <c r="E724" i="14"/>
  <c r="BL660" i="14"/>
  <c r="U662" i="14"/>
  <c r="BA731" i="14"/>
  <c r="BL666" i="14"/>
  <c r="G685" i="14"/>
  <c r="BL735" i="14"/>
  <c r="G735" i="14"/>
  <c r="BG735" i="14" s="1"/>
  <c r="BB711" i="14"/>
  <c r="U712" i="14"/>
  <c r="Q811" i="14"/>
  <c r="W815" i="14"/>
  <c r="AZ752" i="14"/>
  <c r="BL758" i="14"/>
  <c r="G758" i="14"/>
  <c r="BG758" i="14" s="1"/>
  <c r="AZ619" i="14"/>
  <c r="AZ799" i="14"/>
  <c r="R811" i="14"/>
  <c r="BL690" i="14"/>
  <c r="BL685" i="14"/>
  <c r="BL724" i="14"/>
  <c r="BL653" i="14"/>
  <c r="AY653" i="14"/>
  <c r="AZ749" i="14"/>
  <c r="G749" i="14"/>
  <c r="BG749" i="14" s="1"/>
  <c r="U660" i="14"/>
  <c r="BA799" i="14"/>
  <c r="AY799" i="14"/>
  <c r="W731" i="14"/>
  <c r="BM666" i="14"/>
  <c r="BB729" i="14"/>
  <c r="BM764" i="14"/>
  <c r="R685" i="14"/>
  <c r="AY685" i="14"/>
  <c r="BB735" i="14"/>
  <c r="AY735" i="14"/>
  <c r="R711" i="14"/>
  <c r="BM712" i="14"/>
  <c r="I811" i="14"/>
  <c r="U759" i="14"/>
  <c r="AY752" i="14"/>
  <c r="E758" i="14"/>
  <c r="T758" i="14"/>
  <c r="AY734" i="14"/>
  <c r="BA735" i="14"/>
  <c r="E653" i="14"/>
  <c r="I749" i="14"/>
  <c r="Q799" i="14"/>
  <c r="BL764" i="14"/>
  <c r="W724" i="14"/>
  <c r="BM653" i="14"/>
  <c r="T653" i="14"/>
  <c r="U749" i="14"/>
  <c r="AY749" i="14"/>
  <c r="R660" i="14"/>
  <c r="BM799" i="14"/>
  <c r="G799" i="14"/>
  <c r="I731" i="14"/>
  <c r="BB666" i="14"/>
  <c r="R729" i="14"/>
  <c r="R764" i="14"/>
  <c r="AZ685" i="14"/>
  <c r="T685" i="14"/>
  <c r="BM735" i="14"/>
  <c r="T735" i="14"/>
  <c r="E711" i="14"/>
  <c r="BL712" i="14"/>
  <c r="J811" i="14"/>
  <c r="G811" i="14"/>
  <c r="BG811" i="14" s="1"/>
  <c r="AZ759" i="14"/>
  <c r="G752" i="14"/>
  <c r="BG752" i="14" s="1"/>
  <c r="R758" i="14"/>
  <c r="G653" i="14"/>
  <c r="BG653" i="14" s="1"/>
  <c r="R749" i="14"/>
  <c r="BM660" i="14"/>
  <c r="U799" i="14"/>
  <c r="T799" i="14"/>
  <c r="Q731" i="14"/>
  <c r="AZ666" i="14"/>
  <c r="Q729" i="14"/>
  <c r="J764" i="14"/>
  <c r="J685" i="14"/>
  <c r="J735" i="14"/>
  <c r="BA736" i="14"/>
  <c r="W711" i="14"/>
  <c r="BB712" i="14"/>
  <c r="W811" i="14"/>
  <c r="AY811" i="14"/>
  <c r="J759" i="14"/>
  <c r="T752" i="14"/>
  <c r="U758" i="14"/>
  <c r="AZ734" i="14"/>
  <c r="W799" i="14"/>
  <c r="W735" i="14"/>
  <c r="W736" i="14"/>
  <c r="Q711" i="14"/>
  <c r="R712" i="14"/>
  <c r="BL811" i="14"/>
  <c r="T811" i="14"/>
  <c r="R759" i="14"/>
  <c r="AZ758" i="14"/>
  <c r="G736" i="14"/>
  <c r="BG736" i="14" s="1"/>
  <c r="Q712" i="14"/>
  <c r="E759" i="14"/>
  <c r="AZ751" i="14"/>
  <c r="BA716" i="14"/>
  <c r="I627" i="14"/>
  <c r="U798" i="14"/>
  <c r="W694" i="14"/>
  <c r="J663" i="14"/>
  <c r="BA733" i="14"/>
  <c r="I663" i="14"/>
  <c r="J733" i="14"/>
  <c r="Q753" i="14"/>
  <c r="BL635" i="14"/>
  <c r="AZ779" i="14"/>
  <c r="T779" i="14"/>
  <c r="BB754" i="14"/>
  <c r="I751" i="14"/>
  <c r="I806" i="14"/>
  <c r="W716" i="14"/>
  <c r="BL787" i="14"/>
  <c r="BM801" i="14"/>
  <c r="G801" i="14"/>
  <c r="BG801" i="14" s="1"/>
  <c r="W652" i="14"/>
  <c r="AZ625" i="14"/>
  <c r="AZ627" i="14"/>
  <c r="W639" i="14"/>
  <c r="R713" i="14"/>
  <c r="J730" i="14"/>
  <c r="J655" i="14"/>
  <c r="G655" i="14"/>
  <c r="BG655" i="14" s="1"/>
  <c r="BA798" i="14"/>
  <c r="AZ790" i="14"/>
  <c r="T790" i="14"/>
  <c r="AZ694" i="14"/>
  <c r="E637" i="14"/>
  <c r="T637" i="14"/>
  <c r="R718" i="14"/>
  <c r="G718" i="14"/>
  <c r="BG718" i="14" s="1"/>
  <c r="BB663" i="14"/>
  <c r="G663" i="14"/>
  <c r="BG663" i="14" s="1"/>
  <c r="Q733" i="14"/>
  <c r="R753" i="14"/>
  <c r="T753" i="14"/>
  <c r="R635" i="14"/>
  <c r="U779" i="14"/>
  <c r="Q754" i="14"/>
  <c r="BA751" i="14"/>
  <c r="E806" i="14"/>
  <c r="AY806" i="14"/>
  <c r="BL716" i="14"/>
  <c r="G716" i="14"/>
  <c r="BG716" i="14" s="1"/>
  <c r="E787" i="14"/>
  <c r="BB801" i="14"/>
  <c r="U652" i="14"/>
  <c r="AY652" i="14"/>
  <c r="W625" i="14"/>
  <c r="J627" i="14"/>
  <c r="E639" i="14"/>
  <c r="U713" i="14"/>
  <c r="E730" i="14"/>
  <c r="BM655" i="14"/>
  <c r="Q798" i="14"/>
  <c r="E790" i="14"/>
  <c r="R694" i="14"/>
  <c r="BB637" i="14"/>
  <c r="AY753" i="14"/>
  <c r="Q635" i="14"/>
  <c r="R627" i="14"/>
  <c r="BA718" i="14"/>
  <c r="AY718" i="14"/>
  <c r="BM663" i="14"/>
  <c r="T663" i="14"/>
  <c r="I733" i="14"/>
  <c r="J753" i="14"/>
  <c r="W635" i="14"/>
  <c r="R779" i="14"/>
  <c r="BM754" i="14"/>
  <c r="G754" i="14"/>
  <c r="BG754" i="14" s="1"/>
  <c r="Q751" i="14"/>
  <c r="BL806" i="14"/>
  <c r="T806" i="14"/>
  <c r="R716" i="14"/>
  <c r="AY716" i="14"/>
  <c r="Q787" i="14"/>
  <c r="E801" i="14"/>
  <c r="R652" i="14"/>
  <c r="G652" i="14"/>
  <c r="BG652" i="14" s="1"/>
  <c r="Q625" i="14"/>
  <c r="W627" i="14"/>
  <c r="Q639" i="14"/>
  <c r="BB713" i="14"/>
  <c r="AZ730" i="14"/>
  <c r="U655" i="14"/>
  <c r="J798" i="14"/>
  <c r="G798" i="14"/>
  <c r="U790" i="14"/>
  <c r="E694" i="14"/>
  <c r="AZ637" i="14"/>
  <c r="W751" i="14"/>
  <c r="AZ663" i="14"/>
  <c r="BL733" i="14"/>
  <c r="G733" i="14"/>
  <c r="BG733" i="14" s="1"/>
  <c r="E753" i="14"/>
  <c r="BA635" i="14"/>
  <c r="J779" i="14"/>
  <c r="R754" i="14"/>
  <c r="AY754" i="14"/>
  <c r="J751" i="14"/>
  <c r="AY751" i="14"/>
  <c r="BM806" i="14"/>
  <c r="AZ716" i="14"/>
  <c r="T716" i="14"/>
  <c r="BM787" i="14"/>
  <c r="BL801" i="14"/>
  <c r="AZ652" i="14"/>
  <c r="T652" i="14"/>
  <c r="I625" i="14"/>
  <c r="E627" i="14"/>
  <c r="I639" i="14"/>
  <c r="W713" i="14"/>
  <c r="BH713" i="14" s="1"/>
  <c r="I730" i="14"/>
  <c r="W655" i="14"/>
  <c r="R798" i="14"/>
  <c r="AY798" i="14"/>
  <c r="BB790" i="14"/>
  <c r="I694" i="14"/>
  <c r="U637" i="14"/>
  <c r="BA754" i="14"/>
  <c r="Q716" i="14"/>
  <c r="BB787" i="14"/>
  <c r="I798" i="14"/>
  <c r="BB694" i="14"/>
  <c r="U663" i="14"/>
  <c r="BM733" i="14"/>
  <c r="AY733" i="14"/>
  <c r="BB753" i="14"/>
  <c r="I635" i="14"/>
  <c r="Q779" i="14"/>
  <c r="BL754" i="14"/>
  <c r="T754" i="14"/>
  <c r="BB751" i="14"/>
  <c r="G751" i="14"/>
  <c r="BG751" i="14" s="1"/>
  <c r="BB806" i="14"/>
  <c r="U716" i="14"/>
  <c r="W787" i="14"/>
  <c r="BH787" i="14" s="1"/>
  <c r="AZ801" i="14"/>
  <c r="E652" i="14"/>
  <c r="BA625" i="14"/>
  <c r="G625" i="14"/>
  <c r="BG625" i="14" s="1"/>
  <c r="BA627" i="14"/>
  <c r="BA639" i="14"/>
  <c r="G639" i="14"/>
  <c r="BG639" i="14" s="1"/>
  <c r="BA713" i="14"/>
  <c r="W730" i="14"/>
  <c r="BH730" i="14" s="1"/>
  <c r="R655" i="14"/>
  <c r="E798" i="14"/>
  <c r="T798" i="14"/>
  <c r="J790" i="14"/>
  <c r="Q694" i="14"/>
  <c r="Q637" i="14"/>
  <c r="AY663" i="14"/>
  <c r="BM730" i="14"/>
  <c r="BL663" i="14"/>
  <c r="AZ753" i="14"/>
  <c r="BM635" i="14"/>
  <c r="AY635" i="14"/>
  <c r="BA779" i="14"/>
  <c r="U754" i="14"/>
  <c r="BM751" i="14"/>
  <c r="T751" i="14"/>
  <c r="J806" i="14"/>
  <c r="J716" i="14"/>
  <c r="BA787" i="14"/>
  <c r="Q801" i="14"/>
  <c r="BB652" i="14"/>
  <c r="J625" i="14"/>
  <c r="AY625" i="14"/>
  <c r="Q627" i="14"/>
  <c r="BM639" i="14"/>
  <c r="AY639" i="14"/>
  <c r="Q713" i="14"/>
  <c r="BA730" i="14"/>
  <c r="BB655" i="14"/>
  <c r="BM798" i="14"/>
  <c r="BA790" i="14"/>
  <c r="U694" i="14"/>
  <c r="G694" i="14"/>
  <c r="W637" i="14"/>
  <c r="AF637" i="14" s="1"/>
  <c r="BA694" i="14"/>
  <c r="BA663" i="14"/>
  <c r="W663" i="14"/>
  <c r="U753" i="14"/>
  <c r="J635" i="14"/>
  <c r="I787" i="14"/>
  <c r="AY694" i="14"/>
  <c r="BA637" i="14"/>
  <c r="R663" i="14"/>
  <c r="AZ733" i="14"/>
  <c r="BA753" i="14"/>
  <c r="E635" i="14"/>
  <c r="T635" i="14"/>
  <c r="I779" i="14"/>
  <c r="AZ754" i="14"/>
  <c r="U751" i="14"/>
  <c r="U806" i="14"/>
  <c r="BM716" i="14"/>
  <c r="AZ787" i="14"/>
  <c r="AY787" i="14"/>
  <c r="BA801" i="14"/>
  <c r="J652" i="14"/>
  <c r="BL625" i="14"/>
  <c r="BB627" i="14"/>
  <c r="G627" i="14"/>
  <c r="BG627" i="14" s="1"/>
  <c r="U639" i="14"/>
  <c r="J713" i="14"/>
  <c r="AY713" i="14"/>
  <c r="BB730" i="14"/>
  <c r="G730" i="14"/>
  <c r="BG730" i="14" s="1"/>
  <c r="AZ655" i="14"/>
  <c r="BL798" i="14"/>
  <c r="Q790" i="14"/>
  <c r="BL694" i="14"/>
  <c r="T694" i="14"/>
  <c r="I637" i="14"/>
  <c r="BM753" i="14"/>
  <c r="Q730" i="14"/>
  <c r="W753" i="14"/>
  <c r="AZ635" i="14"/>
  <c r="BL779" i="14"/>
  <c r="G779" i="14"/>
  <c r="BG779" i="14" s="1"/>
  <c r="E754" i="14"/>
  <c r="R751" i="14"/>
  <c r="W806" i="14"/>
  <c r="BB716" i="14"/>
  <c r="R787" i="14"/>
  <c r="G787" i="14"/>
  <c r="W801" i="14"/>
  <c r="BL652" i="14"/>
  <c r="BM625" i="14"/>
  <c r="BL627" i="14"/>
  <c r="AY627" i="14"/>
  <c r="AZ639" i="14"/>
  <c r="E713" i="14"/>
  <c r="G713" i="14"/>
  <c r="BG713" i="14" s="1"/>
  <c r="R730" i="14"/>
  <c r="AY730" i="14"/>
  <c r="I655" i="14"/>
  <c r="BB798" i="14"/>
  <c r="BL790" i="14"/>
  <c r="G790" i="14"/>
  <c r="BM694" i="14"/>
  <c r="R637" i="14"/>
  <c r="AY637" i="14"/>
  <c r="G635" i="14"/>
  <c r="BG635" i="14" s="1"/>
  <c r="J754" i="14"/>
  <c r="BB779" i="14"/>
  <c r="J787" i="14"/>
  <c r="BM627" i="14"/>
  <c r="BM713" i="14"/>
  <c r="BL730" i="14"/>
  <c r="BM790" i="14"/>
  <c r="BM637" i="14"/>
  <c r="U661" i="14"/>
  <c r="J661" i="14"/>
  <c r="I757" i="14"/>
  <c r="W805" i="14"/>
  <c r="AF805" i="14" s="1"/>
  <c r="U644" i="14"/>
  <c r="T644" i="14"/>
  <c r="BM628" i="14"/>
  <c r="AY624" i="14"/>
  <c r="E661" i="14"/>
  <c r="Q757" i="14"/>
  <c r="BB805" i="14"/>
  <c r="AZ644" i="14"/>
  <c r="AZ626" i="14"/>
  <c r="AY628" i="14"/>
  <c r="T774" i="14"/>
  <c r="BL661" i="14"/>
  <c r="BB757" i="14"/>
  <c r="G757" i="14"/>
  <c r="BG757" i="14" s="1"/>
  <c r="BM805" i="14"/>
  <c r="E644" i="14"/>
  <c r="U626" i="14"/>
  <c r="G628" i="14"/>
  <c r="BG628" i="14" s="1"/>
  <c r="W739" i="14"/>
  <c r="W774" i="14"/>
  <c r="R774" i="14"/>
  <c r="BA661" i="14"/>
  <c r="J757" i="14"/>
  <c r="AY757" i="14"/>
  <c r="U805" i="14"/>
  <c r="BL644" i="14"/>
  <c r="G626" i="14"/>
  <c r="BG626" i="14" s="1"/>
  <c r="G739" i="14"/>
  <c r="BG739" i="14" s="1"/>
  <c r="T805" i="14"/>
  <c r="AZ661" i="14"/>
  <c r="R757" i="14"/>
  <c r="T757" i="14"/>
  <c r="BA805" i="14"/>
  <c r="BB644" i="14"/>
  <c r="AY626" i="14"/>
  <c r="W772" i="14"/>
  <c r="W695" i="14"/>
  <c r="R661" i="14"/>
  <c r="E757" i="14"/>
  <c r="BM794" i="14"/>
  <c r="J805" i="14"/>
  <c r="Q644" i="14"/>
  <c r="Q772" i="14"/>
  <c r="J703" i="14"/>
  <c r="I661" i="14"/>
  <c r="AZ757" i="14"/>
  <c r="E805" i="14"/>
  <c r="R644" i="14"/>
  <c r="BM746" i="14"/>
  <c r="E703" i="14"/>
  <c r="J678" i="14"/>
  <c r="W633" i="14"/>
  <c r="Q661" i="14"/>
  <c r="U757" i="14"/>
  <c r="Q805" i="14"/>
  <c r="W644" i="14"/>
  <c r="E746" i="14"/>
  <c r="G624" i="14"/>
  <c r="BM661" i="14"/>
  <c r="G661" i="14"/>
  <c r="BG661" i="14" s="1"/>
  <c r="BL757" i="14"/>
  <c r="I805" i="14"/>
  <c r="BA644" i="14"/>
  <c r="R782" i="14"/>
  <c r="AY746" i="14"/>
  <c r="AZ805" i="14"/>
  <c r="W661" i="14"/>
  <c r="W620" i="14"/>
  <c r="BL805" i="14"/>
  <c r="BM700" i="14"/>
  <c r="E624" i="14"/>
  <c r="G746" i="14"/>
  <c r="BG746" i="14" s="1"/>
  <c r="BA634" i="14"/>
  <c r="W647" i="14"/>
  <c r="AZ701" i="14"/>
  <c r="T701" i="14"/>
  <c r="BB665" i="14"/>
  <c r="AY665" i="14"/>
  <c r="AZ793" i="14"/>
  <c r="G793" i="14"/>
  <c r="BG793" i="14" s="1"/>
  <c r="G722" i="14"/>
  <c r="R657" i="14"/>
  <c r="AY657" i="14"/>
  <c r="BL658" i="14"/>
  <c r="G658" i="14"/>
  <c r="BL768" i="14"/>
  <c r="G768" i="14"/>
  <c r="BG768" i="14" s="1"/>
  <c r="BM701" i="14"/>
  <c r="J665" i="14"/>
  <c r="T665" i="14"/>
  <c r="U793" i="14"/>
  <c r="BA722" i="14"/>
  <c r="J657" i="14"/>
  <c r="BB658" i="14"/>
  <c r="J768" i="14"/>
  <c r="T768" i="14"/>
  <c r="BB701" i="14"/>
  <c r="R665" i="14"/>
  <c r="R793" i="14"/>
  <c r="I722" i="14"/>
  <c r="U657" i="14"/>
  <c r="W658" i="14"/>
  <c r="BB768" i="14"/>
  <c r="U701" i="14"/>
  <c r="BM665" i="14"/>
  <c r="BM793" i="14"/>
  <c r="R722" i="14"/>
  <c r="Q722" i="14"/>
  <c r="BL657" i="14"/>
  <c r="U658" i="14"/>
  <c r="BM768" i="14"/>
  <c r="BB647" i="14"/>
  <c r="G647" i="14"/>
  <c r="BG647" i="14" s="1"/>
  <c r="J701" i="14"/>
  <c r="W665" i="14"/>
  <c r="E793" i="14"/>
  <c r="E722" i="14"/>
  <c r="AY722" i="14"/>
  <c r="BM657" i="14"/>
  <c r="R658" i="14"/>
  <c r="E768" i="14"/>
  <c r="R634" i="14"/>
  <c r="AZ647" i="14"/>
  <c r="T647" i="14"/>
  <c r="R701" i="14"/>
  <c r="U665" i="14"/>
  <c r="BB793" i="14"/>
  <c r="U722" i="14"/>
  <c r="T722" i="14"/>
  <c r="AZ657" i="14"/>
  <c r="AZ658" i="14"/>
  <c r="U768" i="14"/>
  <c r="BA701" i="14"/>
  <c r="BL665" i="14"/>
  <c r="BA793" i="14"/>
  <c r="AZ722" i="14"/>
  <c r="W657" i="14"/>
  <c r="AF657" i="14" s="1"/>
  <c r="J658" i="14"/>
  <c r="R768" i="14"/>
  <c r="Q701" i="14"/>
  <c r="AZ665" i="14"/>
  <c r="W793" i="14"/>
  <c r="BL722" i="14"/>
  <c r="BA657" i="14"/>
  <c r="E658" i="14"/>
  <c r="W768" i="14"/>
  <c r="Q634" i="14"/>
  <c r="U647" i="14"/>
  <c r="I701" i="14"/>
  <c r="E665" i="14"/>
  <c r="I793" i="14"/>
  <c r="J722" i="14"/>
  <c r="I657" i="14"/>
  <c r="I658" i="14"/>
  <c r="BA768" i="14"/>
  <c r="BB788" i="14"/>
  <c r="BL634" i="14"/>
  <c r="J647" i="14"/>
  <c r="W701" i="14"/>
  <c r="G701" i="14"/>
  <c r="BG701" i="14" s="1"/>
  <c r="Q665" i="14"/>
  <c r="Q793" i="14"/>
  <c r="BM722" i="14"/>
  <c r="Q657" i="14"/>
  <c r="Q658" i="14"/>
  <c r="I768" i="14"/>
  <c r="U788" i="14"/>
  <c r="E701" i="14"/>
  <c r="BL793" i="14"/>
  <c r="BB657" i="14"/>
  <c r="BA658" i="14"/>
  <c r="AZ700" i="14"/>
  <c r="R624" i="14"/>
  <c r="T746" i="14"/>
  <c r="T739" i="14"/>
  <c r="Q695" i="14"/>
  <c r="U774" i="14"/>
  <c r="AZ794" i="14"/>
  <c r="U620" i="14"/>
  <c r="G620" i="14"/>
  <c r="BG620" i="14" s="1"/>
  <c r="W619" i="14"/>
  <c r="R700" i="14"/>
  <c r="BA626" i="14"/>
  <c r="AZ662" i="14"/>
  <c r="J769" i="14"/>
  <c r="BA628" i="14"/>
  <c r="BA729" i="14"/>
  <c r="E782" i="14"/>
  <c r="BB624" i="14"/>
  <c r="BM736" i="14"/>
  <c r="I736" i="14"/>
  <c r="BM633" i="14"/>
  <c r="AY633" i="14"/>
  <c r="BA746" i="14"/>
  <c r="BA785" i="14"/>
  <c r="G785" i="14"/>
  <c r="BG785" i="14" s="1"/>
  <c r="BM739" i="14"/>
  <c r="BM772" i="14"/>
  <c r="G772" i="14"/>
  <c r="BG772" i="14" s="1"/>
  <c r="BA815" i="14"/>
  <c r="U695" i="14"/>
  <c r="AY695" i="14"/>
  <c r="W703" i="14"/>
  <c r="BM690" i="14"/>
  <c r="BB782" i="14"/>
  <c r="U794" i="14"/>
  <c r="I772" i="14"/>
  <c r="Q678" i="14"/>
  <c r="BL774" i="14"/>
  <c r="BA619" i="14"/>
  <c r="BM626" i="14"/>
  <c r="AZ624" i="14"/>
  <c r="U736" i="14"/>
  <c r="AY736" i="14"/>
  <c r="BB633" i="14"/>
  <c r="G633" i="14"/>
  <c r="BG633" i="14" s="1"/>
  <c r="J746" i="14"/>
  <c r="W785" i="14"/>
  <c r="AY785" i="14"/>
  <c r="BB739" i="14"/>
  <c r="R772" i="14"/>
  <c r="AY772" i="14"/>
  <c r="I815" i="14"/>
  <c r="AZ695" i="14"/>
  <c r="G695" i="14"/>
  <c r="BG695" i="14" s="1"/>
  <c r="Q703" i="14"/>
  <c r="BB690" i="14"/>
  <c r="U752" i="14"/>
  <c r="R769" i="14"/>
  <c r="J782" i="14"/>
  <c r="W746" i="14"/>
  <c r="BA678" i="14"/>
  <c r="AY620" i="14"/>
  <c r="R662" i="14"/>
  <c r="E628" i="14"/>
  <c r="W678" i="14"/>
  <c r="AZ774" i="14"/>
  <c r="BA734" i="14"/>
  <c r="BA794" i="14"/>
  <c r="AZ620" i="14"/>
  <c r="T620" i="14"/>
  <c r="I619" i="14"/>
  <c r="Q700" i="14"/>
  <c r="R626" i="14"/>
  <c r="J662" i="14"/>
  <c r="BA769" i="14"/>
  <c r="W628" i="14"/>
  <c r="I729" i="14"/>
  <c r="BA782" i="14"/>
  <c r="J624" i="14"/>
  <c r="BB736" i="14"/>
  <c r="T736" i="14"/>
  <c r="E633" i="14"/>
  <c r="T633" i="14"/>
  <c r="R746" i="14"/>
  <c r="E785" i="14"/>
  <c r="T785" i="14"/>
  <c r="AZ739" i="14"/>
  <c r="U772" i="14"/>
  <c r="T772" i="14"/>
  <c r="Q815" i="14"/>
  <c r="BA759" i="14"/>
  <c r="E695" i="14"/>
  <c r="T695" i="14"/>
  <c r="I703" i="14"/>
  <c r="BA690" i="14"/>
  <c r="BB752" i="14"/>
  <c r="AY739" i="14"/>
  <c r="BB626" i="14"/>
  <c r="U628" i="14"/>
  <c r="I678" i="14"/>
  <c r="J774" i="14"/>
  <c r="R734" i="14"/>
  <c r="W794" i="14"/>
  <c r="BH794" i="14" s="1"/>
  <c r="R620" i="14"/>
  <c r="BB619" i="14"/>
  <c r="Q619" i="14"/>
  <c r="J700" i="14"/>
  <c r="G700" i="14"/>
  <c r="BG700" i="14" s="1"/>
  <c r="E626" i="14"/>
  <c r="W662" i="14"/>
  <c r="BH662" i="14" s="1"/>
  <c r="W769" i="14"/>
  <c r="BH769" i="14" s="1"/>
  <c r="BB628" i="14"/>
  <c r="AZ729" i="14"/>
  <c r="G729" i="14"/>
  <c r="BG729" i="14" s="1"/>
  <c r="W782" i="14"/>
  <c r="BH782" i="14" s="1"/>
  <c r="U624" i="14"/>
  <c r="J736" i="14"/>
  <c r="R633" i="14"/>
  <c r="BL746" i="14"/>
  <c r="J785" i="14"/>
  <c r="U739" i="14"/>
  <c r="BB772" i="14"/>
  <c r="BL815" i="14"/>
  <c r="G815" i="14"/>
  <c r="W759" i="14"/>
  <c r="BH759" i="14" s="1"/>
  <c r="R695" i="14"/>
  <c r="BA703" i="14"/>
  <c r="G703" i="14"/>
  <c r="BG703" i="14" s="1"/>
  <c r="W690" i="14"/>
  <c r="BH690" i="14" s="1"/>
  <c r="J752" i="14"/>
  <c r="I633" i="14"/>
  <c r="T626" i="14"/>
  <c r="T628" i="14"/>
  <c r="BL678" i="14"/>
  <c r="AY678" i="14"/>
  <c r="E774" i="14"/>
  <c r="W734" i="14"/>
  <c r="Q794" i="14"/>
  <c r="J620" i="14"/>
  <c r="BM619" i="14"/>
  <c r="AY619" i="14"/>
  <c r="BA700" i="14"/>
  <c r="AY700" i="14"/>
  <c r="BL626" i="14"/>
  <c r="Q662" i="14"/>
  <c r="Q769" i="14"/>
  <c r="AZ628" i="14"/>
  <c r="E729" i="14"/>
  <c r="AY729" i="14"/>
  <c r="Q782" i="14"/>
  <c r="BL624" i="14"/>
  <c r="BL736" i="14"/>
  <c r="J633" i="14"/>
  <c r="BB746" i="14"/>
  <c r="U785" i="14"/>
  <c r="R739" i="14"/>
  <c r="J772" i="14"/>
  <c r="AZ815" i="14"/>
  <c r="AY815" i="14"/>
  <c r="I759" i="14"/>
  <c r="BM695" i="14"/>
  <c r="U703" i="14"/>
  <c r="AY703" i="14"/>
  <c r="I690" i="14"/>
  <c r="R752" i="14"/>
  <c r="E739" i="14"/>
  <c r="AZ678" i="14"/>
  <c r="I794" i="14"/>
  <c r="BA620" i="14"/>
  <c r="U619" i="14"/>
  <c r="T619" i="14"/>
  <c r="E700" i="14"/>
  <c r="T700" i="14"/>
  <c r="BH700" i="14" s="1"/>
  <c r="W626" i="14"/>
  <c r="I662" i="14"/>
  <c r="I769" i="14"/>
  <c r="J628" i="14"/>
  <c r="BM729" i="14"/>
  <c r="T729" i="14"/>
  <c r="I782" i="14"/>
  <c r="BA624" i="14"/>
  <c r="E736" i="14"/>
  <c r="BL633" i="14"/>
  <c r="U746" i="14"/>
  <c r="R785" i="14"/>
  <c r="J739" i="14"/>
  <c r="AZ772" i="14"/>
  <c r="U815" i="14"/>
  <c r="T815" i="14"/>
  <c r="Q759" i="14"/>
  <c r="J695" i="14"/>
  <c r="R703" i="14"/>
  <c r="T703" i="14"/>
  <c r="Q690" i="14"/>
  <c r="E752" i="14"/>
  <c r="I695" i="14"/>
  <c r="BA774" i="14"/>
  <c r="T624" i="14"/>
  <c r="BM703" i="14"/>
  <c r="T734" i="14"/>
  <c r="BB620" i="14"/>
  <c r="BL734" i="14"/>
  <c r="BB734" i="14"/>
  <c r="E794" i="14"/>
  <c r="G794" i="14"/>
  <c r="BG794" i="14" s="1"/>
  <c r="E620" i="14"/>
  <c r="E619" i="14"/>
  <c r="BL700" i="14"/>
  <c r="J626" i="14"/>
  <c r="BA662" i="14"/>
  <c r="G662" i="14"/>
  <c r="BG662" i="14" s="1"/>
  <c r="BB769" i="14"/>
  <c r="G769" i="14"/>
  <c r="BG769" i="14" s="1"/>
  <c r="R628" i="14"/>
  <c r="J729" i="14"/>
  <c r="U782" i="14"/>
  <c r="AY782" i="14"/>
  <c r="W624" i="14"/>
  <c r="R736" i="14"/>
  <c r="AZ633" i="14"/>
  <c r="AZ746" i="14"/>
  <c r="BL785" i="14"/>
  <c r="BA739" i="14"/>
  <c r="E772" i="14"/>
  <c r="R815" i="14"/>
  <c r="BL759" i="14"/>
  <c r="G759" i="14"/>
  <c r="BG759" i="14" s="1"/>
  <c r="BL695" i="14"/>
  <c r="BB703" i="14"/>
  <c r="AZ690" i="14"/>
  <c r="AY690" i="14"/>
  <c r="W752" i="14"/>
  <c r="BM678" i="14"/>
  <c r="BB794" i="14"/>
  <c r="BB700" i="14"/>
  <c r="Q633" i="14"/>
  <c r="BL739" i="14"/>
  <c r="E734" i="14"/>
  <c r="U734" i="14"/>
  <c r="J794" i="14"/>
  <c r="W729" i="14"/>
  <c r="BL782" i="14"/>
  <c r="BB678" i="14"/>
  <c r="Q774" i="14"/>
  <c r="T678" i="14"/>
  <c r="R678" i="14"/>
  <c r="BM774" i="14"/>
  <c r="AY774" i="14"/>
  <c r="BM734" i="14"/>
  <c r="R794" i="14"/>
  <c r="AY794" i="14"/>
  <c r="BL620" i="14"/>
  <c r="J619" i="14"/>
  <c r="U700" i="14"/>
  <c r="I626" i="14"/>
  <c r="E662" i="14"/>
  <c r="AY662" i="14"/>
  <c r="BL769" i="14"/>
  <c r="AY769" i="14"/>
  <c r="I628" i="14"/>
  <c r="U729" i="14"/>
  <c r="BM782" i="14"/>
  <c r="G782" i="14"/>
  <c r="BG782" i="14" s="1"/>
  <c r="I624" i="14"/>
  <c r="AZ736" i="14"/>
  <c r="U633" i="14"/>
  <c r="I746" i="14"/>
  <c r="BB785" i="14"/>
  <c r="E712" i="14"/>
  <c r="AY712" i="14"/>
  <c r="I739" i="14"/>
  <c r="BL772" i="14"/>
  <c r="BM815" i="14"/>
  <c r="BM759" i="14"/>
  <c r="AY759" i="14"/>
  <c r="BB695" i="14"/>
  <c r="AZ703" i="14"/>
  <c r="U690" i="14"/>
  <c r="G690" i="14"/>
  <c r="I752" i="14"/>
  <c r="U769" i="14"/>
  <c r="I620" i="14"/>
  <c r="I700" i="14"/>
  <c r="E769" i="14"/>
  <c r="G678" i="14"/>
  <c r="BG678" i="14" s="1"/>
  <c r="U678" i="14"/>
  <c r="I774" i="14"/>
  <c r="BB774" i="14"/>
  <c r="BL794" i="14"/>
  <c r="BB662" i="14"/>
  <c r="BM769" i="14"/>
  <c r="AZ782" i="14"/>
  <c r="AZ712" i="14"/>
  <c r="BB759" i="14"/>
  <c r="R690" i="14"/>
  <c r="BC719" i="14"/>
  <c r="BD719" i="14"/>
  <c r="BH719" i="14"/>
  <c r="H719" i="14"/>
  <c r="P719" i="14"/>
  <c r="T819" i="14"/>
  <c r="AY819" i="14"/>
  <c r="G819" i="14"/>
  <c r="W819" i="14"/>
  <c r="BA819" i="14"/>
  <c r="E819" i="14"/>
  <c r="E161" i="7"/>
  <c r="E181" i="7"/>
  <c r="E165" i="7"/>
  <c r="E141" i="7"/>
  <c r="BB819" i="14"/>
  <c r="E184" i="7"/>
  <c r="Q819" i="14"/>
  <c r="E178" i="7"/>
  <c r="E193" i="7"/>
  <c r="E183" i="7"/>
  <c r="E188" i="7"/>
  <c r="E157" i="7"/>
  <c r="E133" i="7"/>
  <c r="I819" i="14"/>
  <c r="E147" i="7"/>
  <c r="E125" i="7"/>
  <c r="E126" i="7"/>
  <c r="E194" i="7"/>
  <c r="E202" i="7" a="1"/>
  <c r="E202" i="7" s="1"/>
  <c r="E138" i="7"/>
  <c r="E186" i="7"/>
  <c r="E192" i="7"/>
  <c r="E164" i="7"/>
  <c r="E187" i="7"/>
  <c r="E152" i="7"/>
  <c r="E196" i="7"/>
  <c r="E198" i="7"/>
  <c r="E129" i="7"/>
  <c r="E153" i="7"/>
  <c r="E151" i="7"/>
  <c r="E166" i="7"/>
  <c r="E185" i="7"/>
  <c r="E189" i="7"/>
  <c r="E156" i="7"/>
  <c r="J819" i="14"/>
  <c r="E127" i="7"/>
  <c r="E201" i="7"/>
  <c r="E180" i="7"/>
  <c r="E131" i="7"/>
  <c r="E159" i="7"/>
  <c r="U819" i="14"/>
  <c r="E168" i="7"/>
  <c r="E135" i="7"/>
  <c r="E146" i="7"/>
  <c r="E132" i="7"/>
  <c r="BM819" i="14"/>
  <c r="E179" i="7"/>
  <c r="E143" i="7"/>
  <c r="E190" i="7"/>
  <c r="E173" i="7"/>
  <c r="E171" i="7"/>
  <c r="E148" i="7"/>
  <c r="E167" i="7"/>
  <c r="E195" i="7"/>
  <c r="E142" i="7"/>
  <c r="E144" i="7"/>
  <c r="E136" i="7"/>
  <c r="E191" i="7"/>
  <c r="E170" i="7"/>
  <c r="E137" i="7"/>
  <c r="E124" i="7"/>
  <c r="E145" i="7"/>
  <c r="E182" i="7"/>
  <c r="E150" i="7"/>
  <c r="BL819" i="14"/>
  <c r="R819" i="14"/>
  <c r="E154" i="7"/>
  <c r="E172" i="7"/>
  <c r="E139" i="7"/>
  <c r="E163" i="7"/>
  <c r="E197" i="7"/>
  <c r="E175" i="7"/>
  <c r="E149" i="7"/>
  <c r="E174" i="7"/>
  <c r="E128" i="7"/>
  <c r="E176" i="7"/>
  <c r="E199" i="7"/>
  <c r="E130" i="7"/>
  <c r="E155" i="7"/>
  <c r="E140" i="7"/>
  <c r="E177" i="7"/>
  <c r="E169" i="7"/>
  <c r="E134" i="7"/>
  <c r="E200" i="7"/>
  <c r="E160" i="7"/>
  <c r="E158" i="7"/>
  <c r="E162" i="7"/>
  <c r="AZ819" i="14"/>
  <c r="BG774" i="14"/>
  <c r="BG721" i="14"/>
  <c r="AF719" i="14"/>
  <c r="BG719" i="14"/>
  <c r="BG672" i="14"/>
  <c r="BG756" i="14"/>
  <c r="BG805" i="14"/>
  <c r="BG710" i="14"/>
  <c r="BG643" i="14"/>
  <c r="BG717" i="14"/>
  <c r="BG677" i="14"/>
  <c r="BG637" i="14"/>
  <c r="BG748" i="14"/>
  <c r="BG692" i="14"/>
  <c r="BG725" i="14"/>
  <c r="BG657" i="14"/>
  <c r="BG742" i="14"/>
  <c r="H706" i="14" a="1"/>
  <c r="P707" i="14" a="1"/>
  <c r="P690" i="14" a="1"/>
  <c r="H808" i="14" a="1"/>
  <c r="P655" i="14" a="1"/>
  <c r="P711" i="14" a="1"/>
  <c r="P682" i="14" a="1"/>
  <c r="P671" i="14" a="1"/>
  <c r="P722" i="14" a="1"/>
  <c r="P814" i="14" a="1"/>
  <c r="P737" i="14" a="1"/>
  <c r="P729" i="14" a="1"/>
  <c r="P634" i="14" a="1"/>
  <c r="H754" i="14" a="1"/>
  <c r="P809" i="14" a="1"/>
  <c r="H790" i="14" a="1"/>
  <c r="P626" i="14" a="1"/>
  <c r="P688" i="14" a="1"/>
  <c r="P689" i="14" a="1"/>
  <c r="P802" i="14" a="1"/>
  <c r="H647" i="14" a="1"/>
  <c r="H690" i="14" a="1"/>
  <c r="H650" i="14" a="1"/>
  <c r="H703" i="14" a="1"/>
  <c r="P685" i="14" a="1"/>
  <c r="H782" i="14" a="1"/>
  <c r="P677" i="14" a="1"/>
  <c r="H625" i="14" a="1"/>
  <c r="P621" i="14" a="1"/>
  <c r="P781" i="14" a="1"/>
  <c r="P743" i="14" a="1"/>
  <c r="P808" i="14" a="1"/>
  <c r="H741" i="14" a="1"/>
  <c r="P652" i="14" a="1"/>
  <c r="P714" i="14" a="1"/>
  <c r="H779" i="14" a="1"/>
  <c r="P654" i="14" a="1"/>
  <c r="H656" i="14" a="1"/>
  <c r="H806" i="14" a="1"/>
  <c r="P780" i="14" a="1"/>
  <c r="H635" i="14" a="1"/>
  <c r="P653" i="14" a="1"/>
  <c r="H691" i="14" a="1"/>
  <c r="H724" i="14" a="1"/>
  <c r="P720" i="14" a="1"/>
  <c r="P787" i="14" a="1"/>
  <c r="P684" i="14" a="1"/>
  <c r="H774" i="14" a="1"/>
  <c r="P649" i="14" a="1"/>
  <c r="P645" i="14" a="1"/>
  <c r="H636" i="14" a="1"/>
  <c r="P641" i="14" a="1"/>
  <c r="H642" i="14" a="1"/>
  <c r="P727" i="14" a="1"/>
  <c r="P794" i="14" a="1"/>
  <c r="P800" i="14" a="1"/>
  <c r="H677" i="14" a="1"/>
  <c r="H791" i="14" a="1"/>
  <c r="H748" i="14" a="1"/>
  <c r="H619" i="14" a="1"/>
  <c r="P672" i="14" a="1"/>
  <c r="H701" i="14" a="1"/>
  <c r="H718" i="14" a="1"/>
  <c r="H660" i="14" a="1"/>
  <c r="P777" i="14" a="1"/>
  <c r="H771" i="14" a="1"/>
  <c r="H766" i="14" a="1"/>
  <c r="P773" i="14" a="1"/>
  <c r="H698" i="14" a="1"/>
  <c r="P753" i="14" a="1"/>
  <c r="P807" i="14" a="1"/>
  <c r="P680" i="14" a="1"/>
  <c r="H641" i="14" a="1"/>
  <c r="P762" i="14" a="1"/>
  <c r="P763" i="14" a="1"/>
  <c r="P669" i="14" a="1"/>
  <c r="P702" i="14" a="1"/>
  <c r="H753" i="14" a="1"/>
  <c r="H767" i="14" a="1"/>
  <c r="H747" i="14" a="1"/>
  <c r="P661" i="14" a="1"/>
  <c r="P650" i="14" a="1"/>
  <c r="H633" i="14" a="1"/>
  <c r="H632" i="14" a="1"/>
  <c r="P805" i="14" a="1"/>
  <c r="H742" i="14" a="1"/>
  <c r="H743" i="14" a="1"/>
  <c r="H803" i="14" a="1"/>
  <c r="P730" i="14" a="1"/>
  <c r="P686" i="14" a="1"/>
  <c r="H789" i="14" a="1"/>
  <c r="P736" i="14" a="1"/>
  <c r="P656" i="14" a="1"/>
  <c r="H662" i="14" a="1"/>
  <c r="P749" i="14" a="1"/>
  <c r="H768" i="14" a="1"/>
  <c r="H749" i="14" a="1"/>
  <c r="H631" i="14" a="1"/>
  <c r="H810" i="14" a="1"/>
  <c r="H686" i="14" a="1"/>
  <c r="H678" i="14" a="1"/>
  <c r="H665" i="14" a="1"/>
  <c r="H645" i="14" a="1"/>
  <c r="P624" i="14" a="1"/>
  <c r="P772" i="14" a="1"/>
  <c r="H722" i="14" a="1"/>
  <c r="P732" i="14" a="1"/>
  <c r="P751" i="14" a="1"/>
  <c r="H630" i="14" a="1"/>
  <c r="P657" i="14" a="1"/>
  <c r="H716" i="14" a="1"/>
  <c r="P663" i="14" a="1"/>
  <c r="P673" i="14" a="1"/>
  <c r="H815" i="14" a="1"/>
  <c r="H695" i="14" a="1"/>
  <c r="H775" i="14" a="1"/>
  <c r="H778" i="14" a="1"/>
  <c r="P699" i="14" a="1"/>
  <c r="H765" i="14" a="1"/>
  <c r="H675" i="14" a="1"/>
  <c r="H744" i="14" a="1"/>
  <c r="P812" i="14" a="1"/>
  <c r="H681" i="14" a="1"/>
  <c r="H729" i="14" a="1"/>
  <c r="P819" i="14" a="1"/>
  <c r="H733" i="14" a="1"/>
  <c r="P782" i="14" a="1"/>
  <c r="P748" i="14" a="1"/>
  <c r="P691" i="14" a="1"/>
  <c r="P639" i="14" a="1"/>
  <c r="P667" i="14" a="1"/>
  <c r="P676" i="14" a="1"/>
  <c r="P786" i="14" a="1"/>
  <c r="H712" i="14" a="1"/>
  <c r="P810" i="14" a="1"/>
  <c r="H717" i="14" a="1"/>
  <c r="H751" i="14" a="1"/>
  <c r="P734" i="14" a="1"/>
  <c r="H759" i="14" a="1"/>
  <c r="H794" i="14" a="1"/>
  <c r="H685" i="14" a="1"/>
  <c r="P703" i="14" a="1"/>
  <c r="P651" i="14" a="1"/>
  <c r="P774" i="14" a="1"/>
  <c r="P817" i="14" a="1"/>
  <c r="H780" i="14" a="1"/>
  <c r="H799" i="14" a="1"/>
  <c r="P725" i="14" a="1"/>
  <c r="P721" i="14" a="1"/>
  <c r="P637" i="14" a="1"/>
  <c r="H700" i="14" a="1"/>
  <c r="P759" i="14" a="1"/>
  <c r="P622" i="14" a="1"/>
  <c r="P783" i="14" a="1"/>
  <c r="P789" i="14" a="1"/>
  <c r="H699" i="14" a="1"/>
  <c r="P619" i="14" a="1"/>
  <c r="H715" i="14" a="1"/>
  <c r="H792" i="14" a="1"/>
  <c r="P750" i="14" a="1"/>
  <c r="P723" i="14" a="1"/>
  <c r="H667" i="14" a="1"/>
  <c r="H761" i="14" a="1"/>
  <c r="P764" i="14" a="1"/>
  <c r="P700" i="14" a="1"/>
  <c r="H668" i="14" a="1"/>
  <c r="P710" i="14" a="1"/>
  <c r="H669" i="14" a="1"/>
  <c r="H783" i="14" a="1"/>
  <c r="H773" i="14" a="1"/>
  <c r="H692" i="14" a="1"/>
  <c r="P806" i="14" a="1"/>
  <c r="H627" i="14" a="1"/>
  <c r="H646" i="14" a="1"/>
  <c r="P687" i="14" a="1"/>
  <c r="P659" i="14" a="1"/>
  <c r="P662" i="14" a="1"/>
  <c r="H801" i="14" a="1"/>
  <c r="H734" i="14" a="1"/>
  <c r="P701" i="14" a="1"/>
  <c r="P623" i="14" a="1"/>
  <c r="H758" i="14" a="1"/>
  <c r="P666" i="14" a="1"/>
  <c r="H737" i="14" a="1"/>
  <c r="P674" i="14" a="1"/>
  <c r="H658" i="14" a="1"/>
  <c r="H817" i="14" a="1"/>
  <c r="P757" i="14" a="1"/>
  <c r="H762" i="14" a="1"/>
  <c r="P642" i="14" a="1"/>
  <c r="P630" i="14" a="1"/>
  <c r="P648" i="14" a="1"/>
  <c r="P769" i="14" a="1"/>
  <c r="H739" i="14" a="1"/>
  <c r="H638" i="14" a="1"/>
  <c r="H683" i="14" a="1"/>
  <c r="H809" i="14" a="1"/>
  <c r="H693" i="14" a="1"/>
  <c r="H807" i="14" a="1"/>
  <c r="P766" i="14" a="1"/>
  <c r="H628" i="14" a="1"/>
  <c r="P668" i="14" a="1"/>
  <c r="H687" i="14" a="1"/>
  <c r="P738" i="14" a="1"/>
  <c r="H694" i="14" a="1"/>
  <c r="H786" i="14" a="1"/>
  <c r="P770" i="14" a="1"/>
  <c r="H666" i="14" a="1"/>
  <c r="H639" i="14" a="1"/>
  <c r="H713" i="14" a="1"/>
  <c r="H684" i="14" a="1"/>
  <c r="P697" i="14" a="1"/>
  <c r="P790" i="14" a="1"/>
  <c r="P756" i="14" a="1"/>
  <c r="P681" i="14" a="1"/>
  <c r="P818" i="14" a="1"/>
  <c r="H659" i="14" a="1"/>
  <c r="P765" i="14" a="1"/>
  <c r="H795" i="14" a="1"/>
  <c r="H670" i="14" a="1"/>
  <c r="P728" i="14" a="1"/>
  <c r="H620" i="14" a="1"/>
  <c r="P658" i="14" a="1"/>
  <c r="H736" i="14" a="1"/>
  <c r="H653" i="14" a="1"/>
  <c r="P692" i="14" a="1"/>
  <c r="H680" i="14" a="1"/>
  <c r="P804" i="14" a="1"/>
  <c r="P798" i="14" a="1"/>
  <c r="P768" i="14" a="1"/>
  <c r="H764" i="14" a="1"/>
  <c r="P785" i="14" a="1"/>
  <c r="P760" i="14" a="1"/>
  <c r="H811" i="14" a="1"/>
  <c r="P696" i="14" a="1"/>
  <c r="P799" i="14" a="1"/>
  <c r="P803" i="14" a="1"/>
  <c r="H721" i="14" a="1"/>
  <c r="P813" i="14" a="1"/>
  <c r="H640" i="14" a="1"/>
  <c r="H787" i="14" a="1"/>
  <c r="P746" i="14" a="1"/>
  <c r="P708" i="14" a="1"/>
  <c r="P797" i="14" a="1"/>
  <c r="H757" i="14" a="1"/>
  <c r="P640" i="14" a="1"/>
  <c r="P683" i="14" a="1"/>
  <c r="H622" i="14" a="1"/>
  <c r="P705" i="14" a="1"/>
  <c r="P638" i="14" a="1"/>
  <c r="P811" i="14" a="1"/>
  <c r="H745" i="14" a="1"/>
  <c r="P776" i="14" a="1"/>
  <c r="H793" i="14" a="1"/>
  <c r="P627" i="14" a="1"/>
  <c r="P660" i="14" a="1"/>
  <c r="H805" i="14" a="1"/>
  <c r="H623" i="14" a="1"/>
  <c r="H772" i="14" a="1"/>
  <c r="H644" i="14" a="1"/>
  <c r="H637" i="14" a="1"/>
  <c r="H816" i="14" a="1"/>
  <c r="H812" i="14" a="1"/>
  <c r="H802" i="14" a="1"/>
  <c r="H696" i="14" a="1"/>
  <c r="P712" i="14" a="1"/>
  <c r="P664" i="14" a="1"/>
  <c r="H663" i="14" a="1"/>
  <c r="P625" i="14" a="1"/>
  <c r="H728" i="14" a="1"/>
  <c r="P715" i="14" a="1"/>
  <c r="H738" i="14" a="1"/>
  <c r="H710" i="14" a="1"/>
  <c r="P647" i="14" a="1"/>
  <c r="H819" i="14" a="1"/>
  <c r="H655" i="14" a="1"/>
  <c r="H726" i="14" a="1"/>
  <c r="H664" i="14" a="1"/>
  <c r="H651" i="14" a="1"/>
  <c r="P779" i="14" a="1"/>
  <c r="H621" i="14" a="1"/>
  <c r="P636" i="14" a="1"/>
  <c r="P744" i="14" a="1"/>
  <c r="H727" i="14" a="1"/>
  <c r="P665" i="14" a="1"/>
  <c r="P792" i="14" a="1"/>
  <c r="P698" i="14" a="1"/>
  <c r="P761" i="14" a="1"/>
  <c r="H649" i="14" a="1"/>
  <c r="P679" i="14" a="1"/>
  <c r="H813" i="14" a="1"/>
  <c r="P718" i="14" a="1"/>
  <c r="P778" i="14" a="1"/>
  <c r="P788" i="14" a="1"/>
  <c r="P632" i="14" a="1"/>
  <c r="H643" i="14" a="1"/>
  <c r="P716" i="14" a="1"/>
  <c r="P628" i="14" a="1"/>
  <c r="P796" i="14" a="1"/>
  <c r="H752" i="14" a="1"/>
  <c r="P771" i="14" a="1"/>
  <c r="H785" i="14" a="1"/>
  <c r="H750" i="14" a="1"/>
  <c r="H673" i="14" a="1"/>
  <c r="H676" i="14" a="1"/>
  <c r="P629" i="14" a="1"/>
  <c r="P747" i="14" a="1"/>
  <c r="H682" i="14" a="1"/>
  <c r="P709" i="14" a="1"/>
  <c r="H763" i="14" a="1"/>
  <c r="P726" i="14" a="1"/>
  <c r="P631" i="14" a="1"/>
  <c r="H720" i="14" a="1"/>
  <c r="H740" i="14" a="1"/>
  <c r="H723" i="14" a="1"/>
  <c r="H648" i="14" a="1"/>
  <c r="H784" i="14" a="1"/>
  <c r="H776" i="14" a="1"/>
  <c r="H804" i="14" a="1"/>
  <c r="H708" i="14" a="1"/>
  <c r="H707" i="14" a="1"/>
  <c r="H725" i="14" a="1"/>
  <c r="H688" i="14" a="1"/>
  <c r="H652" i="14" a="1"/>
  <c r="P643" i="14" a="1"/>
  <c r="P752" i="14" a="1"/>
  <c r="P675" i="14" a="1"/>
  <c r="H777" i="14" a="1"/>
  <c r="P695" i="14" a="1"/>
  <c r="H797" i="14" a="1"/>
  <c r="H674" i="14" a="1"/>
  <c r="P717" i="14" a="1"/>
  <c r="H746" i="14" a="1"/>
  <c r="P816" i="14" a="1"/>
  <c r="H788" i="14" a="1"/>
  <c r="P694" i="14" a="1"/>
  <c r="H697" i="14" a="1"/>
  <c r="P670" i="14" a="1"/>
  <c r="H730" i="14" a="1"/>
  <c r="P620" i="14" a="1"/>
  <c r="P678" i="14" a="1"/>
  <c r="P733" i="14" a="1"/>
  <c r="H629" i="14" a="1"/>
  <c r="H769" i="14" a="1"/>
  <c r="P791" i="14" a="1"/>
  <c r="H732" i="14" a="1"/>
  <c r="P706" i="14" a="1"/>
  <c r="P646" i="14" a="1"/>
  <c r="H814" i="14" a="1"/>
  <c r="P704" i="14" a="1"/>
  <c r="H770" i="14" a="1"/>
  <c r="P784" i="14" a="1"/>
  <c r="H756" i="14" a="1"/>
  <c r="H634" i="14" a="1"/>
  <c r="H654" i="14" a="1"/>
  <c r="H709" i="14" a="1"/>
  <c r="P713" i="14" a="1"/>
  <c r="H714" i="14" a="1"/>
  <c r="H796" i="14" a="1"/>
  <c r="H800" i="14" a="1"/>
  <c r="H704" i="14" a="1"/>
  <c r="P815" i="14" a="1"/>
  <c r="P801" i="14" a="1"/>
  <c r="H689" i="14" a="1"/>
  <c r="H661" i="14" a="1"/>
  <c r="P740" i="14" a="1"/>
  <c r="H755" i="14" a="1"/>
  <c r="H798" i="14" a="1"/>
  <c r="H735" i="14" a="1"/>
  <c r="P795" i="14" a="1"/>
  <c r="H626" i="14" a="1"/>
  <c r="H781" i="14" a="1"/>
  <c r="H760" i="14" a="1"/>
  <c r="P739" i="14" a="1"/>
  <c r="H679" i="14" a="1"/>
  <c r="P754" i="14" a="1"/>
  <c r="P693" i="14" a="1"/>
  <c r="P731" i="14" a="1"/>
  <c r="H702" i="14" a="1"/>
  <c r="H672" i="14" a="1"/>
  <c r="P741" i="14" a="1"/>
  <c r="H657" i="14" a="1"/>
  <c r="H731" i="14" a="1"/>
  <c r="P793" i="14" a="1"/>
  <c r="P755" i="14" a="1"/>
  <c r="P635" i="14" a="1"/>
  <c r="P633" i="14" a="1"/>
  <c r="H711" i="14" a="1"/>
  <c r="H624" i="14" a="1"/>
  <c r="P742" i="14" a="1"/>
  <c r="H705" i="14" a="1"/>
  <c r="P724" i="14" a="1"/>
  <c r="P745" i="14" a="1"/>
  <c r="P644" i="14" a="1"/>
  <c r="P735" i="14" a="1"/>
  <c r="P758" i="14" a="1"/>
  <c r="H671" i="14" a="1"/>
  <c r="P775" i="14" a="1"/>
  <c r="P767" i="14" a="1"/>
  <c r="H818" i="14" a="1"/>
  <c r="BH792" i="14" l="1"/>
  <c r="BF792" i="14" s="1"/>
  <c r="AF792" i="14"/>
  <c r="AF702" i="14"/>
  <c r="BD702" i="14"/>
  <c r="BH702" i="14"/>
  <c r="BF702" i="14" s="1"/>
  <c r="BC702" i="14"/>
  <c r="P702" i="14"/>
  <c r="BJ702" i="14" s="1"/>
  <c r="H702" i="14"/>
  <c r="AH702" i="14" s="1"/>
  <c r="BH775" i="14"/>
  <c r="BF775" i="14" s="1"/>
  <c r="BC792" i="14"/>
  <c r="BC775" i="14"/>
  <c r="BD775" i="14"/>
  <c r="AF775" i="14"/>
  <c r="P775" i="14"/>
  <c r="AG775" i="14" s="1"/>
  <c r="H775" i="14"/>
  <c r="AH775" i="14" s="1"/>
  <c r="BD792" i="14"/>
  <c r="P792" i="14"/>
  <c r="BJ792" i="14" s="1"/>
  <c r="H792" i="14"/>
  <c r="AH792" i="14" s="1"/>
  <c r="P796" i="14"/>
  <c r="BJ796" i="14" s="1"/>
  <c r="BC796" i="14"/>
  <c r="BH796" i="14"/>
  <c r="BF796" i="14" s="1"/>
  <c r="BD796" i="14"/>
  <c r="BD812" i="14"/>
  <c r="BC812" i="14"/>
  <c r="AF812" i="14"/>
  <c r="P812" i="14"/>
  <c r="BJ812" i="14" s="1"/>
  <c r="H812" i="14"/>
  <c r="BI812" i="14" s="1"/>
  <c r="AF796" i="14"/>
  <c r="BH747" i="14"/>
  <c r="H796" i="14"/>
  <c r="AH796" i="14" s="1"/>
  <c r="BG632" i="14"/>
  <c r="BF632" i="14" s="1"/>
  <c r="BD669" i="14"/>
  <c r="BC632" i="14"/>
  <c r="BH669" i="14"/>
  <c r="BC669" i="14"/>
  <c r="AF669" i="14"/>
  <c r="AF747" i="14"/>
  <c r="AF818" i="14"/>
  <c r="AF766" i="14"/>
  <c r="P669" i="14"/>
  <c r="AG669" i="14" s="1"/>
  <c r="BG766" i="14"/>
  <c r="BG818" i="14"/>
  <c r="BD766" i="14"/>
  <c r="BD674" i="14"/>
  <c r="H669" i="14"/>
  <c r="AH669" i="14" s="1"/>
  <c r="BD818" i="14"/>
  <c r="BC766" i="14"/>
  <c r="BC818" i="14"/>
  <c r="AF674" i="14"/>
  <c r="BD632" i="14"/>
  <c r="BG674" i="14"/>
  <c r="BF674" i="14" s="1"/>
  <c r="BH766" i="14"/>
  <c r="BH818" i="14"/>
  <c r="H766" i="14"/>
  <c r="AH766" i="14" s="1"/>
  <c r="H674" i="14"/>
  <c r="BI674" i="14" s="1"/>
  <c r="H818" i="14"/>
  <c r="BI818" i="14" s="1"/>
  <c r="P766" i="14"/>
  <c r="AG766" i="14" s="1"/>
  <c r="P818" i="14"/>
  <c r="AG818" i="14" s="1"/>
  <c r="BG669" i="14"/>
  <c r="BC674" i="14"/>
  <c r="P632" i="14"/>
  <c r="BJ632" i="14" s="1"/>
  <c r="H632" i="14"/>
  <c r="BI632" i="14" s="1"/>
  <c r="AF689" i="14"/>
  <c r="BG747" i="14"/>
  <c r="BC747" i="14"/>
  <c r="P674" i="14"/>
  <c r="AG674" i="14" s="1"/>
  <c r="BD747" i="14"/>
  <c r="BH689" i="14"/>
  <c r="H747" i="14"/>
  <c r="BI747" i="14" s="1"/>
  <c r="P747" i="14"/>
  <c r="BJ747" i="14" s="1"/>
  <c r="BC717" i="14"/>
  <c r="BC689" i="14"/>
  <c r="BD717" i="14"/>
  <c r="BD689" i="14"/>
  <c r="BG689" i="14"/>
  <c r="BH717" i="14"/>
  <c r="BF717" i="14" s="1"/>
  <c r="H717" i="14"/>
  <c r="AH717" i="14" s="1"/>
  <c r="P717" i="14"/>
  <c r="AG717" i="14" s="1"/>
  <c r="AF810" i="14"/>
  <c r="BC810" i="14"/>
  <c r="BH810" i="14"/>
  <c r="BF810" i="14" s="1"/>
  <c r="P689" i="14"/>
  <c r="BJ689" i="14" s="1"/>
  <c r="H689" i="14"/>
  <c r="BI689" i="14" s="1"/>
  <c r="BH750" i="14"/>
  <c r="BD750" i="14"/>
  <c r="BC750" i="14"/>
  <c r="AF750" i="14"/>
  <c r="BG750" i="14"/>
  <c r="BD810" i="14"/>
  <c r="H750" i="14"/>
  <c r="AH750" i="14" s="1"/>
  <c r="P750" i="14"/>
  <c r="AG750" i="14" s="1"/>
  <c r="P810" i="14"/>
  <c r="AG810" i="14" s="1"/>
  <c r="H810" i="14"/>
  <c r="AH810" i="14" s="1"/>
  <c r="P619" i="14"/>
  <c r="AG619" i="14" s="1"/>
  <c r="H619" i="14"/>
  <c r="BI619" i="14" s="1"/>
  <c r="H621" i="14"/>
  <c r="AH621" i="14" s="1"/>
  <c r="BH802" i="14"/>
  <c r="BC723" i="14"/>
  <c r="BD723" i="14"/>
  <c r="BH694" i="14"/>
  <c r="AF694" i="14"/>
  <c r="P723" i="14"/>
  <c r="BJ723" i="14" s="1"/>
  <c r="BH723" i="14"/>
  <c r="BF723" i="14" s="1"/>
  <c r="AF659" i="14"/>
  <c r="BH659" i="14"/>
  <c r="BF659" i="14" s="1"/>
  <c r="BH773" i="14"/>
  <c r="BF773" i="14" s="1"/>
  <c r="BH631" i="14"/>
  <c r="BF631" i="14" s="1"/>
  <c r="BC659" i="14"/>
  <c r="H659" i="14"/>
  <c r="AH659" i="14" s="1"/>
  <c r="BD659" i="14"/>
  <c r="AF696" i="14"/>
  <c r="BH778" i="14"/>
  <c r="BF778" i="14" s="1"/>
  <c r="BH743" i="14"/>
  <c r="BF743" i="14" s="1"/>
  <c r="BH739" i="14"/>
  <c r="BF739" i="14" s="1"/>
  <c r="BD773" i="14"/>
  <c r="AF802" i="14"/>
  <c r="BC802" i="14"/>
  <c r="BH720" i="14"/>
  <c r="BF720" i="14" s="1"/>
  <c r="BC773" i="14"/>
  <c r="BG802" i="14"/>
  <c r="AF773" i="14"/>
  <c r="P659" i="14"/>
  <c r="AG659" i="14" s="1"/>
  <c r="H773" i="14"/>
  <c r="AH773" i="14" s="1"/>
  <c r="BD802" i="14"/>
  <c r="P802" i="14"/>
  <c r="BJ802" i="14" s="1"/>
  <c r="H802" i="14"/>
  <c r="BI802" i="14" s="1"/>
  <c r="P773" i="14"/>
  <c r="BJ773" i="14" s="1"/>
  <c r="BC720" i="14"/>
  <c r="AF704" i="14"/>
  <c r="BH704" i="14"/>
  <c r="H704" i="14"/>
  <c r="AH704" i="14" s="1"/>
  <c r="AF743" i="14"/>
  <c r="BG714" i="14"/>
  <c r="BF714" i="14" s="1"/>
  <c r="AF720" i="14"/>
  <c r="BC743" i="14"/>
  <c r="BH705" i="14"/>
  <c r="BD664" i="14"/>
  <c r="BD720" i="14"/>
  <c r="H720" i="14"/>
  <c r="BI720" i="14" s="1"/>
  <c r="P743" i="14"/>
  <c r="BJ743" i="14" s="1"/>
  <c r="H714" i="14"/>
  <c r="BI714" i="14" s="1"/>
  <c r="P720" i="14"/>
  <c r="BJ720" i="14" s="1"/>
  <c r="P714" i="14"/>
  <c r="BJ714" i="14" s="1"/>
  <c r="AF651" i="14"/>
  <c r="BH629" i="14"/>
  <c r="BF629" i="14" s="1"/>
  <c r="BD714" i="14"/>
  <c r="BH664" i="14"/>
  <c r="BF664" i="14" s="1"/>
  <c r="BD743" i="14"/>
  <c r="BC714" i="14"/>
  <c r="AF723" i="14"/>
  <c r="BC664" i="14"/>
  <c r="BD804" i="14"/>
  <c r="P622" i="14"/>
  <c r="BJ622" i="14" s="1"/>
  <c r="H723" i="14"/>
  <c r="AH723" i="14" s="1"/>
  <c r="H696" i="14"/>
  <c r="AH696" i="14" s="1"/>
  <c r="P704" i="14"/>
  <c r="BJ704" i="14" s="1"/>
  <c r="P664" i="14"/>
  <c r="BJ664" i="14" s="1"/>
  <c r="H743" i="14"/>
  <c r="AH743" i="14" s="1"/>
  <c r="H664" i="14"/>
  <c r="AH664" i="14" s="1"/>
  <c r="AF664" i="14"/>
  <c r="AF705" i="14"/>
  <c r="BH760" i="14"/>
  <c r="BH696" i="14"/>
  <c r="BF696" i="14" s="1"/>
  <c r="BG704" i="14"/>
  <c r="AF804" i="14"/>
  <c r="BG705" i="14"/>
  <c r="AF760" i="14"/>
  <c r="BG760" i="14"/>
  <c r="BH767" i="14"/>
  <c r="BF767" i="14" s="1"/>
  <c r="H804" i="14"/>
  <c r="AH804" i="14" s="1"/>
  <c r="BC696" i="14"/>
  <c r="BH804" i="14"/>
  <c r="BF804" i="14" s="1"/>
  <c r="BC705" i="14"/>
  <c r="BH783" i="14"/>
  <c r="BF783" i="14" s="1"/>
  <c r="BD629" i="14"/>
  <c r="BC804" i="14"/>
  <c r="BH814" i="14"/>
  <c r="AF709" i="14"/>
  <c r="AF629" i="14"/>
  <c r="BD705" i="14"/>
  <c r="AF675" i="14"/>
  <c r="H629" i="14"/>
  <c r="BI629" i="14" s="1"/>
  <c r="BC629" i="14"/>
  <c r="BD704" i="14"/>
  <c r="BC704" i="14"/>
  <c r="BD767" i="14"/>
  <c r="BD696" i="14"/>
  <c r="P804" i="14"/>
  <c r="AG804" i="14" s="1"/>
  <c r="P705" i="14"/>
  <c r="AG705" i="14" s="1"/>
  <c r="P629" i="14"/>
  <c r="BJ629" i="14" s="1"/>
  <c r="AF767" i="14"/>
  <c r="BG622" i="14"/>
  <c r="BF622" i="14" s="1"/>
  <c r="BH651" i="14"/>
  <c r="BF651" i="14" s="1"/>
  <c r="BG675" i="14"/>
  <c r="H705" i="14"/>
  <c r="AH705" i="14" s="1"/>
  <c r="P767" i="14"/>
  <c r="BJ767" i="14" s="1"/>
  <c r="BD651" i="14"/>
  <c r="BC760" i="14"/>
  <c r="BC651" i="14"/>
  <c r="P760" i="14"/>
  <c r="BJ760" i="14" s="1"/>
  <c r="BH709" i="14"/>
  <c r="BF709" i="14" s="1"/>
  <c r="BC767" i="14"/>
  <c r="BH675" i="14"/>
  <c r="BC709" i="14"/>
  <c r="H709" i="14"/>
  <c r="BI709" i="14" s="1"/>
  <c r="BD675" i="14"/>
  <c r="BD709" i="14"/>
  <c r="BG745" i="14"/>
  <c r="BF745" i="14" s="1"/>
  <c r="P651" i="14"/>
  <c r="AG651" i="14" s="1"/>
  <c r="H651" i="14"/>
  <c r="AH651" i="14" s="1"/>
  <c r="BD760" i="14"/>
  <c r="BC675" i="14"/>
  <c r="P709" i="14"/>
  <c r="AG709" i="14" s="1"/>
  <c r="H760" i="14"/>
  <c r="AH760" i="14" s="1"/>
  <c r="H767" i="14"/>
  <c r="BI767" i="14" s="1"/>
  <c r="P675" i="14"/>
  <c r="BJ675" i="14" s="1"/>
  <c r="H675" i="14"/>
  <c r="AH675" i="14" s="1"/>
  <c r="AF814" i="14"/>
  <c r="P783" i="14"/>
  <c r="BJ783" i="14" s="1"/>
  <c r="AF753" i="14"/>
  <c r="BH738" i="14"/>
  <c r="BF738" i="14" s="1"/>
  <c r="BH776" i="14"/>
  <c r="BF776" i="14" s="1"/>
  <c r="BD776" i="14"/>
  <c r="BC745" i="14"/>
  <c r="BH727" i="14"/>
  <c r="BF727" i="14" s="1"/>
  <c r="H738" i="14"/>
  <c r="AH738" i="14" s="1"/>
  <c r="BC776" i="14"/>
  <c r="BD745" i="14"/>
  <c r="BD622" i="14"/>
  <c r="BH677" i="14"/>
  <c r="BF677" i="14" s="1"/>
  <c r="AF776" i="14"/>
  <c r="H745" i="14"/>
  <c r="BI745" i="14" s="1"/>
  <c r="H776" i="14"/>
  <c r="BI776" i="14" s="1"/>
  <c r="P776" i="14"/>
  <c r="BJ776" i="14" s="1"/>
  <c r="P745" i="14"/>
  <c r="AG745" i="14" s="1"/>
  <c r="BG814" i="14"/>
  <c r="H622" i="14"/>
  <c r="AH622" i="14" s="1"/>
  <c r="P696" i="14"/>
  <c r="AG696" i="14" s="1"/>
  <c r="BH798" i="14"/>
  <c r="AF798" i="14"/>
  <c r="BD814" i="14"/>
  <c r="BC622" i="14"/>
  <c r="BC786" i="14"/>
  <c r="BC738" i="14"/>
  <c r="AF817" i="14"/>
  <c r="BH786" i="14"/>
  <c r="BF786" i="14" s="1"/>
  <c r="BD786" i="14"/>
  <c r="AF800" i="14"/>
  <c r="BH691" i="14"/>
  <c r="BF691" i="14" s="1"/>
  <c r="BH817" i="14"/>
  <c r="BF817" i="14" s="1"/>
  <c r="AF786" i="14"/>
  <c r="AF630" i="14"/>
  <c r="BG630" i="14"/>
  <c r="BC783" i="14"/>
  <c r="P786" i="14"/>
  <c r="AG786" i="14" s="1"/>
  <c r="H786" i="14"/>
  <c r="AH786" i="14" s="1"/>
  <c r="BC699" i="14"/>
  <c r="BD738" i="14"/>
  <c r="BH679" i="14"/>
  <c r="BF679" i="14" s="1"/>
  <c r="BH698" i="14"/>
  <c r="BF698" i="14" s="1"/>
  <c r="BC817" i="14"/>
  <c r="BD783" i="14"/>
  <c r="BH656" i="14"/>
  <c r="BC814" i="14"/>
  <c r="P814" i="14"/>
  <c r="AG814" i="14" s="1"/>
  <c r="P738" i="14"/>
  <c r="BJ738" i="14" s="1"/>
  <c r="H783" i="14"/>
  <c r="AH783" i="14" s="1"/>
  <c r="H814" i="14"/>
  <c r="AH814" i="14" s="1"/>
  <c r="AF656" i="14"/>
  <c r="AF783" i="14"/>
  <c r="BH672" i="14"/>
  <c r="BF672" i="14" s="1"/>
  <c r="BH654" i="14"/>
  <c r="AF738" i="14"/>
  <c r="BH754" i="14"/>
  <c r="BF754" i="14" s="1"/>
  <c r="BC656" i="14"/>
  <c r="BH781" i="14"/>
  <c r="BD699" i="14"/>
  <c r="AF682" i="14"/>
  <c r="BC679" i="14"/>
  <c r="BD817" i="14"/>
  <c r="BD687" i="14"/>
  <c r="BH737" i="14"/>
  <c r="P817" i="14"/>
  <c r="AG817" i="14" s="1"/>
  <c r="H644" i="14"/>
  <c r="BI644" i="14" s="1"/>
  <c r="H817" i="14"/>
  <c r="BI817" i="14" s="1"/>
  <c r="BH699" i="14"/>
  <c r="BF699" i="14" s="1"/>
  <c r="BH649" i="14"/>
  <c r="BF649" i="14" s="1"/>
  <c r="BD649" i="14"/>
  <c r="BH630" i="14"/>
  <c r="AF654" i="14"/>
  <c r="BH756" i="14"/>
  <c r="BF756" i="14" s="1"/>
  <c r="BH687" i="14"/>
  <c r="BF687" i="14" s="1"/>
  <c r="H630" i="14"/>
  <c r="AH630" i="14" s="1"/>
  <c r="AF816" i="14"/>
  <c r="BH718" i="14"/>
  <c r="BF718" i="14" s="1"/>
  <c r="AF699" i="14"/>
  <c r="AF754" i="14"/>
  <c r="BH708" i="14"/>
  <c r="BD718" i="14"/>
  <c r="AF803" i="14"/>
  <c r="BH788" i="14"/>
  <c r="AF715" i="14"/>
  <c r="BC630" i="14"/>
  <c r="AF649" i="14"/>
  <c r="AF687" i="14"/>
  <c r="BH661" i="14"/>
  <c r="BF661" i="14" s="1"/>
  <c r="AF788" i="14"/>
  <c r="AF737" i="14"/>
  <c r="BH693" i="14"/>
  <c r="BD630" i="14"/>
  <c r="BC649" i="14"/>
  <c r="BG667" i="14"/>
  <c r="BF667" i="14" s="1"/>
  <c r="BG638" i="14"/>
  <c r="BF638" i="14" s="1"/>
  <c r="BC715" i="14"/>
  <c r="BH683" i="14"/>
  <c r="BF683" i="14" s="1"/>
  <c r="AF708" i="14"/>
  <c r="BC687" i="14"/>
  <c r="BC631" i="14"/>
  <c r="P630" i="14"/>
  <c r="BJ630" i="14" s="1"/>
  <c r="P699" i="14"/>
  <c r="AG699" i="14" s="1"/>
  <c r="H649" i="14"/>
  <c r="BI649" i="14" s="1"/>
  <c r="P687" i="14"/>
  <c r="AG687" i="14" s="1"/>
  <c r="H728" i="14"/>
  <c r="BI728" i="14" s="1"/>
  <c r="H699" i="14"/>
  <c r="AH699" i="14" s="1"/>
  <c r="P649" i="14"/>
  <c r="BJ649" i="14" s="1"/>
  <c r="H687" i="14"/>
  <c r="AH687" i="14" s="1"/>
  <c r="BH715" i="14"/>
  <c r="BF715" i="14" s="1"/>
  <c r="BC813" i="14"/>
  <c r="BH728" i="14"/>
  <c r="BF728" i="14" s="1"/>
  <c r="BC693" i="14"/>
  <c r="BC807" i="14"/>
  <c r="BC697" i="14"/>
  <c r="BD770" i="14"/>
  <c r="BD728" i="14"/>
  <c r="BC770" i="14"/>
  <c r="BC647" i="14"/>
  <c r="BH780" i="14"/>
  <c r="BF780" i="14" s="1"/>
  <c r="BH741" i="14"/>
  <c r="BF741" i="14" s="1"/>
  <c r="BC683" i="14"/>
  <c r="BD707" i="14"/>
  <c r="BG654" i="14"/>
  <c r="BD755" i="14"/>
  <c r="BD780" i="14"/>
  <c r="AF780" i="14"/>
  <c r="BH710" i="14"/>
  <c r="BF710" i="14" s="1"/>
  <c r="BG788" i="14"/>
  <c r="AF683" i="14"/>
  <c r="BG737" i="14"/>
  <c r="AF640" i="14"/>
  <c r="BG634" i="14"/>
  <c r="BF634" i="14" s="1"/>
  <c r="AF739" i="14"/>
  <c r="AF732" i="14"/>
  <c r="BC755" i="14"/>
  <c r="BH807" i="14"/>
  <c r="BF807" i="14" s="1"/>
  <c r="AF755" i="14"/>
  <c r="BG732" i="14"/>
  <c r="BG803" i="14"/>
  <c r="BF803" i="14" s="1"/>
  <c r="BH800" i="14"/>
  <c r="BF800" i="14" s="1"/>
  <c r="BC788" i="14"/>
  <c r="BH670" i="14"/>
  <c r="BF670" i="14" s="1"/>
  <c r="AF770" i="14"/>
  <c r="AF631" i="14"/>
  <c r="AF784" i="14"/>
  <c r="BH722" i="14"/>
  <c r="AF722" i="14"/>
  <c r="BH809" i="14"/>
  <c r="BF809" i="14" s="1"/>
  <c r="BC698" i="14"/>
  <c r="BD654" i="14"/>
  <c r="BC737" i="14"/>
  <c r="BD670" i="14"/>
  <c r="BD715" i="14"/>
  <c r="BH697" i="14"/>
  <c r="AF711" i="14"/>
  <c r="BH646" i="14"/>
  <c r="BF646" i="14" s="1"/>
  <c r="BD640" i="14"/>
  <c r="BC728" i="14"/>
  <c r="AF693" i="14"/>
  <c r="AF728" i="14"/>
  <c r="P756" i="14"/>
  <c r="AG756" i="14" s="1"/>
  <c r="P770" i="14"/>
  <c r="BJ770" i="14" s="1"/>
  <c r="H693" i="14"/>
  <c r="BI693" i="14" s="1"/>
  <c r="H807" i="14"/>
  <c r="BI807" i="14" s="1"/>
  <c r="P688" i="14"/>
  <c r="AG688" i="14" s="1"/>
  <c r="P715" i="14"/>
  <c r="BJ715" i="14" s="1"/>
  <c r="H688" i="14"/>
  <c r="BI688" i="14" s="1"/>
  <c r="P683" i="14"/>
  <c r="BJ683" i="14" s="1"/>
  <c r="H770" i="14"/>
  <c r="AH770" i="14" s="1"/>
  <c r="H780" i="14"/>
  <c r="BI780" i="14" s="1"/>
  <c r="H670" i="14"/>
  <c r="AH670" i="14" s="1"/>
  <c r="BG777" i="14"/>
  <c r="BF777" i="14" s="1"/>
  <c r="AF813" i="14"/>
  <c r="AF688" i="14"/>
  <c r="BD631" i="14"/>
  <c r="BC727" i="14"/>
  <c r="BD807" i="14"/>
  <c r="BD688" i="14"/>
  <c r="BD656" i="14"/>
  <c r="AF735" i="14"/>
  <c r="AF763" i="14"/>
  <c r="BC800" i="14"/>
  <c r="BH779" i="14"/>
  <c r="BF779" i="14" s="1"/>
  <c r="AF710" i="14"/>
  <c r="AF679" i="14"/>
  <c r="AF633" i="14"/>
  <c r="AF670" i="14"/>
  <c r="BH648" i="14"/>
  <c r="BF648" i="14" s="1"/>
  <c r="BD803" i="14"/>
  <c r="BC803" i="14"/>
  <c r="BC780" i="14"/>
  <c r="BC654" i="14"/>
  <c r="BD800" i="14"/>
  <c r="AF718" i="14"/>
  <c r="BH762" i="14"/>
  <c r="BF762" i="14" s="1"/>
  <c r="BC707" i="14"/>
  <c r="BC771" i="14"/>
  <c r="BD682" i="14"/>
  <c r="BD741" i="14"/>
  <c r="BC670" i="14"/>
  <c r="BD693" i="14"/>
  <c r="BG640" i="14"/>
  <c r="BF640" i="14" s="1"/>
  <c r="AF646" i="14"/>
  <c r="BH707" i="14"/>
  <c r="BF707" i="14" s="1"/>
  <c r="BG693" i="14"/>
  <c r="BG656" i="14"/>
  <c r="BC646" i="14"/>
  <c r="AF808" i="14"/>
  <c r="AF727" i="14"/>
  <c r="P737" i="14"/>
  <c r="BJ737" i="14" s="1"/>
  <c r="H737" i="14"/>
  <c r="BI737" i="14" s="1"/>
  <c r="BC784" i="14"/>
  <c r="BD679" i="14"/>
  <c r="BD697" i="14"/>
  <c r="BD756" i="14"/>
  <c r="BC640" i="14"/>
  <c r="BD737" i="14"/>
  <c r="BD683" i="14"/>
  <c r="BD727" i="14"/>
  <c r="AF772" i="14"/>
  <c r="BH795" i="14"/>
  <c r="BF795" i="14" s="1"/>
  <c r="BD698" i="14"/>
  <c r="AF697" i="14"/>
  <c r="BC756" i="14"/>
  <c r="BC688" i="14"/>
  <c r="BC718" i="14"/>
  <c r="H707" i="14"/>
  <c r="AH707" i="14" s="1"/>
  <c r="H656" i="14"/>
  <c r="AH656" i="14" s="1"/>
  <c r="P755" i="14"/>
  <c r="BJ755" i="14" s="1"/>
  <c r="H640" i="14"/>
  <c r="BI640" i="14" s="1"/>
  <c r="P803" i="14"/>
  <c r="AG803" i="14" s="1"/>
  <c r="H788" i="14"/>
  <c r="BI788" i="14" s="1"/>
  <c r="H631" i="14"/>
  <c r="AH631" i="14" s="1"/>
  <c r="P693" i="14"/>
  <c r="BJ693" i="14" s="1"/>
  <c r="P679" i="14"/>
  <c r="BJ679" i="14" s="1"/>
  <c r="P697" i="14"/>
  <c r="BJ697" i="14" s="1"/>
  <c r="P807" i="14"/>
  <c r="BJ807" i="14" s="1"/>
  <c r="P800" i="14"/>
  <c r="AG800" i="14" s="1"/>
  <c r="P656" i="14"/>
  <c r="AG656" i="14" s="1"/>
  <c r="H803" i="14"/>
  <c r="BI803" i="14" s="1"/>
  <c r="P707" i="14"/>
  <c r="BJ707" i="14" s="1"/>
  <c r="P780" i="14"/>
  <c r="AG780" i="14" s="1"/>
  <c r="H697" i="14"/>
  <c r="BI697" i="14" s="1"/>
  <c r="H683" i="14"/>
  <c r="AH683" i="14" s="1"/>
  <c r="P728" i="14"/>
  <c r="BJ728" i="14" s="1"/>
  <c r="P788" i="14"/>
  <c r="BJ788" i="14" s="1"/>
  <c r="H679" i="14"/>
  <c r="AH679" i="14" s="1"/>
  <c r="P670" i="14"/>
  <c r="AG670" i="14" s="1"/>
  <c r="H800" i="14"/>
  <c r="AH800" i="14" s="1"/>
  <c r="H718" i="14"/>
  <c r="AH718" i="14" s="1"/>
  <c r="H654" i="14"/>
  <c r="BI654" i="14" s="1"/>
  <c r="H715" i="14"/>
  <c r="BI715" i="14" s="1"/>
  <c r="H756" i="14"/>
  <c r="AH756" i="14" s="1"/>
  <c r="P640" i="14"/>
  <c r="BJ640" i="14" s="1"/>
  <c r="H755" i="14"/>
  <c r="AH755" i="14" s="1"/>
  <c r="P631" i="14"/>
  <c r="AG631" i="14" s="1"/>
  <c r="P654" i="14"/>
  <c r="BJ654" i="14" s="1"/>
  <c r="AF807" i="14"/>
  <c r="AF781" i="14"/>
  <c r="AF661" i="14"/>
  <c r="BG797" i="14"/>
  <c r="BF797" i="14" s="1"/>
  <c r="AF644" i="14"/>
  <c r="BH757" i="14"/>
  <c r="BF757" i="14" s="1"/>
  <c r="AF790" i="14"/>
  <c r="BC764" i="14"/>
  <c r="BH692" i="14"/>
  <c r="BF692" i="14" s="1"/>
  <c r="AF762" i="14"/>
  <c r="AF698" i="14"/>
  <c r="BG697" i="14"/>
  <c r="AF787" i="14"/>
  <c r="BD809" i="14"/>
  <c r="BD761" i="14"/>
  <c r="BH686" i="14"/>
  <c r="BF686" i="14" s="1"/>
  <c r="BC781" i="14"/>
  <c r="BC682" i="14"/>
  <c r="BH732" i="14"/>
  <c r="AF779" i="14"/>
  <c r="AF707" i="14"/>
  <c r="H698" i="14"/>
  <c r="AH698" i="14" s="1"/>
  <c r="P698" i="14"/>
  <c r="BJ698" i="14" s="1"/>
  <c r="P727" i="14"/>
  <c r="AG727" i="14" s="1"/>
  <c r="H727" i="14"/>
  <c r="AH727" i="14" s="1"/>
  <c r="AF686" i="14"/>
  <c r="BG771" i="14"/>
  <c r="BF771" i="14" s="1"/>
  <c r="AF660" i="14"/>
  <c r="AF677" i="14"/>
  <c r="AF665" i="14"/>
  <c r="BC762" i="14"/>
  <c r="BD797" i="14"/>
  <c r="BC673" i="14"/>
  <c r="AF761" i="14"/>
  <c r="AF716" i="14"/>
  <c r="BD813" i="14"/>
  <c r="BC768" i="14"/>
  <c r="AF648" i="14"/>
  <c r="BH793" i="14"/>
  <c r="BF793" i="14" s="1"/>
  <c r="BC671" i="14"/>
  <c r="BH623" i="14"/>
  <c r="BF623" i="14" s="1"/>
  <c r="BC797" i="14"/>
  <c r="AF700" i="14"/>
  <c r="BH642" i="14"/>
  <c r="BF642" i="14" s="1"/>
  <c r="BH658" i="14"/>
  <c r="AF712" i="14"/>
  <c r="AF778" i="14"/>
  <c r="AF765" i="14"/>
  <c r="AF684" i="14"/>
  <c r="AF809" i="14"/>
  <c r="BD768" i="14"/>
  <c r="BC777" i="14"/>
  <c r="BC809" i="14"/>
  <c r="AF666" i="14"/>
  <c r="BC779" i="14"/>
  <c r="BD791" i="14"/>
  <c r="BD784" i="14"/>
  <c r="P761" i="14"/>
  <c r="AG761" i="14" s="1"/>
  <c r="AF791" i="14"/>
  <c r="BH711" i="14"/>
  <c r="BF711" i="14" s="1"/>
  <c r="BC710" i="14"/>
  <c r="BH806" i="14"/>
  <c r="AF672" i="14"/>
  <c r="BC621" i="14"/>
  <c r="BD744" i="14"/>
  <c r="AF744" i="14"/>
  <c r="BC761" i="14"/>
  <c r="BC658" i="14"/>
  <c r="BH695" i="14"/>
  <c r="BF695" i="14" s="1"/>
  <c r="BC733" i="14"/>
  <c r="BH635" i="14"/>
  <c r="BF635" i="14" s="1"/>
  <c r="BC751" i="14"/>
  <c r="BH765" i="14"/>
  <c r="BF765" i="14" s="1"/>
  <c r="BC668" i="14"/>
  <c r="BD638" i="14"/>
  <c r="BD648" i="14"/>
  <c r="AF673" i="14"/>
  <c r="BD686" i="14"/>
  <c r="BD647" i="14"/>
  <c r="BC686" i="14"/>
  <c r="BD740" i="14"/>
  <c r="BC624" i="14"/>
  <c r="AF801" i="14"/>
  <c r="BD731" i="14"/>
  <c r="BH653" i="14"/>
  <c r="BF653" i="14" s="1"/>
  <c r="BD621" i="14"/>
  <c r="BC680" i="14"/>
  <c r="BH789" i="14"/>
  <c r="BF789" i="14" s="1"/>
  <c r="BH791" i="14"/>
  <c r="BF791" i="14" s="1"/>
  <c r="BD650" i="14"/>
  <c r="BC636" i="14"/>
  <c r="BC677" i="14"/>
  <c r="BD816" i="14"/>
  <c r="BC816" i="14"/>
  <c r="BH682" i="14"/>
  <c r="BF682" i="14" s="1"/>
  <c r="AF692" i="14"/>
  <c r="BH811" i="14"/>
  <c r="BF811" i="14" s="1"/>
  <c r="AF741" i="14"/>
  <c r="BC772" i="14"/>
  <c r="BD732" i="14"/>
  <c r="BG708" i="14"/>
  <c r="AF691" i="14"/>
  <c r="AF645" i="14"/>
  <c r="BH808" i="14"/>
  <c r="BF808" i="14" s="1"/>
  <c r="BC808" i="14"/>
  <c r="BC789" i="14"/>
  <c r="BD673" i="14"/>
  <c r="BH725" i="14"/>
  <c r="BF725" i="14" s="1"/>
  <c r="BC744" i="14"/>
  <c r="BC741" i="14"/>
  <c r="AF795" i="14"/>
  <c r="BH701" i="14"/>
  <c r="BF701" i="14" s="1"/>
  <c r="BC701" i="14"/>
  <c r="AF627" i="14"/>
  <c r="AF706" i="14"/>
  <c r="AF653" i="14"/>
  <c r="BC811" i="14"/>
  <c r="BC732" i="14"/>
  <c r="BC650" i="14"/>
  <c r="BC648" i="14"/>
  <c r="BC634" i="14"/>
  <c r="BD623" i="14"/>
  <c r="BD710" i="14"/>
  <c r="BD671" i="14"/>
  <c r="BD789" i="14"/>
  <c r="BH813" i="14"/>
  <c r="BF813" i="14" s="1"/>
  <c r="BH761" i="14"/>
  <c r="BF761" i="14" s="1"/>
  <c r="AF671" i="14"/>
  <c r="AF799" i="14"/>
  <c r="BH671" i="14"/>
  <c r="BF671" i="14" s="1"/>
  <c r="AF623" i="14"/>
  <c r="BD788" i="14"/>
  <c r="AF746" i="14"/>
  <c r="BD730" i="14"/>
  <c r="BC694" i="14"/>
  <c r="BC643" i="14"/>
  <c r="AF789" i="14"/>
  <c r="BC672" i="14"/>
  <c r="BC742" i="14"/>
  <c r="BC778" i="14"/>
  <c r="BC623" i="14"/>
  <c r="BD762" i="14"/>
  <c r="BD781" i="14"/>
  <c r="BD777" i="14"/>
  <c r="P816" i="14"/>
  <c r="BJ816" i="14" s="1"/>
  <c r="P744" i="14"/>
  <c r="AG744" i="14" s="1"/>
  <c r="P809" i="14"/>
  <c r="AG809" i="14" s="1"/>
  <c r="P648" i="14"/>
  <c r="AG648" i="14" s="1"/>
  <c r="P710" i="14"/>
  <c r="AG710" i="14" s="1"/>
  <c r="H797" i="14"/>
  <c r="AH797" i="14" s="1"/>
  <c r="P777" i="14"/>
  <c r="AG777" i="14" s="1"/>
  <c r="H809" i="14"/>
  <c r="BI809" i="14" s="1"/>
  <c r="H623" i="14"/>
  <c r="BI623" i="14" s="1"/>
  <c r="P623" i="14"/>
  <c r="AG623" i="14" s="1"/>
  <c r="P813" i="14"/>
  <c r="BJ813" i="14" s="1"/>
  <c r="P784" i="14"/>
  <c r="AG784" i="14" s="1"/>
  <c r="P762" i="14"/>
  <c r="AG762" i="14" s="1"/>
  <c r="P797" i="14"/>
  <c r="AG797" i="14" s="1"/>
  <c r="H813" i="14"/>
  <c r="BI813" i="14" s="1"/>
  <c r="H634" i="14"/>
  <c r="AH634" i="14" s="1"/>
  <c r="H686" i="14"/>
  <c r="BI686" i="14" s="1"/>
  <c r="H710" i="14"/>
  <c r="BI710" i="14" s="1"/>
  <c r="H777" i="14"/>
  <c r="BI777" i="14" s="1"/>
  <c r="H741" i="14"/>
  <c r="BI741" i="14" s="1"/>
  <c r="P682" i="14"/>
  <c r="AG682" i="14" s="1"/>
  <c r="P686" i="14"/>
  <c r="AG686" i="14" s="1"/>
  <c r="P781" i="14"/>
  <c r="AG781" i="14" s="1"/>
  <c r="H816" i="14"/>
  <c r="BI816" i="14" s="1"/>
  <c r="H784" i="14"/>
  <c r="BI784" i="14" s="1"/>
  <c r="H762" i="14"/>
  <c r="AH762" i="14" s="1"/>
  <c r="H648" i="14"/>
  <c r="BI648" i="14" s="1"/>
  <c r="H673" i="14"/>
  <c r="BI673" i="14" s="1"/>
  <c r="H744" i="14"/>
  <c r="AH744" i="14" s="1"/>
  <c r="P673" i="14"/>
  <c r="BJ673" i="14" s="1"/>
  <c r="P647" i="14"/>
  <c r="AG647" i="14" s="1"/>
  <c r="H682" i="14"/>
  <c r="AH682" i="14" s="1"/>
  <c r="H761" i="14"/>
  <c r="BI761" i="14" s="1"/>
  <c r="H781" i="14"/>
  <c r="AH781" i="14" s="1"/>
  <c r="P741" i="14"/>
  <c r="BJ741" i="14" s="1"/>
  <c r="AF768" i="14"/>
  <c r="BH815" i="14"/>
  <c r="BH742" i="14"/>
  <c r="BF742" i="14" s="1"/>
  <c r="AF701" i="14"/>
  <c r="AF749" i="14"/>
  <c r="BG781" i="14"/>
  <c r="AF626" i="14"/>
  <c r="BD703" i="14"/>
  <c r="AF655" i="14"/>
  <c r="AF639" i="14"/>
  <c r="AF641" i="14"/>
  <c r="AF815" i="14"/>
  <c r="AF806" i="14"/>
  <c r="BH621" i="14"/>
  <c r="BF621" i="14" s="1"/>
  <c r="BD681" i="14"/>
  <c r="BC763" i="14"/>
  <c r="BC667" i="14"/>
  <c r="BC795" i="14"/>
  <c r="BD691" i="14"/>
  <c r="BD742" i="14"/>
  <c r="BC638" i="14"/>
  <c r="BD636" i="14"/>
  <c r="BH636" i="14"/>
  <c r="BF636" i="14" s="1"/>
  <c r="BH627" i="14"/>
  <c r="BF627" i="14" s="1"/>
  <c r="AF690" i="14"/>
  <c r="BC619" i="14"/>
  <c r="AF811" i="14"/>
  <c r="BH685" i="14"/>
  <c r="BG799" i="14"/>
  <c r="BC620" i="14"/>
  <c r="AF625" i="14"/>
  <c r="BC790" i="14"/>
  <c r="BD752" i="14"/>
  <c r="BH645" i="14"/>
  <c r="BF645" i="14" s="1"/>
  <c r="AF621" i="14"/>
  <c r="BH684" i="14"/>
  <c r="BF684" i="14" s="1"/>
  <c r="BD692" i="14"/>
  <c r="BC681" i="14"/>
  <c r="BD725" i="14"/>
  <c r="BD808" i="14"/>
  <c r="BC725" i="14"/>
  <c r="BC641" i="14"/>
  <c r="BC708" i="14"/>
  <c r="BC740" i="14"/>
  <c r="BH763" i="14"/>
  <c r="BF763" i="14" s="1"/>
  <c r="BC769" i="14"/>
  <c r="BH744" i="14"/>
  <c r="BF744" i="14" s="1"/>
  <c r="BG787" i="14"/>
  <c r="BF787" i="14" s="1"/>
  <c r="BD633" i="14"/>
  <c r="BC665" i="14"/>
  <c r="BC753" i="14"/>
  <c r="BH639" i="14"/>
  <c r="BF639" i="14" s="1"/>
  <c r="BD672" i="14"/>
  <c r="BH676" i="14"/>
  <c r="BF676" i="14" s="1"/>
  <c r="BD795" i="14"/>
  <c r="BC691" i="14"/>
  <c r="BD677" i="14"/>
  <c r="BH657" i="14"/>
  <c r="BF657" i="14" s="1"/>
  <c r="AF785" i="14"/>
  <c r="BH647" i="14"/>
  <c r="BF647" i="14" s="1"/>
  <c r="BH716" i="14"/>
  <c r="BF716" i="14" s="1"/>
  <c r="AF733" i="14"/>
  <c r="BH643" i="14"/>
  <c r="BF643" i="14" s="1"/>
  <c r="AF681" i="14"/>
  <c r="BD641" i="14"/>
  <c r="BC676" i="14"/>
  <c r="BD708" i="14"/>
  <c r="BG694" i="14"/>
  <c r="BD748" i="14"/>
  <c r="BC642" i="14"/>
  <c r="BC799" i="14"/>
  <c r="P778" i="14"/>
  <c r="AG778" i="14" s="1"/>
  <c r="BG806" i="14"/>
  <c r="AF636" i="14"/>
  <c r="BC703" i="14"/>
  <c r="BD798" i="14"/>
  <c r="AF764" i="14"/>
  <c r="BC645" i="14"/>
  <c r="BH721" i="14"/>
  <c r="BF721" i="14" s="1"/>
  <c r="AF658" i="14"/>
  <c r="BD634" i="14"/>
  <c r="BD757" i="14"/>
  <c r="BC652" i="14"/>
  <c r="BC653" i="14"/>
  <c r="BC685" i="14"/>
  <c r="BC660" i="14"/>
  <c r="BC735" i="14"/>
  <c r="BC765" i="14"/>
  <c r="BD778" i="14"/>
  <c r="BH740" i="14"/>
  <c r="BF740" i="14" s="1"/>
  <c r="BD667" i="14"/>
  <c r="BC791" i="14"/>
  <c r="BD771" i="14"/>
  <c r="BH650" i="14"/>
  <c r="BF650" i="14" s="1"/>
  <c r="BD676" i="14"/>
  <c r="BD646" i="14"/>
  <c r="AF676" i="14"/>
  <c r="BG690" i="14"/>
  <c r="BF690" i="14" s="1"/>
  <c r="AF769" i="14"/>
  <c r="BH624" i="14"/>
  <c r="AF724" i="14"/>
  <c r="BD652" i="14"/>
  <c r="BD639" i="14"/>
  <c r="BD787" i="14"/>
  <c r="AF758" i="14"/>
  <c r="BG658" i="14"/>
  <c r="BD657" i="14"/>
  <c r="BC787" i="14"/>
  <c r="BH733" i="14"/>
  <c r="BF733" i="14" s="1"/>
  <c r="BC706" i="14"/>
  <c r="AF643" i="14"/>
  <c r="AF635" i="14"/>
  <c r="BC657" i="14"/>
  <c r="AF663" i="14"/>
  <c r="BD806" i="14"/>
  <c r="BC746" i="14"/>
  <c r="AF678" i="14"/>
  <c r="BD701" i="14"/>
  <c r="AF652" i="14"/>
  <c r="BH735" i="14"/>
  <c r="BF735" i="14" s="1"/>
  <c r="BC731" i="14"/>
  <c r="BC721" i="14"/>
  <c r="AF650" i="14"/>
  <c r="BH681" i="14"/>
  <c r="BF681" i="14" s="1"/>
  <c r="AF642" i="14"/>
  <c r="AF740" i="14"/>
  <c r="BD625" i="14"/>
  <c r="BD801" i="14"/>
  <c r="BD666" i="14"/>
  <c r="BD726" i="14"/>
  <c r="BH805" i="14"/>
  <c r="BF805" i="14" s="1"/>
  <c r="BH751" i="14"/>
  <c r="BF751" i="14" s="1"/>
  <c r="BH680" i="14"/>
  <c r="BF680" i="14" s="1"/>
  <c r="BC713" i="14"/>
  <c r="BD680" i="14"/>
  <c r="BH619" i="14"/>
  <c r="BF619" i="14" s="1"/>
  <c r="H650" i="14"/>
  <c r="BI650" i="14" s="1"/>
  <c r="P791" i="14"/>
  <c r="BJ791" i="14" s="1"/>
  <c r="H672" i="14"/>
  <c r="AH672" i="14" s="1"/>
  <c r="P636" i="14"/>
  <c r="AG636" i="14" s="1"/>
  <c r="P708" i="14"/>
  <c r="BJ708" i="14" s="1"/>
  <c r="P789" i="14"/>
  <c r="BJ789" i="14" s="1"/>
  <c r="H677" i="14"/>
  <c r="AH677" i="14" s="1"/>
  <c r="P795" i="14"/>
  <c r="BJ795" i="14" s="1"/>
  <c r="H638" i="14"/>
  <c r="AH638" i="14" s="1"/>
  <c r="H708" i="14"/>
  <c r="AH708" i="14" s="1"/>
  <c r="P740" i="14"/>
  <c r="BJ740" i="14" s="1"/>
  <c r="H646" i="14"/>
  <c r="BI646" i="14" s="1"/>
  <c r="H795" i="14"/>
  <c r="BI795" i="14" s="1"/>
  <c r="P742" i="14"/>
  <c r="AG742" i="14" s="1"/>
  <c r="H671" i="14"/>
  <c r="AH671" i="14" s="1"/>
  <c r="H676" i="14"/>
  <c r="AH676" i="14" s="1"/>
  <c r="P638" i="14"/>
  <c r="AG638" i="14" s="1"/>
  <c r="P667" i="14"/>
  <c r="AG667" i="14" s="1"/>
  <c r="H808" i="14"/>
  <c r="AH808" i="14" s="1"/>
  <c r="P646" i="14"/>
  <c r="BJ646" i="14" s="1"/>
  <c r="H691" i="14"/>
  <c r="BI691" i="14" s="1"/>
  <c r="H732" i="14"/>
  <c r="AH732" i="14" s="1"/>
  <c r="P671" i="14"/>
  <c r="BJ671" i="14" s="1"/>
  <c r="P732" i="14"/>
  <c r="AG732" i="14" s="1"/>
  <c r="H636" i="14"/>
  <c r="AH636" i="14" s="1"/>
  <c r="P677" i="14"/>
  <c r="AG677" i="14" s="1"/>
  <c r="H725" i="14"/>
  <c r="AH725" i="14" s="1"/>
  <c r="H771" i="14"/>
  <c r="AH771" i="14" s="1"/>
  <c r="P641" i="14"/>
  <c r="AG641" i="14" s="1"/>
  <c r="H778" i="14"/>
  <c r="BI778" i="14" s="1"/>
  <c r="H791" i="14"/>
  <c r="AH791" i="14" s="1"/>
  <c r="P681" i="14"/>
  <c r="AG681" i="14" s="1"/>
  <c r="H641" i="14"/>
  <c r="AH641" i="14" s="1"/>
  <c r="P650" i="14"/>
  <c r="BJ650" i="14" s="1"/>
  <c r="H667" i="14"/>
  <c r="AH667" i="14" s="1"/>
  <c r="P771" i="14"/>
  <c r="BJ771" i="14" s="1"/>
  <c r="P691" i="14"/>
  <c r="AG691" i="14" s="1"/>
  <c r="H789" i="14"/>
  <c r="BI789" i="14" s="1"/>
  <c r="P676" i="14"/>
  <c r="BJ676" i="14" s="1"/>
  <c r="P672" i="14"/>
  <c r="BJ672" i="14" s="1"/>
  <c r="H740" i="14"/>
  <c r="AH740" i="14" s="1"/>
  <c r="P808" i="14"/>
  <c r="BJ808" i="14" s="1"/>
  <c r="P725" i="14"/>
  <c r="AG725" i="14" s="1"/>
  <c r="H742" i="14"/>
  <c r="BI742" i="14" s="1"/>
  <c r="H642" i="14"/>
  <c r="BI642" i="14" s="1"/>
  <c r="BH736" i="14"/>
  <c r="BF736" i="14" s="1"/>
  <c r="BC815" i="14"/>
  <c r="BH801" i="14"/>
  <c r="BF801" i="14" s="1"/>
  <c r="BH668" i="14"/>
  <c r="BF668" i="14" s="1"/>
  <c r="BD678" i="14"/>
  <c r="BC734" i="14"/>
  <c r="BC739" i="14"/>
  <c r="BD627" i="14"/>
  <c r="BD754" i="14"/>
  <c r="BD790" i="14"/>
  <c r="BD811" i="14"/>
  <c r="BH724" i="14"/>
  <c r="BF724" i="14" s="1"/>
  <c r="BD668" i="14"/>
  <c r="BD765" i="14"/>
  <c r="AF757" i="14"/>
  <c r="AF647" i="14"/>
  <c r="BD794" i="14"/>
  <c r="BC736" i="14"/>
  <c r="BD658" i="14"/>
  <c r="BC757" i="14"/>
  <c r="BD644" i="14"/>
  <c r="BD753" i="14"/>
  <c r="BD758" i="14"/>
  <c r="BD645" i="14"/>
  <c r="AF726" i="14"/>
  <c r="BD774" i="14"/>
  <c r="BH734" i="14"/>
  <c r="BF734" i="14" s="1"/>
  <c r="BH772" i="14"/>
  <c r="BF772" i="14" s="1"/>
  <c r="BD736" i="14"/>
  <c r="BD695" i="14"/>
  <c r="BC626" i="14"/>
  <c r="BD779" i="14"/>
  <c r="BC716" i="14"/>
  <c r="BC663" i="14"/>
  <c r="AF736" i="14"/>
  <c r="AF685" i="14"/>
  <c r="BD711" i="14"/>
  <c r="BD685" i="14"/>
  <c r="BC748" i="14"/>
  <c r="AF752" i="14"/>
  <c r="BC637" i="14"/>
  <c r="BD663" i="14"/>
  <c r="BH799" i="14"/>
  <c r="BD749" i="14"/>
  <c r="BC752" i="14"/>
  <c r="BH731" i="14"/>
  <c r="BF731" i="14" s="1"/>
  <c r="BH764" i="14"/>
  <c r="BF764" i="14" s="1"/>
  <c r="BD724" i="14"/>
  <c r="BD660" i="14"/>
  <c r="BH790" i="14"/>
  <c r="BD684" i="14"/>
  <c r="BD706" i="14"/>
  <c r="BC684" i="14"/>
  <c r="BD721" i="14"/>
  <c r="BH768" i="14"/>
  <c r="BF768" i="14" s="1"/>
  <c r="AF668" i="14"/>
  <c r="AF619" i="14"/>
  <c r="BH748" i="14"/>
  <c r="BF748" i="14" s="1"/>
  <c r="BH652" i="14"/>
  <c r="BF652" i="14" s="1"/>
  <c r="BG790" i="14"/>
  <c r="AF730" i="14"/>
  <c r="AF731" i="14"/>
  <c r="BG815" i="14"/>
  <c r="AF751" i="14"/>
  <c r="AF624" i="14"/>
  <c r="BD751" i="14"/>
  <c r="BH758" i="14"/>
  <c r="BF758" i="14" s="1"/>
  <c r="BD643" i="14"/>
  <c r="BC726" i="14"/>
  <c r="BC730" i="14"/>
  <c r="BC758" i="14"/>
  <c r="BC724" i="14"/>
  <c r="BH706" i="14"/>
  <c r="BF706" i="14" s="1"/>
  <c r="BD642" i="14"/>
  <c r="BD805" i="14"/>
  <c r="BC749" i="14"/>
  <c r="BH625" i="14"/>
  <c r="BF625" i="14" s="1"/>
  <c r="BD637" i="14"/>
  <c r="BD763" i="14"/>
  <c r="BH726" i="14"/>
  <c r="BF726" i="14" s="1"/>
  <c r="BC692" i="14"/>
  <c r="AF620" i="14"/>
  <c r="BH665" i="14"/>
  <c r="BF665" i="14" s="1"/>
  <c r="BC712" i="14"/>
  <c r="BD769" i="14"/>
  <c r="BC722" i="14"/>
  <c r="BD661" i="14"/>
  <c r="BC639" i="14"/>
  <c r="BD716" i="14"/>
  <c r="BD694" i="14"/>
  <c r="BC655" i="14"/>
  <c r="BC806" i="14"/>
  <c r="BC627" i="14"/>
  <c r="BD635" i="14"/>
  <c r="BC666" i="14"/>
  <c r="BD712" i="14"/>
  <c r="BD735" i="14"/>
  <c r="BD764" i="14"/>
  <c r="AF680" i="14"/>
  <c r="BG685" i="14"/>
  <c r="BH753" i="14"/>
  <c r="BF753" i="14" s="1"/>
  <c r="AF695" i="14"/>
  <c r="BG722" i="14"/>
  <c r="BG798" i="14"/>
  <c r="P721" i="14"/>
  <c r="AG721" i="14" s="1"/>
  <c r="P726" i="14"/>
  <c r="AG726" i="14" s="1"/>
  <c r="H765" i="14"/>
  <c r="AH765" i="14" s="1"/>
  <c r="H645" i="14"/>
  <c r="BI645" i="14" s="1"/>
  <c r="H748" i="14"/>
  <c r="AH748" i="14" s="1"/>
  <c r="P642" i="14"/>
  <c r="BJ642" i="14" s="1"/>
  <c r="P643" i="14"/>
  <c r="BJ643" i="14" s="1"/>
  <c r="P668" i="14"/>
  <c r="BJ668" i="14" s="1"/>
  <c r="P680" i="14"/>
  <c r="AG680" i="14" s="1"/>
  <c r="P684" i="14"/>
  <c r="AG684" i="14" s="1"/>
  <c r="P621" i="14"/>
  <c r="AG621" i="14" s="1"/>
  <c r="H721" i="14"/>
  <c r="BI721" i="14" s="1"/>
  <c r="P706" i="14"/>
  <c r="BJ706" i="14" s="1"/>
  <c r="H668" i="14"/>
  <c r="BI668" i="14" s="1"/>
  <c r="P645" i="14"/>
  <c r="BJ645" i="14" s="1"/>
  <c r="H706" i="14"/>
  <c r="AH706" i="14" s="1"/>
  <c r="H643" i="14"/>
  <c r="AH643" i="14" s="1"/>
  <c r="P763" i="14"/>
  <c r="BJ763" i="14" s="1"/>
  <c r="H726" i="14"/>
  <c r="BI726" i="14" s="1"/>
  <c r="H684" i="14"/>
  <c r="AH684" i="14" s="1"/>
  <c r="H680" i="14"/>
  <c r="BI680" i="14" s="1"/>
  <c r="P748" i="14"/>
  <c r="BJ748" i="14" s="1"/>
  <c r="H681" i="14"/>
  <c r="AH681" i="14" s="1"/>
  <c r="H763" i="14"/>
  <c r="AH763" i="14" s="1"/>
  <c r="P765" i="14"/>
  <c r="AG765" i="14" s="1"/>
  <c r="BC754" i="14"/>
  <c r="BC625" i="14"/>
  <c r="BH655" i="14"/>
  <c r="BF655" i="14" s="1"/>
  <c r="BC798" i="14"/>
  <c r="BH626" i="14"/>
  <c r="BF626" i="14" s="1"/>
  <c r="BH663" i="14"/>
  <c r="BF663" i="14" s="1"/>
  <c r="BD729" i="14"/>
  <c r="BC711" i="14"/>
  <c r="BD799" i="14"/>
  <c r="BD653" i="14"/>
  <c r="BD655" i="14"/>
  <c r="BD713" i="14"/>
  <c r="H711" i="14"/>
  <c r="BI711" i="14" s="1"/>
  <c r="P806" i="14"/>
  <c r="AG806" i="14" s="1"/>
  <c r="H692" i="14"/>
  <c r="BI692" i="14" s="1"/>
  <c r="H801" i="14"/>
  <c r="AH801" i="14" s="1"/>
  <c r="P692" i="14"/>
  <c r="BJ692" i="14" s="1"/>
  <c r="BG624" i="14"/>
  <c r="AF729" i="14"/>
  <c r="BD739" i="14"/>
  <c r="BD624" i="14"/>
  <c r="AF713" i="14"/>
  <c r="BH678" i="14"/>
  <c r="BF678" i="14" s="1"/>
  <c r="BC782" i="14"/>
  <c r="BC662" i="14"/>
  <c r="BC633" i="14"/>
  <c r="BC729" i="14"/>
  <c r="BC695" i="14"/>
  <c r="BH774" i="14"/>
  <c r="BF774" i="14" s="1"/>
  <c r="AF734" i="14"/>
  <c r="BD662" i="14"/>
  <c r="BH785" i="14"/>
  <c r="BF785" i="14" s="1"/>
  <c r="BD665" i="14"/>
  <c r="BC805" i="14"/>
  <c r="BH637" i="14"/>
  <c r="BF637" i="14" s="1"/>
  <c r="BH633" i="14"/>
  <c r="BF633" i="14" s="1"/>
  <c r="P729" i="14"/>
  <c r="AG729" i="14" s="1"/>
  <c r="P653" i="14"/>
  <c r="BJ653" i="14" s="1"/>
  <c r="H653" i="14"/>
  <c r="AH653" i="14" s="1"/>
  <c r="H660" i="14"/>
  <c r="AH660" i="14" s="1"/>
  <c r="P712" i="14"/>
  <c r="BJ712" i="14" s="1"/>
  <c r="P660" i="14"/>
  <c r="AG660" i="14" s="1"/>
  <c r="H735" i="14"/>
  <c r="BI735" i="14" s="1"/>
  <c r="P724" i="14"/>
  <c r="BJ724" i="14" s="1"/>
  <c r="P731" i="14"/>
  <c r="BJ731" i="14" s="1"/>
  <c r="H724" i="14"/>
  <c r="BI724" i="14" s="1"/>
  <c r="P735" i="14"/>
  <c r="BJ735" i="14" s="1"/>
  <c r="H685" i="14"/>
  <c r="AH685" i="14" s="1"/>
  <c r="H734" i="14"/>
  <c r="BI734" i="14" s="1"/>
  <c r="H811" i="14"/>
  <c r="BI811" i="14" s="1"/>
  <c r="H758" i="14"/>
  <c r="AH758" i="14" s="1"/>
  <c r="P685" i="14"/>
  <c r="BJ685" i="14" s="1"/>
  <c r="P764" i="14"/>
  <c r="AG764" i="14" s="1"/>
  <c r="P758" i="14"/>
  <c r="AG758" i="14" s="1"/>
  <c r="H764" i="14"/>
  <c r="BI764" i="14" s="1"/>
  <c r="H666" i="14"/>
  <c r="BI666" i="14" s="1"/>
  <c r="P711" i="14"/>
  <c r="BJ711" i="14" s="1"/>
  <c r="P799" i="14"/>
  <c r="BJ799" i="14" s="1"/>
  <c r="H799" i="14"/>
  <c r="BI799" i="14" s="1"/>
  <c r="H712" i="14"/>
  <c r="BI712" i="14" s="1"/>
  <c r="P749" i="14"/>
  <c r="BJ749" i="14" s="1"/>
  <c r="P666" i="14"/>
  <c r="AG666" i="14" s="1"/>
  <c r="H749" i="14"/>
  <c r="AH749" i="14" s="1"/>
  <c r="P811" i="14"/>
  <c r="BJ811" i="14" s="1"/>
  <c r="H731" i="14"/>
  <c r="BI731" i="14" s="1"/>
  <c r="BD619" i="14"/>
  <c r="BC661" i="14"/>
  <c r="BC635" i="14"/>
  <c r="BC801" i="14"/>
  <c r="BD733" i="14"/>
  <c r="P713" i="14"/>
  <c r="BJ713" i="14" s="1"/>
  <c r="H730" i="14"/>
  <c r="BI730" i="14" s="1"/>
  <c r="H733" i="14"/>
  <c r="BI733" i="14" s="1"/>
  <c r="P798" i="14"/>
  <c r="AG798" i="14" s="1"/>
  <c r="P787" i="14"/>
  <c r="AG787" i="14" s="1"/>
  <c r="P718" i="14"/>
  <c r="BJ718" i="14" s="1"/>
  <c r="H713" i="14"/>
  <c r="BI713" i="14" s="1"/>
  <c r="P655" i="14"/>
  <c r="AG655" i="14" s="1"/>
  <c r="H798" i="14"/>
  <c r="BI798" i="14" s="1"/>
  <c r="H639" i="14"/>
  <c r="AH639" i="14" s="1"/>
  <c r="P753" i="14"/>
  <c r="AG753" i="14" s="1"/>
  <c r="P730" i="14"/>
  <c r="AG730" i="14" s="1"/>
  <c r="H779" i="14"/>
  <c r="BI779" i="14" s="1"/>
  <c r="P627" i="14"/>
  <c r="BJ627" i="14" s="1"/>
  <c r="P716" i="14"/>
  <c r="BJ716" i="14" s="1"/>
  <c r="H625" i="14"/>
  <c r="BI625" i="14" s="1"/>
  <c r="P754" i="14"/>
  <c r="AG754" i="14" s="1"/>
  <c r="H663" i="14"/>
  <c r="AH663" i="14" s="1"/>
  <c r="H637" i="14"/>
  <c r="AH637" i="14" s="1"/>
  <c r="H655" i="14"/>
  <c r="AH655" i="14" s="1"/>
  <c r="P751" i="14"/>
  <c r="AG751" i="14" s="1"/>
  <c r="H652" i="14"/>
  <c r="AH652" i="14" s="1"/>
  <c r="P801" i="14"/>
  <c r="AG801" i="14" s="1"/>
  <c r="P779" i="14"/>
  <c r="AG779" i="14" s="1"/>
  <c r="H694" i="14"/>
  <c r="BI694" i="14" s="1"/>
  <c r="P639" i="14"/>
  <c r="AG639" i="14" s="1"/>
  <c r="P635" i="14"/>
  <c r="BJ635" i="14" s="1"/>
  <c r="P790" i="14"/>
  <c r="BJ790" i="14" s="1"/>
  <c r="P663" i="14"/>
  <c r="BJ663" i="14" s="1"/>
  <c r="H635" i="14"/>
  <c r="AH635" i="14" s="1"/>
  <c r="H806" i="14"/>
  <c r="BI806" i="14" s="1"/>
  <c r="H716" i="14"/>
  <c r="BI716" i="14" s="1"/>
  <c r="P637" i="14"/>
  <c r="BJ637" i="14" s="1"/>
  <c r="P625" i="14"/>
  <c r="BJ625" i="14" s="1"/>
  <c r="P733" i="14"/>
  <c r="AG733" i="14" s="1"/>
  <c r="H751" i="14"/>
  <c r="AH751" i="14" s="1"/>
  <c r="H627" i="14"/>
  <c r="AH627" i="14" s="1"/>
  <c r="H754" i="14"/>
  <c r="BI754" i="14" s="1"/>
  <c r="P694" i="14"/>
  <c r="BJ694" i="14" s="1"/>
  <c r="H787" i="14"/>
  <c r="BI787" i="14" s="1"/>
  <c r="H790" i="14"/>
  <c r="AH790" i="14" s="1"/>
  <c r="P652" i="14"/>
  <c r="AG652" i="14" s="1"/>
  <c r="H753" i="14"/>
  <c r="BI753" i="14" s="1"/>
  <c r="BD759" i="14"/>
  <c r="AF703" i="14"/>
  <c r="BD772" i="14"/>
  <c r="AF628" i="14"/>
  <c r="BD628" i="14"/>
  <c r="BD793" i="14"/>
  <c r="BH746" i="14"/>
  <c r="BF746" i="14" s="1"/>
  <c r="BD700" i="14"/>
  <c r="BC774" i="14"/>
  <c r="BC628" i="14"/>
  <c r="BD815" i="14"/>
  <c r="BC793" i="14"/>
  <c r="BD722" i="14"/>
  <c r="BC644" i="14"/>
  <c r="BH703" i="14"/>
  <c r="BF703" i="14" s="1"/>
  <c r="BD620" i="14"/>
  <c r="AF662" i="14"/>
  <c r="AF794" i="14"/>
  <c r="P805" i="14"/>
  <c r="AG805" i="14" s="1"/>
  <c r="P644" i="14"/>
  <c r="BJ644" i="14" s="1"/>
  <c r="P757" i="14"/>
  <c r="BJ757" i="14" s="1"/>
  <c r="P661" i="14"/>
  <c r="BJ661" i="14" s="1"/>
  <c r="H805" i="14"/>
  <c r="BI805" i="14" s="1"/>
  <c r="H757" i="14"/>
  <c r="AH757" i="14" s="1"/>
  <c r="H661" i="14"/>
  <c r="BI661" i="14" s="1"/>
  <c r="BC690" i="14"/>
  <c r="BH644" i="14"/>
  <c r="BF644" i="14" s="1"/>
  <c r="BH628" i="14"/>
  <c r="BF628" i="14" s="1"/>
  <c r="AF774" i="14"/>
  <c r="BD782" i="14"/>
  <c r="BH620" i="14"/>
  <c r="BF620" i="14" s="1"/>
  <c r="BH752" i="14"/>
  <c r="BF752" i="14" s="1"/>
  <c r="AF793" i="14"/>
  <c r="P722" i="14"/>
  <c r="AG722" i="14" s="1"/>
  <c r="H768" i="14"/>
  <c r="AH768" i="14" s="1"/>
  <c r="H658" i="14"/>
  <c r="AH658" i="14" s="1"/>
  <c r="P658" i="14"/>
  <c r="AG658" i="14" s="1"/>
  <c r="H657" i="14"/>
  <c r="BI657" i="14" s="1"/>
  <c r="P657" i="14"/>
  <c r="AG657" i="14" s="1"/>
  <c r="P701" i="14"/>
  <c r="BJ701" i="14" s="1"/>
  <c r="H793" i="14"/>
  <c r="AH793" i="14" s="1"/>
  <c r="P768" i="14"/>
  <c r="AG768" i="14" s="1"/>
  <c r="P793" i="14"/>
  <c r="BJ793" i="14" s="1"/>
  <c r="P665" i="14"/>
  <c r="BJ665" i="14" s="1"/>
  <c r="H701" i="14"/>
  <c r="AH701" i="14" s="1"/>
  <c r="H665" i="14"/>
  <c r="BI665" i="14" s="1"/>
  <c r="H722" i="14"/>
  <c r="BI722" i="14" s="1"/>
  <c r="P634" i="14"/>
  <c r="AG634" i="14" s="1"/>
  <c r="H647" i="14"/>
  <c r="AH647" i="14" s="1"/>
  <c r="BC759" i="14"/>
  <c r="BC794" i="14"/>
  <c r="BH729" i="14"/>
  <c r="BF729" i="14" s="1"/>
  <c r="BC678" i="14"/>
  <c r="BC700" i="14"/>
  <c r="BD746" i="14"/>
  <c r="BD690" i="14"/>
  <c r="BC785" i="14"/>
  <c r="BD626" i="14"/>
  <c r="BD785" i="14"/>
  <c r="BD734" i="14"/>
  <c r="AF782" i="14"/>
  <c r="AF759" i="14"/>
  <c r="H774" i="14"/>
  <c r="BI774" i="14" s="1"/>
  <c r="H633" i="14"/>
  <c r="BI633" i="14" s="1"/>
  <c r="H772" i="14"/>
  <c r="BI772" i="14" s="1"/>
  <c r="P628" i="14"/>
  <c r="AG628" i="14" s="1"/>
  <c r="P759" i="14"/>
  <c r="BJ759" i="14" s="1"/>
  <c r="H703" i="14"/>
  <c r="AH703" i="14" s="1"/>
  <c r="P752" i="14"/>
  <c r="AG752" i="14" s="1"/>
  <c r="H628" i="14"/>
  <c r="AH628" i="14" s="1"/>
  <c r="P633" i="14"/>
  <c r="BJ633" i="14" s="1"/>
  <c r="H769" i="14"/>
  <c r="BI769" i="14" s="1"/>
  <c r="H690" i="14"/>
  <c r="BI690" i="14" s="1"/>
  <c r="P620" i="14"/>
  <c r="AG620" i="14" s="1"/>
  <c r="H700" i="14"/>
  <c r="AH700" i="14" s="1"/>
  <c r="H739" i="14"/>
  <c r="AH739" i="14" s="1"/>
  <c r="H662" i="14"/>
  <c r="AH662" i="14" s="1"/>
  <c r="H736" i="14"/>
  <c r="AH736" i="14" s="1"/>
  <c r="H620" i="14"/>
  <c r="AH620" i="14" s="1"/>
  <c r="P782" i="14"/>
  <c r="AG782" i="14" s="1"/>
  <c r="P794" i="14"/>
  <c r="AG794" i="14" s="1"/>
  <c r="P734" i="14"/>
  <c r="BJ734" i="14" s="1"/>
  <c r="P815" i="14"/>
  <c r="BJ815" i="14" s="1"/>
  <c r="P703" i="14"/>
  <c r="AG703" i="14" s="1"/>
  <c r="P785" i="14"/>
  <c r="BJ785" i="14" s="1"/>
  <c r="H729" i="14"/>
  <c r="BI729" i="14" s="1"/>
  <c r="H752" i="14"/>
  <c r="BI752" i="14" s="1"/>
  <c r="P774" i="14"/>
  <c r="AG774" i="14" s="1"/>
  <c r="H695" i="14"/>
  <c r="AH695" i="14" s="1"/>
  <c r="H759" i="14"/>
  <c r="AH759" i="14" s="1"/>
  <c r="H678" i="14"/>
  <c r="AH678" i="14" s="1"/>
  <c r="P695" i="14"/>
  <c r="AG695" i="14" s="1"/>
  <c r="H746" i="14"/>
  <c r="AH746" i="14" s="1"/>
  <c r="H626" i="14"/>
  <c r="AH626" i="14" s="1"/>
  <c r="P736" i="14"/>
  <c r="BJ736" i="14" s="1"/>
  <c r="H815" i="14"/>
  <c r="AH815" i="14" s="1"/>
  <c r="P690" i="14"/>
  <c r="BJ690" i="14" s="1"/>
  <c r="P769" i="14"/>
  <c r="BJ769" i="14" s="1"/>
  <c r="P662" i="14"/>
  <c r="AG662" i="14" s="1"/>
  <c r="P626" i="14"/>
  <c r="BJ626" i="14" s="1"/>
  <c r="P772" i="14"/>
  <c r="BJ772" i="14" s="1"/>
  <c r="P624" i="14"/>
  <c r="BJ624" i="14" s="1"/>
  <c r="H624" i="14"/>
  <c r="AH624" i="14" s="1"/>
  <c r="H782" i="14"/>
  <c r="BI782" i="14" s="1"/>
  <c r="H794" i="14"/>
  <c r="BI794" i="14" s="1"/>
  <c r="P739" i="14"/>
  <c r="AG739" i="14" s="1"/>
  <c r="H785" i="14"/>
  <c r="AH785" i="14" s="1"/>
  <c r="P746" i="14"/>
  <c r="AG746" i="14" s="1"/>
  <c r="P700" i="14"/>
  <c r="AG700" i="14" s="1"/>
  <c r="P678" i="14"/>
  <c r="AG678" i="14" s="1"/>
  <c r="BF700" i="14"/>
  <c r="BF730" i="14"/>
  <c r="BF749" i="14"/>
  <c r="BF719" i="14"/>
  <c r="BF712" i="14"/>
  <c r="BF769" i="14"/>
  <c r="BF641" i="14"/>
  <c r="BF673" i="14"/>
  <c r="BF666" i="14"/>
  <c r="BE719" i="14"/>
  <c r="BF784" i="14"/>
  <c r="BF794" i="14"/>
  <c r="BF812" i="14"/>
  <c r="BF660" i="14"/>
  <c r="BF713" i="14"/>
  <c r="BF662" i="14"/>
  <c r="BF755" i="14"/>
  <c r="P819" i="14"/>
  <c r="H819" i="14"/>
  <c r="BH819" i="14"/>
  <c r="AH719" i="14"/>
  <c r="BI719" i="14"/>
  <c r="BF770" i="14"/>
  <c r="AF819" i="14"/>
  <c r="BG819" i="14"/>
  <c r="BF782" i="14"/>
  <c r="BC819" i="14"/>
  <c r="BF759" i="14"/>
  <c r="BF688" i="14"/>
  <c r="BJ719" i="14"/>
  <c r="AG719" i="14"/>
  <c r="BF816" i="14"/>
  <c r="BD819" i="14"/>
  <c r="BE702" i="14" l="1"/>
  <c r="AG702" i="14"/>
  <c r="AN702" i="14" s="1"/>
  <c r="BI702" i="14"/>
  <c r="BK702" i="14" s="1"/>
  <c r="BI775" i="14"/>
  <c r="BE775" i="14"/>
  <c r="BE792" i="14"/>
  <c r="BI792" i="14"/>
  <c r="BK792" i="14" s="1"/>
  <c r="BJ775" i="14"/>
  <c r="AG796" i="14"/>
  <c r="AN796" i="14" s="1"/>
  <c r="AG792" i="14"/>
  <c r="AI792" i="14" s="1"/>
  <c r="AA792" i="14" s="1"/>
  <c r="AD792" i="14" s="1"/>
  <c r="BE796" i="14"/>
  <c r="BE812" i="14"/>
  <c r="AH812" i="14"/>
  <c r="AK812" i="14" s="1"/>
  <c r="AG812" i="14"/>
  <c r="AN812" i="14" s="1"/>
  <c r="BI796" i="14"/>
  <c r="BK796" i="14" s="1"/>
  <c r="BF747" i="14"/>
  <c r="BJ669" i="14"/>
  <c r="BE632" i="14"/>
  <c r="BF669" i="14"/>
  <c r="BE669" i="14"/>
  <c r="BI669" i="14"/>
  <c r="BE674" i="14"/>
  <c r="BE766" i="14"/>
  <c r="BE818" i="14"/>
  <c r="BF818" i="14"/>
  <c r="BF766" i="14"/>
  <c r="BJ674" i="14"/>
  <c r="BK674" i="14" s="1"/>
  <c r="AH818" i="14"/>
  <c r="AK818" i="14" s="1"/>
  <c r="BI766" i="14"/>
  <c r="AH674" i="14"/>
  <c r="AJ674" i="14" s="1"/>
  <c r="Z674" i="14" s="1"/>
  <c r="BJ766" i="14"/>
  <c r="BJ818" i="14"/>
  <c r="BK818" i="14" s="1"/>
  <c r="AH632" i="14"/>
  <c r="AK632" i="14" s="1"/>
  <c r="AG632" i="14"/>
  <c r="AI632" i="14" s="1"/>
  <c r="AA632" i="14" s="1"/>
  <c r="AD632" i="14" s="1"/>
  <c r="AG747" i="14"/>
  <c r="AN747" i="14" s="1"/>
  <c r="BE689" i="14"/>
  <c r="BE717" i="14"/>
  <c r="BF689" i="14"/>
  <c r="BE747" i="14"/>
  <c r="AH747" i="14"/>
  <c r="AJ747" i="14" s="1"/>
  <c r="Z747" i="14" s="1"/>
  <c r="BI717" i="14"/>
  <c r="BJ717" i="14"/>
  <c r="AG689" i="14"/>
  <c r="AL689" i="14" s="1"/>
  <c r="AH689" i="14"/>
  <c r="AM689" i="14" s="1"/>
  <c r="BE810" i="14"/>
  <c r="BF750" i="14"/>
  <c r="BE750" i="14"/>
  <c r="BI750" i="14"/>
  <c r="BJ750" i="14"/>
  <c r="BJ810" i="14"/>
  <c r="BI810" i="14"/>
  <c r="BE801" i="14"/>
  <c r="BF802" i="14"/>
  <c r="BE723" i="14"/>
  <c r="AG723" i="14"/>
  <c r="AN723" i="14" s="1"/>
  <c r="BF694" i="14"/>
  <c r="BE659" i="14"/>
  <c r="BI659" i="14"/>
  <c r="BI773" i="14"/>
  <c r="BK773" i="14" s="1"/>
  <c r="BE773" i="14"/>
  <c r="BE802" i="14"/>
  <c r="BE726" i="14"/>
  <c r="AG802" i="14"/>
  <c r="AI802" i="14" s="1"/>
  <c r="AA802" i="14" s="1"/>
  <c r="AD802" i="14" s="1"/>
  <c r="BJ659" i="14"/>
  <c r="AH802" i="14"/>
  <c r="AM802" i="14" s="1"/>
  <c r="AG773" i="14"/>
  <c r="AL773" i="14" s="1"/>
  <c r="AG714" i="14"/>
  <c r="AN714" i="14" s="1"/>
  <c r="BI704" i="14"/>
  <c r="BK704" i="14" s="1"/>
  <c r="BE720" i="14"/>
  <c r="AG704" i="14"/>
  <c r="AI704" i="14" s="1"/>
  <c r="AA704" i="14" s="1"/>
  <c r="AD704" i="14" s="1"/>
  <c r="BE664" i="14"/>
  <c r="BI696" i="14"/>
  <c r="BF704" i="14"/>
  <c r="BE804" i="14"/>
  <c r="BF705" i="14"/>
  <c r="BE743" i="14"/>
  <c r="AH720" i="14"/>
  <c r="AJ720" i="14" s="1"/>
  <c r="Z720" i="14" s="1"/>
  <c r="AG743" i="14"/>
  <c r="AN743" i="14" s="1"/>
  <c r="AG622" i="14"/>
  <c r="AI622" i="14" s="1"/>
  <c r="AA622" i="14" s="1"/>
  <c r="AD622" i="14" s="1"/>
  <c r="AH714" i="14"/>
  <c r="AJ714" i="14" s="1"/>
  <c r="Z714" i="14" s="1"/>
  <c r="BI723" i="14"/>
  <c r="BK723" i="14" s="1"/>
  <c r="AG720" i="14"/>
  <c r="AN720" i="14" s="1"/>
  <c r="BE714" i="14"/>
  <c r="BI743" i="14"/>
  <c r="BK743" i="14" s="1"/>
  <c r="AG664" i="14"/>
  <c r="AN664" i="14" s="1"/>
  <c r="BI664" i="14"/>
  <c r="BK664" i="14" s="1"/>
  <c r="BF760" i="14"/>
  <c r="BF675" i="14"/>
  <c r="BI804" i="14"/>
  <c r="BE629" i="14"/>
  <c r="BE696" i="14"/>
  <c r="BE705" i="14"/>
  <c r="BF814" i="14"/>
  <c r="BE704" i="14"/>
  <c r="AH629" i="14"/>
  <c r="AJ629" i="14" s="1"/>
  <c r="Z629" i="14" s="1"/>
  <c r="BI705" i="14"/>
  <c r="AG783" i="14"/>
  <c r="AN783" i="14" s="1"/>
  <c r="BE767" i="14"/>
  <c r="BJ705" i="14"/>
  <c r="AG760" i="14"/>
  <c r="AL760" i="14" s="1"/>
  <c r="BJ804" i="14"/>
  <c r="AH767" i="14"/>
  <c r="AJ767" i="14" s="1"/>
  <c r="Z767" i="14" s="1"/>
  <c r="AG629" i="14"/>
  <c r="AL629" i="14" s="1"/>
  <c r="BE651" i="14"/>
  <c r="BE675" i="14"/>
  <c r="AG767" i="14"/>
  <c r="AN767" i="14" s="1"/>
  <c r="BE709" i="14"/>
  <c r="BI675" i="14"/>
  <c r="BK675" i="14" s="1"/>
  <c r="AH709" i="14"/>
  <c r="AM709" i="14" s="1"/>
  <c r="BE760" i="14"/>
  <c r="BI651" i="14"/>
  <c r="BJ651" i="14"/>
  <c r="BI738" i="14"/>
  <c r="BK738" i="14" s="1"/>
  <c r="AG675" i="14"/>
  <c r="AI675" i="14" s="1"/>
  <c r="AA675" i="14" s="1"/>
  <c r="AD675" i="14" s="1"/>
  <c r="BI760" i="14"/>
  <c r="BK760" i="14" s="1"/>
  <c r="BJ709" i="14"/>
  <c r="BK709" i="14" s="1"/>
  <c r="BE776" i="14"/>
  <c r="BE745" i="14"/>
  <c r="AH745" i="14"/>
  <c r="AJ745" i="14" s="1"/>
  <c r="Z745" i="14" s="1"/>
  <c r="AH776" i="14"/>
  <c r="AJ776" i="14" s="1"/>
  <c r="Z776" i="14" s="1"/>
  <c r="BE622" i="14"/>
  <c r="AG776" i="14"/>
  <c r="AI776" i="14" s="1"/>
  <c r="AA776" i="14" s="1"/>
  <c r="AD776" i="14" s="1"/>
  <c r="BJ745" i="14"/>
  <c r="BK745" i="14" s="1"/>
  <c r="BJ696" i="14"/>
  <c r="BI622" i="14"/>
  <c r="BK622" i="14" s="1"/>
  <c r="BE786" i="14"/>
  <c r="BE731" i="14"/>
  <c r="BF798" i="14"/>
  <c r="BE814" i="14"/>
  <c r="BE724" i="14"/>
  <c r="BE738" i="14"/>
  <c r="BE783" i="14"/>
  <c r="BF630" i="14"/>
  <c r="BI786" i="14"/>
  <c r="BE687" i="14"/>
  <c r="BE699" i="14"/>
  <c r="BJ814" i="14"/>
  <c r="BE817" i="14"/>
  <c r="BJ786" i="14"/>
  <c r="BF737" i="14"/>
  <c r="BF656" i="14"/>
  <c r="BE718" i="14"/>
  <c r="AG738" i="14"/>
  <c r="AN738" i="14" s="1"/>
  <c r="BI814" i="14"/>
  <c r="BE679" i="14"/>
  <c r="BE712" i="14"/>
  <c r="BF654" i="14"/>
  <c r="BF732" i="14"/>
  <c r="BE654" i="14"/>
  <c r="BE682" i="14"/>
  <c r="BE697" i="14"/>
  <c r="AH644" i="14"/>
  <c r="AK644" i="14" s="1"/>
  <c r="BI783" i="14"/>
  <c r="BK783" i="14" s="1"/>
  <c r="BJ817" i="14"/>
  <c r="BK817" i="14" s="1"/>
  <c r="BF781" i="14"/>
  <c r="BE656" i="14"/>
  <c r="AH817" i="14"/>
  <c r="AJ817" i="14" s="1"/>
  <c r="Z817" i="14" s="1"/>
  <c r="BE741" i="14"/>
  <c r="BE769" i="14"/>
  <c r="BE707" i="14"/>
  <c r="BE740" i="14"/>
  <c r="BE649" i="14"/>
  <c r="BI630" i="14"/>
  <c r="BK630" i="14" s="1"/>
  <c r="BF722" i="14"/>
  <c r="BE808" i="14"/>
  <c r="BE784" i="14"/>
  <c r="BE727" i="14"/>
  <c r="BF788" i="14"/>
  <c r="BE631" i="14"/>
  <c r="BE811" i="14"/>
  <c r="BE646" i="14"/>
  <c r="BE813" i="14"/>
  <c r="BE698" i="14"/>
  <c r="BE807" i="14"/>
  <c r="BE758" i="14"/>
  <c r="BE771" i="14"/>
  <c r="BF693" i="14"/>
  <c r="BE670" i="14"/>
  <c r="BE715" i="14"/>
  <c r="BF708" i="14"/>
  <c r="BE780" i="14"/>
  <c r="BE816" i="14"/>
  <c r="BI687" i="14"/>
  <c r="BE728" i="14"/>
  <c r="BE770" i="14"/>
  <c r="BE737" i="14"/>
  <c r="BE640" i="14"/>
  <c r="BE630" i="14"/>
  <c r="BE683" i="14"/>
  <c r="AH649" i="14"/>
  <c r="AM649" i="14" s="1"/>
  <c r="BJ687" i="14"/>
  <c r="AH693" i="14"/>
  <c r="AM693" i="14" s="1"/>
  <c r="BE661" i="14"/>
  <c r="BE765" i="14"/>
  <c r="BE768" i="14"/>
  <c r="BI699" i="14"/>
  <c r="AG770" i="14"/>
  <c r="AL770" i="14" s="1"/>
  <c r="AG630" i="14"/>
  <c r="AN630" i="14" s="1"/>
  <c r="BJ756" i="14"/>
  <c r="BI727" i="14"/>
  <c r="AG693" i="14"/>
  <c r="AI693" i="14" s="1"/>
  <c r="AA693" i="14" s="1"/>
  <c r="AD693" i="14" s="1"/>
  <c r="BJ699" i="14"/>
  <c r="AG737" i="14"/>
  <c r="AN737" i="14" s="1"/>
  <c r="AG788" i="14"/>
  <c r="AL788" i="14" s="1"/>
  <c r="BF624" i="14"/>
  <c r="BE671" i="14"/>
  <c r="BF685" i="14"/>
  <c r="BE798" i="14"/>
  <c r="BE680" i="14"/>
  <c r="AG649" i="14"/>
  <c r="AI649" i="14" s="1"/>
  <c r="AA649" i="14" s="1"/>
  <c r="AD649" i="14" s="1"/>
  <c r="BE788" i="14"/>
  <c r="BE755" i="14"/>
  <c r="AH728" i="14"/>
  <c r="AJ728" i="14" s="1"/>
  <c r="Z728" i="14" s="1"/>
  <c r="BE638" i="14"/>
  <c r="BE763" i="14"/>
  <c r="BE647" i="14"/>
  <c r="BE772" i="14"/>
  <c r="BE694" i="14"/>
  <c r="BE637" i="14"/>
  <c r="BE795" i="14"/>
  <c r="BE700" i="14"/>
  <c r="BE756" i="14"/>
  <c r="BE693" i="14"/>
  <c r="BE733" i="14"/>
  <c r="BE757" i="14"/>
  <c r="BE624" i="14"/>
  <c r="BE742" i="14"/>
  <c r="BE636" i="14"/>
  <c r="BE652" i="14"/>
  <c r="BE789" i="14"/>
  <c r="BE744" i="14"/>
  <c r="BE797" i="14"/>
  <c r="BE803" i="14"/>
  <c r="BE688" i="14"/>
  <c r="BF697" i="14"/>
  <c r="BE642" i="14"/>
  <c r="BE754" i="14"/>
  <c r="BJ656" i="14"/>
  <c r="BE645" i="14"/>
  <c r="BE678" i="14"/>
  <c r="BE781" i="14"/>
  <c r="BE764" i="14"/>
  <c r="AH688" i="14"/>
  <c r="AJ688" i="14" s="1"/>
  <c r="Z688" i="14" s="1"/>
  <c r="AH715" i="14"/>
  <c r="AJ715" i="14" s="1"/>
  <c r="Z715" i="14" s="1"/>
  <c r="AH807" i="14"/>
  <c r="AM807" i="14" s="1"/>
  <c r="AH737" i="14"/>
  <c r="AM737" i="14" s="1"/>
  <c r="BE790" i="14"/>
  <c r="BE701" i="14"/>
  <c r="BE681" i="14"/>
  <c r="AG816" i="14"/>
  <c r="AL816" i="14" s="1"/>
  <c r="AG755" i="14"/>
  <c r="AN755" i="14" s="1"/>
  <c r="BE620" i="14"/>
  <c r="BE806" i="14"/>
  <c r="BE779" i="14"/>
  <c r="BE800" i="14"/>
  <c r="AG740" i="14"/>
  <c r="AI740" i="14" s="1"/>
  <c r="AA740" i="14" s="1"/>
  <c r="AD740" i="14" s="1"/>
  <c r="AG715" i="14"/>
  <c r="AI715" i="14" s="1"/>
  <c r="AA715" i="14" s="1"/>
  <c r="AD715" i="14" s="1"/>
  <c r="BI762" i="14"/>
  <c r="AH650" i="14"/>
  <c r="AJ650" i="14" s="1"/>
  <c r="Z650" i="14" s="1"/>
  <c r="BI667" i="14"/>
  <c r="BJ797" i="14"/>
  <c r="BI718" i="14"/>
  <c r="BK718" i="14" s="1"/>
  <c r="AG807" i="14"/>
  <c r="AI807" i="14" s="1"/>
  <c r="AA807" i="14" s="1"/>
  <c r="AD807" i="14" s="1"/>
  <c r="BJ688" i="14"/>
  <c r="BK688" i="14" s="1"/>
  <c r="BI636" i="14"/>
  <c r="BJ691" i="14"/>
  <c r="BK691" i="14" s="1"/>
  <c r="BJ710" i="14"/>
  <c r="BK710" i="14" s="1"/>
  <c r="BI684" i="14"/>
  <c r="AH795" i="14"/>
  <c r="AJ795" i="14" s="1"/>
  <c r="Z795" i="14" s="1"/>
  <c r="AG683" i="14"/>
  <c r="AI683" i="14" s="1"/>
  <c r="AA683" i="14" s="1"/>
  <c r="AD683" i="14" s="1"/>
  <c r="AH777" i="14"/>
  <c r="AM777" i="14" s="1"/>
  <c r="BI756" i="14"/>
  <c r="AG707" i="14"/>
  <c r="AN707" i="14" s="1"/>
  <c r="BI770" i="14"/>
  <c r="BK770" i="14" s="1"/>
  <c r="AH780" i="14"/>
  <c r="AM780" i="14" s="1"/>
  <c r="BE641" i="14"/>
  <c r="BI670" i="14"/>
  <c r="AH798" i="14"/>
  <c r="AJ798" i="14" s="1"/>
  <c r="Z798" i="14" s="1"/>
  <c r="AH753" i="14"/>
  <c r="AK753" i="14" s="1"/>
  <c r="BI744" i="14"/>
  <c r="BJ742" i="14"/>
  <c r="BK742" i="14" s="1"/>
  <c r="AG643" i="14"/>
  <c r="AI643" i="14" s="1"/>
  <c r="AA643" i="14" s="1"/>
  <c r="AD643" i="14" s="1"/>
  <c r="BI707" i="14"/>
  <c r="BK707" i="14" s="1"/>
  <c r="BJ677" i="14"/>
  <c r="AG637" i="14"/>
  <c r="AN637" i="14" s="1"/>
  <c r="AH731" i="14"/>
  <c r="AM731" i="14" s="1"/>
  <c r="BI800" i="14"/>
  <c r="AH686" i="14"/>
  <c r="AK686" i="14" s="1"/>
  <c r="BI637" i="14"/>
  <c r="BK637" i="14" s="1"/>
  <c r="AH813" i="14"/>
  <c r="AJ813" i="14" s="1"/>
  <c r="Z813" i="14" s="1"/>
  <c r="AH805" i="14"/>
  <c r="AJ805" i="14" s="1"/>
  <c r="Z805" i="14" s="1"/>
  <c r="AH789" i="14"/>
  <c r="AM789" i="14" s="1"/>
  <c r="AH654" i="14"/>
  <c r="AJ654" i="14" s="1"/>
  <c r="Z654" i="14" s="1"/>
  <c r="AH665" i="14"/>
  <c r="AM665" i="14" s="1"/>
  <c r="BE657" i="14"/>
  <c r="BE703" i="14"/>
  <c r="AH648" i="14"/>
  <c r="AK648" i="14" s="1"/>
  <c r="BJ809" i="14"/>
  <c r="BK809" i="14" s="1"/>
  <c r="AG712" i="14"/>
  <c r="AN712" i="14" s="1"/>
  <c r="AH803" i="14"/>
  <c r="AJ803" i="14" s="1"/>
  <c r="Z803" i="14" s="1"/>
  <c r="AH806" i="14"/>
  <c r="AJ806" i="14" s="1"/>
  <c r="Z806" i="14" s="1"/>
  <c r="AH713" i="14"/>
  <c r="AM713" i="14" s="1"/>
  <c r="AH726" i="14"/>
  <c r="AK726" i="14" s="1"/>
  <c r="BJ764" i="14"/>
  <c r="BK764" i="14" s="1"/>
  <c r="AH640" i="14"/>
  <c r="AK640" i="14" s="1"/>
  <c r="BE725" i="14"/>
  <c r="BE761" i="14"/>
  <c r="BE809" i="14"/>
  <c r="BE732" i="14"/>
  <c r="BE623" i="14"/>
  <c r="BE706" i="14"/>
  <c r="BE710" i="14"/>
  <c r="BJ803" i="14"/>
  <c r="BK803" i="14" s="1"/>
  <c r="BJ682" i="14"/>
  <c r="BJ722" i="14"/>
  <c r="BK722" i="14" s="1"/>
  <c r="BJ780" i="14"/>
  <c r="BK780" i="14" s="1"/>
  <c r="BI698" i="14"/>
  <c r="BK698" i="14" s="1"/>
  <c r="BI656" i="14"/>
  <c r="BI755" i="14"/>
  <c r="BK755" i="14" s="1"/>
  <c r="AG640" i="14"/>
  <c r="AI640" i="14" s="1"/>
  <c r="AA640" i="14" s="1"/>
  <c r="AD640" i="14" s="1"/>
  <c r="AH697" i="14"/>
  <c r="AK697" i="14" s="1"/>
  <c r="BI683" i="14"/>
  <c r="BK683" i="14" s="1"/>
  <c r="AH788" i="14"/>
  <c r="AK788" i="14" s="1"/>
  <c r="BJ761" i="14"/>
  <c r="BK761" i="14" s="1"/>
  <c r="AG698" i="14"/>
  <c r="AL698" i="14" s="1"/>
  <c r="BJ631" i="14"/>
  <c r="BI631" i="14"/>
  <c r="BJ727" i="14"/>
  <c r="AG728" i="14"/>
  <c r="AI728" i="14" s="1"/>
  <c r="AA728" i="14" s="1"/>
  <c r="AD728" i="14" s="1"/>
  <c r="BE686" i="14"/>
  <c r="BE621" i="14"/>
  <c r="BE815" i="14"/>
  <c r="BE735" i="14"/>
  <c r="BE668" i="14"/>
  <c r="BE660" i="14"/>
  <c r="BF815" i="14"/>
  <c r="BJ744" i="14"/>
  <c r="BE619" i="14"/>
  <c r="BF790" i="14"/>
  <c r="BF806" i="14"/>
  <c r="BE777" i="14"/>
  <c r="BJ670" i="14"/>
  <c r="AG679" i="14"/>
  <c r="AN679" i="14" s="1"/>
  <c r="BJ628" i="14"/>
  <c r="AG650" i="14"/>
  <c r="AI650" i="14" s="1"/>
  <c r="AA650" i="14" s="1"/>
  <c r="AD650" i="14" s="1"/>
  <c r="BE713" i="14"/>
  <c r="BE730" i="14"/>
  <c r="BE753" i="14"/>
  <c r="BI634" i="14"/>
  <c r="BI708" i="14"/>
  <c r="BK708" i="14" s="1"/>
  <c r="AH673" i="14"/>
  <c r="AM673" i="14" s="1"/>
  <c r="BE774" i="14"/>
  <c r="AG668" i="14"/>
  <c r="AI668" i="14" s="1"/>
  <c r="AA668" i="14" s="1"/>
  <c r="AD668" i="14" s="1"/>
  <c r="BJ800" i="14"/>
  <c r="AG697" i="14"/>
  <c r="AL697" i="14" s="1"/>
  <c r="BI732" i="14"/>
  <c r="BE643" i="14"/>
  <c r="BE749" i="14"/>
  <c r="BE634" i="14"/>
  <c r="BE748" i="14"/>
  <c r="BE778" i="14"/>
  <c r="BE658" i="14"/>
  <c r="BE791" i="14"/>
  <c r="BI679" i="14"/>
  <c r="BK679" i="14" s="1"/>
  <c r="AG654" i="14"/>
  <c r="AN654" i="14" s="1"/>
  <c r="AG811" i="14"/>
  <c r="AL811" i="14" s="1"/>
  <c r="BE665" i="14"/>
  <c r="BF799" i="14"/>
  <c r="AG671" i="14"/>
  <c r="AL671" i="14" s="1"/>
  <c r="BJ648" i="14"/>
  <c r="BK648" i="14" s="1"/>
  <c r="BE711" i="14"/>
  <c r="BE721" i="14"/>
  <c r="BE639" i="14"/>
  <c r="BE708" i="14"/>
  <c r="BE691" i="14"/>
  <c r="BE672" i="14"/>
  <c r="BE762" i="14"/>
  <c r="BI725" i="14"/>
  <c r="BE677" i="14"/>
  <c r="BE785" i="14"/>
  <c r="AG676" i="14"/>
  <c r="AI676" i="14" s="1"/>
  <c r="AA676" i="14" s="1"/>
  <c r="AD676" i="14" s="1"/>
  <c r="BE648" i="14"/>
  <c r="BE673" i="14"/>
  <c r="BJ684" i="14"/>
  <c r="AH710" i="14"/>
  <c r="AJ710" i="14" s="1"/>
  <c r="Z710" i="14" s="1"/>
  <c r="BJ647" i="14"/>
  <c r="BI671" i="14"/>
  <c r="BK671" i="14" s="1"/>
  <c r="BI672" i="14"/>
  <c r="BK672" i="14" s="1"/>
  <c r="BE734" i="14"/>
  <c r="BI682" i="14"/>
  <c r="BE684" i="14"/>
  <c r="BE736" i="14"/>
  <c r="BI797" i="14"/>
  <c r="AH741" i="14"/>
  <c r="AM741" i="14" s="1"/>
  <c r="BE695" i="14"/>
  <c r="AH809" i="14"/>
  <c r="AM809" i="14" s="1"/>
  <c r="BE625" i="14"/>
  <c r="BE685" i="14"/>
  <c r="BE751" i="14"/>
  <c r="AG673" i="14"/>
  <c r="AI673" i="14" s="1"/>
  <c r="AA673" i="14" s="1"/>
  <c r="AD673" i="14" s="1"/>
  <c r="BE662" i="14"/>
  <c r="BE787" i="14"/>
  <c r="BE650" i="14"/>
  <c r="AG748" i="14"/>
  <c r="AI748" i="14" s="1"/>
  <c r="AA748" i="14" s="1"/>
  <c r="AD748" i="14" s="1"/>
  <c r="BE663" i="14"/>
  <c r="BE752" i="14"/>
  <c r="BF658" i="14"/>
  <c r="AH784" i="14"/>
  <c r="AK784" i="14" s="1"/>
  <c r="BJ762" i="14"/>
  <c r="BI638" i="14"/>
  <c r="BI641" i="14"/>
  <c r="AH816" i="14"/>
  <c r="AM816" i="14" s="1"/>
  <c r="BJ798" i="14"/>
  <c r="BK798" i="14" s="1"/>
  <c r="AH691" i="14"/>
  <c r="AM691" i="14" s="1"/>
  <c r="BJ806" i="14"/>
  <c r="BK806" i="14" s="1"/>
  <c r="AH645" i="14"/>
  <c r="AK645" i="14" s="1"/>
  <c r="BI706" i="14"/>
  <c r="BK706" i="14" s="1"/>
  <c r="AH642" i="14"/>
  <c r="AJ642" i="14" s="1"/>
  <c r="Z642" i="14" s="1"/>
  <c r="AG790" i="14"/>
  <c r="AI790" i="14" s="1"/>
  <c r="AA790" i="14" s="1"/>
  <c r="AD790" i="14" s="1"/>
  <c r="BI676" i="14"/>
  <c r="BK676" i="14" s="1"/>
  <c r="AH623" i="14"/>
  <c r="AJ623" i="14" s="1"/>
  <c r="Z623" i="14" s="1"/>
  <c r="BJ777" i="14"/>
  <c r="BK777" i="14" s="1"/>
  <c r="BJ667" i="14"/>
  <c r="AH761" i="14"/>
  <c r="AJ761" i="14" s="1"/>
  <c r="Z761" i="14" s="1"/>
  <c r="AG808" i="14"/>
  <c r="AL808" i="14" s="1"/>
  <c r="BE716" i="14"/>
  <c r="BE667" i="14"/>
  <c r="BE676" i="14"/>
  <c r="BE729" i="14"/>
  <c r="BJ781" i="14"/>
  <c r="AG741" i="14"/>
  <c r="AI741" i="14" s="1"/>
  <c r="AA741" i="14" s="1"/>
  <c r="AD741" i="14" s="1"/>
  <c r="AH742" i="14"/>
  <c r="AJ742" i="14" s="1"/>
  <c r="Z742" i="14" s="1"/>
  <c r="AG813" i="14"/>
  <c r="AI813" i="14" s="1"/>
  <c r="AA813" i="14" s="1"/>
  <c r="AD813" i="14" s="1"/>
  <c r="AH774" i="14"/>
  <c r="AK774" i="14" s="1"/>
  <c r="BE633" i="14"/>
  <c r="BJ700" i="14"/>
  <c r="AG645" i="14"/>
  <c r="AN645" i="14" s="1"/>
  <c r="AH711" i="14"/>
  <c r="AJ711" i="14" s="1"/>
  <c r="Z711" i="14" s="1"/>
  <c r="AG646" i="14"/>
  <c r="AN646" i="14" s="1"/>
  <c r="BE799" i="14"/>
  <c r="BE739" i="14"/>
  <c r="BE692" i="14"/>
  <c r="BJ681" i="14"/>
  <c r="AG694" i="14"/>
  <c r="AI694" i="14" s="1"/>
  <c r="AA694" i="14" s="1"/>
  <c r="AD694" i="14" s="1"/>
  <c r="BI765" i="14"/>
  <c r="BI781" i="14"/>
  <c r="AG635" i="14"/>
  <c r="AI635" i="14" s="1"/>
  <c r="AA635" i="14" s="1"/>
  <c r="AD635" i="14" s="1"/>
  <c r="BE644" i="14"/>
  <c r="BJ686" i="14"/>
  <c r="BK686" i="14" s="1"/>
  <c r="AH778" i="14"/>
  <c r="AJ778" i="14" s="1"/>
  <c r="Z778" i="14" s="1"/>
  <c r="AH734" i="14"/>
  <c r="AK734" i="14" s="1"/>
  <c r="AG795" i="14"/>
  <c r="AI795" i="14" s="1"/>
  <c r="AA795" i="14" s="1"/>
  <c r="AD795" i="14" s="1"/>
  <c r="BJ623" i="14"/>
  <c r="BK623" i="14" s="1"/>
  <c r="BJ729" i="14"/>
  <c r="BK729" i="14" s="1"/>
  <c r="BJ784" i="14"/>
  <c r="BK784" i="14" s="1"/>
  <c r="AG749" i="14"/>
  <c r="AL749" i="14" s="1"/>
  <c r="AH733" i="14"/>
  <c r="AJ733" i="14" s="1"/>
  <c r="Z733" i="14" s="1"/>
  <c r="AG789" i="14"/>
  <c r="AN789" i="14" s="1"/>
  <c r="AG716" i="14"/>
  <c r="AL716" i="14" s="1"/>
  <c r="AH764" i="14"/>
  <c r="AK764" i="14" s="1"/>
  <c r="AH735" i="14"/>
  <c r="AM735" i="14" s="1"/>
  <c r="BJ639" i="14"/>
  <c r="BJ778" i="14"/>
  <c r="BK778" i="14" s="1"/>
  <c r="BI791" i="14"/>
  <c r="BK791" i="14" s="1"/>
  <c r="BJ725" i="14"/>
  <c r="AH730" i="14"/>
  <c r="AJ730" i="14" s="1"/>
  <c r="Z730" i="14" s="1"/>
  <c r="BI677" i="14"/>
  <c r="BE653" i="14"/>
  <c r="BE666" i="14"/>
  <c r="BI808" i="14"/>
  <c r="BK808" i="14" s="1"/>
  <c r="AH712" i="14"/>
  <c r="AJ712" i="14" s="1"/>
  <c r="Z712" i="14" s="1"/>
  <c r="BE655" i="14"/>
  <c r="BE627" i="14"/>
  <c r="AG708" i="14"/>
  <c r="AN708" i="14" s="1"/>
  <c r="BE626" i="14"/>
  <c r="BJ641" i="14"/>
  <c r="AG672" i="14"/>
  <c r="AN672" i="14" s="1"/>
  <c r="BJ655" i="14"/>
  <c r="BI655" i="14"/>
  <c r="BI740" i="14"/>
  <c r="BK740" i="14" s="1"/>
  <c r="BI771" i="14"/>
  <c r="BK771" i="14" s="1"/>
  <c r="BE746" i="14"/>
  <c r="AG791" i="14"/>
  <c r="AN791" i="14" s="1"/>
  <c r="BJ680" i="14"/>
  <c r="BK680" i="14" s="1"/>
  <c r="BJ638" i="14"/>
  <c r="BI768" i="14"/>
  <c r="BJ636" i="14"/>
  <c r="BE794" i="14"/>
  <c r="BE793" i="14"/>
  <c r="BI663" i="14"/>
  <c r="BK663" i="14" s="1"/>
  <c r="BE805" i="14"/>
  <c r="BE628" i="14"/>
  <c r="BJ732" i="14"/>
  <c r="AG685" i="14"/>
  <c r="AN685" i="14" s="1"/>
  <c r="AG718" i="14"/>
  <c r="AL718" i="14" s="1"/>
  <c r="AH772" i="14"/>
  <c r="AM772" i="14" s="1"/>
  <c r="AG771" i="14"/>
  <c r="AN771" i="14" s="1"/>
  <c r="BI635" i="14"/>
  <c r="BK635" i="14" s="1"/>
  <c r="AH646" i="14"/>
  <c r="AM646" i="14" s="1"/>
  <c r="BI660" i="14"/>
  <c r="AG692" i="14"/>
  <c r="AN692" i="14" s="1"/>
  <c r="AG661" i="14"/>
  <c r="AN661" i="14" s="1"/>
  <c r="BJ652" i="14"/>
  <c r="BJ726" i="14"/>
  <c r="BK726" i="14" s="1"/>
  <c r="BJ666" i="14"/>
  <c r="BK666" i="14" s="1"/>
  <c r="AH692" i="14"/>
  <c r="AJ692" i="14" s="1"/>
  <c r="Z692" i="14" s="1"/>
  <c r="BI748" i="14"/>
  <c r="BK748" i="14" s="1"/>
  <c r="AH625" i="14"/>
  <c r="AJ625" i="14" s="1"/>
  <c r="Z625" i="14" s="1"/>
  <c r="AG653" i="14"/>
  <c r="AI653" i="14" s="1"/>
  <c r="AA653" i="14" s="1"/>
  <c r="AD653" i="14" s="1"/>
  <c r="AH787" i="14"/>
  <c r="AK787" i="14" s="1"/>
  <c r="AG644" i="14"/>
  <c r="AL644" i="14" s="1"/>
  <c r="BI643" i="14"/>
  <c r="BK643" i="14" s="1"/>
  <c r="AH811" i="14"/>
  <c r="AJ811" i="14" s="1"/>
  <c r="Z811" i="14" s="1"/>
  <c r="BJ751" i="14"/>
  <c r="BI763" i="14"/>
  <c r="BK763" i="14" s="1"/>
  <c r="BI759" i="14"/>
  <c r="BK759" i="14" s="1"/>
  <c r="AH721" i="14"/>
  <c r="AK721" i="14" s="1"/>
  <c r="AH722" i="14"/>
  <c r="AM722" i="14" s="1"/>
  <c r="BJ758" i="14"/>
  <c r="AH716" i="14"/>
  <c r="AK716" i="14" s="1"/>
  <c r="AG731" i="14"/>
  <c r="AI731" i="14" s="1"/>
  <c r="AA731" i="14" s="1"/>
  <c r="AD731" i="14" s="1"/>
  <c r="AH680" i="14"/>
  <c r="AM680" i="14" s="1"/>
  <c r="BJ660" i="14"/>
  <c r="AG711" i="14"/>
  <c r="AL711" i="14" s="1"/>
  <c r="BI757" i="14"/>
  <c r="BK757" i="14" s="1"/>
  <c r="BE722" i="14"/>
  <c r="BI749" i="14"/>
  <c r="BK749" i="14" s="1"/>
  <c r="BJ754" i="14"/>
  <c r="BK754" i="14" s="1"/>
  <c r="AG663" i="14"/>
  <c r="AN663" i="14" s="1"/>
  <c r="BE635" i="14"/>
  <c r="BI790" i="14"/>
  <c r="BK790" i="14" s="1"/>
  <c r="BI758" i="14"/>
  <c r="BJ787" i="14"/>
  <c r="BK787" i="14" s="1"/>
  <c r="AG757" i="14"/>
  <c r="AI757" i="14" s="1"/>
  <c r="AA757" i="14" s="1"/>
  <c r="AD757" i="14" s="1"/>
  <c r="AG642" i="14"/>
  <c r="AN642" i="14" s="1"/>
  <c r="AG763" i="14"/>
  <c r="AI763" i="14" s="1"/>
  <c r="AA763" i="14" s="1"/>
  <c r="AD763" i="14" s="1"/>
  <c r="BI801" i="14"/>
  <c r="BI653" i="14"/>
  <c r="BK653" i="14" s="1"/>
  <c r="AG706" i="14"/>
  <c r="AL706" i="14" s="1"/>
  <c r="BJ721" i="14"/>
  <c r="BK721" i="14" s="1"/>
  <c r="BI621" i="14"/>
  <c r="BJ765" i="14"/>
  <c r="AH668" i="14"/>
  <c r="AK668" i="14" s="1"/>
  <c r="AH666" i="14"/>
  <c r="AK666" i="14" s="1"/>
  <c r="BI639" i="14"/>
  <c r="BI681" i="14"/>
  <c r="BJ621" i="14"/>
  <c r="BI652" i="14"/>
  <c r="AG724" i="14"/>
  <c r="AN724" i="14" s="1"/>
  <c r="AG625" i="14"/>
  <c r="AN625" i="14" s="1"/>
  <c r="BJ730" i="14"/>
  <c r="BK730" i="14" s="1"/>
  <c r="BE782" i="14"/>
  <c r="AH694" i="14"/>
  <c r="AJ694" i="14" s="1"/>
  <c r="Z694" i="14" s="1"/>
  <c r="AG799" i="14"/>
  <c r="AN799" i="14" s="1"/>
  <c r="AH724" i="14"/>
  <c r="AM724" i="14" s="1"/>
  <c r="AH779" i="14"/>
  <c r="AJ779" i="14" s="1"/>
  <c r="Z779" i="14" s="1"/>
  <c r="BI793" i="14"/>
  <c r="BK793" i="14" s="1"/>
  <c r="BI627" i="14"/>
  <c r="BK627" i="14" s="1"/>
  <c r="BI685" i="14"/>
  <c r="BK685" i="14" s="1"/>
  <c r="AG627" i="14"/>
  <c r="AN627" i="14" s="1"/>
  <c r="AG713" i="14"/>
  <c r="AN713" i="14" s="1"/>
  <c r="AG815" i="14"/>
  <c r="AI815" i="14" s="1"/>
  <c r="AA815" i="14" s="1"/>
  <c r="AD815" i="14" s="1"/>
  <c r="AH799" i="14"/>
  <c r="AJ799" i="14" s="1"/>
  <c r="Z799" i="14" s="1"/>
  <c r="AH754" i="14"/>
  <c r="AK754" i="14" s="1"/>
  <c r="AG735" i="14"/>
  <c r="AN735" i="14" s="1"/>
  <c r="BI751" i="14"/>
  <c r="BI658" i="14"/>
  <c r="BJ634" i="14"/>
  <c r="BJ779" i="14"/>
  <c r="BK779" i="14" s="1"/>
  <c r="BI736" i="14"/>
  <c r="BK736" i="14" s="1"/>
  <c r="AH661" i="14"/>
  <c r="AJ661" i="14" s="1"/>
  <c r="Z661" i="14" s="1"/>
  <c r="AH657" i="14"/>
  <c r="AK657" i="14" s="1"/>
  <c r="BJ753" i="14"/>
  <c r="BK753" i="14" s="1"/>
  <c r="BJ733" i="14"/>
  <c r="BK733" i="14" s="1"/>
  <c r="BJ801" i="14"/>
  <c r="BE759" i="14"/>
  <c r="BJ774" i="14"/>
  <c r="BK774" i="14" s="1"/>
  <c r="AG626" i="14"/>
  <c r="AI626" i="14" s="1"/>
  <c r="AA626" i="14" s="1"/>
  <c r="AD626" i="14" s="1"/>
  <c r="BE690" i="14"/>
  <c r="BJ805" i="14"/>
  <c r="BK805" i="14" s="1"/>
  <c r="BJ619" i="14"/>
  <c r="BK619" i="14" s="1"/>
  <c r="BI620" i="14"/>
  <c r="BI647" i="14"/>
  <c r="BJ658" i="14"/>
  <c r="BI628" i="14"/>
  <c r="BI746" i="14"/>
  <c r="BI624" i="14"/>
  <c r="BK624" i="14" s="1"/>
  <c r="BJ657" i="14"/>
  <c r="BK657" i="14" s="1"/>
  <c r="AG701" i="14"/>
  <c r="AL701" i="14" s="1"/>
  <c r="BJ739" i="14"/>
  <c r="AG734" i="14"/>
  <c r="AN734" i="14" s="1"/>
  <c r="BJ794" i="14"/>
  <c r="BK794" i="14" s="1"/>
  <c r="AH794" i="14"/>
  <c r="AJ794" i="14" s="1"/>
  <c r="Z794" i="14" s="1"/>
  <c r="BJ752" i="14"/>
  <c r="BK752" i="14" s="1"/>
  <c r="BI626" i="14"/>
  <c r="BK626" i="14" s="1"/>
  <c r="BJ768" i="14"/>
  <c r="AH752" i="14"/>
  <c r="AJ752" i="14" s="1"/>
  <c r="Z752" i="14" s="1"/>
  <c r="AG736" i="14"/>
  <c r="AL736" i="14" s="1"/>
  <c r="AG665" i="14"/>
  <c r="AN665" i="14" s="1"/>
  <c r="AH633" i="14"/>
  <c r="AJ633" i="14" s="1"/>
  <c r="Z633" i="14" s="1"/>
  <c r="AH690" i="14"/>
  <c r="AJ690" i="14" s="1"/>
  <c r="Z690" i="14" s="1"/>
  <c r="AG769" i="14"/>
  <c r="AL769" i="14" s="1"/>
  <c r="BJ678" i="14"/>
  <c r="AG793" i="14"/>
  <c r="AI793" i="14" s="1"/>
  <c r="AA793" i="14" s="1"/>
  <c r="AD793" i="14" s="1"/>
  <c r="AG785" i="14"/>
  <c r="AL785" i="14" s="1"/>
  <c r="AG633" i="14"/>
  <c r="AL633" i="14" s="1"/>
  <c r="AH729" i="14"/>
  <c r="AK729" i="14" s="1"/>
  <c r="BI785" i="14"/>
  <c r="BK785" i="14" s="1"/>
  <c r="BJ620" i="14"/>
  <c r="AG690" i="14"/>
  <c r="AL690" i="14" s="1"/>
  <c r="BJ746" i="14"/>
  <c r="BJ662" i="14"/>
  <c r="BI701" i="14"/>
  <c r="BK701" i="14" s="1"/>
  <c r="BI700" i="14"/>
  <c r="BI739" i="14"/>
  <c r="BK644" i="14"/>
  <c r="AG759" i="14"/>
  <c r="AL759" i="14" s="1"/>
  <c r="AG624" i="14"/>
  <c r="AN624" i="14" s="1"/>
  <c r="BI662" i="14"/>
  <c r="BI695" i="14"/>
  <c r="AH782" i="14"/>
  <c r="AJ782" i="14" s="1"/>
  <c r="Z782" i="14" s="1"/>
  <c r="BI703" i="14"/>
  <c r="BJ782" i="14"/>
  <c r="BK782" i="14" s="1"/>
  <c r="BI678" i="14"/>
  <c r="AH619" i="14"/>
  <c r="AJ619" i="14" s="1"/>
  <c r="Z619" i="14" s="1"/>
  <c r="AG772" i="14"/>
  <c r="AL772" i="14" s="1"/>
  <c r="BJ695" i="14"/>
  <c r="AH769" i="14"/>
  <c r="AK769" i="14" s="1"/>
  <c r="BI815" i="14"/>
  <c r="BK815" i="14" s="1"/>
  <c r="BJ703" i="14"/>
  <c r="BK697" i="14"/>
  <c r="BK692" i="14"/>
  <c r="BK807" i="14"/>
  <c r="BK629" i="14"/>
  <c r="BK640" i="14"/>
  <c r="BK769" i="14"/>
  <c r="BK816" i="14"/>
  <c r="BF819" i="14"/>
  <c r="BK735" i="14"/>
  <c r="BK813" i="14"/>
  <c r="BK720" i="14"/>
  <c r="BK716" i="14"/>
  <c r="BK668" i="14"/>
  <c r="BK728" i="14"/>
  <c r="BK646" i="14"/>
  <c r="BK776" i="14"/>
  <c r="BK714" i="14"/>
  <c r="BK649" i="14"/>
  <c r="BK734" i="14"/>
  <c r="BK633" i="14"/>
  <c r="BK767" i="14"/>
  <c r="BK689" i="14"/>
  <c r="BK799" i="14"/>
  <c r="BK693" i="14"/>
  <c r="BK789" i="14"/>
  <c r="BK711" i="14"/>
  <c r="BK788" i="14"/>
  <c r="BK811" i="14"/>
  <c r="BK747" i="14"/>
  <c r="AN703" i="14"/>
  <c r="AL703" i="14"/>
  <c r="AI703" i="14"/>
  <c r="AA703" i="14" s="1"/>
  <c r="AD703" i="14" s="1"/>
  <c r="AJ641" i="14"/>
  <c r="Z641" i="14" s="1"/>
  <c r="AK641" i="14"/>
  <c r="AM641" i="14"/>
  <c r="AJ681" i="14"/>
  <c r="Z681" i="14" s="1"/>
  <c r="AM681" i="14"/>
  <c r="AK681" i="14"/>
  <c r="AI660" i="14"/>
  <c r="AA660" i="14" s="1"/>
  <c r="AD660" i="14" s="1"/>
  <c r="AL660" i="14"/>
  <c r="AN660" i="14"/>
  <c r="AL699" i="14"/>
  <c r="AI699" i="14"/>
  <c r="AA699" i="14" s="1"/>
  <c r="AD699" i="14" s="1"/>
  <c r="AN699" i="14"/>
  <c r="AJ669" i="14"/>
  <c r="Z669" i="14" s="1"/>
  <c r="AM669" i="14"/>
  <c r="AK669" i="14"/>
  <c r="AJ672" i="14"/>
  <c r="Z672" i="14" s="1"/>
  <c r="AK672" i="14"/>
  <c r="AM672" i="14"/>
  <c r="AL669" i="14"/>
  <c r="AI669" i="14"/>
  <c r="AA669" i="14" s="1"/>
  <c r="AD669" i="14" s="1"/>
  <c r="AN669" i="14"/>
  <c r="AJ746" i="14"/>
  <c r="Z746" i="14" s="1"/>
  <c r="AM746" i="14"/>
  <c r="AK746" i="14"/>
  <c r="AL766" i="14"/>
  <c r="AI766" i="14"/>
  <c r="AA766" i="14" s="1"/>
  <c r="AD766" i="14" s="1"/>
  <c r="AN766" i="14"/>
  <c r="AN744" i="14"/>
  <c r="AI744" i="14"/>
  <c r="AA744" i="14" s="1"/>
  <c r="AD744" i="14" s="1"/>
  <c r="AL744" i="14"/>
  <c r="BK741" i="14"/>
  <c r="AM756" i="14"/>
  <c r="AK756" i="14"/>
  <c r="AJ756" i="14"/>
  <c r="Z756" i="14" s="1"/>
  <c r="AM792" i="14"/>
  <c r="AJ792" i="14"/>
  <c r="Z792" i="14" s="1"/>
  <c r="AK792" i="14"/>
  <c r="AM766" i="14"/>
  <c r="AK766" i="14"/>
  <c r="AJ766" i="14"/>
  <c r="Z766" i="14" s="1"/>
  <c r="AM659" i="14"/>
  <c r="AK659" i="14"/>
  <c r="AJ659" i="14"/>
  <c r="Z659" i="14" s="1"/>
  <c r="AJ652" i="14"/>
  <c r="Z652" i="14" s="1"/>
  <c r="AK652" i="14"/>
  <c r="AM652" i="14"/>
  <c r="AJ699" i="14"/>
  <c r="Z699" i="14" s="1"/>
  <c r="AK699" i="14"/>
  <c r="AM699" i="14"/>
  <c r="AI806" i="14"/>
  <c r="AA806" i="14" s="1"/>
  <c r="AD806" i="14" s="1"/>
  <c r="AN806" i="14"/>
  <c r="AL806" i="14"/>
  <c r="AJ621" i="14"/>
  <c r="Z621" i="14" s="1"/>
  <c r="AM621" i="14"/>
  <c r="AK621" i="14"/>
  <c r="AJ624" i="14"/>
  <c r="Z624" i="14" s="1"/>
  <c r="AM624" i="14"/>
  <c r="AK624" i="14"/>
  <c r="AK647" i="14"/>
  <c r="AJ647" i="14"/>
  <c r="Z647" i="14" s="1"/>
  <c r="AM647" i="14"/>
  <c r="AI818" i="14"/>
  <c r="AA818" i="14" s="1"/>
  <c r="AD818" i="14" s="1"/>
  <c r="AL818" i="14"/>
  <c r="AN818" i="14"/>
  <c r="AJ683" i="14"/>
  <c r="Z683" i="14" s="1"/>
  <c r="AM683" i="14"/>
  <c r="AK683" i="14"/>
  <c r="AN717" i="14"/>
  <c r="AL717" i="14"/>
  <c r="AI717" i="14"/>
  <c r="AA717" i="14" s="1"/>
  <c r="AD717" i="14" s="1"/>
  <c r="AJ708" i="14"/>
  <c r="Z708" i="14" s="1"/>
  <c r="AM708" i="14"/>
  <c r="AK708" i="14"/>
  <c r="AL648" i="14"/>
  <c r="AN648" i="14"/>
  <c r="AI648" i="14"/>
  <c r="AA648" i="14" s="1"/>
  <c r="AD648" i="14" s="1"/>
  <c r="AL768" i="14"/>
  <c r="AI768" i="14"/>
  <c r="AA768" i="14" s="1"/>
  <c r="AD768" i="14" s="1"/>
  <c r="AN768" i="14"/>
  <c r="AJ651" i="14"/>
  <c r="Z651" i="14" s="1"/>
  <c r="AM651" i="14"/>
  <c r="AK651" i="14"/>
  <c r="AK682" i="14"/>
  <c r="AM682" i="14"/>
  <c r="AJ682" i="14"/>
  <c r="Z682" i="14" s="1"/>
  <c r="AJ639" i="14"/>
  <c r="Z639" i="14" s="1"/>
  <c r="AM639" i="14"/>
  <c r="AK639" i="14"/>
  <c r="AJ800" i="14"/>
  <c r="Z800" i="14" s="1"/>
  <c r="AK800" i="14"/>
  <c r="AM800" i="14"/>
  <c r="AN721" i="14"/>
  <c r="AL721" i="14"/>
  <c r="AI721" i="14"/>
  <c r="AA721" i="14" s="1"/>
  <c r="AD721" i="14" s="1"/>
  <c r="AJ664" i="14"/>
  <c r="Z664" i="14" s="1"/>
  <c r="AK664" i="14"/>
  <c r="AM664" i="14"/>
  <c r="AL659" i="14"/>
  <c r="AI659" i="14"/>
  <c r="AA659" i="14" s="1"/>
  <c r="AD659" i="14" s="1"/>
  <c r="AN659" i="14"/>
  <c r="AL680" i="14"/>
  <c r="AN680" i="14"/>
  <c r="AI680" i="14"/>
  <c r="AA680" i="14" s="1"/>
  <c r="AD680" i="14" s="1"/>
  <c r="AI638" i="14"/>
  <c r="AA638" i="14" s="1"/>
  <c r="AD638" i="14" s="1"/>
  <c r="AL638" i="14"/>
  <c r="AN638" i="14"/>
  <c r="AJ796" i="14"/>
  <c r="Z796" i="14" s="1"/>
  <c r="AK796" i="14"/>
  <c r="AM796" i="14"/>
  <c r="AN681" i="14"/>
  <c r="AI681" i="14"/>
  <c r="AA681" i="14" s="1"/>
  <c r="AD681" i="14" s="1"/>
  <c r="AL681" i="14"/>
  <c r="AJ620" i="14"/>
  <c r="Z620" i="14" s="1"/>
  <c r="AM620" i="14"/>
  <c r="AK620" i="14"/>
  <c r="AJ762" i="14"/>
  <c r="Z762" i="14" s="1"/>
  <c r="AM762" i="14"/>
  <c r="AK762" i="14"/>
  <c r="AJ727" i="14"/>
  <c r="Z727" i="14" s="1"/>
  <c r="AM727" i="14"/>
  <c r="AK727" i="14"/>
  <c r="AM763" i="14"/>
  <c r="AJ763" i="14"/>
  <c r="Z763" i="14" s="1"/>
  <c r="AK763" i="14"/>
  <c r="AN666" i="14"/>
  <c r="AL666" i="14"/>
  <c r="AI666" i="14"/>
  <c r="AA666" i="14" s="1"/>
  <c r="AD666" i="14" s="1"/>
  <c r="AM676" i="14"/>
  <c r="AK676" i="14"/>
  <c r="AJ676" i="14"/>
  <c r="Z676" i="14" s="1"/>
  <c r="AK781" i="14"/>
  <c r="AM781" i="14"/>
  <c r="AJ781" i="14"/>
  <c r="Z781" i="14" s="1"/>
  <c r="AL621" i="14"/>
  <c r="AI621" i="14"/>
  <c r="AA621" i="14" s="1"/>
  <c r="AD621" i="14" s="1"/>
  <c r="AN621" i="14"/>
  <c r="AL657" i="14"/>
  <c r="AI657" i="14"/>
  <c r="AA657" i="14" s="1"/>
  <c r="AD657" i="14" s="1"/>
  <c r="AN657" i="14"/>
  <c r="BK719" i="14"/>
  <c r="AL794" i="14"/>
  <c r="AI794" i="14"/>
  <c r="AA794" i="14" s="1"/>
  <c r="AD794" i="14" s="1"/>
  <c r="AN794" i="14"/>
  <c r="AI719" i="14"/>
  <c r="AA719" i="14" s="1"/>
  <c r="AD719" i="14" s="1"/>
  <c r="AL719" i="14"/>
  <c r="AN719" i="14"/>
  <c r="AJ702" i="14"/>
  <c r="Z702" i="14" s="1"/>
  <c r="AK702" i="14"/>
  <c r="AM702" i="14"/>
  <c r="AJ637" i="14"/>
  <c r="Z637" i="14" s="1"/>
  <c r="AK637" i="14"/>
  <c r="AM637" i="14"/>
  <c r="AM750" i="14"/>
  <c r="AK750" i="14"/>
  <c r="AJ750" i="14"/>
  <c r="Z750" i="14" s="1"/>
  <c r="AM786" i="14"/>
  <c r="AK786" i="14"/>
  <c r="AJ786" i="14"/>
  <c r="Z786" i="14" s="1"/>
  <c r="AI804" i="14"/>
  <c r="AA804" i="14" s="1"/>
  <c r="AD804" i="14" s="1"/>
  <c r="AN804" i="14"/>
  <c r="AL804" i="14"/>
  <c r="AN746" i="14"/>
  <c r="AL746" i="14"/>
  <c r="AI746" i="14"/>
  <c r="AA746" i="14" s="1"/>
  <c r="AD746" i="14" s="1"/>
  <c r="AN688" i="14"/>
  <c r="AI688" i="14"/>
  <c r="AA688" i="14" s="1"/>
  <c r="AD688" i="14" s="1"/>
  <c r="AL688" i="14"/>
  <c r="AJ685" i="14"/>
  <c r="Z685" i="14" s="1"/>
  <c r="AM685" i="14"/>
  <c r="AK685" i="14"/>
  <c r="AI636" i="14"/>
  <c r="AA636" i="14" s="1"/>
  <c r="AD636" i="14" s="1"/>
  <c r="AN636" i="14"/>
  <c r="AL636" i="14"/>
  <c r="AL658" i="14"/>
  <c r="AI658" i="14"/>
  <c r="AA658" i="14" s="1"/>
  <c r="AD658" i="14" s="1"/>
  <c r="AN658" i="14"/>
  <c r="AL810" i="14"/>
  <c r="AI810" i="14"/>
  <c r="AA810" i="14" s="1"/>
  <c r="AD810" i="14" s="1"/>
  <c r="AN810" i="14"/>
  <c r="AM744" i="14"/>
  <c r="AK744" i="14"/>
  <c r="AJ744" i="14"/>
  <c r="Z744" i="14" s="1"/>
  <c r="BK694" i="14"/>
  <c r="AL684" i="14"/>
  <c r="AN684" i="14"/>
  <c r="AI684" i="14"/>
  <c r="AA684" i="14" s="1"/>
  <c r="AD684" i="14" s="1"/>
  <c r="AJ740" i="14"/>
  <c r="Z740" i="14" s="1"/>
  <c r="AK740" i="14"/>
  <c r="AM740" i="14"/>
  <c r="AN623" i="14"/>
  <c r="AI623" i="14"/>
  <c r="AA623" i="14" s="1"/>
  <c r="AD623" i="14" s="1"/>
  <c r="AL623" i="14"/>
  <c r="AL800" i="14"/>
  <c r="AN800" i="14"/>
  <c r="AI800" i="14"/>
  <c r="AA800" i="14" s="1"/>
  <c r="AD800" i="14" s="1"/>
  <c r="AJ791" i="14"/>
  <c r="Z791" i="14" s="1"/>
  <c r="AM791" i="14"/>
  <c r="AK791" i="14"/>
  <c r="AJ701" i="14"/>
  <c r="Z701" i="14" s="1"/>
  <c r="AM701" i="14"/>
  <c r="AK701" i="14"/>
  <c r="AJ622" i="14"/>
  <c r="Z622" i="14" s="1"/>
  <c r="AK622" i="14"/>
  <c r="AM622" i="14"/>
  <c r="AJ785" i="14"/>
  <c r="Z785" i="14" s="1"/>
  <c r="AM785" i="14"/>
  <c r="AK785" i="14"/>
  <c r="AJ793" i="14"/>
  <c r="Z793" i="14" s="1"/>
  <c r="AM793" i="14"/>
  <c r="AK793" i="14"/>
  <c r="AJ719" i="14"/>
  <c r="Z719" i="14" s="1"/>
  <c r="AM719" i="14"/>
  <c r="AK719" i="14"/>
  <c r="AL801" i="14"/>
  <c r="AI801" i="14"/>
  <c r="AA801" i="14" s="1"/>
  <c r="AD801" i="14" s="1"/>
  <c r="AN801" i="14"/>
  <c r="AK695" i="14"/>
  <c r="AM695" i="14"/>
  <c r="AJ695" i="14"/>
  <c r="Z695" i="14" s="1"/>
  <c r="AI656" i="14"/>
  <c r="AA656" i="14" s="1"/>
  <c r="AD656" i="14" s="1"/>
  <c r="AN656" i="14"/>
  <c r="AL656" i="14"/>
  <c r="AN687" i="14"/>
  <c r="AL687" i="14"/>
  <c r="AI687" i="14"/>
  <c r="AA687" i="14" s="1"/>
  <c r="AD687" i="14" s="1"/>
  <c r="AI651" i="14"/>
  <c r="AA651" i="14" s="1"/>
  <c r="AD651" i="14" s="1"/>
  <c r="AL651" i="14"/>
  <c r="AN651" i="14"/>
  <c r="AL739" i="14"/>
  <c r="AN739" i="14"/>
  <c r="AI739" i="14"/>
  <c r="AA739" i="14" s="1"/>
  <c r="AD739" i="14" s="1"/>
  <c r="AK667" i="14"/>
  <c r="AM667" i="14"/>
  <c r="AJ667" i="14"/>
  <c r="Z667" i="14" s="1"/>
  <c r="AJ671" i="14"/>
  <c r="Z671" i="14" s="1"/>
  <c r="AM671" i="14"/>
  <c r="AK671" i="14"/>
  <c r="AJ770" i="14"/>
  <c r="Z770" i="14" s="1"/>
  <c r="AM770" i="14"/>
  <c r="AK770" i="14"/>
  <c r="AJ704" i="14"/>
  <c r="Z704" i="14" s="1"/>
  <c r="AK704" i="14"/>
  <c r="AM704" i="14"/>
  <c r="AJ790" i="14"/>
  <c r="Z790" i="14" s="1"/>
  <c r="AM790" i="14"/>
  <c r="AK790" i="14"/>
  <c r="AJ773" i="14"/>
  <c r="Z773" i="14" s="1"/>
  <c r="AK773" i="14"/>
  <c r="AM773" i="14"/>
  <c r="AN725" i="14"/>
  <c r="AL725" i="14"/>
  <c r="AI725" i="14"/>
  <c r="AA725" i="14" s="1"/>
  <c r="AD725" i="14" s="1"/>
  <c r="AN754" i="14"/>
  <c r="AI754" i="14"/>
  <c r="AA754" i="14" s="1"/>
  <c r="AD754" i="14" s="1"/>
  <c r="AL754" i="14"/>
  <c r="AJ783" i="14"/>
  <c r="Z783" i="14" s="1"/>
  <c r="AM783" i="14"/>
  <c r="AK783" i="14"/>
  <c r="AJ810" i="14"/>
  <c r="Z810" i="14" s="1"/>
  <c r="AM810" i="14"/>
  <c r="AK810" i="14"/>
  <c r="AN742" i="14"/>
  <c r="AI742" i="14"/>
  <c r="AA742" i="14" s="1"/>
  <c r="AD742" i="14" s="1"/>
  <c r="AL742" i="14"/>
  <c r="AI761" i="14"/>
  <c r="AA761" i="14" s="1"/>
  <c r="AD761" i="14" s="1"/>
  <c r="AL761" i="14"/>
  <c r="AN761" i="14"/>
  <c r="AI705" i="14"/>
  <c r="AA705" i="14" s="1"/>
  <c r="AD705" i="14" s="1"/>
  <c r="AL705" i="14"/>
  <c r="AN705" i="14"/>
  <c r="AI647" i="14"/>
  <c r="AA647" i="14" s="1"/>
  <c r="AD647" i="14" s="1"/>
  <c r="AL647" i="14"/>
  <c r="AN647" i="14"/>
  <c r="BK645" i="14"/>
  <c r="AM679" i="14"/>
  <c r="AK679" i="14"/>
  <c r="AJ679" i="14"/>
  <c r="Z679" i="14" s="1"/>
  <c r="AJ653" i="14"/>
  <c r="Z653" i="14" s="1"/>
  <c r="AK653" i="14"/>
  <c r="AM653" i="14"/>
  <c r="BK715" i="14"/>
  <c r="AJ706" i="14"/>
  <c r="Z706" i="14" s="1"/>
  <c r="AK706" i="14"/>
  <c r="AM706" i="14"/>
  <c r="AI778" i="14"/>
  <c r="AA778" i="14" s="1"/>
  <c r="AD778" i="14" s="1"/>
  <c r="AN778" i="14"/>
  <c r="AL778" i="14"/>
  <c r="AN709" i="14"/>
  <c r="AI709" i="14"/>
  <c r="AA709" i="14" s="1"/>
  <c r="AD709" i="14" s="1"/>
  <c r="AL709" i="14"/>
  <c r="AN628" i="14"/>
  <c r="AI628" i="14"/>
  <c r="AA628" i="14" s="1"/>
  <c r="AD628" i="14" s="1"/>
  <c r="AL628" i="14"/>
  <c r="AI619" i="14"/>
  <c r="AA619" i="14" s="1"/>
  <c r="AD619" i="14" s="1"/>
  <c r="AN619" i="14"/>
  <c r="AL619" i="14"/>
  <c r="AJ687" i="14"/>
  <c r="Z687" i="14" s="1"/>
  <c r="AM687" i="14"/>
  <c r="AK687" i="14"/>
  <c r="AJ751" i="14"/>
  <c r="Z751" i="14" s="1"/>
  <c r="AK751" i="14"/>
  <c r="AM751" i="14"/>
  <c r="AJ758" i="14"/>
  <c r="Z758" i="14" s="1"/>
  <c r="AM758" i="14"/>
  <c r="AK758" i="14"/>
  <c r="AI782" i="14"/>
  <c r="AA782" i="14" s="1"/>
  <c r="AD782" i="14" s="1"/>
  <c r="AN782" i="14"/>
  <c r="AL782" i="14"/>
  <c r="AL817" i="14"/>
  <c r="AI817" i="14"/>
  <c r="AA817" i="14" s="1"/>
  <c r="AD817" i="14" s="1"/>
  <c r="AN817" i="14"/>
  <c r="AJ660" i="14"/>
  <c r="Z660" i="14" s="1"/>
  <c r="AK660" i="14"/>
  <c r="AM660" i="14"/>
  <c r="AN780" i="14"/>
  <c r="AI780" i="14"/>
  <c r="AA780" i="14" s="1"/>
  <c r="AD780" i="14" s="1"/>
  <c r="AL780" i="14"/>
  <c r="BK795" i="14"/>
  <c r="AJ804" i="14"/>
  <c r="Z804" i="14" s="1"/>
  <c r="AM804" i="14"/>
  <c r="AK804" i="14"/>
  <c r="AJ626" i="14"/>
  <c r="Z626" i="14" s="1"/>
  <c r="AK626" i="14"/>
  <c r="AM626" i="14"/>
  <c r="AM775" i="14"/>
  <c r="AJ775" i="14"/>
  <c r="Z775" i="14" s="1"/>
  <c r="AK775" i="14"/>
  <c r="BK642" i="14"/>
  <c r="AI631" i="14"/>
  <c r="AA631" i="14" s="1"/>
  <c r="AD631" i="14" s="1"/>
  <c r="AL631" i="14"/>
  <c r="AN631" i="14"/>
  <c r="AL732" i="14"/>
  <c r="AN732" i="14"/>
  <c r="AI732" i="14"/>
  <c r="AA732" i="14" s="1"/>
  <c r="AD732" i="14" s="1"/>
  <c r="AJ662" i="14"/>
  <c r="Z662" i="14" s="1"/>
  <c r="AM662" i="14"/>
  <c r="AK662" i="14"/>
  <c r="AJ732" i="14"/>
  <c r="Z732" i="14" s="1"/>
  <c r="AK732" i="14"/>
  <c r="AM732" i="14"/>
  <c r="AN814" i="14"/>
  <c r="AI814" i="14"/>
  <c r="AA814" i="14" s="1"/>
  <c r="AD814" i="14" s="1"/>
  <c r="AL814" i="14"/>
  <c r="AK801" i="14"/>
  <c r="AM801" i="14"/>
  <c r="AJ801" i="14"/>
  <c r="Z801" i="14" s="1"/>
  <c r="AJ736" i="14"/>
  <c r="Z736" i="14" s="1"/>
  <c r="AK736" i="14"/>
  <c r="AM736" i="14"/>
  <c r="AJ768" i="14"/>
  <c r="Z768" i="14" s="1"/>
  <c r="AM768" i="14"/>
  <c r="AK768" i="14"/>
  <c r="AL634" i="14"/>
  <c r="AN634" i="14"/>
  <c r="AI634" i="14"/>
  <c r="AA634" i="14" s="1"/>
  <c r="AD634" i="14" s="1"/>
  <c r="AJ808" i="14"/>
  <c r="Z808" i="14" s="1"/>
  <c r="AM808" i="14"/>
  <c r="AK808" i="14"/>
  <c r="AJ670" i="14"/>
  <c r="Z670" i="14" s="1"/>
  <c r="AM670" i="14"/>
  <c r="AK670" i="14"/>
  <c r="AI710" i="14"/>
  <c r="AA710" i="14" s="1"/>
  <c r="AD710" i="14" s="1"/>
  <c r="AL710" i="14"/>
  <c r="AN710" i="14"/>
  <c r="BK650" i="14"/>
  <c r="AL727" i="14"/>
  <c r="AN727" i="14"/>
  <c r="AI727" i="14"/>
  <c r="AA727" i="14" s="1"/>
  <c r="AD727" i="14" s="1"/>
  <c r="AJ757" i="14"/>
  <c r="Z757" i="14" s="1"/>
  <c r="AK757" i="14"/>
  <c r="AM757" i="14"/>
  <c r="AI729" i="14"/>
  <c r="AA729" i="14" s="1"/>
  <c r="AD729" i="14" s="1"/>
  <c r="AN729" i="14"/>
  <c r="AL729" i="14"/>
  <c r="BK737" i="14"/>
  <c r="AJ678" i="14"/>
  <c r="Z678" i="14" s="1"/>
  <c r="AK678" i="14"/>
  <c r="AM678" i="14"/>
  <c r="AK749" i="14"/>
  <c r="AM749" i="14"/>
  <c r="AJ749" i="14"/>
  <c r="Z749" i="14" s="1"/>
  <c r="AN674" i="14"/>
  <c r="AI674" i="14"/>
  <c r="AA674" i="14" s="1"/>
  <c r="AD674" i="14" s="1"/>
  <c r="AL674" i="14"/>
  <c r="AJ631" i="14"/>
  <c r="Z631" i="14" s="1"/>
  <c r="AK631" i="14"/>
  <c r="AM631" i="14"/>
  <c r="AL620" i="14"/>
  <c r="AN620" i="14"/>
  <c r="AI620" i="14"/>
  <c r="AA620" i="14" s="1"/>
  <c r="AD620" i="14" s="1"/>
  <c r="AK718" i="14"/>
  <c r="AJ718" i="14"/>
  <c r="Z718" i="14" s="1"/>
  <c r="AM718" i="14"/>
  <c r="AL762" i="14"/>
  <c r="AI762" i="14"/>
  <c r="AA762" i="14" s="1"/>
  <c r="AD762" i="14" s="1"/>
  <c r="AN762" i="14"/>
  <c r="AI639" i="14"/>
  <c r="AA639" i="14" s="1"/>
  <c r="AD639" i="14" s="1"/>
  <c r="AN639" i="14"/>
  <c r="AL639" i="14"/>
  <c r="BK690" i="14"/>
  <c r="AJ634" i="14"/>
  <c r="Z634" i="14" s="1"/>
  <c r="AK634" i="14"/>
  <c r="AM634" i="14"/>
  <c r="AL765" i="14"/>
  <c r="AI765" i="14"/>
  <c r="AA765" i="14" s="1"/>
  <c r="AD765" i="14" s="1"/>
  <c r="AN765" i="14"/>
  <c r="AN733" i="14"/>
  <c r="AI733" i="14"/>
  <c r="AA733" i="14" s="1"/>
  <c r="AD733" i="14" s="1"/>
  <c r="AL733" i="14"/>
  <c r="AJ743" i="14"/>
  <c r="Z743" i="14" s="1"/>
  <c r="AK743" i="14"/>
  <c r="AM743" i="14"/>
  <c r="AK755" i="14"/>
  <c r="AJ755" i="14"/>
  <c r="Z755" i="14" s="1"/>
  <c r="AM755" i="14"/>
  <c r="AJ655" i="14"/>
  <c r="Z655" i="14" s="1"/>
  <c r="AM655" i="14"/>
  <c r="AK655" i="14"/>
  <c r="AI775" i="14"/>
  <c r="AA775" i="14" s="1"/>
  <c r="AD775" i="14" s="1"/>
  <c r="AN775" i="14"/>
  <c r="AL775" i="14"/>
  <c r="BK625" i="14"/>
  <c r="BK665" i="14"/>
  <c r="AN786" i="14"/>
  <c r="AI786" i="14"/>
  <c r="AA786" i="14" s="1"/>
  <c r="AD786" i="14" s="1"/>
  <c r="AL786" i="14"/>
  <c r="AJ700" i="14"/>
  <c r="Z700" i="14" s="1"/>
  <c r="AM700" i="14"/>
  <c r="AK700" i="14"/>
  <c r="AL695" i="14"/>
  <c r="AI695" i="14"/>
  <c r="AA695" i="14" s="1"/>
  <c r="AD695" i="14" s="1"/>
  <c r="AN695" i="14"/>
  <c r="AI779" i="14"/>
  <c r="AA779" i="14" s="1"/>
  <c r="AD779" i="14" s="1"/>
  <c r="AN779" i="14"/>
  <c r="AL779" i="14"/>
  <c r="AJ759" i="14"/>
  <c r="Z759" i="14" s="1"/>
  <c r="AK759" i="14"/>
  <c r="AM759" i="14"/>
  <c r="AL677" i="14"/>
  <c r="AI677" i="14"/>
  <c r="AA677" i="14" s="1"/>
  <c r="AD677" i="14" s="1"/>
  <c r="AN677" i="14"/>
  <c r="AN753" i="14"/>
  <c r="AI753" i="14"/>
  <c r="AA753" i="14" s="1"/>
  <c r="AD753" i="14" s="1"/>
  <c r="AL753" i="14"/>
  <c r="AJ675" i="14"/>
  <c r="Z675" i="14" s="1"/>
  <c r="AK675" i="14"/>
  <c r="AM675" i="14"/>
  <c r="AI722" i="14"/>
  <c r="AA722" i="14" s="1"/>
  <c r="AD722" i="14" s="1"/>
  <c r="AL722" i="14"/>
  <c r="AN722" i="14"/>
  <c r="AM748" i="14"/>
  <c r="AK748" i="14"/>
  <c r="AJ748" i="14"/>
  <c r="Z748" i="14" s="1"/>
  <c r="BK802" i="14"/>
  <c r="AI774" i="14"/>
  <c r="AA774" i="14" s="1"/>
  <c r="AD774" i="14" s="1"/>
  <c r="AL774" i="14"/>
  <c r="AN774" i="14"/>
  <c r="AJ663" i="14"/>
  <c r="Z663" i="14" s="1"/>
  <c r="AK663" i="14"/>
  <c r="AM663" i="14"/>
  <c r="AJ630" i="14"/>
  <c r="Z630" i="14" s="1"/>
  <c r="AM630" i="14"/>
  <c r="AK630" i="14"/>
  <c r="AJ738" i="14"/>
  <c r="Z738" i="14" s="1"/>
  <c r="AK738" i="14"/>
  <c r="AM738" i="14"/>
  <c r="AN682" i="14"/>
  <c r="AL682" i="14"/>
  <c r="AI682" i="14"/>
  <c r="AA682" i="14" s="1"/>
  <c r="AD682" i="14" s="1"/>
  <c r="AL691" i="14"/>
  <c r="AN691" i="14"/>
  <c r="AI691" i="14"/>
  <c r="AA691" i="14" s="1"/>
  <c r="AD691" i="14" s="1"/>
  <c r="AN756" i="14"/>
  <c r="AI756" i="14"/>
  <c r="AA756" i="14" s="1"/>
  <c r="AD756" i="14" s="1"/>
  <c r="AL756" i="14"/>
  <c r="AM638" i="14"/>
  <c r="AK638" i="14"/>
  <c r="AJ638" i="14"/>
  <c r="Z638" i="14" s="1"/>
  <c r="BK712" i="14"/>
  <c r="AJ705" i="14"/>
  <c r="Z705" i="14" s="1"/>
  <c r="AK705" i="14"/>
  <c r="AM705" i="14"/>
  <c r="AJ677" i="14"/>
  <c r="Z677" i="14" s="1"/>
  <c r="AK677" i="14"/>
  <c r="AM677" i="14"/>
  <c r="AL781" i="14"/>
  <c r="AN781" i="14"/>
  <c r="AI781" i="14"/>
  <c r="AA781" i="14" s="1"/>
  <c r="AD781" i="14" s="1"/>
  <c r="AN798" i="14"/>
  <c r="AI798" i="14"/>
  <c r="AA798" i="14" s="1"/>
  <c r="AD798" i="14" s="1"/>
  <c r="AL798" i="14"/>
  <c r="AL667" i="14"/>
  <c r="AN667" i="14"/>
  <c r="AI667" i="14"/>
  <c r="AA667" i="14" s="1"/>
  <c r="AD667" i="14" s="1"/>
  <c r="BK713" i="14"/>
  <c r="AL758" i="14"/>
  <c r="AI758" i="14"/>
  <c r="AA758" i="14" s="1"/>
  <c r="AD758" i="14" s="1"/>
  <c r="AN758" i="14"/>
  <c r="BK812" i="14"/>
  <c r="AI652" i="14"/>
  <c r="AA652" i="14" s="1"/>
  <c r="AD652" i="14" s="1"/>
  <c r="AN652" i="14"/>
  <c r="AL652" i="14"/>
  <c r="AN809" i="14"/>
  <c r="AL809" i="14"/>
  <c r="AI809" i="14"/>
  <c r="AA809" i="14" s="1"/>
  <c r="AD809" i="14" s="1"/>
  <c r="AI670" i="14"/>
  <c r="AA670" i="14" s="1"/>
  <c r="AD670" i="14" s="1"/>
  <c r="AL670" i="14"/>
  <c r="AN670" i="14"/>
  <c r="BK654" i="14"/>
  <c r="AM771" i="14"/>
  <c r="AK771" i="14"/>
  <c r="AJ771" i="14"/>
  <c r="Z771" i="14" s="1"/>
  <c r="AJ797" i="14"/>
  <c r="Z797" i="14" s="1"/>
  <c r="AM797" i="14"/>
  <c r="AK797" i="14"/>
  <c r="AL751" i="14"/>
  <c r="AI751" i="14"/>
  <c r="AA751" i="14" s="1"/>
  <c r="AD751" i="14" s="1"/>
  <c r="AN751" i="14"/>
  <c r="AI678" i="14"/>
  <c r="AA678" i="14" s="1"/>
  <c r="AD678" i="14" s="1"/>
  <c r="AN678" i="14"/>
  <c r="AL678" i="14"/>
  <c r="AM698" i="14"/>
  <c r="AK698" i="14"/>
  <c r="AJ698" i="14"/>
  <c r="Z698" i="14" s="1"/>
  <c r="AL764" i="14"/>
  <c r="AN764" i="14"/>
  <c r="AI764" i="14"/>
  <c r="AA764" i="14" s="1"/>
  <c r="AD764" i="14" s="1"/>
  <c r="AI805" i="14"/>
  <c r="AA805" i="14" s="1"/>
  <c r="AD805" i="14" s="1"/>
  <c r="AL805" i="14"/>
  <c r="AN805" i="14"/>
  <c r="AK627" i="14"/>
  <c r="AM627" i="14"/>
  <c r="AJ627" i="14"/>
  <c r="Z627" i="14" s="1"/>
  <c r="AM703" i="14"/>
  <c r="AK703" i="14"/>
  <c r="AJ703" i="14"/>
  <c r="Z703" i="14" s="1"/>
  <c r="AK635" i="14"/>
  <c r="AJ635" i="14"/>
  <c r="Z635" i="14" s="1"/>
  <c r="AM635" i="14"/>
  <c r="AK725" i="14"/>
  <c r="AM725" i="14"/>
  <c r="AJ725" i="14"/>
  <c r="Z725" i="14" s="1"/>
  <c r="AI803" i="14"/>
  <c r="AA803" i="14" s="1"/>
  <c r="AD803" i="14" s="1"/>
  <c r="AN803" i="14"/>
  <c r="AL803" i="14"/>
  <c r="AI726" i="14"/>
  <c r="AA726" i="14" s="1"/>
  <c r="AD726" i="14" s="1"/>
  <c r="AN726" i="14"/>
  <c r="AL726" i="14"/>
  <c r="AJ684" i="14"/>
  <c r="Z684" i="14" s="1"/>
  <c r="AM684" i="14"/>
  <c r="AK684" i="14"/>
  <c r="AI730" i="14"/>
  <c r="AA730" i="14" s="1"/>
  <c r="AD730" i="14" s="1"/>
  <c r="AL730" i="14"/>
  <c r="AN730" i="14"/>
  <c r="BK632" i="14"/>
  <c r="AJ760" i="14"/>
  <c r="Z760" i="14" s="1"/>
  <c r="AM760" i="14"/>
  <c r="AK760" i="14"/>
  <c r="BE819" i="14"/>
  <c r="AL745" i="14"/>
  <c r="AN745" i="14"/>
  <c r="AI745" i="14"/>
  <c r="AA745" i="14" s="1"/>
  <c r="AD745" i="14" s="1"/>
  <c r="BK673" i="14"/>
  <c r="AL777" i="14"/>
  <c r="AI777" i="14"/>
  <c r="AA777" i="14" s="1"/>
  <c r="AD777" i="14" s="1"/>
  <c r="AN777" i="14"/>
  <c r="AH819" i="14"/>
  <c r="BI819" i="14"/>
  <c r="AL700" i="14"/>
  <c r="AI700" i="14"/>
  <c r="AA700" i="14" s="1"/>
  <c r="AD700" i="14" s="1"/>
  <c r="AN700" i="14"/>
  <c r="AN797" i="14"/>
  <c r="AL797" i="14"/>
  <c r="AI797" i="14"/>
  <c r="AA797" i="14" s="1"/>
  <c r="AD797" i="14" s="1"/>
  <c r="AJ815" i="14"/>
  <c r="Z815" i="14" s="1"/>
  <c r="AK815" i="14"/>
  <c r="AM815" i="14"/>
  <c r="AJ814" i="14"/>
  <c r="Z814" i="14" s="1"/>
  <c r="AK814" i="14"/>
  <c r="AM814" i="14"/>
  <c r="AJ723" i="14"/>
  <c r="Z723" i="14" s="1"/>
  <c r="AK723" i="14"/>
  <c r="AM723" i="14"/>
  <c r="AI696" i="14"/>
  <c r="AA696" i="14" s="1"/>
  <c r="AD696" i="14" s="1"/>
  <c r="AN696" i="14"/>
  <c r="AL696" i="14"/>
  <c r="AL750" i="14"/>
  <c r="AN750" i="14"/>
  <c r="AI750" i="14"/>
  <c r="AA750" i="14" s="1"/>
  <c r="AD750" i="14" s="1"/>
  <c r="BK731" i="14"/>
  <c r="AJ765" i="14"/>
  <c r="Z765" i="14" s="1"/>
  <c r="AM765" i="14"/>
  <c r="AK765" i="14"/>
  <c r="AJ658" i="14"/>
  <c r="Z658" i="14" s="1"/>
  <c r="AK658" i="14"/>
  <c r="AM658" i="14"/>
  <c r="AL655" i="14"/>
  <c r="AN655" i="14"/>
  <c r="AI655" i="14"/>
  <c r="AA655" i="14" s="1"/>
  <c r="AD655" i="14" s="1"/>
  <c r="AI662" i="14"/>
  <c r="AA662" i="14" s="1"/>
  <c r="AD662" i="14" s="1"/>
  <c r="AN662" i="14"/>
  <c r="AL662" i="14"/>
  <c r="BK661" i="14"/>
  <c r="AJ636" i="14"/>
  <c r="Z636" i="14" s="1"/>
  <c r="AK636" i="14"/>
  <c r="AM636" i="14"/>
  <c r="AJ717" i="14"/>
  <c r="Z717" i="14" s="1"/>
  <c r="AM717" i="14"/>
  <c r="AK717" i="14"/>
  <c r="AL752" i="14"/>
  <c r="AN752" i="14"/>
  <c r="AI752" i="14"/>
  <c r="AA752" i="14" s="1"/>
  <c r="AD752" i="14" s="1"/>
  <c r="BK724" i="14"/>
  <c r="AK696" i="14"/>
  <c r="AM696" i="14"/>
  <c r="AJ696" i="14"/>
  <c r="Z696" i="14" s="1"/>
  <c r="AI641" i="14"/>
  <c r="AA641" i="14" s="1"/>
  <c r="AD641" i="14" s="1"/>
  <c r="AL641" i="14"/>
  <c r="AN641" i="14"/>
  <c r="AN787" i="14"/>
  <c r="AL787" i="14"/>
  <c r="AI787" i="14"/>
  <c r="AA787" i="14" s="1"/>
  <c r="AD787" i="14" s="1"/>
  <c r="AJ656" i="14"/>
  <c r="Z656" i="14" s="1"/>
  <c r="AM656" i="14"/>
  <c r="AK656" i="14"/>
  <c r="AM707" i="14"/>
  <c r="AK707" i="14"/>
  <c r="AJ707" i="14"/>
  <c r="Z707" i="14" s="1"/>
  <c r="AJ643" i="14"/>
  <c r="Z643" i="14" s="1"/>
  <c r="AM643" i="14"/>
  <c r="AK643" i="14"/>
  <c r="BK772" i="14"/>
  <c r="AK628" i="14"/>
  <c r="AM628" i="14"/>
  <c r="AJ628" i="14"/>
  <c r="Z628" i="14" s="1"/>
  <c r="AN784" i="14"/>
  <c r="AL784" i="14"/>
  <c r="AI784" i="14"/>
  <c r="AA784" i="14" s="1"/>
  <c r="AD784" i="14" s="1"/>
  <c r="AJ739" i="14"/>
  <c r="Z739" i="14" s="1"/>
  <c r="AM739" i="14"/>
  <c r="AK739" i="14"/>
  <c r="AI686" i="14"/>
  <c r="AA686" i="14" s="1"/>
  <c r="AD686" i="14" s="1"/>
  <c r="AN686" i="14"/>
  <c r="AL686" i="14"/>
  <c r="BJ819" i="14"/>
  <c r="AG819" i="14"/>
  <c r="AL702" i="14" l="1"/>
  <c r="AI702" i="14"/>
  <c r="AA702" i="14" s="1"/>
  <c r="AD702" i="14" s="1"/>
  <c r="BK775" i="14"/>
  <c r="AL792" i="14"/>
  <c r="AI796" i="14"/>
  <c r="AA796" i="14" s="1"/>
  <c r="AD796" i="14" s="1"/>
  <c r="AN792" i="14"/>
  <c r="AL796" i="14"/>
  <c r="AP796" i="14" s="1"/>
  <c r="AM812" i="14"/>
  <c r="AO812" i="14" s="1"/>
  <c r="AJ812" i="14"/>
  <c r="Z812" i="14" s="1"/>
  <c r="AE812" i="14" s="1"/>
  <c r="AL812" i="14"/>
  <c r="AP812" i="14" s="1"/>
  <c r="AI812" i="14"/>
  <c r="AA812" i="14" s="1"/>
  <c r="AD812" i="14" s="1"/>
  <c r="BK669" i="14"/>
  <c r="AM818" i="14"/>
  <c r="AO818" i="14" s="1"/>
  <c r="AK674" i="14"/>
  <c r="AJ818" i="14"/>
  <c r="Z818" i="14" s="1"/>
  <c r="AE818" i="14" s="1"/>
  <c r="AM674" i="14"/>
  <c r="AL632" i="14"/>
  <c r="AJ632" i="14"/>
  <c r="Z632" i="14" s="1"/>
  <c r="AE632" i="14" s="1"/>
  <c r="AM632" i="14"/>
  <c r="AO632" i="14" s="1"/>
  <c r="AN632" i="14"/>
  <c r="AI747" i="14"/>
  <c r="AA747" i="14" s="1"/>
  <c r="AD747" i="14" s="1"/>
  <c r="BK766" i="14"/>
  <c r="AL747" i="14"/>
  <c r="AP747" i="14" s="1"/>
  <c r="AK747" i="14"/>
  <c r="BK717" i="14"/>
  <c r="AM747" i="14"/>
  <c r="AI689" i="14"/>
  <c r="AA689" i="14" s="1"/>
  <c r="AD689" i="14" s="1"/>
  <c r="AN689" i="14"/>
  <c r="AP689" i="14" s="1"/>
  <c r="AK689" i="14"/>
  <c r="AO689" i="14" s="1"/>
  <c r="AJ689" i="14"/>
  <c r="Z689" i="14" s="1"/>
  <c r="BK750" i="14"/>
  <c r="BK810" i="14"/>
  <c r="AI723" i="14"/>
  <c r="AA723" i="14" s="1"/>
  <c r="AD723" i="14" s="1"/>
  <c r="AL723" i="14"/>
  <c r="AP723" i="14" s="1"/>
  <c r="BK659" i="14"/>
  <c r="AJ802" i="14"/>
  <c r="Z802" i="14" s="1"/>
  <c r="AB802" i="14" s="1"/>
  <c r="AL802" i="14"/>
  <c r="AN802" i="14"/>
  <c r="AK802" i="14"/>
  <c r="AO802" i="14" s="1"/>
  <c r="AI773" i="14"/>
  <c r="AA773" i="14" s="1"/>
  <c r="AD773" i="14" s="1"/>
  <c r="AN773" i="14"/>
  <c r="AP773" i="14" s="1"/>
  <c r="AL704" i="14"/>
  <c r="AI714" i="14"/>
  <c r="AA714" i="14" s="1"/>
  <c r="AD714" i="14" s="1"/>
  <c r="AN704" i="14"/>
  <c r="AL714" i="14"/>
  <c r="AP714" i="14" s="1"/>
  <c r="BK696" i="14"/>
  <c r="BK804" i="14"/>
  <c r="AK720" i="14"/>
  <c r="AI743" i="14"/>
  <c r="AA743" i="14" s="1"/>
  <c r="AD743" i="14" s="1"/>
  <c r="AL743" i="14"/>
  <c r="AP743" i="14" s="1"/>
  <c r="AM720" i="14"/>
  <c r="AK714" i="14"/>
  <c r="AM714" i="14"/>
  <c r="AN622" i="14"/>
  <c r="AL622" i="14"/>
  <c r="AL664" i="14"/>
  <c r="AP664" i="14" s="1"/>
  <c r="AI664" i="14"/>
  <c r="AA664" i="14" s="1"/>
  <c r="AD664" i="14" s="1"/>
  <c r="AL720" i="14"/>
  <c r="AP720" i="14" s="1"/>
  <c r="AI720" i="14"/>
  <c r="AA720" i="14" s="1"/>
  <c r="AD720" i="14" s="1"/>
  <c r="AM629" i="14"/>
  <c r="AK629" i="14"/>
  <c r="BK705" i="14"/>
  <c r="AI783" i="14"/>
  <c r="AA783" i="14" s="1"/>
  <c r="AD783" i="14" s="1"/>
  <c r="AL783" i="14"/>
  <c r="AP783" i="14" s="1"/>
  <c r="AI760" i="14"/>
  <c r="AA760" i="14" s="1"/>
  <c r="AD760" i="14" s="1"/>
  <c r="AN760" i="14"/>
  <c r="AP760" i="14" s="1"/>
  <c r="AI629" i="14"/>
  <c r="AA629" i="14" s="1"/>
  <c r="AD629" i="14" s="1"/>
  <c r="AM767" i="14"/>
  <c r="AK767" i="14"/>
  <c r="AN629" i="14"/>
  <c r="AP629" i="14" s="1"/>
  <c r="AL767" i="14"/>
  <c r="AP767" i="14" s="1"/>
  <c r="AK709" i="14"/>
  <c r="AO709" i="14" s="1"/>
  <c r="AJ709" i="14"/>
  <c r="Z709" i="14" s="1"/>
  <c r="AE709" i="14" s="1"/>
  <c r="AI767" i="14"/>
  <c r="AA767" i="14" s="1"/>
  <c r="AD767" i="14" s="1"/>
  <c r="BK651" i="14"/>
  <c r="AN675" i="14"/>
  <c r="AL675" i="14"/>
  <c r="AM745" i="14"/>
  <c r="AK745" i="14"/>
  <c r="AK776" i="14"/>
  <c r="AM776" i="14"/>
  <c r="AL776" i="14"/>
  <c r="AN776" i="14"/>
  <c r="BK786" i="14"/>
  <c r="BK797" i="14"/>
  <c r="AL738" i="14"/>
  <c r="AP738" i="14" s="1"/>
  <c r="AM728" i="14"/>
  <c r="BK814" i="14"/>
  <c r="AI738" i="14"/>
  <c r="AA738" i="14" s="1"/>
  <c r="AD738" i="14" s="1"/>
  <c r="AM644" i="14"/>
  <c r="AO644" i="14" s="1"/>
  <c r="AJ644" i="14"/>
  <c r="Z644" i="14" s="1"/>
  <c r="AE644" i="14" s="1"/>
  <c r="AM817" i="14"/>
  <c r="AK817" i="14"/>
  <c r="AK649" i="14"/>
  <c r="AO649" i="14" s="1"/>
  <c r="AK693" i="14"/>
  <c r="AO693" i="14" s="1"/>
  <c r="AN693" i="14"/>
  <c r="AL693" i="14"/>
  <c r="AJ693" i="14"/>
  <c r="Z693" i="14" s="1"/>
  <c r="AB693" i="14" s="1"/>
  <c r="AK737" i="14"/>
  <c r="AO737" i="14" s="1"/>
  <c r="AI630" i="14"/>
  <c r="AA630" i="14" s="1"/>
  <c r="AD630" i="14" s="1"/>
  <c r="AK665" i="14"/>
  <c r="AO665" i="14" s="1"/>
  <c r="BK687" i="14"/>
  <c r="AJ649" i="14"/>
  <c r="Z649" i="14" s="1"/>
  <c r="AE649" i="14" s="1"/>
  <c r="AL737" i="14"/>
  <c r="AP737" i="14" s="1"/>
  <c r="AK780" i="14"/>
  <c r="AO780" i="14" s="1"/>
  <c r="AI737" i="14"/>
  <c r="AA737" i="14" s="1"/>
  <c r="AD737" i="14" s="1"/>
  <c r="AJ780" i="14"/>
  <c r="Z780" i="14" s="1"/>
  <c r="AB780" i="14" s="1"/>
  <c r="AN683" i="14"/>
  <c r="AN770" i="14"/>
  <c r="AP770" i="14" s="1"/>
  <c r="AL649" i="14"/>
  <c r="AI770" i="14"/>
  <c r="AA770" i="14" s="1"/>
  <c r="AD770" i="14" s="1"/>
  <c r="AJ737" i="14"/>
  <c r="Z737" i="14" s="1"/>
  <c r="AE737" i="14" s="1"/>
  <c r="AL630" i="14"/>
  <c r="AP630" i="14" s="1"/>
  <c r="BK727" i="14"/>
  <c r="AL683" i="14"/>
  <c r="BK756" i="14"/>
  <c r="AK728" i="14"/>
  <c r="AN649" i="14"/>
  <c r="BK762" i="14"/>
  <c r="BK699" i="14"/>
  <c r="AN788" i="14"/>
  <c r="AP788" i="14" s="1"/>
  <c r="AL807" i="14"/>
  <c r="AN807" i="14"/>
  <c r="AI788" i="14"/>
  <c r="AA788" i="14" s="1"/>
  <c r="AD788" i="14" s="1"/>
  <c r="AM688" i="14"/>
  <c r="AL755" i="14"/>
  <c r="AP755" i="14" s="1"/>
  <c r="AI755" i="14"/>
  <c r="AA755" i="14" s="1"/>
  <c r="AD755" i="14" s="1"/>
  <c r="AK688" i="14"/>
  <c r="BK656" i="14"/>
  <c r="BK636" i="14"/>
  <c r="AJ713" i="14"/>
  <c r="Z713" i="14" s="1"/>
  <c r="AE713" i="14" s="1"/>
  <c r="AJ789" i="14"/>
  <c r="Z789" i="14" s="1"/>
  <c r="AE789" i="14" s="1"/>
  <c r="AK713" i="14"/>
  <c r="AO713" i="14" s="1"/>
  <c r="AK715" i="14"/>
  <c r="AL740" i="14"/>
  <c r="AM715" i="14"/>
  <c r="AN740" i="14"/>
  <c r="BK670" i="14"/>
  <c r="AK807" i="14"/>
  <c r="AO807" i="14" s="1"/>
  <c r="AL715" i="14"/>
  <c r="AM795" i="14"/>
  <c r="BK684" i="14"/>
  <c r="AK795" i="14"/>
  <c r="AJ807" i="14"/>
  <c r="Z807" i="14" s="1"/>
  <c r="AB807" i="14" s="1"/>
  <c r="AK777" i="14"/>
  <c r="AO777" i="14" s="1"/>
  <c r="AN715" i="14"/>
  <c r="AK650" i="14"/>
  <c r="AM650" i="14"/>
  <c r="AJ777" i="14"/>
  <c r="Z777" i="14" s="1"/>
  <c r="AB777" i="14" s="1"/>
  <c r="AN816" i="14"/>
  <c r="AP816" i="14" s="1"/>
  <c r="AI816" i="14"/>
  <c r="AA816" i="14" s="1"/>
  <c r="AD816" i="14" s="1"/>
  <c r="BK667" i="14"/>
  <c r="BK677" i="14"/>
  <c r="AK798" i="14"/>
  <c r="AM798" i="14"/>
  <c r="BK682" i="14"/>
  <c r="AM813" i="14"/>
  <c r="AK813" i="14"/>
  <c r="AI707" i="14"/>
  <c r="AA707" i="14" s="1"/>
  <c r="AD707" i="14" s="1"/>
  <c r="AL707" i="14"/>
  <c r="AP707" i="14" s="1"/>
  <c r="AN697" i="14"/>
  <c r="AP697" i="14" s="1"/>
  <c r="AK654" i="14"/>
  <c r="AN728" i="14"/>
  <c r="AM805" i="14"/>
  <c r="AL728" i="14"/>
  <c r="AM654" i="14"/>
  <c r="AK805" i="14"/>
  <c r="AM640" i="14"/>
  <c r="AO640" i="14" s="1"/>
  <c r="AM726" i="14"/>
  <c r="AO726" i="14" s="1"/>
  <c r="AM753" i="14"/>
  <c r="AO753" i="14" s="1"/>
  <c r="AL654" i="14"/>
  <c r="AP654" i="14" s="1"/>
  <c r="AL668" i="14"/>
  <c r="AJ640" i="14"/>
  <c r="Z640" i="14" s="1"/>
  <c r="AE640" i="14" s="1"/>
  <c r="AJ726" i="14"/>
  <c r="Z726" i="14" s="1"/>
  <c r="AB726" i="14" s="1"/>
  <c r="AJ753" i="14"/>
  <c r="Z753" i="14" s="1"/>
  <c r="AE753" i="14" s="1"/>
  <c r="AI654" i="14"/>
  <c r="AA654" i="14" s="1"/>
  <c r="AD654" i="14" s="1"/>
  <c r="AN668" i="14"/>
  <c r="AK789" i="14"/>
  <c r="AO789" i="14" s="1"/>
  <c r="AJ665" i="14"/>
  <c r="Z665" i="14" s="1"/>
  <c r="AE665" i="14" s="1"/>
  <c r="AN811" i="14"/>
  <c r="AP811" i="14" s="1"/>
  <c r="BK744" i="14"/>
  <c r="AK691" i="14"/>
  <c r="AO691" i="14" s="1"/>
  <c r="AJ691" i="14"/>
  <c r="Z691" i="14" s="1"/>
  <c r="AE691" i="14" s="1"/>
  <c r="AL643" i="14"/>
  <c r="AK778" i="14"/>
  <c r="AN643" i="14"/>
  <c r="BK725" i="14"/>
  <c r="AK731" i="14"/>
  <c r="AO731" i="14" s="1"/>
  <c r="AI637" i="14"/>
  <c r="AA637" i="14" s="1"/>
  <c r="AD637" i="14" s="1"/>
  <c r="AL637" i="14"/>
  <c r="AP637" i="14" s="1"/>
  <c r="AJ648" i="14"/>
  <c r="Z648" i="14" s="1"/>
  <c r="AE648" i="14" s="1"/>
  <c r="AM697" i="14"/>
  <c r="AO697" i="14" s="1"/>
  <c r="AM648" i="14"/>
  <c r="AO648" i="14" s="1"/>
  <c r="AJ731" i="14"/>
  <c r="Z731" i="14" s="1"/>
  <c r="AB731" i="14" s="1"/>
  <c r="BK800" i="14"/>
  <c r="AJ686" i="14"/>
  <c r="Z686" i="14" s="1"/>
  <c r="AE686" i="14" s="1"/>
  <c r="AM686" i="14"/>
  <c r="AO686" i="14" s="1"/>
  <c r="AI712" i="14"/>
  <c r="AA712" i="14" s="1"/>
  <c r="AD712" i="14" s="1"/>
  <c r="AM788" i="14"/>
  <c r="AO788" i="14" s="1"/>
  <c r="AL712" i="14"/>
  <c r="AP712" i="14" s="1"/>
  <c r="AN698" i="14"/>
  <c r="AP698" i="14" s="1"/>
  <c r="AI698" i="14"/>
  <c r="AA698" i="14" s="1"/>
  <c r="AD698" i="14" s="1"/>
  <c r="AK806" i="14"/>
  <c r="AM806" i="14"/>
  <c r="AM784" i="14"/>
  <c r="AO784" i="14" s="1"/>
  <c r="AK803" i="14"/>
  <c r="AJ784" i="14"/>
  <c r="Z784" i="14" s="1"/>
  <c r="AE784" i="14" s="1"/>
  <c r="AM803" i="14"/>
  <c r="AJ645" i="14"/>
  <c r="Z645" i="14" s="1"/>
  <c r="AE645" i="14" s="1"/>
  <c r="AN640" i="14"/>
  <c r="AM645" i="14"/>
  <c r="AO645" i="14" s="1"/>
  <c r="AL640" i="14"/>
  <c r="AN748" i="14"/>
  <c r="AL748" i="14"/>
  <c r="BK732" i="14"/>
  <c r="BK628" i="14"/>
  <c r="BK631" i="14"/>
  <c r="AJ788" i="14"/>
  <c r="Z788" i="14" s="1"/>
  <c r="AJ697" i="14"/>
  <c r="Z697" i="14" s="1"/>
  <c r="AE697" i="14" s="1"/>
  <c r="AI811" i="14"/>
  <c r="AA811" i="14" s="1"/>
  <c r="AD811" i="14" s="1"/>
  <c r="AK809" i="14"/>
  <c r="AO809" i="14" s="1"/>
  <c r="AJ774" i="14"/>
  <c r="Z774" i="14" s="1"/>
  <c r="AB774" i="14" s="1"/>
  <c r="AK673" i="14"/>
  <c r="AO673" i="14" s="1"/>
  <c r="AJ673" i="14"/>
  <c r="Z673" i="14" s="1"/>
  <c r="AE673" i="14" s="1"/>
  <c r="AL789" i="14"/>
  <c r="AP789" i="14" s="1"/>
  <c r="AM774" i="14"/>
  <c r="AO774" i="14" s="1"/>
  <c r="AI789" i="14"/>
  <c r="AA789" i="14" s="1"/>
  <c r="AD789" i="14" s="1"/>
  <c r="BK647" i="14"/>
  <c r="AM692" i="14"/>
  <c r="BK638" i="14"/>
  <c r="AI644" i="14"/>
  <c r="AA644" i="14" s="1"/>
  <c r="AD644" i="14" s="1"/>
  <c r="AN644" i="14"/>
  <c r="AP644" i="14" s="1"/>
  <c r="AI671" i="14"/>
  <c r="AA671" i="14" s="1"/>
  <c r="AD671" i="14" s="1"/>
  <c r="AN650" i="14"/>
  <c r="AM623" i="14"/>
  <c r="AK623" i="14"/>
  <c r="AL813" i="14"/>
  <c r="AN813" i="14"/>
  <c r="AM710" i="14"/>
  <c r="AK710" i="14"/>
  <c r="BK634" i="14"/>
  <c r="AN676" i="14"/>
  <c r="AJ809" i="14"/>
  <c r="Z809" i="14" s="1"/>
  <c r="AB809" i="14" s="1"/>
  <c r="AN671" i="14"/>
  <c r="AP671" i="14" s="1"/>
  <c r="AL676" i="14"/>
  <c r="AI697" i="14"/>
  <c r="AA697" i="14" s="1"/>
  <c r="AD697" i="14" s="1"/>
  <c r="AK646" i="14"/>
  <c r="AO646" i="14" s="1"/>
  <c r="AL646" i="14"/>
  <c r="AP646" i="14" s="1"/>
  <c r="AM734" i="14"/>
  <c r="AO734" i="14" s="1"/>
  <c r="AI679" i="14"/>
  <c r="AA679" i="14" s="1"/>
  <c r="AD679" i="14" s="1"/>
  <c r="AJ734" i="14"/>
  <c r="Z734" i="14" s="1"/>
  <c r="AE734" i="14" s="1"/>
  <c r="AI646" i="14"/>
  <c r="AA646" i="14" s="1"/>
  <c r="AD646" i="14" s="1"/>
  <c r="AL679" i="14"/>
  <c r="AP679" i="14" s="1"/>
  <c r="AL650" i="14"/>
  <c r="AL694" i="14"/>
  <c r="AL673" i="14"/>
  <c r="AJ646" i="14"/>
  <c r="Z646" i="14" s="1"/>
  <c r="AE646" i="14" s="1"/>
  <c r="AK772" i="14"/>
  <c r="AO772" i="14" s="1"/>
  <c r="AJ735" i="14"/>
  <c r="Z735" i="14" s="1"/>
  <c r="AE735" i="14" s="1"/>
  <c r="AL653" i="14"/>
  <c r="AI771" i="14"/>
  <c r="AA771" i="14" s="1"/>
  <c r="AD771" i="14" s="1"/>
  <c r="AI645" i="14"/>
  <c r="AA645" i="14" s="1"/>
  <c r="AD645" i="14" s="1"/>
  <c r="AN808" i="14"/>
  <c r="AP808" i="14" s="1"/>
  <c r="AL645" i="14"/>
  <c r="AP645" i="14" s="1"/>
  <c r="AI808" i="14"/>
  <c r="AA808" i="14" s="1"/>
  <c r="AD808" i="14" s="1"/>
  <c r="AK735" i="14"/>
  <c r="AO735" i="14" s="1"/>
  <c r="AM778" i="14"/>
  <c r="AK816" i="14"/>
  <c r="AO816" i="14" s="1"/>
  <c r="AK711" i="14"/>
  <c r="AM761" i="14"/>
  <c r="AI708" i="14"/>
  <c r="AA708" i="14" s="1"/>
  <c r="AD708" i="14" s="1"/>
  <c r="AL708" i="14"/>
  <c r="AP708" i="14" s="1"/>
  <c r="AM764" i="14"/>
  <c r="AO764" i="14" s="1"/>
  <c r="AI716" i="14"/>
  <c r="AA716" i="14" s="1"/>
  <c r="AD716" i="14" s="1"/>
  <c r="AM711" i="14"/>
  <c r="AM666" i="14"/>
  <c r="AO666" i="14" s="1"/>
  <c r="AM787" i="14"/>
  <c r="AO787" i="14" s="1"/>
  <c r="AL757" i="14"/>
  <c r="BK781" i="14"/>
  <c r="AJ787" i="14"/>
  <c r="Z787" i="14" s="1"/>
  <c r="AE787" i="14" s="1"/>
  <c r="AN757" i="14"/>
  <c r="BK768" i="14"/>
  <c r="BK641" i="14"/>
  <c r="AK741" i="14"/>
  <c r="AO741" i="14" s="1"/>
  <c r="AK730" i="14"/>
  <c r="AJ741" i="14"/>
  <c r="Z741" i="14" s="1"/>
  <c r="AB741" i="14" s="1"/>
  <c r="AM730" i="14"/>
  <c r="AK642" i="14"/>
  <c r="AM642" i="14"/>
  <c r="AN673" i="14"/>
  <c r="BK758" i="14"/>
  <c r="AJ816" i="14"/>
  <c r="Z816" i="14" s="1"/>
  <c r="BK700" i="14"/>
  <c r="AJ772" i="14"/>
  <c r="Z772" i="14" s="1"/>
  <c r="AE772" i="14" s="1"/>
  <c r="AJ716" i="14"/>
  <c r="Z716" i="14" s="1"/>
  <c r="AE716" i="14" s="1"/>
  <c r="AK625" i="14"/>
  <c r="AM716" i="14"/>
  <c r="AO716" i="14" s="1"/>
  <c r="AK761" i="14"/>
  <c r="AJ764" i="14"/>
  <c r="Z764" i="14" s="1"/>
  <c r="AB764" i="14" s="1"/>
  <c r="AM625" i="14"/>
  <c r="AK779" i="14"/>
  <c r="AM779" i="14"/>
  <c r="AN793" i="14"/>
  <c r="AL793" i="14"/>
  <c r="AJ666" i="14"/>
  <c r="Z666" i="14" s="1"/>
  <c r="AB666" i="14" s="1"/>
  <c r="AN790" i="14"/>
  <c r="AL790" i="14"/>
  <c r="AN694" i="14"/>
  <c r="AN749" i="14"/>
  <c r="AP749" i="14" s="1"/>
  <c r="AI749" i="14"/>
  <c r="AA749" i="14" s="1"/>
  <c r="AD749" i="14" s="1"/>
  <c r="AK742" i="14"/>
  <c r="AM742" i="14"/>
  <c r="BK681" i="14"/>
  <c r="AI672" i="14"/>
  <c r="AA672" i="14" s="1"/>
  <c r="AD672" i="14" s="1"/>
  <c r="BK639" i="14"/>
  <c r="AL672" i="14"/>
  <c r="AP672" i="14" s="1"/>
  <c r="AL741" i="14"/>
  <c r="AN741" i="14"/>
  <c r="AL795" i="14"/>
  <c r="AN795" i="14"/>
  <c r="AN701" i="14"/>
  <c r="AP701" i="14" s="1"/>
  <c r="BK765" i="14"/>
  <c r="AN716" i="14"/>
  <c r="AP716" i="14" s="1"/>
  <c r="AK733" i="14"/>
  <c r="AL635" i="14"/>
  <c r="AM733" i="14"/>
  <c r="AJ668" i="14"/>
  <c r="Z668" i="14" s="1"/>
  <c r="AB668" i="14" s="1"/>
  <c r="AN635" i="14"/>
  <c r="AI718" i="14"/>
  <c r="AA718" i="14" s="1"/>
  <c r="AD718" i="14" s="1"/>
  <c r="AK712" i="14"/>
  <c r="AI791" i="14"/>
  <c r="AA791" i="14" s="1"/>
  <c r="AD791" i="14" s="1"/>
  <c r="AN718" i="14"/>
  <c r="AP718" i="14" s="1"/>
  <c r="AL791" i="14"/>
  <c r="AP791" i="14" s="1"/>
  <c r="AJ721" i="14"/>
  <c r="Z721" i="14" s="1"/>
  <c r="AE721" i="14" s="1"/>
  <c r="AM721" i="14"/>
  <c r="AO721" i="14" s="1"/>
  <c r="AK690" i="14"/>
  <c r="AM690" i="14"/>
  <c r="AL663" i="14"/>
  <c r="AP663" i="14" s="1"/>
  <c r="AK694" i="14"/>
  <c r="AI663" i="14"/>
  <c r="AA663" i="14" s="1"/>
  <c r="AD663" i="14" s="1"/>
  <c r="AL735" i="14"/>
  <c r="AP735" i="14" s="1"/>
  <c r="AM694" i="14"/>
  <c r="AM668" i="14"/>
  <c r="AO668" i="14" s="1"/>
  <c r="AK724" i="14"/>
  <c r="AO724" i="14" s="1"/>
  <c r="AM712" i="14"/>
  <c r="AI701" i="14"/>
  <c r="AA701" i="14" s="1"/>
  <c r="AD701" i="14" s="1"/>
  <c r="AI735" i="14"/>
  <c r="AA735" i="14" s="1"/>
  <c r="AD735" i="14" s="1"/>
  <c r="AK692" i="14"/>
  <c r="AI685" i="14"/>
  <c r="AA685" i="14" s="1"/>
  <c r="AD685" i="14" s="1"/>
  <c r="AJ722" i="14"/>
  <c r="Z722" i="14" s="1"/>
  <c r="AB722" i="14" s="1"/>
  <c r="AN653" i="14"/>
  <c r="BK655" i="14"/>
  <c r="AL771" i="14"/>
  <c r="AP771" i="14" s="1"/>
  <c r="AL685" i="14"/>
  <c r="AP685" i="14" s="1"/>
  <c r="AN626" i="14"/>
  <c r="AI692" i="14"/>
  <c r="AA692" i="14" s="1"/>
  <c r="AD692" i="14" s="1"/>
  <c r="AL692" i="14"/>
  <c r="AP692" i="14" s="1"/>
  <c r="AK680" i="14"/>
  <c r="AO680" i="14" s="1"/>
  <c r="AJ680" i="14"/>
  <c r="Z680" i="14" s="1"/>
  <c r="AE680" i="14" s="1"/>
  <c r="BK652" i="14"/>
  <c r="BK660" i="14"/>
  <c r="AI661" i="14"/>
  <c r="AA661" i="14" s="1"/>
  <c r="AD661" i="14" s="1"/>
  <c r="AL661" i="14"/>
  <c r="AP661" i="14" s="1"/>
  <c r="AK811" i="14"/>
  <c r="AM811" i="14"/>
  <c r="BK751" i="14"/>
  <c r="AK722" i="14"/>
  <c r="AO722" i="14" s="1"/>
  <c r="AL626" i="14"/>
  <c r="AL799" i="14"/>
  <c r="AP799" i="14" s="1"/>
  <c r="AI799" i="14"/>
  <c r="AA799" i="14" s="1"/>
  <c r="AD799" i="14" s="1"/>
  <c r="BK621" i="14"/>
  <c r="AK661" i="14"/>
  <c r="AM661" i="14"/>
  <c r="AN731" i="14"/>
  <c r="AL731" i="14"/>
  <c r="AN759" i="14"/>
  <c r="AP759" i="14" s="1"/>
  <c r="AN785" i="14"/>
  <c r="AP785" i="14" s="1"/>
  <c r="AI785" i="14"/>
  <c r="AA785" i="14" s="1"/>
  <c r="AD785" i="14" s="1"/>
  <c r="AJ769" i="14"/>
  <c r="Z769" i="14" s="1"/>
  <c r="AE769" i="14" s="1"/>
  <c r="AM769" i="14"/>
  <c r="AO769" i="14" s="1"/>
  <c r="AN763" i="14"/>
  <c r="AI724" i="14"/>
  <c r="AA724" i="14" s="1"/>
  <c r="AD724" i="14" s="1"/>
  <c r="AL763" i="14"/>
  <c r="AM657" i="14"/>
  <c r="AO657" i="14" s="1"/>
  <c r="AI711" i="14"/>
  <c r="AA711" i="14" s="1"/>
  <c r="AD711" i="14" s="1"/>
  <c r="AN711" i="14"/>
  <c r="AP711" i="14" s="1"/>
  <c r="AN706" i="14"/>
  <c r="AP706" i="14" s="1"/>
  <c r="AI706" i="14"/>
  <c r="AA706" i="14" s="1"/>
  <c r="AD706" i="14" s="1"/>
  <c r="AI625" i="14"/>
  <c r="AA625" i="14" s="1"/>
  <c r="AD625" i="14" s="1"/>
  <c r="AI642" i="14"/>
  <c r="AA642" i="14" s="1"/>
  <c r="AD642" i="14" s="1"/>
  <c r="AL642" i="14"/>
  <c r="AP642" i="14" s="1"/>
  <c r="BK801" i="14"/>
  <c r="AL625" i="14"/>
  <c r="AP625" i="14" s="1"/>
  <c r="AJ657" i="14"/>
  <c r="Z657" i="14" s="1"/>
  <c r="AB657" i="14" s="1"/>
  <c r="AL724" i="14"/>
  <c r="AP724" i="14" s="1"/>
  <c r="AL627" i="14"/>
  <c r="AP627" i="14" s="1"/>
  <c r="AI627" i="14"/>
  <c r="AA627" i="14" s="1"/>
  <c r="AD627" i="14" s="1"/>
  <c r="AJ724" i="14"/>
  <c r="Z724" i="14" s="1"/>
  <c r="AL713" i="14"/>
  <c r="AP713" i="14" s="1"/>
  <c r="AI713" i="14"/>
  <c r="AA713" i="14" s="1"/>
  <c r="AD713" i="14" s="1"/>
  <c r="AI759" i="14"/>
  <c r="AA759" i="14" s="1"/>
  <c r="AD759" i="14" s="1"/>
  <c r="AK794" i="14"/>
  <c r="AM794" i="14"/>
  <c r="AK799" i="14"/>
  <c r="AM799" i="14"/>
  <c r="AN815" i="14"/>
  <c r="AL815" i="14"/>
  <c r="AM754" i="14"/>
  <c r="AO754" i="14" s="1"/>
  <c r="AJ754" i="14"/>
  <c r="Z754" i="14" s="1"/>
  <c r="AE754" i="14" s="1"/>
  <c r="BK658" i="14"/>
  <c r="AI736" i="14"/>
  <c r="AA736" i="14" s="1"/>
  <c r="AD736" i="14" s="1"/>
  <c r="AN736" i="14"/>
  <c r="AP736" i="14" s="1"/>
  <c r="BK620" i="14"/>
  <c r="AL665" i="14"/>
  <c r="AP665" i="14" s="1"/>
  <c r="AI665" i="14"/>
  <c r="AA665" i="14" s="1"/>
  <c r="AD665" i="14" s="1"/>
  <c r="AM633" i="14"/>
  <c r="BK739" i="14"/>
  <c r="AK633" i="14"/>
  <c r="AI772" i="14"/>
  <c r="AA772" i="14" s="1"/>
  <c r="AD772" i="14" s="1"/>
  <c r="BK746" i="14"/>
  <c r="AN769" i="14"/>
  <c r="AP769" i="14" s="1"/>
  <c r="AI769" i="14"/>
  <c r="AA769" i="14" s="1"/>
  <c r="AD769" i="14" s="1"/>
  <c r="AN772" i="14"/>
  <c r="AP772" i="14" s="1"/>
  <c r="AL734" i="14"/>
  <c r="AP734" i="14" s="1"/>
  <c r="AI633" i="14"/>
  <c r="AA633" i="14" s="1"/>
  <c r="AD633" i="14" s="1"/>
  <c r="AK752" i="14"/>
  <c r="AM752" i="14"/>
  <c r="AI734" i="14"/>
  <c r="AA734" i="14" s="1"/>
  <c r="AD734" i="14" s="1"/>
  <c r="AN633" i="14"/>
  <c r="AP633" i="14" s="1"/>
  <c r="BK662" i="14"/>
  <c r="AM729" i="14"/>
  <c r="AO729" i="14" s="1"/>
  <c r="AJ729" i="14"/>
  <c r="Z729" i="14" s="1"/>
  <c r="AE729" i="14" s="1"/>
  <c r="BK678" i="14"/>
  <c r="AL624" i="14"/>
  <c r="AP624" i="14" s="1"/>
  <c r="AI624" i="14"/>
  <c r="AA624" i="14" s="1"/>
  <c r="AD624" i="14" s="1"/>
  <c r="BK695" i="14"/>
  <c r="AM782" i="14"/>
  <c r="AN690" i="14"/>
  <c r="AP690" i="14" s="1"/>
  <c r="AK782" i="14"/>
  <c r="AI690" i="14"/>
  <c r="AA690" i="14" s="1"/>
  <c r="AD690" i="14" s="1"/>
  <c r="AM619" i="14"/>
  <c r="AK619" i="14"/>
  <c r="BK703" i="14"/>
  <c r="AO796" i="14"/>
  <c r="AO672" i="14"/>
  <c r="AP660" i="14"/>
  <c r="AS660" i="14" s="1"/>
  <c r="AP774" i="14"/>
  <c r="AS774" i="14" s="1"/>
  <c r="AO757" i="14"/>
  <c r="AP727" i="14"/>
  <c r="AS727" i="14" s="1"/>
  <c r="AO751" i="14"/>
  <c r="AO667" i="14"/>
  <c r="AO658" i="14"/>
  <c r="AO685" i="14"/>
  <c r="AO651" i="14"/>
  <c r="AO696" i="14"/>
  <c r="AO723" i="14"/>
  <c r="AP730" i="14"/>
  <c r="AS730" i="14" s="1"/>
  <c r="AO662" i="14"/>
  <c r="AO810" i="14"/>
  <c r="AP725" i="14"/>
  <c r="AS725" i="14" s="1"/>
  <c r="AO770" i="14"/>
  <c r="AO641" i="14"/>
  <c r="AO652" i="14"/>
  <c r="AO815" i="14"/>
  <c r="AP710" i="14"/>
  <c r="AS710" i="14" s="1"/>
  <c r="AO628" i="14"/>
  <c r="AP641" i="14"/>
  <c r="AS641" i="14" s="1"/>
  <c r="AP745" i="14"/>
  <c r="AS745" i="14" s="1"/>
  <c r="AP658" i="14"/>
  <c r="AS658" i="14" s="1"/>
  <c r="AP621" i="14"/>
  <c r="AS621" i="14" s="1"/>
  <c r="AP659" i="14"/>
  <c r="AS659" i="14" s="1"/>
  <c r="AP805" i="14"/>
  <c r="AS805" i="14" s="1"/>
  <c r="AO743" i="14"/>
  <c r="AO634" i="14"/>
  <c r="AP620" i="14"/>
  <c r="AS620" i="14" s="1"/>
  <c r="AO626" i="14"/>
  <c r="AP765" i="14"/>
  <c r="AS765" i="14" s="1"/>
  <c r="AO622" i="14"/>
  <c r="AO775" i="14"/>
  <c r="AO675" i="14"/>
  <c r="AO759" i="14"/>
  <c r="AP761" i="14"/>
  <c r="AS761" i="14" s="1"/>
  <c r="AO740" i="14"/>
  <c r="AP682" i="14"/>
  <c r="AS682" i="14" s="1"/>
  <c r="AO637" i="14"/>
  <c r="AP779" i="14"/>
  <c r="AS779" i="14" s="1"/>
  <c r="AP696" i="14"/>
  <c r="AS696" i="14" s="1"/>
  <c r="AO750" i="14"/>
  <c r="AP787" i="14"/>
  <c r="AS787" i="14" s="1"/>
  <c r="AO698" i="14"/>
  <c r="AO630" i="14"/>
  <c r="AO808" i="14"/>
  <c r="AP619" i="14"/>
  <c r="AS619" i="14" s="1"/>
  <c r="AP778" i="14"/>
  <c r="AS778" i="14" s="1"/>
  <c r="AO793" i="14"/>
  <c r="AO701" i="14"/>
  <c r="AP623" i="14"/>
  <c r="AS623" i="14" s="1"/>
  <c r="AP786" i="14"/>
  <c r="AS786" i="14" s="1"/>
  <c r="AO635" i="14"/>
  <c r="AP657" i="14"/>
  <c r="AS657" i="14" s="1"/>
  <c r="AP719" i="14"/>
  <c r="AS719" i="14" s="1"/>
  <c r="AO781" i="14"/>
  <c r="AO699" i="14"/>
  <c r="AP752" i="14"/>
  <c r="AS752" i="14" s="1"/>
  <c r="AP768" i="14"/>
  <c r="AS768" i="14" s="1"/>
  <c r="AP699" i="14"/>
  <c r="AS699" i="14" s="1"/>
  <c r="AP775" i="14"/>
  <c r="AS775" i="14" s="1"/>
  <c r="AO732" i="14"/>
  <c r="AP631" i="14"/>
  <c r="AS631" i="14" s="1"/>
  <c r="AO804" i="14"/>
  <c r="AP780" i="14"/>
  <c r="AS780" i="14" s="1"/>
  <c r="AO758" i="14"/>
  <c r="AO687" i="14"/>
  <c r="AO706" i="14"/>
  <c r="AO783" i="14"/>
  <c r="AP656" i="14"/>
  <c r="AS656" i="14" s="1"/>
  <c r="AO791" i="14"/>
  <c r="AO744" i="14"/>
  <c r="AP666" i="14"/>
  <c r="AS666" i="14" s="1"/>
  <c r="AP797" i="14"/>
  <c r="AS797" i="14" s="1"/>
  <c r="AO669" i="14"/>
  <c r="AP674" i="14"/>
  <c r="AS674" i="14" s="1"/>
  <c r="AO763" i="14"/>
  <c r="AP681" i="14"/>
  <c r="AS681" i="14" s="1"/>
  <c r="AO739" i="14"/>
  <c r="AO703" i="14"/>
  <c r="AP687" i="14"/>
  <c r="AS687" i="14" s="1"/>
  <c r="AP662" i="14"/>
  <c r="AS662" i="14" s="1"/>
  <c r="AP680" i="14"/>
  <c r="AS680" i="14" s="1"/>
  <c r="AP803" i="14"/>
  <c r="AS803" i="14" s="1"/>
  <c r="AP794" i="14"/>
  <c r="AS794" i="14" s="1"/>
  <c r="AP766" i="14"/>
  <c r="AS766" i="14" s="1"/>
  <c r="AO748" i="14"/>
  <c r="AP648" i="14"/>
  <c r="AS648" i="14" s="1"/>
  <c r="AO659" i="14"/>
  <c r="AO707" i="14"/>
  <c r="AO765" i="14"/>
  <c r="AP809" i="14"/>
  <c r="AS809" i="14" s="1"/>
  <c r="AP702" i="14"/>
  <c r="AP729" i="14"/>
  <c r="AS729" i="14" s="1"/>
  <c r="AO670" i="14"/>
  <c r="AO671" i="14"/>
  <c r="AP636" i="14"/>
  <c r="AS636" i="14" s="1"/>
  <c r="AO786" i="14"/>
  <c r="AO620" i="14"/>
  <c r="AO682" i="14"/>
  <c r="AO708" i="14"/>
  <c r="AP717" i="14"/>
  <c r="AS717" i="14" s="1"/>
  <c r="AP639" i="14"/>
  <c r="AS639" i="14" s="1"/>
  <c r="AO768" i="14"/>
  <c r="AP804" i="14"/>
  <c r="AS804" i="14" s="1"/>
  <c r="AO766" i="14"/>
  <c r="AP798" i="14"/>
  <c r="AS798" i="14" s="1"/>
  <c r="AP753" i="14"/>
  <c r="AS753" i="14" s="1"/>
  <c r="AP814" i="14"/>
  <c r="AS814" i="14" s="1"/>
  <c r="AO647" i="14"/>
  <c r="AP700" i="14"/>
  <c r="AS700" i="14" s="1"/>
  <c r="AE761" i="14"/>
  <c r="AB761" i="14"/>
  <c r="AE684" i="14"/>
  <c r="AB684" i="14"/>
  <c r="AE698" i="14"/>
  <c r="AP751" i="14"/>
  <c r="AS751" i="14" s="1"/>
  <c r="AE654" i="14"/>
  <c r="AP756" i="14"/>
  <c r="AS756" i="14" s="1"/>
  <c r="AE690" i="14"/>
  <c r="AE700" i="14"/>
  <c r="AB700" i="14"/>
  <c r="AB655" i="14"/>
  <c r="AE655" i="14"/>
  <c r="AO718" i="14"/>
  <c r="AB757" i="14"/>
  <c r="AE757" i="14"/>
  <c r="AP817" i="14"/>
  <c r="AS817" i="14" s="1"/>
  <c r="AB751" i="14"/>
  <c r="AE751" i="14"/>
  <c r="AE799" i="14"/>
  <c r="AP709" i="14"/>
  <c r="AS709" i="14" s="1"/>
  <c r="AO653" i="14"/>
  <c r="AP742" i="14"/>
  <c r="AS742" i="14" s="1"/>
  <c r="AE642" i="14"/>
  <c r="AP754" i="14"/>
  <c r="AS754" i="14" s="1"/>
  <c r="AB719" i="14"/>
  <c r="AE719" i="14"/>
  <c r="AE622" i="14"/>
  <c r="AB622" i="14"/>
  <c r="AO800" i="14"/>
  <c r="AB674" i="14"/>
  <c r="AE674" i="14"/>
  <c r="AB621" i="14"/>
  <c r="AE621" i="14"/>
  <c r="AE699" i="14"/>
  <c r="AB699" i="14"/>
  <c r="AE723" i="14"/>
  <c r="AP784" i="14"/>
  <c r="AS784" i="14" s="1"/>
  <c r="AE720" i="14"/>
  <c r="AP655" i="14"/>
  <c r="AS655" i="14" s="1"/>
  <c r="AE814" i="14"/>
  <c r="AB814" i="14"/>
  <c r="AO760" i="14"/>
  <c r="AE627" i="14"/>
  <c r="AO797" i="14"/>
  <c r="AP758" i="14"/>
  <c r="AS758" i="14" s="1"/>
  <c r="AE705" i="14"/>
  <c r="AB705" i="14"/>
  <c r="AO755" i="14"/>
  <c r="AE718" i="14"/>
  <c r="AE678" i="14"/>
  <c r="AB678" i="14"/>
  <c r="AE768" i="14"/>
  <c r="AB768" i="14"/>
  <c r="AE619" i="14"/>
  <c r="AB619" i="14"/>
  <c r="AB775" i="14"/>
  <c r="AE775" i="14"/>
  <c r="AP705" i="14"/>
  <c r="AS705" i="14" s="1"/>
  <c r="AE773" i="14"/>
  <c r="AE704" i="14"/>
  <c r="AB704" i="14"/>
  <c r="AP739" i="14"/>
  <c r="AS739" i="14" s="1"/>
  <c r="AP801" i="14"/>
  <c r="AS801" i="14" s="1"/>
  <c r="AO727" i="14"/>
  <c r="AO756" i="14"/>
  <c r="AE760" i="14"/>
  <c r="AO627" i="14"/>
  <c r="AB797" i="14"/>
  <c r="AE797" i="14"/>
  <c r="AB778" i="14"/>
  <c r="AE778" i="14"/>
  <c r="AP691" i="14"/>
  <c r="AS691" i="14" s="1"/>
  <c r="AE748" i="14"/>
  <c r="AB748" i="14"/>
  <c r="AP677" i="14"/>
  <c r="AS677" i="14" s="1"/>
  <c r="AE755" i="14"/>
  <c r="AO736" i="14"/>
  <c r="AE653" i="14"/>
  <c r="AB653" i="14"/>
  <c r="AB730" i="14"/>
  <c r="AE730" i="14"/>
  <c r="AP688" i="14"/>
  <c r="AS688" i="14" s="1"/>
  <c r="AE811" i="14"/>
  <c r="AE727" i="14"/>
  <c r="AB727" i="14"/>
  <c r="AE800" i="14"/>
  <c r="AB800" i="14"/>
  <c r="AE752" i="14"/>
  <c r="AB752" i="14"/>
  <c r="AE767" i="14"/>
  <c r="AE692" i="14"/>
  <c r="AB779" i="14"/>
  <c r="AE779" i="14"/>
  <c r="AE771" i="14"/>
  <c r="AB817" i="14"/>
  <c r="AE817" i="14"/>
  <c r="AE630" i="14"/>
  <c r="AE747" i="14"/>
  <c r="AE808" i="14"/>
  <c r="AE688" i="14"/>
  <c r="AB688" i="14"/>
  <c r="AB806" i="14"/>
  <c r="AE806" i="14"/>
  <c r="AB776" i="14"/>
  <c r="AE776" i="14"/>
  <c r="AE679" i="14"/>
  <c r="AE782" i="14"/>
  <c r="AB782" i="14"/>
  <c r="AB793" i="14"/>
  <c r="AE793" i="14"/>
  <c r="AE701" i="14"/>
  <c r="AE676" i="14"/>
  <c r="AB676" i="14"/>
  <c r="AE647" i="14"/>
  <c r="AB647" i="14"/>
  <c r="AE652" i="14"/>
  <c r="AB652" i="14"/>
  <c r="AL819" i="14"/>
  <c r="AN819" i="14"/>
  <c r="AI819" i="14"/>
  <c r="AA819" i="14" s="1"/>
  <c r="AD819" i="14" s="1"/>
  <c r="AE717" i="14"/>
  <c r="AB717" i="14"/>
  <c r="AP678" i="14"/>
  <c r="AS678" i="14" s="1"/>
  <c r="AE736" i="14"/>
  <c r="AE662" i="14"/>
  <c r="AB662" i="14"/>
  <c r="AP782" i="14"/>
  <c r="AS782" i="14" s="1"/>
  <c r="AE810" i="14"/>
  <c r="AB810" i="14"/>
  <c r="AE770" i="14"/>
  <c r="AE714" i="14"/>
  <c r="AO762" i="14"/>
  <c r="AO639" i="14"/>
  <c r="AE659" i="14"/>
  <c r="AB659" i="14"/>
  <c r="AP744" i="14"/>
  <c r="AS744" i="14" s="1"/>
  <c r="AO643" i="14"/>
  <c r="AE661" i="14"/>
  <c r="AP686" i="14"/>
  <c r="AS686" i="14" s="1"/>
  <c r="AE707" i="14"/>
  <c r="AO636" i="14"/>
  <c r="AE658" i="14"/>
  <c r="AB658" i="14"/>
  <c r="AP750" i="14"/>
  <c r="AS750" i="14" s="1"/>
  <c r="AB815" i="14"/>
  <c r="AE815" i="14"/>
  <c r="AP726" i="14"/>
  <c r="AS726" i="14" s="1"/>
  <c r="AO725" i="14"/>
  <c r="AO771" i="14"/>
  <c r="AO677" i="14"/>
  <c r="AP722" i="14"/>
  <c r="AS722" i="14" s="1"/>
  <c r="AE803" i="14"/>
  <c r="AB803" i="14"/>
  <c r="AB801" i="14"/>
  <c r="AE801" i="14"/>
  <c r="AO679" i="14"/>
  <c r="AP647" i="14"/>
  <c r="AS647" i="14" s="1"/>
  <c r="AO785" i="14"/>
  <c r="AP746" i="14"/>
  <c r="AS746" i="14" s="1"/>
  <c r="AB786" i="14"/>
  <c r="AE786" i="14"/>
  <c r="AE694" i="14"/>
  <c r="AB694" i="14"/>
  <c r="AO676" i="14"/>
  <c r="AE762" i="14"/>
  <c r="AB762" i="14"/>
  <c r="AE796" i="14"/>
  <c r="AB639" i="14"/>
  <c r="AE639" i="14"/>
  <c r="AP806" i="14"/>
  <c r="AS806" i="14" s="1"/>
  <c r="AE672" i="14"/>
  <c r="AB641" i="14"/>
  <c r="AE641" i="14"/>
  <c r="AB656" i="14"/>
  <c r="AE656" i="14"/>
  <c r="AB628" i="14"/>
  <c r="AE628" i="14"/>
  <c r="AO717" i="14"/>
  <c r="AE643" i="14"/>
  <c r="AB643" i="14"/>
  <c r="AE725" i="14"/>
  <c r="AB725" i="14"/>
  <c r="AE633" i="14"/>
  <c r="AE623" i="14"/>
  <c r="AB623" i="14"/>
  <c r="AE743" i="14"/>
  <c r="AB634" i="14"/>
  <c r="AE634" i="14"/>
  <c r="AO631" i="14"/>
  <c r="AO801" i="14"/>
  <c r="AP732" i="14"/>
  <c r="AS732" i="14" s="1"/>
  <c r="AB626" i="14"/>
  <c r="AE626" i="14"/>
  <c r="AE650" i="14"/>
  <c r="AB650" i="14"/>
  <c r="AE805" i="14"/>
  <c r="AB805" i="14"/>
  <c r="AE715" i="14"/>
  <c r="AB715" i="14"/>
  <c r="AE785" i="14"/>
  <c r="AE740" i="14"/>
  <c r="AB740" i="14"/>
  <c r="AE744" i="14"/>
  <c r="AB744" i="14"/>
  <c r="AE637" i="14"/>
  <c r="AP638" i="14"/>
  <c r="AS638" i="14" s="1"/>
  <c r="AO664" i="14"/>
  <c r="AB682" i="14"/>
  <c r="AE682" i="14"/>
  <c r="AO746" i="14"/>
  <c r="AE696" i="14"/>
  <c r="AB696" i="14"/>
  <c r="AB636" i="14"/>
  <c r="AE636" i="14"/>
  <c r="BK819" i="14"/>
  <c r="AP670" i="14"/>
  <c r="AS670" i="14" s="1"/>
  <c r="AB677" i="14"/>
  <c r="AE677" i="14"/>
  <c r="AB638" i="14"/>
  <c r="AE638" i="14"/>
  <c r="AO738" i="14"/>
  <c r="AO663" i="14"/>
  <c r="AE728" i="14"/>
  <c r="AB728" i="14"/>
  <c r="AP651" i="14"/>
  <c r="AS651" i="14" s="1"/>
  <c r="AO702" i="14"/>
  <c r="AE746" i="14"/>
  <c r="AB746" i="14"/>
  <c r="AO681" i="14"/>
  <c r="AE765" i="14"/>
  <c r="AB765" i="14"/>
  <c r="AJ819" i="14"/>
  <c r="Z819" i="14" s="1"/>
  <c r="AK819" i="14"/>
  <c r="AM819" i="14"/>
  <c r="AP777" i="14"/>
  <c r="AS777" i="14" s="1"/>
  <c r="AE635" i="14"/>
  <c r="AB635" i="14"/>
  <c r="AP695" i="14"/>
  <c r="AS695" i="14" s="1"/>
  <c r="AE742" i="14"/>
  <c r="AB742" i="14"/>
  <c r="AB631" i="14"/>
  <c r="AE631" i="14"/>
  <c r="AE749" i="14"/>
  <c r="AE670" i="14"/>
  <c r="AB670" i="14"/>
  <c r="AE671" i="14"/>
  <c r="AE750" i="14"/>
  <c r="AB750" i="14"/>
  <c r="AE620" i="14"/>
  <c r="AB620" i="14"/>
  <c r="AE664" i="14"/>
  <c r="AE708" i="14"/>
  <c r="AB733" i="14"/>
  <c r="AE733" i="14"/>
  <c r="AE792" i="14"/>
  <c r="AB792" i="14"/>
  <c r="AB681" i="14"/>
  <c r="AE681" i="14"/>
  <c r="AP703" i="14"/>
  <c r="AS703" i="14" s="1"/>
  <c r="AE712" i="14"/>
  <c r="AE739" i="14"/>
  <c r="AB739" i="14"/>
  <c r="AO656" i="14"/>
  <c r="AE711" i="14"/>
  <c r="AP764" i="14"/>
  <c r="AS764" i="14" s="1"/>
  <c r="AP652" i="14"/>
  <c r="AS652" i="14" s="1"/>
  <c r="AP667" i="14"/>
  <c r="AP781" i="14"/>
  <c r="AS781" i="14" s="1"/>
  <c r="AO638" i="14"/>
  <c r="AE738" i="14"/>
  <c r="AE663" i="14"/>
  <c r="AP733" i="14"/>
  <c r="AS733" i="14" s="1"/>
  <c r="AP762" i="14"/>
  <c r="AS762" i="14" s="1"/>
  <c r="AO749" i="14"/>
  <c r="AE795" i="14"/>
  <c r="AB795" i="14"/>
  <c r="AP634" i="14"/>
  <c r="AB804" i="14"/>
  <c r="AE804" i="14"/>
  <c r="AO660" i="14"/>
  <c r="AE758" i="14"/>
  <c r="AB758" i="14"/>
  <c r="AE687" i="14"/>
  <c r="AB687" i="14"/>
  <c r="AP628" i="14"/>
  <c r="AS628" i="14" s="1"/>
  <c r="AE783" i="14"/>
  <c r="AO790" i="14"/>
  <c r="AB667" i="14"/>
  <c r="AE667" i="14"/>
  <c r="AE710" i="14"/>
  <c r="AB710" i="14"/>
  <c r="AE791" i="14"/>
  <c r="AP810" i="14"/>
  <c r="AE702" i="14"/>
  <c r="AB781" i="14"/>
  <c r="AE781" i="14"/>
  <c r="AO683" i="14"/>
  <c r="AO624" i="14"/>
  <c r="AO792" i="14"/>
  <c r="AE703" i="14"/>
  <c r="AB703" i="14"/>
  <c r="AE675" i="14"/>
  <c r="AB675" i="14"/>
  <c r="AE732" i="14"/>
  <c r="AB732" i="14"/>
  <c r="AE745" i="14"/>
  <c r="AB745" i="14"/>
  <c r="AE706" i="14"/>
  <c r="AB790" i="14"/>
  <c r="AE790" i="14"/>
  <c r="AB695" i="14"/>
  <c r="AE695" i="14"/>
  <c r="AE763" i="14"/>
  <c r="AB763" i="14"/>
  <c r="AB683" i="14"/>
  <c r="AE683" i="14"/>
  <c r="AE624" i="14"/>
  <c r="AE766" i="14"/>
  <c r="AB766" i="14"/>
  <c r="AB798" i="14"/>
  <c r="AE798" i="14"/>
  <c r="AE759" i="14"/>
  <c r="AB813" i="14"/>
  <c r="AE813" i="14"/>
  <c r="AO814" i="14"/>
  <c r="AO684" i="14"/>
  <c r="AE794" i="14"/>
  <c r="AB794" i="14"/>
  <c r="AO705" i="14"/>
  <c r="AO700" i="14"/>
  <c r="AO655" i="14"/>
  <c r="AO678" i="14"/>
  <c r="AE625" i="14"/>
  <c r="AB660" i="14"/>
  <c r="AE660" i="14"/>
  <c r="AO773" i="14"/>
  <c r="AO704" i="14"/>
  <c r="AO695" i="14"/>
  <c r="AO719" i="14"/>
  <c r="AP800" i="14"/>
  <c r="AS800" i="14" s="1"/>
  <c r="AP684" i="14"/>
  <c r="AS684" i="14" s="1"/>
  <c r="AE685" i="14"/>
  <c r="AE629" i="14"/>
  <c r="AP721" i="14"/>
  <c r="AS721" i="14" s="1"/>
  <c r="AB651" i="14"/>
  <c r="AE651" i="14"/>
  <c r="AP818" i="14"/>
  <c r="AS818" i="14" s="1"/>
  <c r="AO621" i="14"/>
  <c r="AB756" i="14"/>
  <c r="AE756" i="14"/>
  <c r="AP669" i="14"/>
  <c r="AS669" i="14" s="1"/>
  <c r="AB669" i="14"/>
  <c r="AE669" i="14"/>
  <c r="AP792" i="14" l="1"/>
  <c r="AS792" i="14" s="1"/>
  <c r="AB702" i="14"/>
  <c r="AS702" i="14"/>
  <c r="AB796" i="14"/>
  <c r="AS812" i="14"/>
  <c r="AB812" i="14"/>
  <c r="AB818" i="14"/>
  <c r="AB632" i="14"/>
  <c r="AP632" i="14"/>
  <c r="AS632" i="14" s="1"/>
  <c r="AO674" i="14"/>
  <c r="AQ674" i="14" s="1"/>
  <c r="AS747" i="14"/>
  <c r="AB747" i="14"/>
  <c r="AB689" i="14"/>
  <c r="AS689" i="14"/>
  <c r="AE689" i="14"/>
  <c r="AC689" i="14" s="1"/>
  <c r="AO747" i="14"/>
  <c r="AQ747" i="14" s="1"/>
  <c r="AB723" i="14"/>
  <c r="AS723" i="14"/>
  <c r="AE802" i="14"/>
  <c r="AC802" i="14" s="1"/>
  <c r="AP802" i="14"/>
  <c r="AS802" i="14" s="1"/>
  <c r="AP704" i="14"/>
  <c r="AS704" i="14" s="1"/>
  <c r="AB773" i="14"/>
  <c r="AS773" i="14"/>
  <c r="AB714" i="14"/>
  <c r="AS714" i="14"/>
  <c r="AO720" i="14"/>
  <c r="AQ720" i="14" s="1"/>
  <c r="AS743" i="14"/>
  <c r="AB743" i="14"/>
  <c r="AO714" i="14"/>
  <c r="AQ714" i="14" s="1"/>
  <c r="AP622" i="14"/>
  <c r="AS622" i="14" s="1"/>
  <c r="AB664" i="14"/>
  <c r="AS664" i="14"/>
  <c r="AB720" i="14"/>
  <c r="AB783" i="14"/>
  <c r="AS720" i="14"/>
  <c r="AS783" i="14"/>
  <c r="AO629" i="14"/>
  <c r="AQ629" i="14" s="1"/>
  <c r="AS760" i="14"/>
  <c r="AS629" i="14"/>
  <c r="AB629" i="14"/>
  <c r="AB760" i="14"/>
  <c r="AO767" i="14"/>
  <c r="AQ767" i="14" s="1"/>
  <c r="AB709" i="14"/>
  <c r="AB767" i="14"/>
  <c r="AS767" i="14"/>
  <c r="AO745" i="14"/>
  <c r="AQ745" i="14" s="1"/>
  <c r="AP675" i="14"/>
  <c r="AS675" i="14" s="1"/>
  <c r="AP776" i="14"/>
  <c r="AS776" i="14" s="1"/>
  <c r="AO776" i="14"/>
  <c r="AR776" i="14" s="1"/>
  <c r="AS630" i="14"/>
  <c r="AB738" i="14"/>
  <c r="AS808" i="14"/>
  <c r="AS738" i="14"/>
  <c r="AS707" i="14"/>
  <c r="AS736" i="14"/>
  <c r="AS712" i="14"/>
  <c r="AS685" i="14"/>
  <c r="AS646" i="14"/>
  <c r="AS644" i="14"/>
  <c r="AS633" i="14"/>
  <c r="AS625" i="14"/>
  <c r="AS791" i="14"/>
  <c r="AS718" i="14"/>
  <c r="AS708" i="14"/>
  <c r="AS724" i="14"/>
  <c r="AS716" i="14"/>
  <c r="AS799" i="14"/>
  <c r="AS692" i="14"/>
  <c r="AS701" i="14"/>
  <c r="AS749" i="14"/>
  <c r="AS698" i="14"/>
  <c r="AS737" i="14"/>
  <c r="AS816" i="14"/>
  <c r="AS672" i="14"/>
  <c r="AS769" i="14"/>
  <c r="AS789" i="14"/>
  <c r="AS679" i="14"/>
  <c r="AS788" i="14"/>
  <c r="AS642" i="14"/>
  <c r="AS785" i="14"/>
  <c r="AS624" i="14"/>
  <c r="AS711" i="14"/>
  <c r="AS770" i="14"/>
  <c r="AS637" i="14"/>
  <c r="AS690" i="14"/>
  <c r="AS665" i="14"/>
  <c r="AS755" i="14"/>
  <c r="AS771" i="14"/>
  <c r="AS735" i="14"/>
  <c r="AS697" i="14"/>
  <c r="AS734" i="14"/>
  <c r="AS759" i="14"/>
  <c r="AS671" i="14"/>
  <c r="AS654" i="14"/>
  <c r="AS772" i="14"/>
  <c r="AS713" i="14"/>
  <c r="AS706" i="14"/>
  <c r="AS661" i="14"/>
  <c r="AS663" i="14"/>
  <c r="AS627" i="14"/>
  <c r="AS645" i="14"/>
  <c r="AS811" i="14"/>
  <c r="AO817" i="14"/>
  <c r="AR817" i="14" s="1"/>
  <c r="BN817" i="14" s="1"/>
  <c r="AO728" i="14"/>
  <c r="AR728" i="14" s="1"/>
  <c r="AP693" i="14"/>
  <c r="AS693" i="14" s="1"/>
  <c r="AE693" i="14"/>
  <c r="AC693" i="14" s="1"/>
  <c r="AB649" i="14"/>
  <c r="AB630" i="14"/>
  <c r="AB755" i="14"/>
  <c r="AP683" i="14"/>
  <c r="AS683" i="14" s="1"/>
  <c r="AE780" i="14"/>
  <c r="AC780" i="14" s="1"/>
  <c r="AP807" i="14"/>
  <c r="AS807" i="14" s="1"/>
  <c r="AE807" i="14"/>
  <c r="AC807" i="14" s="1"/>
  <c r="AB737" i="14"/>
  <c r="AB770" i="14"/>
  <c r="AP649" i="14"/>
  <c r="AS649" i="14" s="1"/>
  <c r="AO688" i="14"/>
  <c r="AR688" i="14" s="1"/>
  <c r="BN688" i="14" s="1"/>
  <c r="AB788" i="14"/>
  <c r="AE777" i="14"/>
  <c r="AC777" i="14" s="1"/>
  <c r="AO813" i="14"/>
  <c r="AR813" i="14" s="1"/>
  <c r="AP715" i="14"/>
  <c r="AS715" i="14" s="1"/>
  <c r="AP740" i="14"/>
  <c r="AS740" i="14" s="1"/>
  <c r="AO715" i="14"/>
  <c r="AR715" i="14" s="1"/>
  <c r="AO623" i="14"/>
  <c r="AR623" i="14" s="1"/>
  <c r="BN623" i="14" s="1"/>
  <c r="AB753" i="14"/>
  <c r="AB816" i="14"/>
  <c r="AE726" i="14"/>
  <c r="AC726" i="14" s="1"/>
  <c r="AO795" i="14"/>
  <c r="AR795" i="14" s="1"/>
  <c r="AO650" i="14"/>
  <c r="AR650" i="14" s="1"/>
  <c r="AB648" i="14"/>
  <c r="AB686" i="14"/>
  <c r="AO798" i="14"/>
  <c r="AR798" i="14" s="1"/>
  <c r="BN798" i="14" s="1"/>
  <c r="AB654" i="14"/>
  <c r="AP728" i="14"/>
  <c r="AS728" i="14" s="1"/>
  <c r="AB707" i="14"/>
  <c r="AO805" i="14"/>
  <c r="AR805" i="14" s="1"/>
  <c r="BN805" i="14" s="1"/>
  <c r="AB771" i="14"/>
  <c r="AB637" i="14"/>
  <c r="AP748" i="14"/>
  <c r="AS748" i="14" s="1"/>
  <c r="AO654" i="14"/>
  <c r="AR654" i="14" s="1"/>
  <c r="AO710" i="14"/>
  <c r="AQ710" i="14" s="1"/>
  <c r="AB698" i="14"/>
  <c r="AP643" i="14"/>
  <c r="AS643" i="14" s="1"/>
  <c r="AP668" i="14"/>
  <c r="AS668" i="14" s="1"/>
  <c r="AE731" i="14"/>
  <c r="AC731" i="14" s="1"/>
  <c r="AB640" i="14"/>
  <c r="AB691" i="14"/>
  <c r="AO778" i="14"/>
  <c r="AQ778" i="14" s="1"/>
  <c r="AB712" i="14"/>
  <c r="AO806" i="14"/>
  <c r="AR806" i="14" s="1"/>
  <c r="BN806" i="14" s="1"/>
  <c r="AO803" i="14"/>
  <c r="AR803" i="14" s="1"/>
  <c r="BN803" i="14" s="1"/>
  <c r="AB784" i="14"/>
  <c r="AP640" i="14"/>
  <c r="AS640" i="14" s="1"/>
  <c r="AE774" i="14"/>
  <c r="AC774" i="14" s="1"/>
  <c r="AB811" i="14"/>
  <c r="AE788" i="14"/>
  <c r="AC788" i="14" s="1"/>
  <c r="AB708" i="14"/>
  <c r="AB673" i="14"/>
  <c r="AB645" i="14"/>
  <c r="AP813" i="14"/>
  <c r="AS813" i="14" s="1"/>
  <c r="AO730" i="14"/>
  <c r="AQ730" i="14" s="1"/>
  <c r="AO692" i="14"/>
  <c r="AR692" i="14" s="1"/>
  <c r="AB789" i="14"/>
  <c r="AB808" i="14"/>
  <c r="AE741" i="14"/>
  <c r="AC741" i="14" s="1"/>
  <c r="AP650" i="14"/>
  <c r="AS650" i="14" s="1"/>
  <c r="AB671" i="14"/>
  <c r="AB644" i="14"/>
  <c r="AP757" i="14"/>
  <c r="AS757" i="14" s="1"/>
  <c r="AP676" i="14"/>
  <c r="AS676" i="14" s="1"/>
  <c r="AP673" i="14"/>
  <c r="AS673" i="14" s="1"/>
  <c r="AE809" i="14"/>
  <c r="AC809" i="14" s="1"/>
  <c r="AP694" i="14"/>
  <c r="AS694" i="14" s="1"/>
  <c r="AB697" i="14"/>
  <c r="AB646" i="14"/>
  <c r="AO711" i="14"/>
  <c r="AQ711" i="14" s="1"/>
  <c r="AE666" i="14"/>
  <c r="AC666" i="14" s="1"/>
  <c r="AB679" i="14"/>
  <c r="AP653" i="14"/>
  <c r="AS653" i="14" s="1"/>
  <c r="AB749" i="14"/>
  <c r="AE668" i="14"/>
  <c r="AC668" i="14" s="1"/>
  <c r="AP790" i="14"/>
  <c r="AS790" i="14" s="1"/>
  <c r="AP793" i="14"/>
  <c r="AS793" i="14" s="1"/>
  <c r="AE816" i="14"/>
  <c r="AC816" i="14" s="1"/>
  <c r="AB787" i="14"/>
  <c r="AO779" i="14"/>
  <c r="AR779" i="14" s="1"/>
  <c r="BN779" i="14" s="1"/>
  <c r="AO642" i="14"/>
  <c r="AR642" i="14" s="1"/>
  <c r="AO761" i="14"/>
  <c r="AR761" i="14" s="1"/>
  <c r="BN761" i="14" s="1"/>
  <c r="AO742" i="14"/>
  <c r="AR742" i="14" s="1"/>
  <c r="BN742" i="14" s="1"/>
  <c r="AE722" i="14"/>
  <c r="AC722" i="14" s="1"/>
  <c r="AB672" i="14"/>
  <c r="AP741" i="14"/>
  <c r="AS741" i="14" s="1"/>
  <c r="AP635" i="14"/>
  <c r="AS635" i="14" s="1"/>
  <c r="AB716" i="14"/>
  <c r="AO625" i="14"/>
  <c r="AQ625" i="14" s="1"/>
  <c r="AO690" i="14"/>
  <c r="AR690" i="14" s="1"/>
  <c r="AE764" i="14"/>
  <c r="AC764" i="14" s="1"/>
  <c r="AB685" i="14"/>
  <c r="AB735" i="14"/>
  <c r="AP795" i="14"/>
  <c r="AS795" i="14" s="1"/>
  <c r="AO733" i="14"/>
  <c r="AR733" i="14" s="1"/>
  <c r="BN733" i="14" s="1"/>
  <c r="AB791" i="14"/>
  <c r="AB721" i="14"/>
  <c r="AB701" i="14"/>
  <c r="AO694" i="14"/>
  <c r="AR694" i="14" s="1"/>
  <c r="AB692" i="14"/>
  <c r="AB718" i="14"/>
  <c r="AO712" i="14"/>
  <c r="AQ712" i="14" s="1"/>
  <c r="AB663" i="14"/>
  <c r="AP626" i="14"/>
  <c r="AS626" i="14" s="1"/>
  <c r="AB680" i="14"/>
  <c r="AB661" i="14"/>
  <c r="AB711" i="14"/>
  <c r="AB627" i="14"/>
  <c r="AO811" i="14"/>
  <c r="AQ811" i="14" s="1"/>
  <c r="AB625" i="14"/>
  <c r="AB759" i="14"/>
  <c r="AB785" i="14"/>
  <c r="AP731" i="14"/>
  <c r="AQ731" i="14" s="1"/>
  <c r="AB799" i="14"/>
  <c r="AO661" i="14"/>
  <c r="AR661" i="14" s="1"/>
  <c r="AP763" i="14"/>
  <c r="AS763" i="14" s="1"/>
  <c r="AO619" i="14"/>
  <c r="AR619" i="14" s="1"/>
  <c r="BN619" i="14" s="1"/>
  <c r="AB724" i="14"/>
  <c r="AB642" i="14"/>
  <c r="AB706" i="14"/>
  <c r="AE657" i="14"/>
  <c r="AC657" i="14" s="1"/>
  <c r="AB713" i="14"/>
  <c r="AO799" i="14"/>
  <c r="AQ799" i="14" s="1"/>
  <c r="AO794" i="14"/>
  <c r="AR794" i="14" s="1"/>
  <c r="BN794" i="14" s="1"/>
  <c r="AE724" i="14"/>
  <c r="AC724" i="14" s="1"/>
  <c r="AB665" i="14"/>
  <c r="AP815" i="14"/>
  <c r="AS815" i="14" s="1"/>
  <c r="AR796" i="14"/>
  <c r="AB754" i="14"/>
  <c r="AB736" i="14"/>
  <c r="AO633" i="14"/>
  <c r="AR633" i="14" s="1"/>
  <c r="AO752" i="14"/>
  <c r="AQ752" i="14" s="1"/>
  <c r="AB633" i="14"/>
  <c r="AQ796" i="14"/>
  <c r="AQ630" i="14"/>
  <c r="AB772" i="14"/>
  <c r="AB729" i="14"/>
  <c r="AB769" i="14"/>
  <c r="AB734" i="14"/>
  <c r="AB624" i="14"/>
  <c r="AO782" i="14"/>
  <c r="AQ782" i="14" s="1"/>
  <c r="AB690" i="14"/>
  <c r="AR698" i="14"/>
  <c r="AR703" i="14"/>
  <c r="BN703" i="14" s="1"/>
  <c r="AR781" i="14"/>
  <c r="BN781" i="14" s="1"/>
  <c r="AR637" i="14"/>
  <c r="AR775" i="14"/>
  <c r="BN775" i="14" s="1"/>
  <c r="AR758" i="14"/>
  <c r="BN758" i="14" s="1"/>
  <c r="AQ660" i="14"/>
  <c r="AR747" i="14"/>
  <c r="AR659" i="14"/>
  <c r="BN659" i="14" s="1"/>
  <c r="AR670" i="14"/>
  <c r="BN670" i="14" s="1"/>
  <c r="AR651" i="14"/>
  <c r="BN651" i="14" s="1"/>
  <c r="AR634" i="14"/>
  <c r="AR675" i="14"/>
  <c r="AR699" i="14"/>
  <c r="BN699" i="14" s="1"/>
  <c r="AR706" i="14"/>
  <c r="AR658" i="14"/>
  <c r="BN658" i="14" s="1"/>
  <c r="AR759" i="14"/>
  <c r="AR766" i="14"/>
  <c r="BN766" i="14" s="1"/>
  <c r="AR667" i="14"/>
  <c r="AQ634" i="14"/>
  <c r="AS796" i="14"/>
  <c r="AR630" i="14"/>
  <c r="AR751" i="14"/>
  <c r="BN751" i="14" s="1"/>
  <c r="AR685" i="14"/>
  <c r="AQ667" i="14"/>
  <c r="AR687" i="14"/>
  <c r="BN687" i="14" s="1"/>
  <c r="AR662" i="14"/>
  <c r="BN662" i="14" s="1"/>
  <c r="AQ760" i="14"/>
  <c r="AR632" i="14"/>
  <c r="AR808" i="14"/>
  <c r="AR682" i="14"/>
  <c r="BN682" i="14" s="1"/>
  <c r="AR786" i="14"/>
  <c r="BN786" i="14" s="1"/>
  <c r="AR701" i="14"/>
  <c r="AR768" i="14"/>
  <c r="BN768" i="14" s="1"/>
  <c r="AR729" i="14"/>
  <c r="BN729" i="14" s="1"/>
  <c r="AR787" i="14"/>
  <c r="BN787" i="14" s="1"/>
  <c r="AR672" i="14"/>
  <c r="AR620" i="14"/>
  <c r="BN620" i="14" s="1"/>
  <c r="AR628" i="14"/>
  <c r="BN628" i="14" s="1"/>
  <c r="AQ672" i="14"/>
  <c r="AR696" i="14"/>
  <c r="BN696" i="14" s="1"/>
  <c r="AR646" i="14"/>
  <c r="AR748" i="14"/>
  <c r="AR669" i="14"/>
  <c r="BN669" i="14" s="1"/>
  <c r="AR783" i="14"/>
  <c r="AR735" i="14"/>
  <c r="AR640" i="14"/>
  <c r="AR645" i="14"/>
  <c r="AR732" i="14"/>
  <c r="BN732" i="14" s="1"/>
  <c r="AR707" i="14"/>
  <c r="AR649" i="14"/>
  <c r="AR746" i="14"/>
  <c r="BN746" i="14" s="1"/>
  <c r="AR647" i="14"/>
  <c r="BN647" i="14" s="1"/>
  <c r="AR772" i="14"/>
  <c r="AR762" i="14"/>
  <c r="BN762" i="14" s="1"/>
  <c r="AR755" i="14"/>
  <c r="AR791" i="14"/>
  <c r="AR677" i="14"/>
  <c r="BN677" i="14" s="1"/>
  <c r="AR718" i="14"/>
  <c r="AR636" i="14"/>
  <c r="BN636" i="14" s="1"/>
  <c r="AR626" i="14"/>
  <c r="AR664" i="14"/>
  <c r="AR671" i="14"/>
  <c r="AR818" i="14"/>
  <c r="BN818" i="14" s="1"/>
  <c r="AR800" i="14"/>
  <c r="BN800" i="14" s="1"/>
  <c r="AR691" i="14"/>
  <c r="BN691" i="14" s="1"/>
  <c r="AR635" i="14"/>
  <c r="AR639" i="14"/>
  <c r="BN639" i="14" s="1"/>
  <c r="AR815" i="14"/>
  <c r="AR641" i="14"/>
  <c r="BN641" i="14" s="1"/>
  <c r="AR744" i="14"/>
  <c r="BN744" i="14" s="1"/>
  <c r="AR770" i="14"/>
  <c r="AR665" i="14"/>
  <c r="AR750" i="14"/>
  <c r="BN750" i="14" s="1"/>
  <c r="AR631" i="14"/>
  <c r="BN631" i="14" s="1"/>
  <c r="AR740" i="14"/>
  <c r="AR743" i="14"/>
  <c r="AR708" i="14"/>
  <c r="AR760" i="14"/>
  <c r="AR644" i="14"/>
  <c r="AR763" i="14"/>
  <c r="AQ810" i="14"/>
  <c r="AR739" i="14"/>
  <c r="BN739" i="14" s="1"/>
  <c r="AR765" i="14"/>
  <c r="BN765" i="14" s="1"/>
  <c r="AR737" i="14"/>
  <c r="AR810" i="14"/>
  <c r="AR652" i="14"/>
  <c r="BN652" i="14" s="1"/>
  <c r="AR727" i="14"/>
  <c r="BN727" i="14" s="1"/>
  <c r="AR653" i="14"/>
  <c r="AR723" i="14"/>
  <c r="AR683" i="14"/>
  <c r="AR660" i="14"/>
  <c r="BN660" i="14" s="1"/>
  <c r="AR643" i="14"/>
  <c r="AR789" i="14"/>
  <c r="AR784" i="14"/>
  <c r="BN784" i="14" s="1"/>
  <c r="AR736" i="14"/>
  <c r="AR725" i="14"/>
  <c r="BN725" i="14" s="1"/>
  <c r="AR695" i="14"/>
  <c r="BN695" i="14" s="1"/>
  <c r="AR790" i="14"/>
  <c r="AR756" i="14"/>
  <c r="BN756" i="14" s="1"/>
  <c r="AR648" i="14"/>
  <c r="BN648" i="14" s="1"/>
  <c r="AS810" i="14"/>
  <c r="AR771" i="14"/>
  <c r="AR757" i="14"/>
  <c r="AS634" i="14"/>
  <c r="AR697" i="14"/>
  <c r="AR804" i="14"/>
  <c r="BN804" i="14" s="1"/>
  <c r="AR754" i="14"/>
  <c r="BN754" i="14" s="1"/>
  <c r="AR680" i="14"/>
  <c r="BN680" i="14" s="1"/>
  <c r="AR785" i="14"/>
  <c r="AR681" i="14"/>
  <c r="BN681" i="14" s="1"/>
  <c r="AR769" i="14"/>
  <c r="AR663" i="14"/>
  <c r="AR753" i="14"/>
  <c r="BN753" i="14" s="1"/>
  <c r="AR713" i="14"/>
  <c r="AR622" i="14"/>
  <c r="AR797" i="14"/>
  <c r="BN797" i="14" s="1"/>
  <c r="AR738" i="14"/>
  <c r="AR793" i="14"/>
  <c r="AR702" i="14"/>
  <c r="AS667" i="14"/>
  <c r="AR749" i="14"/>
  <c r="AR686" i="14"/>
  <c r="BN686" i="14" s="1"/>
  <c r="AR709" i="14"/>
  <c r="BN709" i="14" s="1"/>
  <c r="AR684" i="14"/>
  <c r="BN684" i="14" s="1"/>
  <c r="AR801" i="14"/>
  <c r="BN801" i="14" s="1"/>
  <c r="AR627" i="14"/>
  <c r="AR716" i="14"/>
  <c r="AR717" i="14"/>
  <c r="BN717" i="14" s="1"/>
  <c r="AR721" i="14"/>
  <c r="BN721" i="14" s="1"/>
  <c r="AR792" i="14"/>
  <c r="AR704" i="14"/>
  <c r="AR655" i="14"/>
  <c r="BN655" i="14" s="1"/>
  <c r="AR734" i="14"/>
  <c r="AR676" i="14"/>
  <c r="AR679" i="14"/>
  <c r="AR673" i="14"/>
  <c r="AR719" i="14"/>
  <c r="BN719" i="14" s="1"/>
  <c r="AR773" i="14"/>
  <c r="AR678" i="14"/>
  <c r="BN678" i="14" s="1"/>
  <c r="AR705" i="14"/>
  <c r="BN705" i="14" s="1"/>
  <c r="AR814" i="14"/>
  <c r="BN814" i="14" s="1"/>
  <c r="AR700" i="14"/>
  <c r="BN700" i="14" s="1"/>
  <c r="AR638" i="14"/>
  <c r="BN638" i="14" s="1"/>
  <c r="AR621" i="14"/>
  <c r="BN621" i="14" s="1"/>
  <c r="AR624" i="14"/>
  <c r="AR812" i="14"/>
  <c r="AR656" i="14"/>
  <c r="BN656" i="14" s="1"/>
  <c r="AQ662" i="14"/>
  <c r="AQ725" i="14"/>
  <c r="AQ771" i="14"/>
  <c r="AQ651" i="14"/>
  <c r="AQ669" i="14"/>
  <c r="AC714" i="14"/>
  <c r="AQ743" i="14"/>
  <c r="AC779" i="14"/>
  <c r="AQ791" i="14"/>
  <c r="AQ705" i="14"/>
  <c r="AC662" i="14"/>
  <c r="AQ735" i="14"/>
  <c r="AC754" i="14"/>
  <c r="AQ637" i="14"/>
  <c r="AQ751" i="14"/>
  <c r="AC770" i="14"/>
  <c r="AC626" i="14"/>
  <c r="AC769" i="14"/>
  <c r="AQ658" i="14"/>
  <c r="AQ777" i="14"/>
  <c r="AC656" i="14"/>
  <c r="AC743" i="14"/>
  <c r="AC652" i="14"/>
  <c r="AQ739" i="14"/>
  <c r="AQ744" i="14"/>
  <c r="AQ696" i="14"/>
  <c r="AC676" i="14"/>
  <c r="AQ770" i="14"/>
  <c r="AQ656" i="14"/>
  <c r="AQ620" i="14"/>
  <c r="AC789" i="14"/>
  <c r="AQ631" i="14"/>
  <c r="AQ765" i="14"/>
  <c r="AQ677" i="14"/>
  <c r="AQ659" i="14"/>
  <c r="AQ644" i="14"/>
  <c r="AQ784" i="14"/>
  <c r="AQ785" i="14"/>
  <c r="AQ723" i="14"/>
  <c r="AC653" i="14"/>
  <c r="AQ719" i="14"/>
  <c r="AQ709" i="14"/>
  <c r="AQ716" i="14"/>
  <c r="AC761" i="14"/>
  <c r="AQ713" i="14"/>
  <c r="AQ727" i="14"/>
  <c r="AC713" i="14"/>
  <c r="AC619" i="14"/>
  <c r="AQ682" i="14"/>
  <c r="AQ680" i="14"/>
  <c r="AC673" i="14"/>
  <c r="AQ754" i="14"/>
  <c r="AC622" i="14"/>
  <c r="AQ732" i="14"/>
  <c r="AQ804" i="14"/>
  <c r="AQ773" i="14"/>
  <c r="AQ768" i="14"/>
  <c r="AQ657" i="14"/>
  <c r="AQ812" i="14"/>
  <c r="AC762" i="14"/>
  <c r="AQ636" i="14"/>
  <c r="AQ774" i="14"/>
  <c r="AC643" i="14"/>
  <c r="AQ788" i="14"/>
  <c r="AQ787" i="14"/>
  <c r="AC720" i="14"/>
  <c r="AQ724" i="14"/>
  <c r="AQ641" i="14"/>
  <c r="AQ726" i="14"/>
  <c r="AC755" i="14"/>
  <c r="AQ628" i="14"/>
  <c r="AC715" i="14"/>
  <c r="AC737" i="14"/>
  <c r="AQ685" i="14"/>
  <c r="AC674" i="14"/>
  <c r="AQ759" i="14"/>
  <c r="AC709" i="14"/>
  <c r="AC797" i="14"/>
  <c r="AQ769" i="14"/>
  <c r="AQ736" i="14"/>
  <c r="AC784" i="14"/>
  <c r="AQ766" i="14"/>
  <c r="AC757" i="14"/>
  <c r="AQ717" i="14"/>
  <c r="AQ621" i="14"/>
  <c r="AQ670" i="14"/>
  <c r="AQ772" i="14"/>
  <c r="AQ753" i="14"/>
  <c r="AQ652" i="14"/>
  <c r="AC672" i="14"/>
  <c r="AQ689" i="14"/>
  <c r="AQ750" i="14"/>
  <c r="AQ645" i="14"/>
  <c r="AC698" i="14"/>
  <c r="AQ808" i="14"/>
  <c r="AC721" i="14"/>
  <c r="AQ734" i="14"/>
  <c r="AQ701" i="14"/>
  <c r="AC628" i="14"/>
  <c r="AC742" i="14"/>
  <c r="AQ700" i="14"/>
  <c r="AC678" i="14"/>
  <c r="AQ646" i="14"/>
  <c r="AC705" i="14"/>
  <c r="AC799" i="14"/>
  <c r="AQ698" i="14"/>
  <c r="AC692" i="14"/>
  <c r="AC773" i="14"/>
  <c r="AQ814" i="14"/>
  <c r="AC686" i="14"/>
  <c r="AQ681" i="14"/>
  <c r="AC717" i="14"/>
  <c r="AQ664" i="14"/>
  <c r="AQ816" i="14"/>
  <c r="AC701" i="14"/>
  <c r="AQ665" i="14"/>
  <c r="AC752" i="14"/>
  <c r="AQ764" i="14"/>
  <c r="AC723" i="14"/>
  <c r="AC751" i="14"/>
  <c r="AC704" i="14"/>
  <c r="AC776" i="14"/>
  <c r="AC730" i="14"/>
  <c r="AQ775" i="14"/>
  <c r="AC636" i="14"/>
  <c r="AQ729" i="14"/>
  <c r="AQ699" i="14"/>
  <c r="AC631" i="14"/>
  <c r="AC638" i="14"/>
  <c r="AC624" i="14"/>
  <c r="AQ786" i="14"/>
  <c r="AQ706" i="14"/>
  <c r="AQ809" i="14"/>
  <c r="AQ758" i="14"/>
  <c r="AQ781" i="14"/>
  <c r="AQ708" i="14"/>
  <c r="AC679" i="14"/>
  <c r="AC642" i="14"/>
  <c r="AQ755" i="14"/>
  <c r="AQ797" i="14"/>
  <c r="AC632" i="14"/>
  <c r="AC803" i="14"/>
  <c r="AC747" i="14"/>
  <c r="AC697" i="14"/>
  <c r="AQ780" i="14"/>
  <c r="AQ737" i="14"/>
  <c r="AC647" i="14"/>
  <c r="AC811" i="14"/>
  <c r="AQ655" i="14"/>
  <c r="AQ648" i="14"/>
  <c r="AQ738" i="14"/>
  <c r="AQ686" i="14"/>
  <c r="AQ818" i="14"/>
  <c r="AC775" i="14"/>
  <c r="AC765" i="14"/>
  <c r="AC718" i="14"/>
  <c r="AC771" i="14"/>
  <c r="AC727" i="14"/>
  <c r="AC740" i="14"/>
  <c r="AQ801" i="14"/>
  <c r="AQ678" i="14"/>
  <c r="AC729" i="14"/>
  <c r="AQ749" i="14"/>
  <c r="AC664" i="14"/>
  <c r="AC767" i="14"/>
  <c r="AC627" i="14"/>
  <c r="AC670" i="14"/>
  <c r="AQ666" i="14"/>
  <c r="AQ684" i="14"/>
  <c r="AQ624" i="14"/>
  <c r="AC772" i="14"/>
  <c r="AC699" i="14"/>
  <c r="AC760" i="14"/>
  <c r="AQ702" i="14"/>
  <c r="AQ639" i="14"/>
  <c r="AQ695" i="14"/>
  <c r="AC641" i="14"/>
  <c r="AQ691" i="14"/>
  <c r="AQ671" i="14"/>
  <c r="AQ783" i="14"/>
  <c r="AC810" i="14"/>
  <c r="AQ647" i="14"/>
  <c r="AC795" i="14"/>
  <c r="AC630" i="14"/>
  <c r="AC690" i="14"/>
  <c r="AC684" i="14"/>
  <c r="AC800" i="14"/>
  <c r="AQ703" i="14"/>
  <c r="AC634" i="14"/>
  <c r="AP819" i="14"/>
  <c r="AS819" i="14" s="1"/>
  <c r="AC782" i="14"/>
  <c r="AQ687" i="14"/>
  <c r="AC635" i="14"/>
  <c r="AQ638" i="14"/>
  <c r="AC781" i="14"/>
  <c r="AC749" i="14"/>
  <c r="AQ789" i="14"/>
  <c r="AQ707" i="14"/>
  <c r="AC712" i="14"/>
  <c r="AC733" i="14"/>
  <c r="AC658" i="14"/>
  <c r="AC659" i="14"/>
  <c r="AC700" i="14"/>
  <c r="AQ756" i="14"/>
  <c r="AC651" i="14"/>
  <c r="AC806" i="14"/>
  <c r="AC707" i="14"/>
  <c r="AC645" i="14"/>
  <c r="AC792" i="14"/>
  <c r="AC791" i="14"/>
  <c r="AC620" i="14"/>
  <c r="AQ627" i="14"/>
  <c r="AC736" i="14"/>
  <c r="AC639" i="14"/>
  <c r="AC669" i="14"/>
  <c r="AC719" i="14"/>
  <c r="AC763" i="14"/>
  <c r="AC665" i="14"/>
  <c r="AC744" i="14"/>
  <c r="AC675" i="14"/>
  <c r="AC650" i="14"/>
  <c r="AC753" i="14"/>
  <c r="AC708" i="14"/>
  <c r="AC667" i="14"/>
  <c r="AC703" i="14"/>
  <c r="AC813" i="14"/>
  <c r="AC711" i="14"/>
  <c r="AC694" i="14"/>
  <c r="AC785" i="14"/>
  <c r="AQ697" i="14"/>
  <c r="AC759" i="14"/>
  <c r="AQ663" i="14"/>
  <c r="AC794" i="14"/>
  <c r="AC682" i="14"/>
  <c r="AC623" i="14"/>
  <c r="AC798" i="14"/>
  <c r="AQ762" i="14"/>
  <c r="AC683" i="14"/>
  <c r="AC671" i="14"/>
  <c r="AC649" i="14"/>
  <c r="AC696" i="14"/>
  <c r="AQ746" i="14"/>
  <c r="AC750" i="14"/>
  <c r="AQ679" i="14"/>
  <c r="AC637" i="14"/>
  <c r="AQ722" i="14"/>
  <c r="AC745" i="14"/>
  <c r="AC815" i="14"/>
  <c r="AC661" i="14"/>
  <c r="AC786" i="14"/>
  <c r="AC758" i="14"/>
  <c r="AC804" i="14"/>
  <c r="AC748" i="14"/>
  <c r="AC681" i="14"/>
  <c r="AC663" i="14"/>
  <c r="AC738" i="14"/>
  <c r="AC702" i="14"/>
  <c r="AC796" i="14"/>
  <c r="AC710" i="14"/>
  <c r="AC728" i="14"/>
  <c r="AC801" i="14"/>
  <c r="AC818" i="14"/>
  <c r="AC725" i="14"/>
  <c r="AQ718" i="14"/>
  <c r="AC783" i="14"/>
  <c r="AC625" i="14"/>
  <c r="AC734" i="14"/>
  <c r="AC621" i="14"/>
  <c r="AC677" i="14"/>
  <c r="AC688" i="14"/>
  <c r="AC646" i="14"/>
  <c r="AC691" i="14"/>
  <c r="AC739" i="14"/>
  <c r="AC654" i="14"/>
  <c r="AC716" i="14"/>
  <c r="AC766" i="14"/>
  <c r="AC660" i="14"/>
  <c r="AC746" i="14"/>
  <c r="AC768" i="14"/>
  <c r="AQ800" i="14"/>
  <c r="AC655" i="14"/>
  <c r="AC629" i="14"/>
  <c r="AC687" i="14"/>
  <c r="AO819" i="14"/>
  <c r="AC706" i="14"/>
  <c r="AC808" i="14"/>
  <c r="AC640" i="14"/>
  <c r="AC812" i="14"/>
  <c r="AC633" i="14"/>
  <c r="AC817" i="14"/>
  <c r="AC680" i="14"/>
  <c r="AC732" i="14"/>
  <c r="AC644" i="14"/>
  <c r="AQ721" i="14"/>
  <c r="AC814" i="14"/>
  <c r="AC787" i="14"/>
  <c r="AC685" i="14"/>
  <c r="AC756" i="14"/>
  <c r="AC695" i="14"/>
  <c r="AE819" i="14"/>
  <c r="AB819" i="14"/>
  <c r="AC805" i="14"/>
  <c r="AC648" i="14"/>
  <c r="AC778" i="14"/>
  <c r="AC735" i="14"/>
  <c r="AC790" i="14"/>
  <c r="AC793" i="14"/>
  <c r="AQ792" i="14" l="1"/>
  <c r="BN792" i="14"/>
  <c r="BN702" i="14"/>
  <c r="BN812" i="14"/>
  <c r="AR689" i="14"/>
  <c r="BN689" i="14" s="1"/>
  <c r="AR674" i="14"/>
  <c r="BN674" i="14" s="1"/>
  <c r="AR745" i="14"/>
  <c r="BN745" i="14" s="1"/>
  <c r="AR714" i="14"/>
  <c r="BN714" i="14" s="1"/>
  <c r="AR802" i="14"/>
  <c r="BN802" i="14" s="1"/>
  <c r="AR767" i="14"/>
  <c r="BN767" i="14" s="1"/>
  <c r="AQ632" i="14"/>
  <c r="BN632" i="14"/>
  <c r="BN747" i="14"/>
  <c r="AR629" i="14"/>
  <c r="BN629" i="14" s="1"/>
  <c r="AR720" i="14"/>
  <c r="BN720" i="14" s="1"/>
  <c r="BN723" i="14"/>
  <c r="AQ802" i="14"/>
  <c r="AQ704" i="14"/>
  <c r="BN773" i="14"/>
  <c r="BN704" i="14"/>
  <c r="BN622" i="14"/>
  <c r="BN743" i="14"/>
  <c r="BN664" i="14"/>
  <c r="AQ622" i="14"/>
  <c r="BN783" i="14"/>
  <c r="BN760" i="14"/>
  <c r="BN776" i="14"/>
  <c r="AQ675" i="14"/>
  <c r="BN675" i="14"/>
  <c r="BN630" i="14"/>
  <c r="AQ776" i="14"/>
  <c r="BN642" i="14"/>
  <c r="BN738" i="14"/>
  <c r="BN707" i="14"/>
  <c r="BN808" i="14"/>
  <c r="AR722" i="14"/>
  <c r="BN722" i="14" s="1"/>
  <c r="BN685" i="14"/>
  <c r="BN736" i="14"/>
  <c r="BN770" i="14"/>
  <c r="BN749" i="14"/>
  <c r="BN785" i="14"/>
  <c r="BN646" i="14"/>
  <c r="BN644" i="14"/>
  <c r="BN737" i="14"/>
  <c r="BN665" i="14"/>
  <c r="AR777" i="14"/>
  <c r="BN777" i="14" s="1"/>
  <c r="BN698" i="14"/>
  <c r="BN633" i="14"/>
  <c r="AR788" i="14"/>
  <c r="BN788" i="14" s="1"/>
  <c r="BN672" i="14"/>
  <c r="BN791" i="14"/>
  <c r="BN789" i="14"/>
  <c r="BN716" i="14"/>
  <c r="AR807" i="14"/>
  <c r="BN807" i="14" s="1"/>
  <c r="BN701" i="14"/>
  <c r="BN718" i="14"/>
  <c r="BN624" i="14"/>
  <c r="BN708" i="14"/>
  <c r="BN735" i="14"/>
  <c r="AR764" i="14"/>
  <c r="BN764" i="14" s="1"/>
  <c r="BN679" i="14"/>
  <c r="BN645" i="14"/>
  <c r="BN692" i="14"/>
  <c r="AR726" i="14"/>
  <c r="BN726" i="14" s="1"/>
  <c r="BN734" i="14"/>
  <c r="BN769" i="14"/>
  <c r="AR724" i="14"/>
  <c r="BN724" i="14" s="1"/>
  <c r="AR657" i="14"/>
  <c r="BN657" i="14" s="1"/>
  <c r="BN706" i="14"/>
  <c r="AR774" i="14"/>
  <c r="BN774" i="14" s="1"/>
  <c r="BN713" i="14"/>
  <c r="BN654" i="14"/>
  <c r="AR693" i="14"/>
  <c r="BN693" i="14" s="1"/>
  <c r="BN661" i="14"/>
  <c r="AR731" i="14"/>
  <c r="BN690" i="14"/>
  <c r="BN755" i="14"/>
  <c r="BN637" i="14"/>
  <c r="AR780" i="14"/>
  <c r="BN780" i="14" s="1"/>
  <c r="AR668" i="14"/>
  <c r="BN668" i="14" s="1"/>
  <c r="BN663" i="14"/>
  <c r="BN771" i="14"/>
  <c r="AR816" i="14"/>
  <c r="BN816" i="14" s="1"/>
  <c r="BN627" i="14"/>
  <c r="AR809" i="14"/>
  <c r="BN809" i="14" s="1"/>
  <c r="AR666" i="14"/>
  <c r="BN666" i="14" s="1"/>
  <c r="BN671" i="14"/>
  <c r="AQ693" i="14"/>
  <c r="BN759" i="14"/>
  <c r="BN697" i="14"/>
  <c r="AR741" i="14"/>
  <c r="BN741" i="14" s="1"/>
  <c r="BN772" i="14"/>
  <c r="AQ817" i="14"/>
  <c r="AQ807" i="14"/>
  <c r="AQ683" i="14"/>
  <c r="BN683" i="14"/>
  <c r="BN649" i="14"/>
  <c r="AQ649" i="14"/>
  <c r="AQ688" i="14"/>
  <c r="BN740" i="14"/>
  <c r="BN715" i="14"/>
  <c r="AQ740" i="14"/>
  <c r="AQ623" i="14"/>
  <c r="AQ715" i="14"/>
  <c r="AQ805" i="14"/>
  <c r="AQ798" i="14"/>
  <c r="AQ728" i="14"/>
  <c r="BN728" i="14"/>
  <c r="AQ673" i="14"/>
  <c r="AR710" i="14"/>
  <c r="BN710" i="14" s="1"/>
  <c r="AQ640" i="14"/>
  <c r="BN748" i="14"/>
  <c r="AQ803" i="14"/>
  <c r="AQ654" i="14"/>
  <c r="AQ748" i="14"/>
  <c r="AQ643" i="14"/>
  <c r="BN643" i="14"/>
  <c r="AQ668" i="14"/>
  <c r="AR778" i="14"/>
  <c r="BN778" i="14" s="1"/>
  <c r="AQ806" i="14"/>
  <c r="BN640" i="14"/>
  <c r="BN673" i="14"/>
  <c r="AQ813" i="14"/>
  <c r="BN813" i="14"/>
  <c r="AQ692" i="14"/>
  <c r="AR730" i="14"/>
  <c r="BN730" i="14" s="1"/>
  <c r="AQ761" i="14"/>
  <c r="AQ650" i="14"/>
  <c r="BN650" i="14"/>
  <c r="AQ742" i="14"/>
  <c r="AQ757" i="14"/>
  <c r="BN757" i="14"/>
  <c r="AQ676" i="14"/>
  <c r="BN676" i="14"/>
  <c r="BN694" i="14"/>
  <c r="AQ653" i="14"/>
  <c r="BN653" i="14"/>
  <c r="AR711" i="14"/>
  <c r="BN711" i="14" s="1"/>
  <c r="AQ795" i="14"/>
  <c r="AQ793" i="14"/>
  <c r="AQ790" i="14"/>
  <c r="BN790" i="14"/>
  <c r="AQ779" i="14"/>
  <c r="AQ642" i="14"/>
  <c r="AQ619" i="14"/>
  <c r="BN793" i="14"/>
  <c r="AQ733" i="14"/>
  <c r="AQ741" i="14"/>
  <c r="BN635" i="14"/>
  <c r="AQ635" i="14"/>
  <c r="AR625" i="14"/>
  <c r="BN625" i="14" s="1"/>
  <c r="AR712" i="14"/>
  <c r="BN712" i="14" s="1"/>
  <c r="AQ690" i="14"/>
  <c r="BN795" i="14"/>
  <c r="AR811" i="14"/>
  <c r="BN811" i="14" s="1"/>
  <c r="AQ694" i="14"/>
  <c r="AQ626" i="14"/>
  <c r="BN626" i="14"/>
  <c r="AS731" i="14"/>
  <c r="AQ763" i="14"/>
  <c r="AQ661" i="14"/>
  <c r="AQ794" i="14"/>
  <c r="BN763" i="14"/>
  <c r="AR799" i="14"/>
  <c r="BN799" i="14" s="1"/>
  <c r="BN815" i="14"/>
  <c r="AQ815" i="14"/>
  <c r="BN796" i="14"/>
  <c r="AQ633" i="14"/>
  <c r="AR752" i="14"/>
  <c r="BN752" i="14" s="1"/>
  <c r="AR782" i="14"/>
  <c r="BN782" i="14" s="1"/>
  <c r="BN634" i="14"/>
  <c r="BN667" i="14"/>
  <c r="BN810" i="14"/>
  <c r="AR819" i="14"/>
  <c r="BN819" i="14" s="1"/>
  <c r="AQ819" i="14"/>
  <c r="AC819" i="14"/>
  <c r="BN731" i="14" l="1"/>
  <c r="S3" i="14"/>
  <c r="M984" i="14"/>
  <c r="M913" i="14"/>
  <c r="M887" i="14"/>
  <c r="M910" i="14"/>
  <c r="M866" i="14"/>
  <c r="M979" i="14"/>
  <c r="M962" i="14"/>
  <c r="M1008" i="14"/>
  <c r="M997" i="14"/>
  <c r="M839" i="14"/>
  <c r="M834" i="14"/>
  <c r="M969" i="14"/>
  <c r="M846" i="14"/>
  <c r="M928" i="14"/>
  <c r="M975" i="14"/>
  <c r="M889" i="14"/>
  <c r="M947" i="14"/>
  <c r="M935" i="14"/>
  <c r="M869" i="14"/>
  <c r="M874" i="14"/>
  <c r="M906" i="14"/>
  <c r="M970" i="14"/>
  <c r="M877" i="14"/>
  <c r="M903" i="14"/>
  <c r="M920" i="14"/>
  <c r="M854" i="14"/>
  <c r="M860" i="14"/>
  <c r="M952" i="14"/>
  <c r="M885" i="14"/>
  <c r="M973" i="14"/>
  <c r="M960" i="14"/>
  <c r="M945" i="14"/>
  <c r="M941" i="14"/>
  <c r="M987" i="14"/>
  <c r="M976" i="14"/>
  <c r="M993" i="14"/>
  <c r="M828" i="14"/>
  <c r="M966" i="14"/>
  <c r="M888" i="14"/>
  <c r="M996" i="14"/>
  <c r="M931" i="14"/>
  <c r="M852" i="14"/>
  <c r="M892" i="14"/>
  <c r="M988" i="14"/>
  <c r="M831" i="14"/>
  <c r="M1007" i="14"/>
  <c r="M881" i="14"/>
  <c r="M924" i="14"/>
  <c r="M978" i="14"/>
  <c r="M856" i="14"/>
  <c r="M843" i="14"/>
  <c r="M902" i="14"/>
  <c r="M825" i="14"/>
  <c r="M967" i="14"/>
  <c r="M934" i="14"/>
  <c r="M971" i="14"/>
  <c r="M937" i="14"/>
  <c r="M878" i="14"/>
  <c r="M965" i="14"/>
  <c r="M823" i="14"/>
  <c r="M917" i="14"/>
  <c r="M957" i="14"/>
  <c r="M901" i="14"/>
  <c r="M938" i="14"/>
  <c r="M835" i="14"/>
  <c r="M948" i="14"/>
  <c r="M840" i="14"/>
  <c r="M871" i="14"/>
  <c r="M908" i="14"/>
  <c r="M909" i="14"/>
  <c r="M907" i="14"/>
  <c r="M951" i="14"/>
  <c r="M981" i="14"/>
  <c r="M870" i="14"/>
  <c r="M836" i="14"/>
  <c r="M958" i="14"/>
  <c r="M845" i="14"/>
  <c r="M998" i="14"/>
  <c r="M1003" i="14"/>
  <c r="M930" i="14"/>
  <c r="S5" i="14"/>
  <c r="S4" i="14" s="1"/>
  <c r="M862" i="14"/>
  <c r="M832" i="14"/>
  <c r="M873" i="14"/>
  <c r="M830" i="14"/>
  <c r="M1015" i="14"/>
  <c r="M905" i="14"/>
  <c r="M999" i="14"/>
  <c r="M932" i="14"/>
  <c r="M936" i="14"/>
  <c r="M864" i="14"/>
  <c r="M918" i="14"/>
  <c r="M940" i="14"/>
  <c r="M880" i="14"/>
  <c r="M897" i="14"/>
  <c r="M865" i="14"/>
  <c r="M853" i="14"/>
  <c r="M1005" i="14"/>
  <c r="M954" i="14"/>
  <c r="M985" i="14"/>
  <c r="M842" i="14"/>
  <c r="M1004" i="14"/>
  <c r="M991" i="14"/>
  <c r="M891" i="14"/>
  <c r="M863" i="14"/>
  <c r="M922" i="14"/>
  <c r="M883" i="14"/>
  <c r="M949" i="14"/>
  <c r="M896" i="14"/>
  <c r="M925" i="14"/>
  <c r="M911" i="14"/>
  <c r="M944" i="14"/>
  <c r="M838" i="14"/>
  <c r="M942" i="14"/>
  <c r="M899" i="14"/>
  <c r="M829" i="14"/>
  <c r="M923" i="14"/>
  <c r="M916" i="14"/>
  <c r="M914" i="14"/>
  <c r="M868" i="14"/>
  <c r="M833" i="14"/>
  <c r="M1006" i="14"/>
  <c r="M847" i="14"/>
  <c r="M879" i="14"/>
  <c r="M858" i="14"/>
  <c r="M894" i="14"/>
  <c r="M977" i="14"/>
  <c r="M1012" i="14"/>
  <c r="M859" i="14"/>
  <c r="M855" i="14"/>
  <c r="M882" i="14"/>
  <c r="M994" i="14"/>
  <c r="M898" i="14"/>
  <c r="M989" i="14"/>
  <c r="M1014" i="14"/>
  <c r="M837" i="14"/>
  <c r="M912" i="14"/>
  <c r="M850" i="14"/>
  <c r="M1019" i="14"/>
  <c r="M1010" i="14"/>
  <c r="M875" i="14"/>
  <c r="M980" i="14"/>
  <c r="M919" i="14"/>
  <c r="M1022" i="14"/>
  <c r="M904" i="14"/>
  <c r="M943" i="14"/>
  <c r="M1009" i="14"/>
  <c r="M953" i="14"/>
  <c r="M995" i="14"/>
  <c r="M972" i="14"/>
  <c r="M968" i="14"/>
  <c r="M861" i="14"/>
  <c r="M927" i="14"/>
  <c r="M851" i="14"/>
  <c r="M890" i="14"/>
  <c r="M926" i="14"/>
  <c r="M946" i="14"/>
  <c r="M1020" i="14"/>
  <c r="M986" i="14"/>
  <c r="M1001" i="14"/>
  <c r="M929" i="14"/>
  <c r="M1011" i="14"/>
  <c r="M1002" i="14"/>
  <c r="M1013" i="14"/>
  <c r="M974" i="14"/>
  <c r="S6" i="14"/>
  <c r="M961" i="14"/>
  <c r="M959" i="14"/>
  <c r="M900" i="14"/>
  <c r="M964" i="14"/>
  <c r="M1021" i="14"/>
  <c r="M844" i="14"/>
  <c r="M895" i="14"/>
  <c r="M915" i="14"/>
  <c r="M956" i="14"/>
  <c r="M992" i="14"/>
  <c r="M827" i="14"/>
  <c r="M824" i="14"/>
  <c r="M939" i="14"/>
  <c r="M826" i="14"/>
  <c r="M886" i="14"/>
  <c r="M822" i="14"/>
  <c r="M884" i="14"/>
  <c r="M1017" i="14"/>
  <c r="M982" i="14"/>
  <c r="M1000" i="14"/>
  <c r="M876" i="14"/>
  <c r="M893" i="14"/>
  <c r="M1016" i="14"/>
  <c r="M867" i="14"/>
  <c r="M963" i="14"/>
  <c r="M872" i="14"/>
  <c r="M921" i="14"/>
  <c r="M848" i="14"/>
  <c r="M950" i="14"/>
  <c r="M841" i="14"/>
  <c r="M1018" i="14"/>
  <c r="M849" i="14"/>
  <c r="M983" i="14"/>
  <c r="M990" i="14"/>
  <c r="M933" i="14"/>
  <c r="M857" i="14"/>
  <c r="M955" i="14"/>
  <c r="S2" i="14"/>
  <c r="AV873" i="14" l="1"/>
  <c r="AV1022" i="14"/>
  <c r="AV851" i="14"/>
  <c r="AV874" i="14"/>
  <c r="AV844" i="14"/>
  <c r="AV970" i="14"/>
  <c r="AV838" i="14"/>
  <c r="AV995" i="14"/>
  <c r="AV900" i="14"/>
  <c r="AV880" i="14"/>
  <c r="AV929" i="14"/>
  <c r="AV919" i="14"/>
  <c r="AV918" i="14"/>
  <c r="AV870" i="14"/>
  <c r="AV906" i="14"/>
  <c r="AV975" i="14"/>
  <c r="AV894" i="14"/>
  <c r="AV920" i="14"/>
  <c r="AV823" i="14"/>
  <c r="AV945" i="14"/>
  <c r="AV964" i="14"/>
  <c r="AV893" i="14"/>
  <c r="AV904" i="14"/>
  <c r="AV1018" i="14"/>
  <c r="AV886" i="14"/>
  <c r="AV836" i="14"/>
  <c r="AV901" i="14"/>
  <c r="AV895" i="14"/>
  <c r="AV845" i="14"/>
  <c r="AV953" i="14"/>
  <c r="AV868" i="14"/>
  <c r="AV1006" i="14"/>
  <c r="AV831" i="14"/>
  <c r="AV979" i="14"/>
  <c r="AV888" i="14"/>
  <c r="AV980" i="14"/>
  <c r="AV999" i="14"/>
  <c r="AV976" i="14"/>
  <c r="AV877" i="14"/>
  <c r="AV843" i="14"/>
  <c r="AV846" i="14"/>
  <c r="AV962" i="14"/>
  <c r="AV863" i="14"/>
  <c r="AV876" i="14"/>
  <c r="AV936" i="14"/>
  <c r="AV958" i="14"/>
  <c r="AV866" i="14"/>
  <c r="AV959" i="14"/>
  <c r="AV879" i="14"/>
  <c r="AV989" i="14"/>
  <c r="AV905" i="14"/>
  <c r="AV952" i="14"/>
  <c r="AV1008" i="14"/>
  <c r="AV1015" i="14"/>
  <c r="AV991" i="14"/>
  <c r="AV882" i="14"/>
  <c r="AV860" i="14"/>
  <c r="AV1000" i="14"/>
  <c r="AV930" i="14"/>
  <c r="AV832" i="14"/>
  <c r="AV849" i="14"/>
  <c r="AV1013" i="14"/>
  <c r="AV963" i="14"/>
  <c r="AV875" i="14"/>
  <c r="AV858" i="14"/>
  <c r="AV955" i="14"/>
  <c r="AV983" i="14"/>
  <c r="AV969" i="14"/>
  <c r="AV839" i="14"/>
  <c r="AV931" i="14"/>
  <c r="AV944" i="14"/>
  <c r="AV947" i="14"/>
  <c r="AV923" i="14"/>
  <c r="AV891" i="14"/>
  <c r="AV827" i="14"/>
  <c r="AV984" i="14"/>
  <c r="AV840" i="14"/>
  <c r="AV1003" i="14"/>
  <c r="AV926" i="14"/>
  <c r="AV986" i="14"/>
  <c r="AV865" i="14"/>
  <c r="AV942" i="14"/>
  <c r="AV912" i="14"/>
  <c r="AV934" i="14"/>
  <c r="AV1019" i="14"/>
  <c r="AV965" i="14"/>
  <c r="AV903" i="14"/>
  <c r="AV924" i="14"/>
  <c r="AV954" i="14"/>
  <c r="AV909" i="14"/>
  <c r="AV998" i="14"/>
  <c r="AV1009" i="14"/>
  <c r="AV951" i="14"/>
  <c r="AV1021" i="14"/>
  <c r="AV878" i="14"/>
  <c r="AV842" i="14"/>
  <c r="AV889" i="14"/>
  <c r="AV837" i="14"/>
  <c r="AV872" i="14"/>
  <c r="AV1020" i="14"/>
  <c r="AV855" i="14"/>
  <c r="AV913" i="14"/>
  <c r="AV857" i="14"/>
  <c r="AV925" i="14"/>
  <c r="AV949" i="14"/>
  <c r="AV966" i="14"/>
  <c r="AV957" i="14"/>
  <c r="AV956" i="14"/>
  <c r="AV981" i="14"/>
  <c r="AV950" i="14"/>
  <c r="AV822" i="14"/>
  <c r="AV996" i="14"/>
  <c r="AV850" i="14"/>
  <c r="AV1011" i="14"/>
  <c r="AV972" i="14"/>
  <c r="AV911" i="14"/>
  <c r="AV948" i="14"/>
  <c r="AV859" i="14"/>
  <c r="AV853" i="14"/>
  <c r="AV883" i="14"/>
  <c r="AV825" i="14"/>
  <c r="AV993" i="14"/>
  <c r="AV1016" i="14"/>
  <c r="AV921" i="14"/>
  <c r="AV974" i="14"/>
  <c r="AV841" i="14"/>
  <c r="AV928" i="14"/>
  <c r="AV935" i="14"/>
  <c r="AV864" i="14"/>
  <c r="AV915" i="14"/>
  <c r="AV1002" i="14"/>
  <c r="AV1017" i="14"/>
  <c r="AV884" i="14"/>
  <c r="AV914" i="14"/>
  <c r="AV994" i="14"/>
  <c r="AV971" i="14"/>
  <c r="AV977" i="14"/>
  <c r="AV1012" i="14"/>
  <c r="AV899" i="14"/>
  <c r="AV987" i="14"/>
  <c r="AV932" i="14"/>
  <c r="AV847" i="14"/>
  <c r="AV968" i="14"/>
  <c r="AV890" i="14"/>
  <c r="AV881" i="14"/>
  <c r="AV833" i="14"/>
  <c r="AV939" i="14"/>
  <c r="AV916" i="14"/>
  <c r="AV885" i="14"/>
  <c r="AV917" i="14"/>
  <c r="AV982" i="14"/>
  <c r="AV943" i="14"/>
  <c r="AV861" i="14"/>
  <c r="AV834" i="14"/>
  <c r="AV985" i="14"/>
  <c r="AV854" i="14"/>
  <c r="AV892" i="14"/>
  <c r="AV848" i="14"/>
  <c r="AV871" i="14"/>
  <c r="AV1014" i="14"/>
  <c r="AV1010" i="14"/>
  <c r="AV887" i="14"/>
  <c r="AV992" i="14"/>
  <c r="AV898" i="14"/>
  <c r="AV830" i="14"/>
  <c r="AV978" i="14"/>
  <c r="AV852" i="14"/>
  <c r="AV910" i="14"/>
  <c r="AV829" i="14"/>
  <c r="AV967" i="14"/>
  <c r="AV940" i="14"/>
  <c r="AV856" i="14"/>
  <c r="AV938" i="14"/>
  <c r="AV824" i="14"/>
  <c r="AV1001" i="14"/>
  <c r="AV867" i="14"/>
  <c r="AV961" i="14"/>
  <c r="AV826" i="14"/>
  <c r="AV896" i="14"/>
  <c r="AV927" i="14"/>
  <c r="AV922" i="14"/>
  <c r="AV988" i="14"/>
  <c r="AV835" i="14"/>
  <c r="AV960" i="14"/>
  <c r="AV937" i="14"/>
  <c r="AV941" i="14"/>
  <c r="AV862" i="14"/>
  <c r="AV990" i="14"/>
  <c r="AV933" i="14"/>
  <c r="AV907" i="14"/>
  <c r="AV997" i="14"/>
  <c r="AV1004" i="14"/>
  <c r="AV1007" i="14"/>
  <c r="AV869" i="14"/>
  <c r="AV946" i="14"/>
  <c r="AV897" i="14"/>
  <c r="AV973" i="14"/>
  <c r="AV908" i="14"/>
  <c r="AV1005" i="14"/>
  <c r="AV902" i="14"/>
  <c r="AV828" i="14"/>
  <c r="A853" i="14"/>
  <c r="A969" i="14"/>
  <c r="A846" i="14"/>
  <c r="A948" i="14"/>
  <c r="A876" i="14"/>
  <c r="A957" i="14"/>
  <c r="A859" i="14"/>
  <c r="A916" i="14"/>
  <c r="A928" i="14"/>
  <c r="A900" i="14"/>
  <c r="A977" i="14"/>
  <c r="A879" i="14"/>
  <c r="A878" i="14"/>
  <c r="A937" i="14"/>
  <c r="A952" i="14"/>
  <c r="A1009" i="14"/>
  <c r="A917" i="14"/>
  <c r="A858" i="14"/>
  <c r="A899" i="14"/>
  <c r="A865" i="14"/>
  <c r="A997" i="14"/>
  <c r="A845" i="14"/>
  <c r="A902" i="14"/>
  <c r="A918" i="14"/>
  <c r="A869" i="14"/>
  <c r="A855" i="14"/>
  <c r="A885" i="14"/>
  <c r="A931" i="14"/>
  <c r="A835" i="14"/>
  <c r="A1016" i="14"/>
  <c r="A936" i="14"/>
  <c r="A951" i="14"/>
  <c r="A841" i="14"/>
  <c r="A975" i="14"/>
  <c r="A851" i="14"/>
  <c r="A823" i="14"/>
  <c r="A1014" i="14"/>
  <c r="A963" i="14"/>
  <c r="A833" i="14"/>
  <c r="A992" i="14"/>
  <c r="A965" i="14"/>
  <c r="A933" i="14"/>
  <c r="A960" i="14"/>
  <c r="A996" i="14"/>
  <c r="A981" i="14"/>
  <c r="A882" i="14"/>
  <c r="A824" i="14"/>
  <c r="A922" i="14"/>
  <c r="A927" i="14"/>
  <c r="A866" i="14"/>
  <c r="A966" i="14"/>
  <c r="A980" i="14"/>
  <c r="A935" i="14"/>
  <c r="A873" i="14"/>
  <c r="A828" i="14"/>
  <c r="A832" i="14"/>
  <c r="A986" i="14"/>
  <c r="A924" i="14"/>
  <c r="A829" i="14"/>
  <c r="A907" i="14"/>
  <c r="A994" i="14"/>
  <c r="A849" i="14"/>
  <c r="A934" i="14"/>
  <c r="A955" i="14"/>
  <c r="A871" i="14"/>
  <c r="A836" i="14"/>
  <c r="A1010" i="14"/>
  <c r="A919" i="14"/>
  <c r="A894" i="14"/>
  <c r="A903" i="14"/>
  <c r="A945" i="14"/>
  <c r="A990" i="14"/>
  <c r="A989" i="14"/>
  <c r="A949" i="14"/>
  <c r="A886" i="14"/>
  <c r="A998" i="14"/>
  <c r="A962" i="14"/>
  <c r="A979" i="14"/>
  <c r="A887" i="14"/>
  <c r="A837" i="14"/>
  <c r="A970" i="14"/>
  <c r="A961" i="14"/>
  <c r="A985" i="14"/>
  <c r="A1003" i="14"/>
  <c r="A860" i="14"/>
  <c r="A984" i="14"/>
  <c r="A999" i="14"/>
  <c r="A940" i="14"/>
  <c r="A906" i="14"/>
  <c r="A929" i="14"/>
  <c r="A840" i="14"/>
  <c r="A889" i="14"/>
  <c r="A1007" i="14"/>
  <c r="A915" i="14"/>
  <c r="A941" i="14"/>
  <c r="A1021" i="14"/>
  <c r="A946" i="14"/>
  <c r="A967" i="14"/>
  <c r="A880" i="14"/>
  <c r="A908" i="14"/>
  <c r="A822" i="14"/>
  <c r="A982" i="14"/>
  <c r="A942" i="14"/>
  <c r="A950" i="14"/>
  <c r="A870" i="14"/>
  <c r="A905" i="14"/>
  <c r="A893" i="14"/>
  <c r="A874" i="14"/>
  <c r="A848" i="14"/>
  <c r="A883" i="14"/>
  <c r="A1002" i="14"/>
  <c r="A954" i="14"/>
  <c r="A958" i="14"/>
  <c r="A939" i="14"/>
  <c r="A972" i="14"/>
  <c r="A827" i="14"/>
  <c r="A875" i="14"/>
  <c r="A847" i="14"/>
  <c r="A1022" i="14"/>
  <c r="A1018" i="14"/>
  <c r="A843" i="14"/>
  <c r="A825" i="14"/>
  <c r="A830" i="14"/>
  <c r="A921" i="14"/>
  <c r="A877" i="14"/>
  <c r="A913" i="14"/>
  <c r="A892" i="14"/>
  <c r="A976" i="14"/>
  <c r="A888" i="14"/>
  <c r="A991" i="14"/>
  <c r="A968" i="14"/>
  <c r="A1017" i="14"/>
  <c r="A912" i="14"/>
  <c r="A1005" i="14"/>
  <c r="A995" i="14"/>
  <c r="A983" i="14"/>
  <c r="A834" i="14"/>
  <c r="A857" i="14"/>
  <c r="A867" i="14"/>
  <c r="A910" i="14"/>
  <c r="A864" i="14"/>
  <c r="A938" i="14"/>
  <c r="A1004" i="14"/>
  <c r="A944" i="14"/>
  <c r="A974" i="14"/>
  <c r="A930" i="14"/>
  <c r="A1001" i="14"/>
  <c r="A852" i="14"/>
  <c r="A909" i="14"/>
  <c r="A890" i="14"/>
  <c r="A973" i="14"/>
  <c r="A854" i="14"/>
  <c r="A881" i="14"/>
  <c r="A838" i="14"/>
  <c r="A925" i="14"/>
  <c r="A1012" i="14"/>
  <c r="A856" i="14"/>
  <c r="A1011" i="14"/>
  <c r="A993" i="14"/>
  <c r="A897" i="14"/>
  <c r="A920" i="14"/>
  <c r="A863" i="14"/>
  <c r="A953" i="14"/>
  <c r="A964" i="14"/>
  <c r="A896" i="14"/>
  <c r="A839" i="14"/>
  <c r="A862" i="14"/>
  <c r="A1008" i="14"/>
  <c r="A904" i="14"/>
  <c r="A987" i="14"/>
  <c r="A1000" i="14"/>
  <c r="A1013" i="14"/>
  <c r="A971" i="14"/>
  <c r="A901" i="14"/>
  <c r="A926" i="14"/>
  <c r="A914" i="14"/>
  <c r="A850" i="14"/>
  <c r="A844" i="14"/>
  <c r="A861" i="14"/>
  <c r="A884" i="14"/>
  <c r="A932" i="14"/>
  <c r="A988" i="14"/>
  <c r="A1006" i="14"/>
  <c r="A943" i="14"/>
  <c r="A1019" i="14"/>
  <c r="A831" i="14"/>
  <c r="A1020" i="14"/>
  <c r="A826" i="14"/>
  <c r="A872" i="14"/>
  <c r="A898" i="14"/>
  <c r="A842" i="14"/>
  <c r="A895" i="14"/>
  <c r="A1015" i="14"/>
  <c r="A959" i="14"/>
  <c r="A947" i="14"/>
  <c r="A911" i="14"/>
  <c r="A868" i="14"/>
  <c r="A956" i="14"/>
  <c r="A891" i="14"/>
  <c r="A923" i="14"/>
  <c r="A978" i="14"/>
  <c r="BP822" i="14" l="1"/>
  <c r="D1004" i="14"/>
  <c r="BP840" i="14"/>
  <c r="D927" i="14"/>
  <c r="BP917" i="14"/>
  <c r="D910" i="14"/>
  <c r="BP934" i="14"/>
  <c r="D854" i="14"/>
  <c r="BP990" i="14"/>
  <c r="D890" i="14"/>
  <c r="BP954" i="14"/>
  <c r="D1017" i="14"/>
  <c r="BP827" i="14"/>
  <c r="D883" i="14"/>
  <c r="BP961" i="14"/>
  <c r="D956" i="14"/>
  <c r="BP888" i="14"/>
  <c r="D842" i="14"/>
  <c r="BP1002" i="14"/>
  <c r="D934" i="14"/>
  <c r="BP910" i="14"/>
  <c r="D947" i="14"/>
  <c r="BP897" i="14"/>
  <c r="D832" i="14"/>
  <c r="BP1012" i="14"/>
  <c r="D959" i="14"/>
  <c r="BP885" i="14"/>
  <c r="D980" i="14"/>
  <c r="BP864" i="14"/>
  <c r="D1018" i="14"/>
  <c r="BP826" i="14"/>
  <c r="D919" i="14"/>
  <c r="BP925" i="14"/>
  <c r="D997" i="14"/>
  <c r="BP847" i="14"/>
  <c r="D896" i="14"/>
  <c r="BP948" i="14"/>
  <c r="D852" i="14"/>
  <c r="BP992" i="14"/>
  <c r="D985" i="14"/>
  <c r="BP859" i="14"/>
  <c r="D968" i="14"/>
  <c r="BP876" i="14"/>
  <c r="D1002" i="14"/>
  <c r="BP842" i="14"/>
  <c r="D853" i="14"/>
  <c r="BP991" i="14"/>
  <c r="D957" i="14"/>
  <c r="BP887" i="14"/>
  <c r="D878" i="14"/>
  <c r="BP966" i="14"/>
  <c r="D912" i="14"/>
  <c r="BP932" i="14"/>
  <c r="D944" i="14"/>
  <c r="BP900" i="14"/>
  <c r="D930" i="14"/>
  <c r="BP914" i="14"/>
  <c r="D866" i="14"/>
  <c r="BP978" i="14"/>
  <c r="D888" i="14"/>
  <c r="BP956" i="14"/>
  <c r="D904" i="14"/>
  <c r="BP940" i="14"/>
  <c r="D929" i="14"/>
  <c r="BP915" i="14"/>
  <c r="D907" i="14"/>
  <c r="BP937" i="14"/>
  <c r="D826" i="14"/>
  <c r="BP1018" i="14"/>
  <c r="D978" i="14"/>
  <c r="BP866" i="14"/>
  <c r="D834" i="14"/>
  <c r="BP1010" i="14"/>
  <c r="D847" i="14"/>
  <c r="BP997" i="14"/>
  <c r="D915" i="14"/>
  <c r="BP929" i="14"/>
  <c r="D859" i="14"/>
  <c r="BP985" i="14"/>
  <c r="D966" i="14"/>
  <c r="BP878" i="14"/>
  <c r="D1021" i="14"/>
  <c r="BP823" i="14"/>
  <c r="D942" i="14"/>
  <c r="BP902" i="14"/>
  <c r="D931" i="14"/>
  <c r="BP913" i="14"/>
  <c r="D1000" i="14"/>
  <c r="BP844" i="14"/>
  <c r="D958" i="14"/>
  <c r="BP886" i="14"/>
  <c r="D979" i="14"/>
  <c r="BP865" i="14"/>
  <c r="D893" i="14"/>
  <c r="BP951" i="14"/>
  <c r="D880" i="14"/>
  <c r="BP964" i="14"/>
  <c r="D933" i="14"/>
  <c r="BP911" i="14"/>
  <c r="D861" i="14"/>
  <c r="BP983" i="14"/>
  <c r="D864" i="14"/>
  <c r="BP980" i="14"/>
  <c r="D948" i="14"/>
  <c r="BP896" i="14"/>
  <c r="D949" i="14"/>
  <c r="BP895" i="14"/>
  <c r="D951" i="14"/>
  <c r="BP893" i="14"/>
  <c r="D865" i="14"/>
  <c r="BP979" i="14"/>
  <c r="D839" i="14"/>
  <c r="BP1005" i="14"/>
  <c r="D860" i="14"/>
  <c r="BP984" i="14"/>
  <c r="D936" i="14"/>
  <c r="BP908" i="14"/>
  <c r="D831" i="14"/>
  <c r="BP1013" i="14"/>
  <c r="D964" i="14"/>
  <c r="BP880" i="14"/>
  <c r="D900" i="14"/>
  <c r="BP944" i="14"/>
  <c r="D828" i="14"/>
  <c r="BP1016" i="14"/>
  <c r="D961" i="14"/>
  <c r="BP883" i="14"/>
  <c r="D830" i="14"/>
  <c r="BP1014" i="14"/>
  <c r="D902" i="14"/>
  <c r="BP942" i="14"/>
  <c r="D990" i="14"/>
  <c r="BP854" i="14"/>
  <c r="D867" i="14"/>
  <c r="BP977" i="14"/>
  <c r="D898" i="14"/>
  <c r="BP946" i="14"/>
  <c r="D943" i="14"/>
  <c r="BP901" i="14"/>
  <c r="D987" i="14"/>
  <c r="BP857" i="14"/>
  <c r="D935" i="14"/>
  <c r="BP909" i="14"/>
  <c r="D911" i="14"/>
  <c r="BP933" i="14"/>
  <c r="D925" i="14"/>
  <c r="BP919" i="14"/>
  <c r="D1009" i="14"/>
  <c r="BP835" i="14"/>
  <c r="D986" i="14"/>
  <c r="BP858" i="14"/>
  <c r="D969" i="14"/>
  <c r="BP875" i="14"/>
  <c r="D882" i="14"/>
  <c r="BP962" i="14"/>
  <c r="D876" i="14"/>
  <c r="BP968" i="14"/>
  <c r="D1006" i="14"/>
  <c r="BP838" i="14"/>
  <c r="D945" i="14"/>
  <c r="BP899" i="14"/>
  <c r="D995" i="14"/>
  <c r="BP849" i="14"/>
  <c r="D932" i="14"/>
  <c r="BP912" i="14"/>
  <c r="D1005" i="14"/>
  <c r="BP839" i="14"/>
  <c r="D862" i="14"/>
  <c r="BP982" i="14"/>
  <c r="D1001" i="14"/>
  <c r="BP843" i="14"/>
  <c r="D992" i="14"/>
  <c r="BP852" i="14"/>
  <c r="D982" i="14"/>
  <c r="BP862" i="14"/>
  <c r="D899" i="14"/>
  <c r="BP945" i="14"/>
  <c r="D928" i="14"/>
  <c r="BP916" i="14"/>
  <c r="D972" i="14"/>
  <c r="BP872" i="14"/>
  <c r="D857" i="14"/>
  <c r="BP987" i="14"/>
  <c r="D998" i="14"/>
  <c r="BP846" i="14"/>
  <c r="D926" i="14"/>
  <c r="BP918" i="14"/>
  <c r="D983" i="14"/>
  <c r="BP861" i="14"/>
  <c r="D991" i="14"/>
  <c r="BP853" i="14"/>
  <c r="D863" i="14"/>
  <c r="BP981" i="14"/>
  <c r="D868" i="14"/>
  <c r="BP976" i="14"/>
  <c r="D823" i="14"/>
  <c r="BP1021" i="14"/>
  <c r="D838" i="14"/>
  <c r="BP1006" i="14"/>
  <c r="D908" i="14"/>
  <c r="BP936" i="14"/>
  <c r="D941" i="14"/>
  <c r="BP903" i="14"/>
  <c r="D824" i="14"/>
  <c r="BP1020" i="14"/>
  <c r="D887" i="14"/>
  <c r="BP957" i="14"/>
  <c r="D917" i="14"/>
  <c r="BP927" i="14"/>
  <c r="D1012" i="14"/>
  <c r="BP832" i="14"/>
  <c r="D841" i="14"/>
  <c r="BP1003" i="14"/>
  <c r="D1011" i="14"/>
  <c r="BP833" i="14"/>
  <c r="D913" i="14"/>
  <c r="BP931" i="14"/>
  <c r="D909" i="14"/>
  <c r="BP935" i="14"/>
  <c r="D1003" i="14"/>
  <c r="BP841" i="14"/>
  <c r="D955" i="14"/>
  <c r="BP889" i="14"/>
  <c r="D1015" i="14"/>
  <c r="BP829" i="14"/>
  <c r="D962" i="14"/>
  <c r="BP882" i="14"/>
  <c r="D953" i="14"/>
  <c r="BP891" i="14"/>
  <c r="D920" i="14"/>
  <c r="BP924" i="14"/>
  <c r="D970" i="14"/>
  <c r="BP874" i="14"/>
  <c r="D973" i="14"/>
  <c r="BP871" i="14"/>
  <c r="D937" i="14"/>
  <c r="BP907" i="14"/>
  <c r="D938" i="14"/>
  <c r="BP906" i="14"/>
  <c r="D1010" i="14"/>
  <c r="BP834" i="14"/>
  <c r="D885" i="14"/>
  <c r="BP959" i="14"/>
  <c r="D977" i="14"/>
  <c r="BP867" i="14"/>
  <c r="D974" i="14"/>
  <c r="BP870" i="14"/>
  <c r="D850" i="14"/>
  <c r="BP994" i="14"/>
  <c r="D855" i="14"/>
  <c r="BP989" i="14"/>
  <c r="D954" i="14"/>
  <c r="BP890" i="14"/>
  <c r="D840" i="14"/>
  <c r="BP1004" i="14"/>
  <c r="D858" i="14"/>
  <c r="BP986" i="14"/>
  <c r="D1008" i="14"/>
  <c r="BP836" i="14"/>
  <c r="D846" i="14"/>
  <c r="BP998" i="14"/>
  <c r="D845" i="14"/>
  <c r="BP999" i="14"/>
  <c r="D894" i="14"/>
  <c r="BP950" i="14"/>
  <c r="D844" i="14"/>
  <c r="BP1000" i="14"/>
  <c r="D960" i="14"/>
  <c r="BP884" i="14"/>
  <c r="D856" i="14"/>
  <c r="BP988" i="14"/>
  <c r="D1014" i="14"/>
  <c r="BP830" i="14"/>
  <c r="D916" i="14"/>
  <c r="BP928" i="14"/>
  <c r="D971" i="14"/>
  <c r="BP873" i="14"/>
  <c r="D921" i="14"/>
  <c r="BP923" i="14"/>
  <c r="D996" i="14"/>
  <c r="BP848" i="14"/>
  <c r="D1020" i="14"/>
  <c r="BP824" i="14"/>
  <c r="D924" i="14"/>
  <c r="BP920" i="14"/>
  <c r="D984" i="14"/>
  <c r="BP860" i="14"/>
  <c r="D875" i="14"/>
  <c r="BP969" i="14"/>
  <c r="D952" i="14"/>
  <c r="BP892" i="14"/>
  <c r="D843" i="14"/>
  <c r="BP1001" i="14"/>
  <c r="D895" i="14"/>
  <c r="BP949" i="14"/>
  <c r="D975" i="14"/>
  <c r="BP869" i="14"/>
  <c r="D874" i="14"/>
  <c r="BP970" i="14"/>
  <c r="D897" i="14"/>
  <c r="BP947" i="14"/>
  <c r="D946" i="14"/>
  <c r="BP898" i="14"/>
  <c r="D835" i="14"/>
  <c r="BP1009" i="14"/>
  <c r="D940" i="14"/>
  <c r="BP904" i="14"/>
  <c r="D871" i="14"/>
  <c r="BP973" i="14"/>
  <c r="D939" i="14"/>
  <c r="BP905" i="14"/>
  <c r="D994" i="14"/>
  <c r="BP850" i="14"/>
  <c r="D1016" i="14"/>
  <c r="BP828" i="14"/>
  <c r="D822" i="14"/>
  <c r="BP1022" i="14"/>
  <c r="N1022" i="14" s="1"/>
  <c r="D872" i="14"/>
  <c r="BP972" i="14"/>
  <c r="D903" i="14"/>
  <c r="BP941" i="14"/>
  <c r="D827" i="14"/>
  <c r="BP1017" i="14"/>
  <c r="D963" i="14"/>
  <c r="BP881" i="14"/>
  <c r="D905" i="14"/>
  <c r="BP939" i="14"/>
  <c r="D877" i="14"/>
  <c r="BP967" i="14"/>
  <c r="D901" i="14"/>
  <c r="BP943" i="14"/>
  <c r="D906" i="14"/>
  <c r="BP938" i="14"/>
  <c r="D851" i="14"/>
  <c r="BP993" i="14"/>
  <c r="D988" i="14"/>
  <c r="BP856" i="14"/>
  <c r="D967" i="14"/>
  <c r="BP877" i="14"/>
  <c r="D848" i="14"/>
  <c r="BP996" i="14"/>
  <c r="D833" i="14"/>
  <c r="BP1011" i="14"/>
  <c r="D914" i="14"/>
  <c r="BP930" i="14"/>
  <c r="D993" i="14"/>
  <c r="BP851" i="14"/>
  <c r="D950" i="14"/>
  <c r="BP894" i="14"/>
  <c r="D837" i="14"/>
  <c r="BP1007" i="14"/>
  <c r="D965" i="14"/>
  <c r="BP879" i="14"/>
  <c r="D891" i="14"/>
  <c r="BP953" i="14"/>
  <c r="D1013" i="14"/>
  <c r="BP831" i="14"/>
  <c r="D989" i="14"/>
  <c r="BP855" i="14"/>
  <c r="D976" i="14"/>
  <c r="BP868" i="14"/>
  <c r="D836" i="14"/>
  <c r="BP1008" i="14"/>
  <c r="D870" i="14"/>
  <c r="BP974" i="14"/>
  <c r="D1022" i="14"/>
  <c r="D869" i="14"/>
  <c r="BP975" i="14"/>
  <c r="D1007" i="14"/>
  <c r="BP837" i="14"/>
  <c r="D922" i="14"/>
  <c r="BP922" i="14"/>
  <c r="N922" i="14" s="1"/>
  <c r="D829" i="14"/>
  <c r="BP1015" i="14"/>
  <c r="D892" i="14"/>
  <c r="BP952" i="14"/>
  <c r="D881" i="14"/>
  <c r="BP963" i="14"/>
  <c r="D884" i="14"/>
  <c r="BP960" i="14"/>
  <c r="D825" i="14"/>
  <c r="BP1019" i="14"/>
  <c r="D981" i="14"/>
  <c r="BP863" i="14"/>
  <c r="D889" i="14"/>
  <c r="BP955" i="14"/>
  <c r="D1019" i="14"/>
  <c r="BP825" i="14"/>
  <c r="D923" i="14"/>
  <c r="BP921" i="14"/>
  <c r="D849" i="14"/>
  <c r="BP995" i="14"/>
  <c r="D879" i="14"/>
  <c r="BP965" i="14"/>
  <c r="D999" i="14"/>
  <c r="BP845" i="14"/>
  <c r="D886" i="14"/>
  <c r="BP958" i="14"/>
  <c r="D918" i="14"/>
  <c r="BP926" i="14"/>
  <c r="D873" i="14"/>
  <c r="BP971" i="14"/>
  <c r="N1014" i="14" l="1"/>
  <c r="R1014" i="14" s="1"/>
  <c r="N835" i="14"/>
  <c r="AZ835" i="14" s="1"/>
  <c r="N848" i="14"/>
  <c r="BL848" i="14" s="1"/>
  <c r="N901" i="14"/>
  <c r="R901" i="14" s="1"/>
  <c r="N915" i="14"/>
  <c r="I915" i="14" s="1"/>
  <c r="N917" i="14"/>
  <c r="BL917" i="14" s="1"/>
  <c r="N908" i="14"/>
  <c r="J908" i="14" s="1"/>
  <c r="N876" i="14"/>
  <c r="G876" i="14" s="1"/>
  <c r="N989" i="14"/>
  <c r="W989" i="14" s="1"/>
  <c r="N869" i="14"/>
  <c r="BB869" i="14" s="1"/>
  <c r="N840" i="14"/>
  <c r="E840" i="14" s="1"/>
  <c r="N961" i="14"/>
  <c r="AZ961" i="14" s="1"/>
  <c r="N913" i="14"/>
  <c r="BB913" i="14" s="1"/>
  <c r="N911" i="14"/>
  <c r="J911" i="14" s="1"/>
  <c r="N976" i="14"/>
  <c r="BA976" i="14" s="1"/>
  <c r="N916" i="14"/>
  <c r="J916" i="14" s="1"/>
  <c r="N888" i="14"/>
  <c r="E888" i="14" s="1"/>
  <c r="N966" i="14"/>
  <c r="I966" i="14" s="1"/>
  <c r="N940" i="14"/>
  <c r="BB940" i="14" s="1"/>
  <c r="N843" i="14"/>
  <c r="E843" i="14" s="1"/>
  <c r="N977" i="14"/>
  <c r="Q977" i="14" s="1"/>
  <c r="N992" i="14"/>
  <c r="E992" i="14" s="1"/>
  <c r="N885" i="14"/>
  <c r="W885" i="14" s="1"/>
  <c r="N914" i="14"/>
  <c r="AY914" i="14" s="1"/>
  <c r="N924" i="14"/>
  <c r="J924" i="14" s="1"/>
  <c r="N950" i="14"/>
  <c r="BA950" i="14" s="1"/>
  <c r="N864" i="14"/>
  <c r="BM864" i="14" s="1"/>
  <c r="N892" i="14"/>
  <c r="AZ892" i="14" s="1"/>
  <c r="N932" i="14"/>
  <c r="BA932" i="14" s="1"/>
  <c r="N1016" i="14"/>
  <c r="I1016" i="14" s="1"/>
  <c r="N946" i="14"/>
  <c r="AZ946" i="14" s="1"/>
  <c r="N844" i="14"/>
  <c r="T844" i="14" s="1"/>
  <c r="N994" i="14"/>
  <c r="G994" i="14" s="1"/>
  <c r="N875" i="14"/>
  <c r="E875" i="14" s="1"/>
  <c r="N990" i="14"/>
  <c r="T990" i="14" s="1"/>
  <c r="N984" i="14"/>
  <c r="G984" i="14" s="1"/>
  <c r="N981" i="14"/>
  <c r="U981" i="14" s="1"/>
  <c r="N838" i="14"/>
  <c r="AY838" i="14" s="1"/>
  <c r="N962" i="14"/>
  <c r="I962" i="14" s="1"/>
  <c r="N829" i="14"/>
  <c r="J829" i="14" s="1"/>
  <c r="N849" i="14"/>
  <c r="AY849" i="14" s="1"/>
  <c r="N923" i="14"/>
  <c r="I923" i="14" s="1"/>
  <c r="N925" i="14"/>
  <c r="BB925" i="14" s="1"/>
  <c r="N999" i="14"/>
  <c r="U999" i="14" s="1"/>
  <c r="N857" i="14"/>
  <c r="BM857" i="14" s="1"/>
  <c r="N991" i="14"/>
  <c r="AZ991" i="14" s="1"/>
  <c r="N978" i="14"/>
  <c r="I978" i="14" s="1"/>
  <c r="N937" i="14"/>
  <c r="J937" i="14" s="1"/>
  <c r="N826" i="14"/>
  <c r="J826" i="14" s="1"/>
  <c r="N1002" i="14"/>
  <c r="BM1002" i="14" s="1"/>
  <c r="N934" i="14"/>
  <c r="AY934" i="14" s="1"/>
  <c r="N858" i="14"/>
  <c r="BA858" i="14" s="1"/>
  <c r="N1003" i="14"/>
  <c r="W1003" i="14" s="1"/>
  <c r="N886" i="14"/>
  <c r="Q886" i="14" s="1"/>
  <c r="N900" i="14"/>
  <c r="R900" i="14" s="1"/>
  <c r="N865" i="14"/>
  <c r="W865" i="14" s="1"/>
  <c r="N988" i="14"/>
  <c r="E988" i="14" s="1"/>
  <c r="N871" i="14"/>
  <c r="U871" i="14" s="1"/>
  <c r="N918" i="14"/>
  <c r="U918" i="14" s="1"/>
  <c r="N870" i="14"/>
  <c r="J870" i="14" s="1"/>
  <c r="N836" i="14"/>
  <c r="E836" i="14" s="1"/>
  <c r="N889" i="14"/>
  <c r="AY889" i="14" s="1"/>
  <c r="N1007" i="14"/>
  <c r="AY1007" i="14" s="1"/>
  <c r="N1010" i="14"/>
  <c r="AY1010" i="14" s="1"/>
  <c r="N897" i="14"/>
  <c r="Q897" i="14" s="1"/>
  <c r="N954" i="14"/>
  <c r="J954" i="14" s="1"/>
  <c r="N951" i="14"/>
  <c r="AY951" i="14" s="1"/>
  <c r="N1013" i="14"/>
  <c r="BM1013" i="14" s="1"/>
  <c r="N833" i="14"/>
  <c r="R833" i="14" s="1"/>
  <c r="N895" i="14"/>
  <c r="BL895" i="14" s="1"/>
  <c r="N993" i="14"/>
  <c r="AY993" i="14" s="1"/>
  <c r="N847" i="14"/>
  <c r="BM847" i="14" s="1"/>
  <c r="N906" i="14"/>
  <c r="BM906" i="14" s="1"/>
  <c r="N903" i="14"/>
  <c r="AY903" i="14" s="1"/>
  <c r="N1019" i="14"/>
  <c r="E1019" i="14" s="1"/>
  <c r="N877" i="14"/>
  <c r="J877" i="14" s="1"/>
  <c r="N823" i="14"/>
  <c r="G823" i="14" s="1"/>
  <c r="N964" i="14"/>
  <c r="Q964" i="14" s="1"/>
  <c r="N909" i="14"/>
  <c r="R909" i="14" s="1"/>
  <c r="N827" i="14"/>
  <c r="I827" i="14" s="1"/>
  <c r="N902" i="14"/>
  <c r="BM902" i="14" s="1"/>
  <c r="N948" i="14"/>
  <c r="W948" i="14" s="1"/>
  <c r="N881" i="14"/>
  <c r="BB881" i="14" s="1"/>
  <c r="N891" i="14"/>
  <c r="W891" i="14" s="1"/>
  <c r="N872" i="14"/>
  <c r="U872" i="14" s="1"/>
  <c r="N1020" i="14"/>
  <c r="J1020" i="14" s="1"/>
  <c r="N1012" i="14"/>
  <c r="BB1012" i="14" s="1"/>
  <c r="N873" i="14"/>
  <c r="AY873" i="14" s="1"/>
  <c r="N887" i="14"/>
  <c r="AZ887" i="14" s="1"/>
  <c r="N874" i="14"/>
  <c r="I874" i="14" s="1"/>
  <c r="N1005" i="14"/>
  <c r="BA1005" i="14" s="1"/>
  <c r="N884" i="14"/>
  <c r="W884" i="14" s="1"/>
  <c r="N846" i="14"/>
  <c r="G846" i="14" s="1"/>
  <c r="N983" i="14"/>
  <c r="W983" i="14" s="1"/>
  <c r="N899" i="14"/>
  <c r="R899" i="14" s="1"/>
  <c r="N879" i="14"/>
  <c r="BA879" i="14" s="1"/>
  <c r="N982" i="14"/>
  <c r="G982" i="14" s="1"/>
  <c r="N859" i="14"/>
  <c r="BL859" i="14" s="1"/>
  <c r="N905" i="14"/>
  <c r="G905" i="14" s="1"/>
  <c r="N963" i="14"/>
  <c r="E963" i="14" s="1"/>
  <c r="N971" i="14"/>
  <c r="Q971" i="14" s="1"/>
  <c r="N894" i="14"/>
  <c r="G894" i="14" s="1"/>
  <c r="N953" i="14"/>
  <c r="R953" i="14" s="1"/>
  <c r="N824" i="14"/>
  <c r="T824" i="14" s="1"/>
  <c r="N863" i="14"/>
  <c r="I863" i="14" s="1"/>
  <c r="N972" i="14"/>
  <c r="Q972" i="14" s="1"/>
  <c r="N862" i="14"/>
  <c r="G862" i="14" s="1"/>
  <c r="N880" i="14"/>
  <c r="BA880" i="14" s="1"/>
  <c r="N942" i="14"/>
  <c r="BA942" i="14" s="1"/>
  <c r="N834" i="14"/>
  <c r="I834" i="14" s="1"/>
  <c r="N957" i="14"/>
  <c r="BM957" i="14" s="1"/>
  <c r="N896" i="14"/>
  <c r="BA896" i="14" s="1"/>
  <c r="N832" i="14"/>
  <c r="BA832" i="14" s="1"/>
  <c r="N1017" i="14"/>
  <c r="BB1017" i="14" s="1"/>
  <c r="N939" i="14"/>
  <c r="AZ939" i="14" s="1"/>
  <c r="N845" i="14"/>
  <c r="J845" i="14" s="1"/>
  <c r="N855" i="14"/>
  <c r="R855" i="14" s="1"/>
  <c r="N938" i="14"/>
  <c r="BL938" i="14" s="1"/>
  <c r="N1011" i="14"/>
  <c r="BA1011" i="14" s="1"/>
  <c r="N941" i="14"/>
  <c r="R941" i="14" s="1"/>
  <c r="N928" i="14"/>
  <c r="Q928" i="14" s="1"/>
  <c r="N882" i="14"/>
  <c r="T882" i="14" s="1"/>
  <c r="N935" i="14"/>
  <c r="BM935" i="14" s="1"/>
  <c r="N831" i="14"/>
  <c r="BA831" i="14" s="1"/>
  <c r="N949" i="14"/>
  <c r="T949" i="14" s="1"/>
  <c r="N893" i="14"/>
  <c r="E893" i="14" s="1"/>
  <c r="N1021" i="14"/>
  <c r="AZ1021" i="14" s="1"/>
  <c r="N866" i="14"/>
  <c r="U866" i="14" s="1"/>
  <c r="N853" i="14"/>
  <c r="AY853" i="14" s="1"/>
  <c r="N997" i="14"/>
  <c r="U997" i="14" s="1"/>
  <c r="N947" i="14"/>
  <c r="BB947" i="14" s="1"/>
  <c r="N890" i="14"/>
  <c r="T890" i="14" s="1"/>
  <c r="N825" i="14"/>
  <c r="Q825" i="14" s="1"/>
  <c r="N851" i="14"/>
  <c r="W851" i="14" s="1"/>
  <c r="N975" i="14"/>
  <c r="BB975" i="14" s="1"/>
  <c r="N850" i="14"/>
  <c r="J850" i="14" s="1"/>
  <c r="N1015" i="14"/>
  <c r="U1015" i="14" s="1"/>
  <c r="N841" i="14"/>
  <c r="BL841" i="14" s="1"/>
  <c r="N969" i="14"/>
  <c r="R969" i="14" s="1"/>
  <c r="N987" i="14"/>
  <c r="T987" i="14" s="1"/>
  <c r="N830" i="14"/>
  <c r="Q830" i="14" s="1"/>
  <c r="N936" i="14"/>
  <c r="Q936" i="14" s="1"/>
  <c r="N979" i="14"/>
  <c r="Q979" i="14" s="1"/>
  <c r="N930" i="14"/>
  <c r="BM930" i="14" s="1"/>
  <c r="N919" i="14"/>
  <c r="G919" i="14" s="1"/>
  <c r="N854" i="14"/>
  <c r="J854" i="14" s="1"/>
  <c r="N856" i="14"/>
  <c r="I856" i="14" s="1"/>
  <c r="N1008" i="14"/>
  <c r="BA1008" i="14" s="1"/>
  <c r="N974" i="14"/>
  <c r="T974" i="14" s="1"/>
  <c r="N973" i="14"/>
  <c r="I973" i="14" s="1"/>
  <c r="N955" i="14"/>
  <c r="U955" i="14" s="1"/>
  <c r="N926" i="14"/>
  <c r="BL926" i="14" s="1"/>
  <c r="N995" i="14"/>
  <c r="BL995" i="14" s="1"/>
  <c r="N986" i="14"/>
  <c r="BA986" i="14" s="1"/>
  <c r="N943" i="14"/>
  <c r="T943" i="14" s="1"/>
  <c r="N860" i="14"/>
  <c r="E860" i="14" s="1"/>
  <c r="N958" i="14"/>
  <c r="BA958" i="14" s="1"/>
  <c r="N907" i="14"/>
  <c r="BL907" i="14" s="1"/>
  <c r="N944" i="14"/>
  <c r="W944" i="14" s="1"/>
  <c r="N968" i="14"/>
  <c r="W968" i="14" s="1"/>
  <c r="N1018" i="14"/>
  <c r="G1018" i="14" s="1"/>
  <c r="N842" i="14"/>
  <c r="T842" i="14" s="1"/>
  <c r="N910" i="14"/>
  <c r="I910" i="14" s="1"/>
  <c r="N965" i="14"/>
  <c r="AY965" i="14" s="1"/>
  <c r="N822" i="14"/>
  <c r="N996" i="14"/>
  <c r="W996" i="14" s="1"/>
  <c r="N960" i="14"/>
  <c r="I960" i="14" s="1"/>
  <c r="N970" i="14"/>
  <c r="U970" i="14" s="1"/>
  <c r="N998" i="14"/>
  <c r="E998" i="14" s="1"/>
  <c r="N945" i="14"/>
  <c r="E945" i="14" s="1"/>
  <c r="N1009" i="14"/>
  <c r="U1009" i="14" s="1"/>
  <c r="N898" i="14"/>
  <c r="BA898" i="14" s="1"/>
  <c r="N828" i="14"/>
  <c r="BL828" i="14" s="1"/>
  <c r="N839" i="14"/>
  <c r="I839" i="14" s="1"/>
  <c r="N861" i="14"/>
  <c r="I861" i="14" s="1"/>
  <c r="N1000" i="14"/>
  <c r="T1000" i="14" s="1"/>
  <c r="N929" i="14"/>
  <c r="J929" i="14" s="1"/>
  <c r="N912" i="14"/>
  <c r="BL912" i="14" s="1"/>
  <c r="N985" i="14"/>
  <c r="G985" i="14" s="1"/>
  <c r="N980" i="14"/>
  <c r="G980" i="14" s="1"/>
  <c r="N956" i="14"/>
  <c r="E956" i="14" s="1"/>
  <c r="N927" i="14"/>
  <c r="G927" i="14" s="1"/>
  <c r="N837" i="14"/>
  <c r="BA837" i="14" s="1"/>
  <c r="N967" i="14"/>
  <c r="I967" i="14" s="1"/>
  <c r="N952" i="14"/>
  <c r="BB952" i="14" s="1"/>
  <c r="N921" i="14"/>
  <c r="W921" i="14" s="1"/>
  <c r="N920" i="14"/>
  <c r="BB920" i="14" s="1"/>
  <c r="N868" i="14"/>
  <c r="AY868" i="14" s="1"/>
  <c r="N1001" i="14"/>
  <c r="BA1001" i="14" s="1"/>
  <c r="N1006" i="14"/>
  <c r="BM1006" i="14" s="1"/>
  <c r="N867" i="14"/>
  <c r="AY867" i="14" s="1"/>
  <c r="N933" i="14"/>
  <c r="J933" i="14" s="1"/>
  <c r="N931" i="14"/>
  <c r="U931" i="14" s="1"/>
  <c r="N904" i="14"/>
  <c r="G904" i="14" s="1"/>
  <c r="N878" i="14"/>
  <c r="BB878" i="14" s="1"/>
  <c r="N852" i="14"/>
  <c r="U852" i="14" s="1"/>
  <c r="N959" i="14"/>
  <c r="AZ959" i="14" s="1"/>
  <c r="N883" i="14"/>
  <c r="R883" i="14" s="1"/>
  <c r="N1004" i="14"/>
  <c r="Q1004" i="14" s="1"/>
  <c r="T922" i="14"/>
  <c r="G922" i="14"/>
  <c r="W922" i="14"/>
  <c r="BA922" i="14"/>
  <c r="Q922" i="14"/>
  <c r="E922" i="14"/>
  <c r="BB922" i="14"/>
  <c r="AZ922" i="14"/>
  <c r="AY922" i="14"/>
  <c r="BL922" i="14"/>
  <c r="I922" i="14"/>
  <c r="U922" i="14"/>
  <c r="BM922" i="14"/>
  <c r="J922" i="14"/>
  <c r="R922" i="14"/>
  <c r="BQ822" i="14" a="1"/>
  <c r="BQ822" i="14" s="1"/>
  <c r="P922" i="14" a="1"/>
  <c r="H922" i="14" a="1"/>
  <c r="L82" i="7" l="1"/>
  <c r="M179" i="7"/>
  <c r="L208" i="7"/>
  <c r="M170" i="7"/>
  <c r="M88" i="7"/>
  <c r="L138" i="7"/>
  <c r="L155" i="7"/>
  <c r="M192" i="7"/>
  <c r="L196" i="7"/>
  <c r="L76" i="7"/>
  <c r="M101" i="7"/>
  <c r="L105" i="7"/>
  <c r="M118" i="7"/>
  <c r="M198" i="7"/>
  <c r="M193" i="7"/>
  <c r="L188" i="7"/>
  <c r="L149" i="7"/>
  <c r="M68" i="7"/>
  <c r="L106" i="7"/>
  <c r="M203" i="7"/>
  <c r="M210" i="7"/>
  <c r="M194" i="7"/>
  <c r="M112" i="7"/>
  <c r="L162" i="7"/>
  <c r="L74" i="7"/>
  <c r="M87" i="7"/>
  <c r="L189" i="7"/>
  <c r="L100" i="7"/>
  <c r="M125" i="7"/>
  <c r="L129" i="7"/>
  <c r="M142" i="7"/>
  <c r="M63" i="7"/>
  <c r="L173" i="7"/>
  <c r="M92" i="7"/>
  <c r="L130" i="7"/>
  <c r="M91" i="7"/>
  <c r="M136" i="7"/>
  <c r="L186" i="7"/>
  <c r="M93" i="7"/>
  <c r="L79" i="7"/>
  <c r="L73" i="7"/>
  <c r="M67" i="7"/>
  <c r="L124" i="7"/>
  <c r="M149" i="7"/>
  <c r="L116" i="7"/>
  <c r="M166" i="7"/>
  <c r="L164" i="7"/>
  <c r="M186" i="7"/>
  <c r="M141" i="7"/>
  <c r="M103" i="7"/>
  <c r="L197" i="7"/>
  <c r="M116" i="7"/>
  <c r="M106" i="7"/>
  <c r="L84" i="7"/>
  <c r="L128" i="7"/>
  <c r="L75" i="7"/>
  <c r="M160" i="7"/>
  <c r="L210" i="7"/>
  <c r="M117" i="7"/>
  <c r="M191" i="7"/>
  <c r="L97" i="7"/>
  <c r="L152" i="7"/>
  <c r="L148" i="7"/>
  <c r="M173" i="7"/>
  <c r="L177" i="7"/>
  <c r="M190" i="7"/>
  <c r="M204" i="7"/>
  <c r="L98" i="7"/>
  <c r="M111" i="7"/>
  <c r="M140" i="7"/>
  <c r="L190" i="7"/>
  <c r="L108" i="7"/>
  <c r="M205" i="7"/>
  <c r="L99" i="7"/>
  <c r="M184" i="7"/>
  <c r="M108" i="7"/>
  <c r="L146" i="7"/>
  <c r="M71" i="7"/>
  <c r="L121" i="7"/>
  <c r="M206" i="7"/>
  <c r="L172" i="7"/>
  <c r="M197" i="7"/>
  <c r="L201" i="7"/>
  <c r="M84" i="7"/>
  <c r="L122" i="7"/>
  <c r="L112" i="7"/>
  <c r="L67" i="7"/>
  <c r="M164" i="7"/>
  <c r="L139" i="7"/>
  <c r="L132" i="7"/>
  <c r="M85" i="7"/>
  <c r="L123" i="7"/>
  <c r="L185" i="7"/>
  <c r="L187" i="7"/>
  <c r="M165" i="7"/>
  <c r="M95" i="7"/>
  <c r="L145" i="7"/>
  <c r="M86" i="7"/>
  <c r="M126" i="7"/>
  <c r="L198" i="7"/>
  <c r="L202" i="7"/>
  <c r="L71" i="7"/>
  <c r="L89" i="7"/>
  <c r="M90" i="7"/>
  <c r="L154" i="7"/>
  <c r="M159" i="7"/>
  <c r="M139" i="7"/>
  <c r="M188" i="7"/>
  <c r="L140" i="7"/>
  <c r="L156" i="7"/>
  <c r="M109" i="7"/>
  <c r="L147" i="7"/>
  <c r="L65" i="7"/>
  <c r="L80" i="7"/>
  <c r="M189" i="7"/>
  <c r="M119" i="7"/>
  <c r="L169" i="7"/>
  <c r="M110" i="7"/>
  <c r="M151" i="7"/>
  <c r="L78" i="7"/>
  <c r="M162" i="7"/>
  <c r="L95" i="7"/>
  <c r="M132" i="7"/>
  <c r="L170" i="7"/>
  <c r="M183" i="7"/>
  <c r="L176" i="7"/>
  <c r="L180" i="7"/>
  <c r="M133" i="7"/>
  <c r="L207" i="7"/>
  <c r="L143" i="7"/>
  <c r="M180" i="7"/>
  <c r="M143" i="7"/>
  <c r="L193" i="7"/>
  <c r="M134" i="7"/>
  <c r="L102" i="7"/>
  <c r="M79" i="7"/>
  <c r="L119" i="7"/>
  <c r="M156" i="7"/>
  <c r="L194" i="7"/>
  <c r="M207" i="7"/>
  <c r="M65" i="7"/>
  <c r="L69" i="7"/>
  <c r="M82" i="7"/>
  <c r="L204" i="7"/>
  <c r="M157" i="7"/>
  <c r="L127" i="7"/>
  <c r="L113" i="7"/>
  <c r="M176" i="7"/>
  <c r="L70" i="7"/>
  <c r="M167" i="7"/>
  <c r="L183" i="7"/>
  <c r="M158" i="7"/>
  <c r="M76" i="7"/>
  <c r="L126" i="7"/>
  <c r="M177" i="7"/>
  <c r="L161" i="7"/>
  <c r="M172" i="7"/>
  <c r="L195" i="7"/>
  <c r="L64" i="7"/>
  <c r="M89" i="7"/>
  <c r="L93" i="7"/>
  <c r="L83" i="7"/>
  <c r="M78" i="7"/>
  <c r="M181" i="7"/>
  <c r="L137" i="7"/>
  <c r="L94" i="7"/>
  <c r="L168" i="7"/>
  <c r="M102" i="7"/>
  <c r="M182" i="7"/>
  <c r="M100" i="7"/>
  <c r="L150" i="7"/>
  <c r="L167" i="7"/>
  <c r="L181" i="7"/>
  <c r="M114" i="7"/>
  <c r="L88" i="7"/>
  <c r="M113" i="7"/>
  <c r="L117" i="7"/>
  <c r="M130" i="7"/>
  <c r="L103" i="7"/>
  <c r="L182" i="7"/>
  <c r="M105" i="7"/>
  <c r="M127" i="7"/>
  <c r="M66" i="7"/>
  <c r="M129" i="7"/>
  <c r="M80" i="7"/>
  <c r="L118" i="7"/>
  <c r="L163" i="7"/>
  <c r="M150" i="7"/>
  <c r="M124" i="7"/>
  <c r="L174" i="7"/>
  <c r="M81" i="7"/>
  <c r="L191" i="7"/>
  <c r="L175" i="7"/>
  <c r="M64" i="7"/>
  <c r="M137" i="7"/>
  <c r="L141" i="7"/>
  <c r="M154" i="7"/>
  <c r="M175" i="7"/>
  <c r="L62" i="7"/>
  <c r="M75" i="7"/>
  <c r="M77" i="7"/>
  <c r="M104" i="7"/>
  <c r="L142" i="7"/>
  <c r="L72" i="7"/>
  <c r="L63" i="7"/>
  <c r="M148" i="7"/>
  <c r="M72" i="7"/>
  <c r="L110" i="7"/>
  <c r="M123" i="7"/>
  <c r="L87" i="7"/>
  <c r="L109" i="7"/>
  <c r="L85" i="7"/>
  <c r="M187" i="7"/>
  <c r="L136" i="7"/>
  <c r="M161" i="7"/>
  <c r="L165" i="7"/>
  <c r="M178" i="7"/>
  <c r="L86" i="7"/>
  <c r="M99" i="7"/>
  <c r="L209" i="7"/>
  <c r="M128" i="7"/>
  <c r="L166" i="7"/>
  <c r="L96" i="7"/>
  <c r="M138" i="7"/>
  <c r="M152" i="7"/>
  <c r="M174" i="7"/>
  <c r="L120" i="7"/>
  <c r="M73" i="7"/>
  <c r="L111" i="7"/>
  <c r="M196" i="7"/>
  <c r="L91" i="7"/>
  <c r="M153" i="7"/>
  <c r="M83" i="7"/>
  <c r="L133" i="7"/>
  <c r="M74" i="7"/>
  <c r="L184" i="7"/>
  <c r="M209" i="7"/>
  <c r="L178" i="7"/>
  <c r="M96" i="7"/>
  <c r="L134" i="7"/>
  <c r="M147" i="7"/>
  <c r="L199" i="7"/>
  <c r="L153" i="7"/>
  <c r="M163" i="7"/>
  <c r="L144" i="7"/>
  <c r="M97" i="7"/>
  <c r="L135" i="7"/>
  <c r="L107" i="7"/>
  <c r="M144" i="7"/>
  <c r="M62" i="7"/>
  <c r="M185" i="7"/>
  <c r="M107" i="7"/>
  <c r="L157" i="7"/>
  <c r="M98" i="7"/>
  <c r="L151" i="7"/>
  <c r="L66" i="7"/>
  <c r="L203" i="7"/>
  <c r="M120" i="7"/>
  <c r="L158" i="7"/>
  <c r="M171" i="7"/>
  <c r="L68" i="7"/>
  <c r="M200" i="7"/>
  <c r="M121" i="7"/>
  <c r="L159" i="7"/>
  <c r="L77" i="7"/>
  <c r="L200" i="7"/>
  <c r="M201" i="7"/>
  <c r="M131" i="7"/>
  <c r="M122" i="7"/>
  <c r="L104" i="7"/>
  <c r="L90" i="7"/>
  <c r="L115" i="7"/>
  <c r="M115" i="7"/>
  <c r="L125" i="7"/>
  <c r="M202" i="7"/>
  <c r="M195" i="7"/>
  <c r="M70" i="7"/>
  <c r="L192" i="7"/>
  <c r="M145" i="7"/>
  <c r="M135" i="7"/>
  <c r="L101" i="7"/>
  <c r="L92" i="7"/>
  <c r="M155" i="7"/>
  <c r="L205" i="7"/>
  <c r="M146" i="7"/>
  <c r="M208" i="7"/>
  <c r="L114" i="7"/>
  <c r="M199" i="7"/>
  <c r="L131" i="7"/>
  <c r="M168" i="7"/>
  <c r="L206" i="7"/>
  <c r="L81" i="7"/>
  <c r="M94" i="7"/>
  <c r="L171" i="7"/>
  <c r="M169" i="7"/>
  <c r="M69" i="7"/>
  <c r="L179" i="7"/>
  <c r="L160" i="7"/>
  <c r="R99" i="7"/>
  <c r="R93" i="7"/>
  <c r="R101" i="7"/>
  <c r="R116" i="7"/>
  <c r="R194" i="7"/>
  <c r="S202" i="7"/>
  <c r="S210" i="7"/>
  <c r="S207" i="7"/>
  <c r="S119" i="7"/>
  <c r="S144" i="7"/>
  <c r="S62" i="7"/>
  <c r="S189" i="7"/>
  <c r="S173" i="7"/>
  <c r="S134" i="7"/>
  <c r="S128" i="7"/>
  <c r="S96" i="7"/>
  <c r="S141" i="7"/>
  <c r="S121" i="7"/>
  <c r="R83" i="7"/>
  <c r="S77" i="7"/>
  <c r="S122" i="7"/>
  <c r="R119" i="7"/>
  <c r="R127" i="7"/>
  <c r="S74" i="7"/>
  <c r="R124" i="7"/>
  <c r="R128" i="7"/>
  <c r="R106" i="7"/>
  <c r="R80" i="7"/>
  <c r="R90" i="7"/>
  <c r="S203" i="7"/>
  <c r="R197" i="7"/>
  <c r="S169" i="7"/>
  <c r="R64" i="7"/>
  <c r="S154" i="7"/>
  <c r="S162" i="7"/>
  <c r="S86" i="7"/>
  <c r="S159" i="7"/>
  <c r="R203" i="7"/>
  <c r="S172" i="7"/>
  <c r="R204" i="7"/>
  <c r="S186" i="7"/>
  <c r="S161" i="7"/>
  <c r="S142" i="7"/>
  <c r="S150" i="7"/>
  <c r="S80" i="7"/>
  <c r="R135" i="7"/>
  <c r="R209" i="7"/>
  <c r="R120" i="7"/>
  <c r="R76" i="7"/>
  <c r="R137" i="7"/>
  <c r="S174" i="7"/>
  <c r="R86" i="7"/>
  <c r="R71" i="7"/>
  <c r="S65" i="7"/>
  <c r="S163" i="7"/>
  <c r="R79" i="7"/>
  <c r="S153" i="7"/>
  <c r="R104" i="7"/>
  <c r="S180" i="7"/>
  <c r="S170" i="7"/>
  <c r="S155" i="7"/>
  <c r="S132" i="7"/>
  <c r="S157" i="7"/>
  <c r="S75" i="7"/>
  <c r="S158" i="7"/>
  <c r="R65" i="7"/>
  <c r="S111" i="7"/>
  <c r="R155" i="7"/>
  <c r="S93" i="7"/>
  <c r="R160" i="7"/>
  <c r="R97" i="7"/>
  <c r="R126" i="7"/>
  <c r="R87" i="7"/>
  <c r="S198" i="7"/>
  <c r="R81" i="7"/>
  <c r="R95" i="7"/>
  <c r="R89" i="7"/>
  <c r="S205" i="7"/>
  <c r="S177" i="7"/>
  <c r="S190" i="7"/>
  <c r="S195" i="7"/>
  <c r="S200" i="7"/>
  <c r="S208" i="7"/>
  <c r="S84" i="7"/>
  <c r="R174" i="7"/>
  <c r="S178" i="7"/>
  <c r="R210" i="7"/>
  <c r="S116" i="7"/>
  <c r="R171" i="7"/>
  <c r="R107" i="7"/>
  <c r="S124" i="7"/>
  <c r="R156" i="7"/>
  <c r="R165" i="7"/>
  <c r="R173" i="7"/>
  <c r="S72" i="7"/>
  <c r="S66" i="7"/>
  <c r="R122" i="7"/>
  <c r="S63" i="7"/>
  <c r="S175" i="7"/>
  <c r="R115" i="7"/>
  <c r="R112" i="7"/>
  <c r="R94" i="7"/>
  <c r="R78" i="7"/>
  <c r="R183" i="7"/>
  <c r="S191" i="7"/>
  <c r="R62" i="7"/>
  <c r="S187" i="7"/>
  <c r="S168" i="7"/>
  <c r="R207" i="7"/>
  <c r="S127" i="7"/>
  <c r="S193" i="7"/>
  <c r="R66" i="7"/>
  <c r="S194" i="7"/>
  <c r="S130" i="7"/>
  <c r="S147" i="7"/>
  <c r="R191" i="7"/>
  <c r="R199" i="7"/>
  <c r="S129" i="7"/>
  <c r="S113" i="7"/>
  <c r="R133" i="7"/>
  <c r="R195" i="7"/>
  <c r="R178" i="7"/>
  <c r="R162" i="7"/>
  <c r="R74" i="7"/>
  <c r="S68" i="7"/>
  <c r="R123" i="7"/>
  <c r="R108" i="7"/>
  <c r="S79" i="7"/>
  <c r="R117" i="7"/>
  <c r="S87" i="7"/>
  <c r="R125" i="7"/>
  <c r="S67" i="7"/>
  <c r="R67" i="7"/>
  <c r="R69" i="7"/>
  <c r="S106" i="7"/>
  <c r="S151" i="7"/>
  <c r="R82" i="7"/>
  <c r="R84" i="7"/>
  <c r="R205" i="7"/>
  <c r="S143" i="7"/>
  <c r="R129" i="7"/>
  <c r="S99" i="7"/>
  <c r="S160" i="7"/>
  <c r="R192" i="7"/>
  <c r="S109" i="7"/>
  <c r="R201" i="7"/>
  <c r="S94" i="7"/>
  <c r="S102" i="7"/>
  <c r="R158" i="7"/>
  <c r="S103" i="7"/>
  <c r="R143" i="7"/>
  <c r="S81" i="7"/>
  <c r="R148" i="7"/>
  <c r="R186" i="7"/>
  <c r="R85" i="7"/>
  <c r="R77" i="7"/>
  <c r="R114" i="7"/>
  <c r="R141" i="7"/>
  <c r="R75" i="7"/>
  <c r="R100" i="7"/>
  <c r="R181" i="7"/>
  <c r="R113" i="7"/>
  <c r="R188" i="7"/>
  <c r="R152" i="7"/>
  <c r="R102" i="7"/>
  <c r="S152" i="7"/>
  <c r="S183" i="7"/>
  <c r="R198" i="7"/>
  <c r="S120" i="7"/>
  <c r="S149" i="7"/>
  <c r="R169" i="7"/>
  <c r="R153" i="7"/>
  <c r="S110" i="7"/>
  <c r="R72" i="7"/>
  <c r="S104" i="7"/>
  <c r="R159" i="7"/>
  <c r="S118" i="7"/>
  <c r="S112" i="7"/>
  <c r="R144" i="7"/>
  <c r="R161" i="7"/>
  <c r="R110" i="7"/>
  <c r="R140" i="7"/>
  <c r="R103" i="7"/>
  <c r="R105" i="7"/>
  <c r="R73" i="7"/>
  <c r="R200" i="7"/>
  <c r="R118" i="7"/>
  <c r="S88" i="7"/>
  <c r="R98" i="7"/>
  <c r="S179" i="7"/>
  <c r="S73" i="7"/>
  <c r="S188" i="7"/>
  <c r="S196" i="7"/>
  <c r="S145" i="7"/>
  <c r="S138" i="7"/>
  <c r="S135" i="7"/>
  <c r="R179" i="7"/>
  <c r="R193" i="7"/>
  <c r="R187" i="7"/>
  <c r="S117" i="7"/>
  <c r="R184" i="7"/>
  <c r="R96" i="7"/>
  <c r="S101" i="7"/>
  <c r="R121" i="7"/>
  <c r="S206" i="7"/>
  <c r="R166" i="7"/>
  <c r="R150" i="7"/>
  <c r="S85" i="7"/>
  <c r="R111" i="7"/>
  <c r="S64" i="7"/>
  <c r="S69" i="7"/>
  <c r="R136" i="7"/>
  <c r="S197" i="7"/>
  <c r="R149" i="7"/>
  <c r="R163" i="7"/>
  <c r="R138" i="7"/>
  <c r="R196" i="7"/>
  <c r="S115" i="7"/>
  <c r="S156" i="7"/>
  <c r="S201" i="7"/>
  <c r="S185" i="7"/>
  <c r="S97" i="7"/>
  <c r="S146" i="7"/>
  <c r="S76" i="7"/>
  <c r="S131" i="7"/>
  <c r="S140" i="7"/>
  <c r="S148" i="7"/>
  <c r="R180" i="7"/>
  <c r="R189" i="7"/>
  <c r="S82" i="7"/>
  <c r="S90" i="7"/>
  <c r="R146" i="7"/>
  <c r="R208" i="7"/>
  <c r="R131" i="7"/>
  <c r="R139" i="7"/>
  <c r="R63" i="7"/>
  <c r="R132" i="7"/>
  <c r="S89" i="7"/>
  <c r="R109" i="7"/>
  <c r="R164" i="7"/>
  <c r="S78" i="7"/>
  <c r="R134" i="7"/>
  <c r="S91" i="7"/>
  <c r="S139" i="7"/>
  <c r="S181" i="7"/>
  <c r="S166" i="7"/>
  <c r="R151" i="7"/>
  <c r="S171" i="7"/>
  <c r="S209" i="7"/>
  <c r="S108" i="7"/>
  <c r="R130" i="7"/>
  <c r="S100" i="7"/>
  <c r="S137" i="7"/>
  <c r="R157" i="7"/>
  <c r="S164" i="7"/>
  <c r="S98" i="7"/>
  <c r="R202" i="7"/>
  <c r="S83" i="7"/>
  <c r="S92" i="7"/>
  <c r="R147" i="7"/>
  <c r="S199" i="7"/>
  <c r="S105" i="7"/>
  <c r="R172" i="7"/>
  <c r="S107" i="7"/>
  <c r="R177" i="7"/>
  <c r="S70" i="7"/>
  <c r="R185" i="7"/>
  <c r="R190" i="7"/>
  <c r="S71" i="7"/>
  <c r="R68" i="7"/>
  <c r="R91" i="7"/>
  <c r="R142" i="7"/>
  <c r="R88" i="7"/>
  <c r="R176" i="7"/>
  <c r="S192" i="7"/>
  <c r="S176" i="7"/>
  <c r="R70" i="7"/>
  <c r="S95" i="7"/>
  <c r="S182" i="7"/>
  <c r="R92" i="7"/>
  <c r="S167" i="7"/>
  <c r="S184" i="7"/>
  <c r="R175" i="7"/>
  <c r="S133" i="7"/>
  <c r="S126" i="7"/>
  <c r="R182" i="7"/>
  <c r="R154" i="7"/>
  <c r="S123" i="7"/>
  <c r="R167" i="7"/>
  <c r="S204" i="7"/>
  <c r="S136" i="7"/>
  <c r="R168" i="7"/>
  <c r="R206" i="7"/>
  <c r="S125" i="7"/>
  <c r="R145" i="7"/>
  <c r="S114" i="7"/>
  <c r="R170" i="7"/>
  <c r="S165" i="7"/>
  <c r="O136" i="7"/>
  <c r="P95" i="7"/>
  <c r="O199" i="7"/>
  <c r="P138" i="7"/>
  <c r="O134" i="7"/>
  <c r="O115" i="7"/>
  <c r="O150" i="7"/>
  <c r="P136" i="7"/>
  <c r="P204" i="7"/>
  <c r="P176" i="7"/>
  <c r="P134" i="7"/>
  <c r="O154" i="7"/>
  <c r="P112" i="7"/>
  <c r="P180" i="7"/>
  <c r="O149" i="7"/>
  <c r="O143" i="7"/>
  <c r="O89" i="7"/>
  <c r="O157" i="7"/>
  <c r="O80" i="7"/>
  <c r="P96" i="7"/>
  <c r="P91" i="7"/>
  <c r="O87" i="7"/>
  <c r="P70" i="7"/>
  <c r="O73" i="7"/>
  <c r="O186" i="7"/>
  <c r="O183" i="7"/>
  <c r="O177" i="7"/>
  <c r="P131" i="7"/>
  <c r="P195" i="7"/>
  <c r="O108" i="7"/>
  <c r="P181" i="7"/>
  <c r="P160" i="7"/>
  <c r="O72" i="7"/>
  <c r="P128" i="7"/>
  <c r="P158" i="7"/>
  <c r="O207" i="7"/>
  <c r="O135" i="7"/>
  <c r="P201" i="7"/>
  <c r="O113" i="7"/>
  <c r="O181" i="7"/>
  <c r="P114" i="7"/>
  <c r="O111" i="7"/>
  <c r="P94" i="7"/>
  <c r="P196" i="7"/>
  <c r="P194" i="7"/>
  <c r="P125" i="7"/>
  <c r="O200" i="7"/>
  <c r="O171" i="7"/>
  <c r="O189" i="7"/>
  <c r="O201" i="7"/>
  <c r="P154" i="7"/>
  <c r="P73" i="7"/>
  <c r="P117" i="7"/>
  <c r="P135" i="7"/>
  <c r="O194" i="7"/>
  <c r="O94" i="7"/>
  <c r="P121" i="7"/>
  <c r="O160" i="7"/>
  <c r="O96" i="7"/>
  <c r="P179" i="7"/>
  <c r="P162" i="7"/>
  <c r="O158" i="7"/>
  <c r="P81" i="7"/>
  <c r="O137" i="7"/>
  <c r="O156" i="7"/>
  <c r="O139" i="7"/>
  <c r="O116" i="7"/>
  <c r="P141" i="7"/>
  <c r="O178" i="7"/>
  <c r="O114" i="7"/>
  <c r="P74" i="7"/>
  <c r="O167" i="7"/>
  <c r="O173" i="7"/>
  <c r="P120" i="7"/>
  <c r="P127" i="7"/>
  <c r="O97" i="7"/>
  <c r="P200" i="7"/>
  <c r="P101" i="7"/>
  <c r="P75" i="7"/>
  <c r="P155" i="7"/>
  <c r="O132" i="7"/>
  <c r="O153" i="7"/>
  <c r="O196" i="7"/>
  <c r="O78" i="7"/>
  <c r="O165" i="7"/>
  <c r="O100" i="7"/>
  <c r="O182" i="7"/>
  <c r="O82" i="7"/>
  <c r="O98" i="7"/>
  <c r="P113" i="7"/>
  <c r="O188" i="7"/>
  <c r="O152" i="7"/>
  <c r="O202" i="7"/>
  <c r="O118" i="7"/>
  <c r="P76" i="7"/>
  <c r="P175" i="7"/>
  <c r="O107" i="7"/>
  <c r="O198" i="7"/>
  <c r="P137" i="7"/>
  <c r="O90" i="7"/>
  <c r="P97" i="7"/>
  <c r="O74" i="7"/>
  <c r="P178" i="7"/>
  <c r="O195" i="7"/>
  <c r="P129" i="7"/>
  <c r="P78" i="7"/>
  <c r="P159" i="7"/>
  <c r="P145" i="7"/>
  <c r="O138" i="7"/>
  <c r="P203" i="7"/>
  <c r="P186" i="7"/>
  <c r="P152" i="7"/>
  <c r="O71" i="7"/>
  <c r="O180" i="7"/>
  <c r="O163" i="7"/>
  <c r="P165" i="7"/>
  <c r="O191" i="7"/>
  <c r="P98" i="7"/>
  <c r="P164" i="7"/>
  <c r="O197" i="7"/>
  <c r="P144" i="7"/>
  <c r="P99" i="7"/>
  <c r="P92" i="7"/>
  <c r="O121" i="7"/>
  <c r="O76" i="7"/>
  <c r="O102" i="7"/>
  <c r="P149" i="7"/>
  <c r="P118" i="7"/>
  <c r="O124" i="7"/>
  <c r="P83" i="7"/>
  <c r="P210" i="7"/>
  <c r="O106" i="7"/>
  <c r="P126" i="7"/>
  <c r="O122" i="7"/>
  <c r="O103" i="7"/>
  <c r="O66" i="7"/>
  <c r="O142" i="7"/>
  <c r="P100" i="7"/>
  <c r="O131" i="7"/>
  <c r="O77" i="7"/>
  <c r="P168" i="7"/>
  <c r="P84" i="7"/>
  <c r="P79" i="7"/>
  <c r="O75" i="7"/>
  <c r="O126" i="7"/>
  <c r="O205" i="7"/>
  <c r="P202" i="7"/>
  <c r="P102" i="7"/>
  <c r="O79" i="7"/>
  <c r="P139" i="7"/>
  <c r="P183" i="7"/>
  <c r="P119" i="7"/>
  <c r="P169" i="7"/>
  <c r="O128" i="7"/>
  <c r="O187" i="7"/>
  <c r="O95" i="7"/>
  <c r="O204" i="7"/>
  <c r="P146" i="7"/>
  <c r="P187" i="7"/>
  <c r="P189" i="7"/>
  <c r="P124" i="7"/>
  <c r="P192" i="7"/>
  <c r="P122" i="7"/>
  <c r="P184" i="7"/>
  <c r="O99" i="7"/>
  <c r="P82" i="7"/>
  <c r="P182" i="7"/>
  <c r="P77" i="7"/>
  <c r="O145" i="7"/>
  <c r="O159" i="7"/>
  <c r="O69" i="7"/>
  <c r="O104" i="7"/>
  <c r="O93" i="7"/>
  <c r="P142" i="7"/>
  <c r="P123" i="7"/>
  <c r="P205" i="7"/>
  <c r="P105" i="7"/>
  <c r="O148" i="7"/>
  <c r="P107" i="7"/>
  <c r="O81" i="7"/>
  <c r="P150" i="7"/>
  <c r="O146" i="7"/>
  <c r="P148" i="7"/>
  <c r="O127" i="7"/>
  <c r="O92" i="7"/>
  <c r="P69" i="7"/>
  <c r="O125" i="7"/>
  <c r="P72" i="7"/>
  <c r="O129" i="7"/>
  <c r="O123" i="7"/>
  <c r="O166" i="7"/>
  <c r="O101" i="7"/>
  <c r="O169" i="7"/>
  <c r="P62" i="7"/>
  <c r="O155" i="7"/>
  <c r="P197" i="7"/>
  <c r="O161" i="7"/>
  <c r="P108" i="7"/>
  <c r="P115" i="7"/>
  <c r="O164" i="7"/>
  <c r="O85" i="7"/>
  <c r="P104" i="7"/>
  <c r="P63" i="7"/>
  <c r="P143" i="7"/>
  <c r="P188" i="7"/>
  <c r="P207" i="7"/>
  <c r="O120" i="7"/>
  <c r="O184" i="7"/>
  <c r="P161" i="7"/>
  <c r="P193" i="7"/>
  <c r="P93" i="7"/>
  <c r="O84" i="7"/>
  <c r="P170" i="7"/>
  <c r="O208" i="7"/>
  <c r="O147" i="7"/>
  <c r="O68" i="7"/>
  <c r="O174" i="7"/>
  <c r="P64" i="7"/>
  <c r="P208" i="7"/>
  <c r="P151" i="7"/>
  <c r="P106" i="7"/>
  <c r="P206" i="7"/>
  <c r="O176" i="7"/>
  <c r="P85" i="7"/>
  <c r="O88" i="7"/>
  <c r="P166" i="7"/>
  <c r="O62" i="7"/>
  <c r="O206" i="7"/>
  <c r="P147" i="7"/>
  <c r="P66" i="7"/>
  <c r="P133" i="7"/>
  <c r="O172" i="7"/>
  <c r="P89" i="7"/>
  <c r="P172" i="7"/>
  <c r="P191" i="7"/>
  <c r="P174" i="7"/>
  <c r="O170" i="7"/>
  <c r="O70" i="7"/>
  <c r="P163" i="7"/>
  <c r="O168" i="7"/>
  <c r="O151" i="7"/>
  <c r="P153" i="7"/>
  <c r="P199" i="7"/>
  <c r="P116" i="7"/>
  <c r="O190" i="7"/>
  <c r="O193" i="7"/>
  <c r="P86" i="7"/>
  <c r="O179" i="7"/>
  <c r="P68" i="7"/>
  <c r="O185" i="7"/>
  <c r="P132" i="7"/>
  <c r="O141" i="7"/>
  <c r="O109" i="7"/>
  <c r="P87" i="7"/>
  <c r="P173" i="7"/>
  <c r="O64" i="7"/>
  <c r="P65" i="7"/>
  <c r="P167" i="7"/>
  <c r="O144" i="7"/>
  <c r="O112" i="7"/>
  <c r="P71" i="7"/>
  <c r="O105" i="7"/>
  <c r="O83" i="7"/>
  <c r="O110" i="7"/>
  <c r="P80" i="7"/>
  <c r="P185" i="7"/>
  <c r="O203" i="7"/>
  <c r="O130" i="7"/>
  <c r="P88" i="7"/>
  <c r="O119" i="7"/>
  <c r="O65" i="7"/>
  <c r="P67" i="7"/>
  <c r="O63" i="7"/>
  <c r="O140" i="7"/>
  <c r="P209" i="7"/>
  <c r="P109" i="7"/>
  <c r="P190" i="7"/>
  <c r="P90" i="7"/>
  <c r="O86" i="7"/>
  <c r="O67" i="7"/>
  <c r="P171" i="7"/>
  <c r="P103" i="7"/>
  <c r="P157" i="7"/>
  <c r="O210" i="7"/>
  <c r="P198" i="7"/>
  <c r="O192" i="7"/>
  <c r="O175" i="7"/>
  <c r="P177" i="7"/>
  <c r="P110" i="7"/>
  <c r="O117" i="7"/>
  <c r="O209" i="7"/>
  <c r="O133" i="7"/>
  <c r="P156" i="7"/>
  <c r="O91" i="7"/>
  <c r="O162" i="7"/>
  <c r="P111" i="7"/>
  <c r="P140" i="7"/>
  <c r="P130" i="7"/>
  <c r="W901" i="14"/>
  <c r="E1014" i="14"/>
  <c r="AY848" i="14"/>
  <c r="BA848" i="14"/>
  <c r="G848" i="14"/>
  <c r="BG848" i="14" s="1"/>
  <c r="BA1014" i="14"/>
  <c r="T1014" i="14"/>
  <c r="W1014" i="14"/>
  <c r="U1014" i="14"/>
  <c r="J1014" i="14"/>
  <c r="BL1014" i="14"/>
  <c r="BB1014" i="14"/>
  <c r="W848" i="14"/>
  <c r="AZ848" i="14"/>
  <c r="BB848" i="14"/>
  <c r="I901" i="14"/>
  <c r="I1014" i="14"/>
  <c r="AY835" i="14"/>
  <c r="G1014" i="14"/>
  <c r="AZ1014" i="14"/>
  <c r="Q1014" i="14"/>
  <c r="BB835" i="14"/>
  <c r="Q835" i="14"/>
  <c r="T835" i="14"/>
  <c r="W835" i="14"/>
  <c r="J835" i="14"/>
  <c r="R835" i="14"/>
  <c r="BM835" i="14"/>
  <c r="I835" i="14"/>
  <c r="BL835" i="14"/>
  <c r="U835" i="14"/>
  <c r="G901" i="14"/>
  <c r="BG901" i="14" s="1"/>
  <c r="BM1014" i="14"/>
  <c r="AY1014" i="14"/>
  <c r="G835" i="14"/>
  <c r="T908" i="14"/>
  <c r="E835" i="14"/>
  <c r="Q848" i="14"/>
  <c r="J848" i="14"/>
  <c r="I848" i="14"/>
  <c r="T848" i="14"/>
  <c r="E848" i="14"/>
  <c r="R848" i="14"/>
  <c r="BM848" i="14"/>
  <c r="U848" i="14"/>
  <c r="BA835" i="14"/>
  <c r="BM901" i="14"/>
  <c r="BM917" i="14"/>
  <c r="G908" i="14"/>
  <c r="BG908" i="14" s="1"/>
  <c r="R908" i="14"/>
  <c r="Q901" i="14"/>
  <c r="J917" i="14"/>
  <c r="AY917" i="14"/>
  <c r="G917" i="14"/>
  <c r="BG917" i="14" s="1"/>
  <c r="E917" i="14"/>
  <c r="BA917" i="14"/>
  <c r="W917" i="14"/>
  <c r="U901" i="14"/>
  <c r="BB901" i="14"/>
  <c r="BL901" i="14"/>
  <c r="J901" i="14"/>
  <c r="T822" i="14"/>
  <c r="BB876" i="14"/>
  <c r="BA876" i="14"/>
  <c r="U908" i="14"/>
  <c r="BL908" i="14"/>
  <c r="Q908" i="14"/>
  <c r="BA908" i="14"/>
  <c r="R917" i="14"/>
  <c r="T917" i="14"/>
  <c r="AZ917" i="14"/>
  <c r="U917" i="14"/>
  <c r="Q917" i="14"/>
  <c r="BB917" i="14"/>
  <c r="E876" i="14"/>
  <c r="AZ915" i="14"/>
  <c r="AY915" i="14"/>
  <c r="E915" i="14"/>
  <c r="R915" i="14"/>
  <c r="T915" i="14"/>
  <c r="BM915" i="14"/>
  <c r="Q915" i="14"/>
  <c r="J915" i="14"/>
  <c r="G915" i="14"/>
  <c r="BG915" i="14" s="1"/>
  <c r="U915" i="14"/>
  <c r="BB915" i="14"/>
  <c r="W915" i="14"/>
  <c r="BL915" i="14"/>
  <c r="BA915" i="14"/>
  <c r="J876" i="14"/>
  <c r="BA901" i="14"/>
  <c r="T876" i="14"/>
  <c r="AZ901" i="14"/>
  <c r="T901" i="14"/>
  <c r="E908" i="14"/>
  <c r="AY901" i="14"/>
  <c r="BL840" i="14"/>
  <c r="BL876" i="14"/>
  <c r="R876" i="14"/>
  <c r="BM908" i="14"/>
  <c r="E901" i="14"/>
  <c r="BM876" i="14"/>
  <c r="AZ908" i="14"/>
  <c r="AY908" i="14"/>
  <c r="I908" i="14"/>
  <c r="W908" i="14"/>
  <c r="I876" i="14"/>
  <c r="I917" i="14"/>
  <c r="Q876" i="14"/>
  <c r="BL989" i="14"/>
  <c r="E989" i="14"/>
  <c r="BA989" i="14"/>
  <c r="BB840" i="14"/>
  <c r="T840" i="14"/>
  <c r="R840" i="14"/>
  <c r="AZ876" i="14"/>
  <c r="T989" i="14"/>
  <c r="BH989" i="14" s="1"/>
  <c r="AY876" i="14"/>
  <c r="BB908" i="14"/>
  <c r="W876" i="14"/>
  <c r="AF876" i="14" s="1"/>
  <c r="U876" i="14"/>
  <c r="AZ869" i="14"/>
  <c r="Q869" i="14"/>
  <c r="E869" i="14"/>
  <c r="U869" i="14"/>
  <c r="BL869" i="14"/>
  <c r="I869" i="14"/>
  <c r="BM869" i="14"/>
  <c r="G840" i="14"/>
  <c r="T869" i="14"/>
  <c r="G869" i="14"/>
  <c r="BG869" i="14" s="1"/>
  <c r="BB961" i="14"/>
  <c r="BL961" i="14"/>
  <c r="U961" i="14"/>
  <c r="BM961" i="14"/>
  <c r="I961" i="14"/>
  <c r="AY961" i="14"/>
  <c r="Q961" i="14"/>
  <c r="G961" i="14"/>
  <c r="BG961" i="14" s="1"/>
  <c r="J961" i="14"/>
  <c r="BA961" i="14"/>
  <c r="W961" i="14"/>
  <c r="R961" i="14"/>
  <c r="T961" i="14"/>
  <c r="R869" i="14"/>
  <c r="E961" i="14"/>
  <c r="U840" i="14"/>
  <c r="I840" i="14"/>
  <c r="BA840" i="14"/>
  <c r="AY869" i="14"/>
  <c r="J840" i="14"/>
  <c r="W840" i="14"/>
  <c r="Q840" i="14"/>
  <c r="AZ840" i="14"/>
  <c r="W869" i="14"/>
  <c r="J869" i="14"/>
  <c r="BA869" i="14"/>
  <c r="BM840" i="14"/>
  <c r="AY840" i="14"/>
  <c r="BB911" i="14"/>
  <c r="R911" i="14"/>
  <c r="U976" i="14"/>
  <c r="BL976" i="14"/>
  <c r="AY976" i="14"/>
  <c r="I911" i="14"/>
  <c r="E911" i="14"/>
  <c r="G911" i="14"/>
  <c r="BG911" i="14" s="1"/>
  <c r="E976" i="14"/>
  <c r="I976" i="14"/>
  <c r="AZ913" i="14"/>
  <c r="BM913" i="14"/>
  <c r="AY913" i="14"/>
  <c r="G913" i="14"/>
  <c r="BG913" i="14" s="1"/>
  <c r="W913" i="14"/>
  <c r="BA913" i="14"/>
  <c r="Q913" i="14"/>
  <c r="T913" i="14"/>
  <c r="E913" i="14"/>
  <c r="I913" i="14"/>
  <c r="J913" i="14"/>
  <c r="AY911" i="14"/>
  <c r="AZ911" i="14"/>
  <c r="T976" i="14"/>
  <c r="BM976" i="14"/>
  <c r="BA911" i="14"/>
  <c r="W911" i="14"/>
  <c r="U911" i="14"/>
  <c r="R913" i="14"/>
  <c r="BL911" i="14"/>
  <c r="U913" i="14"/>
  <c r="BM911" i="14"/>
  <c r="T911" i="14"/>
  <c r="BL913" i="14"/>
  <c r="Q976" i="14"/>
  <c r="Q911" i="14"/>
  <c r="AZ976" i="14"/>
  <c r="R976" i="14"/>
  <c r="I989" i="14"/>
  <c r="AY989" i="14"/>
  <c r="J989" i="14"/>
  <c r="AZ989" i="14"/>
  <c r="U989" i="14"/>
  <c r="BB989" i="14"/>
  <c r="BM989" i="14"/>
  <c r="Q989" i="14"/>
  <c r="G989" i="14"/>
  <c r="BG989" i="14" s="1"/>
  <c r="R989" i="14"/>
  <c r="BB976" i="14"/>
  <c r="J976" i="14"/>
  <c r="G976" i="14"/>
  <c r="W976" i="14"/>
  <c r="J888" i="14"/>
  <c r="I940" i="14"/>
  <c r="AZ940" i="14"/>
  <c r="AY940" i="14"/>
  <c r="W940" i="14"/>
  <c r="T940" i="14"/>
  <c r="AZ888" i="14"/>
  <c r="G888" i="14"/>
  <c r="BG888" i="14" s="1"/>
  <c r="U888" i="14"/>
  <c r="W888" i="14"/>
  <c r="Q992" i="14"/>
  <c r="R888" i="14"/>
  <c r="AY966" i="14"/>
  <c r="BL940" i="14"/>
  <c r="G940" i="14"/>
  <c r="BG940" i="14" s="1"/>
  <c r="BA940" i="14"/>
  <c r="U940" i="14"/>
  <c r="Q940" i="14"/>
  <c r="E940" i="14"/>
  <c r="J940" i="14"/>
  <c r="Q888" i="14"/>
  <c r="BL888" i="14"/>
  <c r="AY888" i="14"/>
  <c r="BA888" i="14"/>
  <c r="BL992" i="14"/>
  <c r="BA916" i="14"/>
  <c r="Q916" i="14"/>
  <c r="U916" i="14"/>
  <c r="W916" i="14"/>
  <c r="AY916" i="14"/>
  <c r="E916" i="14"/>
  <c r="G916" i="14"/>
  <c r="BG916" i="14" s="1"/>
  <c r="T916" i="14"/>
  <c r="BL916" i="14"/>
  <c r="BM916" i="14"/>
  <c r="R916" i="14"/>
  <c r="BB916" i="14"/>
  <c r="AZ916" i="14"/>
  <c r="I916" i="14"/>
  <c r="R946" i="14"/>
  <c r="AY946" i="14"/>
  <c r="J966" i="14"/>
  <c r="I888" i="14"/>
  <c r="T888" i="14"/>
  <c r="BL966" i="14"/>
  <c r="BM888" i="14"/>
  <c r="U966" i="14"/>
  <c r="W966" i="14"/>
  <c r="BB888" i="14"/>
  <c r="T966" i="14"/>
  <c r="R992" i="14"/>
  <c r="AY992" i="14"/>
  <c r="I992" i="14"/>
  <c r="BA992" i="14"/>
  <c r="G992" i="14"/>
  <c r="BG992" i="14" s="1"/>
  <c r="R940" i="14"/>
  <c r="Q966" i="14"/>
  <c r="BB843" i="14"/>
  <c r="BM940" i="14"/>
  <c r="BB966" i="14"/>
  <c r="R966" i="14"/>
  <c r="BM966" i="14"/>
  <c r="AZ966" i="14"/>
  <c r="R843" i="14"/>
  <c r="BA966" i="14"/>
  <c r="BL843" i="14"/>
  <c r="G966" i="14"/>
  <c r="J992" i="14"/>
  <c r="W992" i="14"/>
  <c r="U992" i="14"/>
  <c r="T992" i="14"/>
  <c r="AZ992" i="14"/>
  <c r="BB992" i="14"/>
  <c r="BM992" i="14"/>
  <c r="E977" i="14"/>
  <c r="AZ977" i="14"/>
  <c r="AY977" i="14"/>
  <c r="W977" i="14"/>
  <c r="BL977" i="14"/>
  <c r="I977" i="14"/>
  <c r="E966" i="14"/>
  <c r="BM843" i="14"/>
  <c r="Q843" i="14"/>
  <c r="R977" i="14"/>
  <c r="I843" i="14"/>
  <c r="AY843" i="14"/>
  <c r="G977" i="14"/>
  <c r="BG977" i="14" s="1"/>
  <c r="J977" i="14"/>
  <c r="BA977" i="14"/>
  <c r="J843" i="14"/>
  <c r="G843" i="14"/>
  <c r="BG843" i="14" s="1"/>
  <c r="W843" i="14"/>
  <c r="U977" i="14"/>
  <c r="T977" i="14"/>
  <c r="AZ843" i="14"/>
  <c r="BA843" i="14"/>
  <c r="BM977" i="14"/>
  <c r="U843" i="14"/>
  <c r="T843" i="14"/>
  <c r="BB977" i="14"/>
  <c r="BM924" i="14"/>
  <c r="E924" i="14"/>
  <c r="BL924" i="14"/>
  <c r="AY924" i="14"/>
  <c r="BB924" i="14"/>
  <c r="I829" i="14"/>
  <c r="T950" i="14"/>
  <c r="T885" i="14"/>
  <c r="BH885" i="14" s="1"/>
  <c r="R924" i="14"/>
  <c r="Q924" i="14"/>
  <c r="G924" i="14"/>
  <c r="BA892" i="14"/>
  <c r="BA924" i="14"/>
  <c r="T924" i="14"/>
  <c r="I924" i="14"/>
  <c r="J950" i="14"/>
  <c r="W892" i="14"/>
  <c r="G892" i="14"/>
  <c r="BG892" i="14" s="1"/>
  <c r="T892" i="14"/>
  <c r="R892" i="14"/>
  <c r="E892" i="14"/>
  <c r="Q892" i="14"/>
  <c r="BM892" i="14"/>
  <c r="I892" i="14"/>
  <c r="E950" i="14"/>
  <c r="BL885" i="14"/>
  <c r="BB914" i="14"/>
  <c r="BB892" i="14"/>
  <c r="U885" i="14"/>
  <c r="AZ924" i="14"/>
  <c r="W924" i="14"/>
  <c r="J914" i="14"/>
  <c r="Q885" i="14"/>
  <c r="BL892" i="14"/>
  <c r="AY885" i="14"/>
  <c r="U924" i="14"/>
  <c r="AZ914" i="14"/>
  <c r="U892" i="14"/>
  <c r="J892" i="14"/>
  <c r="AY892" i="14"/>
  <c r="BB885" i="14"/>
  <c r="AZ885" i="14"/>
  <c r="Q914" i="14"/>
  <c r="I950" i="14"/>
  <c r="J885" i="14"/>
  <c r="G914" i="14"/>
  <c r="BG914" i="14" s="1"/>
  <c r="R885" i="14"/>
  <c r="W914" i="14"/>
  <c r="I885" i="14"/>
  <c r="I914" i="14"/>
  <c r="BA885" i="14"/>
  <c r="T914" i="14"/>
  <c r="BM885" i="14"/>
  <c r="G885" i="14"/>
  <c r="AF885" i="14" s="1"/>
  <c r="BA914" i="14"/>
  <c r="E885" i="14"/>
  <c r="W829" i="14"/>
  <c r="Q849" i="14"/>
  <c r="BA849" i="14"/>
  <c r="BB950" i="14"/>
  <c r="AZ950" i="14"/>
  <c r="U932" i="14"/>
  <c r="BM932" i="14"/>
  <c r="J864" i="14"/>
  <c r="U914" i="14"/>
  <c r="U950" i="14"/>
  <c r="E932" i="14"/>
  <c r="BB864" i="14"/>
  <c r="E914" i="14"/>
  <c r="AY950" i="14"/>
  <c r="R932" i="14"/>
  <c r="R950" i="14"/>
  <c r="U849" i="14"/>
  <c r="AZ849" i="14"/>
  <c r="BL864" i="14"/>
  <c r="BM914" i="14"/>
  <c r="Q950" i="14"/>
  <c r="G932" i="14"/>
  <c r="BG932" i="14" s="1"/>
  <c r="BA864" i="14"/>
  <c r="BL914" i="14"/>
  <c r="G950" i="14"/>
  <c r="BG950" i="14" s="1"/>
  <c r="T932" i="14"/>
  <c r="W849" i="14"/>
  <c r="J849" i="14"/>
  <c r="G864" i="14"/>
  <c r="BG864" i="14" s="1"/>
  <c r="R914" i="14"/>
  <c r="BM950" i="14"/>
  <c r="W950" i="14"/>
  <c r="E864" i="14"/>
  <c r="BL849" i="14"/>
  <c r="E849" i="14"/>
  <c r="T864" i="14"/>
  <c r="BL950" i="14"/>
  <c r="I864" i="14"/>
  <c r="AZ864" i="14"/>
  <c r="W864" i="14"/>
  <c r="Q864" i="14"/>
  <c r="AY864" i="14"/>
  <c r="R864" i="14"/>
  <c r="U864" i="14"/>
  <c r="AY1016" i="14"/>
  <c r="W1016" i="14"/>
  <c r="G849" i="14"/>
  <c r="BG849" i="14" s="1"/>
  <c r="Q1016" i="14"/>
  <c r="I932" i="14"/>
  <c r="BB849" i="14"/>
  <c r="T849" i="14"/>
  <c r="BM849" i="14"/>
  <c r="AZ932" i="14"/>
  <c r="I849" i="14"/>
  <c r="Q932" i="14"/>
  <c r="R849" i="14"/>
  <c r="BL932" i="14"/>
  <c r="AY932" i="14"/>
  <c r="I946" i="14"/>
  <c r="BA946" i="14"/>
  <c r="G946" i="14"/>
  <c r="T946" i="14"/>
  <c r="AZ1016" i="14"/>
  <c r="BL1016" i="14"/>
  <c r="BB1016" i="14"/>
  <c r="BA1016" i="14"/>
  <c r="J932" i="14"/>
  <c r="E1016" i="14"/>
  <c r="G1016" i="14"/>
  <c r="BG1016" i="14" s="1"/>
  <c r="R1016" i="14"/>
  <c r="T1016" i="14"/>
  <c r="BB844" i="14"/>
  <c r="R844" i="14"/>
  <c r="U1016" i="14"/>
  <c r="BM1016" i="14"/>
  <c r="W932" i="14"/>
  <c r="BM844" i="14"/>
  <c r="J1016" i="14"/>
  <c r="BB932" i="14"/>
  <c r="W994" i="14"/>
  <c r="AF994" i="14" s="1"/>
  <c r="BL990" i="14"/>
  <c r="Q994" i="14"/>
  <c r="R994" i="14"/>
  <c r="U994" i="14"/>
  <c r="BM994" i="14"/>
  <c r="BB946" i="14"/>
  <c r="BB994" i="14"/>
  <c r="E946" i="14"/>
  <c r="BM875" i="14"/>
  <c r="AZ875" i="14"/>
  <c r="AZ844" i="14"/>
  <c r="AY990" i="14"/>
  <c r="E844" i="14"/>
  <c r="BM946" i="14"/>
  <c r="W946" i="14"/>
  <c r="U844" i="14"/>
  <c r="BA844" i="14"/>
  <c r="BL946" i="14"/>
  <c r="W844" i="14"/>
  <c r="BH844" i="14" s="1"/>
  <c r="BL844" i="14"/>
  <c r="J946" i="14"/>
  <c r="AY875" i="14"/>
  <c r="U946" i="14"/>
  <c r="G844" i="14"/>
  <c r="I844" i="14"/>
  <c r="Q946" i="14"/>
  <c r="AY844" i="14"/>
  <c r="Q844" i="14"/>
  <c r="J875" i="14"/>
  <c r="J844" i="14"/>
  <c r="BB990" i="14"/>
  <c r="J990" i="14"/>
  <c r="G990" i="14"/>
  <c r="BG990" i="14" s="1"/>
  <c r="BM990" i="14"/>
  <c r="U990" i="14"/>
  <c r="J984" i="14"/>
  <c r="R984" i="14"/>
  <c r="E990" i="14"/>
  <c r="AY984" i="14"/>
  <c r="AZ984" i="14"/>
  <c r="I990" i="14"/>
  <c r="BA984" i="14"/>
  <c r="W990" i="14"/>
  <c r="BH990" i="14" s="1"/>
  <c r="Q990" i="14"/>
  <c r="AZ990" i="14"/>
  <c r="BA990" i="14"/>
  <c r="R990" i="14"/>
  <c r="R838" i="14"/>
  <c r="BA838" i="14"/>
  <c r="BA981" i="14"/>
  <c r="R962" i="14"/>
  <c r="AZ962" i="14"/>
  <c r="E962" i="14"/>
  <c r="AY981" i="14"/>
  <c r="BB984" i="14"/>
  <c r="T984" i="14"/>
  <c r="BB875" i="14"/>
  <c r="BL994" i="14"/>
  <c r="T994" i="14"/>
  <c r="Q981" i="14"/>
  <c r="BM984" i="14"/>
  <c r="R875" i="14"/>
  <c r="AZ994" i="14"/>
  <c r="BA962" i="14"/>
  <c r="G875" i="14"/>
  <c r="BG875" i="14" s="1"/>
  <c r="AY994" i="14"/>
  <c r="I984" i="14"/>
  <c r="BL984" i="14"/>
  <c r="U875" i="14"/>
  <c r="W875" i="14"/>
  <c r="E994" i="14"/>
  <c r="G981" i="14"/>
  <c r="BG981" i="14" s="1"/>
  <c r="U984" i="14"/>
  <c r="Q984" i="14"/>
  <c r="Q875" i="14"/>
  <c r="BA875" i="14"/>
  <c r="I994" i="14"/>
  <c r="W984" i="14"/>
  <c r="AF984" i="14" s="1"/>
  <c r="BL875" i="14"/>
  <c r="T875" i="14"/>
  <c r="BA994" i="14"/>
  <c r="I875" i="14"/>
  <c r="E984" i="14"/>
  <c r="J994" i="14"/>
  <c r="E981" i="14"/>
  <c r="W981" i="14"/>
  <c r="G829" i="14"/>
  <c r="BM838" i="14"/>
  <c r="BB872" i="14"/>
  <c r="R826" i="14"/>
  <c r="BL981" i="14"/>
  <c r="T981" i="14"/>
  <c r="U838" i="14"/>
  <c r="G838" i="14"/>
  <c r="AY826" i="14"/>
  <c r="Q838" i="14"/>
  <c r="AZ836" i="14"/>
  <c r="T829" i="14"/>
  <c r="I826" i="14"/>
  <c r="I981" i="14"/>
  <c r="BL838" i="14"/>
  <c r="T838" i="14"/>
  <c r="I836" i="14"/>
  <c r="W826" i="14"/>
  <c r="BM981" i="14"/>
  <c r="E838" i="14"/>
  <c r="BA836" i="14"/>
  <c r="J981" i="14"/>
  <c r="BM829" i="14"/>
  <c r="AZ838" i="14"/>
  <c r="W836" i="14"/>
  <c r="BB981" i="14"/>
  <c r="J838" i="14"/>
  <c r="R981" i="14"/>
  <c r="R829" i="14"/>
  <c r="I838" i="14"/>
  <c r="AZ981" i="14"/>
  <c r="Q829" i="14"/>
  <c r="BB838" i="14"/>
  <c r="W838" i="14"/>
  <c r="BB829" i="14"/>
  <c r="U962" i="14"/>
  <c r="AZ829" i="14"/>
  <c r="BA829" i="14"/>
  <c r="BL962" i="14"/>
  <c r="U829" i="14"/>
  <c r="AY962" i="14"/>
  <c r="E829" i="14"/>
  <c r="BM962" i="14"/>
  <c r="AY829" i="14"/>
  <c r="I965" i="14"/>
  <c r="G962" i="14"/>
  <c r="BL829" i="14"/>
  <c r="G923" i="14"/>
  <c r="J999" i="14"/>
  <c r="T962" i="14"/>
  <c r="T923" i="14"/>
  <c r="J962" i="14"/>
  <c r="W962" i="14"/>
  <c r="Q962" i="14"/>
  <c r="BB962" i="14"/>
  <c r="E999" i="14"/>
  <c r="BL999" i="14"/>
  <c r="BM999" i="14"/>
  <c r="AZ999" i="14"/>
  <c r="W923" i="14"/>
  <c r="BA925" i="14"/>
  <c r="T925" i="14"/>
  <c r="BA923" i="14"/>
  <c r="R923" i="14"/>
  <c r="J923" i="14"/>
  <c r="Q923" i="14"/>
  <c r="I947" i="14"/>
  <c r="I999" i="14"/>
  <c r="R978" i="14"/>
  <c r="BB865" i="14"/>
  <c r="BA999" i="14"/>
  <c r="BL978" i="14"/>
  <c r="T993" i="14"/>
  <c r="G1011" i="14"/>
  <c r="BG1011" i="14" s="1"/>
  <c r="R999" i="14"/>
  <c r="W999" i="14"/>
  <c r="U978" i="14"/>
  <c r="BB923" i="14"/>
  <c r="BB999" i="14"/>
  <c r="G999" i="14"/>
  <c r="BG999" i="14" s="1"/>
  <c r="J986" i="14"/>
  <c r="AZ923" i="14"/>
  <c r="AY999" i="14"/>
  <c r="Q999" i="14"/>
  <c r="T999" i="14"/>
  <c r="BL923" i="14"/>
  <c r="BA918" i="14"/>
  <c r="BM923" i="14"/>
  <c r="BM871" i="14"/>
  <c r="BM997" i="14"/>
  <c r="W925" i="14"/>
  <c r="BL991" i="14"/>
  <c r="BL972" i="14"/>
  <c r="BM948" i="14"/>
  <c r="Q986" i="14"/>
  <c r="E863" i="14"/>
  <c r="BA857" i="14"/>
  <c r="T972" i="14"/>
  <c r="BM925" i="14"/>
  <c r="AZ996" i="14"/>
  <c r="BM912" i="14"/>
  <c r="R925" i="14"/>
  <c r="BM996" i="14"/>
  <c r="U972" i="14"/>
  <c r="BB986" i="14"/>
  <c r="AY925" i="14"/>
  <c r="R948" i="14"/>
  <c r="BL936" i="14"/>
  <c r="Q925" i="14"/>
  <c r="E871" i="14"/>
  <c r="BB997" i="14"/>
  <c r="T948" i="14"/>
  <c r="BH948" i="14" s="1"/>
  <c r="W986" i="14"/>
  <c r="T996" i="14"/>
  <c r="BH996" i="14" s="1"/>
  <c r="R912" i="14"/>
  <c r="BL937" i="14"/>
  <c r="AY991" i="14"/>
  <c r="I991" i="14"/>
  <c r="BA936" i="14"/>
  <c r="R983" i="14"/>
  <c r="G936" i="14"/>
  <c r="J983" i="14"/>
  <c r="W936" i="14"/>
  <c r="BA983" i="14"/>
  <c r="Q997" i="14"/>
  <c r="AZ936" i="14"/>
  <c r="T986" i="14"/>
  <c r="AY1006" i="14"/>
  <c r="BL857" i="14"/>
  <c r="J978" i="14"/>
  <c r="BB938" i="14"/>
  <c r="T983" i="14"/>
  <c r="BH983" i="14" s="1"/>
  <c r="BL1006" i="14"/>
  <c r="R1006" i="14"/>
  <c r="BB857" i="14"/>
  <c r="AZ978" i="14"/>
  <c r="AY938" i="14"/>
  <c r="G993" i="14"/>
  <c r="BG993" i="14" s="1"/>
  <c r="BM938" i="14"/>
  <c r="AY895" i="14"/>
  <c r="G867" i="14"/>
  <c r="BG867" i="14" s="1"/>
  <c r="BM972" i="14"/>
  <c r="BL948" i="14"/>
  <c r="G857" i="14"/>
  <c r="BG857" i="14" s="1"/>
  <c r="G918" i="14"/>
  <c r="BG918" i="14" s="1"/>
  <c r="BL986" i="14"/>
  <c r="J996" i="14"/>
  <c r="W895" i="14"/>
  <c r="Q912" i="14"/>
  <c r="G895" i="14"/>
  <c r="BG895" i="14" s="1"/>
  <c r="I983" i="14"/>
  <c r="G983" i="14"/>
  <c r="AF983" i="14" s="1"/>
  <c r="AZ871" i="14"/>
  <c r="AY890" i="14"/>
  <c r="G991" i="14"/>
  <c r="BG991" i="14" s="1"/>
  <c r="R972" i="14"/>
  <c r="Q948" i="14"/>
  <c r="BB912" i="14"/>
  <c r="U991" i="14"/>
  <c r="W991" i="14"/>
  <c r="BL997" i="14"/>
  <c r="G997" i="14"/>
  <c r="BG997" i="14" s="1"/>
  <c r="AZ925" i="14"/>
  <c r="G925" i="14"/>
  <c r="BG925" i="14" s="1"/>
  <c r="Q1006" i="14"/>
  <c r="AZ972" i="14"/>
  <c r="AY948" i="14"/>
  <c r="BB936" i="14"/>
  <c r="R857" i="14"/>
  <c r="W857" i="14"/>
  <c r="AY978" i="14"/>
  <c r="AZ986" i="14"/>
  <c r="Q938" i="14"/>
  <c r="E996" i="14"/>
  <c r="I912" i="14"/>
  <c r="E895" i="14"/>
  <c r="Q895" i="14"/>
  <c r="AY983" i="14"/>
  <c r="I871" i="14"/>
  <c r="AZ879" i="14"/>
  <c r="BB1006" i="14"/>
  <c r="E938" i="14"/>
  <c r="J895" i="14"/>
  <c r="AZ983" i="14"/>
  <c r="AY871" i="14"/>
  <c r="U870" i="14"/>
  <c r="I972" i="14"/>
  <c r="AY936" i="14"/>
  <c r="BM986" i="14"/>
  <c r="G938" i="14"/>
  <c r="BG938" i="14" s="1"/>
  <c r="AZ895" i="14"/>
  <c r="BB870" i="14"/>
  <c r="Q991" i="14"/>
  <c r="T997" i="14"/>
  <c r="U1006" i="14"/>
  <c r="E972" i="14"/>
  <c r="BB948" i="14"/>
  <c r="U936" i="14"/>
  <c r="I857" i="14"/>
  <c r="T857" i="14"/>
  <c r="Q978" i="14"/>
  <c r="E986" i="14"/>
  <c r="AZ938" i="14"/>
  <c r="BA938" i="14"/>
  <c r="BB996" i="14"/>
  <c r="J912" i="14"/>
  <c r="W912" i="14"/>
  <c r="U895" i="14"/>
  <c r="E983" i="14"/>
  <c r="R871" i="14"/>
  <c r="G871" i="14"/>
  <c r="R996" i="14"/>
  <c r="BA991" i="14"/>
  <c r="W1006" i="14"/>
  <c r="Q857" i="14"/>
  <c r="W985" i="14"/>
  <c r="AF985" i="14" s="1"/>
  <c r="W871" i="14"/>
  <c r="T991" i="14"/>
  <c r="AZ997" i="14"/>
  <c r="BL925" i="14"/>
  <c r="BA1006" i="14"/>
  <c r="I870" i="14"/>
  <c r="E991" i="14"/>
  <c r="R997" i="14"/>
  <c r="J925" i="14"/>
  <c r="I1006" i="14"/>
  <c r="G1006" i="14"/>
  <c r="AY972" i="14"/>
  <c r="E948" i="14"/>
  <c r="BM936" i="14"/>
  <c r="AZ857" i="14"/>
  <c r="G978" i="14"/>
  <c r="BG978" i="14" s="1"/>
  <c r="I986" i="14"/>
  <c r="J938" i="14"/>
  <c r="W938" i="14"/>
  <c r="AY996" i="14"/>
  <c r="BL993" i="14"/>
  <c r="E912" i="14"/>
  <c r="BA912" i="14"/>
  <c r="I895" i="14"/>
  <c r="I847" i="14"/>
  <c r="U983" i="14"/>
  <c r="BB871" i="14"/>
  <c r="BA871" i="14"/>
  <c r="U923" i="14"/>
  <c r="R986" i="14"/>
  <c r="W997" i="14"/>
  <c r="E1006" i="14"/>
  <c r="T1006" i="14"/>
  <c r="BA972" i="14"/>
  <c r="I948" i="14"/>
  <c r="E936" i="14"/>
  <c r="J857" i="14"/>
  <c r="BM918" i="14"/>
  <c r="BM978" i="14"/>
  <c r="BA978" i="14"/>
  <c r="U986" i="14"/>
  <c r="I938" i="14"/>
  <c r="T938" i="14"/>
  <c r="Q996" i="14"/>
  <c r="E993" i="14"/>
  <c r="AZ912" i="14"/>
  <c r="T912" i="14"/>
  <c r="BB895" i="14"/>
  <c r="BM983" i="14"/>
  <c r="BL871" i="14"/>
  <c r="T871" i="14"/>
  <c r="BA997" i="14"/>
  <c r="T936" i="14"/>
  <c r="E857" i="14"/>
  <c r="I996" i="14"/>
  <c r="AY870" i="14"/>
  <c r="R991" i="14"/>
  <c r="J997" i="14"/>
  <c r="E925" i="14"/>
  <c r="G870" i="14"/>
  <c r="BG870" i="14" s="1"/>
  <c r="BM991" i="14"/>
  <c r="I997" i="14"/>
  <c r="U925" i="14"/>
  <c r="J1006" i="14"/>
  <c r="T862" i="14"/>
  <c r="W972" i="14"/>
  <c r="G948" i="14"/>
  <c r="AF948" i="14" s="1"/>
  <c r="J936" i="14"/>
  <c r="U857" i="14"/>
  <c r="J918" i="14"/>
  <c r="E978" i="14"/>
  <c r="W978" i="14"/>
  <c r="AY986" i="14"/>
  <c r="U938" i="14"/>
  <c r="J960" i="14"/>
  <c r="G996" i="14"/>
  <c r="AF996" i="14" s="1"/>
  <c r="AZ993" i="14"/>
  <c r="U912" i="14"/>
  <c r="R895" i="14"/>
  <c r="BB983" i="14"/>
  <c r="J871" i="14"/>
  <c r="E923" i="14"/>
  <c r="AY937" i="14"/>
  <c r="BA895" i="14"/>
  <c r="J991" i="14"/>
  <c r="E997" i="14"/>
  <c r="AZ948" i="14"/>
  <c r="G912" i="14"/>
  <c r="T895" i="14"/>
  <c r="BL983" i="14"/>
  <c r="W870" i="14"/>
  <c r="BB991" i="14"/>
  <c r="AY997" i="14"/>
  <c r="T860" i="14"/>
  <c r="I925" i="14"/>
  <c r="AZ1006" i="14"/>
  <c r="BB972" i="14"/>
  <c r="G972" i="14"/>
  <c r="BG972" i="14" s="1"/>
  <c r="U948" i="14"/>
  <c r="BA948" i="14"/>
  <c r="R936" i="14"/>
  <c r="AY857" i="14"/>
  <c r="Q937" i="14"/>
  <c r="AZ918" i="14"/>
  <c r="BB978" i="14"/>
  <c r="T978" i="14"/>
  <c r="G986" i="14"/>
  <c r="R938" i="14"/>
  <c r="U996" i="14"/>
  <c r="BA996" i="14"/>
  <c r="I993" i="14"/>
  <c r="AY912" i="14"/>
  <c r="BM895" i="14"/>
  <c r="Q983" i="14"/>
  <c r="Q871" i="14"/>
  <c r="AY923" i="14"/>
  <c r="I936" i="14"/>
  <c r="J972" i="14"/>
  <c r="J948" i="14"/>
  <c r="U937" i="14"/>
  <c r="AY918" i="14"/>
  <c r="BM943" i="14"/>
  <c r="BL996" i="14"/>
  <c r="BA993" i="14"/>
  <c r="J931" i="14"/>
  <c r="G836" i="14"/>
  <c r="BG836" i="14" s="1"/>
  <c r="I942" i="14"/>
  <c r="BL958" i="14"/>
  <c r="AZ826" i="14"/>
  <c r="BA826" i="14"/>
  <c r="R942" i="14"/>
  <c r="BL836" i="14"/>
  <c r="T836" i="14"/>
  <c r="AZ958" i="14"/>
  <c r="BL826" i="14"/>
  <c r="G826" i="14"/>
  <c r="BM889" i="14"/>
  <c r="G942" i="14"/>
  <c r="BG942" i="14" s="1"/>
  <c r="R1010" i="14"/>
  <c r="R836" i="14"/>
  <c r="G958" i="14"/>
  <c r="BG958" i="14" s="1"/>
  <c r="BB826" i="14"/>
  <c r="T826" i="14"/>
  <c r="W889" i="14"/>
  <c r="T942" i="14"/>
  <c r="BB836" i="14"/>
  <c r="U982" i="14"/>
  <c r="U836" i="14"/>
  <c r="E928" i="14"/>
  <c r="G928" i="14"/>
  <c r="BG928" i="14" s="1"/>
  <c r="E826" i="14"/>
  <c r="AZ982" i="14"/>
  <c r="Q836" i="14"/>
  <c r="J1002" i="14"/>
  <c r="E1002" i="14"/>
  <c r="Q958" i="14"/>
  <c r="BA928" i="14"/>
  <c r="I825" i="14"/>
  <c r="U826" i="14"/>
  <c r="W982" i="14"/>
  <c r="AF982" i="14" s="1"/>
  <c r="AY836" i="14"/>
  <c r="BM826" i="14"/>
  <c r="R825" i="14"/>
  <c r="Q826" i="14"/>
  <c r="U956" i="14"/>
  <c r="AZ998" i="14"/>
  <c r="BA982" i="14"/>
  <c r="AZ919" i="14"/>
  <c r="J836" i="14"/>
  <c r="T825" i="14"/>
  <c r="BB956" i="14"/>
  <c r="BL998" i="14"/>
  <c r="W919" i="14"/>
  <c r="AF919" i="14" s="1"/>
  <c r="BM836" i="14"/>
  <c r="Q870" i="14"/>
  <c r="R890" i="14"/>
  <c r="AZ937" i="14"/>
  <c r="G847" i="14"/>
  <c r="BG847" i="14" s="1"/>
  <c r="U1002" i="14"/>
  <c r="BB937" i="14"/>
  <c r="E870" i="14"/>
  <c r="Q1002" i="14"/>
  <c r="J879" i="14"/>
  <c r="W937" i="14"/>
  <c r="BA870" i="14"/>
  <c r="BM870" i="14"/>
  <c r="T870" i="14"/>
  <c r="G1002" i="14"/>
  <c r="BG1002" i="14" s="1"/>
  <c r="E891" i="14"/>
  <c r="G937" i="14"/>
  <c r="BG937" i="14" s="1"/>
  <c r="U934" i="14"/>
  <c r="R870" i="14"/>
  <c r="BA1002" i="14"/>
  <c r="BL891" i="14"/>
  <c r="R937" i="14"/>
  <c r="BA937" i="14"/>
  <c r="AZ934" i="14"/>
  <c r="AZ870" i="14"/>
  <c r="BL930" i="14"/>
  <c r="J891" i="14"/>
  <c r="E937" i="14"/>
  <c r="I937" i="14"/>
  <c r="T891" i="14"/>
  <c r="BH891" i="14" s="1"/>
  <c r="BM937" i="14"/>
  <c r="T937" i="14"/>
  <c r="BL870" i="14"/>
  <c r="BB930" i="14"/>
  <c r="BB890" i="14"/>
  <c r="W930" i="14"/>
  <c r="AY847" i="14"/>
  <c r="G1010" i="14"/>
  <c r="BG1010" i="14" s="1"/>
  <c r="BM858" i="14"/>
  <c r="U858" i="14"/>
  <c r="G858" i="14"/>
  <c r="BG858" i="14" s="1"/>
  <c r="E858" i="14"/>
  <c r="BM896" i="14"/>
  <c r="BL1008" i="14"/>
  <c r="E1010" i="14"/>
  <c r="BA1010" i="14"/>
  <c r="Q1010" i="14"/>
  <c r="AY1002" i="14"/>
  <c r="BL858" i="14"/>
  <c r="T858" i="14"/>
  <c r="Q889" i="14"/>
  <c r="W1010" i="14"/>
  <c r="AY858" i="14"/>
  <c r="AZ1010" i="14"/>
  <c r="T1010" i="14"/>
  <c r="AZ1002" i="14"/>
  <c r="W1002" i="14"/>
  <c r="I858" i="14"/>
  <c r="AZ898" i="14"/>
  <c r="BM1010" i="14"/>
  <c r="G898" i="14"/>
  <c r="BG898" i="14" s="1"/>
  <c r="BL1010" i="14"/>
  <c r="J858" i="14"/>
  <c r="BL1002" i="14"/>
  <c r="I1002" i="14"/>
  <c r="R858" i="14"/>
  <c r="BB1010" i="14"/>
  <c r="T1002" i="14"/>
  <c r="BB858" i="14"/>
  <c r="BB1002" i="14"/>
  <c r="Q858" i="14"/>
  <c r="J889" i="14"/>
  <c r="J1010" i="14"/>
  <c r="Q850" i="14"/>
  <c r="R1002" i="14"/>
  <c r="W858" i="14"/>
  <c r="BB889" i="14"/>
  <c r="I1010" i="14"/>
  <c r="U1010" i="14"/>
  <c r="AZ858" i="14"/>
  <c r="AZ889" i="14"/>
  <c r="G831" i="14"/>
  <c r="BG831" i="14" s="1"/>
  <c r="BM900" i="14"/>
  <c r="BL900" i="14"/>
  <c r="G900" i="14"/>
  <c r="BG900" i="14" s="1"/>
  <c r="G934" i="14"/>
  <c r="BG934" i="14" s="1"/>
  <c r="BA889" i="14"/>
  <c r="I1003" i="14"/>
  <c r="U952" i="14"/>
  <c r="BA952" i="14"/>
  <c r="Q832" i="14"/>
  <c r="Q934" i="14"/>
  <c r="Q865" i="14"/>
  <c r="AZ1003" i="14"/>
  <c r="W934" i="14"/>
  <c r="T934" i="14"/>
  <c r="R1003" i="14"/>
  <c r="BM974" i="14"/>
  <c r="Q823" i="14"/>
  <c r="BB1007" i="14"/>
  <c r="J823" i="14"/>
  <c r="W971" i="14"/>
  <c r="G1015" i="14"/>
  <c r="BG1015" i="14" s="1"/>
  <c r="R974" i="14"/>
  <c r="J1003" i="14"/>
  <c r="I934" i="14"/>
  <c r="BM865" i="14"/>
  <c r="J971" i="14"/>
  <c r="E952" i="14"/>
  <c r="E949" i="14"/>
  <c r="R823" i="14"/>
  <c r="E1003" i="14"/>
  <c r="R934" i="14"/>
  <c r="BA934" i="14"/>
  <c r="W832" i="14"/>
  <c r="T971" i="14"/>
  <c r="AZ1007" i="14"/>
  <c r="BM897" i="14"/>
  <c r="E886" i="14"/>
  <c r="U823" i="14"/>
  <c r="I1018" i="14"/>
  <c r="G1003" i="14"/>
  <c r="AF1003" i="14" s="1"/>
  <c r="BL934" i="14"/>
  <c r="E828" i="14"/>
  <c r="AZ828" i="14"/>
  <c r="BL1007" i="14"/>
  <c r="R886" i="14"/>
  <c r="E934" i="14"/>
  <c r="I1007" i="14"/>
  <c r="J934" i="14"/>
  <c r="G1007" i="14"/>
  <c r="BG1007" i="14" s="1"/>
  <c r="BM934" i="14"/>
  <c r="BL886" i="14"/>
  <c r="BA1007" i="14"/>
  <c r="T894" i="14"/>
  <c r="BB934" i="14"/>
  <c r="BA828" i="14"/>
  <c r="G853" i="14"/>
  <c r="BG853" i="14" s="1"/>
  <c r="I900" i="14"/>
  <c r="I822" i="14"/>
  <c r="U900" i="14"/>
  <c r="W900" i="14"/>
  <c r="E900" i="14"/>
  <c r="BA900" i="14"/>
  <c r="Q900" i="14"/>
  <c r="T900" i="14"/>
  <c r="E995" i="14"/>
  <c r="J900" i="14"/>
  <c r="I902" i="14"/>
  <c r="AY830" i="14"/>
  <c r="BA855" i="14"/>
  <c r="AZ900" i="14"/>
  <c r="I988" i="14"/>
  <c r="BB900" i="14"/>
  <c r="AZ833" i="14"/>
  <c r="BM846" i="14"/>
  <c r="R929" i="14"/>
  <c r="BB1001" i="14"/>
  <c r="AY900" i="14"/>
  <c r="U833" i="14"/>
  <c r="BB853" i="14"/>
  <c r="AY863" i="14"/>
  <c r="BB830" i="14"/>
  <c r="E1001" i="14"/>
  <c r="T1001" i="14"/>
  <c r="AZ846" i="14"/>
  <c r="Q846" i="14"/>
  <c r="U822" i="14"/>
  <c r="BB886" i="14"/>
  <c r="T886" i="14"/>
  <c r="BB995" i="14"/>
  <c r="J855" i="14"/>
  <c r="AZ929" i="14"/>
  <c r="R988" i="14"/>
  <c r="E865" i="14"/>
  <c r="T865" i="14"/>
  <c r="BH865" i="14" s="1"/>
  <c r="BL902" i="14"/>
  <c r="BA1015" i="14"/>
  <c r="AY833" i="14"/>
  <c r="E853" i="14"/>
  <c r="U862" i="14"/>
  <c r="BB863" i="14"/>
  <c r="BA971" i="14"/>
  <c r="U830" i="14"/>
  <c r="U1001" i="14"/>
  <c r="I846" i="14"/>
  <c r="T846" i="14"/>
  <c r="R918" i="14"/>
  <c r="AZ822" i="14"/>
  <c r="AY886" i="14"/>
  <c r="AZ995" i="14"/>
  <c r="Q855" i="14"/>
  <c r="U993" i="14"/>
  <c r="R985" i="14"/>
  <c r="BB929" i="14"/>
  <c r="BL1003" i="14"/>
  <c r="T1003" i="14"/>
  <c r="BH1003" i="14" s="1"/>
  <c r="AY988" i="14"/>
  <c r="J865" i="14"/>
  <c r="E902" i="14"/>
  <c r="J863" i="14"/>
  <c r="AY995" i="14"/>
  <c r="BL855" i="14"/>
  <c r="G855" i="14"/>
  <c r="BG855" i="14" s="1"/>
  <c r="AY929" i="14"/>
  <c r="W988" i="14"/>
  <c r="W902" i="14"/>
  <c r="W833" i="14"/>
  <c r="J853" i="14"/>
  <c r="BA853" i="14"/>
  <c r="Q863" i="14"/>
  <c r="I974" i="14"/>
  <c r="BA830" i="14"/>
  <c r="AY1001" i="14"/>
  <c r="BB846" i="14"/>
  <c r="R952" i="14"/>
  <c r="Q918" i="14"/>
  <c r="E822" i="14"/>
  <c r="J886" i="14"/>
  <c r="BA995" i="14"/>
  <c r="AZ823" i="14"/>
  <c r="BB855" i="14"/>
  <c r="W855" i="14"/>
  <c r="BM993" i="14"/>
  <c r="W993" i="14"/>
  <c r="W929" i="14"/>
  <c r="BB1003" i="14"/>
  <c r="AZ988" i="14"/>
  <c r="G988" i="14"/>
  <c r="BG988" i="14" s="1"/>
  <c r="U865" i="14"/>
  <c r="U902" i="14"/>
  <c r="G902" i="14"/>
  <c r="BG902" i="14" s="1"/>
  <c r="I833" i="14"/>
  <c r="R1001" i="14"/>
  <c r="BB822" i="14"/>
  <c r="I853" i="14"/>
  <c r="W863" i="14"/>
  <c r="AZ1015" i="14"/>
  <c r="BM830" i="14"/>
  <c r="J1001" i="14"/>
  <c r="R846" i="14"/>
  <c r="AZ897" i="14"/>
  <c r="E918" i="14"/>
  <c r="W918" i="14"/>
  <c r="Q822" i="14"/>
  <c r="U886" i="14"/>
  <c r="I995" i="14"/>
  <c r="Q995" i="14"/>
  <c r="Q887" i="14"/>
  <c r="AZ855" i="14"/>
  <c r="Q993" i="14"/>
  <c r="BL929" i="14"/>
  <c r="Q929" i="14"/>
  <c r="U1003" i="14"/>
  <c r="BM988" i="14"/>
  <c r="BL865" i="14"/>
  <c r="R902" i="14"/>
  <c r="W853" i="14"/>
  <c r="Q833" i="14"/>
  <c r="R822" i="14"/>
  <c r="G995" i="14"/>
  <c r="BG995" i="14" s="1"/>
  <c r="BA988" i="14"/>
  <c r="BA902" i="14"/>
  <c r="T853" i="14"/>
  <c r="J830" i="14"/>
  <c r="J822" i="14"/>
  <c r="W995" i="14"/>
  <c r="I855" i="14"/>
  <c r="BA929" i="14"/>
  <c r="Q902" i="14"/>
  <c r="T833" i="14"/>
  <c r="G863" i="14"/>
  <c r="BL974" i="14"/>
  <c r="T830" i="14"/>
  <c r="U828" i="14"/>
  <c r="E1015" i="14"/>
  <c r="E833" i="14"/>
  <c r="J832" i="14"/>
  <c r="R853" i="14"/>
  <c r="BM863" i="14"/>
  <c r="T863" i="14"/>
  <c r="U959" i="14"/>
  <c r="R830" i="14"/>
  <c r="I1001" i="14"/>
  <c r="AY846" i="14"/>
  <c r="BL897" i="14"/>
  <c r="BL918" i="14"/>
  <c r="T918" i="14"/>
  <c r="G822" i="14"/>
  <c r="BG822" i="14" s="1"/>
  <c r="G886" i="14"/>
  <c r="R995" i="14"/>
  <c r="T995" i="14"/>
  <c r="BB887" i="14"/>
  <c r="U855" i="14"/>
  <c r="J993" i="14"/>
  <c r="U929" i="14"/>
  <c r="T929" i="14"/>
  <c r="AY1003" i="14"/>
  <c r="J988" i="14"/>
  <c r="I865" i="14"/>
  <c r="AZ902" i="14"/>
  <c r="I830" i="14"/>
  <c r="W830" i="14"/>
  <c r="BM855" i="14"/>
  <c r="J902" i="14"/>
  <c r="G833" i="14"/>
  <c r="BG833" i="14" s="1"/>
  <c r="U853" i="14"/>
  <c r="R863" i="14"/>
  <c r="Q1001" i="14"/>
  <c r="J846" i="14"/>
  <c r="T988" i="14"/>
  <c r="AY865" i="14"/>
  <c r="BM832" i="14"/>
  <c r="BM853" i="14"/>
  <c r="BL863" i="14"/>
  <c r="BM1011" i="14"/>
  <c r="BB971" i="14"/>
  <c r="AY959" i="14"/>
  <c r="BL830" i="14"/>
  <c r="G1001" i="14"/>
  <c r="BG1001" i="14" s="1"/>
  <c r="W846" i="14"/>
  <c r="AF846" i="14" s="1"/>
  <c r="E897" i="14"/>
  <c r="BB918" i="14"/>
  <c r="BM822" i="14"/>
  <c r="BA822" i="14"/>
  <c r="W886" i="14"/>
  <c r="I949" i="14"/>
  <c r="U995" i="14"/>
  <c r="AY887" i="14"/>
  <c r="E855" i="14"/>
  <c r="R993" i="14"/>
  <c r="I929" i="14"/>
  <c r="Q1003" i="14"/>
  <c r="Q988" i="14"/>
  <c r="G865" i="14"/>
  <c r="BG865" i="14" s="1"/>
  <c r="BB902" i="14"/>
  <c r="BL846" i="14"/>
  <c r="AZ830" i="14"/>
  <c r="T855" i="14"/>
  <c r="G929" i="14"/>
  <c r="BM833" i="14"/>
  <c r="G830" i="14"/>
  <c r="BG830" i="14" s="1"/>
  <c r="E929" i="14"/>
  <c r="BB988" i="14"/>
  <c r="T902" i="14"/>
  <c r="AY947" i="14"/>
  <c r="R828" i="14"/>
  <c r="BB833" i="14"/>
  <c r="Q853" i="14"/>
  <c r="BL833" i="14"/>
  <c r="I828" i="14"/>
  <c r="BB1015" i="14"/>
  <c r="J833" i="14"/>
  <c r="BL832" i="14"/>
  <c r="AZ853" i="14"/>
  <c r="U863" i="14"/>
  <c r="R1011" i="14"/>
  <c r="E971" i="14"/>
  <c r="R959" i="14"/>
  <c r="AY979" i="14"/>
  <c r="E830" i="14"/>
  <c r="BL1001" i="14"/>
  <c r="W1001" i="14"/>
  <c r="BA846" i="14"/>
  <c r="J897" i="14"/>
  <c r="I918" i="14"/>
  <c r="BL822" i="14"/>
  <c r="W822" i="14"/>
  <c r="I886" i="14"/>
  <c r="BA886" i="14"/>
  <c r="AY949" i="14"/>
  <c r="BM995" i="14"/>
  <c r="G887" i="14"/>
  <c r="BG887" i="14" s="1"/>
  <c r="AY855" i="14"/>
  <c r="BB993" i="14"/>
  <c r="U1018" i="14"/>
  <c r="BM929" i="14"/>
  <c r="BA1003" i="14"/>
  <c r="BL988" i="14"/>
  <c r="R865" i="14"/>
  <c r="BA865" i="14"/>
  <c r="AY902" i="14"/>
  <c r="AY899" i="14"/>
  <c r="BA833" i="14"/>
  <c r="BL853" i="14"/>
  <c r="BA863" i="14"/>
  <c r="BM1001" i="14"/>
  <c r="E846" i="14"/>
  <c r="U988" i="14"/>
  <c r="AZ886" i="14"/>
  <c r="J995" i="14"/>
  <c r="U832" i="14"/>
  <c r="AZ863" i="14"/>
  <c r="AY828" i="14"/>
  <c r="I1015" i="14"/>
  <c r="G828" i="14"/>
  <c r="AY1015" i="14"/>
  <c r="AY832" i="14"/>
  <c r="W1011" i="14"/>
  <c r="BM971" i="14"/>
  <c r="E959" i="14"/>
  <c r="AZ1001" i="14"/>
  <c r="U846" i="14"/>
  <c r="T897" i="14"/>
  <c r="AY822" i="14"/>
  <c r="BM886" i="14"/>
  <c r="J949" i="14"/>
  <c r="BA887" i="14"/>
  <c r="BL1018" i="14"/>
  <c r="BM1003" i="14"/>
  <c r="AZ865" i="14"/>
  <c r="Q881" i="14"/>
  <c r="W827" i="14"/>
  <c r="U909" i="14"/>
  <c r="BB909" i="14"/>
  <c r="R861" i="14"/>
  <c r="BM868" i="14"/>
  <c r="BL939" i="14"/>
  <c r="G839" i="14"/>
  <c r="BG839" i="14" s="1"/>
  <c r="AY841" i="14"/>
  <c r="E951" i="14"/>
  <c r="I951" i="14"/>
  <c r="J969" i="14"/>
  <c r="Q845" i="14"/>
  <c r="BL839" i="14"/>
  <c r="R874" i="14"/>
  <c r="AY842" i="14"/>
  <c r="R964" i="14"/>
  <c r="BM894" i="14"/>
  <c r="AY839" i="14"/>
  <c r="BB828" i="14"/>
  <c r="BL1015" i="14"/>
  <c r="T874" i="14"/>
  <c r="R832" i="14"/>
  <c r="T832" i="14"/>
  <c r="BB974" i="14"/>
  <c r="BL971" i="14"/>
  <c r="G971" i="14"/>
  <c r="W1007" i="14"/>
  <c r="I959" i="14"/>
  <c r="AY952" i="14"/>
  <c r="AY897" i="14"/>
  <c r="E889" i="14"/>
  <c r="AZ949" i="14"/>
  <c r="E823" i="14"/>
  <c r="R887" i="14"/>
  <c r="BB1018" i="14"/>
  <c r="BB987" i="14"/>
  <c r="BA894" i="14"/>
  <c r="R921" i="14"/>
  <c r="BA839" i="14"/>
  <c r="W828" i="14"/>
  <c r="I841" i="14"/>
  <c r="Q1015" i="14"/>
  <c r="E832" i="14"/>
  <c r="U974" i="14"/>
  <c r="I971" i="14"/>
  <c r="U1007" i="14"/>
  <c r="T1007" i="14"/>
  <c r="BL959" i="14"/>
  <c r="AZ824" i="14"/>
  <c r="J921" i="14"/>
  <c r="BM952" i="14"/>
  <c r="BB897" i="14"/>
  <c r="G889" i="14"/>
  <c r="BG889" i="14" s="1"/>
  <c r="BL949" i="14"/>
  <c r="BM823" i="14"/>
  <c r="I887" i="14"/>
  <c r="J1018" i="14"/>
  <c r="BM883" i="14"/>
  <c r="T921" i="14"/>
  <c r="BH921" i="14" s="1"/>
  <c r="U973" i="14"/>
  <c r="BA974" i="14"/>
  <c r="U971" i="14"/>
  <c r="BM1007" i="14"/>
  <c r="I883" i="14"/>
  <c r="BL952" i="14"/>
  <c r="G952" i="14"/>
  <c r="BG952" i="14" s="1"/>
  <c r="R897" i="14"/>
  <c r="I889" i="14"/>
  <c r="T889" i="14"/>
  <c r="AZ893" i="14"/>
  <c r="Q949" i="14"/>
  <c r="W823" i="14"/>
  <c r="AF823" i="14" s="1"/>
  <c r="W887" i="14"/>
  <c r="Q1018" i="14"/>
  <c r="U926" i="14"/>
  <c r="G841" i="14"/>
  <c r="BG841" i="14" s="1"/>
  <c r="U921" i="14"/>
  <c r="R973" i="14"/>
  <c r="Q959" i="14"/>
  <c r="AZ832" i="14"/>
  <c r="G959" i="14"/>
  <c r="BG959" i="14" s="1"/>
  <c r="Q828" i="14"/>
  <c r="BM1015" i="14"/>
  <c r="T1015" i="14"/>
  <c r="R1017" i="14"/>
  <c r="BB832" i="14"/>
  <c r="J866" i="14"/>
  <c r="BM973" i="14"/>
  <c r="W974" i="14"/>
  <c r="BH974" i="14" s="1"/>
  <c r="AZ971" i="14"/>
  <c r="Q1007" i="14"/>
  <c r="BM959" i="14"/>
  <c r="W959" i="14"/>
  <c r="I952" i="14"/>
  <c r="Q952" i="14"/>
  <c r="W897" i="14"/>
  <c r="BL889" i="14"/>
  <c r="U893" i="14"/>
  <c r="W949" i="14"/>
  <c r="BA823" i="14"/>
  <c r="T887" i="14"/>
  <c r="T1018" i="14"/>
  <c r="U954" i="14"/>
  <c r="W839" i="14"/>
  <c r="BB841" i="14"/>
  <c r="W952" i="14"/>
  <c r="BA1018" i="14"/>
  <c r="J828" i="14"/>
  <c r="J1015" i="14"/>
  <c r="J1000" i="14"/>
  <c r="BM828" i="14"/>
  <c r="R1015" i="14"/>
  <c r="BL874" i="14"/>
  <c r="AY1017" i="14"/>
  <c r="I832" i="14"/>
  <c r="J974" i="14"/>
  <c r="G974" i="14"/>
  <c r="BG974" i="14" s="1"/>
  <c r="R971" i="14"/>
  <c r="J1007" i="14"/>
  <c r="J959" i="14"/>
  <c r="BA959" i="14"/>
  <c r="J952" i="14"/>
  <c r="T952" i="14"/>
  <c r="G897" i="14"/>
  <c r="BG897" i="14" s="1"/>
  <c r="U889" i="14"/>
  <c r="BM949" i="14"/>
  <c r="G949" i="14"/>
  <c r="BG949" i="14" s="1"/>
  <c r="T823" i="14"/>
  <c r="BM954" i="14"/>
  <c r="J883" i="14"/>
  <c r="AY974" i="14"/>
  <c r="E1007" i="14"/>
  <c r="R949" i="14"/>
  <c r="T828" i="14"/>
  <c r="W1015" i="14"/>
  <c r="BB874" i="14"/>
  <c r="J1017" i="14"/>
  <c r="G832" i="14"/>
  <c r="BG832" i="14" s="1"/>
  <c r="E974" i="14"/>
  <c r="Q974" i="14"/>
  <c r="AY971" i="14"/>
  <c r="R1007" i="14"/>
  <c r="BB959" i="14"/>
  <c r="T959" i="14"/>
  <c r="AZ952" i="14"/>
  <c r="U897" i="14"/>
  <c r="BA897" i="14"/>
  <c r="BL1013" i="14"/>
  <c r="R889" i="14"/>
  <c r="BB949" i="14"/>
  <c r="J887" i="14"/>
  <c r="U842" i="14"/>
  <c r="BL894" i="14"/>
  <c r="J839" i="14"/>
  <c r="AY874" i="14"/>
  <c r="AZ974" i="14"/>
  <c r="I897" i="14"/>
  <c r="U949" i="14"/>
  <c r="BB823" i="14"/>
  <c r="U887" i="14"/>
  <c r="I842" i="14"/>
  <c r="AY964" i="14"/>
  <c r="R894" i="14"/>
  <c r="BM1000" i="14"/>
  <c r="G845" i="14"/>
  <c r="BG845" i="14" s="1"/>
  <c r="BM965" i="14"/>
  <c r="U868" i="14"/>
  <c r="BM845" i="14"/>
  <c r="BM884" i="14"/>
  <c r="T839" i="14"/>
  <c r="W841" i="14"/>
  <c r="BM874" i="14"/>
  <c r="AZ827" i="14"/>
  <c r="T827" i="14"/>
  <c r="Q1017" i="14"/>
  <c r="R866" i="14"/>
  <c r="BL973" i="14"/>
  <c r="U883" i="14"/>
  <c r="BB868" i="14"/>
  <c r="J824" i="14"/>
  <c r="BL921" i="14"/>
  <c r="BA1013" i="14"/>
  <c r="BM1021" i="14"/>
  <c r="BA893" i="14"/>
  <c r="Q909" i="14"/>
  <c r="R845" i="14"/>
  <c r="BA845" i="14"/>
  <c r="AZ842" i="14"/>
  <c r="BM951" i="14"/>
  <c r="G951" i="14"/>
  <c r="E964" i="14"/>
  <c r="E987" i="14"/>
  <c r="Q926" i="14"/>
  <c r="AZ954" i="14"/>
  <c r="J894" i="14"/>
  <c r="E965" i="14"/>
  <c r="I884" i="14"/>
  <c r="BB1013" i="14"/>
  <c r="AZ884" i="14"/>
  <c r="AZ909" i="14"/>
  <c r="W845" i="14"/>
  <c r="BL987" i="14"/>
  <c r="AY926" i="14"/>
  <c r="BB965" i="14"/>
  <c r="AZ1000" i="14"/>
  <c r="BM839" i="14"/>
  <c r="U1005" i="14"/>
  <c r="AZ841" i="14"/>
  <c r="BA841" i="14"/>
  <c r="J874" i="14"/>
  <c r="Q827" i="14"/>
  <c r="BM1017" i="14"/>
  <c r="BM866" i="14"/>
  <c r="J973" i="14"/>
  <c r="E883" i="14"/>
  <c r="Q868" i="14"/>
  <c r="BM824" i="14"/>
  <c r="E921" i="14"/>
  <c r="Q1013" i="14"/>
  <c r="G1013" i="14"/>
  <c r="R893" i="14"/>
  <c r="W893" i="14"/>
  <c r="G909" i="14"/>
  <c r="BL845" i="14"/>
  <c r="T845" i="14"/>
  <c r="BM842" i="14"/>
  <c r="R1018" i="14"/>
  <c r="J951" i="14"/>
  <c r="W951" i="14"/>
  <c r="I964" i="14"/>
  <c r="AY987" i="14"/>
  <c r="BA926" i="14"/>
  <c r="BL954" i="14"/>
  <c r="BB894" i="14"/>
  <c r="J965" i="14"/>
  <c r="U884" i="14"/>
  <c r="BL827" i="14"/>
  <c r="BB926" i="14"/>
  <c r="BB827" i="14"/>
  <c r="BL866" i="14"/>
  <c r="I1013" i="14"/>
  <c r="BA951" i="14"/>
  <c r="R954" i="14"/>
  <c r="BL1000" i="14"/>
  <c r="E839" i="14"/>
  <c r="T1005" i="14"/>
  <c r="J841" i="14"/>
  <c r="T841" i="14"/>
  <c r="E874" i="14"/>
  <c r="J827" i="14"/>
  <c r="BL1017" i="14"/>
  <c r="AY866" i="14"/>
  <c r="AY973" i="14"/>
  <c r="AY883" i="14"/>
  <c r="G868" i="14"/>
  <c r="BG868" i="14" s="1"/>
  <c r="E824" i="14"/>
  <c r="AY921" i="14"/>
  <c r="AZ1013" i="14"/>
  <c r="W1013" i="14"/>
  <c r="BB893" i="14"/>
  <c r="Q893" i="14"/>
  <c r="BM909" i="14"/>
  <c r="BA909" i="14"/>
  <c r="U845" i="14"/>
  <c r="BB842" i="14"/>
  <c r="AZ1018" i="14"/>
  <c r="R951" i="14"/>
  <c r="T951" i="14"/>
  <c r="G964" i="14"/>
  <c r="BG964" i="14" s="1"/>
  <c r="AZ987" i="14"/>
  <c r="R926" i="14"/>
  <c r="W926" i="14"/>
  <c r="AY954" i="14"/>
  <c r="U894" i="14"/>
  <c r="AZ965" i="14"/>
  <c r="J884" i="14"/>
  <c r="G827" i="14"/>
  <c r="BL964" i="14"/>
  <c r="Q874" i="14"/>
  <c r="AY827" i="14"/>
  <c r="I1017" i="14"/>
  <c r="Q973" i="14"/>
  <c r="Q883" i="14"/>
  <c r="BL868" i="14"/>
  <c r="W868" i="14"/>
  <c r="AY824" i="14"/>
  <c r="AZ921" i="14"/>
  <c r="E1013" i="14"/>
  <c r="T1013" i="14"/>
  <c r="J893" i="14"/>
  <c r="T893" i="14"/>
  <c r="BL909" i="14"/>
  <c r="W909" i="14"/>
  <c r="I845" i="14"/>
  <c r="BL842" i="14"/>
  <c r="AZ951" i="14"/>
  <c r="AZ964" i="14"/>
  <c r="BA964" i="14"/>
  <c r="J987" i="14"/>
  <c r="E926" i="14"/>
  <c r="G926" i="14"/>
  <c r="BA954" i="14"/>
  <c r="Q894" i="14"/>
  <c r="BL965" i="14"/>
  <c r="E884" i="14"/>
  <c r="T884" i="14"/>
  <c r="BH884" i="14" s="1"/>
  <c r="Q1000" i="14"/>
  <c r="Q866" i="14"/>
  <c r="I1000" i="14"/>
  <c r="AZ839" i="14"/>
  <c r="BM841" i="14"/>
  <c r="BA874" i="14"/>
  <c r="U827" i="14"/>
  <c r="G1017" i="14"/>
  <c r="W866" i="14"/>
  <c r="W973" i="14"/>
  <c r="BB1004" i="14"/>
  <c r="G883" i="14"/>
  <c r="BG883" i="14" s="1"/>
  <c r="E868" i="14"/>
  <c r="BA868" i="14"/>
  <c r="Q824" i="14"/>
  <c r="BB921" i="14"/>
  <c r="R1013" i="14"/>
  <c r="BL893" i="14"/>
  <c r="AY823" i="14"/>
  <c r="BM887" i="14"/>
  <c r="J909" i="14"/>
  <c r="T909" i="14"/>
  <c r="E845" i="14"/>
  <c r="Q842" i="14"/>
  <c r="AY1018" i="14"/>
  <c r="BL951" i="14"/>
  <c r="U964" i="14"/>
  <c r="W964" i="14"/>
  <c r="Q987" i="14"/>
  <c r="BM926" i="14"/>
  <c r="T926" i="14"/>
  <c r="G954" i="14"/>
  <c r="BG954" i="14" s="1"/>
  <c r="E894" i="14"/>
  <c r="Q965" i="14"/>
  <c r="R884" i="14"/>
  <c r="AZ866" i="14"/>
  <c r="AY1000" i="14"/>
  <c r="R839" i="14"/>
  <c r="W1000" i="14"/>
  <c r="BH1000" i="14" s="1"/>
  <c r="U839" i="14"/>
  <c r="E841" i="14"/>
  <c r="G874" i="14"/>
  <c r="BM827" i="14"/>
  <c r="AZ1017" i="14"/>
  <c r="BA1017" i="14"/>
  <c r="BB866" i="14"/>
  <c r="G866" i="14"/>
  <c r="BG866" i="14" s="1"/>
  <c r="E973" i="14"/>
  <c r="G973" i="14"/>
  <c r="BG973" i="14" s="1"/>
  <c r="BL883" i="14"/>
  <c r="W883" i="14"/>
  <c r="I868" i="14"/>
  <c r="T868" i="14"/>
  <c r="G824" i="14"/>
  <c r="Q921" i="14"/>
  <c r="J1013" i="14"/>
  <c r="I893" i="14"/>
  <c r="BA949" i="14"/>
  <c r="BL823" i="14"/>
  <c r="BL887" i="14"/>
  <c r="I909" i="14"/>
  <c r="AZ845" i="14"/>
  <c r="G842" i="14"/>
  <c r="E1018" i="14"/>
  <c r="BB951" i="14"/>
  <c r="BB964" i="14"/>
  <c r="T964" i="14"/>
  <c r="W987" i="14"/>
  <c r="J926" i="14"/>
  <c r="I954" i="14"/>
  <c r="W954" i="14"/>
  <c r="AY894" i="14"/>
  <c r="BA965" i="14"/>
  <c r="Q884" i="14"/>
  <c r="J868" i="14"/>
  <c r="BM987" i="14"/>
  <c r="BB839" i="14"/>
  <c r="U1000" i="14"/>
  <c r="G1000" i="14"/>
  <c r="BG1000" i="14" s="1"/>
  <c r="Q839" i="14"/>
  <c r="Q841" i="14"/>
  <c r="AZ874" i="14"/>
  <c r="W874" i="14"/>
  <c r="E827" i="14"/>
  <c r="E1017" i="14"/>
  <c r="W1017" i="14"/>
  <c r="E866" i="14"/>
  <c r="BA866" i="14"/>
  <c r="BB973" i="14"/>
  <c r="BA973" i="14"/>
  <c r="AZ883" i="14"/>
  <c r="BA883" i="14"/>
  <c r="R868" i="14"/>
  <c r="R824" i="14"/>
  <c r="BA824" i="14"/>
  <c r="G921" i="14"/>
  <c r="AF921" i="14" s="1"/>
  <c r="AY1013" i="14"/>
  <c r="AY893" i="14"/>
  <c r="I823" i="14"/>
  <c r="E887" i="14"/>
  <c r="E909" i="14"/>
  <c r="BB845" i="14"/>
  <c r="E842" i="14"/>
  <c r="W842" i="14"/>
  <c r="BH842" i="14" s="1"/>
  <c r="BM1018" i="14"/>
  <c r="U951" i="14"/>
  <c r="J964" i="14"/>
  <c r="U987" i="14"/>
  <c r="G987" i="14"/>
  <c r="BG987" i="14" s="1"/>
  <c r="I926" i="14"/>
  <c r="E954" i="14"/>
  <c r="Q954" i="14"/>
  <c r="I894" i="14"/>
  <c r="T965" i="14"/>
  <c r="BA884" i="14"/>
  <c r="AY884" i="14"/>
  <c r="R841" i="14"/>
  <c r="U841" i="14"/>
  <c r="R1000" i="14"/>
  <c r="BA1000" i="14"/>
  <c r="U874" i="14"/>
  <c r="R827" i="14"/>
  <c r="U1017" i="14"/>
  <c r="T1017" i="14"/>
  <c r="I866" i="14"/>
  <c r="T866" i="14"/>
  <c r="AZ973" i="14"/>
  <c r="T973" i="14"/>
  <c r="BB883" i="14"/>
  <c r="T883" i="14"/>
  <c r="AZ868" i="14"/>
  <c r="I824" i="14"/>
  <c r="W824" i="14"/>
  <c r="BH824" i="14" s="1"/>
  <c r="BM921" i="14"/>
  <c r="BA921" i="14"/>
  <c r="U1013" i="14"/>
  <c r="BM893" i="14"/>
  <c r="AY909" i="14"/>
  <c r="AY845" i="14"/>
  <c r="R842" i="14"/>
  <c r="BA842" i="14"/>
  <c r="W1018" i="14"/>
  <c r="AF1018" i="14" s="1"/>
  <c r="Q951" i="14"/>
  <c r="BM964" i="14"/>
  <c r="R987" i="14"/>
  <c r="BA987" i="14"/>
  <c r="AZ926" i="14"/>
  <c r="BB954" i="14"/>
  <c r="T954" i="14"/>
  <c r="W894" i="14"/>
  <c r="BB884" i="14"/>
  <c r="G884" i="14"/>
  <c r="AF884" i="14" s="1"/>
  <c r="BA827" i="14"/>
  <c r="BL824" i="14"/>
  <c r="E1000" i="14"/>
  <c r="BB824" i="14"/>
  <c r="G893" i="14"/>
  <c r="BG893" i="14" s="1"/>
  <c r="BB1000" i="14"/>
  <c r="U824" i="14"/>
  <c r="I921" i="14"/>
  <c r="J842" i="14"/>
  <c r="I987" i="14"/>
  <c r="AZ894" i="14"/>
  <c r="U965" i="14"/>
  <c r="BL884" i="14"/>
  <c r="I872" i="14"/>
  <c r="U919" i="14"/>
  <c r="BA919" i="14"/>
  <c r="BL931" i="14"/>
  <c r="U906" i="14"/>
  <c r="BM942" i="14"/>
  <c r="BB998" i="14"/>
  <c r="BB942" i="14"/>
  <c r="Q982" i="14"/>
  <c r="AY872" i="14"/>
  <c r="BM919" i="14"/>
  <c r="E847" i="14"/>
  <c r="BA847" i="14"/>
  <c r="AY931" i="14"/>
  <c r="AY906" i="14"/>
  <c r="BL928" i="14"/>
  <c r="BL825" i="14"/>
  <c r="J982" i="14"/>
  <c r="BM931" i="14"/>
  <c r="J906" i="14"/>
  <c r="E930" i="14"/>
  <c r="T928" i="14"/>
  <c r="J890" i="14"/>
  <c r="R930" i="14"/>
  <c r="BM928" i="14"/>
  <c r="E825" i="14"/>
  <c r="U879" i="14"/>
  <c r="BB958" i="14"/>
  <c r="U891" i="14"/>
  <c r="AY956" i="14"/>
  <c r="R998" i="14"/>
  <c r="E942" i="14"/>
  <c r="BL982" i="14"/>
  <c r="Q872" i="14"/>
  <c r="BB919" i="14"/>
  <c r="Q847" i="14"/>
  <c r="W847" i="14"/>
  <c r="Q931" i="14"/>
  <c r="AZ906" i="14"/>
  <c r="I958" i="14"/>
  <c r="Q890" i="14"/>
  <c r="BB928" i="14"/>
  <c r="BM958" i="14"/>
  <c r="AY891" i="14"/>
  <c r="I890" i="14"/>
  <c r="J928" i="14"/>
  <c r="J825" i="14"/>
  <c r="E879" i="14"/>
  <c r="R958" i="14"/>
  <c r="BB891" i="14"/>
  <c r="I956" i="14"/>
  <c r="AY998" i="14"/>
  <c r="AZ942" i="14"/>
  <c r="BB982" i="14"/>
  <c r="W872" i="14"/>
  <c r="BL919" i="14"/>
  <c r="BL847" i="14"/>
  <c r="T847" i="14"/>
  <c r="G931" i="14"/>
  <c r="Q906" i="14"/>
  <c r="R906" i="14"/>
  <c r="U825" i="14"/>
  <c r="AY879" i="14"/>
  <c r="E958" i="14"/>
  <c r="BB860" i="14"/>
  <c r="I891" i="14"/>
  <c r="G956" i="14"/>
  <c r="BG956" i="14" s="1"/>
  <c r="G998" i="14"/>
  <c r="BG998" i="14" s="1"/>
  <c r="BL942" i="14"/>
  <c r="AY982" i="14"/>
  <c r="E872" i="14"/>
  <c r="G872" i="14"/>
  <c r="BG872" i="14" s="1"/>
  <c r="R919" i="14"/>
  <c r="R847" i="14"/>
  <c r="R931" i="14"/>
  <c r="BA931" i="14"/>
  <c r="W906" i="14"/>
  <c r="BM872" i="14"/>
  <c r="I919" i="14"/>
  <c r="BL956" i="14"/>
  <c r="I930" i="14"/>
  <c r="J930" i="14"/>
  <c r="AZ928" i="14"/>
  <c r="BA890" i="14"/>
  <c r="U930" i="14"/>
  <c r="I928" i="14"/>
  <c r="AY825" i="14"/>
  <c r="Q879" i="14"/>
  <c r="J958" i="14"/>
  <c r="AZ860" i="14"/>
  <c r="Q941" i="14"/>
  <c r="R891" i="14"/>
  <c r="J956" i="14"/>
  <c r="W956" i="14"/>
  <c r="W998" i="14"/>
  <c r="AY942" i="14"/>
  <c r="R982" i="14"/>
  <c r="BL872" i="14"/>
  <c r="BA872" i="14"/>
  <c r="E919" i="14"/>
  <c r="AZ847" i="14"/>
  <c r="E931" i="14"/>
  <c r="W931" i="14"/>
  <c r="E906" i="14"/>
  <c r="BA906" i="14"/>
  <c r="BM998" i="14"/>
  <c r="T919" i="14"/>
  <c r="R879" i="14"/>
  <c r="W890" i="14"/>
  <c r="BH890" i="14" s="1"/>
  <c r="E890" i="14"/>
  <c r="AY930" i="14"/>
  <c r="R928" i="14"/>
  <c r="G825" i="14"/>
  <c r="BG825" i="14" s="1"/>
  <c r="T879" i="14"/>
  <c r="U958" i="14"/>
  <c r="U860" i="14"/>
  <c r="E941" i="14"/>
  <c r="Q891" i="14"/>
  <c r="AZ956" i="14"/>
  <c r="BA956" i="14"/>
  <c r="U998" i="14"/>
  <c r="BA998" i="14"/>
  <c r="J942" i="14"/>
  <c r="BM982" i="14"/>
  <c r="AZ872" i="14"/>
  <c r="T872" i="14"/>
  <c r="AY919" i="14"/>
  <c r="U847" i="14"/>
  <c r="BB931" i="14"/>
  <c r="T931" i="14"/>
  <c r="BB906" i="14"/>
  <c r="G906" i="14"/>
  <c r="BG906" i="14" s="1"/>
  <c r="T958" i="14"/>
  <c r="G891" i="14"/>
  <c r="AF891" i="14" s="1"/>
  <c r="R956" i="14"/>
  <c r="T956" i="14"/>
  <c r="J998" i="14"/>
  <c r="Q998" i="14"/>
  <c r="Q942" i="14"/>
  <c r="E982" i="14"/>
  <c r="J872" i="14"/>
  <c r="J919" i="14"/>
  <c r="BB847" i="14"/>
  <c r="I931" i="14"/>
  <c r="I906" i="14"/>
  <c r="T906" i="14"/>
  <c r="BM956" i="14"/>
  <c r="T982" i="14"/>
  <c r="Q930" i="14"/>
  <c r="U928" i="14"/>
  <c r="BA825" i="14"/>
  <c r="AY958" i="14"/>
  <c r="BL860" i="14"/>
  <c r="AY928" i="14"/>
  <c r="W825" i="14"/>
  <c r="W958" i="14"/>
  <c r="Q860" i="14"/>
  <c r="G941" i="14"/>
  <c r="BG941" i="14" s="1"/>
  <c r="AZ891" i="14"/>
  <c r="BA891" i="14"/>
  <c r="Q956" i="14"/>
  <c r="T980" i="14"/>
  <c r="I998" i="14"/>
  <c r="T998" i="14"/>
  <c r="W942" i="14"/>
  <c r="I982" i="14"/>
  <c r="R872" i="14"/>
  <c r="Q919" i="14"/>
  <c r="J847" i="14"/>
  <c r="AZ931" i="14"/>
  <c r="BL906" i="14"/>
  <c r="W928" i="14"/>
  <c r="AZ825" i="14"/>
  <c r="BM890" i="14"/>
  <c r="AY941" i="14"/>
  <c r="U890" i="14"/>
  <c r="BA930" i="14"/>
  <c r="BB825" i="14"/>
  <c r="BL890" i="14"/>
  <c r="G930" i="14"/>
  <c r="BG930" i="14" s="1"/>
  <c r="BM825" i="14"/>
  <c r="W860" i="14"/>
  <c r="BM891" i="14"/>
  <c r="U942" i="14"/>
  <c r="BA851" i="14"/>
  <c r="R975" i="14"/>
  <c r="I882" i="14"/>
  <c r="AY854" i="14"/>
  <c r="BL851" i="14"/>
  <c r="T834" i="14"/>
  <c r="I851" i="14"/>
  <c r="J907" i="14"/>
  <c r="AZ1020" i="14"/>
  <c r="Q854" i="14"/>
  <c r="BB882" i="14"/>
  <c r="T851" i="14"/>
  <c r="BH851" i="14" s="1"/>
  <c r="BB907" i="14"/>
  <c r="Q1020" i="14"/>
  <c r="G854" i="14"/>
  <c r="I907" i="14"/>
  <c r="BB904" i="14"/>
  <c r="AZ859" i="14"/>
  <c r="Q945" i="14"/>
  <c r="Q904" i="14"/>
  <c r="BB903" i="14"/>
  <c r="AY859" i="14"/>
  <c r="U945" i="14"/>
  <c r="BM927" i="14"/>
  <c r="R904" i="14"/>
  <c r="I903" i="14"/>
  <c r="I859" i="14"/>
  <c r="BM945" i="14"/>
  <c r="J927" i="14"/>
  <c r="W904" i="14"/>
  <c r="AF904" i="14" s="1"/>
  <c r="BL903" i="14"/>
  <c r="BL927" i="14"/>
  <c r="T904" i="14"/>
  <c r="BA927" i="14"/>
  <c r="J834" i="14"/>
  <c r="U851" i="14"/>
  <c r="W927" i="14"/>
  <c r="AF927" i="14" s="1"/>
  <c r="BL834" i="14"/>
  <c r="BM851" i="14"/>
  <c r="T927" i="14"/>
  <c r="BB834" i="14"/>
  <c r="T1008" i="14"/>
  <c r="W896" i="14"/>
  <c r="BL1009" i="14"/>
  <c r="BM1019" i="14"/>
  <c r="Q957" i="14"/>
  <c r="I1009" i="14"/>
  <c r="G957" i="14"/>
  <c r="BM877" i="14"/>
  <c r="R968" i="14"/>
  <c r="BB873" i="14"/>
  <c r="BM852" i="14"/>
  <c r="BA968" i="14"/>
  <c r="AY963" i="14"/>
  <c r="U905" i="14"/>
  <c r="BM1012" i="14"/>
  <c r="I905" i="14"/>
  <c r="BL1012" i="14"/>
  <c r="W905" i="14"/>
  <c r="AF905" i="14" s="1"/>
  <c r="AY1019" i="14"/>
  <c r="BA905" i="14"/>
  <c r="R831" i="14"/>
  <c r="BB967" i="14"/>
  <c r="J898" i="14"/>
  <c r="E851" i="14"/>
  <c r="AZ963" i="14"/>
  <c r="G963" i="14"/>
  <c r="BG963" i="14" s="1"/>
  <c r="G907" i="14"/>
  <c r="BG907" i="14" s="1"/>
  <c r="BB859" i="14"/>
  <c r="E1008" i="14"/>
  <c r="E896" i="14"/>
  <c r="E957" i="14"/>
  <c r="W957" i="14"/>
  <c r="U898" i="14"/>
  <c r="J1009" i="14"/>
  <c r="BA1009" i="14"/>
  <c r="AY945" i="14"/>
  <c r="BL850" i="14"/>
  <c r="W850" i="14"/>
  <c r="BL905" i="14"/>
  <c r="E927" i="14"/>
  <c r="BB852" i="14"/>
  <c r="U904" i="14"/>
  <c r="BL831" i="14"/>
  <c r="U877" i="14"/>
  <c r="Q1019" i="14"/>
  <c r="R834" i="14"/>
  <c r="R1020" i="14"/>
  <c r="G1020" i="14"/>
  <c r="BG1020" i="14" s="1"/>
  <c r="R854" i="14"/>
  <c r="BA854" i="14"/>
  <c r="AZ968" i="14"/>
  <c r="BB944" i="14"/>
  <c r="AZ882" i="14"/>
  <c r="I1012" i="14"/>
  <c r="G903" i="14"/>
  <c r="BG903" i="14" s="1"/>
  <c r="G967" i="14"/>
  <c r="BG967" i="14" s="1"/>
  <c r="BL873" i="14"/>
  <c r="AZ852" i="14"/>
  <c r="T831" i="14"/>
  <c r="E877" i="14"/>
  <c r="E856" i="14"/>
  <c r="I968" i="14"/>
  <c r="E882" i="14"/>
  <c r="U967" i="14"/>
  <c r="BM873" i="14"/>
  <c r="J851" i="14"/>
  <c r="J963" i="14"/>
  <c r="Q963" i="14"/>
  <c r="AZ907" i="14"/>
  <c r="W907" i="14"/>
  <c r="E859" i="14"/>
  <c r="AY1008" i="14"/>
  <c r="I896" i="14"/>
  <c r="J957" i="14"/>
  <c r="T957" i="14"/>
  <c r="BB898" i="14"/>
  <c r="AZ1009" i="14"/>
  <c r="G1009" i="14"/>
  <c r="BG1009" i="14" s="1"/>
  <c r="BA945" i="14"/>
  <c r="R850" i="14"/>
  <c r="G850" i="14"/>
  <c r="BG850" i="14" s="1"/>
  <c r="E905" i="14"/>
  <c r="BB927" i="14"/>
  <c r="AY852" i="14"/>
  <c r="BM904" i="14"/>
  <c r="J831" i="14"/>
  <c r="Q877" i="14"/>
  <c r="W1019" i="14"/>
  <c r="BM834" i="14"/>
  <c r="BB1020" i="14"/>
  <c r="W1020" i="14"/>
  <c r="I854" i="14"/>
  <c r="W854" i="14"/>
  <c r="BM968" i="14"/>
  <c r="BA944" i="14"/>
  <c r="R882" i="14"/>
  <c r="AY1012" i="14"/>
  <c r="BA903" i="14"/>
  <c r="W967" i="14"/>
  <c r="G873" i="14"/>
  <c r="BG873" i="14" s="1"/>
  <c r="Q873" i="14"/>
  <c r="BB1008" i="14"/>
  <c r="W1009" i="14"/>
  <c r="BM905" i="14"/>
  <c r="AZ831" i="14"/>
  <c r="R1012" i="14"/>
  <c r="E907" i="14"/>
  <c r="Q859" i="14"/>
  <c r="J1008" i="14"/>
  <c r="AZ896" i="14"/>
  <c r="I957" i="14"/>
  <c r="BM898" i="14"/>
  <c r="E1009" i="14"/>
  <c r="T1009" i="14"/>
  <c r="W945" i="14"/>
  <c r="BB850" i="14"/>
  <c r="T850" i="14"/>
  <c r="AZ905" i="14"/>
  <c r="U927" i="14"/>
  <c r="I852" i="14"/>
  <c r="J904" i="14"/>
  <c r="BM831" i="14"/>
  <c r="R877" i="14"/>
  <c r="R1019" i="14"/>
  <c r="BA1019" i="14"/>
  <c r="E834" i="14"/>
  <c r="U1020" i="14"/>
  <c r="T1020" i="14"/>
  <c r="BB854" i="14"/>
  <c r="T854" i="14"/>
  <c r="BB968" i="14"/>
  <c r="U882" i="14"/>
  <c r="W1012" i="14"/>
  <c r="J903" i="14"/>
  <c r="W903" i="14"/>
  <c r="BA967" i="14"/>
  <c r="E873" i="14"/>
  <c r="I873" i="14"/>
  <c r="AZ1008" i="14"/>
  <c r="BA963" i="14"/>
  <c r="J852" i="14"/>
  <c r="T963" i="14"/>
  <c r="BM963" i="14"/>
  <c r="R907" i="14"/>
  <c r="T907" i="14"/>
  <c r="G859" i="14"/>
  <c r="BG859" i="14" s="1"/>
  <c r="BM1008" i="14"/>
  <c r="BB896" i="14"/>
  <c r="AZ957" i="14"/>
  <c r="AY898" i="14"/>
  <c r="R1009" i="14"/>
  <c r="R945" i="14"/>
  <c r="G945" i="14"/>
  <c r="BG945" i="14" s="1"/>
  <c r="U850" i="14"/>
  <c r="BB905" i="14"/>
  <c r="I927" i="14"/>
  <c r="W852" i="14"/>
  <c r="AZ904" i="14"/>
  <c r="I831" i="14"/>
  <c r="I877" i="14"/>
  <c r="BB1019" i="14"/>
  <c r="G1019" i="14"/>
  <c r="AZ834" i="14"/>
  <c r="BM1020" i="14"/>
  <c r="U854" i="14"/>
  <c r="E968" i="14"/>
  <c r="AY882" i="14"/>
  <c r="G1012" i="14"/>
  <c r="BG1012" i="14" s="1"/>
  <c r="BM903" i="14"/>
  <c r="Q903" i="14"/>
  <c r="T967" i="14"/>
  <c r="W873" i="14"/>
  <c r="T873" i="14"/>
  <c r="W963" i="14"/>
  <c r="T896" i="14"/>
  <c r="I850" i="14"/>
  <c r="AZ967" i="14"/>
  <c r="BA873" i="14"/>
  <c r="AZ851" i="14"/>
  <c r="U963" i="14"/>
  <c r="Q907" i="14"/>
  <c r="J859" i="14"/>
  <c r="BA859" i="14"/>
  <c r="R1008" i="14"/>
  <c r="J896" i="14"/>
  <c r="BL957" i="14"/>
  <c r="R898" i="14"/>
  <c r="Q1009" i="14"/>
  <c r="BB945" i="14"/>
  <c r="I945" i="14"/>
  <c r="E850" i="14"/>
  <c r="AY905" i="14"/>
  <c r="R927" i="14"/>
  <c r="BL852" i="14"/>
  <c r="G852" i="14"/>
  <c r="BG852" i="14" s="1"/>
  <c r="BL904" i="14"/>
  <c r="AY831" i="14"/>
  <c r="G877" i="14"/>
  <c r="BG877" i="14" s="1"/>
  <c r="U1019" i="14"/>
  <c r="T1019" i="14"/>
  <c r="AY834" i="14"/>
  <c r="I1020" i="14"/>
  <c r="BL854" i="14"/>
  <c r="BL968" i="14"/>
  <c r="Q882" i="14"/>
  <c r="U1012" i="14"/>
  <c r="BA1012" i="14"/>
  <c r="R903" i="14"/>
  <c r="T903" i="14"/>
  <c r="U837" i="14"/>
  <c r="R873" i="14"/>
  <c r="W898" i="14"/>
  <c r="BA957" i="14"/>
  <c r="J1019" i="14"/>
  <c r="BA907" i="14"/>
  <c r="R851" i="14"/>
  <c r="BL963" i="14"/>
  <c r="AY907" i="14"/>
  <c r="R859" i="14"/>
  <c r="W859" i="14"/>
  <c r="Q1008" i="14"/>
  <c r="AY896" i="14"/>
  <c r="R957" i="14"/>
  <c r="BL898" i="14"/>
  <c r="BM1009" i="14"/>
  <c r="BL945" i="14"/>
  <c r="T945" i="14"/>
  <c r="AZ850" i="14"/>
  <c r="J905" i="14"/>
  <c r="AZ927" i="14"/>
  <c r="Q852" i="14"/>
  <c r="BA852" i="14"/>
  <c r="AY904" i="14"/>
  <c r="E831" i="14"/>
  <c r="AZ877" i="14"/>
  <c r="BA877" i="14"/>
  <c r="BL1019" i="14"/>
  <c r="G834" i="14"/>
  <c r="BG834" i="14" s="1"/>
  <c r="AY1020" i="14"/>
  <c r="AZ854" i="14"/>
  <c r="J968" i="14"/>
  <c r="BL935" i="14"/>
  <c r="G882" i="14"/>
  <c r="BG882" i="14" s="1"/>
  <c r="E1012" i="14"/>
  <c r="Q1012" i="14"/>
  <c r="AZ903" i="14"/>
  <c r="W837" i="14"/>
  <c r="J873" i="14"/>
  <c r="BB877" i="14"/>
  <c r="I898" i="14"/>
  <c r="BA850" i="14"/>
  <c r="R963" i="14"/>
  <c r="AY851" i="14"/>
  <c r="BB851" i="14"/>
  <c r="Q851" i="14"/>
  <c r="BB963" i="14"/>
  <c r="U907" i="14"/>
  <c r="BM859" i="14"/>
  <c r="T859" i="14"/>
  <c r="G1008" i="14"/>
  <c r="BG1008" i="14" s="1"/>
  <c r="Q896" i="14"/>
  <c r="AY957" i="14"/>
  <c r="E898" i="14"/>
  <c r="AY1009" i="14"/>
  <c r="J945" i="14"/>
  <c r="BM850" i="14"/>
  <c r="R905" i="14"/>
  <c r="AY927" i="14"/>
  <c r="R852" i="14"/>
  <c r="T852" i="14"/>
  <c r="I904" i="14"/>
  <c r="U831" i="14"/>
  <c r="BL877" i="14"/>
  <c r="W877" i="14"/>
  <c r="AZ1019" i="14"/>
  <c r="BA834" i="14"/>
  <c r="BL1020" i="14"/>
  <c r="BM854" i="14"/>
  <c r="AY968" i="14"/>
  <c r="BM882" i="14"/>
  <c r="W882" i="14"/>
  <c r="AZ1012" i="14"/>
  <c r="T1012" i="14"/>
  <c r="E903" i="14"/>
  <c r="U873" i="14"/>
  <c r="R896" i="14"/>
  <c r="W831" i="14"/>
  <c r="G968" i="14"/>
  <c r="AF968" i="14" s="1"/>
  <c r="U896" i="14"/>
  <c r="T898" i="14"/>
  <c r="BA1020" i="14"/>
  <c r="T968" i="14"/>
  <c r="BH968" i="14" s="1"/>
  <c r="BM907" i="14"/>
  <c r="U859" i="14"/>
  <c r="U1008" i="14"/>
  <c r="W1008" i="14"/>
  <c r="G896" i="14"/>
  <c r="BG896" i="14" s="1"/>
  <c r="U957" i="14"/>
  <c r="Q898" i="14"/>
  <c r="BB1009" i="14"/>
  <c r="AZ945" i="14"/>
  <c r="AY850" i="14"/>
  <c r="Q905" i="14"/>
  <c r="Q927" i="14"/>
  <c r="E852" i="14"/>
  <c r="E878" i="14"/>
  <c r="BA904" i="14"/>
  <c r="Q831" i="14"/>
  <c r="AY877" i="14"/>
  <c r="T877" i="14"/>
  <c r="I1019" i="14"/>
  <c r="U834" i="14"/>
  <c r="W834" i="14"/>
  <c r="E1020" i="14"/>
  <c r="E854" i="14"/>
  <c r="Q968" i="14"/>
  <c r="BL882" i="14"/>
  <c r="BA882" i="14"/>
  <c r="J1012" i="14"/>
  <c r="U903" i="14"/>
  <c r="AZ873" i="14"/>
  <c r="BB831" i="14"/>
  <c r="U968" i="14"/>
  <c r="BB957" i="14"/>
  <c r="T905" i="14"/>
  <c r="G851" i="14"/>
  <c r="AF851" i="14" s="1"/>
  <c r="I963" i="14"/>
  <c r="I1008" i="14"/>
  <c r="BL896" i="14"/>
  <c r="E904" i="14"/>
  <c r="Q834" i="14"/>
  <c r="J882" i="14"/>
  <c r="J967" i="14"/>
  <c r="BA867" i="14"/>
  <c r="I862" i="14"/>
  <c r="BA862" i="14"/>
  <c r="E979" i="14"/>
  <c r="R943" i="14"/>
  <c r="E960" i="14"/>
  <c r="BM985" i="14"/>
  <c r="BA985" i="14"/>
  <c r="U899" i="14"/>
  <c r="AY881" i="14"/>
  <c r="AZ947" i="14"/>
  <c r="BL867" i="14"/>
  <c r="W867" i="14"/>
  <c r="BL862" i="14"/>
  <c r="AZ1011" i="14"/>
  <c r="T1011" i="14"/>
  <c r="I979" i="14"/>
  <c r="BB943" i="14"/>
  <c r="AZ960" i="14"/>
  <c r="I985" i="14"/>
  <c r="T985" i="14"/>
  <c r="BA899" i="14"/>
  <c r="BA881" i="14"/>
  <c r="U867" i="14"/>
  <c r="Q867" i="14"/>
  <c r="BB862" i="14"/>
  <c r="BL1011" i="14"/>
  <c r="G979" i="14"/>
  <c r="J943" i="14"/>
  <c r="AY960" i="14"/>
  <c r="U985" i="14"/>
  <c r="BM880" i="14"/>
  <c r="G899" i="14"/>
  <c r="BG899" i="14" s="1"/>
  <c r="E881" i="14"/>
  <c r="W881" i="14"/>
  <c r="AZ867" i="14"/>
  <c r="T867" i="14"/>
  <c r="R862" i="14"/>
  <c r="U1011" i="14"/>
  <c r="J979" i="14"/>
  <c r="W979" i="14"/>
  <c r="I943" i="14"/>
  <c r="Q960" i="14"/>
  <c r="BB985" i="14"/>
  <c r="AZ899" i="14"/>
  <c r="W899" i="14"/>
  <c r="R881" i="14"/>
  <c r="G881" i="14"/>
  <c r="BG881" i="14" s="1"/>
  <c r="R947" i="14"/>
  <c r="BB867" i="14"/>
  <c r="BM862" i="14"/>
  <c r="I1011" i="14"/>
  <c r="AZ979" i="14"/>
  <c r="BA979" i="14"/>
  <c r="BL943" i="14"/>
  <c r="W960" i="14"/>
  <c r="J985" i="14"/>
  <c r="G970" i="14"/>
  <c r="BG970" i="14" s="1"/>
  <c r="E899" i="14"/>
  <c r="Q899" i="14"/>
  <c r="J881" i="14"/>
  <c r="T881" i="14"/>
  <c r="E867" i="14"/>
  <c r="AZ862" i="14"/>
  <c r="BB1011" i="14"/>
  <c r="BM979" i="14"/>
  <c r="T979" i="14"/>
  <c r="AY943" i="14"/>
  <c r="BB960" i="14"/>
  <c r="G960" i="14"/>
  <c r="AZ985" i="14"/>
  <c r="BL899" i="14"/>
  <c r="T899" i="14"/>
  <c r="AZ881" i="14"/>
  <c r="BL947" i="14"/>
  <c r="U947" i="14"/>
  <c r="G947" i="14"/>
  <c r="BG947" i="14" s="1"/>
  <c r="W947" i="14"/>
  <c r="J867" i="14"/>
  <c r="E862" i="14"/>
  <c r="J1011" i="14"/>
  <c r="R979" i="14"/>
  <c r="Q943" i="14"/>
  <c r="U960" i="14"/>
  <c r="BA960" i="14"/>
  <c r="BL985" i="14"/>
  <c r="I899" i="14"/>
  <c r="BM881" i="14"/>
  <c r="BM947" i="14"/>
  <c r="BA947" i="14"/>
  <c r="BM867" i="14"/>
  <c r="AY862" i="14"/>
  <c r="E1011" i="14"/>
  <c r="U979" i="14"/>
  <c r="BA943" i="14"/>
  <c r="R960" i="14"/>
  <c r="T960" i="14"/>
  <c r="E985" i="14"/>
  <c r="BM899" i="14"/>
  <c r="BL881" i="14"/>
  <c r="R965" i="14"/>
  <c r="I867" i="14"/>
  <c r="Q862" i="14"/>
  <c r="AY1011" i="14"/>
  <c r="BL979" i="14"/>
  <c r="U943" i="14"/>
  <c r="W943" i="14"/>
  <c r="BM960" i="14"/>
  <c r="AY985" i="14"/>
  <c r="BB899" i="14"/>
  <c r="U881" i="14"/>
  <c r="Q947" i="14"/>
  <c r="T947" i="14"/>
  <c r="R867" i="14"/>
  <c r="W862" i="14"/>
  <c r="Q1011" i="14"/>
  <c r="BB979" i="14"/>
  <c r="Q980" i="14"/>
  <c r="AZ943" i="14"/>
  <c r="G943" i="14"/>
  <c r="BG943" i="14" s="1"/>
  <c r="BL960" i="14"/>
  <c r="Q985" i="14"/>
  <c r="J899" i="14"/>
  <c r="I881" i="14"/>
  <c r="G965" i="14"/>
  <c r="BG965" i="14" s="1"/>
  <c r="E947" i="14"/>
  <c r="J947" i="14"/>
  <c r="J862" i="14"/>
  <c r="U980" i="14"/>
  <c r="E943" i="14"/>
  <c r="W965" i="14"/>
  <c r="AY920" i="14"/>
  <c r="J861" i="14"/>
  <c r="R1005" i="14"/>
  <c r="R939" i="14"/>
  <c r="J1004" i="14"/>
  <c r="J953" i="14"/>
  <c r="BB1021" i="14"/>
  <c r="U920" i="14"/>
  <c r="AY910" i="14"/>
  <c r="I969" i="14"/>
  <c r="J955" i="14"/>
  <c r="Q861" i="14"/>
  <c r="BL1005" i="14"/>
  <c r="U939" i="14"/>
  <c r="R1004" i="14"/>
  <c r="AY953" i="14"/>
  <c r="AY1021" i="14"/>
  <c r="E920" i="14"/>
  <c r="BB910" i="14"/>
  <c r="BA969" i="14"/>
  <c r="AY955" i="14"/>
  <c r="E953" i="14"/>
  <c r="BA861" i="14"/>
  <c r="AZ1005" i="14"/>
  <c r="AY939" i="14"/>
  <c r="AY1004" i="14"/>
  <c r="BM953" i="14"/>
  <c r="I1021" i="14"/>
  <c r="G920" i="14"/>
  <c r="Q910" i="14"/>
  <c r="U969" i="14"/>
  <c r="G969" i="14"/>
  <c r="BG969" i="14" s="1"/>
  <c r="Q955" i="14"/>
  <c r="U861" i="14"/>
  <c r="G861" i="14"/>
  <c r="I1005" i="14"/>
  <c r="BB939" i="14"/>
  <c r="AZ1004" i="14"/>
  <c r="AZ953" i="14"/>
  <c r="G1021" i="14"/>
  <c r="BG1021" i="14" s="1"/>
  <c r="BA920" i="14"/>
  <c r="G910" i="14"/>
  <c r="BG910" i="14" s="1"/>
  <c r="BL969" i="14"/>
  <c r="W969" i="14"/>
  <c r="G955" i="14"/>
  <c r="BL861" i="14"/>
  <c r="W861" i="14"/>
  <c r="E1005" i="14"/>
  <c r="Q939" i="14"/>
  <c r="I1004" i="14"/>
  <c r="I953" i="14"/>
  <c r="Q1021" i="14"/>
  <c r="W1021" i="14"/>
  <c r="R920" i="14"/>
  <c r="W920" i="14"/>
  <c r="E910" i="14"/>
  <c r="W910" i="14"/>
  <c r="BM969" i="14"/>
  <c r="T969" i="14"/>
  <c r="AZ955" i="14"/>
  <c r="W955" i="14"/>
  <c r="I955" i="14"/>
  <c r="BB861" i="14"/>
  <c r="J1005" i="14"/>
  <c r="G939" i="14"/>
  <c r="BG939" i="14" s="1"/>
  <c r="G1004" i="14"/>
  <c r="BG1004" i="14" s="1"/>
  <c r="G953" i="14"/>
  <c r="BG953" i="14" s="1"/>
  <c r="U1021" i="14"/>
  <c r="BA1021" i="14"/>
  <c r="J920" i="14"/>
  <c r="Q920" i="14"/>
  <c r="AZ910" i="14"/>
  <c r="BA910" i="14"/>
  <c r="BB969" i="14"/>
  <c r="BL955" i="14"/>
  <c r="BA955" i="14"/>
  <c r="T861" i="14"/>
  <c r="BM861" i="14"/>
  <c r="AY1005" i="14"/>
  <c r="E939" i="14"/>
  <c r="W939" i="14"/>
  <c r="BL1004" i="14"/>
  <c r="W1004" i="14"/>
  <c r="BL953" i="14"/>
  <c r="BA953" i="14"/>
  <c r="E1021" i="14"/>
  <c r="T1021" i="14"/>
  <c r="BL920" i="14"/>
  <c r="T920" i="14"/>
  <c r="J910" i="14"/>
  <c r="T910" i="14"/>
  <c r="AZ969" i="14"/>
  <c r="BB955" i="14"/>
  <c r="T955" i="14"/>
  <c r="E861" i="14"/>
  <c r="Q1005" i="14"/>
  <c r="J939" i="14"/>
  <c r="BA939" i="14"/>
  <c r="U1004" i="14"/>
  <c r="BA1004" i="14"/>
  <c r="BB953" i="14"/>
  <c r="W953" i="14"/>
  <c r="R1021" i="14"/>
  <c r="AZ920" i="14"/>
  <c r="U910" i="14"/>
  <c r="Q969" i="14"/>
  <c r="R955" i="14"/>
  <c r="AY861" i="14"/>
  <c r="G1005" i="14"/>
  <c r="BG1005" i="14" s="1"/>
  <c r="BM939" i="14"/>
  <c r="T939" i="14"/>
  <c r="BM1004" i="14"/>
  <c r="T1004" i="14"/>
  <c r="U953" i="14"/>
  <c r="T953" i="14"/>
  <c r="BL1021" i="14"/>
  <c r="I920" i="14"/>
  <c r="BL910" i="14"/>
  <c r="AY969" i="14"/>
  <c r="BM955" i="14"/>
  <c r="BM910" i="14"/>
  <c r="AZ861" i="14"/>
  <c r="BM1005" i="14"/>
  <c r="W1005" i="14"/>
  <c r="I939" i="14"/>
  <c r="E1004" i="14"/>
  <c r="Q953" i="14"/>
  <c r="J1021" i="14"/>
  <c r="BM920" i="14"/>
  <c r="R910" i="14"/>
  <c r="E969" i="14"/>
  <c r="E955" i="14"/>
  <c r="BB1005" i="14"/>
  <c r="BM879" i="14"/>
  <c r="W879" i="14"/>
  <c r="I860" i="14"/>
  <c r="U941" i="14"/>
  <c r="R980" i="14"/>
  <c r="W980" i="14"/>
  <c r="AF980" i="14" s="1"/>
  <c r="W880" i="14"/>
  <c r="I970" i="14"/>
  <c r="I933" i="14"/>
  <c r="E980" i="14"/>
  <c r="BA980" i="14"/>
  <c r="I880" i="14"/>
  <c r="G880" i="14"/>
  <c r="AY970" i="14"/>
  <c r="AY933" i="14"/>
  <c r="U880" i="14"/>
  <c r="Q880" i="14"/>
  <c r="AZ970" i="14"/>
  <c r="Q933" i="14"/>
  <c r="G890" i="14"/>
  <c r="AZ930" i="14"/>
  <c r="T930" i="14"/>
  <c r="BL879" i="14"/>
  <c r="AY860" i="14"/>
  <c r="BB941" i="14"/>
  <c r="AY980" i="14"/>
  <c r="J880" i="14"/>
  <c r="T880" i="14"/>
  <c r="J970" i="14"/>
  <c r="BA933" i="14"/>
  <c r="BL967" i="14"/>
  <c r="I941" i="14"/>
  <c r="J980" i="14"/>
  <c r="AZ880" i="14"/>
  <c r="R970" i="14"/>
  <c r="AZ933" i="14"/>
  <c r="G933" i="14"/>
  <c r="BG933" i="14" s="1"/>
  <c r="E967" i="14"/>
  <c r="E933" i="14"/>
  <c r="W933" i="14"/>
  <c r="AZ890" i="14"/>
  <c r="I879" i="14"/>
  <c r="R860" i="14"/>
  <c r="G860" i="14"/>
  <c r="BG860" i="14" s="1"/>
  <c r="J941" i="14"/>
  <c r="W941" i="14"/>
  <c r="BL980" i="14"/>
  <c r="AY880" i="14"/>
  <c r="BA970" i="14"/>
  <c r="U933" i="14"/>
  <c r="T933" i="14"/>
  <c r="BM967" i="14"/>
  <c r="BB879" i="14"/>
  <c r="J860" i="14"/>
  <c r="BA860" i="14"/>
  <c r="BM941" i="14"/>
  <c r="BA941" i="14"/>
  <c r="BB980" i="14"/>
  <c r="R880" i="14"/>
  <c r="BM970" i="14"/>
  <c r="W970" i="14"/>
  <c r="R933" i="14"/>
  <c r="R967" i="14"/>
  <c r="BL941" i="14"/>
  <c r="T941" i="14"/>
  <c r="AZ980" i="14"/>
  <c r="BL880" i="14"/>
  <c r="BB970" i="14"/>
  <c r="Q970" i="14"/>
  <c r="BL933" i="14"/>
  <c r="Q967" i="14"/>
  <c r="BM980" i="14"/>
  <c r="BB880" i="14"/>
  <c r="BL970" i="14"/>
  <c r="T970" i="14"/>
  <c r="BB933" i="14"/>
  <c r="AY967" i="14"/>
  <c r="G879" i="14"/>
  <c r="BG879" i="14" s="1"/>
  <c r="BM860" i="14"/>
  <c r="AZ941" i="14"/>
  <c r="I980" i="14"/>
  <c r="E880" i="14"/>
  <c r="E970" i="14"/>
  <c r="BM933" i="14"/>
  <c r="BM878" i="14"/>
  <c r="R856" i="14"/>
  <c r="AZ944" i="14"/>
  <c r="T944" i="14"/>
  <c r="BH944" i="14" s="1"/>
  <c r="AY935" i="14"/>
  <c r="BM975" i="14"/>
  <c r="BM837" i="14"/>
  <c r="T837" i="14"/>
  <c r="R878" i="14"/>
  <c r="BB856" i="14"/>
  <c r="E944" i="14"/>
  <c r="AZ935" i="14"/>
  <c r="AY975" i="14"/>
  <c r="BB837" i="14"/>
  <c r="I878" i="14"/>
  <c r="J856" i="14"/>
  <c r="BM944" i="14"/>
  <c r="I935" i="14"/>
  <c r="U975" i="14"/>
  <c r="Q837" i="14"/>
  <c r="G878" i="14"/>
  <c r="BG878" i="14" s="1"/>
  <c r="AZ856" i="14"/>
  <c r="I944" i="14"/>
  <c r="R935" i="14"/>
  <c r="BL975" i="14"/>
  <c r="E837" i="14"/>
  <c r="AZ878" i="14"/>
  <c r="BA878" i="14"/>
  <c r="AY856" i="14"/>
  <c r="J944" i="14"/>
  <c r="BB935" i="14"/>
  <c r="E975" i="14"/>
  <c r="J837" i="14"/>
  <c r="BL878" i="14"/>
  <c r="W878" i="14"/>
  <c r="Q856" i="14"/>
  <c r="BL944" i="14"/>
  <c r="G935" i="14"/>
  <c r="BG935" i="14" s="1"/>
  <c r="Q975" i="14"/>
  <c r="AY837" i="14"/>
  <c r="U878" i="14"/>
  <c r="T878" i="14"/>
  <c r="W856" i="14"/>
  <c r="R944" i="14"/>
  <c r="W935" i="14"/>
  <c r="W975" i="14"/>
  <c r="BL837" i="14"/>
  <c r="J878" i="14"/>
  <c r="BM856" i="14"/>
  <c r="G856" i="14"/>
  <c r="AY944" i="14"/>
  <c r="J935" i="14"/>
  <c r="BA935" i="14"/>
  <c r="I975" i="14"/>
  <c r="G975" i="14"/>
  <c r="BG975" i="14" s="1"/>
  <c r="AZ837" i="14"/>
  <c r="Q878" i="14"/>
  <c r="U856" i="14"/>
  <c r="BA856" i="14"/>
  <c r="Q944" i="14"/>
  <c r="E935" i="14"/>
  <c r="Q935" i="14"/>
  <c r="J975" i="14"/>
  <c r="BA975" i="14"/>
  <c r="I837" i="14"/>
  <c r="AY878" i="14"/>
  <c r="BL856" i="14"/>
  <c r="T856" i="14"/>
  <c r="G944" i="14"/>
  <c r="AF944" i="14" s="1"/>
  <c r="U935" i="14"/>
  <c r="T935" i="14"/>
  <c r="AZ975" i="14"/>
  <c r="T975" i="14"/>
  <c r="G837" i="14"/>
  <c r="BG837" i="14" s="1"/>
  <c r="U944" i="14"/>
  <c r="R837" i="14"/>
  <c r="BC922" i="14"/>
  <c r="BD922" i="14"/>
  <c r="P922" i="14"/>
  <c r="H922" i="14"/>
  <c r="BG876" i="14"/>
  <c r="BG994" i="14"/>
  <c r="BG846" i="14"/>
  <c r="BH922" i="14"/>
  <c r="T1022" i="14"/>
  <c r="U1022" i="14"/>
  <c r="E1022" i="14"/>
  <c r="F195" i="7"/>
  <c r="F178" i="7"/>
  <c r="F135" i="7"/>
  <c r="F154" i="7"/>
  <c r="F163" i="7"/>
  <c r="F174" i="7"/>
  <c r="F134" i="7"/>
  <c r="F157" i="7"/>
  <c r="F164" i="7"/>
  <c r="F179" i="7"/>
  <c r="F160" i="7"/>
  <c r="BL1022" i="14"/>
  <c r="F171" i="7"/>
  <c r="F176" i="7"/>
  <c r="F166" i="7"/>
  <c r="I1022" i="14"/>
  <c r="F150" i="7"/>
  <c r="F146" i="7"/>
  <c r="G1022" i="14"/>
  <c r="F144" i="7"/>
  <c r="F159" i="7"/>
  <c r="R1022" i="14"/>
  <c r="F167" i="7"/>
  <c r="F161" i="7"/>
  <c r="F194" i="7"/>
  <c r="F126" i="7"/>
  <c r="F169" i="7"/>
  <c r="F137" i="7"/>
  <c r="F187" i="7"/>
  <c r="F145" i="7"/>
  <c r="F129" i="7"/>
  <c r="BB1022" i="14"/>
  <c r="F147" i="7"/>
  <c r="F193" i="7"/>
  <c r="F124" i="7"/>
  <c r="F173" i="7"/>
  <c r="F141" i="7"/>
  <c r="F131" i="7"/>
  <c r="F156" i="7"/>
  <c r="F177" i="7"/>
  <c r="F132" i="7"/>
  <c r="F170" i="7"/>
  <c r="F127" i="7"/>
  <c r="F143" i="7"/>
  <c r="F188" i="7"/>
  <c r="F182" i="7"/>
  <c r="F136" i="7"/>
  <c r="F185" i="7"/>
  <c r="F153" i="7"/>
  <c r="AY1022" i="14"/>
  <c r="F168" i="7"/>
  <c r="AZ1022" i="14"/>
  <c r="F139" i="7"/>
  <c r="Q1022" i="14"/>
  <c r="F191" i="7"/>
  <c r="F175" i="7"/>
  <c r="F197" i="7"/>
  <c r="F196" i="7"/>
  <c r="F165" i="7"/>
  <c r="F125" i="7"/>
  <c r="F192" i="7"/>
  <c r="F152" i="7"/>
  <c r="F172" i="7"/>
  <c r="W1022" i="14"/>
  <c r="J1022" i="14"/>
  <c r="BM1022" i="14"/>
  <c r="F148" i="7"/>
  <c r="F151" i="7"/>
  <c r="F190" i="7"/>
  <c r="F181" i="7"/>
  <c r="BA1022" i="14"/>
  <c r="F138" i="7"/>
  <c r="F162" i="7"/>
  <c r="F155" i="7"/>
  <c r="F189" i="7"/>
  <c r="F158" i="7"/>
  <c r="F133" i="7"/>
  <c r="F183" i="7"/>
  <c r="F186" i="7"/>
  <c r="F180" i="7"/>
  <c r="F140" i="7"/>
  <c r="F142" i="7"/>
  <c r="F128" i="7"/>
  <c r="F184" i="7"/>
  <c r="F130" i="7"/>
  <c r="F149" i="7"/>
  <c r="BG984" i="14"/>
  <c r="BG982" i="14"/>
  <c r="BG985" i="14"/>
  <c r="AF922" i="14"/>
  <c r="BG922" i="14"/>
  <c r="BG862" i="14"/>
  <c r="BG905" i="14"/>
  <c r="BG927" i="14"/>
  <c r="BG904" i="14"/>
  <c r="BG980" i="14"/>
  <c r="BG1018" i="14"/>
  <c r="BG919" i="14"/>
  <c r="BG823" i="14"/>
  <c r="BG894" i="14"/>
  <c r="P996" i="14" a="1"/>
  <c r="P986" i="14" a="1"/>
  <c r="P858" i="14" a="1"/>
  <c r="P964" i="14" a="1"/>
  <c r="H964" i="14" a="1"/>
  <c r="P836" i="14" a="1"/>
  <c r="P926" i="14" a="1"/>
  <c r="H934" i="14" a="1"/>
  <c r="H1001" i="14" a="1"/>
  <c r="P1019" i="14" a="1"/>
  <c r="P894" i="14" a="1"/>
  <c r="P822" i="14" a="1"/>
  <c r="P1012" i="14" a="1"/>
  <c r="H822" i="14" a="1"/>
  <c r="H837" i="14" a="1"/>
  <c r="P851" i="14" a="1"/>
  <c r="P998" i="14" a="1"/>
  <c r="H1016" i="14" a="1"/>
  <c r="P935" i="14" a="1"/>
  <c r="P846" i="14" a="1"/>
  <c r="P971" i="14" a="1"/>
  <c r="P860" i="14" a="1"/>
  <c r="H946" i="14" a="1"/>
  <c r="P961" i="14" a="1"/>
  <c r="P1000" i="14" a="1"/>
  <c r="H885" i="14" a="1"/>
  <c r="P944" i="14" a="1"/>
  <c r="H958" i="14" a="1"/>
  <c r="H924" i="14" a="1"/>
  <c r="P908" i="14" a="1"/>
  <c r="P876" i="14" a="1"/>
  <c r="H982" i="14" a="1"/>
  <c r="P1017" i="14" a="1"/>
  <c r="H1011" i="14" a="1"/>
  <c r="H953" i="14" a="1"/>
  <c r="H1022" i="14" a="1"/>
  <c r="P1018" i="14" a="1"/>
  <c r="H826" i="14" a="1"/>
  <c r="P973" i="14" a="1"/>
  <c r="P923" i="14" a="1"/>
  <c r="H961" i="14" a="1"/>
  <c r="H916" i="14" a="1"/>
  <c r="P903" i="14" a="1"/>
  <c r="H1017" i="14" a="1"/>
  <c r="P1001" i="14" a="1"/>
  <c r="P954" i="14" a="1"/>
  <c r="P952" i="14" a="1"/>
  <c r="H1000" i="14" a="1"/>
  <c r="H917" i="14" a="1"/>
  <c r="H1005" i="14" a="1"/>
  <c r="P862" i="14" a="1"/>
  <c r="H879" i="14" a="1"/>
  <c r="H886" i="14" a="1"/>
  <c r="P1011" i="14" a="1"/>
  <c r="H882" i="14" a="1"/>
  <c r="H949" i="14" a="1"/>
  <c r="H915" i="14" a="1"/>
  <c r="P940" i="14" a="1"/>
  <c r="P943" i="14" a="1"/>
  <c r="H932" i="14" a="1"/>
  <c r="P995" i="14" a="1"/>
  <c r="P1010" i="14" a="1"/>
  <c r="H867" i="14" a="1"/>
  <c r="P1004" i="14" a="1"/>
  <c r="H956" i="14" a="1"/>
  <c r="H836" i="14" a="1"/>
  <c r="H892" i="14" a="1"/>
  <c r="P901" i="14" a="1"/>
  <c r="P867" i="14" a="1"/>
  <c r="H859" i="14" a="1"/>
  <c r="H823" i="14" a="1"/>
  <c r="P974" i="14" a="1"/>
  <c r="H889" i="14" a="1"/>
  <c r="H896" i="14" a="1"/>
  <c r="H1008" i="14" a="1"/>
  <c r="H891" i="14" a="1"/>
  <c r="P976" i="14" a="1"/>
  <c r="P912" i="14" a="1"/>
  <c r="H944" i="14" a="1"/>
  <c r="H920" i="14" a="1"/>
  <c r="H824" i="14" a="1"/>
  <c r="H830" i="14" a="1"/>
  <c r="P938" i="14" a="1"/>
  <c r="P870" i="14" a="1"/>
  <c r="P852" i="14" a="1"/>
  <c r="H926" i="14" a="1"/>
  <c r="P907" i="14" a="1"/>
  <c r="H987" i="14" a="1"/>
  <c r="P841" i="14" a="1"/>
  <c r="H974" i="14" a="1"/>
  <c r="H910" i="14" a="1"/>
  <c r="P1003" i="14" a="1"/>
  <c r="H972" i="14" a="1"/>
  <c r="P965" i="14" a="1"/>
  <c r="H948" i="14" a="1"/>
  <c r="P1005" i="14" a="1"/>
  <c r="P859" i="14" a="1"/>
  <c r="P950" i="14" a="1"/>
  <c r="H921" i="14" a="1"/>
  <c r="P842" i="14" a="1"/>
  <c r="P1014" i="14" a="1"/>
  <c r="H900" i="14" a="1"/>
  <c r="H827" i="14" a="1"/>
  <c r="H979" i="14" a="1"/>
  <c r="P834" i="14" a="1"/>
  <c r="P866" i="14" a="1"/>
  <c r="P942" i="14" a="1"/>
  <c r="P889" i="14" a="1"/>
  <c r="P1006" i="14" a="1"/>
  <c r="P933" i="14" a="1"/>
  <c r="H861" i="14" a="1"/>
  <c r="P990" i="14" a="1"/>
  <c r="P959" i="14" a="1"/>
  <c r="H856" i="14" a="1"/>
  <c r="P826" i="14" a="1"/>
  <c r="H905" i="14" a="1"/>
  <c r="H866" i="14" a="1"/>
  <c r="H839" i="14" a="1"/>
  <c r="P929" i="14" a="1"/>
  <c r="P824" i="14" a="1"/>
  <c r="P850" i="14" a="1"/>
  <c r="H963" i="14" a="1"/>
  <c r="H911" i="14" a="1"/>
  <c r="P868" i="14" a="1"/>
  <c r="H993" i="14" a="1"/>
  <c r="P956" i="14" a="1"/>
  <c r="P895" i="14" a="1"/>
  <c r="P930" i="14" a="1"/>
  <c r="P978" i="14" a="1"/>
  <c r="P856" i="14" a="1"/>
  <c r="H864" i="14" a="1"/>
  <c r="P823" i="14" a="1"/>
  <c r="P993" i="14" a="1"/>
  <c r="H966" i="14" a="1"/>
  <c r="P918" i="14" a="1"/>
  <c r="H872" i="14" a="1"/>
  <c r="P1020" i="14" a="1"/>
  <c r="P871" i="14" a="1"/>
  <c r="H855" i="14" a="1"/>
  <c r="P875" i="14" a="1"/>
  <c r="H959" i="14" a="1"/>
  <c r="P941" i="14" a="1"/>
  <c r="H1007" i="14" a="1"/>
  <c r="P835" i="14" a="1"/>
  <c r="H825" i="14" a="1"/>
  <c r="P983" i="14" a="1"/>
  <c r="P885" i="14" a="1"/>
  <c r="H1020" i="14" a="1"/>
  <c r="H903" i="14" a="1"/>
  <c r="P872" i="14" a="1"/>
  <c r="H1012" i="14" a="1"/>
  <c r="P861" i="14" a="1"/>
  <c r="H952" i="14" a="1"/>
  <c r="H940" i="14" a="1"/>
  <c r="P886" i="14" a="1"/>
  <c r="H947" i="14" a="1"/>
  <c r="H851" i="14" a="1"/>
  <c r="P947" i="14" a="1"/>
  <c r="P848" i="14" a="1"/>
  <c r="P1007" i="14" a="1"/>
  <c r="P829" i="14" a="1"/>
  <c r="P902" i="14" a="1"/>
  <c r="H914" i="14" a="1"/>
  <c r="H977" i="14" a="1"/>
  <c r="H937" i="14" a="1"/>
  <c r="P849" i="14" a="1"/>
  <c r="H955" i="14" a="1"/>
  <c r="H983" i="14" a="1"/>
  <c r="H832" i="14" a="1"/>
  <c r="H841" i="14" a="1"/>
  <c r="H969" i="14" a="1"/>
  <c r="P960" i="14" a="1"/>
  <c r="H877" i="14" a="1"/>
  <c r="P854" i="14" a="1"/>
  <c r="H906" i="14" a="1"/>
  <c r="P864" i="14" a="1"/>
  <c r="P839" i="14" a="1"/>
  <c r="H943" i="14" a="1"/>
  <c r="H1003" i="14" a="1"/>
  <c r="H971" i="14" a="1"/>
  <c r="P880" i="14" a="1"/>
  <c r="P999" i="14" a="1"/>
  <c r="P825" i="14" a="1"/>
  <c r="P920" i="14" a="1"/>
  <c r="H1009" i="14" a="1"/>
  <c r="H881" i="14" a="1"/>
  <c r="H931" i="14" a="1"/>
  <c r="P1009" i="14" a="1"/>
  <c r="P921" i="14" a="1"/>
  <c r="H843" i="14" a="1"/>
  <c r="H928" i="14" a="1"/>
  <c r="H973" i="14" a="1"/>
  <c r="H954" i="14" a="1"/>
  <c r="P838" i="14" a="1"/>
  <c r="P913" i="14" a="1"/>
  <c r="H890" i="14" a="1"/>
  <c r="H831" i="14" a="1"/>
  <c r="H849" i="14" a="1"/>
  <c r="P884" i="14" a="1"/>
  <c r="H833" i="14" a="1"/>
  <c r="H990" i="14" a="1"/>
  <c r="H986" i="14" a="1"/>
  <c r="H960" i="14" a="1"/>
  <c r="P991" i="14" a="1"/>
  <c r="P857" i="14" a="1"/>
  <c r="H951" i="14" a="1"/>
  <c r="H912" i="14" a="1"/>
  <c r="H978" i="14" a="1"/>
  <c r="P917" i="14" a="1"/>
  <c r="H834" i="14" a="1"/>
  <c r="P945" i="14" a="1"/>
  <c r="H845" i="14" a="1"/>
  <c r="P992" i="14" a="1"/>
  <c r="P972" i="14" a="1"/>
  <c r="P911" i="14" a="1"/>
  <c r="H883" i="14" a="1"/>
  <c r="H893" i="14" a="1"/>
  <c r="P828" i="14" a="1"/>
  <c r="H887" i="14" a="1"/>
  <c r="P865" i="14" a="1"/>
  <c r="H1015" i="14" a="1"/>
  <c r="H869" i="14" a="1"/>
  <c r="H930" i="14" a="1"/>
  <c r="P997" i="14" a="1"/>
  <c r="P869" i="14" a="1"/>
  <c r="P968" i="14" a="1"/>
  <c r="P994" i="14" a="1"/>
  <c r="H874" i="14" a="1"/>
  <c r="P888" i="14" a="1"/>
  <c r="P937" i="14" a="1"/>
  <c r="H907" i="14" a="1"/>
  <c r="P980" i="14" a="1"/>
  <c r="H1013" i="14" a="1"/>
  <c r="H941" i="14" a="1"/>
  <c r="P939" i="14" a="1"/>
  <c r="H909" i="14" a="1"/>
  <c r="P936" i="14" a="1"/>
  <c r="P970" i="14" a="1"/>
  <c r="P874" i="14" a="1"/>
  <c r="H894" i="14" a="1"/>
  <c r="P831" i="14" a="1"/>
  <c r="H848" i="14" a="1"/>
  <c r="H998" i="14" a="1"/>
  <c r="H996" i="14" a="1"/>
  <c r="P890" i="14" a="1"/>
  <c r="P1021" i="14" a="1"/>
  <c r="P830" i="14" a="1"/>
  <c r="P863" i="14" a="1"/>
  <c r="H857" i="14" a="1"/>
  <c r="P1022" i="14" a="1"/>
  <c r="P985" i="14" a="1"/>
  <c r="H991" i="14" a="1"/>
  <c r="P1008" i="14" a="1"/>
  <c r="H992" i="14" a="1"/>
  <c r="P927" i="14" a="1"/>
  <c r="H853" i="14" a="1"/>
  <c r="H1004" i="14" a="1"/>
  <c r="H950" i="14" a="1"/>
  <c r="P853" i="14" a="1"/>
  <c r="H918" i="14" a="1"/>
  <c r="H970" i="14" a="1"/>
  <c r="P987" i="14" a="1"/>
  <c r="P833" i="14" a="1"/>
  <c r="P953" i="14" a="1"/>
  <c r="H976" i="14" a="1"/>
  <c r="P957" i="14" a="1"/>
  <c r="P837" i="14" a="1"/>
  <c r="P984" i="14" a="1"/>
  <c r="P975" i="14" a="1"/>
  <c r="H850" i="14" a="1"/>
  <c r="H862" i="14" a="1"/>
  <c r="H999" i="14" a="1"/>
  <c r="P840" i="14" a="1"/>
  <c r="P988" i="14" a="1"/>
  <c r="P1015" i="14" a="1"/>
  <c r="H942" i="14" a="1"/>
  <c r="P892" i="14" a="1"/>
  <c r="H1018" i="14" a="1"/>
  <c r="P897" i="14" a="1"/>
  <c r="H929" i="14" a="1"/>
  <c r="H863" i="14" a="1"/>
  <c r="H838" i="14" a="1"/>
  <c r="H846" i="14" a="1"/>
  <c r="H852" i="14" a="1"/>
  <c r="H980" i="14" a="1"/>
  <c r="P906" i="14" a="1"/>
  <c r="H1006" i="14" a="1"/>
  <c r="P932" i="14" a="1"/>
  <c r="P877" i="14" a="1"/>
  <c r="H1014" i="14" a="1"/>
  <c r="H989" i="14" a="1"/>
  <c r="H938" i="14" a="1"/>
  <c r="H1021" i="14" a="1"/>
  <c r="H939" i="14" a="1"/>
  <c r="P934" i="14" a="1"/>
  <c r="H988" i="14" a="1"/>
  <c r="P958" i="14" a="1"/>
  <c r="P904" i="14" a="1"/>
  <c r="H923" i="14" a="1"/>
  <c r="H865" i="14" a="1"/>
  <c r="H997" i="14" a="1"/>
  <c r="P887" i="14" a="1"/>
  <c r="P916" i="14" a="1"/>
  <c r="H962" i="14" a="1"/>
  <c r="P898" i="14" a="1"/>
  <c r="H829" i="14" a="1"/>
  <c r="P951" i="14" a="1"/>
  <c r="P977" i="14" a="1"/>
  <c r="P893" i="14" a="1"/>
  <c r="P919" i="14" a="1"/>
  <c r="P910" i="14" a="1"/>
  <c r="P981" i="14" a="1"/>
  <c r="H904" i="14" a="1"/>
  <c r="P1016" i="14" a="1"/>
  <c r="P879" i="14" a="1"/>
  <c r="H880" i="14" a="1"/>
  <c r="P881" i="14" a="1"/>
  <c r="P847" i="14" a="1"/>
  <c r="H1002" i="14" a="1"/>
  <c r="H984" i="14" a="1"/>
  <c r="P914" i="14" a="1"/>
  <c r="P963" i="14" a="1"/>
  <c r="P891" i="14" a="1"/>
  <c r="H875" i="14" a="1"/>
  <c r="P948" i="14" a="1"/>
  <c r="P896" i="14" a="1"/>
  <c r="P982" i="14" a="1"/>
  <c r="P899" i="14" a="1"/>
  <c r="P949" i="14" a="1"/>
  <c r="P845" i="14" a="1"/>
  <c r="H876" i="14" a="1"/>
  <c r="H965" i="14" a="1"/>
  <c r="H995" i="14" a="1"/>
  <c r="H981" i="14" a="1"/>
  <c r="H858" i="14" a="1"/>
  <c r="H967" i="14" a="1"/>
  <c r="P882" i="14" a="1"/>
  <c r="H897" i="14" a="1"/>
  <c r="P955" i="14" a="1"/>
  <c r="P925" i="14" a="1"/>
  <c r="P979" i="14" a="1"/>
  <c r="H844" i="14" a="1"/>
  <c r="H828" i="14" a="1"/>
  <c r="P873" i="14" a="1"/>
  <c r="H835" i="14" a="1"/>
  <c r="H860" i="14" a="1"/>
  <c r="H901" i="14" a="1"/>
  <c r="H878" i="14" a="1"/>
  <c r="P969" i="14" a="1"/>
  <c r="P924" i="14" a="1"/>
  <c r="H870" i="14" a="1"/>
  <c r="P1002" i="14" a="1"/>
  <c r="H895" i="14" a="1"/>
  <c r="H975" i="14" a="1"/>
  <c r="P909" i="14" a="1"/>
  <c r="P905" i="14" a="1"/>
  <c r="H888" i="14" a="1"/>
  <c r="P967" i="14" a="1"/>
  <c r="P900" i="14" a="1"/>
  <c r="P855" i="14" a="1"/>
  <c r="H936" i="14" a="1"/>
  <c r="H868" i="14" a="1"/>
  <c r="P827" i="14" a="1"/>
  <c r="P931" i="14" a="1"/>
  <c r="H854" i="14" a="1"/>
  <c r="P832" i="14" a="1"/>
  <c r="H884" i="14" a="1"/>
  <c r="P989" i="14" a="1"/>
  <c r="H957" i="14" a="1"/>
  <c r="P966" i="14" a="1"/>
  <c r="H935" i="14" a="1"/>
  <c r="H902" i="14" a="1"/>
  <c r="H985" i="14" a="1"/>
  <c r="P915" i="14" a="1"/>
  <c r="H847" i="14" a="1"/>
  <c r="H873" i="14" a="1"/>
  <c r="H968" i="14" a="1"/>
  <c r="P1013" i="14" a="1"/>
  <c r="H840" i="14" a="1"/>
  <c r="H898" i="14" a="1"/>
  <c r="H933" i="14" a="1"/>
  <c r="H1010" i="14" a="1"/>
  <c r="P844" i="14" a="1"/>
  <c r="P883" i="14" a="1"/>
  <c r="H1019" i="14" a="1"/>
  <c r="H899" i="14" a="1"/>
  <c r="H919" i="14" a="1"/>
  <c r="P878" i="14" a="1"/>
  <c r="P843" i="14" a="1"/>
  <c r="H842" i="14" a="1"/>
  <c r="H913" i="14" a="1"/>
  <c r="H925" i="14" a="1"/>
  <c r="H927" i="14" a="1"/>
  <c r="H994" i="14" a="1"/>
  <c r="P928" i="14" a="1"/>
  <c r="P946" i="14" a="1"/>
  <c r="H908" i="14" a="1"/>
  <c r="H871" i="14" a="1"/>
  <c r="P962" i="14" a="1"/>
  <c r="H945" i="14" a="1"/>
  <c r="BH901" i="14" l="1"/>
  <c r="BF901" i="14" s="1"/>
  <c r="BD1014" i="14"/>
  <c r="BH1014" i="14"/>
  <c r="AF848" i="14"/>
  <c r="AF1014" i="14"/>
  <c r="BH848" i="14"/>
  <c r="BF848" i="14" s="1"/>
  <c r="BD848" i="14"/>
  <c r="BG1014" i="14"/>
  <c r="P1014" i="14"/>
  <c r="BJ1014" i="14" s="1"/>
  <c r="H1014" i="14"/>
  <c r="BI1014" i="14" s="1"/>
  <c r="BC835" i="14"/>
  <c r="BH835" i="14"/>
  <c r="H835" i="14"/>
  <c r="AH835" i="14" s="1"/>
  <c r="P835" i="14"/>
  <c r="BJ835" i="14" s="1"/>
  <c r="AF901" i="14"/>
  <c r="AF835" i="14"/>
  <c r="BD835" i="14"/>
  <c r="BC1014" i="14"/>
  <c r="BC848" i="14"/>
  <c r="BH908" i="14"/>
  <c r="BF908" i="14" s="1"/>
  <c r="BG835" i="14"/>
  <c r="H848" i="14"/>
  <c r="BI848" i="14" s="1"/>
  <c r="P848" i="14"/>
  <c r="AG848" i="14" s="1"/>
  <c r="P901" i="14"/>
  <c r="AG901" i="14" s="1"/>
  <c r="AF917" i="14"/>
  <c r="BC917" i="14"/>
  <c r="BH917" i="14"/>
  <c r="BF917" i="14" s="1"/>
  <c r="BH822" i="14"/>
  <c r="BF822" i="14" s="1"/>
  <c r="AF908" i="14"/>
  <c r="BD901" i="14"/>
  <c r="H901" i="14"/>
  <c r="BI901" i="14" s="1"/>
  <c r="BD908" i="14"/>
  <c r="BD917" i="14"/>
  <c r="P908" i="14"/>
  <c r="AG908" i="14" s="1"/>
  <c r="BC915" i="14"/>
  <c r="P917" i="14"/>
  <c r="BJ917" i="14" s="1"/>
  <c r="BD915" i="14"/>
  <c r="BH915" i="14"/>
  <c r="BF915" i="14" s="1"/>
  <c r="AF915" i="14"/>
  <c r="H915" i="14"/>
  <c r="BI915" i="14" s="1"/>
  <c r="P915" i="14"/>
  <c r="BJ915" i="14" s="1"/>
  <c r="BC901" i="14"/>
  <c r="BD876" i="14"/>
  <c r="BC908" i="14"/>
  <c r="H908" i="14"/>
  <c r="BI908" i="14" s="1"/>
  <c r="BH840" i="14"/>
  <c r="P876" i="14"/>
  <c r="BJ876" i="14" s="1"/>
  <c r="H917" i="14"/>
  <c r="AH917" i="14" s="1"/>
  <c r="H876" i="14"/>
  <c r="BI876" i="14" s="1"/>
  <c r="BC876" i="14"/>
  <c r="AF869" i="14"/>
  <c r="BH876" i="14"/>
  <c r="BF876" i="14" s="1"/>
  <c r="AF840" i="14"/>
  <c r="BG840" i="14"/>
  <c r="BD869" i="14"/>
  <c r="BC961" i="14"/>
  <c r="BC869" i="14"/>
  <c r="BD840" i="14"/>
  <c r="BH961" i="14"/>
  <c r="BF961" i="14" s="1"/>
  <c r="BD961" i="14"/>
  <c r="BH869" i="14"/>
  <c r="BF869" i="14" s="1"/>
  <c r="BC840" i="14"/>
  <c r="AF961" i="14"/>
  <c r="P869" i="14"/>
  <c r="BJ869" i="14" s="1"/>
  <c r="P961" i="14"/>
  <c r="BJ961" i="14" s="1"/>
  <c r="H961" i="14"/>
  <c r="AH961" i="14" s="1"/>
  <c r="H869" i="14"/>
  <c r="AH869" i="14" s="1"/>
  <c r="P840" i="14"/>
  <c r="AG840" i="14" s="1"/>
  <c r="H840" i="14"/>
  <c r="AH840" i="14" s="1"/>
  <c r="BD976" i="14"/>
  <c r="BH976" i="14"/>
  <c r="BC976" i="14"/>
  <c r="AF911" i="14"/>
  <c r="AF913" i="14"/>
  <c r="H911" i="14"/>
  <c r="AH911" i="14" s="1"/>
  <c r="BC913" i="14"/>
  <c r="BH913" i="14"/>
  <c r="BF913" i="14" s="1"/>
  <c r="BD989" i="14"/>
  <c r="BH911" i="14"/>
  <c r="BF911" i="14" s="1"/>
  <c r="BC911" i="14"/>
  <c r="H913" i="14"/>
  <c r="BI913" i="14" s="1"/>
  <c r="BD913" i="14"/>
  <c r="BD911" i="14"/>
  <c r="BC989" i="14"/>
  <c r="P911" i="14"/>
  <c r="BJ911" i="14" s="1"/>
  <c r="P913" i="14"/>
  <c r="AG913" i="14" s="1"/>
  <c r="AF976" i="14"/>
  <c r="BG976" i="14"/>
  <c r="AF989" i="14"/>
  <c r="P976" i="14"/>
  <c r="BJ976" i="14" s="1"/>
  <c r="P989" i="14"/>
  <c r="BJ989" i="14" s="1"/>
  <c r="H989" i="14"/>
  <c r="AH989" i="14" s="1"/>
  <c r="H976" i="14"/>
  <c r="AH976" i="14" s="1"/>
  <c r="BH982" i="14"/>
  <c r="BF982" i="14" s="1"/>
  <c r="BH836" i="14"/>
  <c r="BF836" i="14" s="1"/>
  <c r="BH940" i="14"/>
  <c r="BF940" i="14" s="1"/>
  <c r="AF888" i="14"/>
  <c r="AF940" i="14"/>
  <c r="BH888" i="14"/>
  <c r="BF888" i="14" s="1"/>
  <c r="BD940" i="14"/>
  <c r="AF971" i="14"/>
  <c r="BC940" i="14"/>
  <c r="H940" i="14"/>
  <c r="BI940" i="14" s="1"/>
  <c r="BD888" i="14"/>
  <c r="BC888" i="14"/>
  <c r="P888" i="14"/>
  <c r="BJ888" i="14" s="1"/>
  <c r="BH916" i="14"/>
  <c r="BF916" i="14" s="1"/>
  <c r="AF916" i="14"/>
  <c r="BH886" i="14"/>
  <c r="AF1015" i="14"/>
  <c r="BD916" i="14"/>
  <c r="BC916" i="14"/>
  <c r="H916" i="14"/>
  <c r="AH916" i="14" s="1"/>
  <c r="P916" i="14"/>
  <c r="BJ916" i="14" s="1"/>
  <c r="BD966" i="14"/>
  <c r="BH966" i="14"/>
  <c r="H966" i="14"/>
  <c r="AH966" i="14" s="1"/>
  <c r="AF966" i="14"/>
  <c r="P992" i="14"/>
  <c r="AG992" i="14" s="1"/>
  <c r="H888" i="14"/>
  <c r="AH888" i="14" s="1"/>
  <c r="BD992" i="14"/>
  <c r="AF992" i="14"/>
  <c r="P940" i="14"/>
  <c r="AG940" i="14" s="1"/>
  <c r="BC992" i="14"/>
  <c r="BG966" i="14"/>
  <c r="BC966" i="14"/>
  <c r="BH992" i="14"/>
  <c r="BF992" i="14" s="1"/>
  <c r="P966" i="14"/>
  <c r="BJ966" i="14" s="1"/>
  <c r="AF977" i="14"/>
  <c r="BD843" i="14"/>
  <c r="H992" i="14"/>
  <c r="BI992" i="14" s="1"/>
  <c r="BC977" i="14"/>
  <c r="BH977" i="14"/>
  <c r="BF977" i="14" s="1"/>
  <c r="BD977" i="14"/>
  <c r="P843" i="14"/>
  <c r="AG843" i="14" s="1"/>
  <c r="BC843" i="14"/>
  <c r="BH843" i="14"/>
  <c r="BF843" i="14" s="1"/>
  <c r="BH1016" i="14"/>
  <c r="BF1016" i="14" s="1"/>
  <c r="BC924" i="14"/>
  <c r="AF843" i="14"/>
  <c r="H977" i="14"/>
  <c r="BI977" i="14" s="1"/>
  <c r="H843" i="14"/>
  <c r="AH843" i="14" s="1"/>
  <c r="P977" i="14"/>
  <c r="AG977" i="14" s="1"/>
  <c r="BH950" i="14"/>
  <c r="BF950" i="14" s="1"/>
  <c r="AF924" i="14"/>
  <c r="BG885" i="14"/>
  <c r="BF885" i="14" s="1"/>
  <c r="BD950" i="14"/>
  <c r="BG924" i="14"/>
  <c r="BH924" i="14"/>
  <c r="AF892" i="14"/>
  <c r="BH892" i="14"/>
  <c r="BF892" i="14" s="1"/>
  <c r="H829" i="14"/>
  <c r="AH829" i="14" s="1"/>
  <c r="BD924" i="14"/>
  <c r="H924" i="14"/>
  <c r="AH924" i="14" s="1"/>
  <c r="P924" i="14"/>
  <c r="AG924" i="14" s="1"/>
  <c r="BH864" i="14"/>
  <c r="BF864" i="14" s="1"/>
  <c r="BH914" i="14"/>
  <c r="BF914" i="14" s="1"/>
  <c r="BC892" i="14"/>
  <c r="BC849" i="14"/>
  <c r="BD885" i="14"/>
  <c r="BC914" i="14"/>
  <c r="BD892" i="14"/>
  <c r="AF950" i="14"/>
  <c r="BH849" i="14"/>
  <c r="BF849" i="14" s="1"/>
  <c r="BD864" i="14"/>
  <c r="AF864" i="14"/>
  <c r="AF849" i="14"/>
  <c r="P892" i="14"/>
  <c r="BJ892" i="14" s="1"/>
  <c r="BD849" i="14"/>
  <c r="AF914" i="14"/>
  <c r="BC864" i="14"/>
  <c r="BD914" i="14"/>
  <c r="BC885" i="14"/>
  <c r="H892" i="14"/>
  <c r="BI892" i="14" s="1"/>
  <c r="AF829" i="14"/>
  <c r="BH829" i="14"/>
  <c r="BC932" i="14"/>
  <c r="AF844" i="14"/>
  <c r="H914" i="14"/>
  <c r="BI914" i="14" s="1"/>
  <c r="H885" i="14"/>
  <c r="BI885" i="14" s="1"/>
  <c r="P885" i="14"/>
  <c r="AG885" i="14" s="1"/>
  <c r="H950" i="14"/>
  <c r="AH950" i="14" s="1"/>
  <c r="BD932" i="14"/>
  <c r="AF1016" i="14"/>
  <c r="AF932" i="14"/>
  <c r="BH946" i="14"/>
  <c r="BC950" i="14"/>
  <c r="P950" i="14"/>
  <c r="AG950" i="14" s="1"/>
  <c r="P914" i="14"/>
  <c r="AG914" i="14" s="1"/>
  <c r="AF946" i="14"/>
  <c r="P864" i="14"/>
  <c r="AG864" i="14" s="1"/>
  <c r="H864" i="14"/>
  <c r="AH864" i="14" s="1"/>
  <c r="BG946" i="14"/>
  <c r="BC1016" i="14"/>
  <c r="BG844" i="14"/>
  <c r="BF844" i="14" s="1"/>
  <c r="BC875" i="14"/>
  <c r="P849" i="14"/>
  <c r="BJ849" i="14" s="1"/>
  <c r="P932" i="14"/>
  <c r="BJ932" i="14" s="1"/>
  <c r="H849" i="14"/>
  <c r="AH849" i="14" s="1"/>
  <c r="BH994" i="14"/>
  <c r="BF994" i="14" s="1"/>
  <c r="AF990" i="14"/>
  <c r="BD1016" i="14"/>
  <c r="BC946" i="14"/>
  <c r="BD946" i="14"/>
  <c r="BH932" i="14"/>
  <c r="BF932" i="14" s="1"/>
  <c r="P1016" i="14"/>
  <c r="AG1016" i="14" s="1"/>
  <c r="H932" i="14"/>
  <c r="AH932" i="14" s="1"/>
  <c r="H1016" i="14"/>
  <c r="AH1016" i="14" s="1"/>
  <c r="BC844" i="14"/>
  <c r="P994" i="14"/>
  <c r="AG994" i="14" s="1"/>
  <c r="BD844" i="14"/>
  <c r="BH962" i="14"/>
  <c r="BD990" i="14"/>
  <c r="H946" i="14"/>
  <c r="BI946" i="14" s="1"/>
  <c r="P844" i="14"/>
  <c r="AG844" i="14" s="1"/>
  <c r="P946" i="14"/>
  <c r="BJ946" i="14" s="1"/>
  <c r="H844" i="14"/>
  <c r="AH844" i="14" s="1"/>
  <c r="BD981" i="14"/>
  <c r="BH981" i="14"/>
  <c r="BF981" i="14" s="1"/>
  <c r="BD962" i="14"/>
  <c r="BC962" i="14"/>
  <c r="BC990" i="14"/>
  <c r="P990" i="14"/>
  <c r="AG990" i="14" s="1"/>
  <c r="H990" i="14"/>
  <c r="AH990" i="14" s="1"/>
  <c r="BH984" i="14"/>
  <c r="BF984" i="14" s="1"/>
  <c r="BD994" i="14"/>
  <c r="BD875" i="14"/>
  <c r="BH875" i="14"/>
  <c r="BF875" i="14" s="1"/>
  <c r="BH826" i="14"/>
  <c r="BD984" i="14"/>
  <c r="BH838" i="14"/>
  <c r="AF838" i="14"/>
  <c r="BC981" i="14"/>
  <c r="BC984" i="14"/>
  <c r="AF826" i="14"/>
  <c r="AF875" i="14"/>
  <c r="BG838" i="14"/>
  <c r="AF962" i="14"/>
  <c r="BC994" i="14"/>
  <c r="AF923" i="14"/>
  <c r="BC838" i="14"/>
  <c r="AF981" i="14"/>
  <c r="H994" i="14"/>
  <c r="AH994" i="14" s="1"/>
  <c r="P875" i="14"/>
  <c r="BJ875" i="14" s="1"/>
  <c r="H875" i="14"/>
  <c r="AH875" i="14" s="1"/>
  <c r="P984" i="14"/>
  <c r="AG984" i="14" s="1"/>
  <c r="H984" i="14"/>
  <c r="BI984" i="14" s="1"/>
  <c r="BD829" i="14"/>
  <c r="BD838" i="14"/>
  <c r="BG829" i="14"/>
  <c r="BG923" i="14"/>
  <c r="BC829" i="14"/>
  <c r="BG983" i="14"/>
  <c r="BF983" i="14" s="1"/>
  <c r="P838" i="14"/>
  <c r="AG838" i="14" s="1"/>
  <c r="P829" i="14"/>
  <c r="BJ829" i="14" s="1"/>
  <c r="H838" i="14"/>
  <c r="AH838" i="14" s="1"/>
  <c r="P981" i="14"/>
  <c r="BJ981" i="14" s="1"/>
  <c r="H981" i="14"/>
  <c r="BI981" i="14" s="1"/>
  <c r="H826" i="14"/>
  <c r="AH826" i="14" s="1"/>
  <c r="BG962" i="14"/>
  <c r="BH923" i="14"/>
  <c r="P962" i="14"/>
  <c r="BJ962" i="14" s="1"/>
  <c r="H962" i="14"/>
  <c r="BI962" i="14" s="1"/>
  <c r="BD918" i="14"/>
  <c r="BC1006" i="14"/>
  <c r="AF925" i="14"/>
  <c r="BC999" i="14"/>
  <c r="AF928" i="14"/>
  <c r="BH925" i="14"/>
  <c r="BF925" i="14" s="1"/>
  <c r="BH834" i="14"/>
  <c r="BF834" i="14" s="1"/>
  <c r="AF1002" i="14"/>
  <c r="BH1006" i="14"/>
  <c r="BH978" i="14"/>
  <c r="BF978" i="14" s="1"/>
  <c r="BH860" i="14"/>
  <c r="BF860" i="14" s="1"/>
  <c r="AF827" i="14"/>
  <c r="BG948" i="14"/>
  <c r="BF948" i="14" s="1"/>
  <c r="AF1006" i="14"/>
  <c r="AF858" i="14"/>
  <c r="AF936" i="14"/>
  <c r="BH972" i="14"/>
  <c r="BF972" i="14" s="1"/>
  <c r="BD972" i="14"/>
  <c r="BC991" i="14"/>
  <c r="BD857" i="14"/>
  <c r="BH1010" i="14"/>
  <c r="BF1010" i="14" s="1"/>
  <c r="BD986" i="14"/>
  <c r="BG936" i="14"/>
  <c r="P923" i="14"/>
  <c r="AG923" i="14" s="1"/>
  <c r="H923" i="14"/>
  <c r="BI923" i="14" s="1"/>
  <c r="BH858" i="14"/>
  <c r="BF858" i="14" s="1"/>
  <c r="AF1010" i="14"/>
  <c r="AF1011" i="14"/>
  <c r="BC871" i="14"/>
  <c r="BH986" i="14"/>
  <c r="BD978" i="14"/>
  <c r="BC972" i="14"/>
  <c r="AF895" i="14"/>
  <c r="AF999" i="14"/>
  <c r="BH871" i="14"/>
  <c r="BC923" i="14"/>
  <c r="BD991" i="14"/>
  <c r="BH936" i="14"/>
  <c r="BC836" i="14"/>
  <c r="BH895" i="14"/>
  <c r="BF895" i="14" s="1"/>
  <c r="BD923" i="14"/>
  <c r="BD948" i="14"/>
  <c r="BC938" i="14"/>
  <c r="BH999" i="14"/>
  <c r="BF999" i="14" s="1"/>
  <c r="AF836" i="14"/>
  <c r="AF942" i="14"/>
  <c r="BC826" i="14"/>
  <c r="BH870" i="14"/>
  <c r="BF870" i="14" s="1"/>
  <c r="AF997" i="14"/>
  <c r="BH938" i="14"/>
  <c r="BF938" i="14" s="1"/>
  <c r="AF871" i="14"/>
  <c r="BC996" i="14"/>
  <c r="BD999" i="14"/>
  <c r="P999" i="14"/>
  <c r="AG999" i="14" s="1"/>
  <c r="H999" i="14"/>
  <c r="AH999" i="14" s="1"/>
  <c r="BH930" i="14"/>
  <c r="BF930" i="14" s="1"/>
  <c r="BH934" i="14"/>
  <c r="BF934" i="14" s="1"/>
  <c r="BH997" i="14"/>
  <c r="BF997" i="14" s="1"/>
  <c r="BG1003" i="14"/>
  <c r="BF1003" i="14" s="1"/>
  <c r="BH862" i="14"/>
  <c r="BF862" i="14" s="1"/>
  <c r="BG871" i="14"/>
  <c r="AF938" i="14"/>
  <c r="BH919" i="14"/>
  <c r="BF919" i="14" s="1"/>
  <c r="AF986" i="14"/>
  <c r="P925" i="14"/>
  <c r="AG925" i="14" s="1"/>
  <c r="AF912" i="14"/>
  <c r="BD997" i="14"/>
  <c r="BD983" i="14"/>
  <c r="BD938" i="14"/>
  <c r="BC937" i="14"/>
  <c r="BC925" i="14"/>
  <c r="BC895" i="14"/>
  <c r="BC948" i="14"/>
  <c r="BD936" i="14"/>
  <c r="BG1006" i="14"/>
  <c r="AF978" i="14"/>
  <c r="AF870" i="14"/>
  <c r="AF918" i="14"/>
  <c r="BG986" i="14"/>
  <c r="BH889" i="14"/>
  <c r="BF889" i="14" s="1"/>
  <c r="BC889" i="14"/>
  <c r="BD937" i="14"/>
  <c r="BD836" i="14"/>
  <c r="BC912" i="14"/>
  <c r="BC983" i="14"/>
  <c r="BH985" i="14"/>
  <c r="BF985" i="14" s="1"/>
  <c r="BC857" i="14"/>
  <c r="BC997" i="14"/>
  <c r="BH912" i="14"/>
  <c r="BD1006" i="14"/>
  <c r="H978" i="14"/>
  <c r="BI978" i="14" s="1"/>
  <c r="AF993" i="14"/>
  <c r="BD870" i="14"/>
  <c r="BD996" i="14"/>
  <c r="AF972" i="14"/>
  <c r="BC936" i="14"/>
  <c r="AF857" i="14"/>
  <c r="BD912" i="14"/>
  <c r="AF847" i="14"/>
  <c r="BC993" i="14"/>
  <c r="BD871" i="14"/>
  <c r="BD925" i="14"/>
  <c r="BD895" i="14"/>
  <c r="BC986" i="14"/>
  <c r="AF991" i="14"/>
  <c r="BC978" i="14"/>
  <c r="H960" i="14"/>
  <c r="BI960" i="14" s="1"/>
  <c r="H991" i="14"/>
  <c r="BI991" i="14" s="1"/>
  <c r="P991" i="14"/>
  <c r="AG991" i="14" s="1"/>
  <c r="P948" i="14"/>
  <c r="BJ948" i="14" s="1"/>
  <c r="H895" i="14"/>
  <c r="BI895" i="14" s="1"/>
  <c r="P972" i="14"/>
  <c r="AG972" i="14" s="1"/>
  <c r="H925" i="14"/>
  <c r="AH925" i="14" s="1"/>
  <c r="H948" i="14"/>
  <c r="BI948" i="14" s="1"/>
  <c r="P857" i="14"/>
  <c r="AG857" i="14" s="1"/>
  <c r="H871" i="14"/>
  <c r="AH871" i="14" s="1"/>
  <c r="H1006" i="14"/>
  <c r="AH1006" i="14" s="1"/>
  <c r="H936" i="14"/>
  <c r="BI936" i="14" s="1"/>
  <c r="P978" i="14"/>
  <c r="AG978" i="14" s="1"/>
  <c r="P895" i="14"/>
  <c r="AG895" i="14" s="1"/>
  <c r="P1006" i="14"/>
  <c r="AG1006" i="14" s="1"/>
  <c r="H997" i="14"/>
  <c r="BI997" i="14" s="1"/>
  <c r="P996" i="14"/>
  <c r="AG996" i="14" s="1"/>
  <c r="P997" i="14"/>
  <c r="AG997" i="14" s="1"/>
  <c r="P871" i="14"/>
  <c r="BJ871" i="14" s="1"/>
  <c r="H996" i="14"/>
  <c r="AH996" i="14" s="1"/>
  <c r="H857" i="14"/>
  <c r="BI857" i="14" s="1"/>
  <c r="H972" i="14"/>
  <c r="AH972" i="14" s="1"/>
  <c r="H912" i="14"/>
  <c r="AH912" i="14" s="1"/>
  <c r="H983" i="14"/>
  <c r="BI983" i="14" s="1"/>
  <c r="P983" i="14"/>
  <c r="BJ983" i="14" s="1"/>
  <c r="H938" i="14"/>
  <c r="AH938" i="14" s="1"/>
  <c r="P986" i="14"/>
  <c r="AG986" i="14" s="1"/>
  <c r="H870" i="14"/>
  <c r="BI870" i="14" s="1"/>
  <c r="P936" i="14"/>
  <c r="AG936" i="14" s="1"/>
  <c r="H986" i="14"/>
  <c r="AH986" i="14" s="1"/>
  <c r="P938" i="14"/>
  <c r="AG938" i="14" s="1"/>
  <c r="P912" i="14"/>
  <c r="BJ912" i="14" s="1"/>
  <c r="BD826" i="14"/>
  <c r="BG912" i="14"/>
  <c r="BH993" i="14"/>
  <c r="BF993" i="14" s="1"/>
  <c r="BG891" i="14"/>
  <c r="BF891" i="14" s="1"/>
  <c r="BG826" i="14"/>
  <c r="AF889" i="14"/>
  <c r="BG996" i="14"/>
  <c r="BF996" i="14" s="1"/>
  <c r="BH991" i="14"/>
  <c r="BF991" i="14" s="1"/>
  <c r="BH857" i="14"/>
  <c r="BF857" i="14" s="1"/>
  <c r="BC918" i="14"/>
  <c r="AF865" i="14"/>
  <c r="BC868" i="14"/>
  <c r="AF909" i="14"/>
  <c r="BH909" i="14"/>
  <c r="H836" i="14"/>
  <c r="BI836" i="14" s="1"/>
  <c r="P836" i="14"/>
  <c r="AG836" i="14" s="1"/>
  <c r="P826" i="14"/>
  <c r="AG826" i="14" s="1"/>
  <c r="P825" i="14"/>
  <c r="AG825" i="14" s="1"/>
  <c r="BH937" i="14"/>
  <c r="BF937" i="14" s="1"/>
  <c r="AF863" i="14"/>
  <c r="BD858" i="14"/>
  <c r="BC870" i="14"/>
  <c r="BH1018" i="14"/>
  <c r="BF1018" i="14" s="1"/>
  <c r="BH1002" i="14"/>
  <c r="BF1002" i="14" s="1"/>
  <c r="P937" i="14"/>
  <c r="BJ937" i="14" s="1"/>
  <c r="H937" i="14"/>
  <c r="BI937" i="14" s="1"/>
  <c r="P870" i="14"/>
  <c r="AG870" i="14" s="1"/>
  <c r="AF934" i="14"/>
  <c r="AF898" i="14"/>
  <c r="AF839" i="14"/>
  <c r="BG909" i="14"/>
  <c r="AF937" i="14"/>
  <c r="AF973" i="14"/>
  <c r="AF1013" i="14"/>
  <c r="AF959" i="14"/>
  <c r="AF900" i="14"/>
  <c r="BC1002" i="14"/>
  <c r="BC1010" i="14"/>
  <c r="BH1013" i="14"/>
  <c r="BH971" i="14"/>
  <c r="BH894" i="14"/>
  <c r="BF894" i="14" s="1"/>
  <c r="BD1002" i="14"/>
  <c r="BH929" i="14"/>
  <c r="BD1010" i="14"/>
  <c r="BD952" i="14"/>
  <c r="BC858" i="14"/>
  <c r="H858" i="14"/>
  <c r="BI858" i="14" s="1"/>
  <c r="H1010" i="14"/>
  <c r="AH1010" i="14" s="1"/>
  <c r="H1002" i="14"/>
  <c r="AH1002" i="14" s="1"/>
  <c r="P1002" i="14"/>
  <c r="BJ1002" i="14" s="1"/>
  <c r="P858" i="14"/>
  <c r="BJ858" i="14" s="1"/>
  <c r="P1010" i="14"/>
  <c r="BJ1010" i="14" s="1"/>
  <c r="AF831" i="14"/>
  <c r="AF974" i="14"/>
  <c r="BG1013" i="14"/>
  <c r="AF890" i="14"/>
  <c r="AF873" i="14"/>
  <c r="BH973" i="14"/>
  <c r="BF973" i="14" s="1"/>
  <c r="BH828" i="14"/>
  <c r="BD832" i="14"/>
  <c r="AF969" i="14"/>
  <c r="BG863" i="14"/>
  <c r="AF862" i="14"/>
  <c r="BH1019" i="14"/>
  <c r="BH906" i="14"/>
  <c r="BF906" i="14" s="1"/>
  <c r="BD891" i="14"/>
  <c r="BD930" i="14"/>
  <c r="BH897" i="14"/>
  <c r="BF897" i="14" s="1"/>
  <c r="AF1001" i="14"/>
  <c r="BC900" i="14"/>
  <c r="BC825" i="14"/>
  <c r="BC949" i="14"/>
  <c r="AF828" i="14"/>
  <c r="BD900" i="14"/>
  <c r="BC934" i="14"/>
  <c r="BC951" i="14"/>
  <c r="BG828" i="14"/>
  <c r="BH847" i="14"/>
  <c r="BF847" i="14" s="1"/>
  <c r="BH951" i="14"/>
  <c r="BD889" i="14"/>
  <c r="BH887" i="14"/>
  <c r="BF887" i="14" s="1"/>
  <c r="BH863" i="14"/>
  <c r="BH879" i="14"/>
  <c r="BF879" i="14" s="1"/>
  <c r="AF1008" i="14"/>
  <c r="AF967" i="14"/>
  <c r="AF855" i="14"/>
  <c r="BH898" i="14"/>
  <c r="BF898" i="14" s="1"/>
  <c r="AF987" i="14"/>
  <c r="BC1017" i="14"/>
  <c r="BC886" i="14"/>
  <c r="BH926" i="14"/>
  <c r="BD958" i="14"/>
  <c r="BD949" i="14"/>
  <c r="BC823" i="14"/>
  <c r="BD993" i="14"/>
  <c r="AF880" i="14"/>
  <c r="AF988" i="14"/>
  <c r="BH900" i="14"/>
  <c r="BF900" i="14" s="1"/>
  <c r="BH957" i="14"/>
  <c r="AF1007" i="14"/>
  <c r="AF1017" i="14"/>
  <c r="BH839" i="14"/>
  <c r="BF839" i="14" s="1"/>
  <c r="BH853" i="14"/>
  <c r="BF853" i="14" s="1"/>
  <c r="AF926" i="14"/>
  <c r="BD929" i="14"/>
  <c r="BD931" i="14"/>
  <c r="BD845" i="14"/>
  <c r="BC846" i="14"/>
  <c r="BD1015" i="14"/>
  <c r="AF929" i="14"/>
  <c r="BC1015" i="14"/>
  <c r="BG926" i="14"/>
  <c r="BC863" i="14"/>
  <c r="BD934" i="14"/>
  <c r="BH958" i="14"/>
  <c r="BF958" i="14" s="1"/>
  <c r="BH841" i="14"/>
  <c r="BF841" i="14" s="1"/>
  <c r="AF949" i="14"/>
  <c r="BH846" i="14"/>
  <c r="BF846" i="14" s="1"/>
  <c r="AF954" i="14"/>
  <c r="BC1000" i="14"/>
  <c r="BD828" i="14"/>
  <c r="BC828" i="14"/>
  <c r="BH833" i="14"/>
  <c r="BF833" i="14" s="1"/>
  <c r="BG971" i="14"/>
  <c r="AF856" i="14"/>
  <c r="BH954" i="14"/>
  <c r="BF954" i="14" s="1"/>
  <c r="BH872" i="14"/>
  <c r="BF872" i="14" s="1"/>
  <c r="BG1017" i="14"/>
  <c r="AF1019" i="14"/>
  <c r="BH967" i="14"/>
  <c r="BF967" i="14" s="1"/>
  <c r="BC847" i="14"/>
  <c r="AF866" i="14"/>
  <c r="BD823" i="14"/>
  <c r="BD897" i="14"/>
  <c r="BD830" i="14"/>
  <c r="BD855" i="14"/>
  <c r="AF832" i="14"/>
  <c r="P823" i="14"/>
  <c r="BJ823" i="14" s="1"/>
  <c r="P934" i="14"/>
  <c r="BJ934" i="14" s="1"/>
  <c r="H934" i="14"/>
  <c r="AH934" i="14" s="1"/>
  <c r="H1003" i="14"/>
  <c r="AH1003" i="14" s="1"/>
  <c r="P886" i="14"/>
  <c r="AG886" i="14" s="1"/>
  <c r="BD884" i="14"/>
  <c r="BD842" i="14"/>
  <c r="BC952" i="14"/>
  <c r="BD893" i="14"/>
  <c r="BC1007" i="14"/>
  <c r="BH1015" i="14"/>
  <c r="BF1015" i="14" s="1"/>
  <c r="BH987" i="14"/>
  <c r="BF987" i="14" s="1"/>
  <c r="BG827" i="14"/>
  <c r="BH918" i="14"/>
  <c r="BF918" i="14" s="1"/>
  <c r="BC982" i="14"/>
  <c r="BD951" i="14"/>
  <c r="BC921" i="14"/>
  <c r="BD909" i="14"/>
  <c r="BD868" i="14"/>
  <c r="BD1018" i="14"/>
  <c r="BH1007" i="14"/>
  <c r="BF1007" i="14" s="1"/>
  <c r="BH832" i="14"/>
  <c r="BF832" i="14" s="1"/>
  <c r="BC865" i="14"/>
  <c r="BC1001" i="14"/>
  <c r="BH855" i="14"/>
  <c r="BF855" i="14" s="1"/>
  <c r="AF830" i="14"/>
  <c r="AF995" i="14"/>
  <c r="BC988" i="14"/>
  <c r="BD902" i="14"/>
  <c r="AF902" i="14"/>
  <c r="BD971" i="14"/>
  <c r="BD995" i="14"/>
  <c r="BC995" i="14"/>
  <c r="BD988" i="14"/>
  <c r="BD853" i="14"/>
  <c r="BH866" i="14"/>
  <c r="BF866" i="14" s="1"/>
  <c r="BG884" i="14"/>
  <c r="BF884" i="14" s="1"/>
  <c r="BG929" i="14"/>
  <c r="AF958" i="14"/>
  <c r="AF841" i="14"/>
  <c r="BC931" i="14"/>
  <c r="BD998" i="14"/>
  <c r="BD954" i="14"/>
  <c r="BH1017" i="14"/>
  <c r="BC887" i="14"/>
  <c r="BC1018" i="14"/>
  <c r="BH964" i="14"/>
  <c r="BF964" i="14" s="1"/>
  <c r="BD921" i="14"/>
  <c r="BC839" i="14"/>
  <c r="BC824" i="14"/>
  <c r="BD926" i="14"/>
  <c r="BC842" i="14"/>
  <c r="AF951" i="14"/>
  <c r="BD883" i="14"/>
  <c r="BH952" i="14"/>
  <c r="BF952" i="14" s="1"/>
  <c r="BD1007" i="14"/>
  <c r="BC1003" i="14"/>
  <c r="BC832" i="14"/>
  <c r="BC855" i="14"/>
  <c r="BD1001" i="14"/>
  <c r="BD833" i="14"/>
  <c r="BC830" i="14"/>
  <c r="BC853" i="14"/>
  <c r="BD1003" i="14"/>
  <c r="BC897" i="14"/>
  <c r="BD865" i="14"/>
  <c r="BC822" i="14"/>
  <c r="AF833" i="14"/>
  <c r="BH949" i="14"/>
  <c r="BF949" i="14" s="1"/>
  <c r="BD1005" i="14"/>
  <c r="BC960" i="14"/>
  <c r="BD898" i="14"/>
  <c r="AF842" i="14"/>
  <c r="BH883" i="14"/>
  <c r="BF883" i="14" s="1"/>
  <c r="AF868" i="14"/>
  <c r="BC971" i="14"/>
  <c r="BD846" i="14"/>
  <c r="BD822" i="14"/>
  <c r="BC902" i="14"/>
  <c r="AF822" i="14"/>
  <c r="BH953" i="14"/>
  <c r="BF953" i="14" s="1"/>
  <c r="BH920" i="14"/>
  <c r="BC959" i="14"/>
  <c r="BC884" i="14"/>
  <c r="AF906" i="14"/>
  <c r="AF930" i="14"/>
  <c r="BD872" i="14"/>
  <c r="AF853" i="14"/>
  <c r="P900" i="14"/>
  <c r="BJ900" i="14" s="1"/>
  <c r="H900" i="14"/>
  <c r="AH900" i="14" s="1"/>
  <c r="AF824" i="14"/>
  <c r="BD874" i="14"/>
  <c r="BD863" i="14"/>
  <c r="AF886" i="14"/>
  <c r="BD877" i="14"/>
  <c r="BH980" i="14"/>
  <c r="BF980" i="14" s="1"/>
  <c r="BD928" i="14"/>
  <c r="BC954" i="14"/>
  <c r="BH845" i="14"/>
  <c r="BF845" i="14" s="1"/>
  <c r="AF845" i="14"/>
  <c r="BD841" i="14"/>
  <c r="BH874" i="14"/>
  <c r="BC833" i="14"/>
  <c r="BC929" i="14"/>
  <c r="BD886" i="14"/>
  <c r="BH830" i="14"/>
  <c r="BF830" i="14" s="1"/>
  <c r="BC827" i="14"/>
  <c r="BC894" i="14"/>
  <c r="BD887" i="14"/>
  <c r="BC973" i="14"/>
  <c r="BH827" i="14"/>
  <c r="H865" i="14"/>
  <c r="AH865" i="14" s="1"/>
  <c r="P855" i="14"/>
  <c r="BJ855" i="14" s="1"/>
  <c r="H830" i="14"/>
  <c r="BI830" i="14" s="1"/>
  <c r="H988" i="14"/>
  <c r="AH988" i="14" s="1"/>
  <c r="P993" i="14"/>
  <c r="AG993" i="14" s="1"/>
  <c r="P846" i="14"/>
  <c r="AG846" i="14" s="1"/>
  <c r="P988" i="14"/>
  <c r="BJ988" i="14" s="1"/>
  <c r="P918" i="14"/>
  <c r="BJ918" i="14" s="1"/>
  <c r="H886" i="14"/>
  <c r="AH886" i="14" s="1"/>
  <c r="P1003" i="14"/>
  <c r="AG1003" i="14" s="1"/>
  <c r="P1001" i="14"/>
  <c r="AG1001" i="14" s="1"/>
  <c r="H863" i="14"/>
  <c r="BI863" i="14" s="1"/>
  <c r="H949" i="14"/>
  <c r="AH949" i="14" s="1"/>
  <c r="P865" i="14"/>
  <c r="BJ865" i="14" s="1"/>
  <c r="H929" i="14"/>
  <c r="AH929" i="14" s="1"/>
  <c r="H1001" i="14"/>
  <c r="AH1001" i="14" s="1"/>
  <c r="P995" i="14"/>
  <c r="BJ995" i="14" s="1"/>
  <c r="H853" i="14"/>
  <c r="BI853" i="14" s="1"/>
  <c r="H993" i="14"/>
  <c r="BI993" i="14" s="1"/>
  <c r="P830" i="14"/>
  <c r="BJ830" i="14" s="1"/>
  <c r="P833" i="14"/>
  <c r="BJ833" i="14" s="1"/>
  <c r="H995" i="14"/>
  <c r="BI995" i="14" s="1"/>
  <c r="P863" i="14"/>
  <c r="AG863" i="14" s="1"/>
  <c r="H918" i="14"/>
  <c r="BI918" i="14" s="1"/>
  <c r="P902" i="14"/>
  <c r="AG902" i="14" s="1"/>
  <c r="H846" i="14"/>
  <c r="AH846" i="14" s="1"/>
  <c r="H902" i="14"/>
  <c r="BI902" i="14" s="1"/>
  <c r="P822" i="14"/>
  <c r="AG822" i="14" s="1"/>
  <c r="H833" i="14"/>
  <c r="AH833" i="14" s="1"/>
  <c r="H822" i="14"/>
  <c r="AH822" i="14" s="1"/>
  <c r="P853" i="14"/>
  <c r="BJ853" i="14" s="1"/>
  <c r="P929" i="14"/>
  <c r="BJ929" i="14" s="1"/>
  <c r="H855" i="14"/>
  <c r="AH855" i="14" s="1"/>
  <c r="BH995" i="14"/>
  <c r="BF995" i="14" s="1"/>
  <c r="BH1001" i="14"/>
  <c r="BF1001" i="14" s="1"/>
  <c r="AF887" i="14"/>
  <c r="BG842" i="14"/>
  <c r="BF842" i="14" s="1"/>
  <c r="BD839" i="14"/>
  <c r="BG886" i="14"/>
  <c r="AF1000" i="14"/>
  <c r="BH988" i="14"/>
  <c r="BF988" i="14" s="1"/>
  <c r="BH902" i="14"/>
  <c r="BF902" i="14" s="1"/>
  <c r="AF872" i="14"/>
  <c r="BC890" i="14"/>
  <c r="BC979" i="14"/>
  <c r="BH1011" i="14"/>
  <c r="BF1011" i="14" s="1"/>
  <c r="AF1005" i="14"/>
  <c r="BC867" i="14"/>
  <c r="BD834" i="14"/>
  <c r="BD982" i="14"/>
  <c r="BD964" i="14"/>
  <c r="AF874" i="14"/>
  <c r="BC1013" i="14"/>
  <c r="BC866" i="14"/>
  <c r="BD866" i="14"/>
  <c r="BD965" i="14"/>
  <c r="BC845" i="14"/>
  <c r="BH959" i="14"/>
  <c r="BF959" i="14" s="1"/>
  <c r="BD974" i="14"/>
  <c r="BC942" i="14"/>
  <c r="BH868" i="14"/>
  <c r="BF868" i="14" s="1"/>
  <c r="BD824" i="14"/>
  <c r="AF952" i="14"/>
  <c r="BD1017" i="14"/>
  <c r="BD827" i="14"/>
  <c r="AF964" i="14"/>
  <c r="BG951" i="14"/>
  <c r="BC998" i="14"/>
  <c r="AF894" i="14"/>
  <c r="BD968" i="14"/>
  <c r="BC958" i="14"/>
  <c r="BD942" i="14"/>
  <c r="BC893" i="14"/>
  <c r="BC909" i="14"/>
  <c r="BD973" i="14"/>
  <c r="BC841" i="14"/>
  <c r="BC965" i="14"/>
  <c r="BC883" i="14"/>
  <c r="BC926" i="14"/>
  <c r="BC874" i="14"/>
  <c r="BD959" i="14"/>
  <c r="BC974" i="14"/>
  <c r="AF897" i="14"/>
  <c r="BH942" i="14"/>
  <c r="BF942" i="14" s="1"/>
  <c r="BH823" i="14"/>
  <c r="BF823" i="14" s="1"/>
  <c r="AF975" i="14"/>
  <c r="BH969" i="14"/>
  <c r="BF969" i="14" s="1"/>
  <c r="BH859" i="14"/>
  <c r="BF859" i="14" s="1"/>
  <c r="BC930" i="14"/>
  <c r="BD1000" i="14"/>
  <c r="BD987" i="14"/>
  <c r="BD894" i="14"/>
  <c r="BH893" i="14"/>
  <c r="BF893" i="14" s="1"/>
  <c r="BG874" i="14"/>
  <c r="BH856" i="14"/>
  <c r="BC941" i="14"/>
  <c r="BG824" i="14"/>
  <c r="BF824" i="14" s="1"/>
  <c r="BG968" i="14"/>
  <c r="BF968" i="14" s="1"/>
  <c r="BD1011" i="14"/>
  <c r="BH979" i="14"/>
  <c r="AF850" i="14"/>
  <c r="AF825" i="14"/>
  <c r="BH933" i="14"/>
  <c r="BF933" i="14" s="1"/>
  <c r="BH880" i="14"/>
  <c r="AF1021" i="14"/>
  <c r="BD920" i="14"/>
  <c r="AF920" i="14"/>
  <c r="BD947" i="14"/>
  <c r="BD963" i="14"/>
  <c r="AF852" i="14"/>
  <c r="AF1012" i="14"/>
  <c r="H828" i="14"/>
  <c r="BI828" i="14" s="1"/>
  <c r="H839" i="14"/>
  <c r="BI839" i="14" s="1"/>
  <c r="P971" i="14"/>
  <c r="AG971" i="14" s="1"/>
  <c r="H952" i="14"/>
  <c r="BI952" i="14" s="1"/>
  <c r="P828" i="14"/>
  <c r="AG828" i="14" s="1"/>
  <c r="P887" i="14"/>
  <c r="AG887" i="14" s="1"/>
  <c r="P832" i="14"/>
  <c r="AG832" i="14" s="1"/>
  <c r="H1018" i="14"/>
  <c r="BI1018" i="14" s="1"/>
  <c r="H971" i="14"/>
  <c r="AH971" i="14" s="1"/>
  <c r="P952" i="14"/>
  <c r="BJ952" i="14" s="1"/>
  <c r="P974" i="14"/>
  <c r="AG974" i="14" s="1"/>
  <c r="H974" i="14"/>
  <c r="AH974" i="14" s="1"/>
  <c r="H889" i="14"/>
  <c r="AH889" i="14" s="1"/>
  <c r="H887" i="14"/>
  <c r="AH887" i="14" s="1"/>
  <c r="H832" i="14"/>
  <c r="BI832" i="14" s="1"/>
  <c r="P1007" i="14"/>
  <c r="BJ1007" i="14" s="1"/>
  <c r="P959" i="14"/>
  <c r="BJ959" i="14" s="1"/>
  <c r="P897" i="14"/>
  <c r="BJ897" i="14" s="1"/>
  <c r="P1015" i="14"/>
  <c r="AG1015" i="14" s="1"/>
  <c r="P889" i="14"/>
  <c r="BJ889" i="14" s="1"/>
  <c r="P949" i="14"/>
  <c r="BJ949" i="14" s="1"/>
  <c r="H883" i="14"/>
  <c r="AH883" i="14" s="1"/>
  <c r="H959" i="14"/>
  <c r="BI959" i="14" s="1"/>
  <c r="P964" i="14"/>
  <c r="BJ964" i="14" s="1"/>
  <c r="H1007" i="14"/>
  <c r="AH1007" i="14" s="1"/>
  <c r="H897" i="14"/>
  <c r="AH897" i="14" s="1"/>
  <c r="H1015" i="14"/>
  <c r="BI1015" i="14" s="1"/>
  <c r="BC877" i="14"/>
  <c r="BH1020" i="14"/>
  <c r="BF1020" i="14" s="1"/>
  <c r="BC891" i="14"/>
  <c r="BC906" i="14"/>
  <c r="BC964" i="14"/>
  <c r="BC987" i="14"/>
  <c r="BD1013" i="14"/>
  <c r="BH873" i="14"/>
  <c r="BF873" i="14" s="1"/>
  <c r="BC854" i="14"/>
  <c r="BD903" i="14"/>
  <c r="BD854" i="14"/>
  <c r="BD890" i="14"/>
  <c r="BD847" i="14"/>
  <c r="BH998" i="14"/>
  <c r="BF998" i="14" s="1"/>
  <c r="AF931" i="14"/>
  <c r="BC945" i="14"/>
  <c r="BD825" i="14"/>
  <c r="BH931" i="14"/>
  <c r="AF956" i="14"/>
  <c r="P973" i="14"/>
  <c r="AG973" i="14" s="1"/>
  <c r="H909" i="14"/>
  <c r="BI909" i="14" s="1"/>
  <c r="P1000" i="14"/>
  <c r="AG1000" i="14" s="1"/>
  <c r="P883" i="14"/>
  <c r="AG883" i="14" s="1"/>
  <c r="H841" i="14"/>
  <c r="AH841" i="14" s="1"/>
  <c r="H965" i="14"/>
  <c r="AH965" i="14" s="1"/>
  <c r="P827" i="14"/>
  <c r="BJ827" i="14" s="1"/>
  <c r="P1017" i="14"/>
  <c r="BJ1017" i="14" s="1"/>
  <c r="P951" i="14"/>
  <c r="BJ951" i="14" s="1"/>
  <c r="H1017" i="14"/>
  <c r="AH1017" i="14" s="1"/>
  <c r="H884" i="14"/>
  <c r="AH884" i="14" s="1"/>
  <c r="P909" i="14"/>
  <c r="BJ909" i="14" s="1"/>
  <c r="H954" i="14"/>
  <c r="AH954" i="14" s="1"/>
  <c r="P845" i="14"/>
  <c r="AG845" i="14" s="1"/>
  <c r="P841" i="14"/>
  <c r="BJ841" i="14" s="1"/>
  <c r="H893" i="14"/>
  <c r="BI893" i="14" s="1"/>
  <c r="P894" i="14"/>
  <c r="BJ894" i="14" s="1"/>
  <c r="P874" i="14"/>
  <c r="AG874" i="14" s="1"/>
  <c r="P1013" i="14"/>
  <c r="AG1013" i="14" s="1"/>
  <c r="H824" i="14"/>
  <c r="AH824" i="14" s="1"/>
  <c r="P839" i="14"/>
  <c r="AG839" i="14" s="1"/>
  <c r="H964" i="14"/>
  <c r="AH964" i="14" s="1"/>
  <c r="P921" i="14"/>
  <c r="BJ921" i="14" s="1"/>
  <c r="H1013" i="14"/>
  <c r="AH1013" i="14" s="1"/>
  <c r="P926" i="14"/>
  <c r="BJ926" i="14" s="1"/>
  <c r="P842" i="14"/>
  <c r="AG842" i="14" s="1"/>
  <c r="H987" i="14"/>
  <c r="BI987" i="14" s="1"/>
  <c r="H951" i="14"/>
  <c r="BI951" i="14" s="1"/>
  <c r="P868" i="14"/>
  <c r="AG868" i="14" s="1"/>
  <c r="H845" i="14"/>
  <c r="BI845" i="14" s="1"/>
  <c r="H842" i="14"/>
  <c r="BI842" i="14" s="1"/>
  <c r="H866" i="14"/>
  <c r="AH866" i="14" s="1"/>
  <c r="H894" i="14"/>
  <c r="AH894" i="14" s="1"/>
  <c r="P987" i="14"/>
  <c r="BJ987" i="14" s="1"/>
  <c r="P1018" i="14"/>
  <c r="BJ1018" i="14" s="1"/>
  <c r="H921" i="14"/>
  <c r="BI921" i="14" s="1"/>
  <c r="P954" i="14"/>
  <c r="AG954" i="14" s="1"/>
  <c r="H868" i="14"/>
  <c r="AH868" i="14" s="1"/>
  <c r="H827" i="14"/>
  <c r="BI827" i="14" s="1"/>
  <c r="H973" i="14"/>
  <c r="AH973" i="14" s="1"/>
  <c r="H874" i="14"/>
  <c r="BI874" i="14" s="1"/>
  <c r="H823" i="14"/>
  <c r="AH823" i="14" s="1"/>
  <c r="P824" i="14"/>
  <c r="BJ824" i="14" s="1"/>
  <c r="H1000" i="14"/>
  <c r="AH1000" i="14" s="1"/>
  <c r="P893" i="14"/>
  <c r="AG893" i="14" s="1"/>
  <c r="H926" i="14"/>
  <c r="BI926" i="14" s="1"/>
  <c r="P884" i="14"/>
  <c r="BJ884" i="14" s="1"/>
  <c r="P866" i="14"/>
  <c r="BJ866" i="14" s="1"/>
  <c r="AF893" i="14"/>
  <c r="BG944" i="14"/>
  <c r="BF944" i="14" s="1"/>
  <c r="AF896" i="14"/>
  <c r="BD906" i="14"/>
  <c r="BC956" i="14"/>
  <c r="BD919" i="14"/>
  <c r="BC919" i="14"/>
  <c r="BG921" i="14"/>
  <c r="BF921" i="14" s="1"/>
  <c r="BH1008" i="14"/>
  <c r="BF1008" i="14" s="1"/>
  <c r="BH928" i="14"/>
  <c r="BF928" i="14" s="1"/>
  <c r="AF883" i="14"/>
  <c r="BH1005" i="14"/>
  <c r="BF1005" i="14" s="1"/>
  <c r="BH927" i="14"/>
  <c r="BF927" i="14" s="1"/>
  <c r="BD860" i="14"/>
  <c r="BD956" i="14"/>
  <c r="BC928" i="14"/>
  <c r="BC872" i="14"/>
  <c r="BH904" i="14"/>
  <c r="BF904" i="14" s="1"/>
  <c r="BH945" i="14"/>
  <c r="BF945" i="14" s="1"/>
  <c r="AF957" i="14"/>
  <c r="AF979" i="14"/>
  <c r="BG979" i="14"/>
  <c r="P919" i="14"/>
  <c r="AG919" i="14" s="1"/>
  <c r="H931" i="14"/>
  <c r="BI931" i="14" s="1"/>
  <c r="P906" i="14"/>
  <c r="BJ906" i="14" s="1"/>
  <c r="P847" i="14"/>
  <c r="AG847" i="14" s="1"/>
  <c r="H825" i="14"/>
  <c r="AH825" i="14" s="1"/>
  <c r="P872" i="14"/>
  <c r="AG872" i="14" s="1"/>
  <c r="H930" i="14"/>
  <c r="AH930" i="14" s="1"/>
  <c r="H890" i="14"/>
  <c r="AH890" i="14" s="1"/>
  <c r="P982" i="14"/>
  <c r="AG982" i="14" s="1"/>
  <c r="P891" i="14"/>
  <c r="AG891" i="14" s="1"/>
  <c r="H982" i="14"/>
  <c r="AH982" i="14" s="1"/>
  <c r="H998" i="14"/>
  <c r="BI998" i="14" s="1"/>
  <c r="P942" i="14"/>
  <c r="BJ942" i="14" s="1"/>
  <c r="P941" i="14"/>
  <c r="BJ941" i="14" s="1"/>
  <c r="H919" i="14"/>
  <c r="AH919" i="14" s="1"/>
  <c r="P998" i="14"/>
  <c r="AG998" i="14" s="1"/>
  <c r="H891" i="14"/>
  <c r="AH891" i="14" s="1"/>
  <c r="P956" i="14"/>
  <c r="BJ956" i="14" s="1"/>
  <c r="P930" i="14"/>
  <c r="AG930" i="14" s="1"/>
  <c r="P890" i="14"/>
  <c r="BJ890" i="14" s="1"/>
  <c r="P928" i="14"/>
  <c r="AG928" i="14" s="1"/>
  <c r="P879" i="14"/>
  <c r="AG879" i="14" s="1"/>
  <c r="H958" i="14"/>
  <c r="BI958" i="14" s="1"/>
  <c r="H942" i="14"/>
  <c r="BI942" i="14" s="1"/>
  <c r="H956" i="14"/>
  <c r="AH956" i="14" s="1"/>
  <c r="H928" i="14"/>
  <c r="AH928" i="14" s="1"/>
  <c r="P931" i="14"/>
  <c r="BJ931" i="14" s="1"/>
  <c r="H847" i="14"/>
  <c r="AH847" i="14" s="1"/>
  <c r="H906" i="14"/>
  <c r="AH906" i="14" s="1"/>
  <c r="P958" i="14"/>
  <c r="BJ958" i="14" s="1"/>
  <c r="H872" i="14"/>
  <c r="BI872" i="14" s="1"/>
  <c r="AF859" i="14"/>
  <c r="BH956" i="14"/>
  <c r="BF956" i="14" s="1"/>
  <c r="BH1021" i="14"/>
  <c r="BF1021" i="14" s="1"/>
  <c r="BD862" i="14"/>
  <c r="BC963" i="14"/>
  <c r="BH850" i="14"/>
  <c r="BF850" i="14" s="1"/>
  <c r="BG920" i="14"/>
  <c r="BG931" i="14"/>
  <c r="BD975" i="14"/>
  <c r="BD880" i="14"/>
  <c r="BC879" i="14"/>
  <c r="BC939" i="14"/>
  <c r="BD939" i="14"/>
  <c r="BC1021" i="14"/>
  <c r="BH854" i="14"/>
  <c r="BG851" i="14"/>
  <c r="BF851" i="14" s="1"/>
  <c r="BH825" i="14"/>
  <c r="BF825" i="14" s="1"/>
  <c r="BD935" i="14"/>
  <c r="BD878" i="14"/>
  <c r="AF1004" i="14"/>
  <c r="BH1012" i="14"/>
  <c r="BF1012" i="14" s="1"/>
  <c r="BH896" i="14"/>
  <c r="BF896" i="14" s="1"/>
  <c r="BD859" i="14"/>
  <c r="BC1012" i="14"/>
  <c r="BH852" i="14"/>
  <c r="BF852" i="14" s="1"/>
  <c r="BC903" i="14"/>
  <c r="BC896" i="14"/>
  <c r="AF963" i="14"/>
  <c r="AF953" i="14"/>
  <c r="AF998" i="14"/>
  <c r="AF947" i="14"/>
  <c r="BC920" i="14"/>
  <c r="AF939" i="14"/>
  <c r="BD1021" i="14"/>
  <c r="AF910" i="14"/>
  <c r="AF955" i="14"/>
  <c r="BD896" i="14"/>
  <c r="AF882" i="14"/>
  <c r="BH903" i="14"/>
  <c r="BF903" i="14" s="1"/>
  <c r="BC898" i="14"/>
  <c r="BH947" i="14"/>
  <c r="BF947" i="14" s="1"/>
  <c r="BH905" i="14"/>
  <c r="BF905" i="14" s="1"/>
  <c r="BC1011" i="14"/>
  <c r="BD852" i="14"/>
  <c r="BD1012" i="14"/>
  <c r="BG890" i="14"/>
  <c r="BF890" i="14" s="1"/>
  <c r="BD861" i="14"/>
  <c r="BD979" i="14"/>
  <c r="AF960" i="14"/>
  <c r="AF899" i="14"/>
  <c r="BD904" i="14"/>
  <c r="BD1008" i="14"/>
  <c r="BD1019" i="14"/>
  <c r="BC834" i="14"/>
  <c r="BD1020" i="14"/>
  <c r="AF1009" i="14"/>
  <c r="BD945" i="14"/>
  <c r="BF989" i="14"/>
  <c r="BG1019" i="14"/>
  <c r="BC862" i="14"/>
  <c r="BD882" i="14"/>
  <c r="BC904" i="14"/>
  <c r="BC831" i="14"/>
  <c r="BC873" i="14"/>
  <c r="BD910" i="14"/>
  <c r="BC967" i="14"/>
  <c r="BD1004" i="14"/>
  <c r="BC953" i="14"/>
  <c r="BC1020" i="14"/>
  <c r="BD905" i="14"/>
  <c r="BD944" i="14"/>
  <c r="BC878" i="14"/>
  <c r="BD969" i="14"/>
  <c r="BD957" i="14"/>
  <c r="AF877" i="14"/>
  <c r="BC1009" i="14"/>
  <c r="BH882" i="14"/>
  <c r="BF882" i="14" s="1"/>
  <c r="BC969" i="14"/>
  <c r="BC1008" i="14"/>
  <c r="BH910" i="14"/>
  <c r="BF910" i="14" s="1"/>
  <c r="AF860" i="14"/>
  <c r="BC837" i="14"/>
  <c r="BH939" i="14"/>
  <c r="BF939" i="14" s="1"/>
  <c r="BD955" i="14"/>
  <c r="BD985" i="14"/>
  <c r="BD907" i="14"/>
  <c r="BG955" i="14"/>
  <c r="BH960" i="14"/>
  <c r="BG957" i="14"/>
  <c r="BD879" i="14"/>
  <c r="AF965" i="14"/>
  <c r="BD953" i="14"/>
  <c r="BC910" i="14"/>
  <c r="AF861" i="14"/>
  <c r="BH837" i="14"/>
  <c r="BF837" i="14" s="1"/>
  <c r="BD851" i="14"/>
  <c r="BC927" i="14"/>
  <c r="BD873" i="14"/>
  <c r="BH963" i="14"/>
  <c r="BF963" i="14" s="1"/>
  <c r="BC905" i="14"/>
  <c r="BH907" i="14"/>
  <c r="BF907" i="14" s="1"/>
  <c r="AF903" i="14"/>
  <c r="AF1020" i="14"/>
  <c r="BC943" i="14"/>
  <c r="AF943" i="14"/>
  <c r="BD943" i="14"/>
  <c r="AF945" i="14"/>
  <c r="BG861" i="14"/>
  <c r="BH1009" i="14"/>
  <c r="BF1009" i="14" s="1"/>
  <c r="BG960" i="14"/>
  <c r="BD933" i="14"/>
  <c r="BD899" i="14"/>
  <c r="BC881" i="14"/>
  <c r="BC1019" i="14"/>
  <c r="BC850" i="14"/>
  <c r="BC882" i="14"/>
  <c r="BC856" i="14"/>
  <c r="AF970" i="14"/>
  <c r="BC1004" i="14"/>
  <c r="BD960" i="14"/>
  <c r="BH899" i="14"/>
  <c r="BF899" i="14" s="1"/>
  <c r="BH867" i="14"/>
  <c r="BF867" i="14" s="1"/>
  <c r="BD831" i="14"/>
  <c r="BC957" i="14"/>
  <c r="BC968" i="14"/>
  <c r="BD967" i="14"/>
  <c r="BC851" i="14"/>
  <c r="AF854" i="14"/>
  <c r="H907" i="14"/>
  <c r="BI907" i="14" s="1"/>
  <c r="H834" i="14"/>
  <c r="BI834" i="14" s="1"/>
  <c r="P904" i="14"/>
  <c r="AG904" i="14" s="1"/>
  <c r="BH877" i="14"/>
  <c r="BF877" i="14" s="1"/>
  <c r="BD970" i="14"/>
  <c r="BD867" i="14"/>
  <c r="BD850" i="14"/>
  <c r="BC907" i="14"/>
  <c r="BD927" i="14"/>
  <c r="BC859" i="14"/>
  <c r="BD1009" i="14"/>
  <c r="BC852" i="14"/>
  <c r="AF933" i="14"/>
  <c r="BC861" i="14"/>
  <c r="BG880" i="14"/>
  <c r="BG854" i="14"/>
  <c r="AF907" i="14"/>
  <c r="AF867" i="14"/>
  <c r="AF834" i="14"/>
  <c r="BH970" i="14"/>
  <c r="BF970" i="14" s="1"/>
  <c r="BC985" i="14"/>
  <c r="BC899" i="14"/>
  <c r="BH881" i="14"/>
  <c r="BF881" i="14" s="1"/>
  <c r="BD881" i="14"/>
  <c r="BH1004" i="14"/>
  <c r="BF1004" i="14" s="1"/>
  <c r="AF879" i="14"/>
  <c r="BH831" i="14"/>
  <c r="BF831" i="14" s="1"/>
  <c r="AF837" i="14"/>
  <c r="BG856" i="14"/>
  <c r="H898" i="14"/>
  <c r="BI898" i="14" s="1"/>
  <c r="H1020" i="14"/>
  <c r="AH1020" i="14" s="1"/>
  <c r="H945" i="14"/>
  <c r="BI945" i="14" s="1"/>
  <c r="H1009" i="14"/>
  <c r="AH1009" i="14" s="1"/>
  <c r="H967" i="14"/>
  <c r="AH967" i="14" s="1"/>
  <c r="P896" i="14"/>
  <c r="BJ896" i="14" s="1"/>
  <c r="P1019" i="14"/>
  <c r="BJ1019" i="14" s="1"/>
  <c r="H882" i="14"/>
  <c r="BI882" i="14" s="1"/>
  <c r="P831" i="14"/>
  <c r="AG831" i="14" s="1"/>
  <c r="P1009" i="14"/>
  <c r="AG1009" i="14" s="1"/>
  <c r="H850" i="14"/>
  <c r="BI850" i="14" s="1"/>
  <c r="P945" i="14"/>
  <c r="BJ945" i="14" s="1"/>
  <c r="H854" i="14"/>
  <c r="BI854" i="14" s="1"/>
  <c r="P850" i="14"/>
  <c r="AG850" i="14" s="1"/>
  <c r="P963" i="14"/>
  <c r="AG963" i="14" s="1"/>
  <c r="P834" i="14"/>
  <c r="AG834" i="14" s="1"/>
  <c r="H904" i="14"/>
  <c r="AH904" i="14" s="1"/>
  <c r="P957" i="14"/>
  <c r="AG957" i="14" s="1"/>
  <c r="H873" i="14"/>
  <c r="AH873" i="14" s="1"/>
  <c r="H851" i="14"/>
  <c r="AH851" i="14" s="1"/>
  <c r="H1012" i="14"/>
  <c r="BI1012" i="14" s="1"/>
  <c r="P1012" i="14"/>
  <c r="AG1012" i="14" s="1"/>
  <c r="P1008" i="14"/>
  <c r="BJ1008" i="14" s="1"/>
  <c r="P873" i="14"/>
  <c r="AG873" i="14" s="1"/>
  <c r="H1008" i="14"/>
  <c r="BI1008" i="14" s="1"/>
  <c r="P968" i="14"/>
  <c r="BJ968" i="14" s="1"/>
  <c r="P927" i="14"/>
  <c r="AG927" i="14" s="1"/>
  <c r="H877" i="14"/>
  <c r="BI877" i="14" s="1"/>
  <c r="H963" i="14"/>
  <c r="AH963" i="14" s="1"/>
  <c r="P905" i="14"/>
  <c r="AG905" i="14" s="1"/>
  <c r="P851" i="14"/>
  <c r="BJ851" i="14" s="1"/>
  <c r="P852" i="14"/>
  <c r="BJ852" i="14" s="1"/>
  <c r="H831" i="14"/>
  <c r="BI831" i="14" s="1"/>
  <c r="H957" i="14"/>
  <c r="BI957" i="14" s="1"/>
  <c r="P877" i="14"/>
  <c r="BJ877" i="14" s="1"/>
  <c r="H859" i="14"/>
  <c r="BI859" i="14" s="1"/>
  <c r="P903" i="14"/>
  <c r="AG903" i="14" s="1"/>
  <c r="H903" i="14"/>
  <c r="BI903" i="14" s="1"/>
  <c r="H968" i="14"/>
  <c r="BI968" i="14" s="1"/>
  <c r="H905" i="14"/>
  <c r="AH905" i="14" s="1"/>
  <c r="P882" i="14"/>
  <c r="AG882" i="14" s="1"/>
  <c r="P907" i="14"/>
  <c r="BJ907" i="14" s="1"/>
  <c r="H896" i="14"/>
  <c r="BI896" i="14" s="1"/>
  <c r="P854" i="14"/>
  <c r="BJ854" i="14" s="1"/>
  <c r="H927" i="14"/>
  <c r="AH927" i="14" s="1"/>
  <c r="H852" i="14"/>
  <c r="BI852" i="14" s="1"/>
  <c r="P859" i="14"/>
  <c r="BJ859" i="14" s="1"/>
  <c r="H1019" i="14"/>
  <c r="BI1019" i="14" s="1"/>
  <c r="P898" i="14"/>
  <c r="AG898" i="14" s="1"/>
  <c r="P1020" i="14"/>
  <c r="BJ1020" i="14" s="1"/>
  <c r="BC955" i="14"/>
  <c r="BC1005" i="14"/>
  <c r="BC947" i="14"/>
  <c r="BH975" i="14"/>
  <c r="BF975" i="14" s="1"/>
  <c r="BH941" i="14"/>
  <c r="BF941" i="14" s="1"/>
  <c r="BH861" i="14"/>
  <c r="BH955" i="14"/>
  <c r="P899" i="14"/>
  <c r="BJ899" i="14" s="1"/>
  <c r="P979" i="14"/>
  <c r="BJ979" i="14" s="1"/>
  <c r="P881" i="14"/>
  <c r="AG881" i="14" s="1"/>
  <c r="P1011" i="14"/>
  <c r="AG1011" i="14" s="1"/>
  <c r="H985" i="14"/>
  <c r="BI985" i="14" s="1"/>
  <c r="H947" i="14"/>
  <c r="BI947" i="14" s="1"/>
  <c r="P862" i="14"/>
  <c r="AG862" i="14" s="1"/>
  <c r="P960" i="14"/>
  <c r="BJ960" i="14" s="1"/>
  <c r="H867" i="14"/>
  <c r="BI867" i="14" s="1"/>
  <c r="H943" i="14"/>
  <c r="AH943" i="14" s="1"/>
  <c r="P965" i="14"/>
  <c r="AG965" i="14" s="1"/>
  <c r="H979" i="14"/>
  <c r="BI979" i="14" s="1"/>
  <c r="H881" i="14"/>
  <c r="BI881" i="14" s="1"/>
  <c r="P947" i="14"/>
  <c r="BJ947" i="14" s="1"/>
  <c r="H1011" i="14"/>
  <c r="BI1011" i="14" s="1"/>
  <c r="P943" i="14"/>
  <c r="BJ943" i="14" s="1"/>
  <c r="H899" i="14"/>
  <c r="AH899" i="14" s="1"/>
  <c r="P985" i="14"/>
  <c r="BJ985" i="14" s="1"/>
  <c r="H862" i="14"/>
  <c r="AH862" i="14" s="1"/>
  <c r="P867" i="14"/>
  <c r="AG867" i="14" s="1"/>
  <c r="AF881" i="14"/>
  <c r="BH965" i="14"/>
  <c r="BF965" i="14" s="1"/>
  <c r="BH943" i="14"/>
  <c r="BF943" i="14" s="1"/>
  <c r="BH935" i="14"/>
  <c r="BF935" i="14" s="1"/>
  <c r="P1005" i="14"/>
  <c r="BJ1005" i="14" s="1"/>
  <c r="H1005" i="14"/>
  <c r="AH1005" i="14" s="1"/>
  <c r="P861" i="14"/>
  <c r="AG861" i="14" s="1"/>
  <c r="P920" i="14"/>
  <c r="AG920" i="14" s="1"/>
  <c r="P969" i="14"/>
  <c r="AG969" i="14" s="1"/>
  <c r="H969" i="14"/>
  <c r="BI969" i="14" s="1"/>
  <c r="H920" i="14"/>
  <c r="AH920" i="14" s="1"/>
  <c r="P955" i="14"/>
  <c r="AG955" i="14" s="1"/>
  <c r="P953" i="14"/>
  <c r="BJ953" i="14" s="1"/>
  <c r="H910" i="14"/>
  <c r="AH910" i="14" s="1"/>
  <c r="P910" i="14"/>
  <c r="AG910" i="14" s="1"/>
  <c r="H939" i="14"/>
  <c r="AH939" i="14" s="1"/>
  <c r="P1021" i="14"/>
  <c r="AG1021" i="14" s="1"/>
  <c r="H1021" i="14"/>
  <c r="BI1021" i="14" s="1"/>
  <c r="H953" i="14"/>
  <c r="BI953" i="14" s="1"/>
  <c r="P1004" i="14"/>
  <c r="AG1004" i="14" s="1"/>
  <c r="H955" i="14"/>
  <c r="BI955" i="14" s="1"/>
  <c r="H1004" i="14"/>
  <c r="BI1004" i="14" s="1"/>
  <c r="H861" i="14"/>
  <c r="AH861" i="14" s="1"/>
  <c r="P939" i="14"/>
  <c r="BJ939" i="14" s="1"/>
  <c r="BD856" i="14"/>
  <c r="BD837" i="14"/>
  <c r="BH878" i="14"/>
  <c r="BF878" i="14" s="1"/>
  <c r="BC944" i="14"/>
  <c r="BD980" i="14"/>
  <c r="AF935" i="14"/>
  <c r="BD941" i="14"/>
  <c r="BC975" i="14"/>
  <c r="BC935" i="14"/>
  <c r="BC980" i="14"/>
  <c r="BC970" i="14"/>
  <c r="BC880" i="14"/>
  <c r="BC933" i="14"/>
  <c r="BC860" i="14"/>
  <c r="H880" i="14"/>
  <c r="AH880" i="14" s="1"/>
  <c r="P967" i="14"/>
  <c r="AG967" i="14" s="1"/>
  <c r="H933" i="14"/>
  <c r="AH933" i="14" s="1"/>
  <c r="H941" i="14"/>
  <c r="AH941" i="14" s="1"/>
  <c r="H970" i="14"/>
  <c r="AH970" i="14" s="1"/>
  <c r="P860" i="14"/>
  <c r="AG860" i="14" s="1"/>
  <c r="P933" i="14"/>
  <c r="BJ933" i="14" s="1"/>
  <c r="H879" i="14"/>
  <c r="AH879" i="14" s="1"/>
  <c r="P880" i="14"/>
  <c r="BJ880" i="14" s="1"/>
  <c r="P980" i="14"/>
  <c r="BJ980" i="14" s="1"/>
  <c r="P970" i="14"/>
  <c r="AG970" i="14" s="1"/>
  <c r="H860" i="14"/>
  <c r="AH860" i="14" s="1"/>
  <c r="H980" i="14"/>
  <c r="AH980" i="14" s="1"/>
  <c r="AF941" i="14"/>
  <c r="P944" i="14"/>
  <c r="AG944" i="14" s="1"/>
  <c r="P856" i="14"/>
  <c r="BJ856" i="14" s="1"/>
  <c r="P878" i="14"/>
  <c r="AG878" i="14" s="1"/>
  <c r="P837" i="14"/>
  <c r="AG837" i="14" s="1"/>
  <c r="H975" i="14"/>
  <c r="AH975" i="14" s="1"/>
  <c r="H935" i="14"/>
  <c r="BI935" i="14" s="1"/>
  <c r="H837" i="14"/>
  <c r="BI837" i="14" s="1"/>
  <c r="H856" i="14"/>
  <c r="BI856" i="14" s="1"/>
  <c r="H944" i="14"/>
  <c r="BI944" i="14" s="1"/>
  <c r="P975" i="14"/>
  <c r="AG975" i="14" s="1"/>
  <c r="H878" i="14"/>
  <c r="BI878" i="14" s="1"/>
  <c r="P935" i="14"/>
  <c r="BJ935" i="14" s="1"/>
  <c r="AF878" i="14"/>
  <c r="BF990" i="14"/>
  <c r="BE922" i="14"/>
  <c r="BF974" i="14"/>
  <c r="BD1022" i="14"/>
  <c r="BF922" i="14"/>
  <c r="BH1022" i="14"/>
  <c r="BF865" i="14"/>
  <c r="BF1000" i="14"/>
  <c r="H1022" i="14"/>
  <c r="P1022" i="14"/>
  <c r="AG922" i="14"/>
  <c r="BJ922" i="14"/>
  <c r="AF1022" i="14"/>
  <c r="BG1022" i="14"/>
  <c r="AH922" i="14"/>
  <c r="BI922" i="14"/>
  <c r="BC1022" i="14"/>
  <c r="BE848" i="14" l="1"/>
  <c r="BE1014" i="14"/>
  <c r="BF1014" i="14"/>
  <c r="AH1014" i="14"/>
  <c r="AK1014" i="14" s="1"/>
  <c r="AG835" i="14"/>
  <c r="AN835" i="14" s="1"/>
  <c r="AG1014" i="14"/>
  <c r="AI1014" i="14" s="1"/>
  <c r="AA1014" i="14" s="1"/>
  <c r="AD1014" i="14" s="1"/>
  <c r="BF835" i="14"/>
  <c r="BE835" i="14"/>
  <c r="BI835" i="14"/>
  <c r="BK835" i="14" s="1"/>
  <c r="AH848" i="14"/>
  <c r="AJ848" i="14" s="1"/>
  <c r="Z848" i="14" s="1"/>
  <c r="BJ848" i="14"/>
  <c r="BK848" i="14" s="1"/>
  <c r="BE901" i="14"/>
  <c r="BE908" i="14"/>
  <c r="BJ901" i="14"/>
  <c r="BK901" i="14" s="1"/>
  <c r="BE917" i="14"/>
  <c r="AH901" i="14"/>
  <c r="AM901" i="14" s="1"/>
  <c r="BE915" i="14"/>
  <c r="AH915" i="14"/>
  <c r="AJ915" i="14" s="1"/>
  <c r="Z915" i="14" s="1"/>
  <c r="AG917" i="14"/>
  <c r="AL917" i="14" s="1"/>
  <c r="BJ908" i="14"/>
  <c r="BK908" i="14" s="1"/>
  <c r="BE876" i="14"/>
  <c r="AG915" i="14"/>
  <c r="AL915" i="14" s="1"/>
  <c r="BI917" i="14"/>
  <c r="BK917" i="14" s="1"/>
  <c r="AG876" i="14"/>
  <c r="AN876" i="14" s="1"/>
  <c r="AH876" i="14"/>
  <c r="AJ876" i="14" s="1"/>
  <c r="Z876" i="14" s="1"/>
  <c r="AH908" i="14"/>
  <c r="AK908" i="14" s="1"/>
  <c r="BF840" i="14"/>
  <c r="BI961" i="14"/>
  <c r="BK961" i="14" s="1"/>
  <c r="BE869" i="14"/>
  <c r="BE840" i="14"/>
  <c r="BE961" i="14"/>
  <c r="AG961" i="14"/>
  <c r="AI961" i="14" s="1"/>
  <c r="AA961" i="14" s="1"/>
  <c r="AD961" i="14" s="1"/>
  <c r="AG869" i="14"/>
  <c r="AI869" i="14" s="1"/>
  <c r="AA869" i="14" s="1"/>
  <c r="AD869" i="14" s="1"/>
  <c r="BJ840" i="14"/>
  <c r="BE976" i="14"/>
  <c r="BI869" i="14"/>
  <c r="BK869" i="14" s="1"/>
  <c r="BI840" i="14"/>
  <c r="BI911" i="14"/>
  <c r="BK911" i="14" s="1"/>
  <c r="BF976" i="14"/>
  <c r="BE913" i="14"/>
  <c r="BE911" i="14"/>
  <c r="BE989" i="14"/>
  <c r="AH913" i="14"/>
  <c r="AK913" i="14" s="1"/>
  <c r="AG911" i="14"/>
  <c r="AN911" i="14" s="1"/>
  <c r="BJ913" i="14"/>
  <c r="BK913" i="14" s="1"/>
  <c r="AG976" i="14"/>
  <c r="AL976" i="14" s="1"/>
  <c r="AG989" i="14"/>
  <c r="AL989" i="14" s="1"/>
  <c r="BI976" i="14"/>
  <c r="BK976" i="14" s="1"/>
  <c r="BI989" i="14"/>
  <c r="BK989" i="14" s="1"/>
  <c r="BE940" i="14"/>
  <c r="AH940" i="14"/>
  <c r="AK940" i="14" s="1"/>
  <c r="BE888" i="14"/>
  <c r="AG888" i="14"/>
  <c r="AN888" i="14" s="1"/>
  <c r="BF886" i="14"/>
  <c r="BE916" i="14"/>
  <c r="BI916" i="14"/>
  <c r="BK916" i="14" s="1"/>
  <c r="BI966" i="14"/>
  <c r="BK966" i="14" s="1"/>
  <c r="AG916" i="14"/>
  <c r="AN916" i="14" s="1"/>
  <c r="BF929" i="14"/>
  <c r="BE931" i="14"/>
  <c r="BI888" i="14"/>
  <c r="BK888" i="14" s="1"/>
  <c r="BF966" i="14"/>
  <c r="BJ992" i="14"/>
  <c r="BK992" i="14" s="1"/>
  <c r="BE966" i="14"/>
  <c r="BE992" i="14"/>
  <c r="BE871" i="14"/>
  <c r="BJ940" i="14"/>
  <c r="BK940" i="14" s="1"/>
  <c r="AH992" i="14"/>
  <c r="AJ992" i="14" s="1"/>
  <c r="Z992" i="14" s="1"/>
  <c r="AG966" i="14"/>
  <c r="AN966" i="14" s="1"/>
  <c r="BE843" i="14"/>
  <c r="BJ843" i="14"/>
  <c r="BE977" i="14"/>
  <c r="BE924" i="14"/>
  <c r="BI843" i="14"/>
  <c r="BI924" i="14"/>
  <c r="AH977" i="14"/>
  <c r="AM977" i="14" s="1"/>
  <c r="BJ977" i="14"/>
  <c r="BK977" i="14" s="1"/>
  <c r="AH914" i="14"/>
  <c r="AJ914" i="14" s="1"/>
  <c r="Z914" i="14" s="1"/>
  <c r="BE891" i="14"/>
  <c r="BE877" i="14"/>
  <c r="BF924" i="14"/>
  <c r="BE950" i="14"/>
  <c r="BF962" i="14"/>
  <c r="BI829" i="14"/>
  <c r="BK829" i="14" s="1"/>
  <c r="BE849" i="14"/>
  <c r="BJ885" i="14"/>
  <c r="BK885" i="14" s="1"/>
  <c r="BE885" i="14"/>
  <c r="BE914" i="14"/>
  <c r="BE892" i="14"/>
  <c r="AH892" i="14"/>
  <c r="AJ892" i="14" s="1"/>
  <c r="Z892" i="14" s="1"/>
  <c r="BE932" i="14"/>
  <c r="BJ864" i="14"/>
  <c r="BJ924" i="14"/>
  <c r="BI849" i="14"/>
  <c r="BK849" i="14" s="1"/>
  <c r="AG892" i="14"/>
  <c r="AL892" i="14" s="1"/>
  <c r="AH885" i="14"/>
  <c r="AJ885" i="14" s="1"/>
  <c r="Z885" i="14" s="1"/>
  <c r="BI864" i="14"/>
  <c r="BE864" i="14"/>
  <c r="BF946" i="14"/>
  <c r="AG932" i="14"/>
  <c r="AL932" i="14" s="1"/>
  <c r="BF829" i="14"/>
  <c r="BE990" i="14"/>
  <c r="AG849" i="14"/>
  <c r="AI849" i="14" s="1"/>
  <c r="AA849" i="14" s="1"/>
  <c r="AD849" i="14" s="1"/>
  <c r="BI950" i="14"/>
  <c r="BJ914" i="14"/>
  <c r="BK914" i="14" s="1"/>
  <c r="BJ950" i="14"/>
  <c r="BE875" i="14"/>
  <c r="BE1016" i="14"/>
  <c r="BE946" i="14"/>
  <c r="BI932" i="14"/>
  <c r="BK932" i="14" s="1"/>
  <c r="BI1016" i="14"/>
  <c r="BJ1016" i="14"/>
  <c r="BJ994" i="14"/>
  <c r="BE844" i="14"/>
  <c r="BE994" i="14"/>
  <c r="AG946" i="14"/>
  <c r="AI946" i="14" s="1"/>
  <c r="AA946" i="14" s="1"/>
  <c r="AD946" i="14" s="1"/>
  <c r="BI844" i="14"/>
  <c r="AH946" i="14"/>
  <c r="AM946" i="14" s="1"/>
  <c r="BJ844" i="14"/>
  <c r="BE981" i="14"/>
  <c r="BE962" i="14"/>
  <c r="BE868" i="14"/>
  <c r="BI990" i="14"/>
  <c r="BJ990" i="14"/>
  <c r="BF826" i="14"/>
  <c r="BE984" i="14"/>
  <c r="BF923" i="14"/>
  <c r="BE838" i="14"/>
  <c r="BF838" i="14"/>
  <c r="BJ984" i="14"/>
  <c r="BK984" i="14" s="1"/>
  <c r="AH981" i="14"/>
  <c r="AK981" i="14" s="1"/>
  <c r="AG875" i="14"/>
  <c r="AI875" i="14" s="1"/>
  <c r="AA875" i="14" s="1"/>
  <c r="AD875" i="14" s="1"/>
  <c r="BI994" i="14"/>
  <c r="BJ838" i="14"/>
  <c r="BI838" i="14"/>
  <c r="AG829" i="14"/>
  <c r="AI829" i="14" s="1"/>
  <c r="AA829" i="14" s="1"/>
  <c r="AD829" i="14" s="1"/>
  <c r="BI875" i="14"/>
  <c r="BK875" i="14" s="1"/>
  <c r="AG981" i="14"/>
  <c r="AL981" i="14" s="1"/>
  <c r="BE829" i="14"/>
  <c r="BI826" i="14"/>
  <c r="AH984" i="14"/>
  <c r="AJ984" i="14" s="1"/>
  <c r="Z984" i="14" s="1"/>
  <c r="BE918" i="14"/>
  <c r="AG962" i="14"/>
  <c r="AN962" i="14" s="1"/>
  <c r="AH962" i="14"/>
  <c r="AJ962" i="14" s="1"/>
  <c r="Z962" i="14" s="1"/>
  <c r="BE1006" i="14"/>
  <c r="BF971" i="14"/>
  <c r="BE855" i="14"/>
  <c r="BF1006" i="14"/>
  <c r="BF1019" i="14"/>
  <c r="BE999" i="14"/>
  <c r="BE979" i="14"/>
  <c r="BE826" i="14"/>
  <c r="BJ923" i="14"/>
  <c r="BK923" i="14" s="1"/>
  <c r="BE993" i="14"/>
  <c r="BF986" i="14"/>
  <c r="BE986" i="14"/>
  <c r="BF936" i="14"/>
  <c r="BF871" i="14"/>
  <c r="BE870" i="14"/>
  <c r="BE938" i="14"/>
  <c r="BE997" i="14"/>
  <c r="BJ972" i="14"/>
  <c r="BE972" i="14"/>
  <c r="BF957" i="14"/>
  <c r="BE857" i="14"/>
  <c r="BE889" i="14"/>
  <c r="BE991" i="14"/>
  <c r="BJ999" i="14"/>
  <c r="AG912" i="14"/>
  <c r="AN912" i="14" s="1"/>
  <c r="BE978" i="14"/>
  <c r="AH923" i="14"/>
  <c r="AM923" i="14" s="1"/>
  <c r="BJ997" i="14"/>
  <c r="BK997" i="14" s="1"/>
  <c r="BI986" i="14"/>
  <c r="BE836" i="14"/>
  <c r="BE923" i="14"/>
  <c r="BE996" i="14"/>
  <c r="BJ936" i="14"/>
  <c r="BK936" i="14" s="1"/>
  <c r="AH895" i="14"/>
  <c r="AJ895" i="14" s="1"/>
  <c r="Z895" i="14" s="1"/>
  <c r="BE925" i="14"/>
  <c r="AH948" i="14"/>
  <c r="AK948" i="14" s="1"/>
  <c r="BI996" i="14"/>
  <c r="AH978" i="14"/>
  <c r="AJ978" i="14" s="1"/>
  <c r="Z978" i="14" s="1"/>
  <c r="BI999" i="14"/>
  <c r="BE983" i="14"/>
  <c r="BE948" i="14"/>
  <c r="BE936" i="14"/>
  <c r="BE937" i="14"/>
  <c r="BE912" i="14"/>
  <c r="AG983" i="14"/>
  <c r="AI983" i="14" s="1"/>
  <c r="AA983" i="14" s="1"/>
  <c r="AD983" i="14" s="1"/>
  <c r="BJ978" i="14"/>
  <c r="BK978" i="14" s="1"/>
  <c r="BE895" i="14"/>
  <c r="BJ826" i="14"/>
  <c r="AH960" i="14"/>
  <c r="AJ960" i="14" s="1"/>
  <c r="Z960" i="14" s="1"/>
  <c r="BI938" i="14"/>
  <c r="BJ825" i="14"/>
  <c r="BE853" i="14"/>
  <c r="AH870" i="14"/>
  <c r="AK870" i="14" s="1"/>
  <c r="BE1002" i="14"/>
  <c r="AG948" i="14"/>
  <c r="AI948" i="14" s="1"/>
  <c r="AA948" i="14" s="1"/>
  <c r="AD948" i="14" s="1"/>
  <c r="AH991" i="14"/>
  <c r="AJ991" i="14" s="1"/>
  <c r="Z991" i="14" s="1"/>
  <c r="BJ895" i="14"/>
  <c r="BK895" i="14" s="1"/>
  <c r="AH997" i="14"/>
  <c r="AJ997" i="14" s="1"/>
  <c r="Z997" i="14" s="1"/>
  <c r="BE982" i="14"/>
  <c r="BI925" i="14"/>
  <c r="AG871" i="14"/>
  <c r="AI871" i="14" s="1"/>
  <c r="AA871" i="14" s="1"/>
  <c r="AD871" i="14" s="1"/>
  <c r="BJ938" i="14"/>
  <c r="BF912" i="14"/>
  <c r="BJ925" i="14"/>
  <c r="BJ996" i="14"/>
  <c r="BF909" i="14"/>
  <c r="BE952" i="14"/>
  <c r="BJ1006" i="14"/>
  <c r="BJ991" i="14"/>
  <c r="BK991" i="14" s="1"/>
  <c r="BJ986" i="14"/>
  <c r="BF1013" i="14"/>
  <c r="AH857" i="14"/>
  <c r="AJ857" i="14" s="1"/>
  <c r="Z857" i="14" s="1"/>
  <c r="BJ857" i="14"/>
  <c r="BK857" i="14" s="1"/>
  <c r="BI972" i="14"/>
  <c r="BI912" i="14"/>
  <c r="BK912" i="14" s="1"/>
  <c r="AG929" i="14"/>
  <c r="AI929" i="14" s="1"/>
  <c r="AA929" i="14" s="1"/>
  <c r="AD929" i="14" s="1"/>
  <c r="AH983" i="14"/>
  <c r="AK983" i="14" s="1"/>
  <c r="AH936" i="14"/>
  <c r="AJ936" i="14" s="1"/>
  <c r="Z936" i="14" s="1"/>
  <c r="BJ870" i="14"/>
  <c r="BK870" i="14" s="1"/>
  <c r="BI1006" i="14"/>
  <c r="AH836" i="14"/>
  <c r="AK836" i="14" s="1"/>
  <c r="BI871" i="14"/>
  <c r="BK871" i="14" s="1"/>
  <c r="BJ836" i="14"/>
  <c r="BK836" i="14" s="1"/>
  <c r="BE951" i="14"/>
  <c r="BE825" i="14"/>
  <c r="BE960" i="14"/>
  <c r="BE959" i="14"/>
  <c r="BE1015" i="14"/>
  <c r="AG937" i="14"/>
  <c r="AN937" i="14" s="1"/>
  <c r="BE858" i="14"/>
  <c r="BI1002" i="14"/>
  <c r="BK1002" i="14" s="1"/>
  <c r="AH937" i="14"/>
  <c r="AM937" i="14" s="1"/>
  <c r="BE827" i="14"/>
  <c r="BE935" i="14"/>
  <c r="BE1010" i="14"/>
  <c r="BE833" i="14"/>
  <c r="BF828" i="14"/>
  <c r="BE822" i="14"/>
  <c r="BE934" i="14"/>
  <c r="AG942" i="14"/>
  <c r="AI942" i="14" s="1"/>
  <c r="AA942" i="14" s="1"/>
  <c r="AD942" i="14" s="1"/>
  <c r="BI988" i="14"/>
  <c r="BK988" i="14" s="1"/>
  <c r="AH858" i="14"/>
  <c r="AJ858" i="14" s="1"/>
  <c r="Z858" i="14" s="1"/>
  <c r="BJ919" i="14"/>
  <c r="BI956" i="14"/>
  <c r="BK956" i="14" s="1"/>
  <c r="BI1007" i="14"/>
  <c r="BK1007" i="14" s="1"/>
  <c r="BE846" i="14"/>
  <c r="BI889" i="14"/>
  <c r="BK889" i="14" s="1"/>
  <c r="BF979" i="14"/>
  <c r="BI1001" i="14"/>
  <c r="BJ842" i="14"/>
  <c r="BK842" i="14" s="1"/>
  <c r="BI1010" i="14"/>
  <c r="BK1010" i="14" s="1"/>
  <c r="AH909" i="14"/>
  <c r="AM909" i="14" s="1"/>
  <c r="BE954" i="14"/>
  <c r="BI868" i="14"/>
  <c r="BJ822" i="14"/>
  <c r="BJ845" i="14"/>
  <c r="BK845" i="14" s="1"/>
  <c r="AH828" i="14"/>
  <c r="AJ828" i="14" s="1"/>
  <c r="Z828" i="14" s="1"/>
  <c r="BE832" i="14"/>
  <c r="BE860" i="14"/>
  <c r="BE902" i="14"/>
  <c r="BF863" i="14"/>
  <c r="BE900" i="14"/>
  <c r="BE971" i="14"/>
  <c r="BE842" i="14"/>
  <c r="BE949" i="14"/>
  <c r="AG1002" i="14"/>
  <c r="AN1002" i="14" s="1"/>
  <c r="BE887" i="14"/>
  <c r="AG1010" i="14"/>
  <c r="AI1010" i="14" s="1"/>
  <c r="AA1010" i="14" s="1"/>
  <c r="AD1010" i="14" s="1"/>
  <c r="AG858" i="14"/>
  <c r="AI858" i="14" s="1"/>
  <c r="AA858" i="14" s="1"/>
  <c r="AD858" i="14" s="1"/>
  <c r="BF926" i="14"/>
  <c r="BE958" i="14"/>
  <c r="BE1017" i="14"/>
  <c r="BE856" i="14"/>
  <c r="BE965" i="14"/>
  <c r="AG918" i="14"/>
  <c r="AI918" i="14" s="1"/>
  <c r="AA918" i="14" s="1"/>
  <c r="AD918" i="14" s="1"/>
  <c r="AG830" i="14"/>
  <c r="AI830" i="14" s="1"/>
  <c r="AA830" i="14" s="1"/>
  <c r="AD830" i="14" s="1"/>
  <c r="BF827" i="14"/>
  <c r="BF951" i="14"/>
  <c r="BE863" i="14"/>
  <c r="BE930" i="14"/>
  <c r="BI855" i="14"/>
  <c r="BK855" i="14" s="1"/>
  <c r="AG833" i="14"/>
  <c r="AI833" i="14" s="1"/>
  <c r="AA833" i="14" s="1"/>
  <c r="AD833" i="14" s="1"/>
  <c r="BE967" i="14"/>
  <c r="AG823" i="14"/>
  <c r="AN823" i="14" s="1"/>
  <c r="BE928" i="14"/>
  <c r="BI866" i="14"/>
  <c r="BK866" i="14" s="1"/>
  <c r="BE920" i="14"/>
  <c r="BE886" i="14"/>
  <c r="AH995" i="14"/>
  <c r="AM995" i="14" s="1"/>
  <c r="BE865" i="14"/>
  <c r="BJ930" i="14"/>
  <c r="BE862" i="14"/>
  <c r="BE839" i="14"/>
  <c r="BI1000" i="14"/>
  <c r="BE974" i="14"/>
  <c r="BE1020" i="14"/>
  <c r="BE956" i="14"/>
  <c r="BF874" i="14"/>
  <c r="BE998" i="14"/>
  <c r="BE847" i="14"/>
  <c r="BI1003" i="14"/>
  <c r="BE909" i="14"/>
  <c r="BJ954" i="14"/>
  <c r="BE964" i="14"/>
  <c r="BI900" i="14"/>
  <c r="BK900" i="14" s="1"/>
  <c r="BI929" i="14"/>
  <c r="BK929" i="14" s="1"/>
  <c r="BE973" i="14"/>
  <c r="BJ973" i="14"/>
  <c r="BE845" i="14"/>
  <c r="BE872" i="14"/>
  <c r="AH902" i="14"/>
  <c r="AK902" i="14" s="1"/>
  <c r="AH830" i="14"/>
  <c r="AJ830" i="14" s="1"/>
  <c r="Z830" i="14" s="1"/>
  <c r="BE883" i="14"/>
  <c r="BE1011" i="14"/>
  <c r="BE929" i="14"/>
  <c r="BF1017" i="14"/>
  <c r="BE823" i="14"/>
  <c r="BE828" i="14"/>
  <c r="BE824" i="14"/>
  <c r="BJ993" i="14"/>
  <c r="BK993" i="14" s="1"/>
  <c r="AG941" i="14"/>
  <c r="AN941" i="14" s="1"/>
  <c r="AG939" i="14"/>
  <c r="AN939" i="14" s="1"/>
  <c r="AH987" i="14"/>
  <c r="AJ987" i="14" s="1"/>
  <c r="Z987" i="14" s="1"/>
  <c r="AH837" i="14"/>
  <c r="AJ837" i="14" s="1"/>
  <c r="Z837" i="14" s="1"/>
  <c r="AG841" i="14"/>
  <c r="AI841" i="14" s="1"/>
  <c r="AA841" i="14" s="1"/>
  <c r="AD841" i="14" s="1"/>
  <c r="AH1015" i="14"/>
  <c r="AK1015" i="14" s="1"/>
  <c r="BI904" i="14"/>
  <c r="AH839" i="14"/>
  <c r="AJ839" i="14" s="1"/>
  <c r="Z839" i="14" s="1"/>
  <c r="BJ1000" i="14"/>
  <c r="BJ882" i="14"/>
  <c r="BK882" i="14" s="1"/>
  <c r="AG906" i="14"/>
  <c r="AN906" i="14" s="1"/>
  <c r="BJ971" i="14"/>
  <c r="AH893" i="14"/>
  <c r="AM893" i="14" s="1"/>
  <c r="BJ883" i="14"/>
  <c r="AH853" i="14"/>
  <c r="AJ853" i="14" s="1"/>
  <c r="Z853" i="14" s="1"/>
  <c r="BI973" i="14"/>
  <c r="BE878" i="14"/>
  <c r="BE874" i="14"/>
  <c r="BE921" i="14"/>
  <c r="BE873" i="14"/>
  <c r="BE861" i="14"/>
  <c r="BE1007" i="14"/>
  <c r="BE830" i="14"/>
  <c r="BE1018" i="14"/>
  <c r="BI862" i="14"/>
  <c r="BE1000" i="14"/>
  <c r="BJ862" i="14"/>
  <c r="AH931" i="14"/>
  <c r="AJ931" i="14" s="1"/>
  <c r="Z931" i="14" s="1"/>
  <c r="AG995" i="14"/>
  <c r="AL995" i="14" s="1"/>
  <c r="AH827" i="14"/>
  <c r="AJ827" i="14" s="1"/>
  <c r="Z827" i="14" s="1"/>
  <c r="BI928" i="14"/>
  <c r="BE1013" i="14"/>
  <c r="BE841" i="14"/>
  <c r="BE897" i="14"/>
  <c r="AG853" i="14"/>
  <c r="AI853" i="14" s="1"/>
  <c r="AA853" i="14" s="1"/>
  <c r="AD853" i="14" s="1"/>
  <c r="BE903" i="14"/>
  <c r="AH877" i="14"/>
  <c r="AJ877" i="14" s="1"/>
  <c r="Z877" i="14" s="1"/>
  <c r="BE1004" i="14"/>
  <c r="BE969" i="14"/>
  <c r="BI833" i="14"/>
  <c r="BK833" i="14" s="1"/>
  <c r="BI897" i="14"/>
  <c r="BK897" i="14" s="1"/>
  <c r="BI887" i="14"/>
  <c r="BJ998" i="14"/>
  <c r="BK998" i="14" s="1"/>
  <c r="BE859" i="14"/>
  <c r="BE879" i="14"/>
  <c r="BE884" i="14"/>
  <c r="BI1009" i="14"/>
  <c r="BI886" i="14"/>
  <c r="AG897" i="14"/>
  <c r="AI897" i="14" s="1"/>
  <c r="AA897" i="14" s="1"/>
  <c r="AD897" i="14" s="1"/>
  <c r="BI934" i="14"/>
  <c r="BK934" i="14" s="1"/>
  <c r="AG934" i="14"/>
  <c r="AN934" i="14" s="1"/>
  <c r="AG865" i="14"/>
  <c r="AN865" i="14" s="1"/>
  <c r="AG855" i="14"/>
  <c r="AI855" i="14" s="1"/>
  <c r="AA855" i="14" s="1"/>
  <c r="AD855" i="14" s="1"/>
  <c r="AG900" i="14"/>
  <c r="AI900" i="14" s="1"/>
  <c r="AA900" i="14" s="1"/>
  <c r="AD900" i="14" s="1"/>
  <c r="BJ974" i="14"/>
  <c r="BE919" i="14"/>
  <c r="BE894" i="14"/>
  <c r="BE1001" i="14"/>
  <c r="BI846" i="14"/>
  <c r="BE1009" i="14"/>
  <c r="BE890" i="14"/>
  <c r="BE926" i="14"/>
  <c r="BF920" i="14"/>
  <c r="BE1005" i="14"/>
  <c r="BE988" i="14"/>
  <c r="BE1008" i="14"/>
  <c r="BE854" i="14"/>
  <c r="BE866" i="14"/>
  <c r="BE1003" i="14"/>
  <c r="BE995" i="14"/>
  <c r="BE968" i="14"/>
  <c r="BJ886" i="14"/>
  <c r="AH882" i="14"/>
  <c r="AJ882" i="14" s="1"/>
  <c r="Z882" i="14" s="1"/>
  <c r="BE852" i="14"/>
  <c r="BE953" i="14"/>
  <c r="AH951" i="14"/>
  <c r="AK951" i="14" s="1"/>
  <c r="AG931" i="14"/>
  <c r="AN931" i="14" s="1"/>
  <c r="BJ955" i="14"/>
  <c r="BK955" i="14" s="1"/>
  <c r="AH874" i="14"/>
  <c r="AJ874" i="14" s="1"/>
  <c r="Z874" i="14" s="1"/>
  <c r="BI963" i="14"/>
  <c r="BI822" i="14"/>
  <c r="AH993" i="14"/>
  <c r="AK993" i="14" s="1"/>
  <c r="AG960" i="14"/>
  <c r="AL960" i="14" s="1"/>
  <c r="AH832" i="14"/>
  <c r="AK832" i="14" s="1"/>
  <c r="BJ887" i="14"/>
  <c r="BI919" i="14"/>
  <c r="BE1019" i="14"/>
  <c r="AG988" i="14"/>
  <c r="AN988" i="14" s="1"/>
  <c r="BE898" i="14"/>
  <c r="BE963" i="14"/>
  <c r="BE893" i="14"/>
  <c r="BE834" i="14"/>
  <c r="BI967" i="14"/>
  <c r="BJ846" i="14"/>
  <c r="BE906" i="14"/>
  <c r="BI851" i="14"/>
  <c r="BK851" i="14" s="1"/>
  <c r="BJ863" i="14"/>
  <c r="BK863" i="14" s="1"/>
  <c r="BJ1001" i="14"/>
  <c r="BJ839" i="14"/>
  <c r="BK839" i="14" s="1"/>
  <c r="BE947" i="14"/>
  <c r="BE942" i="14"/>
  <c r="BE867" i="14"/>
  <c r="BE939" i="14"/>
  <c r="BI949" i="14"/>
  <c r="BK949" i="14" s="1"/>
  <c r="BE944" i="14"/>
  <c r="BE943" i="14"/>
  <c r="BE1012" i="14"/>
  <c r="BI865" i="14"/>
  <c r="BK865" i="14" s="1"/>
  <c r="AH831" i="14"/>
  <c r="AJ831" i="14" s="1"/>
  <c r="Z831" i="14" s="1"/>
  <c r="BJ902" i="14"/>
  <c r="BK902" i="14" s="1"/>
  <c r="BJ832" i="14"/>
  <c r="BK832" i="14" s="1"/>
  <c r="BJ1015" i="14"/>
  <c r="BK1015" i="14" s="1"/>
  <c r="BI930" i="14"/>
  <c r="AH834" i="14"/>
  <c r="AJ834" i="14" s="1"/>
  <c r="Z834" i="14" s="1"/>
  <c r="AH1012" i="14"/>
  <c r="AJ1012" i="14" s="1"/>
  <c r="Z1012" i="14" s="1"/>
  <c r="BJ831" i="14"/>
  <c r="BK831" i="14" s="1"/>
  <c r="AH872" i="14"/>
  <c r="AJ872" i="14" s="1"/>
  <c r="Z872" i="14" s="1"/>
  <c r="AG1017" i="14"/>
  <c r="AI1017" i="14" s="1"/>
  <c r="AA1017" i="14" s="1"/>
  <c r="AD1017" i="14" s="1"/>
  <c r="AH979" i="14"/>
  <c r="AJ979" i="14" s="1"/>
  <c r="Z979" i="14" s="1"/>
  <c r="BI824" i="14"/>
  <c r="BK824" i="14" s="1"/>
  <c r="BJ1003" i="14"/>
  <c r="BI927" i="14"/>
  <c r="BE945" i="14"/>
  <c r="AH863" i="14"/>
  <c r="AJ863" i="14" s="1"/>
  <c r="Z863" i="14" s="1"/>
  <c r="AH918" i="14"/>
  <c r="AJ918" i="14" s="1"/>
  <c r="Z918" i="14" s="1"/>
  <c r="BE941" i="14"/>
  <c r="BJ1012" i="14"/>
  <c r="BK1012" i="14" s="1"/>
  <c r="BE837" i="14"/>
  <c r="AG889" i="14"/>
  <c r="AL889" i="14" s="1"/>
  <c r="BJ893" i="14"/>
  <c r="BK893" i="14" s="1"/>
  <c r="BE910" i="14"/>
  <c r="AH1018" i="14"/>
  <c r="AJ1018" i="14" s="1"/>
  <c r="Z1018" i="14" s="1"/>
  <c r="BF856" i="14"/>
  <c r="AH959" i="14"/>
  <c r="AJ959" i="14" s="1"/>
  <c r="Z959" i="14" s="1"/>
  <c r="AG949" i="14"/>
  <c r="AI949" i="14" s="1"/>
  <c r="AA949" i="14" s="1"/>
  <c r="AD949" i="14" s="1"/>
  <c r="BI971" i="14"/>
  <c r="BE882" i="14"/>
  <c r="BE880" i="14"/>
  <c r="BF880" i="14"/>
  <c r="BE987" i="14"/>
  <c r="BE955" i="14"/>
  <c r="BI823" i="14"/>
  <c r="BK823" i="14" s="1"/>
  <c r="BI906" i="14"/>
  <c r="BK906" i="14" s="1"/>
  <c r="BJ828" i="14"/>
  <c r="BK828" i="14" s="1"/>
  <c r="BI825" i="14"/>
  <c r="AG959" i="14"/>
  <c r="AN959" i="14" s="1"/>
  <c r="BJ874" i="14"/>
  <c r="BK874" i="14" s="1"/>
  <c r="BI965" i="14"/>
  <c r="AG894" i="14"/>
  <c r="AI894" i="14" s="1"/>
  <c r="AA894" i="14" s="1"/>
  <c r="AD894" i="14" s="1"/>
  <c r="AH952" i="14"/>
  <c r="AJ952" i="14" s="1"/>
  <c r="Z952" i="14" s="1"/>
  <c r="BI841" i="14"/>
  <c r="BK841" i="14" s="1"/>
  <c r="BJ847" i="14"/>
  <c r="BJ868" i="14"/>
  <c r="AH845" i="14"/>
  <c r="AJ845" i="14" s="1"/>
  <c r="Z845" i="14" s="1"/>
  <c r="BE975" i="14"/>
  <c r="BE970" i="14"/>
  <c r="BE896" i="14"/>
  <c r="BF931" i="14"/>
  <c r="AG1007" i="14"/>
  <c r="AN1007" i="14" s="1"/>
  <c r="BE1021" i="14"/>
  <c r="BI847" i="14"/>
  <c r="BI954" i="14"/>
  <c r="AG952" i="14"/>
  <c r="AI952" i="14" s="1"/>
  <c r="AA952" i="14" s="1"/>
  <c r="AD952" i="14" s="1"/>
  <c r="AH942" i="14"/>
  <c r="AJ942" i="14" s="1"/>
  <c r="Z942" i="14" s="1"/>
  <c r="AG926" i="14"/>
  <c r="AL926" i="14" s="1"/>
  <c r="BI883" i="14"/>
  <c r="AG964" i="14"/>
  <c r="AI964" i="14" s="1"/>
  <c r="AA964" i="14" s="1"/>
  <c r="AD964" i="14" s="1"/>
  <c r="BI974" i="14"/>
  <c r="AH998" i="14"/>
  <c r="AJ998" i="14" s="1"/>
  <c r="Z998" i="14" s="1"/>
  <c r="AG854" i="14"/>
  <c r="AL854" i="14" s="1"/>
  <c r="BI873" i="14"/>
  <c r="BJ1013" i="14"/>
  <c r="BJ982" i="14"/>
  <c r="AG827" i="14"/>
  <c r="AN827" i="14" s="1"/>
  <c r="BI891" i="14"/>
  <c r="BI894" i="14"/>
  <c r="BK894" i="14" s="1"/>
  <c r="BI890" i="14"/>
  <c r="BK890" i="14" s="1"/>
  <c r="AG852" i="14"/>
  <c r="AL852" i="14" s="1"/>
  <c r="AG909" i="14"/>
  <c r="AL909" i="14" s="1"/>
  <c r="AG824" i="14"/>
  <c r="AL824" i="14" s="1"/>
  <c r="AG958" i="14"/>
  <c r="AI958" i="14" s="1"/>
  <c r="AA958" i="14" s="1"/>
  <c r="AD958" i="14" s="1"/>
  <c r="BJ904" i="14"/>
  <c r="AG1019" i="14"/>
  <c r="AN1019" i="14" s="1"/>
  <c r="BI1013" i="14"/>
  <c r="AH921" i="14"/>
  <c r="AJ921" i="14" s="1"/>
  <c r="Z921" i="14" s="1"/>
  <c r="BJ928" i="14"/>
  <c r="AG956" i="14"/>
  <c r="AL956" i="14" s="1"/>
  <c r="BJ872" i="14"/>
  <c r="BK872" i="14" s="1"/>
  <c r="AG890" i="14"/>
  <c r="AN890" i="14" s="1"/>
  <c r="AH907" i="14"/>
  <c r="AJ907" i="14" s="1"/>
  <c r="Z907" i="14" s="1"/>
  <c r="AH842" i="14"/>
  <c r="AJ842" i="14" s="1"/>
  <c r="Z842" i="14" s="1"/>
  <c r="AG866" i="14"/>
  <c r="AI866" i="14" s="1"/>
  <c r="AA866" i="14" s="1"/>
  <c r="AD866" i="14" s="1"/>
  <c r="AG951" i="14"/>
  <c r="AI951" i="14" s="1"/>
  <c r="AA951" i="14" s="1"/>
  <c r="AD951" i="14" s="1"/>
  <c r="AG987" i="14"/>
  <c r="AN987" i="14" s="1"/>
  <c r="BI964" i="14"/>
  <c r="BK964" i="14" s="1"/>
  <c r="AG884" i="14"/>
  <c r="AL884" i="14" s="1"/>
  <c r="BI1017" i="14"/>
  <c r="BK1017" i="14" s="1"/>
  <c r="AH926" i="14"/>
  <c r="AK926" i="14" s="1"/>
  <c r="AG921" i="14"/>
  <c r="AI921" i="14" s="1"/>
  <c r="AA921" i="14" s="1"/>
  <c r="AD921" i="14" s="1"/>
  <c r="BF854" i="14"/>
  <c r="BE851" i="14"/>
  <c r="BI884" i="14"/>
  <c r="BK884" i="14" s="1"/>
  <c r="AG1018" i="14"/>
  <c r="AN1018" i="14" s="1"/>
  <c r="BF861" i="14"/>
  <c r="BJ891" i="14"/>
  <c r="BJ879" i="14"/>
  <c r="BI982" i="14"/>
  <c r="AH958" i="14"/>
  <c r="AJ958" i="14" s="1"/>
  <c r="Z958" i="14" s="1"/>
  <c r="BE831" i="14"/>
  <c r="BE985" i="14"/>
  <c r="BE904" i="14"/>
  <c r="AH852" i="14"/>
  <c r="AM852" i="14" s="1"/>
  <c r="BJ1021" i="14"/>
  <c r="BK1021" i="14" s="1"/>
  <c r="BI933" i="14"/>
  <c r="BK933" i="14" s="1"/>
  <c r="BE980" i="14"/>
  <c r="AG899" i="14"/>
  <c r="AN899" i="14" s="1"/>
  <c r="AH881" i="14"/>
  <c r="AJ881" i="14" s="1"/>
  <c r="Z881" i="14" s="1"/>
  <c r="AG1005" i="14"/>
  <c r="AI1005" i="14" s="1"/>
  <c r="AA1005" i="14" s="1"/>
  <c r="AD1005" i="14" s="1"/>
  <c r="BE907" i="14"/>
  <c r="BE957" i="14"/>
  <c r="BE905" i="14"/>
  <c r="BI861" i="14"/>
  <c r="BJ834" i="14"/>
  <c r="BK834" i="14" s="1"/>
  <c r="BI920" i="14"/>
  <c r="BE850" i="14"/>
  <c r="BF955" i="14"/>
  <c r="BJ1009" i="14"/>
  <c r="AH957" i="14"/>
  <c r="AJ957" i="14" s="1"/>
  <c r="Z957" i="14" s="1"/>
  <c r="BF960" i="14"/>
  <c r="BE933" i="14"/>
  <c r="BE927" i="14"/>
  <c r="BJ878" i="14"/>
  <c r="BK878" i="14" s="1"/>
  <c r="AG979" i="14"/>
  <c r="AL979" i="14" s="1"/>
  <c r="AG947" i="14"/>
  <c r="AN947" i="14" s="1"/>
  <c r="AH854" i="14"/>
  <c r="AJ854" i="14" s="1"/>
  <c r="Z854" i="14" s="1"/>
  <c r="BE881" i="14"/>
  <c r="BE899" i="14"/>
  <c r="AH955" i="14"/>
  <c r="AM955" i="14" s="1"/>
  <c r="BI975" i="14"/>
  <c r="BJ850" i="14"/>
  <c r="BK850" i="14" s="1"/>
  <c r="BJ963" i="14"/>
  <c r="BJ927" i="14"/>
  <c r="AH859" i="14"/>
  <c r="AM859" i="14" s="1"/>
  <c r="BJ957" i="14"/>
  <c r="BK957" i="14" s="1"/>
  <c r="AH947" i="14"/>
  <c r="AK947" i="14" s="1"/>
  <c r="BI879" i="14"/>
  <c r="AG907" i="14"/>
  <c r="AI907" i="14" s="1"/>
  <c r="AA907" i="14" s="1"/>
  <c r="AD907" i="14" s="1"/>
  <c r="AG896" i="14"/>
  <c r="AI896" i="14" s="1"/>
  <c r="AA896" i="14" s="1"/>
  <c r="AD896" i="14" s="1"/>
  <c r="BJ905" i="14"/>
  <c r="AH945" i="14"/>
  <c r="AK945" i="14" s="1"/>
  <c r="AH867" i="14"/>
  <c r="AJ867" i="14" s="1"/>
  <c r="Z867" i="14" s="1"/>
  <c r="AH968" i="14"/>
  <c r="AK968" i="14" s="1"/>
  <c r="AH1004" i="14"/>
  <c r="AJ1004" i="14" s="1"/>
  <c r="Z1004" i="14" s="1"/>
  <c r="AG985" i="14"/>
  <c r="AL985" i="14" s="1"/>
  <c r="BI899" i="14"/>
  <c r="BK899" i="14" s="1"/>
  <c r="AH985" i="14"/>
  <c r="AJ985" i="14" s="1"/>
  <c r="Z985" i="14" s="1"/>
  <c r="BJ860" i="14"/>
  <c r="BJ837" i="14"/>
  <c r="BK837" i="14" s="1"/>
  <c r="BJ903" i="14"/>
  <c r="BK903" i="14" s="1"/>
  <c r="AG943" i="14"/>
  <c r="AL943" i="14" s="1"/>
  <c r="AG933" i="14"/>
  <c r="AI933" i="14" s="1"/>
  <c r="AA933" i="14" s="1"/>
  <c r="AD933" i="14" s="1"/>
  <c r="AH1008" i="14"/>
  <c r="AM1008" i="14" s="1"/>
  <c r="AG968" i="14"/>
  <c r="AI968" i="14" s="1"/>
  <c r="AA968" i="14" s="1"/>
  <c r="AD968" i="14" s="1"/>
  <c r="BJ1011" i="14"/>
  <c r="BK1011" i="14" s="1"/>
  <c r="BJ898" i="14"/>
  <c r="BK898" i="14" s="1"/>
  <c r="BJ969" i="14"/>
  <c r="BK969" i="14" s="1"/>
  <c r="AH898" i="14"/>
  <c r="AJ898" i="14" s="1"/>
  <c r="Z898" i="14" s="1"/>
  <c r="AG1020" i="14"/>
  <c r="AL1020" i="14" s="1"/>
  <c r="BJ1004" i="14"/>
  <c r="BK1004" i="14" s="1"/>
  <c r="BJ920" i="14"/>
  <c r="AH903" i="14"/>
  <c r="AJ903" i="14" s="1"/>
  <c r="Z903" i="14" s="1"/>
  <c r="AG877" i="14"/>
  <c r="AI877" i="14" s="1"/>
  <c r="AA877" i="14" s="1"/>
  <c r="AD877" i="14" s="1"/>
  <c r="AG859" i="14"/>
  <c r="AI859" i="14" s="1"/>
  <c r="AA859" i="14" s="1"/>
  <c r="AD859" i="14" s="1"/>
  <c r="AG1008" i="14"/>
  <c r="AL1008" i="14" s="1"/>
  <c r="BJ944" i="14"/>
  <c r="BK944" i="14" s="1"/>
  <c r="AH850" i="14"/>
  <c r="AM850" i="14" s="1"/>
  <c r="BI970" i="14"/>
  <c r="BJ881" i="14"/>
  <c r="BK881" i="14" s="1"/>
  <c r="AH1011" i="14"/>
  <c r="AJ1011" i="14" s="1"/>
  <c r="Z1011" i="14" s="1"/>
  <c r="AH935" i="14"/>
  <c r="AK935" i="14" s="1"/>
  <c r="BJ861" i="14"/>
  <c r="AH896" i="14"/>
  <c r="AJ896" i="14" s="1"/>
  <c r="Z896" i="14" s="1"/>
  <c r="AH953" i="14"/>
  <c r="AM953" i="14" s="1"/>
  <c r="AG856" i="14"/>
  <c r="AL856" i="14" s="1"/>
  <c r="AG880" i="14"/>
  <c r="AI880" i="14" s="1"/>
  <c r="AA880" i="14" s="1"/>
  <c r="AD880" i="14" s="1"/>
  <c r="BJ867" i="14"/>
  <c r="BK867" i="14" s="1"/>
  <c r="BI905" i="14"/>
  <c r="BI1020" i="14"/>
  <c r="BK1020" i="14" s="1"/>
  <c r="AH969" i="14"/>
  <c r="AJ969" i="14" s="1"/>
  <c r="Z969" i="14" s="1"/>
  <c r="AG851" i="14"/>
  <c r="AN851" i="14" s="1"/>
  <c r="BI941" i="14"/>
  <c r="BK941" i="14" s="1"/>
  <c r="BJ873" i="14"/>
  <c r="AG945" i="14"/>
  <c r="AI945" i="14" s="1"/>
  <c r="AA945" i="14" s="1"/>
  <c r="AD945" i="14" s="1"/>
  <c r="AH1021" i="14"/>
  <c r="AM1021" i="14" s="1"/>
  <c r="BI1005" i="14"/>
  <c r="BK1005" i="14" s="1"/>
  <c r="AH1019" i="14"/>
  <c r="AK1019" i="14" s="1"/>
  <c r="BI943" i="14"/>
  <c r="BK943" i="14" s="1"/>
  <c r="BJ965" i="14"/>
  <c r="BI980" i="14"/>
  <c r="BK980" i="14" s="1"/>
  <c r="AG980" i="14"/>
  <c r="AN980" i="14" s="1"/>
  <c r="BJ975" i="14"/>
  <c r="AH856" i="14"/>
  <c r="AK856" i="14" s="1"/>
  <c r="BI910" i="14"/>
  <c r="AG953" i="14"/>
  <c r="AL953" i="14" s="1"/>
  <c r="BI860" i="14"/>
  <c r="BJ970" i="14"/>
  <c r="AH944" i="14"/>
  <c r="AJ944" i="14" s="1"/>
  <c r="Z944" i="14" s="1"/>
  <c r="BJ967" i="14"/>
  <c r="BJ910" i="14"/>
  <c r="BI880" i="14"/>
  <c r="BK880" i="14" s="1"/>
  <c r="BI939" i="14"/>
  <c r="BK939" i="14" s="1"/>
  <c r="AH878" i="14"/>
  <c r="AJ878" i="14" s="1"/>
  <c r="Z878" i="14" s="1"/>
  <c r="AG935" i="14"/>
  <c r="AI935" i="14" s="1"/>
  <c r="AA935" i="14" s="1"/>
  <c r="AD935" i="14" s="1"/>
  <c r="BE1022" i="14"/>
  <c r="BK995" i="14"/>
  <c r="BK953" i="14"/>
  <c r="BK859" i="14"/>
  <c r="BK830" i="14"/>
  <c r="BK946" i="14"/>
  <c r="BK909" i="14"/>
  <c r="BF1022" i="14"/>
  <c r="BK854" i="14"/>
  <c r="BK981" i="14"/>
  <c r="BK926" i="14"/>
  <c r="BK962" i="14"/>
  <c r="BK856" i="14"/>
  <c r="BK983" i="14"/>
  <c r="BK918" i="14"/>
  <c r="BK948" i="14"/>
  <c r="BK951" i="14"/>
  <c r="BK960" i="14"/>
  <c r="BK896" i="14"/>
  <c r="BK931" i="14"/>
  <c r="BK952" i="14"/>
  <c r="BK915" i="14"/>
  <c r="BK922" i="14"/>
  <c r="BK852" i="14"/>
  <c r="AL882" i="14"/>
  <c r="AN882" i="14"/>
  <c r="AI882" i="14"/>
  <c r="AA882" i="14" s="1"/>
  <c r="AD882" i="14" s="1"/>
  <c r="AI940" i="14"/>
  <c r="AA940" i="14" s="1"/>
  <c r="AD940" i="14" s="1"/>
  <c r="AN940" i="14"/>
  <c r="AL940" i="14"/>
  <c r="AJ855" i="14"/>
  <c r="Z855" i="14" s="1"/>
  <c r="AK855" i="14"/>
  <c r="AM855" i="14"/>
  <c r="AI862" i="14"/>
  <c r="AA862" i="14" s="1"/>
  <c r="AD862" i="14" s="1"/>
  <c r="AN862" i="14"/>
  <c r="AL862" i="14"/>
  <c r="AJ899" i="14"/>
  <c r="Z899" i="14" s="1"/>
  <c r="AM899" i="14"/>
  <c r="AK899" i="14"/>
  <c r="AN919" i="14"/>
  <c r="AI919" i="14"/>
  <c r="AA919" i="14" s="1"/>
  <c r="AD919" i="14" s="1"/>
  <c r="AL919" i="14"/>
  <c r="AJ1000" i="14"/>
  <c r="Z1000" i="14" s="1"/>
  <c r="AM1000" i="14"/>
  <c r="AK1000" i="14"/>
  <c r="AI825" i="14"/>
  <c r="AA825" i="14" s="1"/>
  <c r="AD825" i="14" s="1"/>
  <c r="AL825" i="14"/>
  <c r="AN825" i="14"/>
  <c r="AJ972" i="14"/>
  <c r="Z972" i="14" s="1"/>
  <c r="AM972" i="14"/>
  <c r="AK972" i="14"/>
  <c r="BK858" i="14"/>
  <c r="AN1011" i="14"/>
  <c r="AI1011" i="14"/>
  <c r="AA1011" i="14" s="1"/>
  <c r="AD1011" i="14" s="1"/>
  <c r="AL1011" i="14"/>
  <c r="AL1009" i="14"/>
  <c r="AN1009" i="14"/>
  <c r="AI1009" i="14"/>
  <c r="AA1009" i="14" s="1"/>
  <c r="AD1009" i="14" s="1"/>
  <c r="AJ1003" i="14"/>
  <c r="Z1003" i="14" s="1"/>
  <c r="AK1003" i="14"/>
  <c r="AM1003" i="14"/>
  <c r="BK1018" i="14"/>
  <c r="AI924" i="14"/>
  <c r="AA924" i="14" s="1"/>
  <c r="AD924" i="14" s="1"/>
  <c r="AL924" i="14"/>
  <c r="AN924" i="14"/>
  <c r="AJ974" i="14"/>
  <c r="Z974" i="14" s="1"/>
  <c r="AK974" i="14"/>
  <c r="AM974" i="14"/>
  <c r="AN936" i="14"/>
  <c r="AI936" i="14"/>
  <c r="AA936" i="14" s="1"/>
  <c r="AD936" i="14" s="1"/>
  <c r="AL936" i="14"/>
  <c r="BK937" i="14"/>
  <c r="AL967" i="14"/>
  <c r="AN967" i="14"/>
  <c r="AI967" i="14"/>
  <c r="AA967" i="14" s="1"/>
  <c r="AD967" i="14" s="1"/>
  <c r="AI837" i="14"/>
  <c r="AA837" i="14" s="1"/>
  <c r="AD837" i="14" s="1"/>
  <c r="AN837" i="14"/>
  <c r="AL837" i="14"/>
  <c r="AJ919" i="14"/>
  <c r="Z919" i="14" s="1"/>
  <c r="AK919" i="14"/>
  <c r="AM919" i="14"/>
  <c r="AI1016" i="14"/>
  <c r="AA1016" i="14" s="1"/>
  <c r="AD1016" i="14" s="1"/>
  <c r="AN1016" i="14"/>
  <c r="AL1016" i="14"/>
  <c r="AL982" i="14"/>
  <c r="AI982" i="14"/>
  <c r="AA982" i="14" s="1"/>
  <c r="AD982" i="14" s="1"/>
  <c r="AN982" i="14"/>
  <c r="AJ928" i="14"/>
  <c r="Z928" i="14" s="1"/>
  <c r="AM928" i="14"/>
  <c r="AK928" i="14"/>
  <c r="AJ934" i="14"/>
  <c r="Z934" i="14" s="1"/>
  <c r="AM934" i="14"/>
  <c r="AK934" i="14"/>
  <c r="AJ989" i="14"/>
  <c r="Z989" i="14" s="1"/>
  <c r="AK989" i="14"/>
  <c r="AM989" i="14"/>
  <c r="AJ1005" i="14"/>
  <c r="Z1005" i="14" s="1"/>
  <c r="AM1005" i="14"/>
  <c r="AK1005" i="14"/>
  <c r="AJ956" i="14"/>
  <c r="Z956" i="14" s="1"/>
  <c r="AK956" i="14"/>
  <c r="AM956" i="14"/>
  <c r="AL950" i="14"/>
  <c r="AN950" i="14"/>
  <c r="AI950" i="14"/>
  <c r="AA950" i="14" s="1"/>
  <c r="AD950" i="14" s="1"/>
  <c r="AJ916" i="14"/>
  <c r="Z916" i="14" s="1"/>
  <c r="AK916" i="14"/>
  <c r="AM916" i="14"/>
  <c r="AJ864" i="14"/>
  <c r="Z864" i="14" s="1"/>
  <c r="AM864" i="14"/>
  <c r="AK864" i="14"/>
  <c r="AL930" i="14"/>
  <c r="AN930" i="14"/>
  <c r="AI930" i="14"/>
  <c r="AA930" i="14" s="1"/>
  <c r="AD930" i="14" s="1"/>
  <c r="AJ886" i="14"/>
  <c r="Z886" i="14" s="1"/>
  <c r="AK886" i="14"/>
  <c r="AM886" i="14"/>
  <c r="AI898" i="14"/>
  <c r="AA898" i="14" s="1"/>
  <c r="AD898" i="14" s="1"/>
  <c r="AN898" i="14"/>
  <c r="AL898" i="14"/>
  <c r="AJ912" i="14"/>
  <c r="Z912" i="14" s="1"/>
  <c r="AM912" i="14"/>
  <c r="AK912" i="14"/>
  <c r="AI973" i="14"/>
  <c r="AA973" i="14" s="1"/>
  <c r="AD973" i="14" s="1"/>
  <c r="AL973" i="14"/>
  <c r="AN973" i="14"/>
  <c r="AJ961" i="14"/>
  <c r="Z961" i="14" s="1"/>
  <c r="AK961" i="14"/>
  <c r="AM961" i="14"/>
  <c r="AI870" i="14"/>
  <c r="AA870" i="14" s="1"/>
  <c r="AD870" i="14" s="1"/>
  <c r="AN870" i="14"/>
  <c r="AL870" i="14"/>
  <c r="AL922" i="14"/>
  <c r="AI922" i="14"/>
  <c r="AA922" i="14" s="1"/>
  <c r="AD922" i="14" s="1"/>
  <c r="AN922" i="14"/>
  <c r="BK987" i="14"/>
  <c r="AN838" i="14"/>
  <c r="AI838" i="14"/>
  <c r="AA838" i="14" s="1"/>
  <c r="AD838" i="14" s="1"/>
  <c r="AL838" i="14"/>
  <c r="AN977" i="14"/>
  <c r="AI977" i="14"/>
  <c r="AA977" i="14" s="1"/>
  <c r="AD977" i="14" s="1"/>
  <c r="AL977" i="14"/>
  <c r="BK892" i="14"/>
  <c r="AJ1016" i="14"/>
  <c r="Z1016" i="14" s="1"/>
  <c r="AK1016" i="14"/>
  <c r="AM1016" i="14"/>
  <c r="AI994" i="14"/>
  <c r="AA994" i="14" s="1"/>
  <c r="AD994" i="14" s="1"/>
  <c r="AL994" i="14"/>
  <c r="AN994" i="14"/>
  <c r="AN878" i="14"/>
  <c r="AL878" i="14"/>
  <c r="AI878" i="14"/>
  <c r="AA878" i="14" s="1"/>
  <c r="AD878" i="14" s="1"/>
  <c r="AN928" i="14"/>
  <c r="AL928" i="14"/>
  <c r="AI928" i="14"/>
  <c r="AA928" i="14" s="1"/>
  <c r="AD928" i="14" s="1"/>
  <c r="AJ888" i="14"/>
  <c r="Z888" i="14" s="1"/>
  <c r="AK888" i="14"/>
  <c r="AM888" i="14"/>
  <c r="AJ939" i="14"/>
  <c r="Z939" i="14" s="1"/>
  <c r="AM939" i="14"/>
  <c r="AK939" i="14"/>
  <c r="AL963" i="14"/>
  <c r="AI963" i="14"/>
  <c r="AA963" i="14" s="1"/>
  <c r="AD963" i="14" s="1"/>
  <c r="AN963" i="14"/>
  <c r="AJ873" i="14"/>
  <c r="Z873" i="14" s="1"/>
  <c r="AM873" i="14"/>
  <c r="AK873" i="14"/>
  <c r="AI861" i="14"/>
  <c r="AA861" i="14" s="1"/>
  <c r="AD861" i="14" s="1"/>
  <c r="AL861" i="14"/>
  <c r="AN861" i="14"/>
  <c r="AJ964" i="14"/>
  <c r="Z964" i="14" s="1"/>
  <c r="AK964" i="14"/>
  <c r="AM964" i="14"/>
  <c r="AL910" i="14"/>
  <c r="AI910" i="14"/>
  <c r="AA910" i="14" s="1"/>
  <c r="AD910" i="14" s="1"/>
  <c r="AN910" i="14"/>
  <c r="AI895" i="14"/>
  <c r="AA895" i="14" s="1"/>
  <c r="AD895" i="14" s="1"/>
  <c r="AL895" i="14"/>
  <c r="AN895" i="14"/>
  <c r="AL857" i="14"/>
  <c r="AN857" i="14"/>
  <c r="AI857" i="14"/>
  <c r="AA857" i="14" s="1"/>
  <c r="AD857" i="14" s="1"/>
  <c r="AL846" i="14"/>
  <c r="AN846" i="14"/>
  <c r="AI846" i="14"/>
  <c r="AA846" i="14" s="1"/>
  <c r="AD846" i="14" s="1"/>
  <c r="AI842" i="14"/>
  <c r="AA842" i="14" s="1"/>
  <c r="AD842" i="14" s="1"/>
  <c r="AL842" i="14"/>
  <c r="AN842" i="14"/>
  <c r="AJ1017" i="14"/>
  <c r="Z1017" i="14" s="1"/>
  <c r="AK1017" i="14"/>
  <c r="AM1017" i="14"/>
  <c r="AJ954" i="14"/>
  <c r="Z954" i="14" s="1"/>
  <c r="AM954" i="14"/>
  <c r="AK954" i="14"/>
  <c r="AJ897" i="14"/>
  <c r="Z897" i="14" s="1"/>
  <c r="AK897" i="14"/>
  <c r="AM897" i="14"/>
  <c r="AN867" i="14"/>
  <c r="AI867" i="14"/>
  <c r="AA867" i="14" s="1"/>
  <c r="AD867" i="14" s="1"/>
  <c r="AL867" i="14"/>
  <c r="AL1015" i="14"/>
  <c r="AI1015" i="14"/>
  <c r="AA1015" i="14" s="1"/>
  <c r="AD1015" i="14" s="1"/>
  <c r="AN1015" i="14"/>
  <c r="AJ887" i="14"/>
  <c r="Z887" i="14" s="1"/>
  <c r="AK887" i="14"/>
  <c r="AM887" i="14"/>
  <c r="AL822" i="14"/>
  <c r="AN822" i="14"/>
  <c r="AI822" i="14"/>
  <c r="AA822" i="14" s="1"/>
  <c r="AD822" i="14" s="1"/>
  <c r="AJ889" i="14"/>
  <c r="Z889" i="14" s="1"/>
  <c r="AM889" i="14"/>
  <c r="AK889" i="14"/>
  <c r="AN923" i="14"/>
  <c r="AL923" i="14"/>
  <c r="AI923" i="14"/>
  <c r="AA923" i="14" s="1"/>
  <c r="AD923" i="14" s="1"/>
  <c r="AJ906" i="14"/>
  <c r="Z906" i="14" s="1"/>
  <c r="AM906" i="14"/>
  <c r="AK906" i="14"/>
  <c r="AJ879" i="14"/>
  <c r="Z879" i="14" s="1"/>
  <c r="AK879" i="14"/>
  <c r="AM879" i="14"/>
  <c r="AJ823" i="14"/>
  <c r="Z823" i="14" s="1"/>
  <c r="AM823" i="14"/>
  <c r="AK823" i="14"/>
  <c r="AI848" i="14"/>
  <c r="AA848" i="14" s="1"/>
  <c r="AD848" i="14" s="1"/>
  <c r="AL848" i="14"/>
  <c r="AN848" i="14"/>
  <c r="AJ943" i="14"/>
  <c r="Z943" i="14" s="1"/>
  <c r="AK943" i="14"/>
  <c r="AM943" i="14"/>
  <c r="AI997" i="14"/>
  <c r="AA997" i="14" s="1"/>
  <c r="AD997" i="14" s="1"/>
  <c r="AN997" i="14"/>
  <c r="AL997" i="14"/>
  <c r="AL893" i="14"/>
  <c r="AI893" i="14"/>
  <c r="AA893" i="14" s="1"/>
  <c r="AD893" i="14" s="1"/>
  <c r="AN893" i="14"/>
  <c r="AJ851" i="14"/>
  <c r="Z851" i="14" s="1"/>
  <c r="AK851" i="14"/>
  <c r="AM851" i="14"/>
  <c r="AJ917" i="14"/>
  <c r="Z917" i="14" s="1"/>
  <c r="AM917" i="14"/>
  <c r="AK917" i="14"/>
  <c r="AJ861" i="14"/>
  <c r="Z861" i="14" s="1"/>
  <c r="AK861" i="14"/>
  <c r="AM861" i="14"/>
  <c r="AJ994" i="14"/>
  <c r="Z994" i="14" s="1"/>
  <c r="AM994" i="14"/>
  <c r="AK994" i="14"/>
  <c r="AJ990" i="14"/>
  <c r="Z990" i="14" s="1"/>
  <c r="AM990" i="14"/>
  <c r="AK990" i="14"/>
  <c r="AL873" i="14"/>
  <c r="AN873" i="14"/>
  <c r="AI873" i="14"/>
  <c r="AA873" i="14" s="1"/>
  <c r="AD873" i="14" s="1"/>
  <c r="BK959" i="14"/>
  <c r="AJ911" i="14"/>
  <c r="Z911" i="14" s="1"/>
  <c r="AM911" i="14"/>
  <c r="AK911" i="14"/>
  <c r="AN991" i="14"/>
  <c r="AI991" i="14"/>
  <c r="AA991" i="14" s="1"/>
  <c r="AD991" i="14" s="1"/>
  <c r="AL991" i="14"/>
  <c r="AJ841" i="14"/>
  <c r="Z841" i="14" s="1"/>
  <c r="AM841" i="14"/>
  <c r="AK841" i="14"/>
  <c r="AI832" i="14"/>
  <c r="AA832" i="14" s="1"/>
  <c r="AD832" i="14" s="1"/>
  <c r="AL832" i="14"/>
  <c r="AN832" i="14"/>
  <c r="AJ825" i="14"/>
  <c r="Z825" i="14" s="1"/>
  <c r="AK825" i="14"/>
  <c r="AM825" i="14"/>
  <c r="AN1021" i="14"/>
  <c r="AL1021" i="14"/>
  <c r="AI1021" i="14"/>
  <c r="AA1021" i="14" s="1"/>
  <c r="AD1021" i="14" s="1"/>
  <c r="AJ920" i="14"/>
  <c r="Z920" i="14" s="1"/>
  <c r="AM920" i="14"/>
  <c r="AK920" i="14"/>
  <c r="AJ904" i="14"/>
  <c r="Z904" i="14" s="1"/>
  <c r="AK904" i="14"/>
  <c r="AM904" i="14"/>
  <c r="AN1006" i="14"/>
  <c r="AL1006" i="14"/>
  <c r="AI1006" i="14"/>
  <c r="AA1006" i="14" s="1"/>
  <c r="AD1006" i="14" s="1"/>
  <c r="AL986" i="14"/>
  <c r="AN986" i="14"/>
  <c r="AI986" i="14"/>
  <c r="AA986" i="14" s="1"/>
  <c r="AD986" i="14" s="1"/>
  <c r="BK945" i="14"/>
  <c r="AN957" i="14"/>
  <c r="AL957" i="14"/>
  <c r="AI957" i="14"/>
  <c r="AA957" i="14" s="1"/>
  <c r="AD957" i="14" s="1"/>
  <c r="AJ862" i="14"/>
  <c r="Z862" i="14" s="1"/>
  <c r="AM862" i="14"/>
  <c r="AK862" i="14"/>
  <c r="AJ880" i="14"/>
  <c r="Z880" i="14" s="1"/>
  <c r="AM880" i="14"/>
  <c r="AK880" i="14"/>
  <c r="AL903" i="14"/>
  <c r="AN903" i="14"/>
  <c r="AI903" i="14"/>
  <c r="AA903" i="14" s="1"/>
  <c r="AD903" i="14" s="1"/>
  <c r="AL828" i="14"/>
  <c r="AI828" i="14"/>
  <c r="AA828" i="14" s="1"/>
  <c r="AD828" i="14" s="1"/>
  <c r="AN828" i="14"/>
  <c r="AI891" i="14"/>
  <c r="AA891" i="14" s="1"/>
  <c r="AD891" i="14" s="1"/>
  <c r="AL891" i="14"/>
  <c r="AN891" i="14"/>
  <c r="AI831" i="14"/>
  <c r="AA831" i="14" s="1"/>
  <c r="AD831" i="14" s="1"/>
  <c r="AN831" i="14"/>
  <c r="AL831" i="14"/>
  <c r="AJ922" i="14"/>
  <c r="Z922" i="14" s="1"/>
  <c r="AK922" i="14"/>
  <c r="AM922" i="14"/>
  <c r="AJ847" i="14"/>
  <c r="Z847" i="14" s="1"/>
  <c r="AK847" i="14"/>
  <c r="AM847" i="14"/>
  <c r="BK1014" i="14"/>
  <c r="AJ860" i="14"/>
  <c r="Z860" i="14" s="1"/>
  <c r="AM860" i="14"/>
  <c r="AK860" i="14"/>
  <c r="AJ930" i="14"/>
  <c r="Z930" i="14" s="1"/>
  <c r="AK930" i="14"/>
  <c r="AM930" i="14"/>
  <c r="AL845" i="14"/>
  <c r="AI845" i="14"/>
  <c r="AA845" i="14" s="1"/>
  <c r="AD845" i="14" s="1"/>
  <c r="AN845" i="14"/>
  <c r="AN904" i="14"/>
  <c r="AL904" i="14"/>
  <c r="AI904" i="14"/>
  <c r="AA904" i="14" s="1"/>
  <c r="AD904" i="14" s="1"/>
  <c r="AL1004" i="14"/>
  <c r="AN1004" i="14"/>
  <c r="AI1004" i="14"/>
  <c r="AA1004" i="14" s="1"/>
  <c r="AD1004" i="14" s="1"/>
  <c r="AK971" i="14"/>
  <c r="AM971" i="14"/>
  <c r="AJ971" i="14"/>
  <c r="Z971" i="14" s="1"/>
  <c r="AJ833" i="14"/>
  <c r="Z833" i="14" s="1"/>
  <c r="AM833" i="14"/>
  <c r="AK833" i="14"/>
  <c r="AJ869" i="14"/>
  <c r="Z869" i="14" s="1"/>
  <c r="AM869" i="14"/>
  <c r="AK869" i="14"/>
  <c r="AJ980" i="14"/>
  <c r="Z980" i="14" s="1"/>
  <c r="AK980" i="14"/>
  <c r="AM980" i="14"/>
  <c r="AJ975" i="14"/>
  <c r="Z975" i="14" s="1"/>
  <c r="AM975" i="14"/>
  <c r="AK975" i="14"/>
  <c r="AJ890" i="14"/>
  <c r="Z890" i="14" s="1"/>
  <c r="AK890" i="14"/>
  <c r="AM890" i="14"/>
  <c r="AI914" i="14"/>
  <c r="AA914" i="14" s="1"/>
  <c r="AD914" i="14" s="1"/>
  <c r="AN914" i="14"/>
  <c r="AL914" i="14"/>
  <c r="AJ988" i="14"/>
  <c r="Z988" i="14" s="1"/>
  <c r="AK988" i="14"/>
  <c r="AM988" i="14"/>
  <c r="AJ868" i="14"/>
  <c r="Z868" i="14" s="1"/>
  <c r="AK868" i="14"/>
  <c r="AM868" i="14"/>
  <c r="AI999" i="14"/>
  <c r="AA999" i="14" s="1"/>
  <c r="AD999" i="14" s="1"/>
  <c r="AN999" i="14"/>
  <c r="AL999" i="14"/>
  <c r="AJ927" i="14"/>
  <c r="Z927" i="14" s="1"/>
  <c r="AM927" i="14"/>
  <c r="AK927" i="14"/>
  <c r="BK827" i="14"/>
  <c r="BK921" i="14"/>
  <c r="AN1012" i="14"/>
  <c r="AL1012" i="14"/>
  <c r="AI1012" i="14"/>
  <c r="AA1012" i="14" s="1"/>
  <c r="AD1012" i="14" s="1"/>
  <c r="AL971" i="14"/>
  <c r="AN971" i="14"/>
  <c r="AI971" i="14"/>
  <c r="AA971" i="14" s="1"/>
  <c r="AD971" i="14" s="1"/>
  <c r="AN885" i="14"/>
  <c r="AL885" i="14"/>
  <c r="AI885" i="14"/>
  <c r="AA885" i="14" s="1"/>
  <c r="AD885" i="14" s="1"/>
  <c r="AJ1007" i="14"/>
  <c r="Z1007" i="14" s="1"/>
  <c r="AK1007" i="14"/>
  <c r="AM1007" i="14"/>
  <c r="AI874" i="14"/>
  <c r="AA874" i="14" s="1"/>
  <c r="AD874" i="14" s="1"/>
  <c r="AN874" i="14"/>
  <c r="AL874" i="14"/>
  <c r="AJ865" i="14"/>
  <c r="Z865" i="14" s="1"/>
  <c r="AM865" i="14"/>
  <c r="AK865" i="14"/>
  <c r="AI844" i="14"/>
  <c r="AA844" i="14" s="1"/>
  <c r="AD844" i="14" s="1"/>
  <c r="AL844" i="14"/>
  <c r="AN844" i="14"/>
  <c r="AL872" i="14"/>
  <c r="AI872" i="14"/>
  <c r="AA872" i="14" s="1"/>
  <c r="AD872" i="14" s="1"/>
  <c r="AN872" i="14"/>
  <c r="AJ973" i="14"/>
  <c r="Z973" i="14" s="1"/>
  <c r="AM973" i="14"/>
  <c r="AK973" i="14"/>
  <c r="AL992" i="14"/>
  <c r="AN992" i="14"/>
  <c r="AI992" i="14"/>
  <c r="AA992" i="14" s="1"/>
  <c r="AD992" i="14" s="1"/>
  <c r="AJ905" i="14"/>
  <c r="Z905" i="14" s="1"/>
  <c r="AM905" i="14"/>
  <c r="AK905" i="14"/>
  <c r="AJ900" i="14"/>
  <c r="Z900" i="14" s="1"/>
  <c r="AK900" i="14"/>
  <c r="AM900" i="14"/>
  <c r="BK958" i="14"/>
  <c r="AJ1020" i="14"/>
  <c r="Z1020" i="14" s="1"/>
  <c r="AM1020" i="14"/>
  <c r="AK1020" i="14"/>
  <c r="AL860" i="14"/>
  <c r="AN860" i="14"/>
  <c r="AI860" i="14"/>
  <c r="AA860" i="14" s="1"/>
  <c r="AD860" i="14" s="1"/>
  <c r="AN840" i="14"/>
  <c r="AL840" i="14"/>
  <c r="AI840" i="14"/>
  <c r="AA840" i="14" s="1"/>
  <c r="AD840" i="14" s="1"/>
  <c r="AJ1013" i="14"/>
  <c r="Z1013" i="14" s="1"/>
  <c r="AK1013" i="14"/>
  <c r="AM1013" i="14"/>
  <c r="AJ1010" i="14"/>
  <c r="Z1010" i="14" s="1"/>
  <c r="AM1010" i="14"/>
  <c r="AK1010" i="14"/>
  <c r="AJ843" i="14"/>
  <c r="Z843" i="14" s="1"/>
  <c r="AK843" i="14"/>
  <c r="AM843" i="14"/>
  <c r="AJ891" i="14"/>
  <c r="Z891" i="14" s="1"/>
  <c r="AM891" i="14"/>
  <c r="AK891" i="14"/>
  <c r="AI938" i="14"/>
  <c r="AA938" i="14" s="1"/>
  <c r="AD938" i="14" s="1"/>
  <c r="AL938" i="14"/>
  <c r="AN938" i="14"/>
  <c r="AJ884" i="14"/>
  <c r="Z884" i="14" s="1"/>
  <c r="AM884" i="14"/>
  <c r="AK884" i="14"/>
  <c r="AL883" i="14"/>
  <c r="AI883" i="14"/>
  <c r="AA883" i="14" s="1"/>
  <c r="AD883" i="14" s="1"/>
  <c r="AN883" i="14"/>
  <c r="AJ1009" i="14"/>
  <c r="Z1009" i="14" s="1"/>
  <c r="AM1009" i="14"/>
  <c r="AK1009" i="14"/>
  <c r="AJ933" i="14"/>
  <c r="Z933" i="14" s="1"/>
  <c r="AK933" i="14"/>
  <c r="AM933" i="14"/>
  <c r="AL969" i="14"/>
  <c r="AN969" i="14"/>
  <c r="AI969" i="14"/>
  <c r="AA969" i="14" s="1"/>
  <c r="AD969" i="14" s="1"/>
  <c r="AI913" i="14"/>
  <c r="AA913" i="14" s="1"/>
  <c r="AD913" i="14" s="1"/>
  <c r="AN913" i="14"/>
  <c r="AL913" i="14"/>
  <c r="AJ835" i="14"/>
  <c r="Z835" i="14" s="1"/>
  <c r="AK835" i="14"/>
  <c r="AM835" i="14"/>
  <c r="AL975" i="14"/>
  <c r="AI975" i="14"/>
  <c r="AA975" i="14" s="1"/>
  <c r="AD975" i="14" s="1"/>
  <c r="AN975" i="14"/>
  <c r="BK968" i="14"/>
  <c r="AJ866" i="14"/>
  <c r="Z866" i="14" s="1"/>
  <c r="AK866" i="14"/>
  <c r="AM866" i="14"/>
  <c r="AI908" i="14"/>
  <c r="AA908" i="14" s="1"/>
  <c r="AD908" i="14" s="1"/>
  <c r="AN908" i="14"/>
  <c r="AL908" i="14"/>
  <c r="BK935" i="14"/>
  <c r="AI974" i="14"/>
  <c r="AA974" i="14" s="1"/>
  <c r="AD974" i="14" s="1"/>
  <c r="AN974" i="14"/>
  <c r="AL974" i="14"/>
  <c r="AJ970" i="14"/>
  <c r="Z970" i="14" s="1"/>
  <c r="AK970" i="14"/>
  <c r="AM970" i="14"/>
  <c r="AN998" i="14"/>
  <c r="AI998" i="14"/>
  <c r="AA998" i="14" s="1"/>
  <c r="AD998" i="14" s="1"/>
  <c r="AL998" i="14"/>
  <c r="AL1001" i="14"/>
  <c r="AN1001" i="14"/>
  <c r="AI1001" i="14"/>
  <c r="AA1001" i="14" s="1"/>
  <c r="AD1001" i="14" s="1"/>
  <c r="AN996" i="14"/>
  <c r="AI996" i="14"/>
  <c r="AA996" i="14" s="1"/>
  <c r="AD996" i="14" s="1"/>
  <c r="AL996" i="14"/>
  <c r="AJ1001" i="14"/>
  <c r="Z1001" i="14" s="1"/>
  <c r="AM1001" i="14"/>
  <c r="AK1001" i="14"/>
  <c r="AJ967" i="14"/>
  <c r="Z967" i="14" s="1"/>
  <c r="AK967" i="14"/>
  <c r="AM967" i="14"/>
  <c r="AN901" i="14"/>
  <c r="AI901" i="14"/>
  <c r="AA901" i="14" s="1"/>
  <c r="AD901" i="14" s="1"/>
  <c r="AL901" i="14"/>
  <c r="AJ950" i="14"/>
  <c r="Z950" i="14" s="1"/>
  <c r="AM950" i="14"/>
  <c r="AK950" i="14"/>
  <c r="AJ826" i="14"/>
  <c r="Z826" i="14" s="1"/>
  <c r="AM826" i="14"/>
  <c r="AK826" i="14"/>
  <c r="AJ966" i="14"/>
  <c r="Z966" i="14" s="1"/>
  <c r="AM966" i="14"/>
  <c r="AK966" i="14"/>
  <c r="AN970" i="14"/>
  <c r="AL970" i="14"/>
  <c r="AI970" i="14"/>
  <c r="AA970" i="14" s="1"/>
  <c r="AD970" i="14" s="1"/>
  <c r="AJ824" i="14"/>
  <c r="Z824" i="14" s="1"/>
  <c r="AM824" i="14"/>
  <c r="AK824" i="14"/>
  <c r="AI990" i="14"/>
  <c r="AA990" i="14" s="1"/>
  <c r="AD990" i="14" s="1"/>
  <c r="AN990" i="14"/>
  <c r="AL990" i="14"/>
  <c r="AJ829" i="14"/>
  <c r="Z829" i="14" s="1"/>
  <c r="AM829" i="14"/>
  <c r="AK829" i="14"/>
  <c r="AN978" i="14"/>
  <c r="AI978" i="14"/>
  <c r="AA978" i="14" s="1"/>
  <c r="AD978" i="14" s="1"/>
  <c r="AL978" i="14"/>
  <c r="AI1013" i="14"/>
  <c r="AA1013" i="14" s="1"/>
  <c r="AD1013" i="14" s="1"/>
  <c r="AN1013" i="14"/>
  <c r="AL1013" i="14"/>
  <c r="AJ822" i="14"/>
  <c r="Z822" i="14" s="1"/>
  <c r="AK822" i="14"/>
  <c r="AM822" i="14"/>
  <c r="AN868" i="14"/>
  <c r="AI868" i="14"/>
  <c r="AA868" i="14" s="1"/>
  <c r="AD868" i="14" s="1"/>
  <c r="AL868" i="14"/>
  <c r="AN902" i="14"/>
  <c r="AI902" i="14"/>
  <c r="AA902" i="14" s="1"/>
  <c r="AD902" i="14" s="1"/>
  <c r="AL902" i="14"/>
  <c r="AL954" i="14"/>
  <c r="AI954" i="14"/>
  <c r="AA954" i="14" s="1"/>
  <c r="AD954" i="14" s="1"/>
  <c r="AN954" i="14"/>
  <c r="AJ976" i="14"/>
  <c r="Z976" i="14" s="1"/>
  <c r="AM976" i="14"/>
  <c r="AK976" i="14"/>
  <c r="AL843" i="14"/>
  <c r="AN843" i="14"/>
  <c r="AI843" i="14"/>
  <c r="AA843" i="14" s="1"/>
  <c r="AD843" i="14" s="1"/>
  <c r="AJ965" i="14"/>
  <c r="Z965" i="14" s="1"/>
  <c r="AK965" i="14"/>
  <c r="AM965" i="14"/>
  <c r="AJ883" i="14"/>
  <c r="Z883" i="14" s="1"/>
  <c r="AK883" i="14"/>
  <c r="AM883" i="14"/>
  <c r="BK979" i="14"/>
  <c r="AJ996" i="14"/>
  <c r="Z996" i="14" s="1"/>
  <c r="AK996" i="14"/>
  <c r="AM996" i="14"/>
  <c r="AL920" i="14"/>
  <c r="AI920" i="14"/>
  <c r="AA920" i="14" s="1"/>
  <c r="AD920" i="14" s="1"/>
  <c r="AN920" i="14"/>
  <c r="BK985" i="14"/>
  <c r="AL944" i="14"/>
  <c r="AN944" i="14"/>
  <c r="AI944" i="14"/>
  <c r="AA944" i="14" s="1"/>
  <c r="AD944" i="14" s="1"/>
  <c r="BK876" i="14"/>
  <c r="BK1019" i="14"/>
  <c r="AJ949" i="14"/>
  <c r="Z949" i="14" s="1"/>
  <c r="AK949" i="14"/>
  <c r="AM949" i="14"/>
  <c r="AN1000" i="14"/>
  <c r="AI1000" i="14"/>
  <c r="AA1000" i="14" s="1"/>
  <c r="AD1000" i="14" s="1"/>
  <c r="AL1000" i="14"/>
  <c r="AJ982" i="14"/>
  <c r="Z982" i="14" s="1"/>
  <c r="AM982" i="14"/>
  <c r="AK982" i="14"/>
  <c r="AN864" i="14"/>
  <c r="AI864" i="14"/>
  <c r="AA864" i="14" s="1"/>
  <c r="AD864" i="14" s="1"/>
  <c r="AL864" i="14"/>
  <c r="AJ894" i="14"/>
  <c r="Z894" i="14" s="1"/>
  <c r="AK894" i="14"/>
  <c r="AM894" i="14"/>
  <c r="AJ1006" i="14"/>
  <c r="Z1006" i="14" s="1"/>
  <c r="AK1006" i="14"/>
  <c r="AM1006" i="14"/>
  <c r="AJ1002" i="14"/>
  <c r="Z1002" i="14" s="1"/>
  <c r="AM1002" i="14"/>
  <c r="AK1002" i="14"/>
  <c r="AN925" i="14"/>
  <c r="AI925" i="14"/>
  <c r="AA925" i="14" s="1"/>
  <c r="AD925" i="14" s="1"/>
  <c r="AL925" i="14"/>
  <c r="AL927" i="14"/>
  <c r="AN927" i="14"/>
  <c r="AI927" i="14"/>
  <c r="AA927" i="14" s="1"/>
  <c r="AD927" i="14" s="1"/>
  <c r="BK853" i="14"/>
  <c r="AJ840" i="14"/>
  <c r="Z840" i="14" s="1"/>
  <c r="AK840" i="14"/>
  <c r="AM840" i="14"/>
  <c r="AN879" i="14"/>
  <c r="AI879" i="14"/>
  <c r="AA879" i="14" s="1"/>
  <c r="AD879" i="14" s="1"/>
  <c r="AL879" i="14"/>
  <c r="AJ910" i="14"/>
  <c r="Z910" i="14" s="1"/>
  <c r="AK910" i="14"/>
  <c r="AM910" i="14"/>
  <c r="AJ924" i="14"/>
  <c r="Z924" i="14" s="1"/>
  <c r="AK924" i="14"/>
  <c r="AM924" i="14"/>
  <c r="AN850" i="14"/>
  <c r="AL850" i="14"/>
  <c r="AI850" i="14"/>
  <c r="AA850" i="14" s="1"/>
  <c r="AD850" i="14" s="1"/>
  <c r="AI993" i="14"/>
  <c r="AA993" i="14" s="1"/>
  <c r="AD993" i="14" s="1"/>
  <c r="AN993" i="14"/>
  <c r="AL993" i="14"/>
  <c r="AJ929" i="14"/>
  <c r="Z929" i="14" s="1"/>
  <c r="AM929" i="14"/>
  <c r="AK929" i="14"/>
  <c r="AL826" i="14"/>
  <c r="AN826" i="14"/>
  <c r="AI826" i="14"/>
  <c r="AA826" i="14" s="1"/>
  <c r="AD826" i="14" s="1"/>
  <c r="BK947" i="14"/>
  <c r="BK1008" i="14"/>
  <c r="AI887" i="14"/>
  <c r="AA887" i="14" s="1"/>
  <c r="AD887" i="14" s="1"/>
  <c r="AN887" i="14"/>
  <c r="AL887" i="14"/>
  <c r="AJ846" i="14"/>
  <c r="Z846" i="14" s="1"/>
  <c r="AM846" i="14"/>
  <c r="AK846" i="14"/>
  <c r="AN836" i="14"/>
  <c r="AI836" i="14"/>
  <c r="AA836" i="14" s="1"/>
  <c r="AD836" i="14" s="1"/>
  <c r="AL836" i="14"/>
  <c r="AL847" i="14"/>
  <c r="AI847" i="14"/>
  <c r="AA847" i="14" s="1"/>
  <c r="AD847" i="14" s="1"/>
  <c r="AN847" i="14"/>
  <c r="AJ849" i="14"/>
  <c r="Z849" i="14" s="1"/>
  <c r="AM849" i="14"/>
  <c r="AK849" i="14"/>
  <c r="BK907" i="14"/>
  <c r="AN1003" i="14"/>
  <c r="AL1003" i="14"/>
  <c r="AI1003" i="14"/>
  <c r="AA1003" i="14" s="1"/>
  <c r="AD1003" i="14" s="1"/>
  <c r="AJ838" i="14"/>
  <c r="Z838" i="14" s="1"/>
  <c r="AK838" i="14"/>
  <c r="AM838" i="14"/>
  <c r="AI972" i="14"/>
  <c r="AA972" i="14" s="1"/>
  <c r="AD972" i="14" s="1"/>
  <c r="AN972" i="14"/>
  <c r="AL972" i="14"/>
  <c r="AN984" i="14"/>
  <c r="AL984" i="14"/>
  <c r="AI984" i="14"/>
  <c r="AA984" i="14" s="1"/>
  <c r="AD984" i="14" s="1"/>
  <c r="AG1022" i="14"/>
  <c r="BJ1022" i="14"/>
  <c r="AJ938" i="14"/>
  <c r="Z938" i="14" s="1"/>
  <c r="AM938" i="14"/>
  <c r="AK938" i="14"/>
  <c r="AI886" i="14"/>
  <c r="AA886" i="14" s="1"/>
  <c r="AD886" i="14" s="1"/>
  <c r="AL886" i="14"/>
  <c r="AN886" i="14"/>
  <c r="AN839" i="14"/>
  <c r="AI839" i="14"/>
  <c r="AA839" i="14" s="1"/>
  <c r="AD839" i="14" s="1"/>
  <c r="AL839" i="14"/>
  <c r="AI955" i="14"/>
  <c r="AA955" i="14" s="1"/>
  <c r="AD955" i="14" s="1"/>
  <c r="AL955" i="14"/>
  <c r="AN955" i="14"/>
  <c r="AI965" i="14"/>
  <c r="AA965" i="14" s="1"/>
  <c r="AD965" i="14" s="1"/>
  <c r="AL965" i="14"/>
  <c r="AN965" i="14"/>
  <c r="AJ941" i="14"/>
  <c r="Z941" i="14" s="1"/>
  <c r="AM941" i="14"/>
  <c r="AK941" i="14"/>
  <c r="AJ986" i="14"/>
  <c r="Z986" i="14" s="1"/>
  <c r="AM986" i="14"/>
  <c r="AK986" i="14"/>
  <c r="AN905" i="14"/>
  <c r="AI905" i="14"/>
  <c r="AA905" i="14" s="1"/>
  <c r="AD905" i="14" s="1"/>
  <c r="AL905" i="14"/>
  <c r="AJ871" i="14"/>
  <c r="Z871" i="14" s="1"/>
  <c r="AM871" i="14"/>
  <c r="AK871" i="14"/>
  <c r="AJ875" i="14"/>
  <c r="Z875" i="14" s="1"/>
  <c r="AM875" i="14"/>
  <c r="AK875" i="14"/>
  <c r="AJ999" i="14"/>
  <c r="Z999" i="14" s="1"/>
  <c r="AK999" i="14"/>
  <c r="AM999" i="14"/>
  <c r="AJ963" i="14"/>
  <c r="Z963" i="14" s="1"/>
  <c r="AK963" i="14"/>
  <c r="AM963" i="14"/>
  <c r="BK877" i="14"/>
  <c r="AJ844" i="14"/>
  <c r="Z844" i="14" s="1"/>
  <c r="AM844" i="14"/>
  <c r="AK844" i="14"/>
  <c r="AI834" i="14"/>
  <c r="AA834" i="14" s="1"/>
  <c r="AD834" i="14" s="1"/>
  <c r="AL834" i="14"/>
  <c r="AN834" i="14"/>
  <c r="BK942" i="14"/>
  <c r="AL881" i="14"/>
  <c r="AI881" i="14"/>
  <c r="AA881" i="14" s="1"/>
  <c r="AD881" i="14" s="1"/>
  <c r="AN881" i="14"/>
  <c r="AJ925" i="14"/>
  <c r="Z925" i="14" s="1"/>
  <c r="AK925" i="14"/>
  <c r="AM925" i="14"/>
  <c r="AJ932" i="14"/>
  <c r="Z932" i="14" s="1"/>
  <c r="AM932" i="14"/>
  <c r="AK932" i="14"/>
  <c r="AI863" i="14"/>
  <c r="AA863" i="14" s="1"/>
  <c r="AD863" i="14" s="1"/>
  <c r="AL863" i="14"/>
  <c r="AN863" i="14"/>
  <c r="AH1022" i="14"/>
  <c r="BI1022" i="14"/>
  <c r="AL835" i="14" l="1"/>
  <c r="AP835" i="14" s="1"/>
  <c r="AN1014" i="14"/>
  <c r="AI835" i="14"/>
  <c r="AA835" i="14" s="1"/>
  <c r="AD835" i="14" s="1"/>
  <c r="AL1014" i="14"/>
  <c r="AM1014" i="14"/>
  <c r="AO1014" i="14" s="1"/>
  <c r="AJ1014" i="14"/>
  <c r="Z1014" i="14" s="1"/>
  <c r="AE1014" i="14" s="1"/>
  <c r="AM848" i="14"/>
  <c r="AJ901" i="14"/>
  <c r="Z901" i="14" s="1"/>
  <c r="AE901" i="14" s="1"/>
  <c r="AK848" i="14"/>
  <c r="AN917" i="14"/>
  <c r="AP917" i="14" s="1"/>
  <c r="AM915" i="14"/>
  <c r="AK915" i="14"/>
  <c r="AI917" i="14"/>
  <c r="AA917" i="14" s="1"/>
  <c r="AD917" i="14" s="1"/>
  <c r="AK901" i="14"/>
  <c r="AO901" i="14" s="1"/>
  <c r="AI876" i="14"/>
  <c r="AA876" i="14" s="1"/>
  <c r="AD876" i="14" s="1"/>
  <c r="AN915" i="14"/>
  <c r="AP915" i="14" s="1"/>
  <c r="AI915" i="14"/>
  <c r="AA915" i="14" s="1"/>
  <c r="AD915" i="14" s="1"/>
  <c r="AL876" i="14"/>
  <c r="AP876" i="14" s="1"/>
  <c r="AM908" i="14"/>
  <c r="AO908" i="14" s="1"/>
  <c r="AJ908" i="14"/>
  <c r="Z908" i="14" s="1"/>
  <c r="AB908" i="14" s="1"/>
  <c r="AM876" i="14"/>
  <c r="AK876" i="14"/>
  <c r="AL961" i="14"/>
  <c r="AN961" i="14"/>
  <c r="BK840" i="14"/>
  <c r="AN869" i="14"/>
  <c r="AL869" i="14"/>
  <c r="AJ913" i="14"/>
  <c r="Z913" i="14" s="1"/>
  <c r="AE913" i="14" s="1"/>
  <c r="AL911" i="14"/>
  <c r="AP911" i="14" s="1"/>
  <c r="AI911" i="14"/>
  <c r="AA911" i="14" s="1"/>
  <c r="AD911" i="14" s="1"/>
  <c r="AM913" i="14"/>
  <c r="AO913" i="14" s="1"/>
  <c r="AN976" i="14"/>
  <c r="AP976" i="14" s="1"/>
  <c r="AN989" i="14"/>
  <c r="AP989" i="14" s="1"/>
  <c r="AI989" i="14"/>
  <c r="AA989" i="14" s="1"/>
  <c r="AD989" i="14" s="1"/>
  <c r="AI976" i="14"/>
  <c r="AA976" i="14" s="1"/>
  <c r="AD976" i="14" s="1"/>
  <c r="AL888" i="14"/>
  <c r="AP888" i="14" s="1"/>
  <c r="AI888" i="14"/>
  <c r="AA888" i="14" s="1"/>
  <c r="AD888" i="14" s="1"/>
  <c r="AJ940" i="14"/>
  <c r="Z940" i="14" s="1"/>
  <c r="AE940" i="14" s="1"/>
  <c r="AM940" i="14"/>
  <c r="AO940" i="14" s="1"/>
  <c r="AL916" i="14"/>
  <c r="AP916" i="14" s="1"/>
  <c r="AI916" i="14"/>
  <c r="AA916" i="14" s="1"/>
  <c r="AD916" i="14" s="1"/>
  <c r="AI966" i="14"/>
  <c r="AA966" i="14" s="1"/>
  <c r="AD966" i="14" s="1"/>
  <c r="AL966" i="14"/>
  <c r="AP966" i="14" s="1"/>
  <c r="AM992" i="14"/>
  <c r="AK992" i="14"/>
  <c r="BK843" i="14"/>
  <c r="AJ977" i="14"/>
  <c r="Z977" i="14" s="1"/>
  <c r="AE977" i="14" s="1"/>
  <c r="AK914" i="14"/>
  <c r="BK924" i="14"/>
  <c r="AM914" i="14"/>
  <c r="AK977" i="14"/>
  <c r="AO977" i="14" s="1"/>
  <c r="BK1009" i="14"/>
  <c r="AK892" i="14"/>
  <c r="AM892" i="14"/>
  <c r="AI892" i="14"/>
  <c r="AA892" i="14" s="1"/>
  <c r="AD892" i="14" s="1"/>
  <c r="BK864" i="14"/>
  <c r="AM885" i="14"/>
  <c r="AK885" i="14"/>
  <c r="AN892" i="14"/>
  <c r="AP892" i="14" s="1"/>
  <c r="BK950" i="14"/>
  <c r="AN932" i="14"/>
  <c r="AP932" i="14" s="1"/>
  <c r="AI932" i="14"/>
  <c r="AA932" i="14" s="1"/>
  <c r="AD932" i="14" s="1"/>
  <c r="AN849" i="14"/>
  <c r="AL849" i="14"/>
  <c r="BK1016" i="14"/>
  <c r="BK844" i="14"/>
  <c r="AK946" i="14"/>
  <c r="AO946" i="14" s="1"/>
  <c r="BK994" i="14"/>
  <c r="AN946" i="14"/>
  <c r="AJ946" i="14"/>
  <c r="Z946" i="14" s="1"/>
  <c r="AE946" i="14" s="1"/>
  <c r="AL946" i="14"/>
  <c r="BK990" i="14"/>
  <c r="AN875" i="14"/>
  <c r="AL875" i="14"/>
  <c r="AJ981" i="14"/>
  <c r="Z981" i="14" s="1"/>
  <c r="AE981" i="14" s="1"/>
  <c r="AM981" i="14"/>
  <c r="AO981" i="14" s="1"/>
  <c r="AI962" i="14"/>
  <c r="AA962" i="14" s="1"/>
  <c r="AD962" i="14" s="1"/>
  <c r="BK838" i="14"/>
  <c r="AL937" i="14"/>
  <c r="AP937" i="14" s="1"/>
  <c r="AN829" i="14"/>
  <c r="AL829" i="14"/>
  <c r="AI981" i="14"/>
  <c r="AA981" i="14" s="1"/>
  <c r="AD981" i="14" s="1"/>
  <c r="AN981" i="14"/>
  <c r="AP981" i="14" s="1"/>
  <c r="AK984" i="14"/>
  <c r="AM984" i="14"/>
  <c r="BK826" i="14"/>
  <c r="AL962" i="14"/>
  <c r="AP962" i="14" s="1"/>
  <c r="AK962" i="14"/>
  <c r="AM962" i="14"/>
  <c r="BK967" i="14"/>
  <c r="AI912" i="14"/>
  <c r="AA912" i="14" s="1"/>
  <c r="AD912" i="14" s="1"/>
  <c r="BK972" i="14"/>
  <c r="AL983" i="14"/>
  <c r="AN983" i="14"/>
  <c r="AK895" i="14"/>
  <c r="AM895" i="14"/>
  <c r="AL912" i="14"/>
  <c r="AP912" i="14" s="1"/>
  <c r="AK923" i="14"/>
  <c r="AO923" i="14" s="1"/>
  <c r="AJ923" i="14"/>
  <c r="Z923" i="14" s="1"/>
  <c r="AB923" i="14" s="1"/>
  <c r="BK999" i="14"/>
  <c r="BK986" i="14"/>
  <c r="AJ983" i="14"/>
  <c r="Z983" i="14" s="1"/>
  <c r="AE983" i="14" s="1"/>
  <c r="AK936" i="14"/>
  <c r="AM948" i="14"/>
  <c r="AO948" i="14" s="1"/>
  <c r="BK938" i="14"/>
  <c r="AJ948" i="14"/>
  <c r="Z948" i="14" s="1"/>
  <c r="AE948" i="14" s="1"/>
  <c r="AM978" i="14"/>
  <c r="AK978" i="14"/>
  <c r="BK996" i="14"/>
  <c r="AM983" i="14"/>
  <c r="AO983" i="14" s="1"/>
  <c r="AL871" i="14"/>
  <c r="AM960" i="14"/>
  <c r="AK960" i="14"/>
  <c r="AI937" i="14"/>
  <c r="AA937" i="14" s="1"/>
  <c r="AD937" i="14" s="1"/>
  <c r="AM870" i="14"/>
  <c r="AO870" i="14" s="1"/>
  <c r="AL948" i="14"/>
  <c r="AJ870" i="14"/>
  <c r="Z870" i="14" s="1"/>
  <c r="AB870" i="14" s="1"/>
  <c r="AN948" i="14"/>
  <c r="BK825" i="14"/>
  <c r="BK1006" i="14"/>
  <c r="AK997" i="14"/>
  <c r="AM997" i="14"/>
  <c r="AM858" i="14"/>
  <c r="AM936" i="14"/>
  <c r="AM991" i="14"/>
  <c r="AK991" i="14"/>
  <c r="BK925" i="14"/>
  <c r="AN871" i="14"/>
  <c r="AK857" i="14"/>
  <c r="AM857" i="14"/>
  <c r="BK927" i="14"/>
  <c r="AL929" i="14"/>
  <c r="AN929" i="14"/>
  <c r="AK937" i="14"/>
  <c r="AO937" i="14" s="1"/>
  <c r="AJ937" i="14"/>
  <c r="Z937" i="14" s="1"/>
  <c r="AL1010" i="14"/>
  <c r="AJ836" i="14"/>
  <c r="Z836" i="14" s="1"/>
  <c r="AE836" i="14" s="1"/>
  <c r="AM836" i="14"/>
  <c r="AO836" i="14" s="1"/>
  <c r="AL1002" i="14"/>
  <c r="AP1002" i="14" s="1"/>
  <c r="AI1002" i="14"/>
  <c r="AA1002" i="14" s="1"/>
  <c r="AD1002" i="14" s="1"/>
  <c r="AM1015" i="14"/>
  <c r="AO1015" i="14" s="1"/>
  <c r="AJ1015" i="14"/>
  <c r="Z1015" i="14" s="1"/>
  <c r="AB1015" i="14" s="1"/>
  <c r="AK858" i="14"/>
  <c r="AN900" i="14"/>
  <c r="AL942" i="14"/>
  <c r="AN942" i="14"/>
  <c r="AK909" i="14"/>
  <c r="AO909" i="14" s="1"/>
  <c r="AJ909" i="14"/>
  <c r="Z909" i="14" s="1"/>
  <c r="AE909" i="14" s="1"/>
  <c r="BK822" i="14"/>
  <c r="BK919" i="14"/>
  <c r="AL858" i="14"/>
  <c r="AN1010" i="14"/>
  <c r="AI823" i="14"/>
  <c r="AA823" i="14" s="1"/>
  <c r="AD823" i="14" s="1"/>
  <c r="AL823" i="14"/>
  <c r="AP823" i="14" s="1"/>
  <c r="AI939" i="14"/>
  <c r="AA939" i="14" s="1"/>
  <c r="AD939" i="14" s="1"/>
  <c r="BK1001" i="14"/>
  <c r="AL941" i="14"/>
  <c r="AP941" i="14" s="1"/>
  <c r="BK868" i="14"/>
  <c r="AL918" i="14"/>
  <c r="AN918" i="14"/>
  <c r="AM828" i="14"/>
  <c r="AK828" i="14"/>
  <c r="AN858" i="14"/>
  <c r="AJ995" i="14"/>
  <c r="Z995" i="14" s="1"/>
  <c r="AE995" i="14" s="1"/>
  <c r="BK1013" i="14"/>
  <c r="AL830" i="14"/>
  <c r="AN830" i="14"/>
  <c r="AM827" i="14"/>
  <c r="AN833" i="14"/>
  <c r="BK930" i="14"/>
  <c r="AL833" i="14"/>
  <c r="BK954" i="14"/>
  <c r="AK995" i="14"/>
  <c r="AO995" i="14" s="1"/>
  <c r="AK1012" i="14"/>
  <c r="BK886" i="14"/>
  <c r="BK1000" i="14"/>
  <c r="AK827" i="14"/>
  <c r="AL900" i="14"/>
  <c r="BK1003" i="14"/>
  <c r="BK887" i="14"/>
  <c r="AI906" i="14"/>
  <c r="AA906" i="14" s="1"/>
  <c r="AD906" i="14" s="1"/>
  <c r="AK837" i="14"/>
  <c r="AL906" i="14"/>
  <c r="AP906" i="14" s="1"/>
  <c r="AJ951" i="14"/>
  <c r="Z951" i="14" s="1"/>
  <c r="AE951" i="14" s="1"/>
  <c r="AI941" i="14"/>
  <c r="AA941" i="14" s="1"/>
  <c r="AD941" i="14" s="1"/>
  <c r="AN897" i="14"/>
  <c r="AJ893" i="14"/>
  <c r="Z893" i="14" s="1"/>
  <c r="AE893" i="14" s="1"/>
  <c r="AL939" i="14"/>
  <c r="AP939" i="14" s="1"/>
  <c r="BK973" i="14"/>
  <c r="BK883" i="14"/>
  <c r="AL865" i="14"/>
  <c r="AP865" i="14" s="1"/>
  <c r="AM951" i="14"/>
  <c r="AO951" i="14" s="1"/>
  <c r="AM837" i="14"/>
  <c r="AI988" i="14"/>
  <c r="AA988" i="14" s="1"/>
  <c r="AD988" i="14" s="1"/>
  <c r="AL988" i="14"/>
  <c r="AP988" i="14" s="1"/>
  <c r="AK931" i="14"/>
  <c r="AM931" i="14"/>
  <c r="AK830" i="14"/>
  <c r="AI865" i="14"/>
  <c r="AA865" i="14" s="1"/>
  <c r="AD865" i="14" s="1"/>
  <c r="AM830" i="14"/>
  <c r="AM987" i="14"/>
  <c r="AK987" i="14"/>
  <c r="AM902" i="14"/>
  <c r="AO902" i="14" s="1"/>
  <c r="AL841" i="14"/>
  <c r="AJ902" i="14"/>
  <c r="Z902" i="14" s="1"/>
  <c r="AB902" i="14" s="1"/>
  <c r="AK853" i="14"/>
  <c r="AM853" i="14"/>
  <c r="AL855" i="14"/>
  <c r="AN855" i="14"/>
  <c r="AM1012" i="14"/>
  <c r="BK928" i="14"/>
  <c r="AM839" i="14"/>
  <c r="AK839" i="14"/>
  <c r="AI995" i="14"/>
  <c r="AA995" i="14" s="1"/>
  <c r="AD995" i="14" s="1"/>
  <c r="AN995" i="14"/>
  <c r="AP995" i="14" s="1"/>
  <c r="BK904" i="14"/>
  <c r="AN841" i="14"/>
  <c r="AI956" i="14"/>
  <c r="AA956" i="14" s="1"/>
  <c r="AD956" i="14" s="1"/>
  <c r="BK974" i="14"/>
  <c r="BK971" i="14"/>
  <c r="AK893" i="14"/>
  <c r="AO893" i="14" s="1"/>
  <c r="AM877" i="14"/>
  <c r="AK877" i="14"/>
  <c r="AL897" i="14"/>
  <c r="BK862" i="14"/>
  <c r="AL934" i="14"/>
  <c r="AP934" i="14" s="1"/>
  <c r="AI934" i="14"/>
  <c r="AA934" i="14" s="1"/>
  <c r="AD934" i="14" s="1"/>
  <c r="AN853" i="14"/>
  <c r="AL853" i="14"/>
  <c r="BK963" i="14"/>
  <c r="AI960" i="14"/>
  <c r="AA960" i="14" s="1"/>
  <c r="AD960" i="14" s="1"/>
  <c r="AN960" i="14"/>
  <c r="AP960" i="14" s="1"/>
  <c r="AI889" i="14"/>
  <c r="AA889" i="14" s="1"/>
  <c r="AD889" i="14" s="1"/>
  <c r="AM872" i="14"/>
  <c r="AN889" i="14"/>
  <c r="AP889" i="14" s="1"/>
  <c r="AK872" i="14"/>
  <c r="BK846" i="14"/>
  <c r="AM832" i="14"/>
  <c r="AO832" i="14" s="1"/>
  <c r="AM882" i="14"/>
  <c r="AK882" i="14"/>
  <c r="AM863" i="14"/>
  <c r="AK863" i="14"/>
  <c r="AM918" i="14"/>
  <c r="BK965" i="14"/>
  <c r="AK918" i="14"/>
  <c r="AI931" i="14"/>
  <c r="AA931" i="14" s="1"/>
  <c r="AD931" i="14" s="1"/>
  <c r="AL931" i="14"/>
  <c r="AP931" i="14" s="1"/>
  <c r="AI884" i="14"/>
  <c r="AA884" i="14" s="1"/>
  <c r="AD884" i="14" s="1"/>
  <c r="AJ832" i="14"/>
  <c r="Z832" i="14" s="1"/>
  <c r="AE832" i="14" s="1"/>
  <c r="AI890" i="14"/>
  <c r="AA890" i="14" s="1"/>
  <c r="AD890" i="14" s="1"/>
  <c r="AK834" i="14"/>
  <c r="AM993" i="14"/>
  <c r="AO993" i="14" s="1"/>
  <c r="AM874" i="14"/>
  <c r="AN952" i="14"/>
  <c r="AM834" i="14"/>
  <c r="AJ993" i="14"/>
  <c r="Z993" i="14" s="1"/>
  <c r="AE993" i="14" s="1"/>
  <c r="AN926" i="14"/>
  <c r="AP926" i="14" s="1"/>
  <c r="AK874" i="14"/>
  <c r="AL952" i="14"/>
  <c r="AI926" i="14"/>
  <c r="AA926" i="14" s="1"/>
  <c r="AD926" i="14" s="1"/>
  <c r="BK891" i="14"/>
  <c r="AM845" i="14"/>
  <c r="AM1018" i="14"/>
  <c r="AK845" i="14"/>
  <c r="AN1017" i="14"/>
  <c r="AL1017" i="14"/>
  <c r="AL958" i="14"/>
  <c r="AK998" i="14"/>
  <c r="AM979" i="14"/>
  <c r="AN958" i="14"/>
  <c r="AM998" i="14"/>
  <c r="AN964" i="14"/>
  <c r="AK979" i="14"/>
  <c r="AK831" i="14"/>
  <c r="AL964" i="14"/>
  <c r="AM831" i="14"/>
  <c r="AN909" i="14"/>
  <c r="AP909" i="14" s="1"/>
  <c r="AM907" i="14"/>
  <c r="AL949" i="14"/>
  <c r="AN949" i="14"/>
  <c r="AI1007" i="14"/>
  <c r="AA1007" i="14" s="1"/>
  <c r="AD1007" i="14" s="1"/>
  <c r="AL1007" i="14"/>
  <c r="AP1007" i="14" s="1"/>
  <c r="BK873" i="14"/>
  <c r="BK982" i="14"/>
  <c r="AL894" i="14"/>
  <c r="AN894" i="14"/>
  <c r="AM921" i="14"/>
  <c r="AI854" i="14"/>
  <c r="AA854" i="14" s="1"/>
  <c r="AD854" i="14" s="1"/>
  <c r="AN854" i="14"/>
  <c r="AP854" i="14" s="1"/>
  <c r="AN824" i="14"/>
  <c r="AP824" i="14" s="1"/>
  <c r="AN1005" i="14"/>
  <c r="AL1005" i="14"/>
  <c r="AK959" i="14"/>
  <c r="AI987" i="14"/>
  <c r="AA987" i="14" s="1"/>
  <c r="AD987" i="14" s="1"/>
  <c r="AM959" i="14"/>
  <c r="AN866" i="14"/>
  <c r="AL987" i="14"/>
  <c r="AP987" i="14" s="1"/>
  <c r="AI959" i="14"/>
  <c r="AA959" i="14" s="1"/>
  <c r="AD959" i="14" s="1"/>
  <c r="AK1018" i="14"/>
  <c r="AL959" i="14"/>
  <c r="AP959" i="14" s="1"/>
  <c r="AI827" i="14"/>
  <c r="AA827" i="14" s="1"/>
  <c r="AD827" i="14" s="1"/>
  <c r="AL827" i="14"/>
  <c r="AP827" i="14" s="1"/>
  <c r="AK952" i="14"/>
  <c r="AM952" i="14"/>
  <c r="AM926" i="14"/>
  <c r="AO926" i="14" s="1"/>
  <c r="AJ926" i="14"/>
  <c r="Z926" i="14" s="1"/>
  <c r="AE926" i="14" s="1"/>
  <c r="BK847" i="14"/>
  <c r="AI824" i="14"/>
  <c r="AA824" i="14" s="1"/>
  <c r="AD824" i="14" s="1"/>
  <c r="AL866" i="14"/>
  <c r="AL968" i="14"/>
  <c r="AM968" i="14"/>
  <c r="AO968" i="14" s="1"/>
  <c r="AJ968" i="14"/>
  <c r="Z968" i="14" s="1"/>
  <c r="AB968" i="14" s="1"/>
  <c r="AL899" i="14"/>
  <c r="AP899" i="14" s="1"/>
  <c r="AM942" i="14"/>
  <c r="AK942" i="14"/>
  <c r="AK958" i="14"/>
  <c r="AM958" i="14"/>
  <c r="AN884" i="14"/>
  <c r="AP884" i="14" s="1"/>
  <c r="AK921" i="14"/>
  <c r="AJ935" i="14"/>
  <c r="Z935" i="14" s="1"/>
  <c r="AB935" i="14" s="1"/>
  <c r="AN979" i="14"/>
  <c r="AP979" i="14" s="1"/>
  <c r="AJ859" i="14"/>
  <c r="Z859" i="14" s="1"/>
  <c r="AE859" i="14" s="1"/>
  <c r="AM947" i="14"/>
  <c r="AO947" i="14" s="1"/>
  <c r="AI1019" i="14"/>
  <c r="AA1019" i="14" s="1"/>
  <c r="AD1019" i="14" s="1"/>
  <c r="AJ947" i="14"/>
  <c r="Z947" i="14" s="1"/>
  <c r="AE947" i="14" s="1"/>
  <c r="AL1019" i="14"/>
  <c r="AP1019" i="14" s="1"/>
  <c r="AK907" i="14"/>
  <c r="AI909" i="14"/>
  <c r="AA909" i="14" s="1"/>
  <c r="AD909" i="14" s="1"/>
  <c r="AL951" i="14"/>
  <c r="AK881" i="14"/>
  <c r="AJ852" i="14"/>
  <c r="Z852" i="14" s="1"/>
  <c r="AE852" i="14" s="1"/>
  <c r="AN951" i="14"/>
  <c r="AM881" i="14"/>
  <c r="AN852" i="14"/>
  <c r="AP852" i="14" s="1"/>
  <c r="AI852" i="14"/>
  <c r="AA852" i="14" s="1"/>
  <c r="AD852" i="14" s="1"/>
  <c r="BK879" i="14"/>
  <c r="AL921" i="14"/>
  <c r="AN956" i="14"/>
  <c r="AP956" i="14" s="1"/>
  <c r="AN921" i="14"/>
  <c r="AK852" i="14"/>
  <c r="AO852" i="14" s="1"/>
  <c r="AK842" i="14"/>
  <c r="AL890" i="14"/>
  <c r="AP890" i="14" s="1"/>
  <c r="AI1018" i="14"/>
  <c r="AA1018" i="14" s="1"/>
  <c r="AD1018" i="14" s="1"/>
  <c r="AL1018" i="14"/>
  <c r="AP1018" i="14" s="1"/>
  <c r="AM842" i="14"/>
  <c r="AI899" i="14"/>
  <c r="AA899" i="14" s="1"/>
  <c r="AD899" i="14" s="1"/>
  <c r="AM957" i="14"/>
  <c r="AK957" i="14"/>
  <c r="AN968" i="14"/>
  <c r="BK920" i="14"/>
  <c r="AI1008" i="14"/>
  <c r="AA1008" i="14" s="1"/>
  <c r="AD1008" i="14" s="1"/>
  <c r="BK861" i="14"/>
  <c r="BK860" i="14"/>
  <c r="AL947" i="14"/>
  <c r="AP947" i="14" s="1"/>
  <c r="AI947" i="14"/>
  <c r="AA947" i="14" s="1"/>
  <c r="AD947" i="14" s="1"/>
  <c r="AK1011" i="14"/>
  <c r="AM854" i="14"/>
  <c r="AJ955" i="14"/>
  <c r="Z955" i="14" s="1"/>
  <c r="AE955" i="14" s="1"/>
  <c r="AK854" i="14"/>
  <c r="AM935" i="14"/>
  <c r="AO935" i="14" s="1"/>
  <c r="AI856" i="14"/>
  <c r="AA856" i="14" s="1"/>
  <c r="AD856" i="14" s="1"/>
  <c r="AN1020" i="14"/>
  <c r="AP1020" i="14" s="1"/>
  <c r="AI979" i="14"/>
  <c r="AA979" i="14" s="1"/>
  <c r="AD979" i="14" s="1"/>
  <c r="AM1019" i="14"/>
  <c r="AO1019" i="14" s="1"/>
  <c r="AI1020" i="14"/>
  <c r="AA1020" i="14" s="1"/>
  <c r="AD1020" i="14" s="1"/>
  <c r="AM985" i="14"/>
  <c r="AK955" i="14"/>
  <c r="AO955" i="14" s="1"/>
  <c r="AN859" i="14"/>
  <c r="AL880" i="14"/>
  <c r="AN880" i="14"/>
  <c r="AN1008" i="14"/>
  <c r="AP1008" i="14" s="1"/>
  <c r="AM945" i="14"/>
  <c r="AO945" i="14" s="1"/>
  <c r="AJ945" i="14"/>
  <c r="Z945" i="14" s="1"/>
  <c r="AE945" i="14" s="1"/>
  <c r="AM867" i="14"/>
  <c r="AN933" i="14"/>
  <c r="BK975" i="14"/>
  <c r="AL933" i="14"/>
  <c r="AK859" i="14"/>
  <c r="AO859" i="14" s="1"/>
  <c r="AJ953" i="14"/>
  <c r="Z953" i="14" s="1"/>
  <c r="AE953" i="14" s="1"/>
  <c r="AK896" i="14"/>
  <c r="AL907" i="14"/>
  <c r="AL896" i="14"/>
  <c r="AN907" i="14"/>
  <c r="AK953" i="14"/>
  <c r="AO953" i="14" s="1"/>
  <c r="AK985" i="14"/>
  <c r="AN943" i="14"/>
  <c r="AP943" i="14" s="1"/>
  <c r="AJ1019" i="14"/>
  <c r="Z1019" i="14" s="1"/>
  <c r="AE1019" i="14" s="1"/>
  <c r="AN856" i="14"/>
  <c r="AP856" i="14" s="1"/>
  <c r="AN896" i="14"/>
  <c r="AL877" i="14"/>
  <c r="AN877" i="14"/>
  <c r="AK903" i="14"/>
  <c r="AM903" i="14"/>
  <c r="AI943" i="14"/>
  <c r="AA943" i="14" s="1"/>
  <c r="AD943" i="14" s="1"/>
  <c r="BK905" i="14"/>
  <c r="AJ1008" i="14"/>
  <c r="Z1008" i="14" s="1"/>
  <c r="AK867" i="14"/>
  <c r="AN985" i="14"/>
  <c r="AP985" i="14" s="1"/>
  <c r="AI985" i="14"/>
  <c r="AA985" i="14" s="1"/>
  <c r="AD985" i="14" s="1"/>
  <c r="AL859" i="14"/>
  <c r="AK1008" i="14"/>
  <c r="AO1008" i="14" s="1"/>
  <c r="AM1011" i="14"/>
  <c r="AK850" i="14"/>
  <c r="AO850" i="14" s="1"/>
  <c r="AM898" i="14"/>
  <c r="AJ850" i="14"/>
  <c r="Z850" i="14" s="1"/>
  <c r="AE850" i="14" s="1"/>
  <c r="AK898" i="14"/>
  <c r="AM1004" i="14"/>
  <c r="AK1004" i="14"/>
  <c r="AM856" i="14"/>
  <c r="AO856" i="14" s="1"/>
  <c r="BK970" i="14"/>
  <c r="AM896" i="14"/>
  <c r="AL851" i="14"/>
  <c r="AP851" i="14" s="1"/>
  <c r="AI851" i="14"/>
  <c r="AA851" i="14" s="1"/>
  <c r="AD851" i="14" s="1"/>
  <c r="AN935" i="14"/>
  <c r="AL935" i="14"/>
  <c r="AI980" i="14"/>
  <c r="AA980" i="14" s="1"/>
  <c r="AD980" i="14" s="1"/>
  <c r="AL980" i="14"/>
  <c r="AP980" i="14" s="1"/>
  <c r="AK969" i="14"/>
  <c r="AM878" i="14"/>
  <c r="AM969" i="14"/>
  <c r="AK878" i="14"/>
  <c r="AJ1021" i="14"/>
  <c r="Z1021" i="14" s="1"/>
  <c r="AE1021" i="14" s="1"/>
  <c r="AL945" i="14"/>
  <c r="AN945" i="14"/>
  <c r="AK1021" i="14"/>
  <c r="AO1021" i="14" s="1"/>
  <c r="AJ856" i="14"/>
  <c r="Z856" i="14" s="1"/>
  <c r="AI953" i="14"/>
  <c r="AA953" i="14" s="1"/>
  <c r="AD953" i="14" s="1"/>
  <c r="AN953" i="14"/>
  <c r="AP953" i="14" s="1"/>
  <c r="AM944" i="14"/>
  <c r="AK944" i="14"/>
  <c r="BK910" i="14"/>
  <c r="AP828" i="14"/>
  <c r="AS828" i="14" s="1"/>
  <c r="AO888" i="14"/>
  <c r="AO949" i="14"/>
  <c r="AO884" i="14"/>
  <c r="AO1010" i="14"/>
  <c r="AO905" i="14"/>
  <c r="AP850" i="14"/>
  <c r="AS850" i="14" s="1"/>
  <c r="AO826" i="14"/>
  <c r="AO1001" i="14"/>
  <c r="AP874" i="14"/>
  <c r="AS874" i="14" s="1"/>
  <c r="AO933" i="14"/>
  <c r="AO1013" i="14"/>
  <c r="AP844" i="14"/>
  <c r="AS844" i="14" s="1"/>
  <c r="AO1007" i="14"/>
  <c r="AO847" i="14"/>
  <c r="AP903" i="14"/>
  <c r="AS903" i="14" s="1"/>
  <c r="AO904" i="14"/>
  <c r="AP994" i="14"/>
  <c r="AS994" i="14" s="1"/>
  <c r="AP950" i="14"/>
  <c r="AS950" i="14" s="1"/>
  <c r="AP881" i="14"/>
  <c r="AS881" i="14" s="1"/>
  <c r="AO889" i="14"/>
  <c r="AO939" i="14"/>
  <c r="AO1005" i="14"/>
  <c r="AP936" i="14"/>
  <c r="AS936" i="14" s="1"/>
  <c r="AO1003" i="14"/>
  <c r="AO986" i="14"/>
  <c r="AO938" i="14"/>
  <c r="AO849" i="14"/>
  <c r="AO840" i="14"/>
  <c r="AP843" i="14"/>
  <c r="AS843" i="14" s="1"/>
  <c r="AO970" i="14"/>
  <c r="AO825" i="14"/>
  <c r="AP873" i="14"/>
  <c r="AS873" i="14" s="1"/>
  <c r="AO929" i="14"/>
  <c r="AO934" i="14"/>
  <c r="AO824" i="14"/>
  <c r="AO1020" i="14"/>
  <c r="AP982" i="14"/>
  <c r="AS982" i="14" s="1"/>
  <c r="AO899" i="14"/>
  <c r="AO869" i="14"/>
  <c r="AP831" i="14"/>
  <c r="AS831" i="14" s="1"/>
  <c r="AO954" i="14"/>
  <c r="AP870" i="14"/>
  <c r="AS870" i="14" s="1"/>
  <c r="AP883" i="14"/>
  <c r="AS883" i="14" s="1"/>
  <c r="AP872" i="14"/>
  <c r="AS872" i="14" s="1"/>
  <c r="AO963" i="14"/>
  <c r="AO894" i="14"/>
  <c r="AP860" i="14"/>
  <c r="AS860" i="14" s="1"/>
  <c r="AO964" i="14"/>
  <c r="AO875" i="14"/>
  <c r="AO976" i="14"/>
  <c r="AP970" i="14"/>
  <c r="AS970" i="14" s="1"/>
  <c r="AP840" i="14"/>
  <c r="AS840" i="14" s="1"/>
  <c r="AP885" i="14"/>
  <c r="AS885" i="14" s="1"/>
  <c r="AO925" i="14"/>
  <c r="AP834" i="14"/>
  <c r="AS834" i="14" s="1"/>
  <c r="AO999" i="14"/>
  <c r="AP965" i="14"/>
  <c r="AS965" i="14" s="1"/>
  <c r="AP886" i="14"/>
  <c r="AS886" i="14" s="1"/>
  <c r="AP927" i="14"/>
  <c r="AS927" i="14" s="1"/>
  <c r="AP969" i="14"/>
  <c r="AS969" i="14" s="1"/>
  <c r="AO922" i="14"/>
  <c r="AP861" i="14"/>
  <c r="AS861" i="14" s="1"/>
  <c r="AP882" i="14"/>
  <c r="AS882" i="14" s="1"/>
  <c r="AP984" i="14"/>
  <c r="AS984" i="14" s="1"/>
  <c r="AP901" i="14"/>
  <c r="AS901" i="14" s="1"/>
  <c r="AO833" i="14"/>
  <c r="AO860" i="14"/>
  <c r="AO990" i="14"/>
  <c r="AP928" i="14"/>
  <c r="AS928" i="14" s="1"/>
  <c r="AP839" i="14"/>
  <c r="AS839" i="14" s="1"/>
  <c r="AP1011" i="14"/>
  <c r="AS1011" i="14" s="1"/>
  <c r="AO1000" i="14"/>
  <c r="AP825" i="14"/>
  <c r="AS825" i="14" s="1"/>
  <c r="AP940" i="14"/>
  <c r="AS940" i="14" s="1"/>
  <c r="AP925" i="14"/>
  <c r="AS925" i="14" s="1"/>
  <c r="AP996" i="14"/>
  <c r="AS996" i="14" s="1"/>
  <c r="AO974" i="14"/>
  <c r="AP1009" i="14"/>
  <c r="AS1009" i="14" s="1"/>
  <c r="AP913" i="14"/>
  <c r="AS913" i="14" s="1"/>
  <c r="AO891" i="14"/>
  <c r="AO906" i="14"/>
  <c r="AO928" i="14"/>
  <c r="AO966" i="14"/>
  <c r="AO838" i="14"/>
  <c r="AO910" i="14"/>
  <c r="AP998" i="14"/>
  <c r="AS998" i="14" s="1"/>
  <c r="AO988" i="14"/>
  <c r="AO971" i="14"/>
  <c r="AO943" i="14"/>
  <c r="AP867" i="14"/>
  <c r="AS867" i="14" s="1"/>
  <c r="AP895" i="14"/>
  <c r="AS895" i="14" s="1"/>
  <c r="AP838" i="14"/>
  <c r="AS838" i="14" s="1"/>
  <c r="AP967" i="14"/>
  <c r="AS967" i="14" s="1"/>
  <c r="AP864" i="14"/>
  <c r="AS864" i="14" s="1"/>
  <c r="AP977" i="14"/>
  <c r="AS977" i="14" s="1"/>
  <c r="AP905" i="14"/>
  <c r="AS905" i="14" s="1"/>
  <c r="AP879" i="14"/>
  <c r="AS879" i="14" s="1"/>
  <c r="AP902" i="14"/>
  <c r="AS902" i="14" s="1"/>
  <c r="AP978" i="14"/>
  <c r="AO886" i="14"/>
  <c r="AO844" i="14"/>
  <c r="AO982" i="14"/>
  <c r="AO1009" i="14"/>
  <c r="AO973" i="14"/>
  <c r="AO924" i="14"/>
  <c r="AO822" i="14"/>
  <c r="AO868" i="14"/>
  <c r="AP832" i="14"/>
  <c r="AS832" i="14" s="1"/>
  <c r="AO851" i="14"/>
  <c r="AO887" i="14"/>
  <c r="AP930" i="14"/>
  <c r="AS930" i="14" s="1"/>
  <c r="AO956" i="14"/>
  <c r="AP837" i="14"/>
  <c r="AS837" i="14" s="1"/>
  <c r="AE837" i="14"/>
  <c r="AB837" i="14"/>
  <c r="AE982" i="14"/>
  <c r="AB982" i="14"/>
  <c r="AE845" i="14"/>
  <c r="AB845" i="14"/>
  <c r="AE898" i="14"/>
  <c r="AB898" i="14"/>
  <c r="AB866" i="14"/>
  <c r="AE866" i="14"/>
  <c r="AP975" i="14"/>
  <c r="AS975" i="14" s="1"/>
  <c r="AE835" i="14"/>
  <c r="AE1009" i="14"/>
  <c r="AB1009" i="14"/>
  <c r="AB952" i="14"/>
  <c r="AE952" i="14"/>
  <c r="AE973" i="14"/>
  <c r="AB973" i="14"/>
  <c r="AE865" i="14"/>
  <c r="AB879" i="14"/>
  <c r="AE879" i="14"/>
  <c r="AE1016" i="14"/>
  <c r="AB1016" i="14"/>
  <c r="AO989" i="14"/>
  <c r="AE934" i="14"/>
  <c r="AP924" i="14"/>
  <c r="AS924" i="14" s="1"/>
  <c r="AO855" i="14"/>
  <c r="AB844" i="14"/>
  <c r="AE844" i="14"/>
  <c r="AB875" i="14"/>
  <c r="AE875" i="14"/>
  <c r="AE874" i="14"/>
  <c r="AB874" i="14"/>
  <c r="AE914" i="14"/>
  <c r="AB914" i="14"/>
  <c r="AP972" i="14"/>
  <c r="AS972" i="14" s="1"/>
  <c r="AB882" i="14"/>
  <c r="AE882" i="14"/>
  <c r="AP993" i="14"/>
  <c r="AS993" i="14" s="1"/>
  <c r="AE936" i="14"/>
  <c r="AB936" i="14"/>
  <c r="AE1006" i="14"/>
  <c r="AB1006" i="14"/>
  <c r="AE976" i="14"/>
  <c r="AO829" i="14"/>
  <c r="AO967" i="14"/>
  <c r="AB1012" i="14"/>
  <c r="AE1012" i="14"/>
  <c r="AP974" i="14"/>
  <c r="AS974" i="14" s="1"/>
  <c r="AO843" i="14"/>
  <c r="AO900" i="14"/>
  <c r="AO890" i="14"/>
  <c r="AE833" i="14"/>
  <c r="AB833" i="14"/>
  <c r="AE860" i="14"/>
  <c r="AB860" i="14"/>
  <c r="AE921" i="14"/>
  <c r="AB921" i="14"/>
  <c r="AO911" i="14"/>
  <c r="AB990" i="14"/>
  <c r="AE990" i="14"/>
  <c r="AB997" i="14"/>
  <c r="AE997" i="14"/>
  <c r="AP848" i="14"/>
  <c r="AS848" i="14" s="1"/>
  <c r="AE1017" i="14"/>
  <c r="AB1017" i="14"/>
  <c r="AP857" i="14"/>
  <c r="AS857" i="14" s="1"/>
  <c r="AP973" i="14"/>
  <c r="AS973" i="14" s="1"/>
  <c r="AE867" i="14"/>
  <c r="AB867" i="14"/>
  <c r="AB942" i="14"/>
  <c r="AE942" i="14"/>
  <c r="AB925" i="14"/>
  <c r="AE925" i="14"/>
  <c r="AB828" i="14"/>
  <c r="AE828" i="14"/>
  <c r="AB822" i="14"/>
  <c r="AE822" i="14"/>
  <c r="AE876" i="14"/>
  <c r="AE829" i="14"/>
  <c r="AB829" i="14"/>
  <c r="AE903" i="14"/>
  <c r="AB903" i="14"/>
  <c r="AE868" i="14"/>
  <c r="AB868" i="14"/>
  <c r="AB971" i="14"/>
  <c r="AE971" i="14"/>
  <c r="AE911" i="14"/>
  <c r="AE851" i="14"/>
  <c r="AB887" i="14"/>
  <c r="AE887" i="14"/>
  <c r="AE834" i="14"/>
  <c r="AB834" i="14"/>
  <c r="AE956" i="14"/>
  <c r="AE989" i="14"/>
  <c r="AB1000" i="14"/>
  <c r="AE1000" i="14"/>
  <c r="AB855" i="14"/>
  <c r="AE855" i="14"/>
  <c r="AE924" i="14"/>
  <c r="AB924" i="14"/>
  <c r="AO941" i="14"/>
  <c r="AE877" i="14"/>
  <c r="AB877" i="14"/>
  <c r="AE907" i="14"/>
  <c r="AB907" i="14"/>
  <c r="AE966" i="14"/>
  <c r="AE967" i="14"/>
  <c r="AB967" i="14"/>
  <c r="AE991" i="14"/>
  <c r="AB991" i="14"/>
  <c r="AE895" i="14"/>
  <c r="AB895" i="14"/>
  <c r="AE891" i="14"/>
  <c r="AB891" i="14"/>
  <c r="AB863" i="14"/>
  <c r="AE863" i="14"/>
  <c r="AB843" i="14"/>
  <c r="AE843" i="14"/>
  <c r="AB900" i="14"/>
  <c r="AE900" i="14"/>
  <c r="AP1012" i="14"/>
  <c r="AS1012" i="14" s="1"/>
  <c r="AE890" i="14"/>
  <c r="AP1006" i="14"/>
  <c r="AS1006" i="14" s="1"/>
  <c r="AO917" i="14"/>
  <c r="AE906" i="14"/>
  <c r="AP1015" i="14"/>
  <c r="AS1015" i="14" s="1"/>
  <c r="AP963" i="14"/>
  <c r="AS963" i="14" s="1"/>
  <c r="AP878" i="14"/>
  <c r="AS878" i="14" s="1"/>
  <c r="AB928" i="14"/>
  <c r="AE928" i="14"/>
  <c r="BK1022" i="14"/>
  <c r="AB963" i="14"/>
  <c r="AE963" i="14"/>
  <c r="AE871" i="14"/>
  <c r="AB871" i="14"/>
  <c r="AE941" i="14"/>
  <c r="AL1022" i="14"/>
  <c r="AN1022" i="14"/>
  <c r="AI1022" i="14"/>
  <c r="AA1022" i="14" s="1"/>
  <c r="AD1022" i="14" s="1"/>
  <c r="AP836" i="14"/>
  <c r="AS836" i="14" s="1"/>
  <c r="AP826" i="14"/>
  <c r="AS826" i="14" s="1"/>
  <c r="AB894" i="14"/>
  <c r="AE894" i="14"/>
  <c r="AP944" i="14"/>
  <c r="AS944" i="14" s="1"/>
  <c r="AO883" i="14"/>
  <c r="AP1013" i="14"/>
  <c r="AS1013" i="14" s="1"/>
  <c r="AP990" i="14"/>
  <c r="AS990" i="14" s="1"/>
  <c r="AO927" i="14"/>
  <c r="AE958" i="14"/>
  <c r="AB958" i="14"/>
  <c r="AO980" i="14"/>
  <c r="AP904" i="14"/>
  <c r="AS904" i="14" s="1"/>
  <c r="AE827" i="14"/>
  <c r="AO862" i="14"/>
  <c r="AO920" i="14"/>
  <c r="AO841" i="14"/>
  <c r="AE917" i="14"/>
  <c r="AO897" i="14"/>
  <c r="AE964" i="14"/>
  <c r="AB964" i="14"/>
  <c r="AO961" i="14"/>
  <c r="AB896" i="14"/>
  <c r="AE896" i="14"/>
  <c r="AO864" i="14"/>
  <c r="AE1018" i="14"/>
  <c r="AJ1022" i="14"/>
  <c r="Z1022" i="14" s="1"/>
  <c r="AK1022" i="14"/>
  <c r="AM1022" i="14"/>
  <c r="AB910" i="14"/>
  <c r="AE910" i="14"/>
  <c r="AP920" i="14"/>
  <c r="AS920" i="14" s="1"/>
  <c r="AB927" i="14"/>
  <c r="AE927" i="14"/>
  <c r="AE988" i="14"/>
  <c r="AP845" i="14"/>
  <c r="AS845" i="14" s="1"/>
  <c r="AE862" i="14"/>
  <c r="AB862" i="14"/>
  <c r="AB920" i="14"/>
  <c r="AE920" i="14"/>
  <c r="AB841" i="14"/>
  <c r="AE841" i="14"/>
  <c r="AE854" i="14"/>
  <c r="AE943" i="14"/>
  <c r="AE959" i="14"/>
  <c r="AP922" i="14"/>
  <c r="AS922" i="14" s="1"/>
  <c r="AB864" i="14"/>
  <c r="AE864" i="14"/>
  <c r="AP919" i="14"/>
  <c r="AS919" i="14" s="1"/>
  <c r="AO871" i="14"/>
  <c r="AE838" i="14"/>
  <c r="AB838" i="14"/>
  <c r="AP863" i="14"/>
  <c r="AS863" i="14" s="1"/>
  <c r="AO846" i="14"/>
  <c r="AE957" i="14"/>
  <c r="AB957" i="14"/>
  <c r="AO1002" i="14"/>
  <c r="AP1000" i="14"/>
  <c r="AS1000" i="14" s="1"/>
  <c r="AE998" i="14"/>
  <c r="AB998" i="14"/>
  <c r="AE883" i="14"/>
  <c r="AB883" i="14"/>
  <c r="AP954" i="14"/>
  <c r="AS954" i="14" s="1"/>
  <c r="AB826" i="14"/>
  <c r="AE826" i="14"/>
  <c r="AB1001" i="14"/>
  <c r="AE1001" i="14"/>
  <c r="AE884" i="14"/>
  <c r="AE1010" i="14"/>
  <c r="AB1010" i="14"/>
  <c r="AE905" i="14"/>
  <c r="AB905" i="14"/>
  <c r="AE962" i="14"/>
  <c r="AB918" i="14"/>
  <c r="AE918" i="14"/>
  <c r="AE980" i="14"/>
  <c r="AP1004" i="14"/>
  <c r="AS1004" i="14" s="1"/>
  <c r="AE830" i="14"/>
  <c r="AB830" i="14"/>
  <c r="AO994" i="14"/>
  <c r="AP893" i="14"/>
  <c r="AS893" i="14" s="1"/>
  <c r="AE960" i="14"/>
  <c r="AP923" i="14"/>
  <c r="AS923" i="14" s="1"/>
  <c r="AB897" i="14"/>
  <c r="AE897" i="14"/>
  <c r="AP842" i="14"/>
  <c r="AS842" i="14" s="1"/>
  <c r="AE1004" i="14"/>
  <c r="AB1004" i="14"/>
  <c r="AB961" i="14"/>
  <c r="AE961" i="14"/>
  <c r="AB848" i="14"/>
  <c r="AE848" i="14"/>
  <c r="AP898" i="14"/>
  <c r="AS898" i="14" s="1"/>
  <c r="AO916" i="14"/>
  <c r="AP1016" i="14"/>
  <c r="AS1016" i="14" s="1"/>
  <c r="AB999" i="14"/>
  <c r="AE999" i="14"/>
  <c r="AE1002" i="14"/>
  <c r="AB1011" i="14"/>
  <c r="AE1011" i="14"/>
  <c r="AB922" i="14"/>
  <c r="AE922" i="14"/>
  <c r="AE994" i="14"/>
  <c r="AB994" i="14"/>
  <c r="AB842" i="14"/>
  <c r="AE842" i="14"/>
  <c r="AB1003" i="14"/>
  <c r="AE1003" i="14"/>
  <c r="AB846" i="14"/>
  <c r="AE846" i="14"/>
  <c r="AP955" i="14"/>
  <c r="AS955" i="14" s="1"/>
  <c r="AP1003" i="14"/>
  <c r="AS1003" i="14" s="1"/>
  <c r="AB929" i="14"/>
  <c r="AE929" i="14"/>
  <c r="AB857" i="14"/>
  <c r="AE857" i="14"/>
  <c r="AO996" i="14"/>
  <c r="AO965" i="14"/>
  <c r="AE824" i="14"/>
  <c r="AO950" i="14"/>
  <c r="AB839" i="14"/>
  <c r="AE839" i="14"/>
  <c r="AB984" i="14"/>
  <c r="AE984" i="14"/>
  <c r="AP908" i="14"/>
  <c r="AS908" i="14" s="1"/>
  <c r="AE1020" i="14"/>
  <c r="AP992" i="14"/>
  <c r="AS992" i="14" s="1"/>
  <c r="AB831" i="14"/>
  <c r="AE831" i="14"/>
  <c r="AB881" i="14"/>
  <c r="AE881" i="14"/>
  <c r="AE969" i="14"/>
  <c r="AB969" i="14"/>
  <c r="AO975" i="14"/>
  <c r="AO930" i="14"/>
  <c r="AP957" i="14"/>
  <c r="AS957" i="14" s="1"/>
  <c r="AP1021" i="14"/>
  <c r="AS1021" i="14" s="1"/>
  <c r="AO861" i="14"/>
  <c r="AO823" i="14"/>
  <c r="AE889" i="14"/>
  <c r="AE939" i="14"/>
  <c r="AO912" i="14"/>
  <c r="AE916" i="14"/>
  <c r="AB1005" i="14"/>
  <c r="AE1005" i="14"/>
  <c r="AO919" i="14"/>
  <c r="AO972" i="14"/>
  <c r="AE899" i="14"/>
  <c r="AE950" i="14"/>
  <c r="AB950" i="14"/>
  <c r="AB933" i="14"/>
  <c r="AE933" i="14"/>
  <c r="AE944" i="14"/>
  <c r="AB944" i="14"/>
  <c r="AB1013" i="14"/>
  <c r="AE1013" i="14"/>
  <c r="AE1007" i="14"/>
  <c r="AE878" i="14"/>
  <c r="AB878" i="14"/>
  <c r="AE978" i="14"/>
  <c r="AB978" i="14"/>
  <c r="AB992" i="14"/>
  <c r="AE992" i="14"/>
  <c r="AE975" i="14"/>
  <c r="AB975" i="14"/>
  <c r="AB847" i="14"/>
  <c r="AE847" i="14"/>
  <c r="AB904" i="14"/>
  <c r="AE904" i="14"/>
  <c r="AE823" i="14"/>
  <c r="AE912" i="14"/>
  <c r="AE972" i="14"/>
  <c r="AB972" i="14"/>
  <c r="AE858" i="14"/>
  <c r="AB858" i="14"/>
  <c r="AO932" i="14"/>
  <c r="AE915" i="14"/>
  <c r="AB853" i="14"/>
  <c r="AE853" i="14"/>
  <c r="AB885" i="14"/>
  <c r="AE885" i="14"/>
  <c r="AB986" i="14"/>
  <c r="AE986" i="14"/>
  <c r="AB938" i="14"/>
  <c r="AE938" i="14"/>
  <c r="AB849" i="14"/>
  <c r="AE849" i="14"/>
  <c r="AP887" i="14"/>
  <c r="AS887" i="14" s="1"/>
  <c r="AB996" i="14"/>
  <c r="AE996" i="14"/>
  <c r="AE965" i="14"/>
  <c r="AB965" i="14"/>
  <c r="AE979" i="14"/>
  <c r="AO866" i="14"/>
  <c r="AO835" i="14"/>
  <c r="AP938" i="14"/>
  <c r="AS938" i="14" s="1"/>
  <c r="AP999" i="14"/>
  <c r="AS999" i="14" s="1"/>
  <c r="AB869" i="14"/>
  <c r="AE869" i="14"/>
  <c r="AE930" i="14"/>
  <c r="AB930" i="14"/>
  <c r="AO880" i="14"/>
  <c r="AE931" i="14"/>
  <c r="AE872" i="14"/>
  <c r="AB872" i="14"/>
  <c r="AB861" i="14"/>
  <c r="AE861" i="14"/>
  <c r="AP997" i="14"/>
  <c r="AS997" i="14" s="1"/>
  <c r="AO879" i="14"/>
  <c r="AP822" i="14"/>
  <c r="AS822" i="14" s="1"/>
  <c r="AB954" i="14"/>
  <c r="AE954" i="14"/>
  <c r="AP846" i="14"/>
  <c r="AS846" i="14" s="1"/>
  <c r="AO873" i="14"/>
  <c r="AO1016" i="14"/>
  <c r="AE886" i="14"/>
  <c r="AB886" i="14"/>
  <c r="AE987" i="14"/>
  <c r="AB919" i="14"/>
  <c r="AE919" i="14"/>
  <c r="AP862" i="14"/>
  <c r="AS862" i="14" s="1"/>
  <c r="AE949" i="14"/>
  <c r="AB949" i="14"/>
  <c r="AE932" i="14"/>
  <c r="AP847" i="14"/>
  <c r="AS847" i="14" s="1"/>
  <c r="AE985" i="14"/>
  <c r="AE840" i="14"/>
  <c r="AB840" i="14"/>
  <c r="AO1006" i="14"/>
  <c r="AP868" i="14"/>
  <c r="AS868" i="14" s="1"/>
  <c r="AP1001" i="14"/>
  <c r="AS1001" i="14" s="1"/>
  <c r="AB970" i="14"/>
  <c r="AE970" i="14"/>
  <c r="AO865" i="14"/>
  <c r="AP971" i="14"/>
  <c r="AS971" i="14" s="1"/>
  <c r="AP914" i="14"/>
  <c r="AS914" i="14" s="1"/>
  <c r="AP891" i="14"/>
  <c r="AS891" i="14" s="1"/>
  <c r="AB880" i="14"/>
  <c r="AE880" i="14"/>
  <c r="AP986" i="14"/>
  <c r="AS986" i="14" s="1"/>
  <c r="AE825" i="14"/>
  <c r="AB825" i="14"/>
  <c r="AP991" i="14"/>
  <c r="AS991" i="14" s="1"/>
  <c r="AO1017" i="14"/>
  <c r="AP910" i="14"/>
  <c r="AS910" i="14" s="1"/>
  <c r="AE873" i="14"/>
  <c r="AB873" i="14"/>
  <c r="AE888" i="14"/>
  <c r="AE892" i="14"/>
  <c r="AE974" i="14"/>
  <c r="AB974" i="14"/>
  <c r="AB1014" i="14" l="1"/>
  <c r="AP1014" i="14"/>
  <c r="AS1014" i="14" s="1"/>
  <c r="AB835" i="14"/>
  <c r="AS835" i="14"/>
  <c r="AB901" i="14"/>
  <c r="AO848" i="14"/>
  <c r="AQ848" i="14" s="1"/>
  <c r="AB917" i="14"/>
  <c r="AO915" i="14"/>
  <c r="AQ915" i="14" s="1"/>
  <c r="AB915" i="14"/>
  <c r="AS917" i="14"/>
  <c r="AS876" i="14"/>
  <c r="AB876" i="14"/>
  <c r="AE908" i="14"/>
  <c r="AR908" i="14" s="1"/>
  <c r="BN908" i="14" s="1"/>
  <c r="AS915" i="14"/>
  <c r="AO876" i="14"/>
  <c r="AQ876" i="14" s="1"/>
  <c r="AP961" i="14"/>
  <c r="AS961" i="14" s="1"/>
  <c r="AB913" i="14"/>
  <c r="AP869" i="14"/>
  <c r="AS869" i="14" s="1"/>
  <c r="AB911" i="14"/>
  <c r="AS911" i="14"/>
  <c r="AB989" i="14"/>
  <c r="AB976" i="14"/>
  <c r="AS976" i="14"/>
  <c r="AS989" i="14"/>
  <c r="AB888" i="14"/>
  <c r="AB940" i="14"/>
  <c r="AS888" i="14"/>
  <c r="AB916" i="14"/>
  <c r="AS916" i="14"/>
  <c r="AS966" i="14"/>
  <c r="AB977" i="14"/>
  <c r="AB966" i="14"/>
  <c r="AO992" i="14"/>
  <c r="AQ992" i="14" s="1"/>
  <c r="AO914" i="14"/>
  <c r="AQ914" i="14" s="1"/>
  <c r="AB892" i="14"/>
  <c r="AO892" i="14"/>
  <c r="AQ892" i="14" s="1"/>
  <c r="AO885" i="14"/>
  <c r="AQ885" i="14" s="1"/>
  <c r="AS892" i="14"/>
  <c r="AB932" i="14"/>
  <c r="AS932" i="14"/>
  <c r="AP849" i="14"/>
  <c r="AS849" i="14" s="1"/>
  <c r="AP946" i="14"/>
  <c r="AS946" i="14" s="1"/>
  <c r="AP875" i="14"/>
  <c r="AS875" i="14" s="1"/>
  <c r="AB946" i="14"/>
  <c r="AB962" i="14"/>
  <c r="AP829" i="14"/>
  <c r="AS829" i="14" s="1"/>
  <c r="AS962" i="14"/>
  <c r="AO984" i="14"/>
  <c r="AQ984" i="14" s="1"/>
  <c r="AS981" i="14"/>
  <c r="AB981" i="14"/>
  <c r="AO962" i="14"/>
  <c r="AQ962" i="14" s="1"/>
  <c r="AB912" i="14"/>
  <c r="AS937" i="14"/>
  <c r="AS912" i="14"/>
  <c r="AS931" i="14"/>
  <c r="AS1019" i="14"/>
  <c r="AS956" i="14"/>
  <c r="AS988" i="14"/>
  <c r="AS926" i="14"/>
  <c r="AS1002" i="14"/>
  <c r="AS884" i="14"/>
  <c r="AS890" i="14"/>
  <c r="AS943" i="14"/>
  <c r="AS995" i="14"/>
  <c r="AS824" i="14"/>
  <c r="AS1018" i="14"/>
  <c r="AS856" i="14"/>
  <c r="AS851" i="14"/>
  <c r="AS960" i="14"/>
  <c r="AS899" i="14"/>
  <c r="AS854" i="14"/>
  <c r="AS1008" i="14"/>
  <c r="AS852" i="14"/>
  <c r="AS823" i="14"/>
  <c r="AS939" i="14"/>
  <c r="AS1020" i="14"/>
  <c r="AS985" i="14"/>
  <c r="AS947" i="14"/>
  <c r="AS906" i="14"/>
  <c r="AS827" i="14"/>
  <c r="AS909" i="14"/>
  <c r="AS941" i="14"/>
  <c r="AS959" i="14"/>
  <c r="AS865" i="14"/>
  <c r="AS934" i="14"/>
  <c r="AS980" i="14"/>
  <c r="AS979" i="14"/>
  <c r="AS987" i="14"/>
  <c r="AS953" i="14"/>
  <c r="AS889" i="14"/>
  <c r="AS1007" i="14"/>
  <c r="AE923" i="14"/>
  <c r="AR923" i="14" s="1"/>
  <c r="BN923" i="14" s="1"/>
  <c r="AO895" i="14"/>
  <c r="AR895" i="14" s="1"/>
  <c r="BN895" i="14" s="1"/>
  <c r="AP983" i="14"/>
  <c r="AS983" i="14" s="1"/>
  <c r="AP858" i="14"/>
  <c r="AS858" i="14" s="1"/>
  <c r="AO936" i="14"/>
  <c r="AQ936" i="14" s="1"/>
  <c r="AO960" i="14"/>
  <c r="AR960" i="14" s="1"/>
  <c r="AB983" i="14"/>
  <c r="AO978" i="14"/>
  <c r="AR978" i="14" s="1"/>
  <c r="AB948" i="14"/>
  <c r="AP871" i="14"/>
  <c r="AS871" i="14" s="1"/>
  <c r="AP948" i="14"/>
  <c r="AS948" i="14" s="1"/>
  <c r="AE870" i="14"/>
  <c r="AC870" i="14" s="1"/>
  <c r="AP929" i="14"/>
  <c r="AS929" i="14" s="1"/>
  <c r="AO991" i="14"/>
  <c r="AR991" i="14" s="1"/>
  <c r="BN991" i="14" s="1"/>
  <c r="AB937" i="14"/>
  <c r="AO997" i="14"/>
  <c r="AQ997" i="14" s="1"/>
  <c r="AO857" i="14"/>
  <c r="AQ857" i="14" s="1"/>
  <c r="AE937" i="14"/>
  <c r="AO858" i="14"/>
  <c r="AR858" i="14" s="1"/>
  <c r="AP1010" i="14"/>
  <c r="AS1010" i="14" s="1"/>
  <c r="AB1002" i="14"/>
  <c r="AB836" i="14"/>
  <c r="AB823" i="14"/>
  <c r="AP900" i="14"/>
  <c r="AS900" i="14" s="1"/>
  <c r="AE1015" i="14"/>
  <c r="AC1015" i="14" s="1"/>
  <c r="AP942" i="14"/>
  <c r="AS942" i="14" s="1"/>
  <c r="AP830" i="14"/>
  <c r="AS830" i="14" s="1"/>
  <c r="AO1012" i="14"/>
  <c r="AR1012" i="14" s="1"/>
  <c r="BN1012" i="14" s="1"/>
  <c r="AB939" i="14"/>
  <c r="AP918" i="14"/>
  <c r="AS918" i="14" s="1"/>
  <c r="AO828" i="14"/>
  <c r="AQ828" i="14" s="1"/>
  <c r="AP833" i="14"/>
  <c r="AS833" i="14" s="1"/>
  <c r="AB941" i="14"/>
  <c r="AO827" i="14"/>
  <c r="AR827" i="14" s="1"/>
  <c r="AP855" i="14"/>
  <c r="AS855" i="14" s="1"/>
  <c r="AB906" i="14"/>
  <c r="AB951" i="14"/>
  <c r="AB893" i="14"/>
  <c r="AP897" i="14"/>
  <c r="AS897" i="14" s="1"/>
  <c r="AO837" i="14"/>
  <c r="AQ837" i="14" s="1"/>
  <c r="AO853" i="14"/>
  <c r="AR853" i="14" s="1"/>
  <c r="AB960" i="14"/>
  <c r="AE902" i="14"/>
  <c r="AB827" i="14"/>
  <c r="AO987" i="14"/>
  <c r="AQ987" i="14" s="1"/>
  <c r="AO839" i="14"/>
  <c r="AR839" i="14" s="1"/>
  <c r="BN839" i="14" s="1"/>
  <c r="AP853" i="14"/>
  <c r="AS853" i="14" s="1"/>
  <c r="AP841" i="14"/>
  <c r="AS841" i="14" s="1"/>
  <c r="AO1018" i="14"/>
  <c r="AR1018" i="14" s="1"/>
  <c r="AB934" i="14"/>
  <c r="AB988" i="14"/>
  <c r="AO931" i="14"/>
  <c r="AR931" i="14" s="1"/>
  <c r="AO830" i="14"/>
  <c r="AR830" i="14" s="1"/>
  <c r="AB995" i="14"/>
  <c r="AO877" i="14"/>
  <c r="AR877" i="14" s="1"/>
  <c r="AB865" i="14"/>
  <c r="AO863" i="14"/>
  <c r="AR863" i="14" s="1"/>
  <c r="BN863" i="14" s="1"/>
  <c r="AC934" i="14"/>
  <c r="AB956" i="14"/>
  <c r="AO882" i="14"/>
  <c r="AR882" i="14" s="1"/>
  <c r="BN882" i="14" s="1"/>
  <c r="AP958" i="14"/>
  <c r="AS958" i="14" s="1"/>
  <c r="AO874" i="14"/>
  <c r="AR874" i="14" s="1"/>
  <c r="BN874" i="14" s="1"/>
  <c r="AB993" i="14"/>
  <c r="AO918" i="14"/>
  <c r="AB824" i="14"/>
  <c r="AO872" i="14"/>
  <c r="AR872" i="14" s="1"/>
  <c r="BN872" i="14" s="1"/>
  <c r="AP1017" i="14"/>
  <c r="AS1017" i="14" s="1"/>
  <c r="AB889" i="14"/>
  <c r="AP952" i="14"/>
  <c r="AS952" i="14" s="1"/>
  <c r="AB931" i="14"/>
  <c r="AB1007" i="14"/>
  <c r="AE935" i="14"/>
  <c r="AC935" i="14" s="1"/>
  <c r="AB890" i="14"/>
  <c r="AB884" i="14"/>
  <c r="AO834" i="14"/>
  <c r="AR834" i="14" s="1"/>
  <c r="BN834" i="14" s="1"/>
  <c r="AB832" i="14"/>
  <c r="AO845" i="14"/>
  <c r="AR845" i="14" s="1"/>
  <c r="BN845" i="14" s="1"/>
  <c r="AP964" i="14"/>
  <c r="AS964" i="14" s="1"/>
  <c r="AB854" i="14"/>
  <c r="AP949" i="14"/>
  <c r="AS949" i="14" s="1"/>
  <c r="AO998" i="14"/>
  <c r="AQ998" i="14" s="1"/>
  <c r="AO952" i="14"/>
  <c r="AR952" i="14" s="1"/>
  <c r="AO831" i="14"/>
  <c r="AQ831" i="14" s="1"/>
  <c r="AB987" i="14"/>
  <c r="AP866" i="14"/>
  <c r="AS866" i="14" s="1"/>
  <c r="AP894" i="14"/>
  <c r="AS894" i="14" s="1"/>
  <c r="AO979" i="14"/>
  <c r="AR979" i="14" s="1"/>
  <c r="AP1005" i="14"/>
  <c r="AS1005" i="14" s="1"/>
  <c r="AB926" i="14"/>
  <c r="AO942" i="14"/>
  <c r="AO907" i="14"/>
  <c r="AR907" i="14" s="1"/>
  <c r="AO921" i="14"/>
  <c r="AR921" i="14" s="1"/>
  <c r="AO959" i="14"/>
  <c r="AQ959" i="14" s="1"/>
  <c r="AP951" i="14"/>
  <c r="AS951" i="14" s="1"/>
  <c r="AO958" i="14"/>
  <c r="AR958" i="14" s="1"/>
  <c r="AB1020" i="14"/>
  <c r="AB955" i="14"/>
  <c r="AB859" i="14"/>
  <c r="AB959" i="14"/>
  <c r="AB1019" i="14"/>
  <c r="AE968" i="14"/>
  <c r="AC968" i="14" s="1"/>
  <c r="AP968" i="14"/>
  <c r="AS968" i="14" s="1"/>
  <c r="AB1018" i="14"/>
  <c r="AB947" i="14"/>
  <c r="AB852" i="14"/>
  <c r="AP921" i="14"/>
  <c r="AS921" i="14" s="1"/>
  <c r="AO881" i="14"/>
  <c r="AR881" i="14" s="1"/>
  <c r="BN881" i="14" s="1"/>
  <c r="AB979" i="14"/>
  <c r="AB1008" i="14"/>
  <c r="AO842" i="14"/>
  <c r="AQ842" i="14" s="1"/>
  <c r="AB909" i="14"/>
  <c r="AO957" i="14"/>
  <c r="AQ957" i="14" s="1"/>
  <c r="AO854" i="14"/>
  <c r="AQ854" i="14" s="1"/>
  <c r="AB899" i="14"/>
  <c r="AO1011" i="14"/>
  <c r="AR1011" i="14" s="1"/>
  <c r="BN1011" i="14" s="1"/>
  <c r="AB945" i="14"/>
  <c r="AO867" i="14"/>
  <c r="AR867" i="14" s="1"/>
  <c r="BN867" i="14" s="1"/>
  <c r="AB856" i="14"/>
  <c r="AP933" i="14"/>
  <c r="AS933" i="14" s="1"/>
  <c r="AB980" i="14"/>
  <c r="AO898" i="14"/>
  <c r="AR898" i="14" s="1"/>
  <c r="BN898" i="14" s="1"/>
  <c r="AP880" i="14"/>
  <c r="AS880" i="14" s="1"/>
  <c r="AP907" i="14"/>
  <c r="AS907" i="14" s="1"/>
  <c r="AO903" i="14"/>
  <c r="AQ903" i="14" s="1"/>
  <c r="AO985" i="14"/>
  <c r="AR985" i="14" s="1"/>
  <c r="AO944" i="14"/>
  <c r="AR944" i="14" s="1"/>
  <c r="BN944" i="14" s="1"/>
  <c r="AB943" i="14"/>
  <c r="AP935" i="14"/>
  <c r="AS935" i="14" s="1"/>
  <c r="AP896" i="14"/>
  <c r="AS896" i="14" s="1"/>
  <c r="AP859" i="14"/>
  <c r="AS859" i="14" s="1"/>
  <c r="AB953" i="14"/>
  <c r="AO896" i="14"/>
  <c r="AR896" i="14" s="1"/>
  <c r="AB985" i="14"/>
  <c r="AP877" i="14"/>
  <c r="AS877" i="14" s="1"/>
  <c r="AE856" i="14"/>
  <c r="AC856" i="14" s="1"/>
  <c r="AB851" i="14"/>
  <c r="AO1004" i="14"/>
  <c r="AR1004" i="14" s="1"/>
  <c r="BN1004" i="14" s="1"/>
  <c r="AE1008" i="14"/>
  <c r="AC1008" i="14" s="1"/>
  <c r="AB850" i="14"/>
  <c r="AO878" i="14"/>
  <c r="AQ878" i="14" s="1"/>
  <c r="AO969" i="14"/>
  <c r="AR969" i="14" s="1"/>
  <c r="BN969" i="14" s="1"/>
  <c r="AP945" i="14"/>
  <c r="AS945" i="14" s="1"/>
  <c r="AB1021" i="14"/>
  <c r="AR1001" i="14"/>
  <c r="BN1001" i="14" s="1"/>
  <c r="AR833" i="14"/>
  <c r="AR825" i="14"/>
  <c r="BN825" i="14" s="1"/>
  <c r="AR894" i="14"/>
  <c r="AR888" i="14"/>
  <c r="AS978" i="14"/>
  <c r="AR891" i="14"/>
  <c r="BN891" i="14" s="1"/>
  <c r="AR910" i="14"/>
  <c r="BN910" i="14" s="1"/>
  <c r="AR840" i="14"/>
  <c r="BN840" i="14" s="1"/>
  <c r="AR886" i="14"/>
  <c r="BN886" i="14" s="1"/>
  <c r="AR850" i="14"/>
  <c r="BN850" i="14" s="1"/>
  <c r="AR1007" i="14"/>
  <c r="AR838" i="14"/>
  <c r="BN838" i="14" s="1"/>
  <c r="AR859" i="14"/>
  <c r="AR849" i="14"/>
  <c r="AR913" i="14"/>
  <c r="BN913" i="14" s="1"/>
  <c r="AR889" i="14"/>
  <c r="AR963" i="14"/>
  <c r="BN963" i="14" s="1"/>
  <c r="AR884" i="14"/>
  <c r="AR836" i="14"/>
  <c r="BN836" i="14" s="1"/>
  <c r="AR924" i="14"/>
  <c r="BN924" i="14" s="1"/>
  <c r="AR929" i="14"/>
  <c r="AR844" i="14"/>
  <c r="BN844" i="14" s="1"/>
  <c r="AR976" i="14"/>
  <c r="AR981" i="14"/>
  <c r="AR939" i="14"/>
  <c r="AR899" i="14"/>
  <c r="AR917" i="14"/>
  <c r="AR852" i="14"/>
  <c r="AR869" i="14"/>
  <c r="AR948" i="14"/>
  <c r="AR875" i="14"/>
  <c r="AR905" i="14"/>
  <c r="BN905" i="14" s="1"/>
  <c r="AR847" i="14"/>
  <c r="BN847" i="14" s="1"/>
  <c r="AR1000" i="14"/>
  <c r="BN1000" i="14" s="1"/>
  <c r="AR964" i="14"/>
  <c r="AR822" i="14"/>
  <c r="BN822" i="14" s="1"/>
  <c r="AR951" i="14"/>
  <c r="AR1010" i="14"/>
  <c r="AR826" i="14"/>
  <c r="BN826" i="14" s="1"/>
  <c r="AR1005" i="14"/>
  <c r="AR860" i="14"/>
  <c r="BN860" i="14" s="1"/>
  <c r="AR949" i="14"/>
  <c r="AR999" i="14"/>
  <c r="BN999" i="14" s="1"/>
  <c r="AR977" i="14"/>
  <c r="BN977" i="14" s="1"/>
  <c r="AR904" i="14"/>
  <c r="BN904" i="14" s="1"/>
  <c r="AQ873" i="14"/>
  <c r="AR938" i="14"/>
  <c r="BN938" i="14" s="1"/>
  <c r="AR989" i="14"/>
  <c r="AR967" i="14"/>
  <c r="BN967" i="14" s="1"/>
  <c r="AR887" i="14"/>
  <c r="BN887" i="14" s="1"/>
  <c r="AR940" i="14"/>
  <c r="BN940" i="14" s="1"/>
  <c r="AR982" i="14"/>
  <c r="BN982" i="14" s="1"/>
  <c r="AR973" i="14"/>
  <c r="BN973" i="14" s="1"/>
  <c r="AR1014" i="14"/>
  <c r="AR890" i="14"/>
  <c r="AR832" i="14"/>
  <c r="BN832" i="14" s="1"/>
  <c r="AR919" i="14"/>
  <c r="BN919" i="14" s="1"/>
  <c r="AR1019" i="14"/>
  <c r="AR988" i="14"/>
  <c r="AR848" i="14"/>
  <c r="BN848" i="14" s="1"/>
  <c r="AR932" i="14"/>
  <c r="AR868" i="14"/>
  <c r="BN868" i="14" s="1"/>
  <c r="AR933" i="14"/>
  <c r="AR956" i="14"/>
  <c r="AR897" i="14"/>
  <c r="AR880" i="14"/>
  <c r="AR864" i="14"/>
  <c r="BN864" i="14" s="1"/>
  <c r="AR846" i="14"/>
  <c r="BN846" i="14" s="1"/>
  <c r="AR980" i="14"/>
  <c r="AR930" i="14"/>
  <c r="BN930" i="14" s="1"/>
  <c r="AR843" i="14"/>
  <c r="BN843" i="14" s="1"/>
  <c r="AR925" i="14"/>
  <c r="BN925" i="14" s="1"/>
  <c r="AR965" i="14"/>
  <c r="BN965" i="14" s="1"/>
  <c r="AR855" i="14"/>
  <c r="AR934" i="14"/>
  <c r="AR906" i="14"/>
  <c r="AR983" i="14"/>
  <c r="AR954" i="14"/>
  <c r="BN954" i="14" s="1"/>
  <c r="AR996" i="14"/>
  <c r="BN996" i="14" s="1"/>
  <c r="AR1021" i="14"/>
  <c r="BN1021" i="14" s="1"/>
  <c r="AR966" i="14"/>
  <c r="AR990" i="14"/>
  <c r="BN990" i="14" s="1"/>
  <c r="AR993" i="14"/>
  <c r="BN993" i="14" s="1"/>
  <c r="AR1020" i="14"/>
  <c r="AR941" i="14"/>
  <c r="AR928" i="14"/>
  <c r="BN928" i="14" s="1"/>
  <c r="AR971" i="14"/>
  <c r="BN971" i="14" s="1"/>
  <c r="AR974" i="14"/>
  <c r="BN974" i="14" s="1"/>
  <c r="AR824" i="14"/>
  <c r="AR1003" i="14"/>
  <c r="BN1003" i="14" s="1"/>
  <c r="AR922" i="14"/>
  <c r="BN922" i="14" s="1"/>
  <c r="AR901" i="14"/>
  <c r="BN901" i="14" s="1"/>
  <c r="AR955" i="14"/>
  <c r="BN955" i="14" s="1"/>
  <c r="AR961" i="14"/>
  <c r="AR883" i="14"/>
  <c r="BN883" i="14" s="1"/>
  <c r="AR943" i="14"/>
  <c r="AR986" i="14"/>
  <c r="BN986" i="14" s="1"/>
  <c r="AR946" i="14"/>
  <c r="AR1002" i="14"/>
  <c r="AR1013" i="14"/>
  <c r="BN1013" i="14" s="1"/>
  <c r="AR970" i="14"/>
  <c r="BN970" i="14" s="1"/>
  <c r="AR900" i="14"/>
  <c r="AR975" i="14"/>
  <c r="BN975" i="14" s="1"/>
  <c r="AR912" i="14"/>
  <c r="AR945" i="14"/>
  <c r="AR829" i="14"/>
  <c r="AR823" i="14"/>
  <c r="AR994" i="14"/>
  <c r="BN994" i="14" s="1"/>
  <c r="AR851" i="14"/>
  <c r="AR909" i="14"/>
  <c r="AR861" i="14"/>
  <c r="BN861" i="14" s="1"/>
  <c r="AR927" i="14"/>
  <c r="BN927" i="14" s="1"/>
  <c r="AR873" i="14"/>
  <c r="BN873" i="14" s="1"/>
  <c r="AR841" i="14"/>
  <c r="AR972" i="14"/>
  <c r="BN972" i="14" s="1"/>
  <c r="AR950" i="14"/>
  <c r="BN950" i="14" s="1"/>
  <c r="AR916" i="14"/>
  <c r="AR1017" i="14"/>
  <c r="AR953" i="14"/>
  <c r="AR865" i="14"/>
  <c r="AR1016" i="14"/>
  <c r="BN1016" i="14" s="1"/>
  <c r="AR866" i="14"/>
  <c r="AR920" i="14"/>
  <c r="BN920" i="14" s="1"/>
  <c r="AR995" i="14"/>
  <c r="AR876" i="14"/>
  <c r="AR879" i="14"/>
  <c r="BN879" i="14" s="1"/>
  <c r="AR947" i="14"/>
  <c r="AR926" i="14"/>
  <c r="AR1006" i="14"/>
  <c r="BN1006" i="14" s="1"/>
  <c r="AR862" i="14"/>
  <c r="BN862" i="14" s="1"/>
  <c r="AR1009" i="14"/>
  <c r="BN1009" i="14" s="1"/>
  <c r="AR893" i="14"/>
  <c r="BN893" i="14" s="1"/>
  <c r="AR871" i="14"/>
  <c r="AR911" i="14"/>
  <c r="AR835" i="14"/>
  <c r="AQ989" i="14"/>
  <c r="AQ888" i="14"/>
  <c r="AQ971" i="14"/>
  <c r="AC917" i="14"/>
  <c r="AQ852" i="14"/>
  <c r="AC822" i="14"/>
  <c r="AQ996" i="14"/>
  <c r="AQ995" i="14"/>
  <c r="AC997" i="14"/>
  <c r="AQ843" i="14"/>
  <c r="AQ955" i="14"/>
  <c r="AQ824" i="14"/>
  <c r="AQ1008" i="14"/>
  <c r="AQ954" i="14"/>
  <c r="AC887" i="14"/>
  <c r="AQ912" i="14"/>
  <c r="AQ906" i="14"/>
  <c r="AC879" i="14"/>
  <c r="AC928" i="14"/>
  <c r="AQ1006" i="14"/>
  <c r="AQ930" i="14"/>
  <c r="AC990" i="14"/>
  <c r="AQ847" i="14"/>
  <c r="AC875" i="14"/>
  <c r="AC973" i="14"/>
  <c r="AC926" i="14"/>
  <c r="AQ956" i="14"/>
  <c r="AQ870" i="14"/>
  <c r="AC866" i="14"/>
  <c r="AC977" i="14"/>
  <c r="AQ917" i="14"/>
  <c r="AC876" i="14"/>
  <c r="AC952" i="14"/>
  <c r="AQ861" i="14"/>
  <c r="AQ850" i="14"/>
  <c r="AQ939" i="14"/>
  <c r="AQ990" i="14"/>
  <c r="AQ868" i="14"/>
  <c r="AQ1021" i="14"/>
  <c r="AQ905" i="14"/>
  <c r="AQ938" i="14"/>
  <c r="AQ826" i="14"/>
  <c r="AQ901" i="14"/>
  <c r="AC982" i="14"/>
  <c r="AQ844" i="14"/>
  <c r="AQ865" i="14"/>
  <c r="AC865" i="14"/>
  <c r="AQ966" i="14"/>
  <c r="AQ975" i="14"/>
  <c r="AQ994" i="14"/>
  <c r="AQ986" i="14"/>
  <c r="AC989" i="14"/>
  <c r="AQ972" i="14"/>
  <c r="AQ974" i="14"/>
  <c r="AC1016" i="14"/>
  <c r="AQ1002" i="14"/>
  <c r="AQ883" i="14"/>
  <c r="AQ937" i="14"/>
  <c r="AC834" i="14"/>
  <c r="AQ950" i="14"/>
  <c r="AQ1013" i="14"/>
  <c r="AC999" i="14"/>
  <c r="AQ1001" i="14"/>
  <c r="AC896" i="14"/>
  <c r="AC960" i="14"/>
  <c r="AC894" i="14"/>
  <c r="AC824" i="14"/>
  <c r="AQ919" i="14"/>
  <c r="AC852" i="14"/>
  <c r="AC868" i="14"/>
  <c r="AQ1007" i="14"/>
  <c r="AC837" i="14"/>
  <c r="AQ993" i="14"/>
  <c r="AC953" i="14"/>
  <c r="AQ879" i="14"/>
  <c r="AQ965" i="14"/>
  <c r="AQ886" i="14"/>
  <c r="AQ889" i="14"/>
  <c r="AQ1020" i="14"/>
  <c r="AQ913" i="14"/>
  <c r="AC994" i="14"/>
  <c r="AQ925" i="14"/>
  <c r="AQ967" i="14"/>
  <c r="AC845" i="14"/>
  <c r="AQ982" i="14"/>
  <c r="AQ943" i="14"/>
  <c r="AQ902" i="14"/>
  <c r="AQ1000" i="14"/>
  <c r="AQ911" i="14"/>
  <c r="AC1009" i="14"/>
  <c r="AQ963" i="14"/>
  <c r="AQ981" i="14"/>
  <c r="AC936" i="14"/>
  <c r="AC911" i="14"/>
  <c r="AC877" i="14"/>
  <c r="AC962" i="14"/>
  <c r="AQ856" i="14"/>
  <c r="AQ884" i="14"/>
  <c r="AQ840" i="14"/>
  <c r="AQ904" i="14"/>
  <c r="AQ927" i="14"/>
  <c r="AQ860" i="14"/>
  <c r="AQ1016" i="14"/>
  <c r="AQ825" i="14"/>
  <c r="AQ922" i="14"/>
  <c r="AQ988" i="14"/>
  <c r="AQ1003" i="14"/>
  <c r="AQ835" i="14"/>
  <c r="AC930" i="14"/>
  <c r="AQ822" i="14"/>
  <c r="AQ970" i="14"/>
  <c r="AQ1009" i="14"/>
  <c r="AQ976" i="14"/>
  <c r="AQ899" i="14"/>
  <c r="AC909" i="14"/>
  <c r="AQ916" i="14"/>
  <c r="AQ851" i="14"/>
  <c r="AC1000" i="14"/>
  <c r="AC881" i="14"/>
  <c r="AC843" i="14"/>
  <c r="AC851" i="14"/>
  <c r="AC921" i="14"/>
  <c r="AC835" i="14"/>
  <c r="AC863" i="14"/>
  <c r="AC925" i="14"/>
  <c r="AQ910" i="14"/>
  <c r="AQ887" i="14"/>
  <c r="AC966" i="14"/>
  <c r="AC903" i="14"/>
  <c r="AQ934" i="14"/>
  <c r="AQ891" i="14"/>
  <c r="AQ973" i="14"/>
  <c r="AQ1015" i="14"/>
  <c r="AQ908" i="14"/>
  <c r="AQ940" i="14"/>
  <c r="AC836" i="14"/>
  <c r="AQ928" i="14"/>
  <c r="AC833" i="14"/>
  <c r="AC874" i="14"/>
  <c r="AQ980" i="14"/>
  <c r="AQ999" i="14"/>
  <c r="AC862" i="14"/>
  <c r="AC988" i="14"/>
  <c r="AC955" i="14"/>
  <c r="AC914" i="14"/>
  <c r="AC842" i="14"/>
  <c r="AC920" i="14"/>
  <c r="AC871" i="14"/>
  <c r="AQ947" i="14"/>
  <c r="AC986" i="14"/>
  <c r="AC1004" i="14"/>
  <c r="AC1010" i="14"/>
  <c r="AC1012" i="14"/>
  <c r="AQ832" i="14"/>
  <c r="AC905" i="14"/>
  <c r="AC867" i="14"/>
  <c r="AC1002" i="14"/>
  <c r="AC882" i="14"/>
  <c r="AC900" i="14"/>
  <c r="AC956" i="14"/>
  <c r="AC963" i="14"/>
  <c r="AC890" i="14"/>
  <c r="AC901" i="14"/>
  <c r="AC898" i="14"/>
  <c r="AC983" i="14"/>
  <c r="AC951" i="14"/>
  <c r="AQ1019" i="14"/>
  <c r="AO1022" i="14"/>
  <c r="AC855" i="14"/>
  <c r="AC971" i="14"/>
  <c r="AC942" i="14"/>
  <c r="AQ864" i="14"/>
  <c r="AC924" i="14"/>
  <c r="AC995" i="14"/>
  <c r="AC885" i="14"/>
  <c r="AC846" i="14"/>
  <c r="AC829" i="14"/>
  <c r="AC1021" i="14"/>
  <c r="AQ924" i="14"/>
  <c r="AQ977" i="14"/>
  <c r="AC931" i="14"/>
  <c r="AC1001" i="14"/>
  <c r="AC844" i="14"/>
  <c r="AC1018" i="14"/>
  <c r="AQ893" i="14"/>
  <c r="AQ920" i="14"/>
  <c r="AQ941" i="14"/>
  <c r="AC1017" i="14"/>
  <c r="AC840" i="14"/>
  <c r="AC991" i="14"/>
  <c r="AC873" i="14"/>
  <c r="AC964" i="14"/>
  <c r="AC895" i="14"/>
  <c r="AC976" i="14"/>
  <c r="AQ838" i="14"/>
  <c r="AC947" i="14"/>
  <c r="AC889" i="14"/>
  <c r="AC849" i="14"/>
  <c r="AQ926" i="14"/>
  <c r="AC929" i="14"/>
  <c r="AQ836" i="14"/>
  <c r="AC828" i="14"/>
  <c r="AC965" i="14"/>
  <c r="AC980" i="14"/>
  <c r="AC918" i="14"/>
  <c r="AC854" i="14"/>
  <c r="AC886" i="14"/>
  <c r="AC1007" i="14"/>
  <c r="AC993" i="14"/>
  <c r="AC948" i="14"/>
  <c r="AC939" i="14"/>
  <c r="AC915" i="14"/>
  <c r="AC954" i="14"/>
  <c r="AC1005" i="14"/>
  <c r="AC859" i="14"/>
  <c r="AC943" i="14"/>
  <c r="AC944" i="14"/>
  <c r="AC832" i="14"/>
  <c r="AP1022" i="14"/>
  <c r="AS1022" i="14" s="1"/>
  <c r="AC906" i="14"/>
  <c r="AC838" i="14"/>
  <c r="AC892" i="14"/>
  <c r="AC872" i="14"/>
  <c r="AC998" i="14"/>
  <c r="AC949" i="14"/>
  <c r="AC1011" i="14"/>
  <c r="AC946" i="14"/>
  <c r="AC979" i="14"/>
  <c r="AC985" i="14"/>
  <c r="AQ862" i="14"/>
  <c r="AC933" i="14"/>
  <c r="AC967" i="14"/>
  <c r="AC987" i="14"/>
  <c r="AC972" i="14"/>
  <c r="AC910" i="14"/>
  <c r="AQ953" i="14"/>
  <c r="AQ932" i="14"/>
  <c r="AC825" i="14"/>
  <c r="AC940" i="14"/>
  <c r="AC861" i="14"/>
  <c r="AC864" i="14"/>
  <c r="AC858" i="14"/>
  <c r="AC1020" i="14"/>
  <c r="AC830" i="14"/>
  <c r="AC827" i="14"/>
  <c r="AC959" i="14"/>
  <c r="AC941" i="14"/>
  <c r="AC853" i="14"/>
  <c r="AC857" i="14"/>
  <c r="AC922" i="14"/>
  <c r="AC981" i="14"/>
  <c r="AC897" i="14"/>
  <c r="AC919" i="14"/>
  <c r="AC869" i="14"/>
  <c r="AC878" i="14"/>
  <c r="AC860" i="14"/>
  <c r="AC823" i="14"/>
  <c r="AC913" i="14"/>
  <c r="AC904" i="14"/>
  <c r="AC883" i="14"/>
  <c r="AC839" i="14"/>
  <c r="AC945" i="14"/>
  <c r="AC916" i="14"/>
  <c r="AC970" i="14"/>
  <c r="AC932" i="14"/>
  <c r="AQ909" i="14"/>
  <c r="AC1019" i="14"/>
  <c r="AC958" i="14"/>
  <c r="AC996" i="14"/>
  <c r="AC992" i="14"/>
  <c r="AC978" i="14"/>
  <c r="AQ846" i="14"/>
  <c r="AC961" i="14"/>
  <c r="AB1022" i="14"/>
  <c r="AE1022" i="14"/>
  <c r="AC841" i="14"/>
  <c r="AC850" i="14"/>
  <c r="AC1006" i="14"/>
  <c r="AC899" i="14"/>
  <c r="AC884" i="14"/>
  <c r="AQ823" i="14"/>
  <c r="AC893" i="14"/>
  <c r="AC950" i="14"/>
  <c r="AC912" i="14"/>
  <c r="AC1013" i="14"/>
  <c r="AC880" i="14"/>
  <c r="AC927" i="14"/>
  <c r="AC848" i="14"/>
  <c r="AC826" i="14"/>
  <c r="AC888" i="14"/>
  <c r="AC907" i="14"/>
  <c r="AC847" i="14"/>
  <c r="AC831" i="14"/>
  <c r="AQ923" i="14"/>
  <c r="AC984" i="14"/>
  <c r="AC957" i="14"/>
  <c r="AC1003" i="14"/>
  <c r="AC969" i="14"/>
  <c r="AC1014" i="14"/>
  <c r="AC974" i="14"/>
  <c r="AC891" i="14"/>
  <c r="AQ890" i="14"/>
  <c r="AC975" i="14"/>
  <c r="AC938" i="14"/>
  <c r="AC902" i="14" l="1"/>
  <c r="AC937" i="14"/>
  <c r="AR915" i="14"/>
  <c r="BN915" i="14" s="1"/>
  <c r="BN1014" i="14"/>
  <c r="AQ1014" i="14"/>
  <c r="BN835" i="14"/>
  <c r="BN876" i="14"/>
  <c r="BN917" i="14"/>
  <c r="BN961" i="14"/>
  <c r="AC908" i="14"/>
  <c r="AQ961" i="14"/>
  <c r="BN911" i="14"/>
  <c r="AQ869" i="14"/>
  <c r="AR885" i="14"/>
  <c r="BN885" i="14" s="1"/>
  <c r="AR962" i="14"/>
  <c r="BN962" i="14" s="1"/>
  <c r="BN869" i="14"/>
  <c r="BN989" i="14"/>
  <c r="BN976" i="14"/>
  <c r="AR992" i="14"/>
  <c r="BN992" i="14" s="1"/>
  <c r="AR892" i="14"/>
  <c r="BN892" i="14" s="1"/>
  <c r="AR984" i="14"/>
  <c r="BN984" i="14" s="1"/>
  <c r="AR914" i="14"/>
  <c r="BN914" i="14" s="1"/>
  <c r="BN888" i="14"/>
  <c r="BN916" i="14"/>
  <c r="BN966" i="14"/>
  <c r="BN932" i="14"/>
  <c r="AQ946" i="14"/>
  <c r="BN946" i="14"/>
  <c r="BN875" i="14"/>
  <c r="AQ849" i="14"/>
  <c r="BN849" i="14"/>
  <c r="BN852" i="14"/>
  <c r="BN884" i="14"/>
  <c r="AQ829" i="14"/>
  <c r="BN829" i="14"/>
  <c r="AQ875" i="14"/>
  <c r="BN981" i="14"/>
  <c r="BN912" i="14"/>
  <c r="AR902" i="14"/>
  <c r="BN902" i="14" s="1"/>
  <c r="BN1019" i="14"/>
  <c r="BN956" i="14"/>
  <c r="BN1002" i="14"/>
  <c r="BN988" i="14"/>
  <c r="BN931" i="14"/>
  <c r="BN995" i="14"/>
  <c r="BN926" i="14"/>
  <c r="BN824" i="14"/>
  <c r="BN890" i="14"/>
  <c r="BN943" i="14"/>
  <c r="BN1018" i="14"/>
  <c r="AC923" i="14"/>
  <c r="BN906" i="14"/>
  <c r="AR1015" i="14"/>
  <c r="BN1015" i="14" s="1"/>
  <c r="BN909" i="14"/>
  <c r="AQ895" i="14"/>
  <c r="BN851" i="14"/>
  <c r="BN827" i="14"/>
  <c r="BN941" i="14"/>
  <c r="AR856" i="14"/>
  <c r="BN856" i="14" s="1"/>
  <c r="BN899" i="14"/>
  <c r="BN960" i="14"/>
  <c r="AR937" i="14"/>
  <c r="BN937" i="14" s="1"/>
  <c r="AR1008" i="14"/>
  <c r="BN1008" i="14" s="1"/>
  <c r="BN934" i="14"/>
  <c r="BN823" i="14"/>
  <c r="BN980" i="14"/>
  <c r="BN939" i="14"/>
  <c r="BN979" i="14"/>
  <c r="AR968" i="14"/>
  <c r="BN968" i="14" s="1"/>
  <c r="BN865" i="14"/>
  <c r="BN947" i="14"/>
  <c r="BN889" i="14"/>
  <c r="BN1007" i="14"/>
  <c r="BN1020" i="14"/>
  <c r="BN985" i="14"/>
  <c r="AR935" i="14"/>
  <c r="BN935" i="14" s="1"/>
  <c r="AR870" i="14"/>
  <c r="BN870" i="14" s="1"/>
  <c r="BN953" i="14"/>
  <c r="BN983" i="14"/>
  <c r="AQ983" i="14"/>
  <c r="AQ960" i="14"/>
  <c r="AR936" i="14"/>
  <c r="BN936" i="14" s="1"/>
  <c r="AQ1010" i="14"/>
  <c r="AQ978" i="14"/>
  <c r="BN871" i="14"/>
  <c r="BN858" i="14"/>
  <c r="AQ991" i="14"/>
  <c r="AQ871" i="14"/>
  <c r="AQ948" i="14"/>
  <c r="BN929" i="14"/>
  <c r="BN948" i="14"/>
  <c r="AQ929" i="14"/>
  <c r="AR997" i="14"/>
  <c r="BN997" i="14" s="1"/>
  <c r="AR857" i="14"/>
  <c r="BN857" i="14" s="1"/>
  <c r="BN1010" i="14"/>
  <c r="AQ858" i="14"/>
  <c r="BN900" i="14"/>
  <c r="AQ900" i="14"/>
  <c r="AQ1012" i="14"/>
  <c r="AR828" i="14"/>
  <c r="BN828" i="14" s="1"/>
  <c r="AQ942" i="14"/>
  <c r="AR837" i="14"/>
  <c r="BN837" i="14" s="1"/>
  <c r="BN830" i="14"/>
  <c r="AQ918" i="14"/>
  <c r="BN833" i="14"/>
  <c r="AQ827" i="14"/>
  <c r="AQ833" i="14"/>
  <c r="BN855" i="14"/>
  <c r="AQ855" i="14"/>
  <c r="BN897" i="14"/>
  <c r="AQ897" i="14"/>
  <c r="AR987" i="14"/>
  <c r="BN987" i="14" s="1"/>
  <c r="AQ863" i="14"/>
  <c r="AQ839" i="14"/>
  <c r="BN853" i="14"/>
  <c r="AQ853" i="14"/>
  <c r="AQ841" i="14"/>
  <c r="BN841" i="14"/>
  <c r="BN958" i="14"/>
  <c r="AQ1018" i="14"/>
  <c r="AQ882" i="14"/>
  <c r="AQ931" i="14"/>
  <c r="AQ830" i="14"/>
  <c r="BN949" i="14"/>
  <c r="AQ921" i="14"/>
  <c r="BN951" i="14"/>
  <c r="AQ979" i="14"/>
  <c r="AR918" i="14"/>
  <c r="BN918" i="14" s="1"/>
  <c r="AQ874" i="14"/>
  <c r="AQ952" i="14"/>
  <c r="AR959" i="14"/>
  <c r="BN959" i="14" s="1"/>
  <c r="AQ872" i="14"/>
  <c r="BN952" i="14"/>
  <c r="AQ1017" i="14"/>
  <c r="BN1017" i="14"/>
  <c r="AQ964" i="14"/>
  <c r="AQ958" i="14"/>
  <c r="AQ834" i="14"/>
  <c r="BN866" i="14"/>
  <c r="AQ845" i="14"/>
  <c r="AQ866" i="14"/>
  <c r="AQ894" i="14"/>
  <c r="BN964" i="14"/>
  <c r="AQ949" i="14"/>
  <c r="AR831" i="14"/>
  <c r="BN831" i="14" s="1"/>
  <c r="AR998" i="14"/>
  <c r="BN998" i="14" s="1"/>
  <c r="AQ951" i="14"/>
  <c r="AQ1005" i="14"/>
  <c r="BN1005" i="14"/>
  <c r="BN894" i="14"/>
  <c r="AR942" i="14"/>
  <c r="BN942" i="14" s="1"/>
  <c r="AQ968" i="14"/>
  <c r="AR903" i="14"/>
  <c r="BN903" i="14" s="1"/>
  <c r="AR957" i="14"/>
  <c r="BN957" i="14" s="1"/>
  <c r="BN921" i="14"/>
  <c r="AQ881" i="14"/>
  <c r="BN907" i="14"/>
  <c r="AR842" i="14"/>
  <c r="BN842" i="14" s="1"/>
  <c r="AQ898" i="14"/>
  <c r="AQ1011" i="14"/>
  <c r="AR854" i="14"/>
  <c r="BN854" i="14" s="1"/>
  <c r="AQ867" i="14"/>
  <c r="BN933" i="14"/>
  <c r="AQ933" i="14"/>
  <c r="AQ877" i="14"/>
  <c r="AQ880" i="14"/>
  <c r="BN880" i="14"/>
  <c r="AQ907" i="14"/>
  <c r="AQ985" i="14"/>
  <c r="AQ944" i="14"/>
  <c r="AQ935" i="14"/>
  <c r="AQ896" i="14"/>
  <c r="AQ859" i="14"/>
  <c r="BN896" i="14"/>
  <c r="AQ1004" i="14"/>
  <c r="BN877" i="14"/>
  <c r="BN859" i="14"/>
  <c r="AQ969" i="14"/>
  <c r="AR878" i="14"/>
  <c r="BN878" i="14" s="1"/>
  <c r="AQ945" i="14"/>
  <c r="BN945" i="14"/>
  <c r="BN978" i="14"/>
  <c r="AR1022" i="14"/>
  <c r="BN1022" i="14" s="1"/>
  <c r="AQ1022" i="14"/>
  <c r="AC1022" i="14"/>
  <c r="F200" i="7" l="1" a="1"/>
  <c r="F200" i="7" s="1"/>
  <c r="F202" i="7" a="1"/>
  <c r="F202" i="7" s="1"/>
  <c r="F198" i="7" a="1"/>
  <c r="F198" i="7" s="1"/>
  <c r="F199" i="7" a="1"/>
  <c r="F199" i="7" s="1"/>
  <c r="F201" i="7" a="1"/>
  <c r="F201" i="7" s="1"/>
  <c r="T5" i="14"/>
  <c r="T4" i="14" s="1"/>
  <c r="M1137" i="14"/>
  <c r="M1185" i="14"/>
  <c r="M1170" i="14"/>
  <c r="M1054" i="14"/>
  <c r="M1037" i="14"/>
  <c r="M1180" i="14"/>
  <c r="M1062" i="14"/>
  <c r="M1136" i="14"/>
  <c r="M1148" i="14"/>
  <c r="M1089" i="14"/>
  <c r="M1186" i="14"/>
  <c r="M1075" i="14"/>
  <c r="M1192" i="14"/>
  <c r="M1171" i="14"/>
  <c r="M1213" i="14"/>
  <c r="M1101" i="14"/>
  <c r="M1058" i="14"/>
  <c r="M1173" i="14"/>
  <c r="M1159" i="14"/>
  <c r="M1032" i="14"/>
  <c r="M1124" i="14"/>
  <c r="M1140" i="14"/>
  <c r="M1211" i="14"/>
  <c r="M1147" i="14"/>
  <c r="M1164" i="14"/>
  <c r="M1198" i="14"/>
  <c r="M1174" i="14"/>
  <c r="M1079" i="14"/>
  <c r="M1084" i="14"/>
  <c r="M1080" i="14"/>
  <c r="M1046" i="14"/>
  <c r="M1081" i="14"/>
  <c r="M1135" i="14"/>
  <c r="M1047" i="14"/>
  <c r="M1103" i="14"/>
  <c r="M1113" i="14"/>
  <c r="M1210" i="14"/>
  <c r="M1202" i="14"/>
  <c r="M1041" i="14"/>
  <c r="M1027" i="14"/>
  <c r="M1039" i="14"/>
  <c r="M1141" i="14"/>
  <c r="M1108" i="14"/>
  <c r="M1163" i="14"/>
  <c r="M1160" i="14"/>
  <c r="M1212" i="14"/>
  <c r="M1139" i="14"/>
  <c r="M1028" i="14"/>
  <c r="M1165" i="14"/>
  <c r="M1092" i="14"/>
  <c r="M1036" i="14"/>
  <c r="M1169" i="14"/>
  <c r="M1115" i="14"/>
  <c r="M1197" i="14"/>
  <c r="M1074" i="14"/>
  <c r="M1179" i="14"/>
  <c r="M1073" i="14"/>
  <c r="M1220" i="14"/>
  <c r="M1194" i="14"/>
  <c r="M1096" i="14"/>
  <c r="M1085" i="14"/>
  <c r="M1134" i="14"/>
  <c r="M1031" i="14"/>
  <c r="M1144" i="14"/>
  <c r="M1122" i="14"/>
  <c r="M1158" i="14"/>
  <c r="M1181" i="14"/>
  <c r="T6" i="14"/>
  <c r="M1055" i="14"/>
  <c r="M1157" i="14"/>
  <c r="M1216" i="14"/>
  <c r="M1040" i="14"/>
  <c r="M1153" i="14"/>
  <c r="M1056" i="14"/>
  <c r="M1120" i="14"/>
  <c r="M1188" i="14"/>
  <c r="M1206" i="14"/>
  <c r="M1107" i="14"/>
  <c r="M1035" i="14"/>
  <c r="M1069" i="14"/>
  <c r="M1071" i="14"/>
  <c r="M1038" i="14"/>
  <c r="M1219" i="14"/>
  <c r="M1067" i="14"/>
  <c r="M1132" i="14"/>
  <c r="M1077" i="14"/>
  <c r="M1043" i="14"/>
  <c r="M1118" i="14"/>
  <c r="M1201" i="14"/>
  <c r="M1097" i="14"/>
  <c r="M1049" i="14"/>
  <c r="M1060" i="14"/>
  <c r="M1154" i="14"/>
  <c r="M1191" i="14"/>
  <c r="M1123" i="14"/>
  <c r="M1119" i="14"/>
  <c r="M1050" i="14"/>
  <c r="M1116" i="14"/>
  <c r="M1143" i="14"/>
  <c r="M1178" i="14"/>
  <c r="M1068" i="14"/>
  <c r="M1034" i="14"/>
  <c r="M1146" i="14"/>
  <c r="M1209" i="14"/>
  <c r="M1098" i="14"/>
  <c r="M1190" i="14"/>
  <c r="M1125" i="14"/>
  <c r="M1177" i="14"/>
  <c r="M1166" i="14"/>
  <c r="M1176" i="14"/>
  <c r="M1184" i="14"/>
  <c r="M1127" i="14"/>
  <c r="M1083" i="14"/>
  <c r="M1066" i="14"/>
  <c r="M1110" i="14"/>
  <c r="M1100" i="14"/>
  <c r="M1205" i="14"/>
  <c r="M1052" i="14"/>
  <c r="M1106" i="14"/>
  <c r="M1044" i="14"/>
  <c r="M1042" i="14"/>
  <c r="M1189" i="14"/>
  <c r="M1099" i="14"/>
  <c r="M1053" i="14"/>
  <c r="M1151" i="14"/>
  <c r="M1155" i="14"/>
  <c r="M1203" i="14"/>
  <c r="M1104" i="14"/>
  <c r="M1026" i="14"/>
  <c r="M1025" i="14"/>
  <c r="M1156" i="14"/>
  <c r="M1114" i="14"/>
  <c r="M1150" i="14"/>
  <c r="M1076" i="14"/>
  <c r="M1045" i="14"/>
  <c r="M1091" i="14"/>
  <c r="M1145" i="14"/>
  <c r="M1168" i="14"/>
  <c r="M1063" i="14"/>
  <c r="M1167" i="14"/>
  <c r="M1218" i="14"/>
  <c r="M1142" i="14"/>
  <c r="M1029" i="14"/>
  <c r="M1095" i="14"/>
  <c r="M1161" i="14"/>
  <c r="M1223" i="14"/>
  <c r="M1162" i="14"/>
  <c r="M1121" i="14"/>
  <c r="M1093" i="14"/>
  <c r="M1109" i="14"/>
  <c r="M1111" i="14"/>
  <c r="M1172" i="14"/>
  <c r="M1217" i="14"/>
  <c r="M1221" i="14"/>
  <c r="M1087" i="14"/>
  <c r="M1175" i="14"/>
  <c r="M1078" i="14"/>
  <c r="M1064" i="14"/>
  <c r="M1051" i="14"/>
  <c r="M1131" i="14"/>
  <c r="M1105" i="14"/>
  <c r="M1149" i="14"/>
  <c r="M1030" i="14"/>
  <c r="M1215" i="14"/>
  <c r="M1193" i="14"/>
  <c r="M1200" i="14"/>
  <c r="M1199" i="14"/>
  <c r="M1183" i="14"/>
  <c r="M1102" i="14"/>
  <c r="M1207" i="14"/>
  <c r="M1204" i="14"/>
  <c r="M1225" i="14"/>
  <c r="M1117" i="14"/>
  <c r="M1061" i="14"/>
  <c r="M1128" i="14"/>
  <c r="M1152" i="14"/>
  <c r="M1187" i="14"/>
  <c r="M1094" i="14"/>
  <c r="M1057" i="14"/>
  <c r="M1090" i="14"/>
  <c r="M1065" i="14"/>
  <c r="M1214" i="14"/>
  <c r="M1048" i="14"/>
  <c r="M1126" i="14"/>
  <c r="M1222" i="14"/>
  <c r="M1129" i="14"/>
  <c r="M1195" i="14"/>
  <c r="M1182" i="14"/>
  <c r="M1133" i="14"/>
  <c r="M1112" i="14"/>
  <c r="M1033" i="14"/>
  <c r="M1224" i="14"/>
  <c r="M1072" i="14"/>
  <c r="M1130" i="14"/>
  <c r="M1070" i="14"/>
  <c r="M1196" i="14"/>
  <c r="M1082" i="14"/>
  <c r="M1138" i="14"/>
  <c r="M1059" i="14"/>
  <c r="M1208" i="14"/>
  <c r="M1086" i="14"/>
  <c r="M1088" i="14"/>
  <c r="T3" i="14"/>
  <c r="T2" i="14"/>
  <c r="A1091" i="14" l="1"/>
  <c r="A1188" i="14"/>
  <c r="A1045" i="14"/>
  <c r="A1162" i="14"/>
  <c r="A1101" i="14"/>
  <c r="A1218" i="14"/>
  <c r="A1225" i="14"/>
  <c r="A1156" i="14"/>
  <c r="A1051" i="14"/>
  <c r="A1172" i="14"/>
  <c r="A1089" i="14"/>
  <c r="A1092" i="14"/>
  <c r="A1192" i="14"/>
  <c r="A1046" i="14"/>
  <c r="A1197" i="14"/>
  <c r="A1224" i="14"/>
  <c r="A1209" i="14"/>
  <c r="A1155" i="14"/>
  <c r="A1131" i="14"/>
  <c r="A1082" i="14"/>
  <c r="A1163" i="14"/>
  <c r="A1132" i="14"/>
  <c r="A1137" i="14"/>
  <c r="A1130" i="14"/>
  <c r="A1097" i="14"/>
  <c r="A1063" i="14"/>
  <c r="A1040" i="14"/>
  <c r="A1123" i="14"/>
  <c r="A1219" i="14"/>
  <c r="A1078" i="14"/>
  <c r="A1025" i="14"/>
  <c r="A1150" i="14"/>
  <c r="A1041" i="14"/>
  <c r="A1033" i="14"/>
  <c r="A1052" i="14"/>
  <c r="A1143" i="14"/>
  <c r="A1036" i="14"/>
  <c r="A1187" i="14"/>
  <c r="A1215" i="14"/>
  <c r="A1058" i="14"/>
  <c r="A1047" i="14"/>
  <c r="A1202" i="14"/>
  <c r="A1152" i="14"/>
  <c r="A1179" i="14"/>
  <c r="A1145" i="14"/>
  <c r="A1073" i="14"/>
  <c r="A1173" i="14"/>
  <c r="A1183" i="14"/>
  <c r="A1191" i="14"/>
  <c r="A1139" i="14"/>
  <c r="A1065" i="14"/>
  <c r="A1175" i="14"/>
  <c r="A1201" i="14"/>
  <c r="A1217" i="14"/>
  <c r="A1157" i="14"/>
  <c r="A1100" i="14"/>
  <c r="A1039" i="14"/>
  <c r="A1067" i="14"/>
  <c r="A1042" i="14"/>
  <c r="A1124" i="14"/>
  <c r="A1098" i="14"/>
  <c r="A1072" i="14"/>
  <c r="A1054" i="14"/>
  <c r="A1160" i="14"/>
  <c r="A1176" i="14"/>
  <c r="A1028" i="14"/>
  <c r="A1158" i="14"/>
  <c r="A1077" i="14"/>
  <c r="A1071" i="14"/>
  <c r="A1214" i="14"/>
  <c r="A1102" i="14"/>
  <c r="A1096" i="14"/>
  <c r="A1170" i="14"/>
  <c r="A1032" i="14"/>
  <c r="A1050" i="14"/>
  <c r="A1211" i="14"/>
  <c r="A1210" i="14"/>
  <c r="A1062" i="14"/>
  <c r="A1181" i="14"/>
  <c r="A1115" i="14"/>
  <c r="A1088" i="14"/>
  <c r="A1216" i="14"/>
  <c r="A1190" i="14"/>
  <c r="A1085" i="14"/>
  <c r="A1220" i="14"/>
  <c r="A1093" i="14"/>
  <c r="A1044" i="14"/>
  <c r="A1199" i="14"/>
  <c r="A1151" i="14"/>
  <c r="A1138" i="14"/>
  <c r="A1196" i="14"/>
  <c r="A1159" i="14"/>
  <c r="A1149" i="14"/>
  <c r="A1060" i="14"/>
  <c r="A1059" i="14"/>
  <c r="A1110" i="14"/>
  <c r="A1099" i="14"/>
  <c r="A1094" i="14"/>
  <c r="A1120" i="14"/>
  <c r="A1168" i="14"/>
  <c r="A1116" i="14"/>
  <c r="A1105" i="14"/>
  <c r="A1213" i="14"/>
  <c r="A1194" i="14"/>
  <c r="A1193" i="14"/>
  <c r="A1075" i="14"/>
  <c r="A1106" i="14"/>
  <c r="A1081" i="14"/>
  <c r="A1030" i="14"/>
  <c r="A1049" i="14"/>
  <c r="A1169" i="14"/>
  <c r="A1222" i="14"/>
  <c r="A1128" i="14"/>
  <c r="A1095" i="14"/>
  <c r="A1118" i="14"/>
  <c r="A1117" i="14"/>
  <c r="A1167" i="14"/>
  <c r="A1061" i="14"/>
  <c r="A1069" i="14"/>
  <c r="A1113" i="14"/>
  <c r="A1066" i="14"/>
  <c r="A1048" i="14"/>
  <c r="A1180" i="14"/>
  <c r="A1174" i="14"/>
  <c r="A1121" i="14"/>
  <c r="A1146" i="14"/>
  <c r="A1186" i="14"/>
  <c r="A1208" i="14"/>
  <c r="A1109" i="14"/>
  <c r="A1108" i="14"/>
  <c r="A1112" i="14"/>
  <c r="A1212" i="14"/>
  <c r="A1080" i="14"/>
  <c r="A1043" i="14"/>
  <c r="A1126" i="14"/>
  <c r="A1223" i="14"/>
  <c r="A1141" i="14"/>
  <c r="A1114" i="14"/>
  <c r="A1026" i="14"/>
  <c r="A1111" i="14"/>
  <c r="A1068" i="14"/>
  <c r="A1057" i="14"/>
  <c r="A1164" i="14"/>
  <c r="A1083" i="14"/>
  <c r="A1206" i="14"/>
  <c r="A1027" i="14"/>
  <c r="A1086" i="14"/>
  <c r="A1079" i="14"/>
  <c r="A1104" i="14"/>
  <c r="A1127" i="14"/>
  <c r="A1154" i="14"/>
  <c r="A1221" i="14"/>
  <c r="A1205" i="14"/>
  <c r="A1207" i="14"/>
  <c r="A1198" i="14"/>
  <c r="A1189" i="14"/>
  <c r="A1087" i="14"/>
  <c r="A1037" i="14"/>
  <c r="A1074" i="14"/>
  <c r="A1090" i="14"/>
  <c r="A1153" i="14"/>
  <c r="A1103" i="14"/>
  <c r="A1147" i="14"/>
  <c r="A1136" i="14"/>
  <c r="A1178" i="14"/>
  <c r="A1171" i="14"/>
  <c r="A1204" i="14"/>
  <c r="A1140" i="14"/>
  <c r="A1135" i="14"/>
  <c r="A1133" i="14"/>
  <c r="A1029" i="14"/>
  <c r="A1119" i="14"/>
  <c r="A1182" i="14"/>
  <c r="A1203" i="14"/>
  <c r="A1031" i="14"/>
  <c r="A1184" i="14"/>
  <c r="A1161" i="14"/>
  <c r="A1200" i="14"/>
  <c r="A1125" i="14"/>
  <c r="A1165" i="14"/>
  <c r="A1056" i="14"/>
  <c r="A1122" i="14"/>
  <c r="A1134" i="14"/>
  <c r="A1142" i="14"/>
  <c r="A1070" i="14"/>
  <c r="A1166" i="14"/>
  <c r="A1195" i="14"/>
  <c r="A1084" i="14"/>
  <c r="A1148" i="14"/>
  <c r="A1144" i="14"/>
  <c r="A1177" i="14"/>
  <c r="A1129" i="14"/>
  <c r="A1055" i="14"/>
  <c r="A1076" i="14"/>
  <c r="A1034" i="14"/>
  <c r="A1064" i="14"/>
  <c r="A1053" i="14"/>
  <c r="A1035" i="14"/>
  <c r="A1185" i="14"/>
  <c r="A1038" i="14"/>
  <c r="A1107" i="14"/>
  <c r="AV1156" i="14"/>
  <c r="AV1090" i="14"/>
  <c r="AV1038" i="14"/>
  <c r="AV1218" i="14"/>
  <c r="AV1184" i="14"/>
  <c r="AV1077" i="14"/>
  <c r="AV1091" i="14"/>
  <c r="AV1195" i="14"/>
  <c r="AV1039" i="14"/>
  <c r="AV1025" i="14"/>
  <c r="AV1041" i="14"/>
  <c r="AV1026" i="14"/>
  <c r="AV1079" i="14"/>
  <c r="AV1069" i="14"/>
  <c r="AV1146" i="14"/>
  <c r="AV1211" i="14"/>
  <c r="AV1179" i="14"/>
  <c r="AV1140" i="14"/>
  <c r="AV1176" i="14"/>
  <c r="AV1136" i="14"/>
  <c r="AV1149" i="14"/>
  <c r="AV1088" i="14"/>
  <c r="AV1189" i="14"/>
  <c r="AV1052" i="14"/>
  <c r="AV1172" i="14"/>
  <c r="AV1092" i="14"/>
  <c r="AV1045" i="14"/>
  <c r="AV1143" i="14"/>
  <c r="AV1068" i="14"/>
  <c r="AV1139" i="14"/>
  <c r="AV1207" i="14"/>
  <c r="AV1042" i="14"/>
  <c r="AV1132" i="14"/>
  <c r="AV1029" i="14"/>
  <c r="AV1110" i="14"/>
  <c r="AV1147" i="14"/>
  <c r="AV1033" i="14"/>
  <c r="AV1124" i="14"/>
  <c r="AV1094" i="14"/>
  <c r="AV1105" i="14"/>
  <c r="AV1118" i="14"/>
  <c r="AV1212" i="14"/>
  <c r="AV1028" i="14"/>
  <c r="AV1027" i="14"/>
  <c r="AV1096" i="14"/>
  <c r="AV1173" i="14"/>
  <c r="AV1180" i="14"/>
  <c r="AV1188" i="14"/>
  <c r="AV1114" i="14"/>
  <c r="AV1142" i="14"/>
  <c r="AV1066" i="14"/>
  <c r="AV1199" i="14"/>
  <c r="AV1216" i="14"/>
  <c r="AV1053" i="14"/>
  <c r="AV1203" i="14"/>
  <c r="AV1137" i="14"/>
  <c r="AV1166" i="14"/>
  <c r="AV1183" i="14"/>
  <c r="AV1194" i="14"/>
  <c r="AV1059" i="14"/>
  <c r="AV1056" i="14"/>
  <c r="AV1177" i="14"/>
  <c r="AV1060" i="14"/>
  <c r="AV1043" i="14"/>
  <c r="AV1141" i="14"/>
  <c r="AV1221" i="14"/>
  <c r="AV1031" i="14"/>
  <c r="AV1035" i="14"/>
  <c r="AV1058" i="14"/>
  <c r="AV1107" i="14"/>
  <c r="AV1064" i="14"/>
  <c r="AV1192" i="14"/>
  <c r="AV1050" i="14"/>
  <c r="AV1073" i="14"/>
  <c r="AV1191" i="14"/>
  <c r="AV1222" i="14"/>
  <c r="AV1165" i="14"/>
  <c r="AV1150" i="14"/>
  <c r="AV1108" i="14"/>
  <c r="AV1101" i="14"/>
  <c r="AV1040" i="14"/>
  <c r="AV1111" i="14"/>
  <c r="AV1072" i="14"/>
  <c r="AV1082" i="14"/>
  <c r="AV1196" i="14"/>
  <c r="AV1078" i="14"/>
  <c r="AV1075" i="14"/>
  <c r="AV1202" i="14"/>
  <c r="AV1102" i="14"/>
  <c r="AV1067" i="14"/>
  <c r="AV1185" i="14"/>
  <c r="AV1130" i="14"/>
  <c r="AV1080" i="14"/>
  <c r="AV1126" i="14"/>
  <c r="AV1214" i="14"/>
  <c r="AV1062" i="14"/>
  <c r="AV1115" i="14"/>
  <c r="AV1093" i="14"/>
  <c r="AV1174" i="14"/>
  <c r="AV1217" i="14"/>
  <c r="AV1181" i="14"/>
  <c r="AV1051" i="14"/>
  <c r="AV1205" i="14"/>
  <c r="AV1116" i="14"/>
  <c r="AV1169" i="14"/>
  <c r="AV1122" i="14"/>
  <c r="AV1098" i="14"/>
  <c r="AV1208" i="14"/>
  <c r="AV1076" i="14"/>
  <c r="AV1170" i="14"/>
  <c r="AV1084" i="14"/>
  <c r="AV1175" i="14"/>
  <c r="AV1046" i="14"/>
  <c r="AV1065" i="14"/>
  <c r="AV1131" i="14"/>
  <c r="AV1152" i="14"/>
  <c r="AV1160" i="14"/>
  <c r="AV1071" i="14"/>
  <c r="AV1089" i="14"/>
  <c r="AV1063" i="14"/>
  <c r="AV1190" i="14"/>
  <c r="AV1198" i="14"/>
  <c r="AV1213" i="14"/>
  <c r="AV1113" i="14"/>
  <c r="AV1148" i="14"/>
  <c r="AV1204" i="14"/>
  <c r="AV1061" i="14"/>
  <c r="AV1210" i="14"/>
  <c r="AV1201" i="14"/>
  <c r="AV1200" i="14"/>
  <c r="AV1138" i="14"/>
  <c r="AV1182" i="14"/>
  <c r="AV1085" i="14"/>
  <c r="AV1086" i="14"/>
  <c r="AV1215" i="14"/>
  <c r="AV1054" i="14"/>
  <c r="AV1153" i="14"/>
  <c r="AV1157" i="14"/>
  <c r="AV1193" i="14"/>
  <c r="AV1151" i="14"/>
  <c r="AV1123" i="14"/>
  <c r="AV1127" i="14"/>
  <c r="AV1100" i="14"/>
  <c r="AV1186" i="14"/>
  <c r="AV1036" i="14"/>
  <c r="AV1034" i="14"/>
  <c r="AV1135" i="14"/>
  <c r="AV1220" i="14"/>
  <c r="AV1106" i="14"/>
  <c r="AV1099" i="14"/>
  <c r="AV1154" i="14"/>
  <c r="AV1158" i="14"/>
  <c r="AV1097" i="14"/>
  <c r="AV1209" i="14"/>
  <c r="AV1117" i="14"/>
  <c r="AV1129" i="14"/>
  <c r="AV1163" i="14"/>
  <c r="AV1206" i="14"/>
  <c r="AV1187" i="14"/>
  <c r="AV1145" i="14"/>
  <c r="AV1120" i="14"/>
  <c r="AV1155" i="14"/>
  <c r="AV1133" i="14"/>
  <c r="AV1134" i="14"/>
  <c r="AV1162" i="14"/>
  <c r="AV1125" i="14"/>
  <c r="AV1161" i="14"/>
  <c r="AV1104" i="14"/>
  <c r="AV1144" i="14"/>
  <c r="AV1074" i="14"/>
  <c r="AV1030" i="14"/>
  <c r="AV1083" i="14"/>
  <c r="AV1167" i="14"/>
  <c r="AV1047" i="14"/>
  <c r="AV1168" i="14"/>
  <c r="AV1225" i="14"/>
  <c r="AV1095" i="14"/>
  <c r="AV1119" i="14"/>
  <c r="AV1049" i="14"/>
  <c r="AV1219" i="14"/>
  <c r="AV1087" i="14"/>
  <c r="AV1057" i="14"/>
  <c r="AV1171" i="14"/>
  <c r="AV1032" i="14"/>
  <c r="AV1055" i="14"/>
  <c r="AV1109" i="14"/>
  <c r="AV1178" i="14"/>
  <c r="AV1103" i="14"/>
  <c r="AV1081" i="14"/>
  <c r="AV1037" i="14"/>
  <c r="AV1044" i="14"/>
  <c r="AV1048" i="14"/>
  <c r="AV1070" i="14"/>
  <c r="AV1223" i="14"/>
  <c r="AV1128" i="14"/>
  <c r="AV1121" i="14"/>
  <c r="AV1197" i="14"/>
  <c r="AV1224" i="14"/>
  <c r="AV1159" i="14"/>
  <c r="AV1112" i="14"/>
  <c r="AV1164" i="14"/>
  <c r="D1074" i="14" l="1"/>
  <c r="BP1176" i="14"/>
  <c r="D1144" i="14"/>
  <c r="BP1106" i="14"/>
  <c r="D1114" i="14"/>
  <c r="BP1136" i="14"/>
  <c r="D1103" i="14"/>
  <c r="BP1147" i="14"/>
  <c r="D1134" i="14"/>
  <c r="BP1116" i="14"/>
  <c r="D1128" i="14"/>
  <c r="BP1122" i="14"/>
  <c r="D1171" i="14"/>
  <c r="BP1079" i="14"/>
  <c r="D1030" i="14"/>
  <c r="BP1220" i="14"/>
  <c r="D1187" i="14"/>
  <c r="BP1063" i="14"/>
  <c r="D1135" i="14"/>
  <c r="BP1115" i="14"/>
  <c r="D1215" i="14"/>
  <c r="BP1035" i="14"/>
  <c r="D1213" i="14"/>
  <c r="BP1037" i="14"/>
  <c r="D1084" i="14"/>
  <c r="BP1166" i="14"/>
  <c r="D1174" i="14"/>
  <c r="BP1076" i="14"/>
  <c r="D1075" i="14"/>
  <c r="BP1175" i="14"/>
  <c r="D1191" i="14"/>
  <c r="BP1059" i="14"/>
  <c r="D1060" i="14"/>
  <c r="BP1190" i="14"/>
  <c r="D1066" i="14"/>
  <c r="BP1184" i="14"/>
  <c r="D1094" i="14"/>
  <c r="BP1156" i="14"/>
  <c r="D1045" i="14"/>
  <c r="BP1205" i="14"/>
  <c r="D1146" i="14"/>
  <c r="BP1104" i="14"/>
  <c r="D1038" i="14"/>
  <c r="BP1212" i="14"/>
  <c r="D1198" i="14"/>
  <c r="BP1052" i="14"/>
  <c r="D1073" i="14"/>
  <c r="BP1177" i="14"/>
  <c r="D1177" i="14"/>
  <c r="BP1073" i="14"/>
  <c r="D1142" i="14"/>
  <c r="BP1108" i="14"/>
  <c r="D1124" i="14"/>
  <c r="BP1126" i="14"/>
  <c r="D1092" i="14"/>
  <c r="BP1158" i="14"/>
  <c r="D1069" i="14"/>
  <c r="BP1181" i="14"/>
  <c r="D1090" i="14"/>
  <c r="BP1160" i="14"/>
  <c r="D1076" i="14"/>
  <c r="BP1174" i="14"/>
  <c r="D1172" i="14"/>
  <c r="BP1078" i="14"/>
  <c r="D1079" i="14"/>
  <c r="BP1171" i="14"/>
  <c r="D1156" i="14"/>
  <c r="BP1094" i="14"/>
  <c r="D1062" i="14"/>
  <c r="BP1188" i="14"/>
  <c r="D1026" i="14"/>
  <c r="BP1224" i="14"/>
  <c r="D1057" i="14"/>
  <c r="BP1193" i="14"/>
  <c r="D1170" i="14"/>
  <c r="BP1080" i="14"/>
  <c r="D1036" i="14"/>
  <c r="BP1214" i="14"/>
  <c r="D1050" i="14"/>
  <c r="BP1200" i="14"/>
  <c r="D1219" i="14"/>
  <c r="BP1031" i="14"/>
  <c r="D1186" i="14"/>
  <c r="BP1064" i="14"/>
  <c r="D1208" i="14"/>
  <c r="BP1042" i="14"/>
  <c r="D1192" i="14"/>
  <c r="BP1058" i="14"/>
  <c r="D1188" i="14"/>
  <c r="BP1062" i="14"/>
  <c r="D1052" i="14"/>
  <c r="BP1198" i="14"/>
  <c r="D1049" i="14"/>
  <c r="BP1201" i="14"/>
  <c r="D1161" i="14"/>
  <c r="BP1089" i="14"/>
  <c r="D1117" i="14"/>
  <c r="BP1133" i="14"/>
  <c r="D1100" i="14"/>
  <c r="BP1150" i="14"/>
  <c r="D1138" i="14"/>
  <c r="BP1112" i="14"/>
  <c r="D1089" i="14"/>
  <c r="BP1161" i="14"/>
  <c r="D1098" i="14"/>
  <c r="BP1152" i="14"/>
  <c r="D1214" i="14"/>
  <c r="BP1036" i="14"/>
  <c r="D1072" i="14"/>
  <c r="BP1178" i="14"/>
  <c r="D1064" i="14"/>
  <c r="BP1186" i="14"/>
  <c r="D1194" i="14"/>
  <c r="BP1056" i="14"/>
  <c r="D1180" i="14"/>
  <c r="BP1070" i="14"/>
  <c r="D1110" i="14"/>
  <c r="BP1140" i="14"/>
  <c r="D1189" i="14"/>
  <c r="BP1061" i="14"/>
  <c r="D1041" i="14"/>
  <c r="BP1209" i="14"/>
  <c r="D1206" i="14"/>
  <c r="BP1044" i="14"/>
  <c r="D1078" i="14"/>
  <c r="BP1172" i="14"/>
  <c r="D1085" i="14"/>
  <c r="BP1165" i="14"/>
  <c r="D1196" i="14"/>
  <c r="BP1054" i="14"/>
  <c r="D1048" i="14"/>
  <c r="BP1202" i="14"/>
  <c r="D1129" i="14"/>
  <c r="BP1121" i="14"/>
  <c r="D1063" i="14"/>
  <c r="BP1187" i="14"/>
  <c r="D1082" i="14"/>
  <c r="BP1168" i="14"/>
  <c r="D1059" i="14"/>
  <c r="BP1191" i="14"/>
  <c r="D1147" i="14"/>
  <c r="BP1103" i="14"/>
  <c r="D1044" i="14"/>
  <c r="BP1206" i="14"/>
  <c r="D1037" i="14"/>
  <c r="BP1213" i="14"/>
  <c r="D1119" i="14"/>
  <c r="BP1131" i="14"/>
  <c r="D1125" i="14"/>
  <c r="BP1125" i="14"/>
  <c r="N1125" i="14" s="1"/>
  <c r="D1209" i="14"/>
  <c r="BP1041" i="14"/>
  <c r="D1127" i="14"/>
  <c r="BP1123" i="14"/>
  <c r="D1200" i="14"/>
  <c r="BP1050" i="14"/>
  <c r="D1071" i="14"/>
  <c r="BP1179" i="14"/>
  <c r="D1122" i="14"/>
  <c r="BP1128" i="14"/>
  <c r="D1126" i="14"/>
  <c r="BP1124" i="14"/>
  <c r="D1111" i="14"/>
  <c r="BP1139" i="14"/>
  <c r="D1107" i="14"/>
  <c r="BP1143" i="14"/>
  <c r="D1183" i="14"/>
  <c r="BP1067" i="14"/>
  <c r="D1173" i="14"/>
  <c r="BP1077" i="14"/>
  <c r="D1029" i="14"/>
  <c r="BP1221" i="14"/>
  <c r="D1088" i="14"/>
  <c r="BP1162" i="14"/>
  <c r="D1025" i="14"/>
  <c r="BP1225" i="14"/>
  <c r="D1086" i="14"/>
  <c r="BP1164" i="14"/>
  <c r="D1163" i="14"/>
  <c r="BP1087" i="14"/>
  <c r="D1056" i="14"/>
  <c r="BP1194" i="14"/>
  <c r="D1104" i="14"/>
  <c r="BP1146" i="14"/>
  <c r="D1182" i="14"/>
  <c r="BP1068" i="14"/>
  <c r="D1164" i="14"/>
  <c r="BP1086" i="14"/>
  <c r="D1081" i="14"/>
  <c r="BP1169" i="14"/>
  <c r="D1095" i="14"/>
  <c r="BP1155" i="14"/>
  <c r="D1162" i="14"/>
  <c r="BP1088" i="14"/>
  <c r="D1097" i="14"/>
  <c r="BP1153" i="14"/>
  <c r="D1123" i="14"/>
  <c r="BP1127" i="14"/>
  <c r="D1201" i="14"/>
  <c r="BP1049" i="14"/>
  <c r="D1160" i="14"/>
  <c r="BP1090" i="14"/>
  <c r="D1169" i="14"/>
  <c r="BP1081" i="14"/>
  <c r="D1080" i="14"/>
  <c r="BP1170" i="14"/>
  <c r="D1040" i="14"/>
  <c r="BP1210" i="14"/>
  <c r="D1058" i="14"/>
  <c r="BP1192" i="14"/>
  <c r="D1166" i="14"/>
  <c r="BP1084" i="14"/>
  <c r="D1096" i="14"/>
  <c r="BP1154" i="14"/>
  <c r="D1132" i="14"/>
  <c r="BP1118" i="14"/>
  <c r="D1149" i="14"/>
  <c r="BP1101" i="14"/>
  <c r="D1039" i="14"/>
  <c r="BP1211" i="14"/>
  <c r="D1151" i="14"/>
  <c r="BP1099" i="14"/>
  <c r="D1116" i="14"/>
  <c r="BP1134" i="14"/>
  <c r="D1130" i="14"/>
  <c r="BP1120" i="14"/>
  <c r="D1101" i="14"/>
  <c r="BP1149" i="14"/>
  <c r="D1035" i="14"/>
  <c r="BP1215" i="14"/>
  <c r="D1137" i="14"/>
  <c r="BP1113" i="14"/>
  <c r="D1027" i="14"/>
  <c r="BP1223" i="14"/>
  <c r="D1042" i="14"/>
  <c r="BP1208" i="14"/>
  <c r="D1136" i="14"/>
  <c r="BP1114" i="14"/>
  <c r="D1195" i="14"/>
  <c r="BP1055" i="14"/>
  <c r="D1061" i="14"/>
  <c r="BP1189" i="14"/>
  <c r="D1108" i="14"/>
  <c r="BP1142" i="14"/>
  <c r="D1028" i="14"/>
  <c r="BP1222" i="14"/>
  <c r="D1207" i="14"/>
  <c r="BP1043" i="14"/>
  <c r="D1176" i="14"/>
  <c r="BP1074" i="14"/>
  <c r="D1091" i="14"/>
  <c r="BP1159" i="14"/>
  <c r="D1150" i="14"/>
  <c r="BP1100" i="14"/>
  <c r="D1077" i="14"/>
  <c r="BP1173" i="14"/>
  <c r="D1034" i="14"/>
  <c r="BP1216" i="14"/>
  <c r="D1087" i="14"/>
  <c r="BP1163" i="14"/>
  <c r="D1033" i="14"/>
  <c r="BP1217" i="14"/>
  <c r="D1225" i="14"/>
  <c r="BP1025" i="14"/>
  <c r="D1210" i="14"/>
  <c r="BP1040" i="14"/>
  <c r="D1159" i="14"/>
  <c r="BP1091" i="14"/>
  <c r="D1168" i="14"/>
  <c r="BP1082" i="14"/>
  <c r="D1154" i="14"/>
  <c r="BP1096" i="14"/>
  <c r="D1131" i="14"/>
  <c r="BP1119" i="14"/>
  <c r="D1185" i="14"/>
  <c r="BP1065" i="14"/>
  <c r="D1203" i="14"/>
  <c r="BP1047" i="14"/>
  <c r="D1109" i="14"/>
  <c r="BP1141" i="14"/>
  <c r="D1155" i="14"/>
  <c r="BP1095" i="14"/>
  <c r="D1157" i="14"/>
  <c r="BP1093" i="14"/>
  <c r="D1065" i="14"/>
  <c r="BP1185" i="14"/>
  <c r="D1067" i="14"/>
  <c r="BP1183" i="14"/>
  <c r="D1053" i="14"/>
  <c r="BP1197" i="14"/>
  <c r="D1212" i="14"/>
  <c r="BP1038" i="14"/>
  <c r="D1140" i="14"/>
  <c r="BP1110" i="14"/>
  <c r="D1197" i="14"/>
  <c r="BP1053" i="14"/>
  <c r="D1055" i="14"/>
  <c r="BP1195" i="14"/>
  <c r="D1167" i="14"/>
  <c r="BP1083" i="14"/>
  <c r="D1120" i="14"/>
  <c r="BP1130" i="14"/>
  <c r="D1106" i="14"/>
  <c r="BP1144" i="14"/>
  <c r="D1153" i="14"/>
  <c r="BP1097" i="14"/>
  <c r="D1148" i="14"/>
  <c r="BP1102" i="14"/>
  <c r="D1046" i="14"/>
  <c r="BP1204" i="14"/>
  <c r="D1181" i="14"/>
  <c r="BP1069" i="14"/>
  <c r="D1102" i="14"/>
  <c r="BP1148" i="14"/>
  <c r="D1165" i="14"/>
  <c r="BP1085" i="14"/>
  <c r="D1141" i="14"/>
  <c r="BP1109" i="14"/>
  <c r="D1216" i="14"/>
  <c r="BP1034" i="14"/>
  <c r="D1118" i="14"/>
  <c r="BP1132" i="14"/>
  <c r="D1068" i="14"/>
  <c r="BP1182" i="14"/>
  <c r="D1179" i="14"/>
  <c r="BP1071" i="14"/>
  <c r="D1184" i="14"/>
  <c r="BP1066" i="14"/>
  <c r="D1223" i="14"/>
  <c r="BP1027" i="14"/>
  <c r="D1093" i="14"/>
  <c r="BP1157" i="14"/>
  <c r="D1070" i="14"/>
  <c r="BP1180" i="14"/>
  <c r="D1190" i="14"/>
  <c r="BP1060" i="14"/>
  <c r="D1115" i="14"/>
  <c r="BP1135" i="14"/>
  <c r="D1112" i="14"/>
  <c r="BP1138" i="14"/>
  <c r="D1158" i="14"/>
  <c r="BP1092" i="14"/>
  <c r="D1152" i="14"/>
  <c r="BP1098" i="14"/>
  <c r="D1178" i="14"/>
  <c r="BP1072" i="14"/>
  <c r="D1133" i="14"/>
  <c r="BP1117" i="14"/>
  <c r="D1193" i="14"/>
  <c r="BP1057" i="14"/>
  <c r="D1205" i="14"/>
  <c r="BP1045" i="14"/>
  <c r="D1031" i="14"/>
  <c r="BP1219" i="14"/>
  <c r="D1224" i="14"/>
  <c r="BP1026" i="14"/>
  <c r="D1047" i="14"/>
  <c r="BP1203" i="14"/>
  <c r="D1099" i="14"/>
  <c r="BP1151" i="14"/>
  <c r="D1204" i="14"/>
  <c r="BP1046" i="14"/>
  <c r="D1051" i="14"/>
  <c r="BP1199" i="14"/>
  <c r="D1221" i="14"/>
  <c r="BP1029" i="14"/>
  <c r="D1139" i="14"/>
  <c r="BP1111" i="14"/>
  <c r="D1121" i="14"/>
  <c r="BP1129" i="14"/>
  <c r="D1032" i="14"/>
  <c r="BP1218" i="14"/>
  <c r="D1083" i="14"/>
  <c r="BP1167" i="14"/>
  <c r="D1145" i="14"/>
  <c r="BP1105" i="14"/>
  <c r="D1220" i="14"/>
  <c r="BP1030" i="14"/>
  <c r="D1054" i="14"/>
  <c r="BP1196" i="14"/>
  <c r="D1113" i="14"/>
  <c r="BP1137" i="14"/>
  <c r="D1175" i="14"/>
  <c r="BP1075" i="14"/>
  <c r="D1217" i="14"/>
  <c r="BP1033" i="14"/>
  <c r="D1202" i="14"/>
  <c r="BP1048" i="14"/>
  <c r="D1222" i="14"/>
  <c r="BP1028" i="14"/>
  <c r="D1043" i="14"/>
  <c r="BP1207" i="14"/>
  <c r="D1199" i="14"/>
  <c r="BP1051" i="14"/>
  <c r="D1105" i="14"/>
  <c r="BP1145" i="14"/>
  <c r="D1143" i="14"/>
  <c r="BP1107" i="14"/>
  <c r="D1211" i="14"/>
  <c r="BP1039" i="14"/>
  <c r="D1218" i="14"/>
  <c r="BP1032" i="14"/>
  <c r="N1126" i="14" l="1"/>
  <c r="G1126" i="14" s="1"/>
  <c r="N1168" i="14"/>
  <c r="Q1168" i="14" s="1"/>
  <c r="N1211" i="14"/>
  <c r="AZ1211" i="14" s="1"/>
  <c r="N1108" i="14"/>
  <c r="R1108" i="14" s="1"/>
  <c r="N1043" i="14"/>
  <c r="I1043" i="14" s="1"/>
  <c r="N1205" i="14"/>
  <c r="J1205" i="14" s="1"/>
  <c r="N1223" i="14"/>
  <c r="Q1223" i="14" s="1"/>
  <c r="N1193" i="14"/>
  <c r="I1193" i="14" s="1"/>
  <c r="N1059" i="14"/>
  <c r="BA1059" i="14" s="1"/>
  <c r="N1106" i="14"/>
  <c r="I1106" i="14" s="1"/>
  <c r="N1220" i="14"/>
  <c r="R1220" i="14" s="1"/>
  <c r="N1179" i="14"/>
  <c r="BA1179" i="14" s="1"/>
  <c r="N1139" i="14"/>
  <c r="G1139" i="14" s="1"/>
  <c r="N1133" i="14"/>
  <c r="BB1133" i="14" s="1"/>
  <c r="N1176" i="14"/>
  <c r="G1176" i="14" s="1"/>
  <c r="N1166" i="14"/>
  <c r="Q1166" i="14" s="1"/>
  <c r="N1175" i="14"/>
  <c r="BM1175" i="14" s="1"/>
  <c r="N1121" i="14"/>
  <c r="AY1121" i="14" s="1"/>
  <c r="N1178" i="14"/>
  <c r="I1178" i="14" s="1"/>
  <c r="N1058" i="14"/>
  <c r="BM1058" i="14" s="1"/>
  <c r="N1079" i="14"/>
  <c r="I1079" i="14" s="1"/>
  <c r="N1068" i="14"/>
  <c r="BA1068" i="14" s="1"/>
  <c r="N1042" i="14"/>
  <c r="BL1042" i="14" s="1"/>
  <c r="N1113" i="14"/>
  <c r="R1113" i="14" s="1"/>
  <c r="N1131" i="14"/>
  <c r="BA1131" i="14" s="1"/>
  <c r="N1221" i="14"/>
  <c r="AZ1221" i="14" s="1"/>
  <c r="N1153" i="14"/>
  <c r="BL1153" i="14" s="1"/>
  <c r="N1070" i="14"/>
  <c r="BB1070" i="14" s="1"/>
  <c r="N1136" i="14"/>
  <c r="W1136" i="14" s="1"/>
  <c r="N1067" i="14"/>
  <c r="W1067" i="14" s="1"/>
  <c r="N1222" i="14"/>
  <c r="BA1222" i="14" s="1"/>
  <c r="N1214" i="14"/>
  <c r="E1214" i="14" s="1"/>
  <c r="N1150" i="14"/>
  <c r="AZ1150" i="14" s="1"/>
  <c r="N1080" i="14"/>
  <c r="BL1080" i="14" s="1"/>
  <c r="N1076" i="14"/>
  <c r="G1076" i="14" s="1"/>
  <c r="N1099" i="14"/>
  <c r="U1099" i="14" s="1"/>
  <c r="N1047" i="14"/>
  <c r="E1047" i="14" s="1"/>
  <c r="N1077" i="14"/>
  <c r="G1077" i="14" s="1"/>
  <c r="N1093" i="14"/>
  <c r="G1093" i="14" s="1"/>
  <c r="N1044" i="14"/>
  <c r="AY1044" i="14" s="1"/>
  <c r="N1199" i="14"/>
  <c r="U1199" i="14" s="1"/>
  <c r="N1078" i="14"/>
  <c r="E1078" i="14" s="1"/>
  <c r="N1156" i="14"/>
  <c r="AY1156" i="14" s="1"/>
  <c r="N1105" i="14"/>
  <c r="W1105" i="14" s="1"/>
  <c r="N1216" i="14"/>
  <c r="J1216" i="14" s="1"/>
  <c r="N1209" i="14"/>
  <c r="BL1209" i="14" s="1"/>
  <c r="N1112" i="14"/>
  <c r="J1112" i="14" s="1"/>
  <c r="N1104" i="14"/>
  <c r="E1104" i="14" s="1"/>
  <c r="N1063" i="14"/>
  <c r="Q1063" i="14" s="1"/>
  <c r="N1056" i="14"/>
  <c r="AY1056" i="14" s="1"/>
  <c r="N1190" i="14"/>
  <c r="W1190" i="14" s="1"/>
  <c r="N1181" i="14"/>
  <c r="BM1181" i="14" s="1"/>
  <c r="N1200" i="14"/>
  <c r="BA1200" i="14" s="1"/>
  <c r="N1147" i="14"/>
  <c r="I1147" i="14" s="1"/>
  <c r="N1165" i="14"/>
  <c r="W1165" i="14" s="1"/>
  <c r="N1212" i="14"/>
  <c r="BB1212" i="14" s="1"/>
  <c r="N1158" i="14"/>
  <c r="R1158" i="14" s="1"/>
  <c r="N1115" i="14"/>
  <c r="E1115" i="14" s="1"/>
  <c r="N1141" i="14"/>
  <c r="T1141" i="14" s="1"/>
  <c r="N1210" i="14"/>
  <c r="AZ1210" i="14" s="1"/>
  <c r="N1197" i="14"/>
  <c r="T1197" i="14" s="1"/>
  <c r="N1102" i="14"/>
  <c r="Q1102" i="14" s="1"/>
  <c r="N1118" i="14"/>
  <c r="R1118" i="14" s="1"/>
  <c r="N1054" i="14"/>
  <c r="U1054" i="14" s="1"/>
  <c r="N1224" i="14"/>
  <c r="W1224" i="14" s="1"/>
  <c r="N1152" i="14"/>
  <c r="E1152" i="14" s="1"/>
  <c r="N1154" i="14"/>
  <c r="G1154" i="14" s="1"/>
  <c r="N1087" i="14"/>
  <c r="J1087" i="14" s="1"/>
  <c r="N1116" i="14"/>
  <c r="U1116" i="14" s="1"/>
  <c r="N1201" i="14"/>
  <c r="R1201" i="14" s="1"/>
  <c r="N1089" i="14"/>
  <c r="Q1089" i="14" s="1"/>
  <c r="N1052" i="14"/>
  <c r="Q1052" i="14" s="1"/>
  <c r="N1031" i="14"/>
  <c r="T1031" i="14" s="1"/>
  <c r="N1140" i="14"/>
  <c r="BA1140" i="14" s="1"/>
  <c r="N1155" i="14"/>
  <c r="AZ1155" i="14" s="1"/>
  <c r="N1123" i="14"/>
  <c r="BA1123" i="14" s="1"/>
  <c r="N1188" i="14"/>
  <c r="BA1188" i="14" s="1"/>
  <c r="N1160" i="14"/>
  <c r="Q1160" i="14" s="1"/>
  <c r="N1202" i="14"/>
  <c r="BM1202" i="14" s="1"/>
  <c r="N1184" i="14"/>
  <c r="W1184" i="14" s="1"/>
  <c r="N1159" i="14"/>
  <c r="Q1159" i="14" s="1"/>
  <c r="N1122" i="14"/>
  <c r="BB1122" i="14" s="1"/>
  <c r="N1064" i="14"/>
  <c r="AY1064" i="14" s="1"/>
  <c r="N1218" i="14"/>
  <c r="BL1218" i="14" s="1"/>
  <c r="N1143" i="14"/>
  <c r="AY1143" i="14" s="1"/>
  <c r="N1217" i="14"/>
  <c r="J1217" i="14" s="1"/>
  <c r="N1083" i="14"/>
  <c r="I1083" i="14" s="1"/>
  <c r="N1204" i="14"/>
  <c r="U1204" i="14" s="1"/>
  <c r="N1120" i="14"/>
  <c r="AZ1120" i="14" s="1"/>
  <c r="N1061" i="14"/>
  <c r="AZ1061" i="14" s="1"/>
  <c r="N1035" i="14"/>
  <c r="BL1035" i="14" s="1"/>
  <c r="N1162" i="14"/>
  <c r="BL1162" i="14" s="1"/>
  <c r="N1037" i="14"/>
  <c r="AZ1037" i="14" s="1"/>
  <c r="N1177" i="14"/>
  <c r="BM1177" i="14" s="1"/>
  <c r="N1055" i="14"/>
  <c r="BM1055" i="14" s="1"/>
  <c r="N1101" i="14"/>
  <c r="G1101" i="14" s="1"/>
  <c r="N1065" i="14"/>
  <c r="AZ1065" i="14" s="1"/>
  <c r="N1169" i="14"/>
  <c r="BL1169" i="14" s="1"/>
  <c r="N1086" i="14"/>
  <c r="AZ1086" i="14" s="1"/>
  <c r="N1145" i="14"/>
  <c r="BM1145" i="14" s="1"/>
  <c r="N1206" i="14"/>
  <c r="Q1206" i="14" s="1"/>
  <c r="N1167" i="14"/>
  <c r="BA1167" i="14" s="1"/>
  <c r="N1185" i="14"/>
  <c r="R1185" i="14" s="1"/>
  <c r="N1091" i="14"/>
  <c r="BA1091" i="14" s="1"/>
  <c r="N1195" i="14"/>
  <c r="BM1195" i="14" s="1"/>
  <c r="N1132" i="14"/>
  <c r="W1132" i="14" s="1"/>
  <c r="N1095" i="14"/>
  <c r="BL1095" i="14" s="1"/>
  <c r="N1163" i="14"/>
  <c r="BB1163" i="14" s="1"/>
  <c r="N1183" i="14"/>
  <c r="Q1183" i="14" s="1"/>
  <c r="N1048" i="14"/>
  <c r="E1048" i="14" s="1"/>
  <c r="N1189" i="14"/>
  <c r="W1189" i="14" s="1"/>
  <c r="N1161" i="14"/>
  <c r="G1161" i="14" s="1"/>
  <c r="N1186" i="14"/>
  <c r="BL1186" i="14" s="1"/>
  <c r="N1026" i="14"/>
  <c r="AZ1026" i="14" s="1"/>
  <c r="N1090" i="14"/>
  <c r="BB1090" i="14" s="1"/>
  <c r="N1073" i="14"/>
  <c r="AY1073" i="14" s="1"/>
  <c r="N1066" i="14"/>
  <c r="E1066" i="14" s="1"/>
  <c r="N1213" i="14"/>
  <c r="Q1213" i="14" s="1"/>
  <c r="N1128" i="14"/>
  <c r="BB1128" i="14" s="1"/>
  <c r="N1032" i="14"/>
  <c r="I1032" i="14" s="1"/>
  <c r="N1046" i="14"/>
  <c r="BB1046" i="14" s="1"/>
  <c r="N1033" i="14"/>
  <c r="W1033" i="14" s="1"/>
  <c r="N1130" i="14"/>
  <c r="U1130" i="14" s="1"/>
  <c r="N1096" i="14"/>
  <c r="BM1096" i="14" s="1"/>
  <c r="N1081" i="14"/>
  <c r="AZ1081" i="14" s="1"/>
  <c r="N1107" i="14"/>
  <c r="T1107" i="14" s="1"/>
  <c r="N1127" i="14"/>
  <c r="W1127" i="14" s="1"/>
  <c r="N1196" i="14"/>
  <c r="J1196" i="14" s="1"/>
  <c r="N1110" i="14"/>
  <c r="E1110" i="14" s="1"/>
  <c r="N1098" i="14"/>
  <c r="R1098" i="14" s="1"/>
  <c r="N1049" i="14"/>
  <c r="BB1049" i="14" s="1"/>
  <c r="N1219" i="14"/>
  <c r="J1219" i="14" s="1"/>
  <c r="N1062" i="14"/>
  <c r="BA1062" i="14" s="1"/>
  <c r="N1069" i="14"/>
  <c r="BB1069" i="14" s="1"/>
  <c r="N1198" i="14"/>
  <c r="T1198" i="14" s="1"/>
  <c r="N1060" i="14"/>
  <c r="Q1060" i="14" s="1"/>
  <c r="N1215" i="14"/>
  <c r="BM1215" i="14" s="1"/>
  <c r="N1134" i="14"/>
  <c r="R1134" i="14" s="1"/>
  <c r="N1148" i="14"/>
  <c r="BA1148" i="14" s="1"/>
  <c r="N1157" i="14"/>
  <c r="BA1157" i="14" s="1"/>
  <c r="N1207" i="14"/>
  <c r="I1207" i="14" s="1"/>
  <c r="N1164" i="14"/>
  <c r="AY1164" i="14" s="1"/>
  <c r="N1025" i="14"/>
  <c r="N1111" i="14"/>
  <c r="Q1111" i="14" s="1"/>
  <c r="N1085" i="14"/>
  <c r="BM1085" i="14" s="1"/>
  <c r="N1180" i="14"/>
  <c r="BA1180" i="14" s="1"/>
  <c r="N1050" i="14"/>
  <c r="BL1050" i="14" s="1"/>
  <c r="N1092" i="14"/>
  <c r="G1092" i="14" s="1"/>
  <c r="N1038" i="14"/>
  <c r="BA1038" i="14" s="1"/>
  <c r="N1191" i="14"/>
  <c r="W1191" i="14" s="1"/>
  <c r="N1135" i="14"/>
  <c r="J1135" i="14" s="1"/>
  <c r="N1103" i="14"/>
  <c r="T1103" i="14" s="1"/>
  <c r="N1034" i="14"/>
  <c r="U1034" i="14" s="1"/>
  <c r="N1028" i="14"/>
  <c r="J1028" i="14" s="1"/>
  <c r="N1027" i="14"/>
  <c r="Q1027" i="14" s="1"/>
  <c r="N1151" i="14"/>
  <c r="BB1151" i="14" s="1"/>
  <c r="N1182" i="14"/>
  <c r="G1182" i="14" s="1"/>
  <c r="N1088" i="14"/>
  <c r="BM1088" i="14" s="1"/>
  <c r="N1082" i="14"/>
  <c r="G1082" i="14" s="1"/>
  <c r="N1194" i="14"/>
  <c r="AY1194" i="14" s="1"/>
  <c r="N1138" i="14"/>
  <c r="G1138" i="14" s="1"/>
  <c r="N1036" i="14"/>
  <c r="W1036" i="14" s="1"/>
  <c r="N1124" i="14"/>
  <c r="AY1124" i="14" s="1"/>
  <c r="N1146" i="14"/>
  <c r="W1146" i="14" s="1"/>
  <c r="N1075" i="14"/>
  <c r="BM1075" i="14" s="1"/>
  <c r="N1187" i="14"/>
  <c r="BM1187" i="14" s="1"/>
  <c r="N1114" i="14"/>
  <c r="BA1114" i="14" s="1"/>
  <c r="N1051" i="14"/>
  <c r="BL1051" i="14" s="1"/>
  <c r="N1109" i="14"/>
  <c r="W1109" i="14" s="1"/>
  <c r="N1137" i="14"/>
  <c r="AZ1137" i="14" s="1"/>
  <c r="N1039" i="14"/>
  <c r="T1039" i="14" s="1"/>
  <c r="N1040" i="14"/>
  <c r="BA1040" i="14" s="1"/>
  <c r="N1097" i="14"/>
  <c r="BA1097" i="14" s="1"/>
  <c r="N1029" i="14"/>
  <c r="G1029" i="14" s="1"/>
  <c r="N1119" i="14"/>
  <c r="BB1119" i="14" s="1"/>
  <c r="N1100" i="14"/>
  <c r="G1100" i="14" s="1"/>
  <c r="N1192" i="14"/>
  <c r="E1192" i="14" s="1"/>
  <c r="N1170" i="14"/>
  <c r="G1170" i="14" s="1"/>
  <c r="N1172" i="14"/>
  <c r="BA1172" i="14" s="1"/>
  <c r="N1142" i="14"/>
  <c r="BL1142" i="14" s="1"/>
  <c r="N1045" i="14"/>
  <c r="BA1045" i="14" s="1"/>
  <c r="N1174" i="14"/>
  <c r="AZ1174" i="14" s="1"/>
  <c r="N1030" i="14"/>
  <c r="E1030" i="14" s="1"/>
  <c r="N1144" i="14"/>
  <c r="AY1144" i="14" s="1"/>
  <c r="N1053" i="14"/>
  <c r="AY1053" i="14" s="1"/>
  <c r="N1203" i="14"/>
  <c r="AZ1203" i="14" s="1"/>
  <c r="N1149" i="14"/>
  <c r="J1149" i="14" s="1"/>
  <c r="N1173" i="14"/>
  <c r="J1173" i="14" s="1"/>
  <c r="N1071" i="14"/>
  <c r="AZ1071" i="14" s="1"/>
  <c r="N1129" i="14"/>
  <c r="BA1129" i="14" s="1"/>
  <c r="N1041" i="14"/>
  <c r="G1041" i="14" s="1"/>
  <c r="N1072" i="14"/>
  <c r="BA1072" i="14" s="1"/>
  <c r="N1117" i="14"/>
  <c r="BB1117" i="14" s="1"/>
  <c r="N1208" i="14"/>
  <c r="T1208" i="14" s="1"/>
  <c r="N1057" i="14"/>
  <c r="Q1057" i="14" s="1"/>
  <c r="N1094" i="14"/>
  <c r="BA1094" i="14" s="1"/>
  <c r="N1084" i="14"/>
  <c r="BB1084" i="14" s="1"/>
  <c r="N1171" i="14"/>
  <c r="AY1171" i="14" s="1"/>
  <c r="N1074" i="14"/>
  <c r="T1074" i="14" s="1"/>
  <c r="BQ1025" i="14" a="1"/>
  <c r="BQ1025" i="14" s="1"/>
  <c r="N1225" i="14"/>
  <c r="W1125" i="14"/>
  <c r="BA1125" i="14"/>
  <c r="I1125" i="14"/>
  <c r="Q1125" i="14"/>
  <c r="G1125" i="14"/>
  <c r="AY1125" i="14"/>
  <c r="AZ1125" i="14"/>
  <c r="R1125" i="14"/>
  <c r="BB1125" i="14"/>
  <c r="U1125" i="14"/>
  <c r="T1125" i="14"/>
  <c r="J1125" i="14"/>
  <c r="E1125" i="14"/>
  <c r="BM1125" i="14"/>
  <c r="BL1125" i="14"/>
  <c r="P1125" i="14" a="1"/>
  <c r="H1125" i="14" a="1"/>
  <c r="Q1126" i="14" l="1"/>
  <c r="J1126" i="14"/>
  <c r="W1126" i="14"/>
  <c r="AF1126" i="14" s="1"/>
  <c r="U1126" i="14"/>
  <c r="BA1126" i="14"/>
  <c r="BL1126" i="14"/>
  <c r="I1126" i="14"/>
  <c r="AZ1126" i="14"/>
  <c r="BB1126" i="14"/>
  <c r="T1126" i="14"/>
  <c r="BM1126" i="14"/>
  <c r="E1126" i="14"/>
  <c r="R1126" i="14"/>
  <c r="AY1126" i="14"/>
  <c r="BM1043" i="14"/>
  <c r="R1043" i="14"/>
  <c r="U1108" i="14"/>
  <c r="U1168" i="14"/>
  <c r="Q1043" i="14"/>
  <c r="E1043" i="14"/>
  <c r="AZ1168" i="14"/>
  <c r="BB1168" i="14"/>
  <c r="BM1168" i="14"/>
  <c r="G1168" i="14"/>
  <c r="BG1168" i="14" s="1"/>
  <c r="I1168" i="14"/>
  <c r="AY1168" i="14"/>
  <c r="W1168" i="14"/>
  <c r="J1168" i="14"/>
  <c r="BA1168" i="14"/>
  <c r="BL1168" i="14"/>
  <c r="E1168" i="14"/>
  <c r="T1168" i="14"/>
  <c r="R1168" i="14"/>
  <c r="BM1211" i="14"/>
  <c r="BB1211" i="14"/>
  <c r="E1211" i="14"/>
  <c r="AY1211" i="14"/>
  <c r="G1211" i="14"/>
  <c r="BG1211" i="14" s="1"/>
  <c r="Q1211" i="14"/>
  <c r="E1108" i="14"/>
  <c r="Q1205" i="14"/>
  <c r="R1205" i="14"/>
  <c r="AY1205" i="14"/>
  <c r="I1205" i="14"/>
  <c r="AY1108" i="14"/>
  <c r="G1108" i="14"/>
  <c r="BG1108" i="14" s="1"/>
  <c r="I1108" i="14"/>
  <c r="T1108" i="14"/>
  <c r="Q1108" i="14"/>
  <c r="BA1108" i="14"/>
  <c r="BM1108" i="14"/>
  <c r="BL1108" i="14"/>
  <c r="W1108" i="14"/>
  <c r="J1108" i="14"/>
  <c r="AZ1108" i="14"/>
  <c r="BB1108" i="14"/>
  <c r="U1211" i="14"/>
  <c r="I1211" i="14"/>
  <c r="BL1211" i="14"/>
  <c r="W1211" i="14"/>
  <c r="J1211" i="14"/>
  <c r="BA1211" i="14"/>
  <c r="T1211" i="14"/>
  <c r="R1211" i="14"/>
  <c r="E1205" i="14"/>
  <c r="U1043" i="14"/>
  <c r="W1043" i="14"/>
  <c r="G1043" i="14"/>
  <c r="BG1043" i="14" s="1"/>
  <c r="T1043" i="14"/>
  <c r="BA1043" i="14"/>
  <c r="BL1043" i="14"/>
  <c r="BB1043" i="14"/>
  <c r="J1043" i="14"/>
  <c r="AZ1043" i="14"/>
  <c r="BA1205" i="14"/>
  <c r="U1205" i="14"/>
  <c r="BL1205" i="14"/>
  <c r="BB1205" i="14"/>
  <c r="G1205" i="14"/>
  <c r="BM1223" i="14"/>
  <c r="W1193" i="14"/>
  <c r="AY1043" i="14"/>
  <c r="BB1223" i="14"/>
  <c r="G1193" i="14"/>
  <c r="BG1193" i="14" s="1"/>
  <c r="I1059" i="14"/>
  <c r="T1205" i="14"/>
  <c r="AZ1205" i="14"/>
  <c r="BM1205" i="14"/>
  <c r="U1106" i="14"/>
  <c r="R1059" i="14"/>
  <c r="W1205" i="14"/>
  <c r="BL1223" i="14"/>
  <c r="W1223" i="14"/>
  <c r="BA1223" i="14"/>
  <c r="R1223" i="14"/>
  <c r="U1223" i="14"/>
  <c r="J1223" i="14"/>
  <c r="AZ1223" i="14"/>
  <c r="AY1106" i="14"/>
  <c r="U1193" i="14"/>
  <c r="BA1193" i="14"/>
  <c r="Q1193" i="14"/>
  <c r="BB1193" i="14"/>
  <c r="E1223" i="14"/>
  <c r="AY1223" i="14"/>
  <c r="G1223" i="14"/>
  <c r="BG1223" i="14" s="1"/>
  <c r="I1223" i="14"/>
  <c r="T1223" i="14"/>
  <c r="BL1059" i="14"/>
  <c r="G1059" i="14"/>
  <c r="BG1059" i="14" s="1"/>
  <c r="AY1059" i="14"/>
  <c r="G1220" i="14"/>
  <c r="BG1220" i="14" s="1"/>
  <c r="BB1179" i="14"/>
  <c r="J1059" i="14"/>
  <c r="J1193" i="14"/>
  <c r="R1193" i="14"/>
  <c r="E1193" i="14"/>
  <c r="BL1193" i="14"/>
  <c r="I1179" i="14"/>
  <c r="AZ1059" i="14"/>
  <c r="BM1193" i="14"/>
  <c r="E1059" i="14"/>
  <c r="AZ1193" i="14"/>
  <c r="U1059" i="14"/>
  <c r="T1059" i="14"/>
  <c r="AY1193" i="14"/>
  <c r="Q1106" i="14"/>
  <c r="Q1059" i="14"/>
  <c r="T1193" i="14"/>
  <c r="BB1059" i="14"/>
  <c r="W1059" i="14"/>
  <c r="BM1059" i="14"/>
  <c r="E1179" i="14"/>
  <c r="R1133" i="14"/>
  <c r="T1220" i="14"/>
  <c r="W1179" i="14"/>
  <c r="I1220" i="14"/>
  <c r="BA1220" i="14"/>
  <c r="R1139" i="14"/>
  <c r="BM1106" i="14"/>
  <c r="BA1106" i="14"/>
  <c r="W1106" i="14"/>
  <c r="BB1106" i="14"/>
  <c r="E1106" i="14"/>
  <c r="J1106" i="14"/>
  <c r="BL1106" i="14"/>
  <c r="R1106" i="14"/>
  <c r="AZ1106" i="14"/>
  <c r="T1106" i="14"/>
  <c r="G1106" i="14"/>
  <c r="BG1106" i="14" s="1"/>
  <c r="R1179" i="14"/>
  <c r="Q1179" i="14"/>
  <c r="BM1025" i="14"/>
  <c r="W1133" i="14"/>
  <c r="BM1179" i="14"/>
  <c r="BA1133" i="14"/>
  <c r="BL1179" i="14"/>
  <c r="J1179" i="14"/>
  <c r="U1179" i="14"/>
  <c r="AZ1220" i="14"/>
  <c r="BB1220" i="14"/>
  <c r="U1220" i="14"/>
  <c r="W1220" i="14"/>
  <c r="BM1220" i="14"/>
  <c r="BL1220" i="14"/>
  <c r="J1220" i="14"/>
  <c r="E1220" i="14"/>
  <c r="AY1220" i="14"/>
  <c r="Q1220" i="14"/>
  <c r="J1139" i="14"/>
  <c r="W1139" i="14"/>
  <c r="AF1139" i="14" s="1"/>
  <c r="BA1139" i="14"/>
  <c r="E1139" i="14"/>
  <c r="AZ1139" i="14"/>
  <c r="BL1139" i="14"/>
  <c r="AY1133" i="14"/>
  <c r="AZ1179" i="14"/>
  <c r="G1179" i="14"/>
  <c r="BG1179" i="14" s="1"/>
  <c r="AY1179" i="14"/>
  <c r="T1179" i="14"/>
  <c r="E1133" i="14"/>
  <c r="Q1133" i="14"/>
  <c r="AZ1133" i="14"/>
  <c r="BM1133" i="14"/>
  <c r="R1175" i="14"/>
  <c r="U1175" i="14"/>
  <c r="J1175" i="14"/>
  <c r="G1133" i="14"/>
  <c r="BG1133" i="14" s="1"/>
  <c r="J1133" i="14"/>
  <c r="I1133" i="14"/>
  <c r="BL1133" i="14"/>
  <c r="T1133" i="14"/>
  <c r="U1133" i="14"/>
  <c r="I1139" i="14"/>
  <c r="T1139" i="14"/>
  <c r="U1139" i="14"/>
  <c r="BM1139" i="14"/>
  <c r="Q1139" i="14"/>
  <c r="G1175" i="14"/>
  <c r="BG1175" i="14" s="1"/>
  <c r="I1175" i="14"/>
  <c r="Q1175" i="14"/>
  <c r="BB1175" i="14"/>
  <c r="G1166" i="14"/>
  <c r="BG1166" i="14" s="1"/>
  <c r="E1166" i="14"/>
  <c r="BA1166" i="14"/>
  <c r="W1166" i="14"/>
  <c r="W1175" i="14"/>
  <c r="BA1175" i="14"/>
  <c r="BB1139" i="14"/>
  <c r="AZ1166" i="14"/>
  <c r="T1175" i="14"/>
  <c r="BB1166" i="14"/>
  <c r="E1175" i="14"/>
  <c r="AY1139" i="14"/>
  <c r="AZ1058" i="14"/>
  <c r="U1121" i="14"/>
  <c r="I1058" i="14"/>
  <c r="BA1121" i="14"/>
  <c r="W1121" i="14"/>
  <c r="AZ1121" i="14"/>
  <c r="E1176" i="14"/>
  <c r="T1121" i="14"/>
  <c r="Q1121" i="14"/>
  <c r="T1166" i="14"/>
  <c r="BL1166" i="14"/>
  <c r="BM1166" i="14"/>
  <c r="J1166" i="14"/>
  <c r="Q1058" i="14"/>
  <c r="BL1178" i="14"/>
  <c r="W1178" i="14"/>
  <c r="R1166" i="14"/>
  <c r="AY1166" i="14"/>
  <c r="BB1178" i="14"/>
  <c r="I1166" i="14"/>
  <c r="E1178" i="14"/>
  <c r="U1166" i="14"/>
  <c r="J1178" i="14"/>
  <c r="R1079" i="14"/>
  <c r="T1176" i="14"/>
  <c r="AY1176" i="14"/>
  <c r="Q1176" i="14"/>
  <c r="E1121" i="14"/>
  <c r="I1176" i="14"/>
  <c r="W1176" i="14"/>
  <c r="AF1176" i="14" s="1"/>
  <c r="BM1121" i="14"/>
  <c r="E1079" i="14"/>
  <c r="BM1176" i="14"/>
  <c r="BA1176" i="14"/>
  <c r="BB1121" i="14"/>
  <c r="BL1175" i="14"/>
  <c r="J1079" i="14"/>
  <c r="BL1176" i="14"/>
  <c r="U1176" i="14"/>
  <c r="R1176" i="14"/>
  <c r="G1121" i="14"/>
  <c r="AZ1079" i="14"/>
  <c r="J1176" i="14"/>
  <c r="I1121" i="14"/>
  <c r="AY1175" i="14"/>
  <c r="AZ1176" i="14"/>
  <c r="R1178" i="14"/>
  <c r="U1079" i="14"/>
  <c r="AZ1178" i="14"/>
  <c r="W1079" i="14"/>
  <c r="T1178" i="14"/>
  <c r="BA1079" i="14"/>
  <c r="BA1178" i="14"/>
  <c r="BM1079" i="14"/>
  <c r="BB1068" i="14"/>
  <c r="BM1178" i="14"/>
  <c r="T1079" i="14"/>
  <c r="AY1178" i="14"/>
  <c r="BL1121" i="14"/>
  <c r="AY1079" i="14"/>
  <c r="G1068" i="14"/>
  <c r="BG1068" i="14" s="1"/>
  <c r="G1178" i="14"/>
  <c r="BG1178" i="14" s="1"/>
  <c r="J1121" i="14"/>
  <c r="AZ1175" i="14"/>
  <c r="G1079" i="14"/>
  <c r="BG1079" i="14" s="1"/>
  <c r="BB1176" i="14"/>
  <c r="T1068" i="14"/>
  <c r="U1068" i="14"/>
  <c r="BL1079" i="14"/>
  <c r="BM1068" i="14"/>
  <c r="Q1178" i="14"/>
  <c r="R1121" i="14"/>
  <c r="Q1079" i="14"/>
  <c r="U1178" i="14"/>
  <c r="BB1079" i="14"/>
  <c r="BA1042" i="14"/>
  <c r="E1068" i="14"/>
  <c r="AZ1068" i="14"/>
  <c r="AY1068" i="14"/>
  <c r="I1068" i="14"/>
  <c r="BL1068" i="14"/>
  <c r="Q1068" i="14"/>
  <c r="R1068" i="14"/>
  <c r="W1068" i="14"/>
  <c r="J1068" i="14"/>
  <c r="AZ1042" i="14"/>
  <c r="BB1042" i="14"/>
  <c r="J1042" i="14"/>
  <c r="T1042" i="14"/>
  <c r="G1042" i="14"/>
  <c r="BG1042" i="14" s="1"/>
  <c r="AY1042" i="14"/>
  <c r="Q1042" i="14"/>
  <c r="E1042" i="14"/>
  <c r="I1042" i="14"/>
  <c r="R1042" i="14"/>
  <c r="W1042" i="14"/>
  <c r="U1042" i="14"/>
  <c r="BM1042" i="14"/>
  <c r="AY1058" i="14"/>
  <c r="BL1058" i="14"/>
  <c r="G1058" i="14"/>
  <c r="BG1058" i="14" s="1"/>
  <c r="J1058" i="14"/>
  <c r="BA1058" i="14"/>
  <c r="BB1058" i="14"/>
  <c r="W1058" i="14"/>
  <c r="E1058" i="14"/>
  <c r="T1058" i="14"/>
  <c r="U1058" i="14"/>
  <c r="R1058" i="14"/>
  <c r="BA1153" i="14"/>
  <c r="W1153" i="14"/>
  <c r="U1153" i="14"/>
  <c r="T1153" i="14"/>
  <c r="E1153" i="14"/>
  <c r="R1153" i="14"/>
  <c r="J1153" i="14"/>
  <c r="BB1153" i="14"/>
  <c r="BM1153" i="14"/>
  <c r="AY1153" i="14"/>
  <c r="G1153" i="14"/>
  <c r="BG1153" i="14" s="1"/>
  <c r="Q1067" i="14"/>
  <c r="I1153" i="14"/>
  <c r="Q1153" i="14"/>
  <c r="J1131" i="14"/>
  <c r="T1131" i="14"/>
  <c r="Q1131" i="14"/>
  <c r="BB1113" i="14"/>
  <c r="AY1221" i="14"/>
  <c r="E1131" i="14"/>
  <c r="AY1131" i="14"/>
  <c r="I1221" i="14"/>
  <c r="BM1131" i="14"/>
  <c r="T1221" i="14"/>
  <c r="G1221" i="14"/>
  <c r="BG1221" i="14" s="1"/>
  <c r="G1113" i="14"/>
  <c r="BG1113" i="14" s="1"/>
  <c r="E1113" i="14"/>
  <c r="BA1113" i="14"/>
  <c r="Q1113" i="14"/>
  <c r="J1113" i="14"/>
  <c r="W1113" i="14"/>
  <c r="BL1113" i="14"/>
  <c r="U1113" i="14"/>
  <c r="I1113" i="14"/>
  <c r="AZ1113" i="14"/>
  <c r="T1113" i="14"/>
  <c r="BM1113" i="14"/>
  <c r="AY1113" i="14"/>
  <c r="AZ1153" i="14"/>
  <c r="I1131" i="14"/>
  <c r="BM1221" i="14"/>
  <c r="BM1067" i="14"/>
  <c r="J1067" i="14"/>
  <c r="BL1067" i="14"/>
  <c r="E1067" i="14"/>
  <c r="R1067" i="14"/>
  <c r="BB1067" i="14"/>
  <c r="BL1221" i="14"/>
  <c r="W1131" i="14"/>
  <c r="J1221" i="14"/>
  <c r="U1221" i="14"/>
  <c r="AZ1067" i="14"/>
  <c r="T1067" i="14"/>
  <c r="BH1067" i="14" s="1"/>
  <c r="AY1067" i="14"/>
  <c r="G1067" i="14"/>
  <c r="AF1067" i="14" s="1"/>
  <c r="I1067" i="14"/>
  <c r="BA1067" i="14"/>
  <c r="U1067" i="14"/>
  <c r="T1070" i="14"/>
  <c r="R1131" i="14"/>
  <c r="BL1131" i="14"/>
  <c r="BB1131" i="14"/>
  <c r="U1131" i="14"/>
  <c r="G1131" i="14"/>
  <c r="AZ1131" i="14"/>
  <c r="J1070" i="14"/>
  <c r="E1070" i="14"/>
  <c r="BM1070" i="14"/>
  <c r="R1222" i="14"/>
  <c r="AY1222" i="14"/>
  <c r="U1150" i="14"/>
  <c r="W1150" i="14"/>
  <c r="Q1222" i="14"/>
  <c r="R1070" i="14"/>
  <c r="BL1136" i="14"/>
  <c r="AY1070" i="14"/>
  <c r="Q1136" i="14"/>
  <c r="Q1070" i="14"/>
  <c r="J1222" i="14"/>
  <c r="I1070" i="14"/>
  <c r="BL1222" i="14"/>
  <c r="BB1222" i="14"/>
  <c r="BM1222" i="14"/>
  <c r="AZ1070" i="14"/>
  <c r="BB1136" i="14"/>
  <c r="W1222" i="14"/>
  <c r="G1070" i="14"/>
  <c r="BG1070" i="14" s="1"/>
  <c r="U1070" i="14"/>
  <c r="J1136" i="14"/>
  <c r="W1070" i="14"/>
  <c r="BL1070" i="14"/>
  <c r="BA1070" i="14"/>
  <c r="E1136" i="14"/>
  <c r="U1136" i="14"/>
  <c r="AY1136" i="14"/>
  <c r="W1044" i="14"/>
  <c r="R1214" i="14"/>
  <c r="AY1214" i="14"/>
  <c r="BB1080" i="14"/>
  <c r="AZ1214" i="14"/>
  <c r="BB1221" i="14"/>
  <c r="R1136" i="14"/>
  <c r="U1222" i="14"/>
  <c r="G1214" i="14"/>
  <c r="BG1214" i="14" s="1"/>
  <c r="I1214" i="14"/>
  <c r="Q1221" i="14"/>
  <c r="T1136" i="14"/>
  <c r="BH1136" i="14" s="1"/>
  <c r="E1222" i="14"/>
  <c r="J1214" i="14"/>
  <c r="W1214" i="14"/>
  <c r="BL1214" i="14"/>
  <c r="Q1214" i="14"/>
  <c r="U1214" i="14"/>
  <c r="W1221" i="14"/>
  <c r="G1136" i="14"/>
  <c r="BG1136" i="14" s="1"/>
  <c r="AZ1222" i="14"/>
  <c r="E1221" i="14"/>
  <c r="BA1221" i="14"/>
  <c r="I1136" i="14"/>
  <c r="G1222" i="14"/>
  <c r="BB1214" i="14"/>
  <c r="BA1214" i="14"/>
  <c r="BM1214" i="14"/>
  <c r="R1221" i="14"/>
  <c r="AZ1136" i="14"/>
  <c r="BA1136" i="14"/>
  <c r="I1222" i="14"/>
  <c r="T1214" i="14"/>
  <c r="R1080" i="14"/>
  <c r="BM1136" i="14"/>
  <c r="T1222" i="14"/>
  <c r="J1080" i="14"/>
  <c r="E1080" i="14"/>
  <c r="T1080" i="14"/>
  <c r="AY1080" i="14"/>
  <c r="G1080" i="14"/>
  <c r="BG1080" i="14" s="1"/>
  <c r="Q1080" i="14"/>
  <c r="BM1076" i="14"/>
  <c r="AZ1080" i="14"/>
  <c r="I1080" i="14"/>
  <c r="W1080" i="14"/>
  <c r="BM1080" i="14"/>
  <c r="BA1080" i="14"/>
  <c r="AY1076" i="14"/>
  <c r="U1080" i="14"/>
  <c r="T1076" i="14"/>
  <c r="R1076" i="14"/>
  <c r="U1076" i="14"/>
  <c r="AY1077" i="14"/>
  <c r="T1047" i="14"/>
  <c r="R1047" i="14"/>
  <c r="BB1047" i="14"/>
  <c r="U1047" i="14"/>
  <c r="AZ1047" i="14"/>
  <c r="I1099" i="14"/>
  <c r="I1077" i="14"/>
  <c r="AY1099" i="14"/>
  <c r="BA1099" i="14"/>
  <c r="E1150" i="14"/>
  <c r="W1076" i="14"/>
  <c r="BM1150" i="14"/>
  <c r="R1150" i="14"/>
  <c r="BB1150" i="14"/>
  <c r="J1150" i="14"/>
  <c r="AY1150" i="14"/>
  <c r="BL1150" i="14"/>
  <c r="Q1077" i="14"/>
  <c r="BB1076" i="14"/>
  <c r="Q1099" i="14"/>
  <c r="G1150" i="14"/>
  <c r="BG1150" i="14" s="1"/>
  <c r="J1076" i="14"/>
  <c r="I1150" i="14"/>
  <c r="Q1076" i="14"/>
  <c r="T1099" i="14"/>
  <c r="T1150" i="14"/>
  <c r="Q1150" i="14"/>
  <c r="I1076" i="14"/>
  <c r="AZ1099" i="14"/>
  <c r="BA1150" i="14"/>
  <c r="BA1076" i="14"/>
  <c r="BB1099" i="14"/>
  <c r="W1099" i="14"/>
  <c r="BL1099" i="14"/>
  <c r="BL1077" i="14"/>
  <c r="G1099" i="14"/>
  <c r="BG1099" i="14" s="1"/>
  <c r="AY1047" i="14"/>
  <c r="BM1099" i="14"/>
  <c r="E1099" i="14"/>
  <c r="G1047" i="14"/>
  <c r="AZ1076" i="14"/>
  <c r="I1047" i="14"/>
  <c r="J1099" i="14"/>
  <c r="E1076" i="14"/>
  <c r="BL1076" i="14"/>
  <c r="R1099" i="14"/>
  <c r="U1093" i="14"/>
  <c r="BM1093" i="14"/>
  <c r="W1093" i="14"/>
  <c r="AF1093" i="14" s="1"/>
  <c r="J1093" i="14"/>
  <c r="I1044" i="14"/>
  <c r="Q1047" i="14"/>
  <c r="BM1047" i="14"/>
  <c r="W1047" i="14"/>
  <c r="BL1047" i="14"/>
  <c r="BA1047" i="14"/>
  <c r="J1047" i="14"/>
  <c r="T1093" i="14"/>
  <c r="U1077" i="14"/>
  <c r="W1077" i="14"/>
  <c r="AF1077" i="14" s="1"/>
  <c r="BM1077" i="14"/>
  <c r="BA1077" i="14"/>
  <c r="J1077" i="14"/>
  <c r="AZ1077" i="14"/>
  <c r="BB1077" i="14"/>
  <c r="E1077" i="14"/>
  <c r="R1077" i="14"/>
  <c r="T1077" i="14"/>
  <c r="BA1044" i="14"/>
  <c r="BB1093" i="14"/>
  <c r="R1093" i="14"/>
  <c r="BL1093" i="14"/>
  <c r="AY1093" i="14"/>
  <c r="I1093" i="14"/>
  <c r="BL1044" i="14"/>
  <c r="BA1093" i="14"/>
  <c r="J1044" i="14"/>
  <c r="R1044" i="14"/>
  <c r="Q1044" i="14"/>
  <c r="AZ1044" i="14"/>
  <c r="U1044" i="14"/>
  <c r="BM1044" i="14"/>
  <c r="BB1044" i="14"/>
  <c r="E1044" i="14"/>
  <c r="T1044" i="14"/>
  <c r="G1044" i="14"/>
  <c r="BG1044" i="14" s="1"/>
  <c r="G1078" i="14"/>
  <c r="BL1156" i="14"/>
  <c r="E1156" i="14"/>
  <c r="Q1156" i="14"/>
  <c r="BB1199" i="14"/>
  <c r="BL1199" i="14"/>
  <c r="AZ1156" i="14"/>
  <c r="I1078" i="14"/>
  <c r="T1078" i="14"/>
  <c r="Q1073" i="14"/>
  <c r="E1199" i="14"/>
  <c r="T1199" i="14"/>
  <c r="G1199" i="14"/>
  <c r="BG1199" i="14" s="1"/>
  <c r="AY1199" i="14"/>
  <c r="R1196" i="14"/>
  <c r="AY1078" i="14"/>
  <c r="AZ1184" i="14"/>
  <c r="BA1078" i="14"/>
  <c r="G1105" i="14"/>
  <c r="BG1105" i="14" s="1"/>
  <c r="E1087" i="14"/>
  <c r="BM1157" i="14"/>
  <c r="J1105" i="14"/>
  <c r="BB1078" i="14"/>
  <c r="Q1093" i="14"/>
  <c r="R1199" i="14"/>
  <c r="BM1105" i="14"/>
  <c r="BM1078" i="14"/>
  <c r="Q1199" i="14"/>
  <c r="BA1184" i="14"/>
  <c r="BM1199" i="14"/>
  <c r="E1093" i="14"/>
  <c r="AZ1199" i="14"/>
  <c r="W1199" i="14"/>
  <c r="BB1105" i="14"/>
  <c r="J1078" i="14"/>
  <c r="I1091" i="14"/>
  <c r="AZ1093" i="14"/>
  <c r="J1199" i="14"/>
  <c r="BA1199" i="14"/>
  <c r="AZ1105" i="14"/>
  <c r="AZ1078" i="14"/>
  <c r="AZ1146" i="14"/>
  <c r="I1199" i="14"/>
  <c r="R1105" i="14"/>
  <c r="R1078" i="14"/>
  <c r="R1091" i="14"/>
  <c r="BL1105" i="14"/>
  <c r="Q1078" i="14"/>
  <c r="BA1146" i="14"/>
  <c r="AY1105" i="14"/>
  <c r="U1078" i="14"/>
  <c r="W1078" i="14"/>
  <c r="Q1105" i="14"/>
  <c r="E1105" i="14"/>
  <c r="I1105" i="14"/>
  <c r="BL1078" i="14"/>
  <c r="BM1112" i="14"/>
  <c r="U1105" i="14"/>
  <c r="BA1105" i="14"/>
  <c r="R1212" i="14"/>
  <c r="AY1212" i="14"/>
  <c r="BB1162" i="14"/>
  <c r="T1105" i="14"/>
  <c r="BH1105" i="14" s="1"/>
  <c r="BA1216" i="14"/>
  <c r="AZ1192" i="14"/>
  <c r="I1192" i="14"/>
  <c r="U1216" i="14"/>
  <c r="I1216" i="14"/>
  <c r="J1209" i="14"/>
  <c r="AY1209" i="14"/>
  <c r="R1216" i="14"/>
  <c r="E1112" i="14"/>
  <c r="T1112" i="14"/>
  <c r="AZ1112" i="14"/>
  <c r="BL1112" i="14"/>
  <c r="BB1112" i="14"/>
  <c r="Q1112" i="14"/>
  <c r="BB1209" i="14"/>
  <c r="Q1216" i="14"/>
  <c r="BA1037" i="14"/>
  <c r="AY1066" i="14"/>
  <c r="BB1034" i="14"/>
  <c r="BB1216" i="14"/>
  <c r="J1156" i="14"/>
  <c r="BL1216" i="14"/>
  <c r="U1156" i="14"/>
  <c r="G1216" i="14"/>
  <c r="I1156" i="14"/>
  <c r="AY1216" i="14"/>
  <c r="W1156" i="14"/>
  <c r="T1209" i="14"/>
  <c r="I1218" i="14"/>
  <c r="AZ1052" i="14"/>
  <c r="G1112" i="14"/>
  <c r="BG1112" i="14" s="1"/>
  <c r="AY1112" i="14"/>
  <c r="I1112" i="14"/>
  <c r="R1112" i="14"/>
  <c r="BA1112" i="14"/>
  <c r="U1112" i="14"/>
  <c r="W1112" i="14"/>
  <c r="E1209" i="14"/>
  <c r="T1156" i="14"/>
  <c r="BA1156" i="14"/>
  <c r="R1209" i="14"/>
  <c r="AY1034" i="14"/>
  <c r="AZ1216" i="14"/>
  <c r="W1216" i="14"/>
  <c r="BB1156" i="14"/>
  <c r="I1209" i="14"/>
  <c r="BM1216" i="14"/>
  <c r="Q1037" i="14"/>
  <c r="R1156" i="14"/>
  <c r="AZ1209" i="14"/>
  <c r="U1209" i="14"/>
  <c r="BA1209" i="14"/>
  <c r="E1216" i="14"/>
  <c r="BB1071" i="14"/>
  <c r="BM1156" i="14"/>
  <c r="Q1209" i="14"/>
  <c r="BM1209" i="14"/>
  <c r="W1209" i="14"/>
  <c r="T1216" i="14"/>
  <c r="T1104" i="14"/>
  <c r="G1156" i="14"/>
  <c r="G1116" i="14"/>
  <c r="BG1116" i="14" s="1"/>
  <c r="G1209" i="14"/>
  <c r="BG1209" i="14" s="1"/>
  <c r="E1195" i="14"/>
  <c r="BA1207" i="14"/>
  <c r="G1066" i="14"/>
  <c r="BG1066" i="14" s="1"/>
  <c r="W1104" i="14"/>
  <c r="T1056" i="14"/>
  <c r="E1056" i="14"/>
  <c r="R1056" i="14"/>
  <c r="I1056" i="14"/>
  <c r="T1063" i="14"/>
  <c r="BA1190" i="14"/>
  <c r="U1190" i="14"/>
  <c r="R1052" i="14"/>
  <c r="U1063" i="14"/>
  <c r="E1190" i="14"/>
  <c r="BL1111" i="14"/>
  <c r="BA1032" i="14"/>
  <c r="AZ1104" i="14"/>
  <c r="BM1210" i="14"/>
  <c r="Q1101" i="14"/>
  <c r="U1104" i="14"/>
  <c r="G1104" i="14"/>
  <c r="AY1104" i="14"/>
  <c r="I1104" i="14"/>
  <c r="BL1120" i="14"/>
  <c r="E1063" i="14"/>
  <c r="BA1063" i="14"/>
  <c r="E1101" i="14"/>
  <c r="R1190" i="14"/>
  <c r="J1063" i="14"/>
  <c r="W1063" i="14"/>
  <c r="R1104" i="14"/>
  <c r="AZ1063" i="14"/>
  <c r="BL1145" i="14"/>
  <c r="BA1218" i="14"/>
  <c r="BM1032" i="14"/>
  <c r="BM1063" i="14"/>
  <c r="Q1104" i="14"/>
  <c r="BL1210" i="14"/>
  <c r="AY1145" i="14"/>
  <c r="G1219" i="14"/>
  <c r="BG1219" i="14" s="1"/>
  <c r="U1197" i="14"/>
  <c r="R1063" i="14"/>
  <c r="BM1104" i="14"/>
  <c r="BA1104" i="14"/>
  <c r="BL1063" i="14"/>
  <c r="G1063" i="14"/>
  <c r="BG1063" i="14" s="1"/>
  <c r="BL1104" i="14"/>
  <c r="U1040" i="14"/>
  <c r="AY1063" i="14"/>
  <c r="BB1104" i="14"/>
  <c r="I1063" i="14"/>
  <c r="J1104" i="14"/>
  <c r="BM1190" i="14"/>
  <c r="BB1063" i="14"/>
  <c r="W1157" i="14"/>
  <c r="BM1054" i="14"/>
  <c r="I1120" i="14"/>
  <c r="G1145" i="14"/>
  <c r="AY1103" i="14"/>
  <c r="I1145" i="14"/>
  <c r="I1054" i="14"/>
  <c r="BM1084" i="14"/>
  <c r="R1186" i="14"/>
  <c r="AZ1204" i="14"/>
  <c r="BB1038" i="14"/>
  <c r="T1186" i="14"/>
  <c r="BM1204" i="14"/>
  <c r="I1038" i="14"/>
  <c r="E1173" i="14"/>
  <c r="E1181" i="14"/>
  <c r="BL1204" i="14"/>
  <c r="J1181" i="14"/>
  <c r="E1188" i="14"/>
  <c r="G1120" i="14"/>
  <c r="BG1120" i="14" s="1"/>
  <c r="BL1084" i="14"/>
  <c r="BB1204" i="14"/>
  <c r="J1188" i="14"/>
  <c r="J1092" i="14"/>
  <c r="I1100" i="14"/>
  <c r="R1097" i="14"/>
  <c r="AY1084" i="14"/>
  <c r="BB1056" i="14"/>
  <c r="AZ1188" i="14"/>
  <c r="E1102" i="14"/>
  <c r="J1056" i="14"/>
  <c r="Q1145" i="14"/>
  <c r="Q1138" i="14"/>
  <c r="T1081" i="14"/>
  <c r="W1056" i="14"/>
  <c r="AY1138" i="14"/>
  <c r="I1138" i="14"/>
  <c r="BB1081" i="14"/>
  <c r="BA1056" i="14"/>
  <c r="R1123" i="14"/>
  <c r="BM1200" i="14"/>
  <c r="U1123" i="14"/>
  <c r="BA1224" i="14"/>
  <c r="U1081" i="14"/>
  <c r="AY1054" i="14"/>
  <c r="U1144" i="14"/>
  <c r="BB1200" i="14"/>
  <c r="BB1215" i="14"/>
  <c r="BB1181" i="14"/>
  <c r="AZ1123" i="14"/>
  <c r="Q1056" i="14"/>
  <c r="G1054" i="14"/>
  <c r="Q1144" i="14"/>
  <c r="J1186" i="14"/>
  <c r="T1200" i="14"/>
  <c r="T1181" i="14"/>
  <c r="BM1123" i="14"/>
  <c r="AY1186" i="14"/>
  <c r="BA1120" i="14"/>
  <c r="BL1054" i="14"/>
  <c r="G1081" i="14"/>
  <c r="BG1081" i="14" s="1"/>
  <c r="T1204" i="14"/>
  <c r="U1215" i="14"/>
  <c r="J1206" i="14"/>
  <c r="BL1181" i="14"/>
  <c r="W1188" i="14"/>
  <c r="BL1123" i="14"/>
  <c r="Q1120" i="14"/>
  <c r="E1145" i="14"/>
  <c r="W1145" i="14"/>
  <c r="W1084" i="14"/>
  <c r="Q1081" i="14"/>
  <c r="I1186" i="14"/>
  <c r="G1204" i="14"/>
  <c r="BG1204" i="14" s="1"/>
  <c r="G1215" i="14"/>
  <c r="E1206" i="14"/>
  <c r="G1181" i="14"/>
  <c r="BB1123" i="14"/>
  <c r="R1145" i="14"/>
  <c r="BA1145" i="14"/>
  <c r="BM1081" i="14"/>
  <c r="J1152" i="14"/>
  <c r="T1194" i="14"/>
  <c r="I1092" i="14"/>
  <c r="BA1054" i="14"/>
  <c r="W1194" i="14"/>
  <c r="E1054" i="14"/>
  <c r="W1054" i="14"/>
  <c r="BL1224" i="14"/>
  <c r="I1081" i="14"/>
  <c r="BA1186" i="14"/>
  <c r="AY1204" i="14"/>
  <c r="AY1215" i="14"/>
  <c r="R1206" i="14"/>
  <c r="AY1181" i="14"/>
  <c r="AY1123" i="14"/>
  <c r="U1145" i="14"/>
  <c r="G1188" i="14"/>
  <c r="Q1054" i="14"/>
  <c r="G1186" i="14"/>
  <c r="BG1186" i="14" s="1"/>
  <c r="BB1054" i="14"/>
  <c r="R1094" i="14"/>
  <c r="T1054" i="14"/>
  <c r="AZ1171" i="14"/>
  <c r="BB1224" i="14"/>
  <c r="U1147" i="14"/>
  <c r="E1160" i="14"/>
  <c r="Q1186" i="14"/>
  <c r="I1204" i="14"/>
  <c r="U1038" i="14"/>
  <c r="Q1215" i="14"/>
  <c r="U1206" i="14"/>
  <c r="I1181" i="14"/>
  <c r="G1123" i="14"/>
  <c r="BG1123" i="14" s="1"/>
  <c r="T1145" i="14"/>
  <c r="J1054" i="14"/>
  <c r="E1171" i="14"/>
  <c r="T1138" i="14"/>
  <c r="E1224" i="14"/>
  <c r="T1096" i="14"/>
  <c r="Q1107" i="14"/>
  <c r="E1204" i="14"/>
  <c r="Q1204" i="14"/>
  <c r="BM1038" i="14"/>
  <c r="I1215" i="14"/>
  <c r="BM1206" i="14"/>
  <c r="R1181" i="14"/>
  <c r="Q1181" i="14"/>
  <c r="Q1123" i="14"/>
  <c r="J1145" i="14"/>
  <c r="W1138" i="14"/>
  <c r="J1138" i="14"/>
  <c r="W1107" i="14"/>
  <c r="BH1107" i="14" s="1"/>
  <c r="R1204" i="14"/>
  <c r="BA1204" i="14"/>
  <c r="T1038" i="14"/>
  <c r="R1200" i="14"/>
  <c r="BA1215" i="14"/>
  <c r="BA1206" i="14"/>
  <c r="BB1097" i="14"/>
  <c r="AZ1181" i="14"/>
  <c r="W1181" i="14"/>
  <c r="T1123" i="14"/>
  <c r="I1123" i="14"/>
  <c r="AZ1145" i="14"/>
  <c r="I1084" i="14"/>
  <c r="W1200" i="14"/>
  <c r="J1215" i="14"/>
  <c r="R1054" i="14"/>
  <c r="Q1096" i="14"/>
  <c r="AZ1054" i="14"/>
  <c r="J1084" i="14"/>
  <c r="U1138" i="14"/>
  <c r="U1224" i="14"/>
  <c r="J1204" i="14"/>
  <c r="W1204" i="14"/>
  <c r="BL1038" i="14"/>
  <c r="J1200" i="14"/>
  <c r="W1206" i="14"/>
  <c r="BM1097" i="14"/>
  <c r="U1181" i="14"/>
  <c r="BA1181" i="14"/>
  <c r="U1026" i="14"/>
  <c r="E1123" i="14"/>
  <c r="W1123" i="14"/>
  <c r="BB1145" i="14"/>
  <c r="BB1206" i="14"/>
  <c r="Q1171" i="14"/>
  <c r="J1224" i="14"/>
  <c r="U1084" i="14"/>
  <c r="AZ1138" i="14"/>
  <c r="T1224" i="14"/>
  <c r="BH1224" i="14" s="1"/>
  <c r="R1038" i="14"/>
  <c r="U1200" i="14"/>
  <c r="T1097" i="14"/>
  <c r="BM1188" i="14"/>
  <c r="J1123" i="14"/>
  <c r="BB1154" i="14"/>
  <c r="BA1074" i="14"/>
  <c r="W1124" i="14"/>
  <c r="Q1124" i="14"/>
  <c r="I1029" i="14"/>
  <c r="J1127" i="14"/>
  <c r="BL1148" i="14"/>
  <c r="G1134" i="14"/>
  <c r="BG1134" i="14" s="1"/>
  <c r="R1127" i="14"/>
  <c r="J1148" i="14"/>
  <c r="I1134" i="14"/>
  <c r="G1149" i="14"/>
  <c r="BG1149" i="14" s="1"/>
  <c r="I1053" i="14"/>
  <c r="W1053" i="14"/>
  <c r="T1120" i="14"/>
  <c r="BL1185" i="14"/>
  <c r="BM1120" i="14"/>
  <c r="AZ1091" i="14"/>
  <c r="G1212" i="14"/>
  <c r="BG1212" i="14" s="1"/>
  <c r="U1184" i="14"/>
  <c r="U1196" i="14"/>
  <c r="W1147" i="14"/>
  <c r="BB1152" i="14"/>
  <c r="BM1146" i="14"/>
  <c r="BA1107" i="14"/>
  <c r="AZ1087" i="14"/>
  <c r="J1157" i="14"/>
  <c r="BL1190" i="14"/>
  <c r="G1103" i="14"/>
  <c r="T1073" i="14"/>
  <c r="I1073" i="14"/>
  <c r="AY1162" i="14"/>
  <c r="Q1134" i="14"/>
  <c r="R1173" i="14"/>
  <c r="BL1188" i="14"/>
  <c r="R1100" i="14"/>
  <c r="W1100" i="14"/>
  <c r="AF1100" i="14" s="1"/>
  <c r="W1029" i="14"/>
  <c r="Q1053" i="14"/>
  <c r="AY1120" i="14"/>
  <c r="W1073" i="14"/>
  <c r="AY1196" i="14"/>
  <c r="AY1152" i="14"/>
  <c r="BB1146" i="14"/>
  <c r="AY1087" i="14"/>
  <c r="E1157" i="14"/>
  <c r="U1103" i="14"/>
  <c r="Q1103" i="14"/>
  <c r="R1073" i="14"/>
  <c r="BA1073" i="14"/>
  <c r="I1162" i="14"/>
  <c r="BL1118" i="14"/>
  <c r="AZ1173" i="14"/>
  <c r="E1026" i="14"/>
  <c r="AZ1100" i="14"/>
  <c r="Q1100" i="14"/>
  <c r="BA1171" i="14"/>
  <c r="G1084" i="14"/>
  <c r="BG1084" i="14" s="1"/>
  <c r="R1138" i="14"/>
  <c r="BA1138" i="14"/>
  <c r="BL1091" i="14"/>
  <c r="E1212" i="14"/>
  <c r="W1212" i="14"/>
  <c r="R1184" i="14"/>
  <c r="R1224" i="14"/>
  <c r="G1196" i="14"/>
  <c r="BG1196" i="14" s="1"/>
  <c r="AY1081" i="14"/>
  <c r="Q1152" i="14"/>
  <c r="E1146" i="14"/>
  <c r="E1186" i="14"/>
  <c r="W1186" i="14"/>
  <c r="G1087" i="14"/>
  <c r="BG1087" i="14" s="1"/>
  <c r="R1157" i="14"/>
  <c r="J1190" i="14"/>
  <c r="BL1103" i="14"/>
  <c r="W1103" i="14"/>
  <c r="BH1103" i="14" s="1"/>
  <c r="J1038" i="14"/>
  <c r="BM1073" i="14"/>
  <c r="BL1200" i="14"/>
  <c r="U1056" i="14"/>
  <c r="T1162" i="14"/>
  <c r="W1162" i="14"/>
  <c r="E1215" i="14"/>
  <c r="W1215" i="14"/>
  <c r="AZ1206" i="14"/>
  <c r="T1173" i="14"/>
  <c r="BL1097" i="14"/>
  <c r="G1026" i="14"/>
  <c r="BG1026" i="14" s="1"/>
  <c r="R1188" i="14"/>
  <c r="J1100" i="14"/>
  <c r="U1120" i="14"/>
  <c r="W1120" i="14"/>
  <c r="AZ1196" i="14"/>
  <c r="I1212" i="14"/>
  <c r="J1212" i="14"/>
  <c r="T1146" i="14"/>
  <c r="BH1146" i="14" s="1"/>
  <c r="G1173" i="14"/>
  <c r="BG1173" i="14" s="1"/>
  <c r="T1091" i="14"/>
  <c r="G1155" i="14"/>
  <c r="J1146" i="14"/>
  <c r="BL1157" i="14"/>
  <c r="BL1191" i="14"/>
  <c r="E1162" i="14"/>
  <c r="R1167" i="14"/>
  <c r="BL1036" i="14"/>
  <c r="R1084" i="14"/>
  <c r="BA1084" i="14"/>
  <c r="BB1138" i="14"/>
  <c r="AY1091" i="14"/>
  <c r="T1212" i="14"/>
  <c r="G1184" i="14"/>
  <c r="BG1184" i="14" s="1"/>
  <c r="AY1224" i="14"/>
  <c r="BM1196" i="14"/>
  <c r="BA1196" i="14"/>
  <c r="BL1081" i="14"/>
  <c r="BA1081" i="14"/>
  <c r="T1061" i="14"/>
  <c r="G1146" i="14"/>
  <c r="AF1146" i="14" s="1"/>
  <c r="AZ1186" i="14"/>
  <c r="R1087" i="14"/>
  <c r="BA1087" i="14"/>
  <c r="G1157" i="14"/>
  <c r="BG1157" i="14" s="1"/>
  <c r="AY1190" i="14"/>
  <c r="BM1103" i="14"/>
  <c r="E1191" i="14"/>
  <c r="AY1038" i="14"/>
  <c r="J1073" i="14"/>
  <c r="AY1200" i="14"/>
  <c r="AZ1056" i="14"/>
  <c r="R1162" i="14"/>
  <c r="T1215" i="14"/>
  <c r="BL1206" i="14"/>
  <c r="I1173" i="14"/>
  <c r="G1097" i="14"/>
  <c r="BG1097" i="14" s="1"/>
  <c r="AZ1167" i="14"/>
  <c r="R1083" i="14"/>
  <c r="BB1036" i="14"/>
  <c r="BB1188" i="14"/>
  <c r="BM1100" i="14"/>
  <c r="AY1119" i="14"/>
  <c r="G1203" i="14"/>
  <c r="BG1203" i="14" s="1"/>
  <c r="BB1120" i="14"/>
  <c r="U1091" i="14"/>
  <c r="J1184" i="14"/>
  <c r="I1171" i="14"/>
  <c r="E1184" i="14"/>
  <c r="BB1157" i="14"/>
  <c r="BL1073" i="14"/>
  <c r="BB1184" i="14"/>
  <c r="T1196" i="14"/>
  <c r="T1190" i="14"/>
  <c r="BH1190" i="14" s="1"/>
  <c r="BB1073" i="14"/>
  <c r="Q1162" i="14"/>
  <c r="AY1173" i="14"/>
  <c r="AZ1084" i="14"/>
  <c r="Q1084" i="14"/>
  <c r="E1138" i="14"/>
  <c r="G1091" i="14"/>
  <c r="AZ1212" i="14"/>
  <c r="AY1184" i="14"/>
  <c r="G1224" i="14"/>
  <c r="AF1224" i="14" s="1"/>
  <c r="BL1196" i="14"/>
  <c r="W1196" i="14"/>
  <c r="J1081" i="14"/>
  <c r="W1081" i="14"/>
  <c r="G1061" i="14"/>
  <c r="BG1061" i="14" s="1"/>
  <c r="AY1146" i="14"/>
  <c r="U1186" i="14"/>
  <c r="BL1087" i="14"/>
  <c r="Q1087" i="14"/>
  <c r="AY1157" i="14"/>
  <c r="G1190" i="14"/>
  <c r="AF1190" i="14" s="1"/>
  <c r="BB1103" i="14"/>
  <c r="U1191" i="14"/>
  <c r="G1038" i="14"/>
  <c r="BG1038" i="14" s="1"/>
  <c r="U1073" i="14"/>
  <c r="G1200" i="14"/>
  <c r="BG1200" i="14" s="1"/>
  <c r="BM1056" i="14"/>
  <c r="U1162" i="14"/>
  <c r="BL1215" i="14"/>
  <c r="AY1206" i="14"/>
  <c r="BB1173" i="14"/>
  <c r="Q1173" i="14"/>
  <c r="I1097" i="14"/>
  <c r="BL1167" i="14"/>
  <c r="BA1083" i="14"/>
  <c r="J1036" i="14"/>
  <c r="AY1188" i="14"/>
  <c r="BL1100" i="14"/>
  <c r="T1029" i="14"/>
  <c r="AY1203" i="14"/>
  <c r="E1120" i="14"/>
  <c r="U1157" i="14"/>
  <c r="E1073" i="14"/>
  <c r="U1100" i="14"/>
  <c r="BM1091" i="14"/>
  <c r="BL1184" i="14"/>
  <c r="AY1026" i="14"/>
  <c r="U1212" i="14"/>
  <c r="W1152" i="14"/>
  <c r="W1087" i="14"/>
  <c r="E1100" i="14"/>
  <c r="J1203" i="14"/>
  <c r="E1084" i="14"/>
  <c r="BL1138" i="14"/>
  <c r="Q1091" i="14"/>
  <c r="BM1212" i="14"/>
  <c r="Q1184" i="14"/>
  <c r="Q1224" i="14"/>
  <c r="BB1196" i="14"/>
  <c r="BL1147" i="14"/>
  <c r="R1081" i="14"/>
  <c r="AZ1160" i="14"/>
  <c r="AY1061" i="14"/>
  <c r="Q1146" i="14"/>
  <c r="BM1186" i="14"/>
  <c r="AZ1107" i="14"/>
  <c r="BM1087" i="14"/>
  <c r="Q1157" i="14"/>
  <c r="Q1190" i="14"/>
  <c r="J1103" i="14"/>
  <c r="AZ1191" i="14"/>
  <c r="Q1038" i="14"/>
  <c r="AZ1073" i="14"/>
  <c r="I1200" i="14"/>
  <c r="BL1056" i="14"/>
  <c r="AZ1162" i="14"/>
  <c r="R1215" i="14"/>
  <c r="G1206" i="14"/>
  <c r="BG1206" i="14" s="1"/>
  <c r="BM1173" i="14"/>
  <c r="BA1173" i="14"/>
  <c r="W1097" i="14"/>
  <c r="T1167" i="14"/>
  <c r="R1036" i="14"/>
  <c r="I1188" i="14"/>
  <c r="T1100" i="14"/>
  <c r="E1029" i="14"/>
  <c r="U1053" i="14"/>
  <c r="J1120" i="14"/>
  <c r="BB1087" i="14"/>
  <c r="I1103" i="14"/>
  <c r="U1173" i="14"/>
  <c r="W1171" i="14"/>
  <c r="BA1212" i="14"/>
  <c r="R1103" i="14"/>
  <c r="BA1162" i="14"/>
  <c r="U1160" i="14"/>
  <c r="U1107" i="14"/>
  <c r="T1157" i="14"/>
  <c r="I1157" i="14"/>
  <c r="AZ1190" i="14"/>
  <c r="I1190" i="14"/>
  <c r="E1103" i="14"/>
  <c r="E1038" i="14"/>
  <c r="W1038" i="14"/>
  <c r="G1073" i="14"/>
  <c r="BG1073" i="14" s="1"/>
  <c r="E1200" i="14"/>
  <c r="Q1200" i="14"/>
  <c r="G1056" i="14"/>
  <c r="BG1056" i="14" s="1"/>
  <c r="BM1162" i="14"/>
  <c r="T1134" i="14"/>
  <c r="AZ1215" i="14"/>
  <c r="I1206" i="14"/>
  <c r="BL1173" i="14"/>
  <c r="W1173" i="14"/>
  <c r="T1188" i="14"/>
  <c r="Q1188" i="14"/>
  <c r="AY1100" i="14"/>
  <c r="U1029" i="14"/>
  <c r="BL1053" i="14"/>
  <c r="R1120" i="14"/>
  <c r="BL1146" i="14"/>
  <c r="G1162" i="14"/>
  <c r="BG1162" i="14" s="1"/>
  <c r="BA1100" i="14"/>
  <c r="BB1091" i="14"/>
  <c r="Q1196" i="14"/>
  <c r="BA1152" i="14"/>
  <c r="I1087" i="14"/>
  <c r="BA1103" i="14"/>
  <c r="J1162" i="14"/>
  <c r="BB1100" i="14"/>
  <c r="E1203" i="14"/>
  <c r="Q1212" i="14"/>
  <c r="I1196" i="14"/>
  <c r="BM1061" i="14"/>
  <c r="T1087" i="14"/>
  <c r="AZ1103" i="14"/>
  <c r="T1171" i="14"/>
  <c r="T1084" i="14"/>
  <c r="BM1138" i="14"/>
  <c r="J1091" i="14"/>
  <c r="W1091" i="14"/>
  <c r="BL1212" i="14"/>
  <c r="BM1184" i="14"/>
  <c r="I1184" i="14"/>
  <c r="AZ1224" i="14"/>
  <c r="I1224" i="14"/>
  <c r="E1196" i="14"/>
  <c r="E1147" i="14"/>
  <c r="E1081" i="14"/>
  <c r="R1146" i="14"/>
  <c r="I1146" i="14"/>
  <c r="BB1186" i="14"/>
  <c r="U1087" i="14"/>
  <c r="R1171" i="14"/>
  <c r="E1091" i="14"/>
  <c r="T1184" i="14"/>
  <c r="BH1184" i="14" s="1"/>
  <c r="BM1224" i="14"/>
  <c r="J1147" i="14"/>
  <c r="T1160" i="14"/>
  <c r="U1146" i="14"/>
  <c r="AY1107" i="14"/>
  <c r="AZ1157" i="14"/>
  <c r="BB1190" i="14"/>
  <c r="AZ1038" i="14"/>
  <c r="AZ1200" i="14"/>
  <c r="R1033" i="14"/>
  <c r="BL1134" i="14"/>
  <c r="T1206" i="14"/>
  <c r="U1188" i="14"/>
  <c r="Q1029" i="14"/>
  <c r="G1053" i="14"/>
  <c r="BG1053" i="14" s="1"/>
  <c r="AZ1089" i="14"/>
  <c r="G1064" i="14"/>
  <c r="BG1064" i="14" s="1"/>
  <c r="BL1141" i="14"/>
  <c r="U1055" i="14"/>
  <c r="J1195" i="14"/>
  <c r="Q1149" i="14"/>
  <c r="Q1074" i="14"/>
  <c r="G1171" i="14"/>
  <c r="BG1171" i="14" s="1"/>
  <c r="G1124" i="14"/>
  <c r="BG1124" i="14" s="1"/>
  <c r="BA1159" i="14"/>
  <c r="AZ1147" i="14"/>
  <c r="BA1147" i="14"/>
  <c r="R1160" i="14"/>
  <c r="BB1061" i="14"/>
  <c r="G1152" i="14"/>
  <c r="BG1152" i="14" s="1"/>
  <c r="BB1127" i="14"/>
  <c r="G1107" i="14"/>
  <c r="BG1107" i="14" s="1"/>
  <c r="BM1148" i="14"/>
  <c r="J1191" i="14"/>
  <c r="BM1134" i="14"/>
  <c r="AY1037" i="14"/>
  <c r="W1207" i="14"/>
  <c r="J1167" i="14"/>
  <c r="W1167" i="14"/>
  <c r="J1066" i="14"/>
  <c r="J1026" i="14"/>
  <c r="BM1036" i="14"/>
  <c r="BA1036" i="14"/>
  <c r="BL1119" i="14"/>
  <c r="AY1029" i="14"/>
  <c r="BM1116" i="14"/>
  <c r="R1203" i="14"/>
  <c r="T1147" i="14"/>
  <c r="BL1160" i="14"/>
  <c r="BL1061" i="14"/>
  <c r="Q1034" i="14"/>
  <c r="BM1152" i="14"/>
  <c r="I1152" i="14"/>
  <c r="R1107" i="14"/>
  <c r="I1107" i="14"/>
  <c r="T1154" i="14"/>
  <c r="R1191" i="14"/>
  <c r="E1149" i="14"/>
  <c r="AY1134" i="14"/>
  <c r="G1192" i="14"/>
  <c r="BL1071" i="14"/>
  <c r="BM1167" i="14"/>
  <c r="Q1066" i="14"/>
  <c r="T1026" i="14"/>
  <c r="T1036" i="14"/>
  <c r="BH1036" i="14" s="1"/>
  <c r="J1029" i="14"/>
  <c r="BA1029" i="14"/>
  <c r="U1203" i="14"/>
  <c r="BB1147" i="14"/>
  <c r="G1160" i="14"/>
  <c r="BG1160" i="14" s="1"/>
  <c r="T1195" i="14"/>
  <c r="Q1061" i="14"/>
  <c r="T1152" i="14"/>
  <c r="BM1107" i="14"/>
  <c r="J1035" i="14"/>
  <c r="Q1154" i="14"/>
  <c r="U1135" i="14"/>
  <c r="AY1191" i="14"/>
  <c r="T1090" i="14"/>
  <c r="AZ1134" i="14"/>
  <c r="W1134" i="14"/>
  <c r="Q1185" i="14"/>
  <c r="BB1167" i="14"/>
  <c r="I1026" i="14"/>
  <c r="AZ1036" i="14"/>
  <c r="BM1029" i="14"/>
  <c r="I1203" i="14"/>
  <c r="AY1071" i="14"/>
  <c r="AY1185" i="14"/>
  <c r="BL1158" i="14"/>
  <c r="BM1171" i="14"/>
  <c r="R1159" i="14"/>
  <c r="E1165" i="14"/>
  <c r="BM1147" i="14"/>
  <c r="AY1160" i="14"/>
  <c r="J1061" i="14"/>
  <c r="I1061" i="14"/>
  <c r="U1152" i="14"/>
  <c r="BL1107" i="14"/>
  <c r="G1035" i="14"/>
  <c r="BG1035" i="14" s="1"/>
  <c r="BA1154" i="14"/>
  <c r="AY1135" i="14"/>
  <c r="G1191" i="14"/>
  <c r="AF1191" i="14" s="1"/>
  <c r="G1090" i="14"/>
  <c r="BG1090" i="14" s="1"/>
  <c r="U1134" i="14"/>
  <c r="BA1134" i="14"/>
  <c r="AY1167" i="14"/>
  <c r="BM1026" i="14"/>
  <c r="Q1026" i="14"/>
  <c r="AY1036" i="14"/>
  <c r="BL1029" i="14"/>
  <c r="Q1203" i="14"/>
  <c r="BB1202" i="14"/>
  <c r="U1171" i="14"/>
  <c r="BM1158" i="14"/>
  <c r="AZ1074" i="14"/>
  <c r="BL1171" i="14"/>
  <c r="AZ1159" i="14"/>
  <c r="BL1165" i="14"/>
  <c r="G1147" i="14"/>
  <c r="BG1147" i="14" s="1"/>
  <c r="I1160" i="14"/>
  <c r="E1061" i="14"/>
  <c r="BA1061" i="14"/>
  <c r="R1152" i="14"/>
  <c r="BB1107" i="14"/>
  <c r="Q1035" i="14"/>
  <c r="Q1135" i="14"/>
  <c r="I1191" i="14"/>
  <c r="I1090" i="14"/>
  <c r="BB1134" i="14"/>
  <c r="G1167" i="14"/>
  <c r="BL1026" i="14"/>
  <c r="W1026" i="14"/>
  <c r="G1036" i="14"/>
  <c r="BG1036" i="14" s="1"/>
  <c r="AZ1029" i="14"/>
  <c r="W1203" i="14"/>
  <c r="U1202" i="14"/>
  <c r="I1154" i="14"/>
  <c r="G1158" i="14"/>
  <c r="BG1158" i="14" s="1"/>
  <c r="E1074" i="14"/>
  <c r="BB1171" i="14"/>
  <c r="BB1124" i="14"/>
  <c r="E1159" i="14"/>
  <c r="BB1165" i="14"/>
  <c r="AY1147" i="14"/>
  <c r="BM1160" i="14"/>
  <c r="W1160" i="14"/>
  <c r="R1061" i="14"/>
  <c r="W1061" i="14"/>
  <c r="AZ1152" i="14"/>
  <c r="BB1075" i="14"/>
  <c r="AZ1110" i="14"/>
  <c r="J1107" i="14"/>
  <c r="BM1191" i="14"/>
  <c r="Q1191" i="14"/>
  <c r="J1134" i="14"/>
  <c r="BM1207" i="14"/>
  <c r="Q1167" i="14"/>
  <c r="BB1026" i="14"/>
  <c r="BA1026" i="14"/>
  <c r="I1036" i="14"/>
  <c r="BB1029" i="14"/>
  <c r="G1202" i="14"/>
  <c r="BG1202" i="14" s="1"/>
  <c r="J1171" i="14"/>
  <c r="T1159" i="14"/>
  <c r="AY1165" i="14"/>
  <c r="Q1147" i="14"/>
  <c r="BB1160" i="14"/>
  <c r="BA1160" i="14"/>
  <c r="U1061" i="14"/>
  <c r="BL1152" i="14"/>
  <c r="AY1075" i="14"/>
  <c r="BM1110" i="14"/>
  <c r="E1107" i="14"/>
  <c r="BB1191" i="14"/>
  <c r="BA1191" i="14"/>
  <c r="E1134" i="14"/>
  <c r="BL1207" i="14"/>
  <c r="E1167" i="14"/>
  <c r="I1167" i="14"/>
  <c r="R1026" i="14"/>
  <c r="E1036" i="14"/>
  <c r="Q1036" i="14"/>
  <c r="R1029" i="14"/>
  <c r="T1203" i="14"/>
  <c r="Q1158" i="14"/>
  <c r="G1074" i="14"/>
  <c r="BG1074" i="14" s="1"/>
  <c r="J1124" i="14"/>
  <c r="BA1158" i="14"/>
  <c r="AY1074" i="14"/>
  <c r="BL1124" i="14"/>
  <c r="W1159" i="14"/>
  <c r="R1147" i="14"/>
  <c r="J1160" i="14"/>
  <c r="I1075" i="14"/>
  <c r="G1110" i="14"/>
  <c r="BG1110" i="14" s="1"/>
  <c r="T1191" i="14"/>
  <c r="BH1191" i="14" s="1"/>
  <c r="T1037" i="14"/>
  <c r="T1207" i="14"/>
  <c r="U1167" i="14"/>
  <c r="U1036" i="14"/>
  <c r="BM1119" i="14"/>
  <c r="AZ1116" i="14"/>
  <c r="BL1203" i="14"/>
  <c r="R1115" i="14"/>
  <c r="R1129" i="14"/>
  <c r="U1089" i="14"/>
  <c r="G1141" i="14"/>
  <c r="BG1141" i="14" s="1"/>
  <c r="J1055" i="14"/>
  <c r="Q1064" i="14"/>
  <c r="BM1089" i="14"/>
  <c r="AY1141" i="14"/>
  <c r="E1055" i="14"/>
  <c r="I1064" i="14"/>
  <c r="BL1089" i="14"/>
  <c r="Q1141" i="14"/>
  <c r="R1095" i="14"/>
  <c r="BB1055" i="14"/>
  <c r="BA1064" i="14"/>
  <c r="BB1089" i="14"/>
  <c r="AZ1141" i="14"/>
  <c r="I1141" i="14"/>
  <c r="AZ1114" i="14"/>
  <c r="G1055" i="14"/>
  <c r="T1089" i="14"/>
  <c r="E1141" i="14"/>
  <c r="BA1141" i="14"/>
  <c r="BL1049" i="14"/>
  <c r="AY1055" i="14"/>
  <c r="AY1089" i="14"/>
  <c r="BB1141" i="14"/>
  <c r="W1141" i="14"/>
  <c r="BH1141" i="14" s="1"/>
  <c r="Q1055" i="14"/>
  <c r="U1141" i="14"/>
  <c r="R1055" i="14"/>
  <c r="I1055" i="14"/>
  <c r="I1089" i="14"/>
  <c r="J1141" i="14"/>
  <c r="AZ1055" i="14"/>
  <c r="W1055" i="14"/>
  <c r="AY1041" i="14"/>
  <c r="BM1203" i="14"/>
  <c r="BA1203" i="14"/>
  <c r="R1089" i="14"/>
  <c r="BA1089" i="14"/>
  <c r="R1141" i="14"/>
  <c r="BL1055" i="14"/>
  <c r="BA1055" i="14"/>
  <c r="R1172" i="14"/>
  <c r="E1089" i="14"/>
  <c r="W1089" i="14"/>
  <c r="T1025" i="14"/>
  <c r="BM1141" i="14"/>
  <c r="T1055" i="14"/>
  <c r="W1172" i="14"/>
  <c r="BB1203" i="14"/>
  <c r="G1089" i="14"/>
  <c r="BG1089" i="14" s="1"/>
  <c r="J1089" i="14"/>
  <c r="W1075" i="14"/>
  <c r="AZ1127" i="14"/>
  <c r="W1035" i="14"/>
  <c r="U1154" i="14"/>
  <c r="AY1148" i="14"/>
  <c r="AZ1158" i="14"/>
  <c r="BB1074" i="14"/>
  <c r="I1124" i="14"/>
  <c r="J1159" i="14"/>
  <c r="I1159" i="14"/>
  <c r="AZ1165" i="14"/>
  <c r="BL1195" i="14"/>
  <c r="BM1034" i="14"/>
  <c r="BL1075" i="14"/>
  <c r="R1110" i="14"/>
  <c r="BL1127" i="14"/>
  <c r="BA1127" i="14"/>
  <c r="E1035" i="14"/>
  <c r="AY1154" i="14"/>
  <c r="AZ1148" i="14"/>
  <c r="R1135" i="14"/>
  <c r="E1090" i="14"/>
  <c r="BM1149" i="14"/>
  <c r="R1192" i="14"/>
  <c r="G1037" i="14"/>
  <c r="BG1037" i="14" s="1"/>
  <c r="U1071" i="14"/>
  <c r="AZ1207" i="14"/>
  <c r="Q1207" i="14"/>
  <c r="J1185" i="14"/>
  <c r="J1115" i="14"/>
  <c r="U1066" i="14"/>
  <c r="U1119" i="14"/>
  <c r="R1116" i="14"/>
  <c r="BL1202" i="14"/>
  <c r="U1115" i="14"/>
  <c r="AY1158" i="14"/>
  <c r="I1074" i="14"/>
  <c r="T1124" i="14"/>
  <c r="BA1124" i="14"/>
  <c r="BB1159" i="14"/>
  <c r="J1165" i="14"/>
  <c r="BB1195" i="14"/>
  <c r="G1034" i="14"/>
  <c r="BG1034" i="14" s="1"/>
  <c r="G1075" i="14"/>
  <c r="BL1110" i="14"/>
  <c r="E1127" i="14"/>
  <c r="AY1035" i="14"/>
  <c r="BL1154" i="14"/>
  <c r="W1154" i="14"/>
  <c r="AF1154" i="14" s="1"/>
  <c r="U1148" i="14"/>
  <c r="G1135" i="14"/>
  <c r="BG1135" i="14" s="1"/>
  <c r="AY1090" i="14"/>
  <c r="AY1149" i="14"/>
  <c r="AY1192" i="14"/>
  <c r="R1037" i="14"/>
  <c r="I1037" i="14"/>
  <c r="G1071" i="14"/>
  <c r="BG1071" i="14" s="1"/>
  <c r="BB1207" i="14"/>
  <c r="G1185" i="14"/>
  <c r="BG1185" i="14" s="1"/>
  <c r="AZ1115" i="14"/>
  <c r="I1066" i="14"/>
  <c r="E1119" i="14"/>
  <c r="BL1116" i="14"/>
  <c r="T1202" i="14"/>
  <c r="U1158" i="14"/>
  <c r="I1158" i="14"/>
  <c r="BL1074" i="14"/>
  <c r="W1074" i="14"/>
  <c r="AZ1124" i="14"/>
  <c r="U1159" i="14"/>
  <c r="BM1165" i="14"/>
  <c r="AY1195" i="14"/>
  <c r="T1034" i="14"/>
  <c r="I1034" i="14"/>
  <c r="J1075" i="14"/>
  <c r="BA1075" i="14"/>
  <c r="AY1110" i="14"/>
  <c r="U1127" i="14"/>
  <c r="T1035" i="14"/>
  <c r="I1035" i="14"/>
  <c r="R1154" i="14"/>
  <c r="R1148" i="14"/>
  <c r="T1135" i="14"/>
  <c r="I1135" i="14"/>
  <c r="R1090" i="14"/>
  <c r="Q1090" i="14"/>
  <c r="AZ1149" i="14"/>
  <c r="I1149" i="14"/>
  <c r="T1192" i="14"/>
  <c r="Q1192" i="14"/>
  <c r="U1037" i="14"/>
  <c r="W1037" i="14"/>
  <c r="Q1071" i="14"/>
  <c r="J1207" i="14"/>
  <c r="T1185" i="14"/>
  <c r="I1185" i="14"/>
  <c r="G1115" i="14"/>
  <c r="BG1115" i="14" s="1"/>
  <c r="R1066" i="14"/>
  <c r="W1066" i="14"/>
  <c r="G1119" i="14"/>
  <c r="AY1116" i="14"/>
  <c r="AY1202" i="14"/>
  <c r="BL1187" i="14"/>
  <c r="W1135" i="14"/>
  <c r="AZ1090" i="14"/>
  <c r="W1090" i="14"/>
  <c r="BB1149" i="14"/>
  <c r="W1149" i="14"/>
  <c r="BB1192" i="14"/>
  <c r="BA1192" i="14"/>
  <c r="BM1037" i="14"/>
  <c r="BM1071" i="14"/>
  <c r="I1071" i="14"/>
  <c r="E1207" i="14"/>
  <c r="AZ1185" i="14"/>
  <c r="W1185" i="14"/>
  <c r="AY1115" i="14"/>
  <c r="AZ1066" i="14"/>
  <c r="BA1066" i="14"/>
  <c r="I1119" i="14"/>
  <c r="Q1116" i="14"/>
  <c r="I1202" i="14"/>
  <c r="R1035" i="14"/>
  <c r="BM1135" i="14"/>
  <c r="BB1158" i="14"/>
  <c r="W1158" i="14"/>
  <c r="J1074" i="14"/>
  <c r="R1124" i="14"/>
  <c r="BM1159" i="14"/>
  <c r="G1165" i="14"/>
  <c r="AF1165" i="14" s="1"/>
  <c r="Q1195" i="14"/>
  <c r="BL1034" i="14"/>
  <c r="W1034" i="14"/>
  <c r="AZ1075" i="14"/>
  <c r="Q1075" i="14"/>
  <c r="T1110" i="14"/>
  <c r="Q1110" i="14"/>
  <c r="AY1127" i="14"/>
  <c r="AZ1035" i="14"/>
  <c r="BA1035" i="14"/>
  <c r="AZ1154" i="14"/>
  <c r="G1148" i="14"/>
  <c r="BG1148" i="14" s="1"/>
  <c r="BL1135" i="14"/>
  <c r="BA1135" i="14"/>
  <c r="BM1090" i="14"/>
  <c r="BA1090" i="14"/>
  <c r="BL1149" i="14"/>
  <c r="BA1149" i="14"/>
  <c r="J1192" i="14"/>
  <c r="W1192" i="14"/>
  <c r="BL1037" i="14"/>
  <c r="T1071" i="14"/>
  <c r="W1071" i="14"/>
  <c r="R1207" i="14"/>
  <c r="U1185" i="14"/>
  <c r="BA1185" i="14"/>
  <c r="I1115" i="14"/>
  <c r="BM1066" i="14"/>
  <c r="T1119" i="14"/>
  <c r="W1119" i="14"/>
  <c r="T1116" i="14"/>
  <c r="I1116" i="14"/>
  <c r="J1202" i="14"/>
  <c r="BA1202" i="14"/>
  <c r="I1195" i="14"/>
  <c r="E1034" i="14"/>
  <c r="T1075" i="14"/>
  <c r="J1110" i="14"/>
  <c r="BA1110" i="14"/>
  <c r="G1127" i="14"/>
  <c r="BG1127" i="14" s="1"/>
  <c r="U1035" i="14"/>
  <c r="BM1154" i="14"/>
  <c r="Q1148" i="14"/>
  <c r="BB1135" i="14"/>
  <c r="J1090" i="14"/>
  <c r="T1149" i="14"/>
  <c r="R1028" i="14"/>
  <c r="U1192" i="14"/>
  <c r="BB1037" i="14"/>
  <c r="E1071" i="14"/>
  <c r="BA1071" i="14"/>
  <c r="U1207" i="14"/>
  <c r="BM1185" i="14"/>
  <c r="BB1115" i="14"/>
  <c r="W1115" i="14"/>
  <c r="BL1066" i="14"/>
  <c r="AZ1119" i="14"/>
  <c r="BA1119" i="14"/>
  <c r="BB1116" i="14"/>
  <c r="W1116" i="14"/>
  <c r="E1202" i="14"/>
  <c r="W1202" i="14"/>
  <c r="BA1034" i="14"/>
  <c r="AZ1098" i="14"/>
  <c r="E1158" i="14"/>
  <c r="G1159" i="14"/>
  <c r="BG1159" i="14" s="1"/>
  <c r="T1165" i="14"/>
  <c r="BH1165" i="14" s="1"/>
  <c r="Q1165" i="14"/>
  <c r="U1195" i="14"/>
  <c r="W1195" i="14"/>
  <c r="J1034" i="14"/>
  <c r="E1075" i="14"/>
  <c r="U1110" i="14"/>
  <c r="W1110" i="14"/>
  <c r="I1127" i="14"/>
  <c r="BB1035" i="14"/>
  <c r="E1154" i="14"/>
  <c r="T1148" i="14"/>
  <c r="I1148" i="14"/>
  <c r="AZ1135" i="14"/>
  <c r="U1090" i="14"/>
  <c r="R1149" i="14"/>
  <c r="BM1192" i="14"/>
  <c r="E1037" i="14"/>
  <c r="J1071" i="14"/>
  <c r="AY1207" i="14"/>
  <c r="BB1185" i="14"/>
  <c r="BL1115" i="14"/>
  <c r="BA1115" i="14"/>
  <c r="T1066" i="14"/>
  <c r="R1119" i="14"/>
  <c r="Q1119" i="14"/>
  <c r="E1116" i="14"/>
  <c r="BA1116" i="14"/>
  <c r="R1202" i="14"/>
  <c r="Q1202" i="14"/>
  <c r="BM1115" i="14"/>
  <c r="G1195" i="14"/>
  <c r="BG1195" i="14" s="1"/>
  <c r="AZ1034" i="14"/>
  <c r="U1075" i="14"/>
  <c r="I1110" i="14"/>
  <c r="R1074" i="14"/>
  <c r="BM1124" i="14"/>
  <c r="BL1159" i="14"/>
  <c r="I1165" i="14"/>
  <c r="R1195" i="14"/>
  <c r="T1158" i="14"/>
  <c r="U1074" i="14"/>
  <c r="E1124" i="14"/>
  <c r="G1164" i="14"/>
  <c r="BG1164" i="14" s="1"/>
  <c r="J1158" i="14"/>
  <c r="BM1074" i="14"/>
  <c r="U1124" i="14"/>
  <c r="BB1201" i="14"/>
  <c r="AY1159" i="14"/>
  <c r="R1165" i="14"/>
  <c r="BA1165" i="14"/>
  <c r="AZ1195" i="14"/>
  <c r="BA1195" i="14"/>
  <c r="R1034" i="14"/>
  <c r="R1075" i="14"/>
  <c r="BB1110" i="14"/>
  <c r="T1127" i="14"/>
  <c r="BH1127" i="14" s="1"/>
  <c r="Q1127" i="14"/>
  <c r="BM1035" i="14"/>
  <c r="J1154" i="14"/>
  <c r="BB1148" i="14"/>
  <c r="W1148" i="14"/>
  <c r="E1135" i="14"/>
  <c r="BL1090" i="14"/>
  <c r="U1149" i="14"/>
  <c r="BL1192" i="14"/>
  <c r="J1037" i="14"/>
  <c r="R1071" i="14"/>
  <c r="G1207" i="14"/>
  <c r="BG1207" i="14" s="1"/>
  <c r="E1185" i="14"/>
  <c r="T1115" i="14"/>
  <c r="Q1115" i="14"/>
  <c r="BB1066" i="14"/>
  <c r="T1064" i="14"/>
  <c r="J1119" i="14"/>
  <c r="J1116" i="14"/>
  <c r="AZ1202" i="14"/>
  <c r="BM1201" i="14"/>
  <c r="U1165" i="14"/>
  <c r="BM1127" i="14"/>
  <c r="E1148" i="14"/>
  <c r="J1064" i="14"/>
  <c r="J1052" i="14"/>
  <c r="W1101" i="14"/>
  <c r="AF1101" i="14" s="1"/>
  <c r="G1163" i="14"/>
  <c r="BG1163" i="14" s="1"/>
  <c r="E1197" i="14"/>
  <c r="U1032" i="14"/>
  <c r="BB1210" i="14"/>
  <c r="AY1197" i="14"/>
  <c r="BA1052" i="14"/>
  <c r="G1197" i="14"/>
  <c r="BG1197" i="14" s="1"/>
  <c r="W1032" i="14"/>
  <c r="G1210" i="14"/>
  <c r="BG1210" i="14" s="1"/>
  <c r="R1218" i="14"/>
  <c r="W1052" i="14"/>
  <c r="I1197" i="14"/>
  <c r="AY1210" i="14"/>
  <c r="AY1218" i="14"/>
  <c r="AY1219" i="14"/>
  <c r="J1197" i="14"/>
  <c r="BA1197" i="14"/>
  <c r="Q1210" i="14"/>
  <c r="AZ1197" i="14"/>
  <c r="W1197" i="14"/>
  <c r="BH1197" i="14" s="1"/>
  <c r="T1210" i="14"/>
  <c r="W1210" i="14"/>
  <c r="I1219" i="14"/>
  <c r="BM1197" i="14"/>
  <c r="Q1197" i="14"/>
  <c r="E1210" i="14"/>
  <c r="BA1210" i="14"/>
  <c r="R1210" i="14"/>
  <c r="I1210" i="14"/>
  <c r="BL1197" i="14"/>
  <c r="J1111" i="14"/>
  <c r="BB1101" i="14"/>
  <c r="BB1197" i="14"/>
  <c r="J1210" i="14"/>
  <c r="BM1111" i="14"/>
  <c r="AZ1101" i="14"/>
  <c r="J1163" i="14"/>
  <c r="R1197" i="14"/>
  <c r="U1210" i="14"/>
  <c r="BA1101" i="14"/>
  <c r="AY1163" i="14"/>
  <c r="AZ1032" i="14"/>
  <c r="BB1086" i="14"/>
  <c r="AY1155" i="14"/>
  <c r="BM1137" i="14"/>
  <c r="BM1118" i="14"/>
  <c r="T1083" i="14"/>
  <c r="Q1083" i="14"/>
  <c r="AZ1102" i="14"/>
  <c r="AY1130" i="14"/>
  <c r="R1086" i="14"/>
  <c r="T1155" i="14"/>
  <c r="I1155" i="14"/>
  <c r="J1189" i="14"/>
  <c r="Q1033" i="14"/>
  <c r="AZ1118" i="14"/>
  <c r="BL1083" i="14"/>
  <c r="BL1102" i="14"/>
  <c r="R1102" i="14"/>
  <c r="AY1086" i="14"/>
  <c r="BL1155" i="14"/>
  <c r="BA1155" i="14"/>
  <c r="Q1189" i="14"/>
  <c r="AY1118" i="14"/>
  <c r="U1217" i="14"/>
  <c r="E1083" i="14"/>
  <c r="BB1102" i="14"/>
  <c r="AZ1180" i="14"/>
  <c r="G1086" i="14"/>
  <c r="BG1086" i="14" s="1"/>
  <c r="E1155" i="14"/>
  <c r="W1155" i="14"/>
  <c r="G1118" i="14"/>
  <c r="BG1118" i="14" s="1"/>
  <c r="J1083" i="14"/>
  <c r="T1102" i="14"/>
  <c r="AY1030" i="14"/>
  <c r="Q1086" i="14"/>
  <c r="BB1155" i="14"/>
  <c r="E1140" i="14"/>
  <c r="E1198" i="14"/>
  <c r="T1057" i="14"/>
  <c r="Q1118" i="14"/>
  <c r="AZ1083" i="14"/>
  <c r="BM1082" i="14"/>
  <c r="AY1102" i="14"/>
  <c r="E1086" i="14"/>
  <c r="T1086" i="14"/>
  <c r="BM1189" i="14"/>
  <c r="W1083" i="14"/>
  <c r="BL1088" i="14"/>
  <c r="G1030" i="14"/>
  <c r="BG1030" i="14" s="1"/>
  <c r="U1086" i="14"/>
  <c r="I1086" i="14"/>
  <c r="J1155" i="14"/>
  <c r="R1198" i="14"/>
  <c r="T1169" i="14"/>
  <c r="AZ1057" i="14"/>
  <c r="T1118" i="14"/>
  <c r="I1118" i="14"/>
  <c r="BB1083" i="14"/>
  <c r="I1082" i="14"/>
  <c r="G1102" i="14"/>
  <c r="BG1102" i="14" s="1"/>
  <c r="U1118" i="14"/>
  <c r="BM1174" i="14"/>
  <c r="BM1086" i="14"/>
  <c r="BA1086" i="14"/>
  <c r="R1155" i="14"/>
  <c r="G1069" i="14"/>
  <c r="R1048" i="14"/>
  <c r="BA1057" i="14"/>
  <c r="BB1118" i="14"/>
  <c r="W1118" i="14"/>
  <c r="U1083" i="14"/>
  <c r="BA1082" i="14"/>
  <c r="I1102" i="14"/>
  <c r="G1130" i="14"/>
  <c r="BG1130" i="14" s="1"/>
  <c r="Q1155" i="14"/>
  <c r="BL1086" i="14"/>
  <c r="W1086" i="14"/>
  <c r="BM1155" i="14"/>
  <c r="W1057" i="14"/>
  <c r="J1118" i="14"/>
  <c r="BA1118" i="14"/>
  <c r="AY1039" i="14"/>
  <c r="G1083" i="14"/>
  <c r="BM1102" i="14"/>
  <c r="W1102" i="14"/>
  <c r="G1050" i="14"/>
  <c r="BG1050" i="14" s="1"/>
  <c r="J1086" i="14"/>
  <c r="U1155" i="14"/>
  <c r="R1208" i="14"/>
  <c r="E1118" i="14"/>
  <c r="AY1083" i="14"/>
  <c r="J1102" i="14"/>
  <c r="BA1102" i="14"/>
  <c r="BM1083" i="14"/>
  <c r="AY1050" i="14"/>
  <c r="U1102" i="14"/>
  <c r="I1164" i="14"/>
  <c r="T1201" i="14"/>
  <c r="J1187" i="14"/>
  <c r="G1098" i="14"/>
  <c r="BG1098" i="14" s="1"/>
  <c r="BL1132" i="14"/>
  <c r="J1129" i="14"/>
  <c r="AZ1028" i="14"/>
  <c r="AY1177" i="14"/>
  <c r="T1213" i="14"/>
  <c r="U1164" i="14"/>
  <c r="Q1164" i="14"/>
  <c r="G1201" i="14"/>
  <c r="BG1201" i="14" s="1"/>
  <c r="E1187" i="14"/>
  <c r="I1098" i="14"/>
  <c r="AZ1132" i="14"/>
  <c r="BM1129" i="14"/>
  <c r="BB1028" i="14"/>
  <c r="R1213" i="14"/>
  <c r="U1122" i="14"/>
  <c r="BL1164" i="14"/>
  <c r="BA1164" i="14"/>
  <c r="AY1201" i="14"/>
  <c r="R1187" i="14"/>
  <c r="T1098" i="14"/>
  <c r="BA1098" i="14"/>
  <c r="BB1132" i="14"/>
  <c r="BB1129" i="14"/>
  <c r="BM1028" i="14"/>
  <c r="W1213" i="14"/>
  <c r="G1122" i="14"/>
  <c r="BG1122" i="14" s="1"/>
  <c r="BB1164" i="14"/>
  <c r="W1164" i="14"/>
  <c r="I1201" i="14"/>
  <c r="U1187" i="14"/>
  <c r="BL1098" i="14"/>
  <c r="W1098" i="14"/>
  <c r="R1132" i="14"/>
  <c r="U1129" i="14"/>
  <c r="G1028" i="14"/>
  <c r="BG1028" i="14" s="1"/>
  <c r="BA1213" i="14"/>
  <c r="Q1122" i="14"/>
  <c r="BL1213" i="14"/>
  <c r="J1164" i="14"/>
  <c r="Q1201" i="14"/>
  <c r="AY1187" i="14"/>
  <c r="E1098" i="14"/>
  <c r="Q1098" i="14"/>
  <c r="U1132" i="14"/>
  <c r="AZ1129" i="14"/>
  <c r="AY1028" i="14"/>
  <c r="AZ1170" i="14"/>
  <c r="BA1122" i="14"/>
  <c r="R1164" i="14"/>
  <c r="J1201" i="14"/>
  <c r="W1201" i="14"/>
  <c r="G1187" i="14"/>
  <c r="U1098" i="14"/>
  <c r="AY1132" i="14"/>
  <c r="AY1129" i="14"/>
  <c r="I1028" i="14"/>
  <c r="U1170" i="14"/>
  <c r="U1201" i="14"/>
  <c r="T1164" i="14"/>
  <c r="AZ1201" i="14"/>
  <c r="BA1201" i="14"/>
  <c r="Q1187" i="14"/>
  <c r="BM1098" i="14"/>
  <c r="G1132" i="14"/>
  <c r="BG1132" i="14" s="1"/>
  <c r="G1129" i="14"/>
  <c r="BG1129" i="14" s="1"/>
  <c r="T1028" i="14"/>
  <c r="Q1028" i="14"/>
  <c r="J1177" i="14"/>
  <c r="R1170" i="14"/>
  <c r="E1164" i="14"/>
  <c r="BL1201" i="14"/>
  <c r="T1187" i="14"/>
  <c r="I1187" i="14"/>
  <c r="AY1098" i="14"/>
  <c r="Q1132" i="14"/>
  <c r="I1129" i="14"/>
  <c r="BL1028" i="14"/>
  <c r="W1028" i="14"/>
  <c r="R1177" i="14"/>
  <c r="AY1170" i="14"/>
  <c r="BM1132" i="14"/>
  <c r="G1177" i="14"/>
  <c r="BG1177" i="14" s="1"/>
  <c r="AZ1164" i="14"/>
  <c r="E1201" i="14"/>
  <c r="AZ1187" i="14"/>
  <c r="BA1187" i="14"/>
  <c r="BB1098" i="14"/>
  <c r="T1132" i="14"/>
  <c r="BH1132" i="14" s="1"/>
  <c r="I1132" i="14"/>
  <c r="BL1129" i="14"/>
  <c r="Q1129" i="14"/>
  <c r="U1028" i="14"/>
  <c r="BA1028" i="14"/>
  <c r="U1177" i="14"/>
  <c r="I1170" i="14"/>
  <c r="BM1164" i="14"/>
  <c r="BB1187" i="14"/>
  <c r="W1187" i="14"/>
  <c r="J1098" i="14"/>
  <c r="J1132" i="14"/>
  <c r="BA1132" i="14"/>
  <c r="T1129" i="14"/>
  <c r="W1129" i="14"/>
  <c r="E1028" i="14"/>
  <c r="BL1177" i="14"/>
  <c r="W1170" i="14"/>
  <c r="AF1170" i="14" s="1"/>
  <c r="E1132" i="14"/>
  <c r="E1129" i="14"/>
  <c r="E1177" i="14"/>
  <c r="BM1151" i="14"/>
  <c r="BB1085" i="14"/>
  <c r="AY1065" i="14"/>
  <c r="BL1085" i="14"/>
  <c r="BM1109" i="14"/>
  <c r="R1065" i="14"/>
  <c r="BM1062" i="14"/>
  <c r="Q1170" i="14"/>
  <c r="U1213" i="14"/>
  <c r="I1213" i="14"/>
  <c r="AY1122" i="14"/>
  <c r="T1183" i="14"/>
  <c r="U1183" i="14"/>
  <c r="J1170" i="14"/>
  <c r="BA1170" i="14"/>
  <c r="J1213" i="14"/>
  <c r="J1122" i="14"/>
  <c r="I1122" i="14"/>
  <c r="R1051" i="14"/>
  <c r="G1031" i="14"/>
  <c r="BG1031" i="14" s="1"/>
  <c r="Q1177" i="14"/>
  <c r="BB1170" i="14"/>
  <c r="BL1151" i="14"/>
  <c r="BB1213" i="14"/>
  <c r="BL1122" i="14"/>
  <c r="W1122" i="14"/>
  <c r="T1051" i="14"/>
  <c r="T1177" i="14"/>
  <c r="I1177" i="14"/>
  <c r="E1170" i="14"/>
  <c r="U1151" i="14"/>
  <c r="AZ1213" i="14"/>
  <c r="BB1142" i="14"/>
  <c r="E1122" i="14"/>
  <c r="G1051" i="14"/>
  <c r="AY1031" i="14"/>
  <c r="G1143" i="14"/>
  <c r="BB1177" i="14"/>
  <c r="BA1177" i="14"/>
  <c r="T1170" i="14"/>
  <c r="E1072" i="14"/>
  <c r="BM1213" i="14"/>
  <c r="E1142" i="14"/>
  <c r="R1122" i="14"/>
  <c r="AZ1045" i="14"/>
  <c r="Q1143" i="14"/>
  <c r="AZ1177" i="14"/>
  <c r="W1177" i="14"/>
  <c r="BM1170" i="14"/>
  <c r="R1072" i="14"/>
  <c r="E1213" i="14"/>
  <c r="J1142" i="14"/>
  <c r="AZ1122" i="14"/>
  <c r="U1045" i="14"/>
  <c r="BL1170" i="14"/>
  <c r="J1072" i="14"/>
  <c r="G1213" i="14"/>
  <c r="BG1213" i="14" s="1"/>
  <c r="BM1122" i="14"/>
  <c r="W1182" i="14"/>
  <c r="AF1182" i="14" s="1"/>
  <c r="Q1045" i="14"/>
  <c r="W1072" i="14"/>
  <c r="AY1213" i="14"/>
  <c r="T1122" i="14"/>
  <c r="AZ1109" i="14"/>
  <c r="BL1101" i="14"/>
  <c r="BM1140" i="14"/>
  <c r="BL1069" i="14"/>
  <c r="Q1069" i="14"/>
  <c r="BM1048" i="14"/>
  <c r="Q1163" i="14"/>
  <c r="AZ1169" i="14"/>
  <c r="T1032" i="14"/>
  <c r="R1143" i="14"/>
  <c r="BA1143" i="14"/>
  <c r="AY1208" i="14"/>
  <c r="W1183" i="14"/>
  <c r="Q1137" i="14"/>
  <c r="T1033" i="14"/>
  <c r="BH1033" i="14" s="1"/>
  <c r="I1065" i="14"/>
  <c r="BM1217" i="14"/>
  <c r="U1072" i="14"/>
  <c r="AY1151" i="14"/>
  <c r="T1142" i="14"/>
  <c r="AY1051" i="14"/>
  <c r="BB1140" i="14"/>
  <c r="AZ1048" i="14"/>
  <c r="AY1137" i="14"/>
  <c r="BL1109" i="14"/>
  <c r="R1140" i="14"/>
  <c r="I1143" i="14"/>
  <c r="G1208" i="14"/>
  <c r="BG1208" i="14" s="1"/>
  <c r="E1183" i="14"/>
  <c r="G1137" i="14"/>
  <c r="BG1137" i="14" s="1"/>
  <c r="W1218" i="14"/>
  <c r="E1085" i="14"/>
  <c r="T1088" i="14"/>
  <c r="R1109" i="14"/>
  <c r="BM1031" i="14"/>
  <c r="I1031" i="14"/>
  <c r="R1174" i="14"/>
  <c r="T1045" i="14"/>
  <c r="T1219" i="14"/>
  <c r="Q1219" i="14"/>
  <c r="R1180" i="14"/>
  <c r="U1111" i="14"/>
  <c r="E1218" i="14"/>
  <c r="Q1218" i="14"/>
  <c r="BM1052" i="14"/>
  <c r="AY1085" i="14"/>
  <c r="AY1088" i="14"/>
  <c r="J1109" i="14"/>
  <c r="E1031" i="14"/>
  <c r="BA1031" i="14"/>
  <c r="G1174" i="14"/>
  <c r="BG1174" i="14" s="1"/>
  <c r="BM1045" i="14"/>
  <c r="E1219" i="14"/>
  <c r="W1219" i="14"/>
  <c r="BM1180" i="14"/>
  <c r="AZ1111" i="14"/>
  <c r="U1101" i="14"/>
  <c r="BL1140" i="14"/>
  <c r="AZ1069" i="14"/>
  <c r="W1069" i="14"/>
  <c r="G1048" i="14"/>
  <c r="BG1048" i="14" s="1"/>
  <c r="T1163" i="14"/>
  <c r="I1163" i="14"/>
  <c r="BB1169" i="14"/>
  <c r="J1032" i="14"/>
  <c r="BB1143" i="14"/>
  <c r="W1143" i="14"/>
  <c r="I1208" i="14"/>
  <c r="T1137" i="14"/>
  <c r="I1137" i="14"/>
  <c r="E1033" i="14"/>
  <c r="T1065" i="14"/>
  <c r="W1065" i="14"/>
  <c r="G1217" i="14"/>
  <c r="BG1217" i="14" s="1"/>
  <c r="AZ1072" i="14"/>
  <c r="G1151" i="14"/>
  <c r="BG1151" i="14" s="1"/>
  <c r="R1142" i="14"/>
  <c r="E1064" i="14"/>
  <c r="W1064" i="14"/>
  <c r="I1051" i="14"/>
  <c r="BB1180" i="14"/>
  <c r="AZ1208" i="14"/>
  <c r="G1088" i="14"/>
  <c r="BG1088" i="14" s="1"/>
  <c r="E1109" i="14"/>
  <c r="J1031" i="14"/>
  <c r="W1031" i="14"/>
  <c r="BH1031" i="14" s="1"/>
  <c r="AY1174" i="14"/>
  <c r="BL1045" i="14"/>
  <c r="R1219" i="14"/>
  <c r="BA1219" i="14"/>
  <c r="BL1180" i="14"/>
  <c r="R1111" i="14"/>
  <c r="J1101" i="14"/>
  <c r="T1140" i="14"/>
  <c r="R1069" i="14"/>
  <c r="BA1069" i="14"/>
  <c r="AY1048" i="14"/>
  <c r="E1163" i="14"/>
  <c r="BA1163" i="14"/>
  <c r="G1169" i="14"/>
  <c r="BG1169" i="14" s="1"/>
  <c r="R1032" i="14"/>
  <c r="BM1143" i="14"/>
  <c r="J1208" i="14"/>
  <c r="Q1208" i="14"/>
  <c r="U1137" i="14"/>
  <c r="W1137" i="14"/>
  <c r="BM1033" i="14"/>
  <c r="BM1065" i="14"/>
  <c r="BA1065" i="14"/>
  <c r="AY1217" i="14"/>
  <c r="BB1072" i="14"/>
  <c r="I1151" i="14"/>
  <c r="G1142" i="14"/>
  <c r="BG1142" i="14" s="1"/>
  <c r="U1064" i="14"/>
  <c r="W1051" i="14"/>
  <c r="I1069" i="14"/>
  <c r="U1033" i="14"/>
  <c r="R1031" i="14"/>
  <c r="Q1174" i="14"/>
  <c r="E1045" i="14"/>
  <c r="AZ1219" i="14"/>
  <c r="AY1180" i="14"/>
  <c r="AY1111" i="14"/>
  <c r="R1101" i="14"/>
  <c r="AY1140" i="14"/>
  <c r="J1069" i="14"/>
  <c r="I1048" i="14"/>
  <c r="R1163" i="14"/>
  <c r="W1163" i="14"/>
  <c r="AY1169" i="14"/>
  <c r="BL1032" i="14"/>
  <c r="BL1143" i="14"/>
  <c r="E1208" i="14"/>
  <c r="W1208" i="14"/>
  <c r="BL1137" i="14"/>
  <c r="BA1137" i="14"/>
  <c r="BL1033" i="14"/>
  <c r="BL1065" i="14"/>
  <c r="Q1065" i="14"/>
  <c r="I1217" i="14"/>
  <c r="T1072" i="14"/>
  <c r="J1151" i="14"/>
  <c r="W1151" i="14"/>
  <c r="AY1142" i="14"/>
  <c r="R1064" i="14"/>
  <c r="BA1051" i="14"/>
  <c r="R1088" i="14"/>
  <c r="U1048" i="14"/>
  <c r="J1218" i="14"/>
  <c r="T1052" i="14"/>
  <c r="T1218" i="14"/>
  <c r="E1052" i="14"/>
  <c r="U1052" i="14"/>
  <c r="AZ1031" i="14"/>
  <c r="U1174" i="14"/>
  <c r="W1174" i="14"/>
  <c r="G1045" i="14"/>
  <c r="BG1045" i="14" s="1"/>
  <c r="U1219" i="14"/>
  <c r="G1180" i="14"/>
  <c r="BG1180" i="14" s="1"/>
  <c r="I1111" i="14"/>
  <c r="T1101" i="14"/>
  <c r="G1140" i="14"/>
  <c r="BG1140" i="14" s="1"/>
  <c r="U1069" i="14"/>
  <c r="T1048" i="14"/>
  <c r="Q1048" i="14"/>
  <c r="AZ1163" i="14"/>
  <c r="I1169" i="14"/>
  <c r="BB1032" i="14"/>
  <c r="E1143" i="14"/>
  <c r="U1208" i="14"/>
  <c r="BA1208" i="14"/>
  <c r="BB1137" i="14"/>
  <c r="AY1033" i="14"/>
  <c r="U1065" i="14"/>
  <c r="AZ1046" i="14"/>
  <c r="T1217" i="14"/>
  <c r="Q1217" i="14"/>
  <c r="BL1117" i="14"/>
  <c r="AY1072" i="14"/>
  <c r="R1151" i="14"/>
  <c r="BA1151" i="14"/>
  <c r="I1142" i="14"/>
  <c r="AZ1064" i="14"/>
  <c r="AZ1051" i="14"/>
  <c r="J1169" i="14"/>
  <c r="AZ1217" i="14"/>
  <c r="G1085" i="14"/>
  <c r="U1218" i="14"/>
  <c r="I1085" i="14"/>
  <c r="AY1109" i="14"/>
  <c r="T1085" i="14"/>
  <c r="W1088" i="14"/>
  <c r="BB1218" i="14"/>
  <c r="AY1052" i="14"/>
  <c r="U1085" i="14"/>
  <c r="W1085" i="14"/>
  <c r="BB1088" i="14"/>
  <c r="BA1088" i="14"/>
  <c r="I1109" i="14"/>
  <c r="U1031" i="14"/>
  <c r="T1174" i="14"/>
  <c r="BA1174" i="14"/>
  <c r="AY1045" i="14"/>
  <c r="BM1219" i="14"/>
  <c r="I1180" i="14"/>
  <c r="W1111" i="14"/>
  <c r="BM1101" i="14"/>
  <c r="Q1140" i="14"/>
  <c r="T1069" i="14"/>
  <c r="BL1048" i="14"/>
  <c r="W1048" i="14"/>
  <c r="U1163" i="14"/>
  <c r="R1169" i="14"/>
  <c r="Q1169" i="14"/>
  <c r="G1032" i="14"/>
  <c r="BG1032" i="14" s="1"/>
  <c r="J1143" i="14"/>
  <c r="BM1208" i="14"/>
  <c r="E1137" i="14"/>
  <c r="G1033" i="14"/>
  <c r="BG1033" i="14" s="1"/>
  <c r="BB1065" i="14"/>
  <c r="AY1046" i="14"/>
  <c r="BL1217" i="14"/>
  <c r="BA1217" i="14"/>
  <c r="AZ1117" i="14"/>
  <c r="G1072" i="14"/>
  <c r="BG1072" i="14" s="1"/>
  <c r="E1151" i="14"/>
  <c r="Q1151" i="14"/>
  <c r="U1142" i="14"/>
  <c r="Q1142" i="14"/>
  <c r="BM1064" i="14"/>
  <c r="BL1182" i="14"/>
  <c r="U1051" i="14"/>
  <c r="BB1217" i="14"/>
  <c r="J1085" i="14"/>
  <c r="T1143" i="14"/>
  <c r="BB1052" i="14"/>
  <c r="I1088" i="14"/>
  <c r="AZ1218" i="14"/>
  <c r="BA1085" i="14"/>
  <c r="AZ1088" i="14"/>
  <c r="G1109" i="14"/>
  <c r="BG1109" i="14" s="1"/>
  <c r="BM1218" i="14"/>
  <c r="G1052" i="14"/>
  <c r="BG1052" i="14" s="1"/>
  <c r="R1085" i="14"/>
  <c r="Q1085" i="14"/>
  <c r="U1088" i="14"/>
  <c r="Q1088" i="14"/>
  <c r="T1109" i="14"/>
  <c r="BH1109" i="14" s="1"/>
  <c r="Q1109" i="14"/>
  <c r="BL1031" i="14"/>
  <c r="J1174" i="14"/>
  <c r="I1174" i="14"/>
  <c r="I1045" i="14"/>
  <c r="BL1219" i="14"/>
  <c r="J1180" i="14"/>
  <c r="Q1180" i="14"/>
  <c r="T1111" i="14"/>
  <c r="G1111" i="14"/>
  <c r="BG1111" i="14" s="1"/>
  <c r="AY1101" i="14"/>
  <c r="J1140" i="14"/>
  <c r="I1140" i="14"/>
  <c r="BM1069" i="14"/>
  <c r="BB1048" i="14"/>
  <c r="BA1048" i="14"/>
  <c r="BM1163" i="14"/>
  <c r="U1169" i="14"/>
  <c r="BA1169" i="14"/>
  <c r="AY1032" i="14"/>
  <c r="U1143" i="14"/>
  <c r="BL1208" i="14"/>
  <c r="J1137" i="14"/>
  <c r="I1033" i="14"/>
  <c r="E1065" i="14"/>
  <c r="Q1046" i="14"/>
  <c r="E1217" i="14"/>
  <c r="W1217" i="14"/>
  <c r="G1117" i="14"/>
  <c r="BG1117" i="14" s="1"/>
  <c r="Q1072" i="14"/>
  <c r="AZ1151" i="14"/>
  <c r="AZ1142" i="14"/>
  <c r="W1142" i="14"/>
  <c r="BL1064" i="14"/>
  <c r="BM1182" i="14"/>
  <c r="BB1051" i="14"/>
  <c r="BB1045" i="14"/>
  <c r="BA1109" i="14"/>
  <c r="J1045" i="14"/>
  <c r="BB1219" i="14"/>
  <c r="W1180" i="14"/>
  <c r="E1111" i="14"/>
  <c r="I1101" i="14"/>
  <c r="AZ1140" i="14"/>
  <c r="W1140" i="14"/>
  <c r="E1069" i="14"/>
  <c r="J1048" i="14"/>
  <c r="BL1163" i="14"/>
  <c r="BM1169" i="14"/>
  <c r="W1169" i="14"/>
  <c r="Q1032" i="14"/>
  <c r="AZ1143" i="14"/>
  <c r="BB1208" i="14"/>
  <c r="R1137" i="14"/>
  <c r="BB1033" i="14"/>
  <c r="BA1033" i="14"/>
  <c r="J1065" i="14"/>
  <c r="R1217" i="14"/>
  <c r="BL1062" i="14"/>
  <c r="BM1072" i="14"/>
  <c r="I1072" i="14"/>
  <c r="T1151" i="14"/>
  <c r="BM1142" i="14"/>
  <c r="BA1142" i="14"/>
  <c r="BB1064" i="14"/>
  <c r="I1182" i="14"/>
  <c r="E1051" i="14"/>
  <c r="J1088" i="14"/>
  <c r="BL1174" i="14"/>
  <c r="AY1069" i="14"/>
  <c r="AZ1033" i="14"/>
  <c r="Q1031" i="14"/>
  <c r="E1174" i="14"/>
  <c r="U1180" i="14"/>
  <c r="E1169" i="14"/>
  <c r="G1065" i="14"/>
  <c r="BG1065" i="14" s="1"/>
  <c r="G1218" i="14"/>
  <c r="BG1218" i="14" s="1"/>
  <c r="I1052" i="14"/>
  <c r="AZ1085" i="14"/>
  <c r="E1088" i="14"/>
  <c r="BB1109" i="14"/>
  <c r="BB1031" i="14"/>
  <c r="BB1174" i="14"/>
  <c r="W1045" i="14"/>
  <c r="E1180" i="14"/>
  <c r="BA1111" i="14"/>
  <c r="BL1052" i="14"/>
  <c r="U1109" i="14"/>
  <c r="R1045" i="14"/>
  <c r="T1180" i="14"/>
  <c r="BB1111" i="14"/>
  <c r="U1140" i="14"/>
  <c r="E1032" i="14"/>
  <c r="AZ1183" i="14"/>
  <c r="J1033" i="14"/>
  <c r="E1062" i="14"/>
  <c r="BL1072" i="14"/>
  <c r="Q1182" i="14"/>
  <c r="J1051" i="14"/>
  <c r="I1027" i="14"/>
  <c r="T1128" i="14"/>
  <c r="AY1025" i="14"/>
  <c r="T1114" i="14"/>
  <c r="E1049" i="14"/>
  <c r="J1095" i="14"/>
  <c r="U1172" i="14"/>
  <c r="Q1172" i="14"/>
  <c r="Q1041" i="14"/>
  <c r="BB1027" i="14"/>
  <c r="W1027" i="14"/>
  <c r="E1128" i="14"/>
  <c r="G1025" i="14"/>
  <c r="BG1025" i="14" s="1"/>
  <c r="BL1114" i="14"/>
  <c r="BM1049" i="14"/>
  <c r="G1095" i="14"/>
  <c r="BG1095" i="14" s="1"/>
  <c r="AZ1172" i="14"/>
  <c r="R1041" i="14"/>
  <c r="I1041" i="14"/>
  <c r="BM1027" i="14"/>
  <c r="BA1027" i="14"/>
  <c r="J1128" i="14"/>
  <c r="Q1025" i="14"/>
  <c r="J1114" i="14"/>
  <c r="R1049" i="14"/>
  <c r="AY1095" i="14"/>
  <c r="J1172" i="14"/>
  <c r="J1041" i="14"/>
  <c r="W1041" i="14"/>
  <c r="AF1041" i="14" s="1"/>
  <c r="E1027" i="14"/>
  <c r="U1128" i="14"/>
  <c r="BL1025" i="14"/>
  <c r="I1025" i="14"/>
  <c r="E1114" i="14"/>
  <c r="AZ1049" i="14"/>
  <c r="Q1095" i="14"/>
  <c r="BL1172" i="14"/>
  <c r="AZ1041" i="14"/>
  <c r="BA1041" i="14"/>
  <c r="U1027" i="14"/>
  <c r="BM1128" i="14"/>
  <c r="BB1025" i="14"/>
  <c r="BA1025" i="14"/>
  <c r="BM1114" i="14"/>
  <c r="G1049" i="14"/>
  <c r="E1095" i="14"/>
  <c r="I1095" i="14"/>
  <c r="E1172" i="14"/>
  <c r="BB1041" i="14"/>
  <c r="J1027" i="14"/>
  <c r="G1128" i="14"/>
  <c r="BG1128" i="14" s="1"/>
  <c r="T1027" i="14"/>
  <c r="E1025" i="14"/>
  <c r="W1025" i="14"/>
  <c r="AY1114" i="14"/>
  <c r="AY1049" i="14"/>
  <c r="U1095" i="14"/>
  <c r="W1095" i="14"/>
  <c r="BB1172" i="14"/>
  <c r="U1041" i="14"/>
  <c r="AZ1027" i="14"/>
  <c r="AY1128" i="14"/>
  <c r="J1025" i="14"/>
  <c r="G1114" i="14"/>
  <c r="BG1114" i="14" s="1"/>
  <c r="I1049" i="14"/>
  <c r="T1095" i="14"/>
  <c r="BA1095" i="14"/>
  <c r="BM1172" i="14"/>
  <c r="BM1041" i="14"/>
  <c r="R1027" i="14"/>
  <c r="Q1128" i="14"/>
  <c r="U1025" i="14"/>
  <c r="I1114" i="14"/>
  <c r="T1049" i="14"/>
  <c r="BA1049" i="14"/>
  <c r="AZ1095" i="14"/>
  <c r="AY1172" i="14"/>
  <c r="T1041" i="14"/>
  <c r="BL1027" i="14"/>
  <c r="R1128" i="14"/>
  <c r="I1128" i="14"/>
  <c r="R1025" i="14"/>
  <c r="BB1114" i="14"/>
  <c r="Q1114" i="14"/>
  <c r="J1049" i="14"/>
  <c r="W1049" i="14"/>
  <c r="BB1095" i="14"/>
  <c r="G1172" i="14"/>
  <c r="BG1172" i="14" s="1"/>
  <c r="BL1041" i="14"/>
  <c r="G1027" i="14"/>
  <c r="BG1027" i="14" s="1"/>
  <c r="BL1128" i="14"/>
  <c r="W1128" i="14"/>
  <c r="AZ1025" i="14"/>
  <c r="U1114" i="14"/>
  <c r="W1114" i="14"/>
  <c r="U1049" i="14"/>
  <c r="Q1049" i="14"/>
  <c r="BM1095" i="14"/>
  <c r="I1172" i="14"/>
  <c r="E1041" i="14"/>
  <c r="AY1027" i="14"/>
  <c r="AZ1128" i="14"/>
  <c r="BA1128" i="14"/>
  <c r="R1114" i="14"/>
  <c r="T1172" i="14"/>
  <c r="T1060" i="14"/>
  <c r="J1094" i="14"/>
  <c r="W1094" i="14"/>
  <c r="BB1050" i="14"/>
  <c r="Q1194" i="14"/>
  <c r="BM1130" i="14"/>
  <c r="I1144" i="14"/>
  <c r="J1030" i="14"/>
  <c r="Q1092" i="14"/>
  <c r="I1096" i="14"/>
  <c r="J1198" i="14"/>
  <c r="G1057" i="14"/>
  <c r="BG1057" i="14" s="1"/>
  <c r="U1189" i="14"/>
  <c r="BA1189" i="14"/>
  <c r="BA1183" i="14"/>
  <c r="R1046" i="14"/>
  <c r="U1062" i="14"/>
  <c r="W1062" i="14"/>
  <c r="BM1117" i="14"/>
  <c r="G1039" i="14"/>
  <c r="BG1039" i="14" s="1"/>
  <c r="AY1082" i="14"/>
  <c r="AY1182" i="14"/>
  <c r="BL1094" i="14"/>
  <c r="I1050" i="14"/>
  <c r="BM1194" i="14"/>
  <c r="I1194" i="14"/>
  <c r="I1130" i="14"/>
  <c r="AZ1144" i="14"/>
  <c r="W1144" i="14"/>
  <c r="Q1030" i="14"/>
  <c r="R1092" i="14"/>
  <c r="BA1092" i="14"/>
  <c r="U1096" i="14"/>
  <c r="BA1096" i="14"/>
  <c r="U1198" i="14"/>
  <c r="J1057" i="14"/>
  <c r="I1057" i="14"/>
  <c r="AZ1189" i="14"/>
  <c r="BB1183" i="14"/>
  <c r="G1046" i="14"/>
  <c r="BG1046" i="14" s="1"/>
  <c r="W1060" i="14"/>
  <c r="R1062" i="14"/>
  <c r="U1117" i="14"/>
  <c r="E1097" i="14"/>
  <c r="E1039" i="14"/>
  <c r="I1039" i="14"/>
  <c r="J1082" i="14"/>
  <c r="W1082" i="14"/>
  <c r="AF1082" i="14" s="1"/>
  <c r="E1182" i="14"/>
  <c r="BA1182" i="14"/>
  <c r="BM1053" i="14"/>
  <c r="BA1053" i="14"/>
  <c r="U1082" i="14"/>
  <c r="Q1082" i="14"/>
  <c r="BA1194" i="14"/>
  <c r="BL1130" i="14"/>
  <c r="I1030" i="14"/>
  <c r="AZ1094" i="14"/>
  <c r="E1050" i="14"/>
  <c r="W1050" i="14"/>
  <c r="R1194" i="14"/>
  <c r="BB1130" i="14"/>
  <c r="BA1130" i="14"/>
  <c r="BL1144" i="14"/>
  <c r="U1030" i="14"/>
  <c r="W1030" i="14"/>
  <c r="E1092" i="14"/>
  <c r="BL1096" i="14"/>
  <c r="AY1198" i="14"/>
  <c r="E1057" i="14"/>
  <c r="E1189" i="14"/>
  <c r="R1183" i="14"/>
  <c r="T1046" i="14"/>
  <c r="I1046" i="14"/>
  <c r="BB1062" i="14"/>
  <c r="AY1117" i="14"/>
  <c r="J1097" i="14"/>
  <c r="R1039" i="14"/>
  <c r="W1039" i="14"/>
  <c r="BB1082" i="14"/>
  <c r="BB1182" i="14"/>
  <c r="BB1053" i="14"/>
  <c r="BB1092" i="14"/>
  <c r="T1050" i="14"/>
  <c r="E1130" i="14"/>
  <c r="W1130" i="14"/>
  <c r="BB1144" i="14"/>
  <c r="AZ1030" i="14"/>
  <c r="BA1030" i="14"/>
  <c r="U1092" i="14"/>
  <c r="R1096" i="14"/>
  <c r="I1198" i="14"/>
  <c r="R1057" i="14"/>
  <c r="BB1189" i="14"/>
  <c r="BM1183" i="14"/>
  <c r="J1046" i="14"/>
  <c r="W1046" i="14"/>
  <c r="J1062" i="14"/>
  <c r="I1117" i="14"/>
  <c r="U1039" i="14"/>
  <c r="E1082" i="14"/>
  <c r="U1182" i="14"/>
  <c r="E1053" i="14"/>
  <c r="R1144" i="14"/>
  <c r="Q1040" i="14"/>
  <c r="T1030" i="14"/>
  <c r="U1094" i="14"/>
  <c r="J1050" i="14"/>
  <c r="Q1050" i="14"/>
  <c r="J1194" i="14"/>
  <c r="G1094" i="14"/>
  <c r="U1050" i="14"/>
  <c r="E1194" i="14"/>
  <c r="J1130" i="14"/>
  <c r="T1144" i="14"/>
  <c r="BB1030" i="14"/>
  <c r="AZ1092" i="14"/>
  <c r="AY1096" i="14"/>
  <c r="AZ1198" i="14"/>
  <c r="BA1198" i="14"/>
  <c r="BB1057" i="14"/>
  <c r="Q1161" i="14"/>
  <c r="R1189" i="14"/>
  <c r="BL1183" i="14"/>
  <c r="E1046" i="14"/>
  <c r="BA1046" i="14"/>
  <c r="G1062" i="14"/>
  <c r="BG1062" i="14" s="1"/>
  <c r="T1117" i="14"/>
  <c r="W1117" i="14"/>
  <c r="AY1097" i="14"/>
  <c r="AZ1039" i="14"/>
  <c r="AZ1082" i="14"/>
  <c r="J1182" i="14"/>
  <c r="J1053" i="14"/>
  <c r="Q1051" i="14"/>
  <c r="Q1039" i="14"/>
  <c r="BB1094" i="14"/>
  <c r="BA1050" i="14"/>
  <c r="Q1130" i="14"/>
  <c r="G1198" i="14"/>
  <c r="BG1198" i="14" s="1"/>
  <c r="R1130" i="14"/>
  <c r="E1144" i="14"/>
  <c r="R1030" i="14"/>
  <c r="T1092" i="14"/>
  <c r="E1096" i="14"/>
  <c r="BM1198" i="14"/>
  <c r="W1198" i="14"/>
  <c r="BH1198" i="14" s="1"/>
  <c r="BL1057" i="14"/>
  <c r="G1189" i="14"/>
  <c r="BG1189" i="14" s="1"/>
  <c r="G1183" i="14"/>
  <c r="U1046" i="14"/>
  <c r="AY1062" i="14"/>
  <c r="J1117" i="14"/>
  <c r="BA1117" i="14"/>
  <c r="BM1039" i="14"/>
  <c r="R1082" i="14"/>
  <c r="R1182" i="14"/>
  <c r="T1053" i="14"/>
  <c r="W1096" i="14"/>
  <c r="BM1092" i="14"/>
  <c r="J1039" i="14"/>
  <c r="AZ1130" i="14"/>
  <c r="J1144" i="14"/>
  <c r="BM1030" i="14"/>
  <c r="BL1092" i="14"/>
  <c r="J1096" i="14"/>
  <c r="BL1198" i="14"/>
  <c r="Q1198" i="14"/>
  <c r="U1057" i="14"/>
  <c r="AY1189" i="14"/>
  <c r="AY1183" i="14"/>
  <c r="BM1046" i="14"/>
  <c r="I1062" i="14"/>
  <c r="E1117" i="14"/>
  <c r="Q1117" i="14"/>
  <c r="BL1039" i="14"/>
  <c r="BL1082" i="14"/>
  <c r="AZ1182" i="14"/>
  <c r="R1053" i="14"/>
  <c r="BM1094" i="14"/>
  <c r="BM1144" i="14"/>
  <c r="BA1039" i="14"/>
  <c r="AY1094" i="14"/>
  <c r="R1050" i="14"/>
  <c r="I1094" i="14"/>
  <c r="AZ1050" i="14"/>
  <c r="T1094" i="14"/>
  <c r="Q1094" i="14"/>
  <c r="BM1050" i="14"/>
  <c r="G1194" i="14"/>
  <c r="T1130" i="14"/>
  <c r="G1144" i="14"/>
  <c r="BG1144" i="14" s="1"/>
  <c r="BL1030" i="14"/>
  <c r="AY1092" i="14"/>
  <c r="BB1096" i="14"/>
  <c r="BB1198" i="14"/>
  <c r="AY1057" i="14"/>
  <c r="I1189" i="14"/>
  <c r="I1183" i="14"/>
  <c r="BL1046" i="14"/>
  <c r="T1062" i="14"/>
  <c r="Q1062" i="14"/>
  <c r="R1117" i="14"/>
  <c r="AZ1097" i="14"/>
  <c r="Q1097" i="14"/>
  <c r="BB1039" i="14"/>
  <c r="T1082" i="14"/>
  <c r="T1182" i="14"/>
  <c r="AZ1053" i="14"/>
  <c r="BL1194" i="14"/>
  <c r="BA1144" i="14"/>
  <c r="W1092" i="14"/>
  <c r="AF1092" i="14" s="1"/>
  <c r="AZ1096" i="14"/>
  <c r="U1194" i="14"/>
  <c r="G1096" i="14"/>
  <c r="BG1096" i="14" s="1"/>
  <c r="BM1057" i="14"/>
  <c r="BL1189" i="14"/>
  <c r="BB1194" i="14"/>
  <c r="AZ1194" i="14"/>
  <c r="E1094" i="14"/>
  <c r="T1189" i="14"/>
  <c r="BH1189" i="14" s="1"/>
  <c r="J1183" i="14"/>
  <c r="AZ1062" i="14"/>
  <c r="U1097" i="14"/>
  <c r="BM1051" i="14"/>
  <c r="AY1161" i="14"/>
  <c r="BL1060" i="14"/>
  <c r="BA1060" i="14"/>
  <c r="BM1040" i="14"/>
  <c r="W1040" i="14"/>
  <c r="AZ1161" i="14"/>
  <c r="I1161" i="14"/>
  <c r="R1060" i="14"/>
  <c r="AZ1040" i="14"/>
  <c r="E1161" i="14"/>
  <c r="W1161" i="14"/>
  <c r="AF1161" i="14" s="1"/>
  <c r="J1060" i="14"/>
  <c r="BL1040" i="14"/>
  <c r="J1161" i="14"/>
  <c r="BA1161" i="14"/>
  <c r="BB1060" i="14"/>
  <c r="BB1040" i="14"/>
  <c r="U1161" i="14"/>
  <c r="E1060" i="14"/>
  <c r="J1040" i="14"/>
  <c r="BB1161" i="14"/>
  <c r="AZ1060" i="14"/>
  <c r="E1040" i="14"/>
  <c r="R1161" i="14"/>
  <c r="BM1060" i="14"/>
  <c r="R1040" i="14"/>
  <c r="BM1161" i="14"/>
  <c r="G1060" i="14"/>
  <c r="AY1040" i="14"/>
  <c r="BL1161" i="14"/>
  <c r="AY1060" i="14"/>
  <c r="G1040" i="14"/>
  <c r="BG1040" i="14" s="1"/>
  <c r="T1161" i="14"/>
  <c r="I1060" i="14"/>
  <c r="I1040" i="14"/>
  <c r="U1060" i="14"/>
  <c r="T1040" i="14"/>
  <c r="BD1125" i="14"/>
  <c r="H1125" i="14"/>
  <c r="P1125" i="14"/>
  <c r="BC1125" i="14"/>
  <c r="BG1101" i="14"/>
  <c r="BH1125" i="14"/>
  <c r="BG1092" i="14"/>
  <c r="BG1138" i="14"/>
  <c r="BG1126" i="14"/>
  <c r="BG1077" i="14"/>
  <c r="BG1093" i="14"/>
  <c r="AF1125" i="14"/>
  <c r="BG1125" i="14"/>
  <c r="BG1076" i="14"/>
  <c r="BG1154" i="14"/>
  <c r="BG1100" i="14"/>
  <c r="BG1182" i="14"/>
  <c r="E1225" i="14"/>
  <c r="U1225" i="14"/>
  <c r="W1225" i="14"/>
  <c r="BA1225" i="14"/>
  <c r="AY1225" i="14"/>
  <c r="G1225" i="14"/>
  <c r="G153" i="7"/>
  <c r="T1225" i="14"/>
  <c r="G176" i="7"/>
  <c r="G160" i="7"/>
  <c r="G137" i="7"/>
  <c r="J1225" i="14"/>
  <c r="G147" i="7"/>
  <c r="G196" i="7"/>
  <c r="G148" i="7"/>
  <c r="G136" i="7"/>
  <c r="G164" i="7"/>
  <c r="G181" i="7"/>
  <c r="G127" i="7"/>
  <c r="G157" i="7"/>
  <c r="G155" i="7"/>
  <c r="G189" i="7"/>
  <c r="R1225" i="14"/>
  <c r="G126" i="7"/>
  <c r="G158" i="7"/>
  <c r="G152" i="7"/>
  <c r="G178" i="7"/>
  <c r="G174" i="7"/>
  <c r="G194" i="7"/>
  <c r="Q1225" i="14"/>
  <c r="G185" i="7"/>
  <c r="G145" i="7"/>
  <c r="G133" i="7"/>
  <c r="G135" i="7"/>
  <c r="G167" i="7"/>
  <c r="G182" i="7"/>
  <c r="BB1225" i="14"/>
  <c r="G172" i="7"/>
  <c r="G150" i="7"/>
  <c r="G173" i="7"/>
  <c r="G129" i="7"/>
  <c r="G187" i="7"/>
  <c r="G144" i="7"/>
  <c r="G192" i="7"/>
  <c r="G131" i="7"/>
  <c r="G177" i="7"/>
  <c r="G170" i="7"/>
  <c r="G179" i="7"/>
  <c r="G151" i="7"/>
  <c r="BL1225" i="14"/>
  <c r="G162" i="7"/>
  <c r="G134" i="7"/>
  <c r="G124" i="7"/>
  <c r="G141" i="7"/>
  <c r="G183" i="7"/>
  <c r="G130" i="7"/>
  <c r="G166" i="7"/>
  <c r="G184" i="7"/>
  <c r="AZ1225" i="14"/>
  <c r="G169" i="7"/>
  <c r="G175" i="7"/>
  <c r="G195" i="7"/>
  <c r="G140" i="7"/>
  <c r="G156" i="7"/>
  <c r="G138" i="7"/>
  <c r="G180" i="7"/>
  <c r="BM1225" i="14"/>
  <c r="G163" i="7"/>
  <c r="G132" i="7"/>
  <c r="G188" i="7"/>
  <c r="I1225" i="14"/>
  <c r="G125" i="7"/>
  <c r="G165" i="7"/>
  <c r="G142" i="7"/>
  <c r="G161" i="7"/>
  <c r="G191" i="7"/>
  <c r="G159" i="7"/>
  <c r="G139" i="7"/>
  <c r="G154" i="7"/>
  <c r="G168" i="7"/>
  <c r="G190" i="7"/>
  <c r="G149" i="7"/>
  <c r="G143" i="7"/>
  <c r="G128" i="7"/>
  <c r="G146" i="7"/>
  <c r="G186" i="7"/>
  <c r="G193" i="7"/>
  <c r="G171" i="7"/>
  <c r="BG1029" i="14"/>
  <c r="BG1170" i="14"/>
  <c r="BG1139" i="14"/>
  <c r="BG1082" i="14"/>
  <c r="BG1161" i="14"/>
  <c r="BG1041" i="14"/>
  <c r="BG1176" i="14"/>
  <c r="H1122" i="14" a="1"/>
  <c r="H1090" i="14" a="1"/>
  <c r="P1171" i="14" a="1"/>
  <c r="H1182" i="14" a="1"/>
  <c r="H1210" i="14" a="1"/>
  <c r="H1025" i="14" a="1"/>
  <c r="H1132" i="14" a="1"/>
  <c r="P1094" i="14" a="1"/>
  <c r="P1210" i="14" a="1"/>
  <c r="H1029" i="14" a="1"/>
  <c r="P1102" i="14" a="1"/>
  <c r="P1100" i="14" a="1"/>
  <c r="P1121" i="14" a="1"/>
  <c r="P1051" i="14" a="1"/>
  <c r="P1092" i="14" a="1"/>
  <c r="H1030" i="14" a="1"/>
  <c r="P1078" i="14" a="1"/>
  <c r="H1208" i="14" a="1"/>
  <c r="P1042" i="14" a="1"/>
  <c r="H1220" i="14" a="1"/>
  <c r="P1162" i="14" a="1"/>
  <c r="H1151" i="14" a="1"/>
  <c r="P1207" i="14" a="1"/>
  <c r="H1186" i="14" a="1"/>
  <c r="H1199" i="14" a="1"/>
  <c r="H1197" i="14" a="1"/>
  <c r="P1115" i="14" a="1"/>
  <c r="H1204" i="14" a="1"/>
  <c r="H1169" i="14" a="1"/>
  <c r="H1079" i="14" a="1"/>
  <c r="H1219" i="14" a="1"/>
  <c r="H1212" i="14" a="1"/>
  <c r="H1037" i="14" a="1"/>
  <c r="H1098" i="14" a="1"/>
  <c r="P1205" i="14" a="1"/>
  <c r="P1164" i="14" a="1"/>
  <c r="P1151" i="14" a="1"/>
  <c r="P1083" i="14" a="1"/>
  <c r="P1166" i="14" a="1"/>
  <c r="H1203" i="14" a="1"/>
  <c r="H1155" i="14" a="1"/>
  <c r="H1196" i="14" a="1"/>
  <c r="H1157" i="14" a="1"/>
  <c r="P1081" i="14" a="1"/>
  <c r="P1200" i="14" a="1"/>
  <c r="H1179" i="14" a="1"/>
  <c r="H1114" i="14" a="1"/>
  <c r="P1132" i="14" a="1"/>
  <c r="P1155" i="14" a="1"/>
  <c r="P1212" i="14" a="1"/>
  <c r="P1199" i="14" a="1"/>
  <c r="H1113" i="14" a="1"/>
  <c r="P1113" i="14" a="1"/>
  <c r="H1105" i="14" a="1"/>
  <c r="P1189" i="14" a="1"/>
  <c r="H1180" i="14" a="1"/>
  <c r="H1177" i="14" a="1"/>
  <c r="H1224" i="14" a="1"/>
  <c r="P1136" i="14" a="1"/>
  <c r="P1108" i="14" a="1"/>
  <c r="H1066" i="14" a="1"/>
  <c r="H1046" i="14" a="1"/>
  <c r="P1156" i="14" a="1"/>
  <c r="P1095" i="14" a="1"/>
  <c r="H1094" i="14" a="1"/>
  <c r="P1067" i="14" a="1"/>
  <c r="H1032" i="14" a="1"/>
  <c r="P1224" i="14" a="1"/>
  <c r="P1206" i="14" a="1"/>
  <c r="P1144" i="14" a="1"/>
  <c r="P1208" i="14" a="1"/>
  <c r="H1163" i="14" a="1"/>
  <c r="H1215" i="14" a="1"/>
  <c r="H1083" i="14" a="1"/>
  <c r="H1147" i="14" a="1"/>
  <c r="P1173" i="14" a="1"/>
  <c r="H1067" i="14" a="1"/>
  <c r="P1096" i="14" a="1"/>
  <c r="H1161" i="14" a="1"/>
  <c r="P1073" i="14" a="1"/>
  <c r="P1047" i="14" a="1"/>
  <c r="H1060" i="14" a="1"/>
  <c r="P1131" i="14" a="1"/>
  <c r="H1051" i="14" a="1"/>
  <c r="P1049" i="14" a="1"/>
  <c r="P1137" i="14" a="1"/>
  <c r="P1089" i="14" a="1"/>
  <c r="H1191" i="14" a="1"/>
  <c r="H1202" i="14" a="1"/>
  <c r="H1045" i="14" a="1"/>
  <c r="H1109" i="14" a="1"/>
  <c r="P1087" i="14" a="1"/>
  <c r="H1148" i="14" a="1"/>
  <c r="P1030" i="14" a="1"/>
  <c r="H1176" i="14" a="1"/>
  <c r="H1217" i="14" a="1"/>
  <c r="H1143" i="14" a="1"/>
  <c r="P1143" i="14" a="1"/>
  <c r="P1181" i="14" a="1"/>
  <c r="P1031" i="14" a="1"/>
  <c r="H1087" i="14" a="1"/>
  <c r="H1121" i="14" a="1"/>
  <c r="H1145" i="14" a="1"/>
  <c r="P1170" i="14" a="1"/>
  <c r="P1184" i="14" a="1"/>
  <c r="H1093" i="14" a="1"/>
  <c r="H1138" i="14" a="1"/>
  <c r="H1159" i="14" a="1"/>
  <c r="H1123" i="14" a="1"/>
  <c r="H1052" i="14" a="1"/>
  <c r="P1104" i="14" a="1"/>
  <c r="P1120" i="14" a="1"/>
  <c r="P1130" i="14" a="1"/>
  <c r="P1152" i="14" a="1"/>
  <c r="P1028" i="14" a="1"/>
  <c r="H1185" i="14" a="1"/>
  <c r="P1076" i="14" a="1"/>
  <c r="P1197" i="14" a="1"/>
  <c r="P1054" i="14" a="1"/>
  <c r="P1175" i="14" a="1"/>
  <c r="H1144" i="14" a="1"/>
  <c r="P1163" i="14" a="1"/>
  <c r="P1107" i="14" a="1"/>
  <c r="H1127" i="14" a="1"/>
  <c r="P1183" i="14" a="1"/>
  <c r="P1056" i="14" a="1"/>
  <c r="P1134" i="14" a="1"/>
  <c r="P1048" i="14" a="1"/>
  <c r="P1036" i="14" a="1"/>
  <c r="H1071" i="14" a="1"/>
  <c r="P1218" i="14" a="1"/>
  <c r="P1029" i="14" a="1"/>
  <c r="H1190" i="14" a="1"/>
  <c r="H1050" i="14" a="1"/>
  <c r="P1066" i="14" a="1"/>
  <c r="H1218" i="14" a="1"/>
  <c r="P1123" i="14" a="1"/>
  <c r="H1146" i="14" a="1"/>
  <c r="P1027" i="14" a="1"/>
  <c r="P1063" i="14" a="1"/>
  <c r="P1101" i="14" a="1"/>
  <c r="P1074" i="14" a="1"/>
  <c r="P1126" i="14" a="1"/>
  <c r="H1062" i="14" a="1"/>
  <c r="H1069" i="14" a="1"/>
  <c r="H1188" i="14" a="1"/>
  <c r="H1056" i="14" a="1"/>
  <c r="H1171" i="14" a="1"/>
  <c r="H1189" i="14" a="1"/>
  <c r="P1219" i="14" a="1"/>
  <c r="H1031" i="14" a="1"/>
  <c r="H1042" i="14" a="1"/>
  <c r="H1187" i="14" a="1"/>
  <c r="H1044" i="14" a="1"/>
  <c r="H1213" i="14" a="1"/>
  <c r="H1167" i="14" a="1"/>
  <c r="P1174" i="14" a="1"/>
  <c r="P1062" i="14" a="1"/>
  <c r="P1142" i="14" a="1"/>
  <c r="H1055" i="14" a="1"/>
  <c r="H1173" i="14" a="1"/>
  <c r="P1221" i="14" a="1"/>
  <c r="P1225" i="14" a="1"/>
  <c r="P1065" i="14" a="1"/>
  <c r="H1080" i="14" a="1"/>
  <c r="P1191" i="14" a="1"/>
  <c r="H1131" i="14" a="1"/>
  <c r="P1025" i="14" a="1"/>
  <c r="H1201" i="14" a="1"/>
  <c r="P1112" i="14" a="1"/>
  <c r="H1097" i="14" a="1"/>
  <c r="H1095" i="14" a="1"/>
  <c r="P1153" i="14" a="1"/>
  <c r="P1116" i="14" a="1"/>
  <c r="H1115" i="14" a="1"/>
  <c r="H1195" i="14" a="1"/>
  <c r="H1116" i="14" a="1"/>
  <c r="P1129" i="14" a="1"/>
  <c r="P1059" i="14" a="1"/>
  <c r="H1072" i="14" a="1"/>
  <c r="P1198" i="14" a="1"/>
  <c r="P1146" i="14" a="1"/>
  <c r="P1186" i="14" a="1"/>
  <c r="H1058" i="14" a="1"/>
  <c r="H1158" i="14" a="1"/>
  <c r="H1053" i="14" a="1"/>
  <c r="P1190" i="14" a="1"/>
  <c r="H1137" i="14" a="1"/>
  <c r="H1126" i="14" a="1"/>
  <c r="H1175" i="14" a="1"/>
  <c r="H1084" i="14" a="1"/>
  <c r="P1172" i="14" a="1"/>
  <c r="P1084" i="14" a="1"/>
  <c r="P1193" i="14" a="1"/>
  <c r="P1158" i="14" a="1"/>
  <c r="H1211" i="14" a="1"/>
  <c r="H1154" i="14" a="1"/>
  <c r="H1130" i="14" a="1"/>
  <c r="P1098" i="14" a="1"/>
  <c r="P1080" i="14" a="1"/>
  <c r="H1054" i="14" a="1"/>
  <c r="H1152" i="14" a="1"/>
  <c r="H1106" i="14" a="1"/>
  <c r="H1028" i="14" a="1"/>
  <c r="P1077" i="14" a="1"/>
  <c r="H1039" i="14" a="1"/>
  <c r="P1079" i="14" a="1"/>
  <c r="H1164" i="14" a="1"/>
  <c r="H1065" i="14" a="1"/>
  <c r="P1086" i="14" a="1"/>
  <c r="P1122" i="14" a="1"/>
  <c r="P1088" i="14" a="1"/>
  <c r="H1043" i="14" a="1"/>
  <c r="H1073" i="14" a="1"/>
  <c r="P1117" i="14" a="1"/>
  <c r="P1196" i="14" a="1"/>
  <c r="H1086" i="14" a="1"/>
  <c r="P1037" i="14" a="1"/>
  <c r="P1168" i="14" a="1"/>
  <c r="P1085" i="14" a="1"/>
  <c r="P1211" i="14" a="1"/>
  <c r="H1057" i="14" a="1"/>
  <c r="P1053" i="14" a="1"/>
  <c r="P1223" i="14" a="1"/>
  <c r="P1188" i="14" a="1"/>
  <c r="H1061" i="14" a="1"/>
  <c r="P1214" i="14" a="1"/>
  <c r="P1222" i="14" a="1"/>
  <c r="H1120" i="14" a="1"/>
  <c r="P1033" i="14" a="1"/>
  <c r="P1105" i="14" a="1"/>
  <c r="H1088" i="14" a="1"/>
  <c r="H1160" i="14" a="1"/>
  <c r="P1160" i="14" a="1"/>
  <c r="H1200" i="14" a="1"/>
  <c r="H1134" i="14" a="1"/>
  <c r="H1081" i="14" a="1"/>
  <c r="P1091" i="14" a="1"/>
  <c r="P1185" i="14" a="1"/>
  <c r="P1159" i="14" a="1"/>
  <c r="H1075" i="14" a="1"/>
  <c r="H1111" i="14" a="1"/>
  <c r="P1220" i="14" a="1"/>
  <c r="P1043" i="14" a="1"/>
  <c r="H1102" i="14" a="1"/>
  <c r="H1129" i="14" a="1"/>
  <c r="H1035" i="14" a="1"/>
  <c r="P1201" i="14" a="1"/>
  <c r="H1104" i="14" a="1"/>
  <c r="H1168" i="14" a="1"/>
  <c r="P1082" i="14" a="1"/>
  <c r="P1165" i="14" a="1"/>
  <c r="P1032" i="14" a="1"/>
  <c r="P1167" i="14" a="1"/>
  <c r="P1026" i="14" a="1"/>
  <c r="H1170" i="14" a="1"/>
  <c r="P1114" i="14" a="1"/>
  <c r="H1118" i="14" a="1"/>
  <c r="P1147" i="14" a="1"/>
  <c r="H1178" i="14" a="1"/>
  <c r="H1076" i="14" a="1"/>
  <c r="H1074" i="14" a="1"/>
  <c r="H1036" i="14" a="1"/>
  <c r="P1194" i="14" a="1"/>
  <c r="P1058" i="14" a="1"/>
  <c r="P1097" i="14" a="1"/>
  <c r="H1085" i="14" a="1"/>
  <c r="H1183" i="14" a="1"/>
  <c r="H1033" i="14" a="1"/>
  <c r="P1039" i="14" a="1"/>
  <c r="P1061" i="14" a="1"/>
  <c r="H1041" i="14" a="1"/>
  <c r="H1108" i="14" a="1"/>
  <c r="P1070" i="14" a="1"/>
  <c r="H1153" i="14" a="1"/>
  <c r="P1145" i="14" a="1"/>
  <c r="H1156" i="14" a="1"/>
  <c r="H1089" i="14" a="1"/>
  <c r="H1181" i="14" a="1"/>
  <c r="P1182" i="14" a="1"/>
  <c r="H1047" i="14" a="1"/>
  <c r="H1165" i="14" a="1"/>
  <c r="H1082" i="14" a="1"/>
  <c r="H1136" i="14" a="1"/>
  <c r="H1192" i="14" a="1"/>
  <c r="P1103" i="14" a="1"/>
  <c r="H1142" i="14" a="1"/>
  <c r="P1035" i="14" a="1"/>
  <c r="H1221" i="14" a="1"/>
  <c r="P1149" i="14" a="1"/>
  <c r="H1103" i="14" a="1"/>
  <c r="H1063" i="14" a="1"/>
  <c r="P1216" i="14" a="1"/>
  <c r="P1178" i="14" a="1"/>
  <c r="P1215" i="14" a="1"/>
  <c r="H1096" i="14" a="1"/>
  <c r="H1091" i="14" a="1"/>
  <c r="H1048" i="14" a="1"/>
  <c r="H1214" i="14" a="1"/>
  <c r="P1093" i="14" a="1"/>
  <c r="H1124" i="14" a="1"/>
  <c r="H1225" i="14" a="1"/>
  <c r="H1026" i="14" a="1"/>
  <c r="H1059" i="14" a="1"/>
  <c r="P1209" i="14" a="1"/>
  <c r="H1034" i="14" a="1"/>
  <c r="P1202" i="14" a="1"/>
  <c r="H1101" i="14" a="1"/>
  <c r="P1064" i="14" a="1"/>
  <c r="H1027" i="14" a="1"/>
  <c r="P1204" i="14" a="1"/>
  <c r="H1141" i="14" a="1"/>
  <c r="H1099" i="14" a="1"/>
  <c r="P1127" i="14" a="1"/>
  <c r="H1038" i="14" a="1"/>
  <c r="P1179" i="14" a="1"/>
  <c r="H1100" i="14" a="1"/>
  <c r="P1071" i="14" a="1"/>
  <c r="P1057" i="14" a="1"/>
  <c r="P1038" i="14" a="1"/>
  <c r="P1169" i="14" a="1"/>
  <c r="H1049" i="14" a="1"/>
  <c r="H1140" i="14" a="1"/>
  <c r="H1193" i="14" a="1"/>
  <c r="P1124" i="14" a="1"/>
  <c r="P1052" i="14" a="1"/>
  <c r="H1174" i="14" a="1"/>
  <c r="P1099" i="14" a="1"/>
  <c r="P1034" i="14" a="1"/>
  <c r="P1040" i="14" a="1"/>
  <c r="H1166" i="14" a="1"/>
  <c r="H1068" i="14" a="1"/>
  <c r="H1119" i="14" a="1"/>
  <c r="H1107" i="14" a="1"/>
  <c r="H1117" i="14" a="1"/>
  <c r="P1090" i="14" a="1"/>
  <c r="H1205" i="14" a="1"/>
  <c r="H1222" i="14" a="1"/>
  <c r="H1135" i="14" a="1"/>
  <c r="P1192" i="14" a="1"/>
  <c r="H1112" i="14" a="1"/>
  <c r="P1106" i="14" a="1"/>
  <c r="P1133" i="14" a="1"/>
  <c r="H1198" i="14" a="1"/>
  <c r="P1148" i="14" a="1"/>
  <c r="H1070" i="14" a="1"/>
  <c r="P1072" i="14" a="1"/>
  <c r="P1069" i="14" a="1"/>
  <c r="P1180" i="14" a="1"/>
  <c r="P1046" i="14" a="1"/>
  <c r="H1172" i="14" a="1"/>
  <c r="P1157" i="14" a="1"/>
  <c r="P1203" i="14" a="1"/>
  <c r="H1207" i="14" a="1"/>
  <c r="H1064" i="14" a="1"/>
  <c r="P1118" i="14" a="1"/>
  <c r="H1162" i="14" a="1"/>
  <c r="P1187" i="14" a="1"/>
  <c r="P1141" i="14" a="1"/>
  <c r="P1128" i="14" a="1"/>
  <c r="H1110" i="14" a="1"/>
  <c r="H1216" i="14" a="1"/>
  <c r="P1109" i="14" a="1"/>
  <c r="P1041" i="14" a="1"/>
  <c r="H1209" i="14" a="1"/>
  <c r="P1068" i="14" a="1"/>
  <c r="H1128" i="14" a="1"/>
  <c r="P1075" i="14" a="1"/>
  <c r="H1078" i="14" a="1"/>
  <c r="H1206" i="14" a="1"/>
  <c r="H1139" i="14" a="1"/>
  <c r="P1138" i="14" a="1"/>
  <c r="H1133" i="14" a="1"/>
  <c r="P1110" i="14" a="1"/>
  <c r="P1135" i="14" a="1"/>
  <c r="H1184" i="14" a="1"/>
  <c r="H1150" i="14" a="1"/>
  <c r="P1055" i="14" a="1"/>
  <c r="H1077" i="14" a="1"/>
  <c r="P1217" i="14" a="1"/>
  <c r="H1149" i="14" a="1"/>
  <c r="H1040" i="14" a="1"/>
  <c r="P1154" i="14" a="1"/>
  <c r="P1044" i="14" a="1"/>
  <c r="P1177" i="14" a="1"/>
  <c r="P1176" i="14" a="1"/>
  <c r="P1060" i="14" a="1"/>
  <c r="P1150" i="14" a="1"/>
  <c r="H1092" i="14" a="1"/>
  <c r="P1161" i="14" a="1"/>
  <c r="P1050" i="14" a="1"/>
  <c r="P1111" i="14" a="1"/>
  <c r="P1119" i="14" a="1"/>
  <c r="H1194" i="14" a="1"/>
  <c r="P1140" i="14" a="1"/>
  <c r="P1213" i="14" a="1"/>
  <c r="P1195" i="14" a="1"/>
  <c r="P1045" i="14" a="1"/>
  <c r="P1139" i="14" a="1"/>
  <c r="H1223" i="14" a="1"/>
  <c r="BD1126" i="14" l="1"/>
  <c r="BH1126" i="14"/>
  <c r="BF1126" i="14" s="1"/>
  <c r="BC1126" i="14"/>
  <c r="P1126" i="14"/>
  <c r="AG1126" i="14" s="1"/>
  <c r="H1126" i="14"/>
  <c r="AH1126" i="14" s="1"/>
  <c r="P1043" i="14"/>
  <c r="AG1043" i="14" s="1"/>
  <c r="BC1211" i="14"/>
  <c r="AF1168" i="14"/>
  <c r="BH1168" i="14"/>
  <c r="BF1168" i="14" s="1"/>
  <c r="BC1168" i="14"/>
  <c r="BD1168" i="14"/>
  <c r="H1168" i="14"/>
  <c r="BI1168" i="14" s="1"/>
  <c r="P1168" i="14"/>
  <c r="AG1168" i="14" s="1"/>
  <c r="AF1211" i="14"/>
  <c r="BH1193" i="14"/>
  <c r="BF1193" i="14" s="1"/>
  <c r="AF1108" i="14"/>
  <c r="BH1043" i="14"/>
  <c r="BF1043" i="14" s="1"/>
  <c r="H1205" i="14"/>
  <c r="BI1205" i="14" s="1"/>
  <c r="P1205" i="14"/>
  <c r="AG1205" i="14" s="1"/>
  <c r="BD1108" i="14"/>
  <c r="BC1108" i="14"/>
  <c r="BH1108" i="14"/>
  <c r="BF1108" i="14" s="1"/>
  <c r="P1108" i="14"/>
  <c r="AG1108" i="14" s="1"/>
  <c r="H1108" i="14"/>
  <c r="BI1108" i="14" s="1"/>
  <c r="BD1211" i="14"/>
  <c r="BH1211" i="14"/>
  <c r="BF1211" i="14" s="1"/>
  <c r="P1211" i="14"/>
  <c r="AG1211" i="14" s="1"/>
  <c r="H1211" i="14"/>
  <c r="BI1211" i="14" s="1"/>
  <c r="AF1043" i="14"/>
  <c r="BD1043" i="14"/>
  <c r="BD1205" i="14"/>
  <c r="AF1205" i="14"/>
  <c r="H1043" i="14"/>
  <c r="BI1043" i="14" s="1"/>
  <c r="BG1205" i="14"/>
  <c r="BC1043" i="14"/>
  <c r="AF1193" i="14"/>
  <c r="BC1205" i="14"/>
  <c r="BH1205" i="14"/>
  <c r="BH1223" i="14"/>
  <c r="BF1223" i="14" s="1"/>
  <c r="BD1223" i="14"/>
  <c r="P1223" i="14"/>
  <c r="BJ1223" i="14" s="1"/>
  <c r="BD1193" i="14"/>
  <c r="BC1223" i="14"/>
  <c r="AF1223" i="14"/>
  <c r="AF1059" i="14"/>
  <c r="H1223" i="14"/>
  <c r="AH1223" i="14" s="1"/>
  <c r="BC1059" i="14"/>
  <c r="H1193" i="14"/>
  <c r="AH1193" i="14" s="1"/>
  <c r="H1059" i="14"/>
  <c r="BI1059" i="14" s="1"/>
  <c r="BH1059" i="14"/>
  <c r="BF1059" i="14" s="1"/>
  <c r="P1193" i="14"/>
  <c r="BJ1193" i="14" s="1"/>
  <c r="BC1193" i="14"/>
  <c r="BD1059" i="14"/>
  <c r="BH1179" i="14"/>
  <c r="BF1179" i="14" s="1"/>
  <c r="P1059" i="14"/>
  <c r="AG1059" i="14" s="1"/>
  <c r="BH1220" i="14"/>
  <c r="BF1220" i="14" s="1"/>
  <c r="BD1106" i="14"/>
  <c r="BH1106" i="14"/>
  <c r="BF1106" i="14" s="1"/>
  <c r="BC1106" i="14"/>
  <c r="AF1106" i="14"/>
  <c r="P1106" i="14"/>
  <c r="BJ1106" i="14" s="1"/>
  <c r="H1106" i="14"/>
  <c r="BI1106" i="14" s="1"/>
  <c r="BH1133" i="14"/>
  <c r="BF1133" i="14" s="1"/>
  <c r="AF1220" i="14"/>
  <c r="P1179" i="14"/>
  <c r="AG1179" i="14" s="1"/>
  <c r="BD1179" i="14"/>
  <c r="BD1220" i="14"/>
  <c r="H1179" i="14"/>
  <c r="AH1179" i="14" s="1"/>
  <c r="BC1220" i="14"/>
  <c r="BH1139" i="14"/>
  <c r="BF1139" i="14" s="1"/>
  <c r="P1220" i="14"/>
  <c r="BJ1220" i="14" s="1"/>
  <c r="H1220" i="14"/>
  <c r="AH1220" i="14" s="1"/>
  <c r="AF1179" i="14"/>
  <c r="BC1179" i="14"/>
  <c r="BC1133" i="14"/>
  <c r="AF1121" i="14"/>
  <c r="AF1133" i="14"/>
  <c r="BH1121" i="14"/>
  <c r="AF1175" i="14"/>
  <c r="P1133" i="14"/>
  <c r="AG1133" i="14" s="1"/>
  <c r="BD1133" i="14"/>
  <c r="H1133" i="14"/>
  <c r="BI1133" i="14" s="1"/>
  <c r="BC1139" i="14"/>
  <c r="BD1139" i="14"/>
  <c r="P1139" i="14"/>
  <c r="AG1139" i="14" s="1"/>
  <c r="H1139" i="14"/>
  <c r="AH1139" i="14" s="1"/>
  <c r="AF1166" i="14"/>
  <c r="P1175" i="14"/>
  <c r="AG1175" i="14" s="1"/>
  <c r="H1175" i="14"/>
  <c r="AH1175" i="14" s="1"/>
  <c r="BD1175" i="14"/>
  <c r="BH1166" i="14"/>
  <c r="BF1166" i="14" s="1"/>
  <c r="BH1175" i="14"/>
  <c r="BF1175" i="14" s="1"/>
  <c r="AF1178" i="14"/>
  <c r="BG1121" i="14"/>
  <c r="BC1166" i="14"/>
  <c r="BD1166" i="14"/>
  <c r="BH1176" i="14"/>
  <c r="BF1176" i="14" s="1"/>
  <c r="BD1121" i="14"/>
  <c r="BH1178" i="14"/>
  <c r="BF1178" i="14" s="1"/>
  <c r="BC1121" i="14"/>
  <c r="BH1079" i="14"/>
  <c r="BF1079" i="14" s="1"/>
  <c r="BC1175" i="14"/>
  <c r="H1178" i="14"/>
  <c r="AH1178" i="14" s="1"/>
  <c r="H1166" i="14"/>
  <c r="AH1166" i="14" s="1"/>
  <c r="P1166" i="14"/>
  <c r="AG1166" i="14" s="1"/>
  <c r="BC1178" i="14"/>
  <c r="BC1176" i="14"/>
  <c r="H1176" i="14"/>
  <c r="AH1176" i="14" s="1"/>
  <c r="P1176" i="14"/>
  <c r="AG1176" i="14" s="1"/>
  <c r="H1079" i="14"/>
  <c r="BI1079" i="14" s="1"/>
  <c r="BD1176" i="14"/>
  <c r="BD1079" i="14"/>
  <c r="BD1178" i="14"/>
  <c r="BC1068" i="14"/>
  <c r="BC1079" i="14"/>
  <c r="BD1068" i="14"/>
  <c r="H1121" i="14"/>
  <c r="AH1121" i="14" s="1"/>
  <c r="P1079" i="14"/>
  <c r="BJ1079" i="14" s="1"/>
  <c r="P1121" i="14"/>
  <c r="BJ1121" i="14" s="1"/>
  <c r="P1178" i="14"/>
  <c r="BJ1178" i="14" s="1"/>
  <c r="AF1079" i="14"/>
  <c r="BH1068" i="14"/>
  <c r="BF1068" i="14" s="1"/>
  <c r="AF1068" i="14"/>
  <c r="P1068" i="14"/>
  <c r="AG1068" i="14" s="1"/>
  <c r="H1068" i="14"/>
  <c r="AH1068" i="14" s="1"/>
  <c r="BD1042" i="14"/>
  <c r="BH1042" i="14"/>
  <c r="BF1042" i="14" s="1"/>
  <c r="BC1042" i="14"/>
  <c r="AF1042" i="14"/>
  <c r="H1042" i="14"/>
  <c r="AH1042" i="14" s="1"/>
  <c r="P1042" i="14"/>
  <c r="AG1042" i="14" s="1"/>
  <c r="BC1058" i="14"/>
  <c r="BH1058" i="14"/>
  <c r="BF1058" i="14" s="1"/>
  <c r="AF1058" i="14"/>
  <c r="BD1058" i="14"/>
  <c r="P1058" i="14"/>
  <c r="BJ1058" i="14" s="1"/>
  <c r="H1058" i="14"/>
  <c r="AH1058" i="14" s="1"/>
  <c r="BH1153" i="14"/>
  <c r="BF1153" i="14" s="1"/>
  <c r="BD1153" i="14"/>
  <c r="AF1153" i="14"/>
  <c r="BC1153" i="14"/>
  <c r="P1153" i="14"/>
  <c r="BJ1153" i="14" s="1"/>
  <c r="H1153" i="14"/>
  <c r="AH1153" i="14" s="1"/>
  <c r="BH1131" i="14"/>
  <c r="BC1131" i="14"/>
  <c r="BD1113" i="14"/>
  <c r="AF1113" i="14"/>
  <c r="AF1221" i="14"/>
  <c r="BH1113" i="14"/>
  <c r="BF1113" i="14" s="1"/>
  <c r="BC1113" i="14"/>
  <c r="H1113" i="14"/>
  <c r="AH1113" i="14" s="1"/>
  <c r="P1113" i="14"/>
  <c r="AG1113" i="14" s="1"/>
  <c r="BH1160" i="14"/>
  <c r="BF1160" i="14" s="1"/>
  <c r="BC1221" i="14"/>
  <c r="H1131" i="14"/>
  <c r="BI1131" i="14" s="1"/>
  <c r="AF1131" i="14"/>
  <c r="BH1124" i="14"/>
  <c r="BF1124" i="14" s="1"/>
  <c r="BC1067" i="14"/>
  <c r="BH1221" i="14"/>
  <c r="BF1221" i="14" s="1"/>
  <c r="P1067" i="14"/>
  <c r="BJ1067" i="14" s="1"/>
  <c r="BG1131" i="14"/>
  <c r="BD1067" i="14"/>
  <c r="BG1067" i="14"/>
  <c r="BF1067" i="14" s="1"/>
  <c r="H1221" i="14"/>
  <c r="BI1221" i="14" s="1"/>
  <c r="BH1150" i="14"/>
  <c r="BF1150" i="14" s="1"/>
  <c r="AF1150" i="14"/>
  <c r="H1067" i="14"/>
  <c r="AH1067" i="14" s="1"/>
  <c r="BD1131" i="14"/>
  <c r="P1131" i="14"/>
  <c r="AG1131" i="14" s="1"/>
  <c r="AF1099" i="14"/>
  <c r="AF1070" i="14"/>
  <c r="BH1070" i="14"/>
  <c r="BF1070" i="14" s="1"/>
  <c r="AF1222" i="14"/>
  <c r="BH1222" i="14"/>
  <c r="AF1080" i="14"/>
  <c r="BC1070" i="14"/>
  <c r="BD1221" i="14"/>
  <c r="BD1136" i="14"/>
  <c r="H1070" i="14"/>
  <c r="AH1070" i="14" s="1"/>
  <c r="P1070" i="14"/>
  <c r="BJ1070" i="14" s="1"/>
  <c r="P1222" i="14"/>
  <c r="BJ1222" i="14" s="1"/>
  <c r="BC1136" i="14"/>
  <c r="BD1222" i="14"/>
  <c r="BD1070" i="14"/>
  <c r="BH1044" i="14"/>
  <c r="BF1044" i="14" s="1"/>
  <c r="AF1136" i="14"/>
  <c r="BC1222" i="14"/>
  <c r="BC1214" i="14"/>
  <c r="BH1080" i="14"/>
  <c r="BF1080" i="14" s="1"/>
  <c r="AF1214" i="14"/>
  <c r="BD1080" i="14"/>
  <c r="BG1222" i="14"/>
  <c r="BD1214" i="14"/>
  <c r="P1221" i="14"/>
  <c r="BJ1221" i="14" s="1"/>
  <c r="H1214" i="14"/>
  <c r="BI1214" i="14" s="1"/>
  <c r="H1136" i="14"/>
  <c r="AH1136" i="14" s="1"/>
  <c r="H1222" i="14"/>
  <c r="AH1222" i="14" s="1"/>
  <c r="P1136" i="14"/>
  <c r="BJ1136" i="14" s="1"/>
  <c r="P1214" i="14"/>
  <c r="BJ1214" i="14" s="1"/>
  <c r="BH1214" i="14"/>
  <c r="BF1214" i="14" s="1"/>
  <c r="BC1080" i="14"/>
  <c r="BD1076" i="14"/>
  <c r="H1080" i="14"/>
  <c r="AH1080" i="14" s="1"/>
  <c r="P1080" i="14"/>
  <c r="AG1080" i="14" s="1"/>
  <c r="BH1076" i="14"/>
  <c r="BF1076" i="14" s="1"/>
  <c r="BH1047" i="14"/>
  <c r="BD1099" i="14"/>
  <c r="BC1150" i="14"/>
  <c r="BD1150" i="14"/>
  <c r="AF1076" i="14"/>
  <c r="BC1076" i="14"/>
  <c r="BC1099" i="14"/>
  <c r="BH1099" i="14"/>
  <c r="BF1099" i="14" s="1"/>
  <c r="AF1047" i="14"/>
  <c r="BC1047" i="14"/>
  <c r="P1150" i="14"/>
  <c r="AG1150" i="14" s="1"/>
  <c r="P1076" i="14"/>
  <c r="BJ1076" i="14" s="1"/>
  <c r="H1150" i="14"/>
  <c r="AH1150" i="14" s="1"/>
  <c r="H1076" i="14"/>
  <c r="BI1076" i="14" s="1"/>
  <c r="BG1047" i="14"/>
  <c r="BH1093" i="14"/>
  <c r="BF1093" i="14" s="1"/>
  <c r="P1099" i="14"/>
  <c r="AG1099" i="14" s="1"/>
  <c r="H1099" i="14"/>
  <c r="AH1099" i="14" s="1"/>
  <c r="BD1047" i="14"/>
  <c r="BC1044" i="14"/>
  <c r="BC1077" i="14"/>
  <c r="BD1093" i="14"/>
  <c r="BD1077" i="14"/>
  <c r="BD1105" i="14"/>
  <c r="BD1044" i="14"/>
  <c r="H1047" i="14"/>
  <c r="AH1047" i="14" s="1"/>
  <c r="P1047" i="14"/>
  <c r="AG1047" i="14" s="1"/>
  <c r="BH1077" i="14"/>
  <c r="BF1077" i="14" s="1"/>
  <c r="P1077" i="14"/>
  <c r="BJ1077" i="14" s="1"/>
  <c r="H1077" i="14"/>
  <c r="AH1077" i="14" s="1"/>
  <c r="H1044" i="14"/>
  <c r="BI1044" i="14" s="1"/>
  <c r="H1093" i="14"/>
  <c r="BI1093" i="14" s="1"/>
  <c r="BD1199" i="14"/>
  <c r="BC1078" i="14"/>
  <c r="AF1078" i="14"/>
  <c r="P1044" i="14"/>
  <c r="AG1044" i="14" s="1"/>
  <c r="BC1156" i="14"/>
  <c r="BG1078" i="14"/>
  <c r="AF1044" i="14"/>
  <c r="BH1078" i="14"/>
  <c r="AF1105" i="14"/>
  <c r="AF1199" i="14"/>
  <c r="BD1078" i="14"/>
  <c r="BC1199" i="14"/>
  <c r="BC1093" i="14"/>
  <c r="H1199" i="14"/>
  <c r="BI1199" i="14" s="1"/>
  <c r="P1199" i="14"/>
  <c r="BJ1199" i="14" s="1"/>
  <c r="P1093" i="14"/>
  <c r="BJ1093" i="14" s="1"/>
  <c r="H1078" i="14"/>
  <c r="BI1078" i="14" s="1"/>
  <c r="BH1199" i="14"/>
  <c r="BF1199" i="14" s="1"/>
  <c r="BC1105" i="14"/>
  <c r="P1105" i="14"/>
  <c r="BJ1105" i="14" s="1"/>
  <c r="H1105" i="14"/>
  <c r="AH1105" i="14" s="1"/>
  <c r="P1078" i="14"/>
  <c r="BJ1078" i="14" s="1"/>
  <c r="BH1112" i="14"/>
  <c r="BF1112" i="14" s="1"/>
  <c r="AF1083" i="14"/>
  <c r="BH1028" i="14"/>
  <c r="BF1028" i="14" s="1"/>
  <c r="BG1190" i="14"/>
  <c r="BF1190" i="14" s="1"/>
  <c r="BC1112" i="14"/>
  <c r="BH1156" i="14"/>
  <c r="AF1156" i="14"/>
  <c r="H1216" i="14"/>
  <c r="AH1216" i="14" s="1"/>
  <c r="BD1112" i="14"/>
  <c r="BD1216" i="14"/>
  <c r="BH1056" i="14"/>
  <c r="BF1056" i="14" s="1"/>
  <c r="AF1216" i="14"/>
  <c r="BH1209" i="14"/>
  <c r="BF1209" i="14" s="1"/>
  <c r="P1216" i="14"/>
  <c r="AG1216" i="14" s="1"/>
  <c r="H1156" i="14"/>
  <c r="AH1156" i="14" s="1"/>
  <c r="BG1216" i="14"/>
  <c r="AF1112" i="14"/>
  <c r="AF1116" i="14"/>
  <c r="AF1209" i="14"/>
  <c r="BD1209" i="14"/>
  <c r="BH1098" i="14"/>
  <c r="BF1098" i="14" s="1"/>
  <c r="BD1128" i="14"/>
  <c r="BH1104" i="14"/>
  <c r="BH1216" i="14"/>
  <c r="P1112" i="14"/>
  <c r="AG1112" i="14" s="1"/>
  <c r="H1112" i="14"/>
  <c r="AH1112" i="14" s="1"/>
  <c r="BH1087" i="14"/>
  <c r="BF1087" i="14" s="1"/>
  <c r="BC1216" i="14"/>
  <c r="AF1066" i="14"/>
  <c r="BC1209" i="14"/>
  <c r="BD1156" i="14"/>
  <c r="H1209" i="14"/>
  <c r="BI1209" i="14" s="1"/>
  <c r="P1209" i="14"/>
  <c r="BJ1209" i="14" s="1"/>
  <c r="P1156" i="14"/>
  <c r="BJ1156" i="14" s="1"/>
  <c r="BH1167" i="14"/>
  <c r="BG1156" i="14"/>
  <c r="BC1145" i="14"/>
  <c r="AF1102" i="14"/>
  <c r="BG1146" i="14"/>
  <c r="BF1146" i="14" s="1"/>
  <c r="BC1061" i="14"/>
  <c r="AF1162" i="14"/>
  <c r="AF1071" i="14"/>
  <c r="BH1063" i="14"/>
  <c r="BF1063" i="14" s="1"/>
  <c r="BH1172" i="14"/>
  <c r="BF1172" i="14" s="1"/>
  <c r="BH1145" i="14"/>
  <c r="AF1104" i="14"/>
  <c r="BH1081" i="14"/>
  <c r="BF1081" i="14" s="1"/>
  <c r="BD1091" i="14"/>
  <c r="BH1134" i="14"/>
  <c r="BF1134" i="14" s="1"/>
  <c r="AF1173" i="14"/>
  <c r="AF1097" i="14"/>
  <c r="BH1097" i="14"/>
  <c r="BF1097" i="14" s="1"/>
  <c r="AF1219" i="14"/>
  <c r="AF1200" i="14"/>
  <c r="AF1098" i="14"/>
  <c r="AF1039" i="14"/>
  <c r="P1052" i="14"/>
  <c r="AG1052" i="14" s="1"/>
  <c r="BH1065" i="14"/>
  <c r="BF1065" i="14" s="1"/>
  <c r="BH1206" i="14"/>
  <c r="BF1206" i="14" s="1"/>
  <c r="AF1196" i="14"/>
  <c r="BC1104" i="14"/>
  <c r="BG1104" i="14"/>
  <c r="AF1208" i="14"/>
  <c r="AF1026" i="14"/>
  <c r="AF1207" i="14"/>
  <c r="BH1100" i="14"/>
  <c r="BF1100" i="14" s="1"/>
  <c r="AF1152" i="14"/>
  <c r="AF1120" i="14"/>
  <c r="BD1224" i="14"/>
  <c r="AF1181" i="14"/>
  <c r="BD1204" i="14"/>
  <c r="BC1103" i="14"/>
  <c r="BD1104" i="14"/>
  <c r="BH1158" i="14"/>
  <c r="BF1158" i="14" s="1"/>
  <c r="BH1159" i="14"/>
  <c r="BF1159" i="14" s="1"/>
  <c r="BH1147" i="14"/>
  <c r="BF1147" i="14" s="1"/>
  <c r="BH1054" i="14"/>
  <c r="AF1167" i="14"/>
  <c r="BD1196" i="14"/>
  <c r="BH1200" i="14"/>
  <c r="BF1200" i="14" s="1"/>
  <c r="BH1085" i="14"/>
  <c r="AF1151" i="14"/>
  <c r="AF1061" i="14"/>
  <c r="BC1192" i="14"/>
  <c r="BD1160" i="14"/>
  <c r="BH1152" i="14"/>
  <c r="BF1152" i="14" s="1"/>
  <c r="BG1181" i="14"/>
  <c r="AF1034" i="14"/>
  <c r="BH1207" i="14"/>
  <c r="BF1207" i="14" s="1"/>
  <c r="BD1107" i="14"/>
  <c r="AF1210" i="14"/>
  <c r="BD1191" i="14"/>
  <c r="BH1181" i="14"/>
  <c r="BD1063" i="14"/>
  <c r="AF1217" i="14"/>
  <c r="BH1118" i="14"/>
  <c r="BF1118" i="14" s="1"/>
  <c r="BG1165" i="14"/>
  <c r="BF1165" i="14" s="1"/>
  <c r="BH1208" i="14"/>
  <c r="BF1208" i="14" s="1"/>
  <c r="BH1162" i="14"/>
  <c r="BF1162" i="14" s="1"/>
  <c r="BC1100" i="14"/>
  <c r="BD1073" i="14"/>
  <c r="BH1120" i="14"/>
  <c r="BF1120" i="14" s="1"/>
  <c r="BD1037" i="14"/>
  <c r="BD1146" i="14"/>
  <c r="BD1123" i="14"/>
  <c r="AF1192" i="14"/>
  <c r="AF1054" i="14"/>
  <c r="BC1181" i="14"/>
  <c r="AF1145" i="14"/>
  <c r="BD1141" i="14"/>
  <c r="AF1206" i="14"/>
  <c r="BC1054" i="14"/>
  <c r="AF1215" i="14"/>
  <c r="BD1056" i="14"/>
  <c r="BH1157" i="14"/>
  <c r="BF1157" i="14" s="1"/>
  <c r="BC1138" i="14"/>
  <c r="BH1029" i="14"/>
  <c r="BF1029" i="14" s="1"/>
  <c r="BH1123" i="14"/>
  <c r="BF1123" i="14" s="1"/>
  <c r="BD1152" i="14"/>
  <c r="BC1056" i="14"/>
  <c r="BD1181" i="14"/>
  <c r="BC1206" i="14"/>
  <c r="AF1123" i="14"/>
  <c r="BH1188" i="14"/>
  <c r="BC1063" i="14"/>
  <c r="P1063" i="14"/>
  <c r="BJ1063" i="14" s="1"/>
  <c r="H1104" i="14"/>
  <c r="AH1104" i="14" s="1"/>
  <c r="H1063" i="14"/>
  <c r="AH1063" i="14" s="1"/>
  <c r="P1104" i="14"/>
  <c r="BJ1104" i="14" s="1"/>
  <c r="AF1189" i="14"/>
  <c r="AF1147" i="14"/>
  <c r="BH1196" i="14"/>
  <c r="BF1196" i="14" s="1"/>
  <c r="BG1192" i="14"/>
  <c r="BG1054" i="14"/>
  <c r="AF1187" i="14"/>
  <c r="BC1210" i="14"/>
  <c r="BH1115" i="14"/>
  <c r="BF1115" i="14" s="1"/>
  <c r="BH1192" i="14"/>
  <c r="BH1089" i="14"/>
  <c r="BF1089" i="14" s="1"/>
  <c r="BC1055" i="14"/>
  <c r="BC1091" i="14"/>
  <c r="BC1026" i="14"/>
  <c r="BH1066" i="14"/>
  <c r="BF1066" i="14" s="1"/>
  <c r="BH1148" i="14"/>
  <c r="BF1148" i="14" s="1"/>
  <c r="BC1154" i="14"/>
  <c r="BH1119" i="14"/>
  <c r="BC1135" i="14"/>
  <c r="BD1212" i="14"/>
  <c r="BC1200" i="14"/>
  <c r="BH1073" i="14"/>
  <c r="BF1073" i="14" s="1"/>
  <c r="BD1038" i="14"/>
  <c r="AF1188" i="14"/>
  <c r="BG1187" i="14"/>
  <c r="BD1190" i="14"/>
  <c r="BC1073" i="14"/>
  <c r="AF1091" i="14"/>
  <c r="AF1157" i="14"/>
  <c r="BH1049" i="14"/>
  <c r="BH1046" i="14"/>
  <c r="BF1046" i="14" s="1"/>
  <c r="BH1038" i="14"/>
  <c r="BF1038" i="14" s="1"/>
  <c r="BD1054" i="14"/>
  <c r="BG1145" i="14"/>
  <c r="AF1063" i="14"/>
  <c r="AF1055" i="14"/>
  <c r="AF1171" i="14"/>
  <c r="BD1064" i="14"/>
  <c r="BC1202" i="14"/>
  <c r="BC1081" i="14"/>
  <c r="AF1081" i="14"/>
  <c r="BH1025" i="14"/>
  <c r="BF1025" i="14" s="1"/>
  <c r="BC1037" i="14"/>
  <c r="BD1026" i="14"/>
  <c r="AF1203" i="14"/>
  <c r="BC1162" i="14"/>
  <c r="AF1186" i="14"/>
  <c r="AF1109" i="14"/>
  <c r="BC1038" i="14"/>
  <c r="AF1124" i="14"/>
  <c r="BG1215" i="14"/>
  <c r="AF1134" i="14"/>
  <c r="AF1065" i="14"/>
  <c r="BD1155" i="14"/>
  <c r="AF1115" i="14"/>
  <c r="BC1184" i="14"/>
  <c r="BH1173" i="14"/>
  <c r="BF1173" i="14" s="1"/>
  <c r="BC1087" i="14"/>
  <c r="AF1053" i="14"/>
  <c r="BH1138" i="14"/>
  <c r="BF1138" i="14" s="1"/>
  <c r="BC1224" i="14"/>
  <c r="AF1084" i="14"/>
  <c r="BD1120" i="14"/>
  <c r="BD1200" i="14"/>
  <c r="BH1051" i="14"/>
  <c r="BH1164" i="14"/>
  <c r="BF1164" i="14" s="1"/>
  <c r="BC1143" i="14"/>
  <c r="BD1165" i="14"/>
  <c r="BC1124" i="14"/>
  <c r="BD1066" i="14"/>
  <c r="BH1210" i="14"/>
  <c r="BF1210" i="14" s="1"/>
  <c r="AF1148" i="14"/>
  <c r="BD1162" i="14"/>
  <c r="BC1215" i="14"/>
  <c r="AF1038" i="14"/>
  <c r="BG1167" i="14"/>
  <c r="BH1195" i="14"/>
  <c r="BF1195" i="14" s="1"/>
  <c r="BH1071" i="14"/>
  <c r="BF1071" i="14" s="1"/>
  <c r="AF1132" i="14"/>
  <c r="BH1096" i="14"/>
  <c r="BF1096" i="14" s="1"/>
  <c r="BH1122" i="14"/>
  <c r="BF1122" i="14" s="1"/>
  <c r="BD1164" i="14"/>
  <c r="BC1102" i="14"/>
  <c r="BD1127" i="14"/>
  <c r="BD1124" i="14"/>
  <c r="BH1194" i="14"/>
  <c r="BD1081" i="14"/>
  <c r="BD1147" i="14"/>
  <c r="BC1074" i="14"/>
  <c r="BD1134" i="14"/>
  <c r="BD1100" i="14"/>
  <c r="BD1184" i="14"/>
  <c r="BH1204" i="14"/>
  <c r="BF1204" i="14" s="1"/>
  <c r="BG1055" i="14"/>
  <c r="AF1138" i="14"/>
  <c r="BH1084" i="14"/>
  <c r="BF1084" i="14" s="1"/>
  <c r="BH1053" i="14"/>
  <c r="BF1053" i="14" s="1"/>
  <c r="BH1187" i="14"/>
  <c r="BH1091" i="14"/>
  <c r="BH1034" i="14"/>
  <c r="BF1034" i="14" s="1"/>
  <c r="BD1219" i="14"/>
  <c r="BH1075" i="14"/>
  <c r="BD1215" i="14"/>
  <c r="BD1206" i="14"/>
  <c r="AF1184" i="14"/>
  <c r="BD1197" i="14"/>
  <c r="BC1201" i="14"/>
  <c r="BD1074" i="14"/>
  <c r="BC1034" i="14"/>
  <c r="BH1090" i="14"/>
  <c r="BF1090" i="14" s="1"/>
  <c r="BH1026" i="14"/>
  <c r="BF1026" i="14" s="1"/>
  <c r="BC1152" i="14"/>
  <c r="BC1186" i="14"/>
  <c r="BC1188" i="14"/>
  <c r="AF1029" i="14"/>
  <c r="AF1202" i="14"/>
  <c r="BG1091" i="14"/>
  <c r="BG1191" i="14"/>
  <c r="BF1191" i="14" s="1"/>
  <c r="BD1169" i="14"/>
  <c r="AF1056" i="14"/>
  <c r="AF1158" i="14"/>
  <c r="H1056" i="14"/>
  <c r="AH1056" i="14" s="1"/>
  <c r="P1056" i="14"/>
  <c r="AG1056" i="14" s="1"/>
  <c r="BD1148" i="14"/>
  <c r="BD1071" i="14"/>
  <c r="BC1134" i="14"/>
  <c r="BH1154" i="14"/>
  <c r="BF1154" i="14" s="1"/>
  <c r="BC1157" i="14"/>
  <c r="BD1157" i="14"/>
  <c r="AF1204" i="14"/>
  <c r="AF1194" i="14"/>
  <c r="BD1142" i="14"/>
  <c r="BC1120" i="14"/>
  <c r="AF1141" i="14"/>
  <c r="BD1084" i="14"/>
  <c r="BD1103" i="14"/>
  <c r="BD1188" i="14"/>
  <c r="BC1123" i="14"/>
  <c r="BC1171" i="14"/>
  <c r="BC1204" i="14"/>
  <c r="BD1145" i="14"/>
  <c r="AF1094" i="14"/>
  <c r="BH1144" i="14"/>
  <c r="BF1144" i="14" s="1"/>
  <c r="AF1129" i="14"/>
  <c r="BD1083" i="14"/>
  <c r="BD1210" i="14"/>
  <c r="BC1160" i="14"/>
  <c r="BG1188" i="14"/>
  <c r="P1181" i="14"/>
  <c r="BJ1181" i="14" s="1"/>
  <c r="P1123" i="14"/>
  <c r="AG1123" i="14" s="1"/>
  <c r="P1145" i="14"/>
  <c r="AG1145" i="14" s="1"/>
  <c r="H1054" i="14"/>
  <c r="BI1054" i="14" s="1"/>
  <c r="H1215" i="14"/>
  <c r="AH1215" i="14" s="1"/>
  <c r="H1181" i="14"/>
  <c r="AH1181" i="14" s="1"/>
  <c r="P1204" i="14"/>
  <c r="AG1204" i="14" s="1"/>
  <c r="P1054" i="14"/>
  <c r="AG1054" i="14" s="1"/>
  <c r="H1084" i="14"/>
  <c r="AH1084" i="14" s="1"/>
  <c r="H1204" i="14"/>
  <c r="AH1204" i="14" s="1"/>
  <c r="H1186" i="14"/>
  <c r="AH1186" i="14" s="1"/>
  <c r="H1123" i="14"/>
  <c r="AH1123" i="14" s="1"/>
  <c r="H1138" i="14"/>
  <c r="AH1138" i="14" s="1"/>
  <c r="P1186" i="14"/>
  <c r="BJ1186" i="14" s="1"/>
  <c r="H1092" i="14"/>
  <c r="AH1092" i="14" s="1"/>
  <c r="H1145" i="14"/>
  <c r="AH1145" i="14" s="1"/>
  <c r="P1206" i="14"/>
  <c r="BJ1206" i="14" s="1"/>
  <c r="BH1186" i="14"/>
  <c r="BF1186" i="14" s="1"/>
  <c r="BD1065" i="14"/>
  <c r="BD1086" i="14"/>
  <c r="BC1035" i="14"/>
  <c r="BD1115" i="14"/>
  <c r="BD1089" i="14"/>
  <c r="BH1203" i="14"/>
  <c r="BF1203" i="14" s="1"/>
  <c r="BC1084" i="14"/>
  <c r="BH1215" i="14"/>
  <c r="BD1138" i="14"/>
  <c r="BC1146" i="14"/>
  <c r="BC1129" i="14"/>
  <c r="BC1203" i="14"/>
  <c r="BH1116" i="14"/>
  <c r="BF1116" i="14" s="1"/>
  <c r="BC1090" i="14"/>
  <c r="BD1159" i="14"/>
  <c r="BC1159" i="14"/>
  <c r="BD1029" i="14"/>
  <c r="AF1103" i="14"/>
  <c r="AF1035" i="14"/>
  <c r="BC1066" i="14"/>
  <c r="BC1075" i="14"/>
  <c r="BD1192" i="14"/>
  <c r="BD1203" i="14"/>
  <c r="AF1142" i="14"/>
  <c r="AF1089" i="14"/>
  <c r="AF1140" i="14"/>
  <c r="AF1087" i="14"/>
  <c r="BC1064" i="14"/>
  <c r="BD1208" i="14"/>
  <c r="BH1219" i="14"/>
  <c r="BF1219" i="14" s="1"/>
  <c r="BD1202" i="14"/>
  <c r="BH1185" i="14"/>
  <c r="BF1185" i="14" s="1"/>
  <c r="BH1170" i="14"/>
  <c r="BF1170" i="14" s="1"/>
  <c r="BC1048" i="14"/>
  <c r="BD1177" i="14"/>
  <c r="BH1201" i="14"/>
  <c r="BF1201" i="14" s="1"/>
  <c r="BC1028" i="14"/>
  <c r="BC1083" i="14"/>
  <c r="BC1197" i="14"/>
  <c r="BD1149" i="14"/>
  <c r="AF1119" i="14"/>
  <c r="BD1075" i="14"/>
  <c r="BC1119" i="14"/>
  <c r="BD1207" i="14"/>
  <c r="BC1165" i="14"/>
  <c r="BC1116" i="14"/>
  <c r="BD1167" i="14"/>
  <c r="BD1036" i="14"/>
  <c r="BC1196" i="14"/>
  <c r="BC1173" i="14"/>
  <c r="AF1130" i="14"/>
  <c r="BD1187" i="14"/>
  <c r="BC1098" i="14"/>
  <c r="AF1069" i="14"/>
  <c r="BH1052" i="14"/>
  <c r="BF1052" i="14" s="1"/>
  <c r="BC1149" i="14"/>
  <c r="BD1158" i="14"/>
  <c r="BD1087" i="14"/>
  <c r="AF1177" i="14"/>
  <c r="AF1213" i="14"/>
  <c r="BD1132" i="14"/>
  <c r="BC1185" i="14"/>
  <c r="BC1141" i="14"/>
  <c r="BC1110" i="14"/>
  <c r="BD1186" i="14"/>
  <c r="BH1171" i="14"/>
  <c r="BF1171" i="14" s="1"/>
  <c r="BD1173" i="14"/>
  <c r="BC1212" i="14"/>
  <c r="BC1190" i="14"/>
  <c r="AF1155" i="14"/>
  <c r="BH1212" i="14"/>
  <c r="BF1212" i="14" s="1"/>
  <c r="BH1061" i="14"/>
  <c r="BF1061" i="14" s="1"/>
  <c r="BG1194" i="14"/>
  <c r="AF1048" i="14"/>
  <c r="AF1064" i="14"/>
  <c r="BC1164" i="14"/>
  <c r="P1190" i="14"/>
  <c r="AG1190" i="14" s="1"/>
  <c r="P1184" i="14"/>
  <c r="AG1184" i="14" s="1"/>
  <c r="H1038" i="14"/>
  <c r="AH1038" i="14" s="1"/>
  <c r="H1091" i="14"/>
  <c r="BI1091" i="14" s="1"/>
  <c r="P1188" i="14"/>
  <c r="AG1188" i="14" s="1"/>
  <c r="P1157" i="14"/>
  <c r="AG1157" i="14" s="1"/>
  <c r="H1146" i="14"/>
  <c r="AH1146" i="14" s="1"/>
  <c r="H1087" i="14"/>
  <c r="BI1087" i="14" s="1"/>
  <c r="P1091" i="14"/>
  <c r="AG1091" i="14" s="1"/>
  <c r="P1087" i="14"/>
  <c r="BJ1087" i="14" s="1"/>
  <c r="H1103" i="14"/>
  <c r="AH1103" i="14" s="1"/>
  <c r="H1173" i="14"/>
  <c r="AH1173" i="14" s="1"/>
  <c r="P1073" i="14"/>
  <c r="AG1073" i="14" s="1"/>
  <c r="P1196" i="14"/>
  <c r="AG1196" i="14" s="1"/>
  <c r="H1190" i="14"/>
  <c r="BI1190" i="14" s="1"/>
  <c r="P1215" i="14"/>
  <c r="BJ1215" i="14" s="1"/>
  <c r="P1084" i="14"/>
  <c r="AG1084" i="14" s="1"/>
  <c r="P1103" i="14"/>
  <c r="BJ1103" i="14" s="1"/>
  <c r="P1171" i="14"/>
  <c r="BJ1171" i="14" s="1"/>
  <c r="H1206" i="14"/>
  <c r="BI1206" i="14" s="1"/>
  <c r="H1120" i="14"/>
  <c r="AH1120" i="14" s="1"/>
  <c r="P1146" i="14"/>
  <c r="AG1146" i="14" s="1"/>
  <c r="P1138" i="14"/>
  <c r="AG1138" i="14" s="1"/>
  <c r="P1224" i="14"/>
  <c r="BJ1224" i="14" s="1"/>
  <c r="H1162" i="14"/>
  <c r="AH1162" i="14" s="1"/>
  <c r="H1157" i="14"/>
  <c r="AH1157" i="14" s="1"/>
  <c r="H1212" i="14"/>
  <c r="BI1212" i="14" s="1"/>
  <c r="H1147" i="14"/>
  <c r="AH1147" i="14" s="1"/>
  <c r="H1224" i="14"/>
  <c r="BI1224" i="14" s="1"/>
  <c r="H1200" i="14"/>
  <c r="BI1200" i="14" s="1"/>
  <c r="P1162" i="14"/>
  <c r="AG1162" i="14" s="1"/>
  <c r="P1134" i="14"/>
  <c r="AG1134" i="14" s="1"/>
  <c r="P1173" i="14"/>
  <c r="BJ1173" i="14" s="1"/>
  <c r="H1196" i="14"/>
  <c r="BI1196" i="14" s="1"/>
  <c r="P1081" i="14"/>
  <c r="AG1081" i="14" s="1"/>
  <c r="H1081" i="14"/>
  <c r="BI1081" i="14" s="1"/>
  <c r="P1100" i="14"/>
  <c r="AG1100" i="14" s="1"/>
  <c r="H1184" i="14"/>
  <c r="BI1184" i="14" s="1"/>
  <c r="P1212" i="14"/>
  <c r="BJ1212" i="14" s="1"/>
  <c r="P1120" i="14"/>
  <c r="BJ1120" i="14" s="1"/>
  <c r="H1188" i="14"/>
  <c r="BI1188" i="14" s="1"/>
  <c r="P1038" i="14"/>
  <c r="AG1038" i="14" s="1"/>
  <c r="H1073" i="14"/>
  <c r="AH1073" i="14" s="1"/>
  <c r="P1200" i="14"/>
  <c r="AG1200" i="14" s="1"/>
  <c r="H1100" i="14"/>
  <c r="AH1100" i="14" s="1"/>
  <c r="BG1224" i="14"/>
  <c r="BF1224" i="14" s="1"/>
  <c r="AF1201" i="14"/>
  <c r="AF1090" i="14"/>
  <c r="AF1127" i="14"/>
  <c r="AF1159" i="14"/>
  <c r="AF1073" i="14"/>
  <c r="BC1086" i="14"/>
  <c r="BH1057" i="14"/>
  <c r="BF1057" i="14" s="1"/>
  <c r="BC1127" i="14"/>
  <c r="BH1110" i="14"/>
  <c r="BF1110" i="14" s="1"/>
  <c r="BH1202" i="14"/>
  <c r="BF1202" i="14" s="1"/>
  <c r="BC1071" i="14"/>
  <c r="BG1103" i="14"/>
  <c r="BF1103" i="14" s="1"/>
  <c r="BG1069" i="14"/>
  <c r="AF1212" i="14"/>
  <c r="BH1101" i="14"/>
  <c r="BF1101" i="14" s="1"/>
  <c r="BH1035" i="14"/>
  <c r="BF1035" i="14" s="1"/>
  <c r="BD1097" i="14"/>
  <c r="AF1160" i="14"/>
  <c r="BD1137" i="14"/>
  <c r="BH1083" i="14"/>
  <c r="BH1155" i="14"/>
  <c r="BD1090" i="14"/>
  <c r="BD1116" i="14"/>
  <c r="BD1119" i="14"/>
  <c r="BD1035" i="14"/>
  <c r="BC1029" i="14"/>
  <c r="BC1167" i="14"/>
  <c r="BD1061" i="14"/>
  <c r="BC1147" i="14"/>
  <c r="AF1122" i="14"/>
  <c r="BG1119" i="14"/>
  <c r="AF1107" i="14"/>
  <c r="BG1155" i="14"/>
  <c r="AF1118" i="14"/>
  <c r="BG1083" i="14"/>
  <c r="AF1169" i="14"/>
  <c r="AF1062" i="14"/>
  <c r="AF1085" i="14"/>
  <c r="BD1129" i="14"/>
  <c r="BD1110" i="14"/>
  <c r="BC1207" i="14"/>
  <c r="BD1185" i="14"/>
  <c r="BD1135" i="14"/>
  <c r="BD1034" i="14"/>
  <c r="BD1154" i="14"/>
  <c r="BC1107" i="14"/>
  <c r="BD1171" i="14"/>
  <c r="AF1036" i="14"/>
  <c r="BD1082" i="14"/>
  <c r="AF1117" i="14"/>
  <c r="BH1041" i="14"/>
  <c r="BF1041" i="14" s="1"/>
  <c r="BC1032" i="14"/>
  <c r="BH1102" i="14"/>
  <c r="BF1102" i="14" s="1"/>
  <c r="BD1118" i="14"/>
  <c r="BH1135" i="14"/>
  <c r="BF1135" i="14" s="1"/>
  <c r="BC1191" i="14"/>
  <c r="BC1036" i="14"/>
  <c r="BD1088" i="14"/>
  <c r="H1107" i="14"/>
  <c r="AH1107" i="14" s="1"/>
  <c r="P1158" i="14"/>
  <c r="AG1158" i="14" s="1"/>
  <c r="H1029" i="14"/>
  <c r="BI1029" i="14" s="1"/>
  <c r="P1107" i="14"/>
  <c r="AG1107" i="14" s="1"/>
  <c r="H1036" i="14"/>
  <c r="BI1036" i="14" s="1"/>
  <c r="H1152" i="14"/>
  <c r="BI1152" i="14" s="1"/>
  <c r="P1029" i="14"/>
  <c r="BJ1029" i="14" s="1"/>
  <c r="P1152" i="14"/>
  <c r="AG1152" i="14" s="1"/>
  <c r="P1203" i="14"/>
  <c r="AG1203" i="14" s="1"/>
  <c r="P1160" i="14"/>
  <c r="AG1160" i="14" s="1"/>
  <c r="P1036" i="14"/>
  <c r="AG1036" i="14" s="1"/>
  <c r="H1203" i="14"/>
  <c r="BI1203" i="14" s="1"/>
  <c r="P1167" i="14"/>
  <c r="AG1167" i="14" s="1"/>
  <c r="H1160" i="14"/>
  <c r="BI1160" i="14" s="1"/>
  <c r="P1026" i="14"/>
  <c r="AG1026" i="14" s="1"/>
  <c r="H1061" i="14"/>
  <c r="AH1061" i="14" s="1"/>
  <c r="H1167" i="14"/>
  <c r="BI1167" i="14" s="1"/>
  <c r="H1134" i="14"/>
  <c r="BI1134" i="14" s="1"/>
  <c r="H1026" i="14"/>
  <c r="AH1026" i="14" s="1"/>
  <c r="P1061" i="14"/>
  <c r="AG1061" i="14" s="1"/>
  <c r="P1147" i="14"/>
  <c r="BJ1147" i="14" s="1"/>
  <c r="P1191" i="14"/>
  <c r="AG1191" i="14" s="1"/>
  <c r="P1185" i="14"/>
  <c r="AG1185" i="14" s="1"/>
  <c r="H1171" i="14"/>
  <c r="AH1171" i="14" s="1"/>
  <c r="H1191" i="14"/>
  <c r="BI1191" i="14" s="1"/>
  <c r="P1159" i="14"/>
  <c r="AG1159" i="14" s="1"/>
  <c r="AF1028" i="14"/>
  <c r="BH1037" i="14"/>
  <c r="BF1037" i="14" s="1"/>
  <c r="AF1074" i="14"/>
  <c r="AF1075" i="14"/>
  <c r="AF1086" i="14"/>
  <c r="BD1182" i="14"/>
  <c r="BH1129" i="14"/>
  <c r="BF1129" i="14" s="1"/>
  <c r="BC1148" i="14"/>
  <c r="BH1055" i="14"/>
  <c r="BC1089" i="14"/>
  <c r="BD1055" i="14"/>
  <c r="P1141" i="14"/>
  <c r="AG1141" i="14" s="1"/>
  <c r="H1089" i="14"/>
  <c r="AH1089" i="14" s="1"/>
  <c r="H1055" i="14"/>
  <c r="BI1055" i="14" s="1"/>
  <c r="H1141" i="14"/>
  <c r="AH1141" i="14" s="1"/>
  <c r="P1055" i="14"/>
  <c r="AG1055" i="14" s="1"/>
  <c r="P1089" i="14"/>
  <c r="AG1089" i="14" s="1"/>
  <c r="AF1185" i="14"/>
  <c r="AF1135" i="14"/>
  <c r="BG1075" i="14"/>
  <c r="AF1037" i="14"/>
  <c r="BH1039" i="14"/>
  <c r="BF1039" i="14" s="1"/>
  <c r="BD1085" i="14"/>
  <c r="AF1033" i="14"/>
  <c r="AF1180" i="14"/>
  <c r="AF1095" i="14"/>
  <c r="BD1072" i="14"/>
  <c r="BC1174" i="14"/>
  <c r="BH1074" i="14"/>
  <c r="BF1074" i="14" s="1"/>
  <c r="BC1101" i="14"/>
  <c r="BH1218" i="14"/>
  <c r="BF1218" i="14" s="1"/>
  <c r="BC1118" i="14"/>
  <c r="BH1149" i="14"/>
  <c r="BF1149" i="14" s="1"/>
  <c r="BC1195" i="14"/>
  <c r="BC1115" i="14"/>
  <c r="BC1158" i="14"/>
  <c r="BD1195" i="14"/>
  <c r="AF1172" i="14"/>
  <c r="BC1092" i="14"/>
  <c r="BC1140" i="14"/>
  <c r="BC1213" i="14"/>
  <c r="BD1098" i="14"/>
  <c r="AF1052" i="14"/>
  <c r="P1195" i="14"/>
  <c r="BJ1195" i="14" s="1"/>
  <c r="P1034" i="14"/>
  <c r="AG1034" i="14" s="1"/>
  <c r="P1202" i="14"/>
  <c r="BJ1202" i="14" s="1"/>
  <c r="H1207" i="14"/>
  <c r="AH1207" i="14" s="1"/>
  <c r="H1159" i="14"/>
  <c r="BI1159" i="14" s="1"/>
  <c r="H1195" i="14"/>
  <c r="AH1195" i="14" s="1"/>
  <c r="P1071" i="14"/>
  <c r="AG1071" i="14" s="1"/>
  <c r="P1154" i="14"/>
  <c r="BJ1154" i="14" s="1"/>
  <c r="P1135" i="14"/>
  <c r="AG1135" i="14" s="1"/>
  <c r="P1149" i="14"/>
  <c r="AG1149" i="14" s="1"/>
  <c r="P1124" i="14"/>
  <c r="AG1124" i="14" s="1"/>
  <c r="H1035" i="14"/>
  <c r="BI1035" i="14" s="1"/>
  <c r="H1037" i="14"/>
  <c r="BI1037" i="14" s="1"/>
  <c r="H1124" i="14"/>
  <c r="BI1124" i="14" s="1"/>
  <c r="H1165" i="14"/>
  <c r="BI1165" i="14" s="1"/>
  <c r="H1090" i="14"/>
  <c r="AH1090" i="14" s="1"/>
  <c r="P1037" i="14"/>
  <c r="BJ1037" i="14" s="1"/>
  <c r="P1119" i="14"/>
  <c r="BJ1119" i="14" s="1"/>
  <c r="P1165" i="14"/>
  <c r="AG1165" i="14" s="1"/>
  <c r="H1116" i="14"/>
  <c r="AH1116" i="14" s="1"/>
  <c r="P1192" i="14"/>
  <c r="AG1192" i="14" s="1"/>
  <c r="H1158" i="14"/>
  <c r="AH1158" i="14" s="1"/>
  <c r="H1185" i="14"/>
  <c r="BI1185" i="14" s="1"/>
  <c r="H1148" i="14"/>
  <c r="AH1148" i="14" s="1"/>
  <c r="P1148" i="14"/>
  <c r="BJ1148" i="14" s="1"/>
  <c r="H1192" i="14"/>
  <c r="BI1192" i="14" s="1"/>
  <c r="P1110" i="14"/>
  <c r="BJ1110" i="14" s="1"/>
  <c r="H1071" i="14"/>
  <c r="BI1071" i="14" s="1"/>
  <c r="P1115" i="14"/>
  <c r="BJ1115" i="14" s="1"/>
  <c r="H1154" i="14"/>
  <c r="AH1154" i="14" s="1"/>
  <c r="P1074" i="14"/>
  <c r="BJ1074" i="14" s="1"/>
  <c r="H1149" i="14"/>
  <c r="AH1149" i="14" s="1"/>
  <c r="P1207" i="14"/>
  <c r="AG1207" i="14" s="1"/>
  <c r="H1119" i="14"/>
  <c r="AH1119" i="14" s="1"/>
  <c r="H1110" i="14"/>
  <c r="BI1110" i="14" s="1"/>
  <c r="P1075" i="14"/>
  <c r="BJ1075" i="14" s="1"/>
  <c r="P1035" i="14"/>
  <c r="BJ1035" i="14" s="1"/>
  <c r="H1075" i="14"/>
  <c r="AH1075" i="14" s="1"/>
  <c r="H1135" i="14"/>
  <c r="BI1135" i="14" s="1"/>
  <c r="H1064" i="14"/>
  <c r="AH1064" i="14" s="1"/>
  <c r="P1127" i="14"/>
  <c r="AG1127" i="14" s="1"/>
  <c r="H1202" i="14"/>
  <c r="BI1202" i="14" s="1"/>
  <c r="P1066" i="14"/>
  <c r="BJ1066" i="14" s="1"/>
  <c r="P1090" i="14"/>
  <c r="AG1090" i="14" s="1"/>
  <c r="H1034" i="14"/>
  <c r="BI1034" i="14" s="1"/>
  <c r="H1127" i="14"/>
  <c r="BI1127" i="14" s="1"/>
  <c r="H1115" i="14"/>
  <c r="BI1115" i="14" s="1"/>
  <c r="P1116" i="14"/>
  <c r="BJ1116" i="14" s="1"/>
  <c r="H1066" i="14"/>
  <c r="BI1066" i="14" s="1"/>
  <c r="H1074" i="14"/>
  <c r="AH1074" i="14" s="1"/>
  <c r="AF1197" i="14"/>
  <c r="BC1217" i="14"/>
  <c r="BC1132" i="14"/>
  <c r="AF1110" i="14"/>
  <c r="AF1149" i="14"/>
  <c r="AF1195" i="14"/>
  <c r="BC1030" i="14"/>
  <c r="AF1088" i="14"/>
  <c r="BD1032" i="14"/>
  <c r="AF1164" i="14"/>
  <c r="AF1032" i="14"/>
  <c r="AF1060" i="14"/>
  <c r="BD1030" i="14"/>
  <c r="BC1180" i="14"/>
  <c r="BD1045" i="14"/>
  <c r="BD1101" i="14"/>
  <c r="BH1032" i="14"/>
  <c r="BF1032" i="14" s="1"/>
  <c r="BD1201" i="14"/>
  <c r="BH1213" i="14"/>
  <c r="BF1213" i="14" s="1"/>
  <c r="BC1155" i="14"/>
  <c r="BD1102" i="14"/>
  <c r="P1210" i="14"/>
  <c r="AG1210" i="14" s="1"/>
  <c r="H1210" i="14"/>
  <c r="AH1210" i="14" s="1"/>
  <c r="P1197" i="14"/>
  <c r="BJ1197" i="14" s="1"/>
  <c r="H1197" i="14"/>
  <c r="BI1197" i="14" s="1"/>
  <c r="H1219" i="14"/>
  <c r="BI1219" i="14" s="1"/>
  <c r="BC1057" i="14"/>
  <c r="BC1097" i="14"/>
  <c r="AF1050" i="14"/>
  <c r="BC1072" i="14"/>
  <c r="BD1163" i="14"/>
  <c r="BD1033" i="14"/>
  <c r="BD1028" i="14"/>
  <c r="BC1187" i="14"/>
  <c r="BH1086" i="14"/>
  <c r="BF1086" i="14" s="1"/>
  <c r="AF1183" i="14"/>
  <c r="BH1062" i="14"/>
  <c r="BF1062" i="14" s="1"/>
  <c r="BH1180" i="14"/>
  <c r="BF1180" i="14" s="1"/>
  <c r="BC1137" i="14"/>
  <c r="BH1111" i="14"/>
  <c r="BF1111" i="14" s="1"/>
  <c r="BH1151" i="14"/>
  <c r="BF1151" i="14" s="1"/>
  <c r="H1102" i="14"/>
  <c r="AH1102" i="14" s="1"/>
  <c r="H1155" i="14"/>
  <c r="AH1155" i="14" s="1"/>
  <c r="P1086" i="14"/>
  <c r="AG1086" i="14" s="1"/>
  <c r="H1118" i="14"/>
  <c r="BI1118" i="14" s="1"/>
  <c r="H1083" i="14"/>
  <c r="AH1083" i="14" s="1"/>
  <c r="P1083" i="14"/>
  <c r="BJ1083" i="14" s="1"/>
  <c r="P1102" i="14"/>
  <c r="BJ1102" i="14" s="1"/>
  <c r="P1118" i="14"/>
  <c r="BJ1118" i="14" s="1"/>
  <c r="P1155" i="14"/>
  <c r="BJ1155" i="14" s="1"/>
  <c r="H1086" i="14"/>
  <c r="AH1086" i="14" s="1"/>
  <c r="P1033" i="14"/>
  <c r="AG1033" i="14" s="1"/>
  <c r="AF1030" i="14"/>
  <c r="BC1219" i="14"/>
  <c r="BH1117" i="14"/>
  <c r="BF1117" i="14" s="1"/>
  <c r="BC1096" i="14"/>
  <c r="AF1031" i="14"/>
  <c r="BC1082" i="14"/>
  <c r="BC1025" i="14"/>
  <c r="BC1041" i="14"/>
  <c r="BD1095" i="14"/>
  <c r="AF1049" i="14"/>
  <c r="BD1027" i="14"/>
  <c r="BH1045" i="14"/>
  <c r="BF1045" i="14" s="1"/>
  <c r="BD1051" i="14"/>
  <c r="BD1052" i="14"/>
  <c r="BD1218" i="14"/>
  <c r="BH1217" i="14"/>
  <c r="BF1217" i="14" s="1"/>
  <c r="BH1048" i="14"/>
  <c r="BF1048" i="14" s="1"/>
  <c r="BH1142" i="14"/>
  <c r="BF1142" i="14" s="1"/>
  <c r="BC1177" i="14"/>
  <c r="BH1128" i="14"/>
  <c r="BF1128" i="14" s="1"/>
  <c r="BC1033" i="14"/>
  <c r="H1028" i="14"/>
  <c r="BI1028" i="14" s="1"/>
  <c r="P1129" i="14"/>
  <c r="AG1129" i="14" s="1"/>
  <c r="P1028" i="14"/>
  <c r="BJ1028" i="14" s="1"/>
  <c r="P1098" i="14"/>
  <c r="BJ1098" i="14" s="1"/>
  <c r="P1164" i="14"/>
  <c r="AG1164" i="14" s="1"/>
  <c r="H1132" i="14"/>
  <c r="AH1132" i="14" s="1"/>
  <c r="H1201" i="14"/>
  <c r="BI1201" i="14" s="1"/>
  <c r="H1129" i="14"/>
  <c r="BI1129" i="14" s="1"/>
  <c r="P1201" i="14"/>
  <c r="BJ1201" i="14" s="1"/>
  <c r="P1132" i="14"/>
  <c r="AG1132" i="14" s="1"/>
  <c r="P1187" i="14"/>
  <c r="AG1187" i="14" s="1"/>
  <c r="P1213" i="14"/>
  <c r="AG1213" i="14" s="1"/>
  <c r="H1187" i="14"/>
  <c r="BI1187" i="14" s="1"/>
  <c r="H1098" i="14"/>
  <c r="AH1098" i="14" s="1"/>
  <c r="H1164" i="14"/>
  <c r="BI1164" i="14" s="1"/>
  <c r="AF1111" i="14"/>
  <c r="AF1114" i="14"/>
  <c r="BH1027" i="14"/>
  <c r="BF1027" i="14" s="1"/>
  <c r="BD1122" i="14"/>
  <c r="BC1130" i="14"/>
  <c r="BC1182" i="14"/>
  <c r="BH1060" i="14"/>
  <c r="BC1095" i="14"/>
  <c r="BC1114" i="14"/>
  <c r="BH1163" i="14"/>
  <c r="BF1163" i="14" s="1"/>
  <c r="BH1177" i="14"/>
  <c r="BF1177" i="14" s="1"/>
  <c r="BD1213" i="14"/>
  <c r="BH1183" i="14"/>
  <c r="BC1062" i="14"/>
  <c r="BC1117" i="14"/>
  <c r="BC1111" i="14"/>
  <c r="AF1051" i="14"/>
  <c r="BD1151" i="14"/>
  <c r="BC1122" i="14"/>
  <c r="BD1094" i="14"/>
  <c r="BC1027" i="14"/>
  <c r="BD1217" i="14"/>
  <c r="BC1046" i="14"/>
  <c r="BH1143" i="14"/>
  <c r="AF1218" i="14"/>
  <c r="BD1170" i="14"/>
  <c r="BC1052" i="14"/>
  <c r="BH1030" i="14"/>
  <c r="BF1030" i="14" s="1"/>
  <c r="BG1085" i="14"/>
  <c r="BH1064" i="14"/>
  <c r="BF1064" i="14" s="1"/>
  <c r="BH1095" i="14"/>
  <c r="BF1095" i="14" s="1"/>
  <c r="BG1183" i="14"/>
  <c r="BD1053" i="14"/>
  <c r="BD1048" i="14"/>
  <c r="BD1096" i="14"/>
  <c r="BH1182" i="14"/>
  <c r="BF1182" i="14" s="1"/>
  <c r="AF1128" i="14"/>
  <c r="BD1040" i="14"/>
  <c r="BH1040" i="14"/>
  <c r="BF1040" i="14" s="1"/>
  <c r="BD1194" i="14"/>
  <c r="BC1049" i="14"/>
  <c r="BD1111" i="14"/>
  <c r="BC1069" i="14"/>
  <c r="BC1218" i="14"/>
  <c r="BC1151" i="14"/>
  <c r="BD1174" i="14"/>
  <c r="BC1163" i="14"/>
  <c r="AF1137" i="14"/>
  <c r="BG1060" i="14"/>
  <c r="BG1051" i="14"/>
  <c r="AF1045" i="14"/>
  <c r="BC1051" i="14"/>
  <c r="BG1049" i="14"/>
  <c r="AF1163" i="14"/>
  <c r="AF1046" i="14"/>
  <c r="BD1057" i="14"/>
  <c r="BC1088" i="14"/>
  <c r="BC1194" i="14"/>
  <c r="BD1189" i="14"/>
  <c r="BD1114" i="14"/>
  <c r="BD1180" i="14"/>
  <c r="BD1031" i="14"/>
  <c r="BD1117" i="14"/>
  <c r="BC1031" i="14"/>
  <c r="BC1169" i="14"/>
  <c r="BH1140" i="14"/>
  <c r="BF1140" i="14" s="1"/>
  <c r="BC1208" i="14"/>
  <c r="BC1085" i="14"/>
  <c r="BD1140" i="14"/>
  <c r="BH1072" i="14"/>
  <c r="BF1072" i="14" s="1"/>
  <c r="BC1170" i="14"/>
  <c r="AF1143" i="14"/>
  <c r="AF1040" i="14"/>
  <c r="AF1072" i="14"/>
  <c r="BH1169" i="14"/>
  <c r="BF1169" i="14" s="1"/>
  <c r="AF1027" i="14"/>
  <c r="BH1114" i="14"/>
  <c r="BF1114" i="14" s="1"/>
  <c r="BH1137" i="14"/>
  <c r="BF1137" i="14" s="1"/>
  <c r="BD1046" i="14"/>
  <c r="BG1143" i="14"/>
  <c r="BD1183" i="14"/>
  <c r="BC1144" i="14"/>
  <c r="BD1172" i="14"/>
  <c r="BD1109" i="14"/>
  <c r="BH1174" i="14"/>
  <c r="BF1174" i="14" s="1"/>
  <c r="BC1045" i="14"/>
  <c r="BD1069" i="14"/>
  <c r="BD1062" i="14"/>
  <c r="BD1130" i="14"/>
  <c r="BC1053" i="14"/>
  <c r="BH1094" i="14"/>
  <c r="BD1049" i="14"/>
  <c r="BD1025" i="14"/>
  <c r="BC1172" i="14"/>
  <c r="H1170" i="14"/>
  <c r="AH1170" i="14" s="1"/>
  <c r="H1213" i="14"/>
  <c r="AH1213" i="14" s="1"/>
  <c r="P1177" i="14"/>
  <c r="AG1177" i="14" s="1"/>
  <c r="P1122" i="14"/>
  <c r="BJ1122" i="14" s="1"/>
  <c r="P1170" i="14"/>
  <c r="AG1170" i="14" s="1"/>
  <c r="H1122" i="14"/>
  <c r="BI1122" i="14" s="1"/>
  <c r="H1177" i="14"/>
  <c r="AH1177" i="14" s="1"/>
  <c r="BD1050" i="14"/>
  <c r="BC1142" i="14"/>
  <c r="BD1143" i="14"/>
  <c r="BC1065" i="14"/>
  <c r="BC1109" i="14"/>
  <c r="BH1069" i="14"/>
  <c r="BC1128" i="14"/>
  <c r="BD1039" i="14"/>
  <c r="BH1092" i="14"/>
  <c r="BF1092" i="14" s="1"/>
  <c r="BC1040" i="14"/>
  <c r="BH1161" i="14"/>
  <c r="BF1161" i="14" s="1"/>
  <c r="P1045" i="14"/>
  <c r="BJ1045" i="14" s="1"/>
  <c r="H1045" i="14"/>
  <c r="AH1045" i="14" s="1"/>
  <c r="P1142" i="14"/>
  <c r="BJ1142" i="14" s="1"/>
  <c r="H1180" i="14"/>
  <c r="BI1180" i="14" s="1"/>
  <c r="P1064" i="14"/>
  <c r="BJ1064" i="14" s="1"/>
  <c r="H1174" i="14"/>
  <c r="BI1174" i="14" s="1"/>
  <c r="H1031" i="14"/>
  <c r="BI1031" i="14" s="1"/>
  <c r="P1032" i="14"/>
  <c r="AG1032" i="14" s="1"/>
  <c r="P1151" i="14"/>
  <c r="AG1151" i="14" s="1"/>
  <c r="H1169" i="14"/>
  <c r="AH1169" i="14" s="1"/>
  <c r="P1174" i="14"/>
  <c r="BJ1174" i="14" s="1"/>
  <c r="P1169" i="14"/>
  <c r="AG1169" i="14" s="1"/>
  <c r="H1137" i="14"/>
  <c r="AH1137" i="14" s="1"/>
  <c r="P1143" i="14"/>
  <c r="AG1143" i="14" s="1"/>
  <c r="H1072" i="14"/>
  <c r="AH1072" i="14" s="1"/>
  <c r="H1140" i="14"/>
  <c r="BI1140" i="14" s="1"/>
  <c r="P1109" i="14"/>
  <c r="BJ1109" i="14" s="1"/>
  <c r="H1088" i="14"/>
  <c r="AH1088" i="14" s="1"/>
  <c r="H1085" i="14"/>
  <c r="AH1085" i="14" s="1"/>
  <c r="P1217" i="14"/>
  <c r="BJ1217" i="14" s="1"/>
  <c r="P1048" i="14"/>
  <c r="AG1048" i="14" s="1"/>
  <c r="P1031" i="14"/>
  <c r="BJ1031" i="14" s="1"/>
  <c r="H1033" i="14"/>
  <c r="BI1033" i="14" s="1"/>
  <c r="H1217" i="14"/>
  <c r="BI1217" i="14" s="1"/>
  <c r="H1069" i="14"/>
  <c r="BI1069" i="14" s="1"/>
  <c r="P1208" i="14"/>
  <c r="BJ1208" i="14" s="1"/>
  <c r="P1111" i="14"/>
  <c r="BJ1111" i="14" s="1"/>
  <c r="H1051" i="14"/>
  <c r="AH1051" i="14" s="1"/>
  <c r="H1208" i="14"/>
  <c r="BI1208" i="14" s="1"/>
  <c r="P1218" i="14"/>
  <c r="BJ1218" i="14" s="1"/>
  <c r="P1088" i="14"/>
  <c r="BJ1088" i="14" s="1"/>
  <c r="H1109" i="14"/>
  <c r="BI1109" i="14" s="1"/>
  <c r="P1065" i="14"/>
  <c r="BJ1065" i="14" s="1"/>
  <c r="H1048" i="14"/>
  <c r="BI1048" i="14" s="1"/>
  <c r="P1163" i="14"/>
  <c r="BJ1163" i="14" s="1"/>
  <c r="P1085" i="14"/>
  <c r="AG1085" i="14" s="1"/>
  <c r="H1218" i="14"/>
  <c r="BI1218" i="14" s="1"/>
  <c r="H1032" i="14"/>
  <c r="BI1032" i="14" s="1"/>
  <c r="P1069" i="14"/>
  <c r="AG1069" i="14" s="1"/>
  <c r="P1180" i="14"/>
  <c r="BJ1180" i="14" s="1"/>
  <c r="P1140" i="14"/>
  <c r="BJ1140" i="14" s="1"/>
  <c r="H1111" i="14"/>
  <c r="AH1111" i="14" s="1"/>
  <c r="P1101" i="14"/>
  <c r="AG1101" i="14" s="1"/>
  <c r="H1151" i="14"/>
  <c r="BI1151" i="14" s="1"/>
  <c r="P1219" i="14"/>
  <c r="AG1219" i="14" s="1"/>
  <c r="H1065" i="14"/>
  <c r="BI1065" i="14" s="1"/>
  <c r="H1101" i="14"/>
  <c r="AH1101" i="14" s="1"/>
  <c r="H1163" i="14"/>
  <c r="AH1163" i="14" s="1"/>
  <c r="H1143" i="14"/>
  <c r="AH1143" i="14" s="1"/>
  <c r="H1052" i="14"/>
  <c r="BI1052" i="14" s="1"/>
  <c r="P1072" i="14"/>
  <c r="BJ1072" i="14" s="1"/>
  <c r="H1142" i="14"/>
  <c r="BI1142" i="14" s="1"/>
  <c r="P1137" i="14"/>
  <c r="BJ1137" i="14" s="1"/>
  <c r="BD1144" i="14"/>
  <c r="BD1041" i="14"/>
  <c r="BH1088" i="14"/>
  <c r="BF1088" i="14" s="1"/>
  <c r="AF1174" i="14"/>
  <c r="BH1130" i="14"/>
  <c r="BF1130" i="14" s="1"/>
  <c r="BC1198" i="14"/>
  <c r="AF1025" i="14"/>
  <c r="BF1031" i="14"/>
  <c r="P1128" i="14"/>
  <c r="BJ1128" i="14" s="1"/>
  <c r="H1095" i="14"/>
  <c r="BI1095" i="14" s="1"/>
  <c r="P1025" i="14"/>
  <c r="BJ1025" i="14" s="1"/>
  <c r="P1027" i="14"/>
  <c r="AG1027" i="14" s="1"/>
  <c r="H1128" i="14"/>
  <c r="AH1128" i="14" s="1"/>
  <c r="H1025" i="14"/>
  <c r="BI1025" i="14" s="1"/>
  <c r="P1041" i="14"/>
  <c r="AG1041" i="14" s="1"/>
  <c r="P1114" i="14"/>
  <c r="AG1114" i="14" s="1"/>
  <c r="P1172" i="14"/>
  <c r="AG1172" i="14" s="1"/>
  <c r="H1041" i="14"/>
  <c r="AH1041" i="14" s="1"/>
  <c r="P1095" i="14"/>
  <c r="BJ1095" i="14" s="1"/>
  <c r="H1049" i="14"/>
  <c r="BI1049" i="14" s="1"/>
  <c r="H1172" i="14"/>
  <c r="BI1172" i="14" s="1"/>
  <c r="P1049" i="14"/>
  <c r="AG1049" i="14" s="1"/>
  <c r="H1114" i="14"/>
  <c r="BI1114" i="14" s="1"/>
  <c r="H1027" i="14"/>
  <c r="AH1027" i="14" s="1"/>
  <c r="BC1161" i="14"/>
  <c r="BD1161" i="14"/>
  <c r="BC1094" i="14"/>
  <c r="BC1183" i="14"/>
  <c r="BG1094" i="14"/>
  <c r="AF1198" i="14"/>
  <c r="BC1060" i="14"/>
  <c r="BD1198" i="14"/>
  <c r="BC1039" i="14"/>
  <c r="BD1092" i="14"/>
  <c r="BC1189" i="14"/>
  <c r="BC1050" i="14"/>
  <c r="AF1096" i="14"/>
  <c r="P1053" i="14"/>
  <c r="BJ1053" i="14" s="1"/>
  <c r="H1082" i="14"/>
  <c r="AH1082" i="14" s="1"/>
  <c r="P1062" i="14"/>
  <c r="BJ1062" i="14" s="1"/>
  <c r="H1039" i="14"/>
  <c r="AH1039" i="14" s="1"/>
  <c r="H1096" i="14"/>
  <c r="BI1096" i="14" s="1"/>
  <c r="P1057" i="14"/>
  <c r="BJ1057" i="14" s="1"/>
  <c r="H1030" i="14"/>
  <c r="AH1030" i="14" s="1"/>
  <c r="P1092" i="14"/>
  <c r="BJ1092" i="14" s="1"/>
  <c r="P1183" i="14"/>
  <c r="BJ1183" i="14" s="1"/>
  <c r="P1094" i="14"/>
  <c r="BJ1094" i="14" s="1"/>
  <c r="P1144" i="14"/>
  <c r="AG1144" i="14" s="1"/>
  <c r="H1198" i="14"/>
  <c r="BI1198" i="14" s="1"/>
  <c r="H1183" i="14"/>
  <c r="AH1183" i="14" s="1"/>
  <c r="P1117" i="14"/>
  <c r="AG1117" i="14" s="1"/>
  <c r="P1130" i="14"/>
  <c r="BJ1130" i="14" s="1"/>
  <c r="P1096" i="14"/>
  <c r="BJ1096" i="14" s="1"/>
  <c r="H1144" i="14"/>
  <c r="AH1144" i="14" s="1"/>
  <c r="H1050" i="14"/>
  <c r="AH1050" i="14" s="1"/>
  <c r="H1189" i="14"/>
  <c r="BI1189" i="14" s="1"/>
  <c r="P1082" i="14"/>
  <c r="AG1082" i="14" s="1"/>
  <c r="P1030" i="14"/>
  <c r="AG1030" i="14" s="1"/>
  <c r="P1198" i="14"/>
  <c r="BJ1198" i="14" s="1"/>
  <c r="H1094" i="14"/>
  <c r="BI1094" i="14" s="1"/>
  <c r="H1062" i="14"/>
  <c r="AH1062" i="14" s="1"/>
  <c r="H1097" i="14"/>
  <c r="BI1097" i="14" s="1"/>
  <c r="P1194" i="14"/>
  <c r="AG1194" i="14" s="1"/>
  <c r="P1039" i="14"/>
  <c r="AG1039" i="14" s="1"/>
  <c r="P1046" i="14"/>
  <c r="AG1046" i="14" s="1"/>
  <c r="P1051" i="14"/>
  <c r="BJ1051" i="14" s="1"/>
  <c r="P1189" i="14"/>
  <c r="AG1189" i="14" s="1"/>
  <c r="H1117" i="14"/>
  <c r="BI1117" i="14" s="1"/>
  <c r="H1130" i="14"/>
  <c r="AH1130" i="14" s="1"/>
  <c r="H1053" i="14"/>
  <c r="BI1053" i="14" s="1"/>
  <c r="H1046" i="14"/>
  <c r="AH1046" i="14" s="1"/>
  <c r="H1194" i="14"/>
  <c r="AH1194" i="14" s="1"/>
  <c r="P1097" i="14"/>
  <c r="AG1097" i="14" s="1"/>
  <c r="P1182" i="14"/>
  <c r="BJ1182" i="14" s="1"/>
  <c r="H1182" i="14"/>
  <c r="AH1182" i="14" s="1"/>
  <c r="P1050" i="14"/>
  <c r="BJ1050" i="14" s="1"/>
  <c r="H1057" i="14"/>
  <c r="BI1057" i="14" s="1"/>
  <c r="AF1057" i="14"/>
  <c r="AF1144" i="14"/>
  <c r="BD1060" i="14"/>
  <c r="BH1082" i="14"/>
  <c r="BF1082" i="14" s="1"/>
  <c r="BH1050" i="14"/>
  <c r="BF1050" i="14" s="1"/>
  <c r="H1040" i="14"/>
  <c r="BI1040" i="14" s="1"/>
  <c r="H1060" i="14"/>
  <c r="BI1060" i="14" s="1"/>
  <c r="P1161" i="14"/>
  <c r="BJ1161" i="14" s="1"/>
  <c r="P1060" i="14"/>
  <c r="BJ1060" i="14" s="1"/>
  <c r="H1161" i="14"/>
  <c r="BI1161" i="14" s="1"/>
  <c r="P1040" i="14"/>
  <c r="AG1040" i="14" s="1"/>
  <c r="BF1127" i="14"/>
  <c r="BF1197" i="14"/>
  <c r="BF1184" i="14"/>
  <c r="BF1141" i="14"/>
  <c r="BF1105" i="14"/>
  <c r="BF1109" i="14"/>
  <c r="BF1136" i="14"/>
  <c r="BF1036" i="14"/>
  <c r="BF1125" i="14"/>
  <c r="BF1189" i="14"/>
  <c r="BE1125" i="14"/>
  <c r="BF1107" i="14"/>
  <c r="BF1132" i="14"/>
  <c r="BF1198" i="14"/>
  <c r="P1225" i="14"/>
  <c r="H1225" i="14"/>
  <c r="BG1225" i="14"/>
  <c r="AF1225" i="14"/>
  <c r="BC1225" i="14"/>
  <c r="AH1125" i="14"/>
  <c r="BI1125" i="14"/>
  <c r="BD1225" i="14"/>
  <c r="BH1225" i="14"/>
  <c r="BF1033" i="14"/>
  <c r="BJ1125" i="14"/>
  <c r="AG1125" i="14"/>
  <c r="BI1126" i="14" l="1"/>
  <c r="BJ1126" i="14"/>
  <c r="BE1126" i="14"/>
  <c r="BJ1043" i="14"/>
  <c r="BK1043" i="14" s="1"/>
  <c r="BE1211" i="14"/>
  <c r="AH1205" i="14"/>
  <c r="AM1205" i="14" s="1"/>
  <c r="BE1168" i="14"/>
  <c r="BJ1205" i="14"/>
  <c r="BK1205" i="14" s="1"/>
  <c r="BJ1168" i="14"/>
  <c r="BK1168" i="14" s="1"/>
  <c r="AH1168" i="14"/>
  <c r="AK1168" i="14" s="1"/>
  <c r="BJ1108" i="14"/>
  <c r="BK1108" i="14" s="1"/>
  <c r="BE1108" i="14"/>
  <c r="AH1108" i="14"/>
  <c r="AM1108" i="14" s="1"/>
  <c r="BJ1211" i="14"/>
  <c r="BK1211" i="14" s="1"/>
  <c r="AH1211" i="14"/>
  <c r="AK1211" i="14" s="1"/>
  <c r="AH1043" i="14"/>
  <c r="AK1043" i="14" s="1"/>
  <c r="BE1043" i="14"/>
  <c r="BE1205" i="14"/>
  <c r="BF1205" i="14"/>
  <c r="BE1223" i="14"/>
  <c r="AG1223" i="14"/>
  <c r="AI1223" i="14" s="1"/>
  <c r="AA1223" i="14" s="1"/>
  <c r="AD1223" i="14" s="1"/>
  <c r="BE1193" i="14"/>
  <c r="BE1059" i="14"/>
  <c r="AH1059" i="14"/>
  <c r="AM1059" i="14" s="1"/>
  <c r="BI1193" i="14"/>
  <c r="BK1193" i="14" s="1"/>
  <c r="AG1193" i="14"/>
  <c r="AI1193" i="14" s="1"/>
  <c r="AA1193" i="14" s="1"/>
  <c r="AD1193" i="14" s="1"/>
  <c r="BI1223" i="14"/>
  <c r="BK1223" i="14" s="1"/>
  <c r="BJ1059" i="14"/>
  <c r="BK1059" i="14" s="1"/>
  <c r="BE1106" i="14"/>
  <c r="AG1106" i="14"/>
  <c r="AN1106" i="14" s="1"/>
  <c r="AH1106" i="14"/>
  <c r="AK1106" i="14" s="1"/>
  <c r="BE1220" i="14"/>
  <c r="AG1220" i="14"/>
  <c r="AI1220" i="14" s="1"/>
  <c r="AA1220" i="14" s="1"/>
  <c r="AD1220" i="14" s="1"/>
  <c r="BJ1179" i="14"/>
  <c r="BI1220" i="14"/>
  <c r="BK1220" i="14" s="1"/>
  <c r="BE1179" i="14"/>
  <c r="BI1179" i="14"/>
  <c r="BJ1133" i="14"/>
  <c r="BK1133" i="14" s="1"/>
  <c r="BE1175" i="14"/>
  <c r="BE1133" i="14"/>
  <c r="AH1133" i="14"/>
  <c r="AK1133" i="14" s="1"/>
  <c r="BE1139" i="14"/>
  <c r="BI1139" i="14"/>
  <c r="BJ1139" i="14"/>
  <c r="BF1121" i="14"/>
  <c r="BJ1175" i="14"/>
  <c r="BI1175" i="14"/>
  <c r="BE1166" i="14"/>
  <c r="BE1121" i="14"/>
  <c r="BJ1166" i="14"/>
  <c r="BI1178" i="14"/>
  <c r="BK1178" i="14" s="1"/>
  <c r="BI1166" i="14"/>
  <c r="BE1176" i="14"/>
  <c r="BI1176" i="14"/>
  <c r="BJ1176" i="14"/>
  <c r="BE1178" i="14"/>
  <c r="AH1079" i="14"/>
  <c r="AJ1079" i="14" s="1"/>
  <c r="Z1079" i="14" s="1"/>
  <c r="BI1068" i="14"/>
  <c r="AG1178" i="14"/>
  <c r="AL1178" i="14" s="1"/>
  <c r="BE1079" i="14"/>
  <c r="BE1068" i="14"/>
  <c r="BI1121" i="14"/>
  <c r="BK1121" i="14" s="1"/>
  <c r="AG1079" i="14"/>
  <c r="AN1079" i="14" s="1"/>
  <c r="AG1121" i="14"/>
  <c r="AL1121" i="14" s="1"/>
  <c r="BE1042" i="14"/>
  <c r="BJ1068" i="14"/>
  <c r="BJ1042" i="14"/>
  <c r="BI1042" i="14"/>
  <c r="AG1058" i="14"/>
  <c r="AL1058" i="14" s="1"/>
  <c r="BI1058" i="14"/>
  <c r="BK1058" i="14" s="1"/>
  <c r="BE1058" i="14"/>
  <c r="BE1065" i="14"/>
  <c r="BE1153" i="14"/>
  <c r="BI1153" i="14"/>
  <c r="BK1153" i="14" s="1"/>
  <c r="BE1055" i="14"/>
  <c r="BF1055" i="14"/>
  <c r="AG1153" i="14"/>
  <c r="AN1153" i="14" s="1"/>
  <c r="BE1177" i="14"/>
  <c r="BI1113" i="14"/>
  <c r="BE1155" i="14"/>
  <c r="BF1131" i="14"/>
  <c r="BE1064" i="14"/>
  <c r="BE1131" i="14"/>
  <c r="BF1069" i="14"/>
  <c r="BE1135" i="14"/>
  <c r="BE1072" i="14"/>
  <c r="BE1113" i="14"/>
  <c r="BJ1113" i="14"/>
  <c r="AH1131" i="14"/>
  <c r="AK1131" i="14" s="1"/>
  <c r="BE1221" i="14"/>
  <c r="BE1067" i="14"/>
  <c r="AG1067" i="14"/>
  <c r="AI1067" i="14" s="1"/>
  <c r="AA1067" i="14" s="1"/>
  <c r="AD1067" i="14" s="1"/>
  <c r="AH1221" i="14"/>
  <c r="AK1221" i="14" s="1"/>
  <c r="BI1067" i="14"/>
  <c r="BK1067" i="14" s="1"/>
  <c r="BE1134" i="14"/>
  <c r="BJ1131" i="14"/>
  <c r="BK1131" i="14" s="1"/>
  <c r="BF1222" i="14"/>
  <c r="BI1070" i="14"/>
  <c r="BK1070" i="14" s="1"/>
  <c r="AG1222" i="14"/>
  <c r="AL1222" i="14" s="1"/>
  <c r="BE1070" i="14"/>
  <c r="BE1136" i="14"/>
  <c r="BE1222" i="14"/>
  <c r="BE1214" i="14"/>
  <c r="BE1150" i="14"/>
  <c r="AG1070" i="14"/>
  <c r="AN1070" i="14" s="1"/>
  <c r="AG1221" i="14"/>
  <c r="AI1221" i="14" s="1"/>
  <c r="AA1221" i="14" s="1"/>
  <c r="AD1221" i="14" s="1"/>
  <c r="AH1214" i="14"/>
  <c r="AM1214" i="14" s="1"/>
  <c r="BJ1099" i="14"/>
  <c r="BE1080" i="14"/>
  <c r="AG1136" i="14"/>
  <c r="AI1136" i="14" s="1"/>
  <c r="AA1136" i="14" s="1"/>
  <c r="AD1136" i="14" s="1"/>
  <c r="BI1136" i="14"/>
  <c r="BK1136" i="14" s="1"/>
  <c r="AG1214" i="14"/>
  <c r="AI1214" i="14" s="1"/>
  <c r="AA1214" i="14" s="1"/>
  <c r="AD1214" i="14" s="1"/>
  <c r="BI1222" i="14"/>
  <c r="BK1222" i="14" s="1"/>
  <c r="BI1099" i="14"/>
  <c r="BE1076" i="14"/>
  <c r="BI1080" i="14"/>
  <c r="BJ1080" i="14"/>
  <c r="BE1099" i="14"/>
  <c r="BJ1150" i="14"/>
  <c r="BF1047" i="14"/>
  <c r="AG1076" i="14"/>
  <c r="AL1076" i="14" s="1"/>
  <c r="BE1156" i="14"/>
  <c r="BI1047" i="14"/>
  <c r="AH1076" i="14"/>
  <c r="AM1076" i="14" s="1"/>
  <c r="BI1150" i="14"/>
  <c r="BE1077" i="14"/>
  <c r="BE1044" i="14"/>
  <c r="BE1047" i="14"/>
  <c r="BE1105" i="14"/>
  <c r="BJ1047" i="14"/>
  <c r="AH1093" i="14"/>
  <c r="AM1093" i="14" s="1"/>
  <c r="BE1093" i="14"/>
  <c r="AH1044" i="14"/>
  <c r="AK1044" i="14" s="1"/>
  <c r="BI1077" i="14"/>
  <c r="BK1077" i="14" s="1"/>
  <c r="AG1077" i="14"/>
  <c r="AL1077" i="14" s="1"/>
  <c r="BE1078" i="14"/>
  <c r="BJ1044" i="14"/>
  <c r="BK1044" i="14" s="1"/>
  <c r="BE1199" i="14"/>
  <c r="BF1078" i="14"/>
  <c r="AH1199" i="14"/>
  <c r="AM1199" i="14" s="1"/>
  <c r="AG1093" i="14"/>
  <c r="AL1093" i="14" s="1"/>
  <c r="AG1199" i="14"/>
  <c r="AN1199" i="14" s="1"/>
  <c r="AH1078" i="14"/>
  <c r="AJ1078" i="14" s="1"/>
  <c r="Z1078" i="14" s="1"/>
  <c r="BI1105" i="14"/>
  <c r="BK1105" i="14" s="1"/>
  <c r="AG1078" i="14"/>
  <c r="AN1078" i="14" s="1"/>
  <c r="AG1105" i="14"/>
  <c r="AN1105" i="14" s="1"/>
  <c r="BF1156" i="14"/>
  <c r="BE1112" i="14"/>
  <c r="BI1216" i="14"/>
  <c r="BF1216" i="14"/>
  <c r="BE1216" i="14"/>
  <c r="BJ1216" i="14"/>
  <c r="BI1156" i="14"/>
  <c r="BK1156" i="14" s="1"/>
  <c r="BE1145" i="14"/>
  <c r="BE1128" i="14"/>
  <c r="BJ1112" i="14"/>
  <c r="BI1112" i="14"/>
  <c r="BE1209" i="14"/>
  <c r="BF1104" i="14"/>
  <c r="BE1107" i="14"/>
  <c r="AH1209" i="14"/>
  <c r="AM1209" i="14" s="1"/>
  <c r="BF1155" i="14"/>
  <c r="AG1209" i="14"/>
  <c r="AL1209" i="14" s="1"/>
  <c r="AG1156" i="14"/>
  <c r="AL1156" i="14" s="1"/>
  <c r="BF1167" i="14"/>
  <c r="BE1061" i="14"/>
  <c r="BE1224" i="14"/>
  <c r="BE1038" i="14"/>
  <c r="BF1054" i="14"/>
  <c r="BF1145" i="14"/>
  <c r="BE1103" i="14"/>
  <c r="BE1152" i="14"/>
  <c r="BE1147" i="14"/>
  <c r="BE1202" i="14"/>
  <c r="BE1084" i="14"/>
  <c r="BE1181" i="14"/>
  <c r="BE1091" i="14"/>
  <c r="BI1147" i="14"/>
  <c r="BK1147" i="14" s="1"/>
  <c r="BF1049" i="14"/>
  <c r="BE1217" i="14"/>
  <c r="BE1063" i="14"/>
  <c r="BE1182" i="14"/>
  <c r="BE1191" i="14"/>
  <c r="BE1146" i="14"/>
  <c r="BE1169" i="14"/>
  <c r="BF1085" i="14"/>
  <c r="BE1028" i="14"/>
  <c r="BE1102" i="14"/>
  <c r="BJ1052" i="14"/>
  <c r="BK1052" i="14" s="1"/>
  <c r="BE1201" i="14"/>
  <c r="BE1081" i="14"/>
  <c r="BE1160" i="14"/>
  <c r="BE1089" i="14"/>
  <c r="BF1215" i="14"/>
  <c r="BE1029" i="14"/>
  <c r="BF1187" i="14"/>
  <c r="BF1183" i="14"/>
  <c r="BE1162" i="14"/>
  <c r="BE1208" i="14"/>
  <c r="BE1111" i="14"/>
  <c r="BE1192" i="14"/>
  <c r="BE1204" i="14"/>
  <c r="BE1206" i="14"/>
  <c r="BE1054" i="14"/>
  <c r="BE1073" i="14"/>
  <c r="BE1104" i="14"/>
  <c r="BE1098" i="14"/>
  <c r="BF1119" i="14"/>
  <c r="BE1138" i="14"/>
  <c r="BE1100" i="14"/>
  <c r="BE1123" i="14"/>
  <c r="BE1141" i="14"/>
  <c r="BF1181" i="14"/>
  <c r="BE1213" i="14"/>
  <c r="BI1092" i="14"/>
  <c r="BK1092" i="14" s="1"/>
  <c r="BE1207" i="14"/>
  <c r="BE1188" i="14"/>
  <c r="AH1127" i="14"/>
  <c r="AJ1127" i="14" s="1"/>
  <c r="Z1127" i="14" s="1"/>
  <c r="BE1066" i="14"/>
  <c r="BE1056" i="14"/>
  <c r="BE1196" i="14"/>
  <c r="BJ1084" i="14"/>
  <c r="BF1075" i="14"/>
  <c r="BE1036" i="14"/>
  <c r="BE1203" i="14"/>
  <c r="BE1087" i="14"/>
  <c r="BE1037" i="14"/>
  <c r="BE1071" i="14"/>
  <c r="BE1186" i="14"/>
  <c r="BF1192" i="14"/>
  <c r="BE1164" i="14"/>
  <c r="BE1159" i="14"/>
  <c r="BE1215" i="14"/>
  <c r="BE1197" i="14"/>
  <c r="BF1051" i="14"/>
  <c r="BF1194" i="14"/>
  <c r="BE1190" i="14"/>
  <c r="BE1119" i="14"/>
  <c r="AG1212" i="14"/>
  <c r="AN1212" i="14" s="1"/>
  <c r="BE1154" i="14"/>
  <c r="BF1091" i="14"/>
  <c r="AH1190" i="14"/>
  <c r="AM1190" i="14" s="1"/>
  <c r="AG1181" i="14"/>
  <c r="AI1181" i="14" s="1"/>
  <c r="AA1181" i="14" s="1"/>
  <c r="AD1181" i="14" s="1"/>
  <c r="BI1138" i="14"/>
  <c r="AG1050" i="14"/>
  <c r="AN1050" i="14" s="1"/>
  <c r="AH1212" i="14"/>
  <c r="AK1212" i="14" s="1"/>
  <c r="BI1038" i="14"/>
  <c r="AG1174" i="14"/>
  <c r="AN1174" i="14" s="1"/>
  <c r="BE1157" i="14"/>
  <c r="BE1165" i="14"/>
  <c r="BF1188" i="14"/>
  <c r="BE1096" i="14"/>
  <c r="AG1063" i="14"/>
  <c r="AL1063" i="14" s="1"/>
  <c r="BI1181" i="14"/>
  <c r="BK1181" i="14" s="1"/>
  <c r="AG1120" i="14"/>
  <c r="AI1120" i="14" s="1"/>
  <c r="AA1120" i="14" s="1"/>
  <c r="AD1120" i="14" s="1"/>
  <c r="AH1201" i="14"/>
  <c r="AM1201" i="14" s="1"/>
  <c r="BJ1123" i="14"/>
  <c r="AG1215" i="14"/>
  <c r="AL1215" i="14" s="1"/>
  <c r="AG1186" i="14"/>
  <c r="AI1186" i="14" s="1"/>
  <c r="AA1186" i="14" s="1"/>
  <c r="AD1186" i="14" s="1"/>
  <c r="BJ1086" i="14"/>
  <c r="AH1091" i="14"/>
  <c r="AK1091" i="14" s="1"/>
  <c r="BE1183" i="14"/>
  <c r="BE1094" i="14"/>
  <c r="BE1173" i="14"/>
  <c r="BE1090" i="14"/>
  <c r="BE1086" i="14"/>
  <c r="BE1142" i="14"/>
  <c r="BE1074" i="14"/>
  <c r="BE1124" i="14"/>
  <c r="BF1083" i="14"/>
  <c r="BE1026" i="14"/>
  <c r="BJ1091" i="14"/>
  <c r="BK1091" i="14" s="1"/>
  <c r="AH1191" i="14"/>
  <c r="AK1191" i="14" s="1"/>
  <c r="AG1104" i="14"/>
  <c r="AN1104" i="14" s="1"/>
  <c r="BJ1167" i="14"/>
  <c r="BK1167" i="14" s="1"/>
  <c r="BI1104" i="14"/>
  <c r="BK1104" i="14" s="1"/>
  <c r="AG1173" i="14"/>
  <c r="AL1173" i="14" s="1"/>
  <c r="BJ1204" i="14"/>
  <c r="AH1206" i="14"/>
  <c r="AM1206" i="14" s="1"/>
  <c r="BE1085" i="14"/>
  <c r="BE1167" i="14"/>
  <c r="BE1129" i="14"/>
  <c r="BE1200" i="14"/>
  <c r="BE1127" i="14"/>
  <c r="BE1116" i="14"/>
  <c r="BE1184" i="14"/>
  <c r="BE1212" i="14"/>
  <c r="BI1064" i="14"/>
  <c r="BK1064" i="14" s="1"/>
  <c r="AH1187" i="14"/>
  <c r="AK1187" i="14" s="1"/>
  <c r="BE1171" i="14"/>
  <c r="BI1063" i="14"/>
  <c r="BK1063" i="14" s="1"/>
  <c r="BE1180" i="14"/>
  <c r="BI1215" i="14"/>
  <c r="BK1215" i="14" s="1"/>
  <c r="BI1073" i="14"/>
  <c r="BJ1162" i="14"/>
  <c r="BJ1188" i="14"/>
  <c r="BK1188" i="14" s="1"/>
  <c r="BE1219" i="14"/>
  <c r="BE1075" i="14"/>
  <c r="AH1054" i="14"/>
  <c r="AM1054" i="14" s="1"/>
  <c r="AH1200" i="14"/>
  <c r="AM1200" i="14" s="1"/>
  <c r="BJ1203" i="14"/>
  <c r="BK1203" i="14" s="1"/>
  <c r="BI1146" i="14"/>
  <c r="BJ1038" i="14"/>
  <c r="AG1103" i="14"/>
  <c r="AI1103" i="14" s="1"/>
  <c r="AA1103" i="14" s="1"/>
  <c r="AD1103" i="14" s="1"/>
  <c r="AG1171" i="14"/>
  <c r="AN1171" i="14" s="1"/>
  <c r="BE1097" i="14"/>
  <c r="BE1101" i="14"/>
  <c r="BE1210" i="14"/>
  <c r="BJ1145" i="14"/>
  <c r="AG1147" i="14"/>
  <c r="AN1147" i="14" s="1"/>
  <c r="BE1048" i="14"/>
  <c r="BE1137" i="14"/>
  <c r="BE1132" i="14"/>
  <c r="BE1158" i="14"/>
  <c r="BE1120" i="14"/>
  <c r="BJ1157" i="14"/>
  <c r="AH1224" i="14"/>
  <c r="AK1224" i="14" s="1"/>
  <c r="AH1188" i="14"/>
  <c r="AJ1188" i="14" s="1"/>
  <c r="Z1188" i="14" s="1"/>
  <c r="BI1145" i="14"/>
  <c r="BE1143" i="14"/>
  <c r="BJ1107" i="14"/>
  <c r="BE1110" i="14"/>
  <c r="BE1115" i="14"/>
  <c r="BE1035" i="14"/>
  <c r="BE1083" i="14"/>
  <c r="BJ1056" i="14"/>
  <c r="BJ1190" i="14"/>
  <c r="BK1190" i="14" s="1"/>
  <c r="BJ1138" i="14"/>
  <c r="AG1119" i="14"/>
  <c r="AN1119" i="14" s="1"/>
  <c r="BI1204" i="14"/>
  <c r="AH1029" i="14"/>
  <c r="AM1029" i="14" s="1"/>
  <c r="BJ1141" i="14"/>
  <c r="BI1056" i="14"/>
  <c r="BJ1184" i="14"/>
  <c r="BK1184" i="14" s="1"/>
  <c r="BE1053" i="14"/>
  <c r="BE1148" i="14"/>
  <c r="BI1089" i="14"/>
  <c r="BE1082" i="14"/>
  <c r="BE1187" i="14"/>
  <c r="BE1034" i="14"/>
  <c r="BJ1026" i="14"/>
  <c r="BE1185" i="14"/>
  <c r="AH1160" i="14"/>
  <c r="AK1160" i="14" s="1"/>
  <c r="BJ1054" i="14"/>
  <c r="BK1054" i="14" s="1"/>
  <c r="AG1087" i="14"/>
  <c r="AL1087" i="14" s="1"/>
  <c r="BJ1158" i="14"/>
  <c r="BI1107" i="14"/>
  <c r="AG1155" i="14"/>
  <c r="AN1155" i="14" s="1"/>
  <c r="AH1028" i="14"/>
  <c r="AM1028" i="14" s="1"/>
  <c r="BI1084" i="14"/>
  <c r="AH1219" i="14"/>
  <c r="AM1219" i="14" s="1"/>
  <c r="AH1197" i="14"/>
  <c r="AK1197" i="14" s="1"/>
  <c r="BI1103" i="14"/>
  <c r="BK1103" i="14" s="1"/>
  <c r="AG1206" i="14"/>
  <c r="AI1206" i="14" s="1"/>
  <c r="AA1206" i="14" s="1"/>
  <c r="AD1206" i="14" s="1"/>
  <c r="BJ1146" i="14"/>
  <c r="BJ1081" i="14"/>
  <c r="BK1081" i="14" s="1"/>
  <c r="BI1207" i="14"/>
  <c r="BI1120" i="14"/>
  <c r="BK1120" i="14" s="1"/>
  <c r="BI1090" i="14"/>
  <c r="BJ1127" i="14"/>
  <c r="BK1127" i="14" s="1"/>
  <c r="BI1100" i="14"/>
  <c r="AH1071" i="14"/>
  <c r="AK1071" i="14" s="1"/>
  <c r="BE1194" i="14"/>
  <c r="BE1151" i="14"/>
  <c r="BF1094" i="14"/>
  <c r="BE1032" i="14"/>
  <c r="BJ1073" i="14"/>
  <c r="BI1162" i="14"/>
  <c r="BI1186" i="14"/>
  <c r="BK1186" i="14" s="1"/>
  <c r="AH1055" i="14"/>
  <c r="AM1055" i="14" s="1"/>
  <c r="BJ1100" i="14"/>
  <c r="AH1184" i="14"/>
  <c r="AK1184" i="14" s="1"/>
  <c r="BE1046" i="14"/>
  <c r="BJ1196" i="14"/>
  <c r="BK1196" i="14" s="1"/>
  <c r="BI1123" i="14"/>
  <c r="BI1157" i="14"/>
  <c r="AH1087" i="14"/>
  <c r="AM1087" i="14" s="1"/>
  <c r="AH1124" i="14"/>
  <c r="AM1124" i="14" s="1"/>
  <c r="BJ1134" i="14"/>
  <c r="BK1134" i="14" s="1"/>
  <c r="BJ1034" i="14"/>
  <c r="BK1034" i="14" s="1"/>
  <c r="BJ1200" i="14"/>
  <c r="BK1200" i="14" s="1"/>
  <c r="BE1025" i="14"/>
  <c r="BE1130" i="14"/>
  <c r="BE1118" i="14"/>
  <c r="BE1052" i="14"/>
  <c r="BE1144" i="14"/>
  <c r="BE1149" i="14"/>
  <c r="AH1159" i="14"/>
  <c r="AM1159" i="14" s="1"/>
  <c r="BE1027" i="14"/>
  <c r="BI1061" i="14"/>
  <c r="AH1196" i="14"/>
  <c r="AM1196" i="14" s="1"/>
  <c r="BE1088" i="14"/>
  <c r="BJ1159" i="14"/>
  <c r="BK1159" i="14" s="1"/>
  <c r="AH1081" i="14"/>
  <c r="AK1081" i="14" s="1"/>
  <c r="BI1086" i="14"/>
  <c r="BI1173" i="14"/>
  <c r="BK1173" i="14" s="1"/>
  <c r="AG1037" i="14"/>
  <c r="AN1037" i="14" s="1"/>
  <c r="BE1057" i="14"/>
  <c r="AG1224" i="14"/>
  <c r="AL1224" i="14" s="1"/>
  <c r="BE1045" i="14"/>
  <c r="BE1040" i="14"/>
  <c r="BE1117" i="14"/>
  <c r="BE1030" i="14"/>
  <c r="BE1140" i="14"/>
  <c r="BI1098" i="14"/>
  <c r="BK1098" i="14" s="1"/>
  <c r="BJ1129" i="14"/>
  <c r="BK1129" i="14" s="1"/>
  <c r="AG1115" i="14"/>
  <c r="AN1115" i="14" s="1"/>
  <c r="AH1066" i="14"/>
  <c r="AM1066" i="14" s="1"/>
  <c r="BI1171" i="14"/>
  <c r="BK1171" i="14" s="1"/>
  <c r="AH1033" i="14"/>
  <c r="AM1033" i="14" s="1"/>
  <c r="BJ1170" i="14"/>
  <c r="AH1203" i="14"/>
  <c r="AJ1203" i="14" s="1"/>
  <c r="Z1203" i="14" s="1"/>
  <c r="BJ1191" i="14"/>
  <c r="BK1191" i="14" s="1"/>
  <c r="BJ1036" i="14"/>
  <c r="BK1036" i="14" s="1"/>
  <c r="BJ1185" i="14"/>
  <c r="BK1185" i="14" s="1"/>
  <c r="BE1062" i="14"/>
  <c r="BE1174" i="14"/>
  <c r="BJ1160" i="14"/>
  <c r="BK1160" i="14" s="1"/>
  <c r="BE1031" i="14"/>
  <c r="AH1134" i="14"/>
  <c r="AK1134" i="14" s="1"/>
  <c r="AG1066" i="14"/>
  <c r="AN1066" i="14" s="1"/>
  <c r="AH1152" i="14"/>
  <c r="AK1152" i="14" s="1"/>
  <c r="AG1074" i="14"/>
  <c r="AN1074" i="14" s="1"/>
  <c r="BJ1207" i="14"/>
  <c r="BJ1048" i="14"/>
  <c r="BK1048" i="14" s="1"/>
  <c r="BJ1219" i="14"/>
  <c r="BK1219" i="14" s="1"/>
  <c r="AG1065" i="14"/>
  <c r="AN1065" i="14" s="1"/>
  <c r="AG1053" i="14"/>
  <c r="AN1053" i="14" s="1"/>
  <c r="AH1065" i="14"/>
  <c r="AJ1065" i="14" s="1"/>
  <c r="Z1065" i="14" s="1"/>
  <c r="AH1036" i="14"/>
  <c r="AK1036" i="14" s="1"/>
  <c r="AG1182" i="14"/>
  <c r="AN1182" i="14" s="1"/>
  <c r="AG1122" i="14"/>
  <c r="AI1122" i="14" s="1"/>
  <c r="AA1122" i="14" s="1"/>
  <c r="AD1122" i="14" s="1"/>
  <c r="BJ1151" i="14"/>
  <c r="BK1151" i="14" s="1"/>
  <c r="BJ1090" i="14"/>
  <c r="AG1154" i="14"/>
  <c r="AN1154" i="14" s="1"/>
  <c r="AH1161" i="14"/>
  <c r="AM1161" i="14" s="1"/>
  <c r="BJ1164" i="14"/>
  <c r="BK1164" i="14" s="1"/>
  <c r="BJ1192" i="14"/>
  <c r="BK1192" i="14" s="1"/>
  <c r="BI1102" i="14"/>
  <c r="BK1102" i="14" s="1"/>
  <c r="BI1132" i="14"/>
  <c r="BE1163" i="14"/>
  <c r="AH1097" i="14"/>
  <c r="AM1097" i="14" s="1"/>
  <c r="BI1116" i="14"/>
  <c r="BK1116" i="14" s="1"/>
  <c r="BI1149" i="14"/>
  <c r="BI1195" i="14"/>
  <c r="BK1195" i="14" s="1"/>
  <c r="BI1182" i="14"/>
  <c r="BK1182" i="14" s="1"/>
  <c r="BI1169" i="14"/>
  <c r="BJ1117" i="14"/>
  <c r="BK1117" i="14" s="1"/>
  <c r="BI1154" i="14"/>
  <c r="BK1154" i="14" s="1"/>
  <c r="AG1029" i="14"/>
  <c r="AL1029" i="14" s="1"/>
  <c r="BJ1194" i="14"/>
  <c r="BJ1172" i="14"/>
  <c r="BK1172" i="14" s="1"/>
  <c r="BJ1152" i="14"/>
  <c r="BK1152" i="14" s="1"/>
  <c r="BI1082" i="14"/>
  <c r="BJ1055" i="14"/>
  <c r="BK1055" i="14" s="1"/>
  <c r="BI1155" i="14"/>
  <c r="BK1155" i="14" s="1"/>
  <c r="BI1183" i="14"/>
  <c r="BK1183" i="14" s="1"/>
  <c r="BE1218" i="14"/>
  <c r="BE1033" i="14"/>
  <c r="AH1034" i="14"/>
  <c r="AM1034" i="14" s="1"/>
  <c r="BJ1089" i="14"/>
  <c r="BE1092" i="14"/>
  <c r="BE1069" i="14"/>
  <c r="BI1026" i="14"/>
  <c r="BJ1061" i="14"/>
  <c r="BJ1135" i="14"/>
  <c r="BK1135" i="14" s="1"/>
  <c r="AG1060" i="14"/>
  <c r="AI1060" i="14" s="1"/>
  <c r="AA1060" i="14" s="1"/>
  <c r="AD1060" i="14" s="1"/>
  <c r="BE1122" i="14"/>
  <c r="BF1060" i="14"/>
  <c r="AH1048" i="14"/>
  <c r="AM1048" i="14" s="1"/>
  <c r="BJ1177" i="14"/>
  <c r="AH1202" i="14"/>
  <c r="AM1202" i="14" s="1"/>
  <c r="AG1031" i="14"/>
  <c r="AL1031" i="14" s="1"/>
  <c r="BJ1114" i="14"/>
  <c r="BK1114" i="14" s="1"/>
  <c r="AH1167" i="14"/>
  <c r="AJ1167" i="14" s="1"/>
  <c r="Z1167" i="14" s="1"/>
  <c r="BE1050" i="14"/>
  <c r="BE1195" i="14"/>
  <c r="BI1141" i="14"/>
  <c r="BJ1165" i="14"/>
  <c r="BK1165" i="14" s="1"/>
  <c r="BE1041" i="14"/>
  <c r="BE1170" i="14"/>
  <c r="BE1095" i="14"/>
  <c r="BJ1071" i="14"/>
  <c r="BK1071" i="14" s="1"/>
  <c r="BE1051" i="14"/>
  <c r="AG1098" i="14"/>
  <c r="AN1098" i="14" s="1"/>
  <c r="AG1110" i="14"/>
  <c r="AI1110" i="14" s="1"/>
  <c r="AA1110" i="14" s="1"/>
  <c r="AD1110" i="14" s="1"/>
  <c r="BI1210" i="14"/>
  <c r="AG1195" i="14"/>
  <c r="AL1195" i="14" s="1"/>
  <c r="BJ1189" i="14"/>
  <c r="BK1189" i="14" s="1"/>
  <c r="AG1102" i="14"/>
  <c r="AL1102" i="14" s="1"/>
  <c r="AG1128" i="14"/>
  <c r="AN1128" i="14" s="1"/>
  <c r="AG1057" i="14"/>
  <c r="AI1057" i="14" s="1"/>
  <c r="AA1057" i="14" s="1"/>
  <c r="AD1057" i="14" s="1"/>
  <c r="AG1148" i="14"/>
  <c r="AL1148" i="14" s="1"/>
  <c r="AH1052" i="14"/>
  <c r="AJ1052" i="14" s="1"/>
  <c r="Z1052" i="14" s="1"/>
  <c r="AH1189" i="14"/>
  <c r="AK1189" i="14" s="1"/>
  <c r="AH1037" i="14"/>
  <c r="AK1037" i="14" s="1"/>
  <c r="BI1050" i="14"/>
  <c r="BK1050" i="14" s="1"/>
  <c r="AH1172" i="14"/>
  <c r="AM1172" i="14" s="1"/>
  <c r="AG1197" i="14"/>
  <c r="AN1197" i="14" s="1"/>
  <c r="AG1035" i="14"/>
  <c r="AN1035" i="14" s="1"/>
  <c r="BI1045" i="14"/>
  <c r="BK1045" i="14" s="1"/>
  <c r="AH1032" i="14"/>
  <c r="AJ1032" i="14" s="1"/>
  <c r="Z1032" i="14" s="1"/>
  <c r="BJ1143" i="14"/>
  <c r="AG1083" i="14"/>
  <c r="AI1083" i="14" s="1"/>
  <c r="AA1083" i="14" s="1"/>
  <c r="AD1083" i="14" s="1"/>
  <c r="BJ1132" i="14"/>
  <c r="AG1208" i="14"/>
  <c r="AI1208" i="14" s="1"/>
  <c r="AA1208" i="14" s="1"/>
  <c r="AD1208" i="14" s="1"/>
  <c r="BI1072" i="14"/>
  <c r="BK1072" i="14" s="1"/>
  <c r="BI1075" i="14"/>
  <c r="BK1075" i="14" s="1"/>
  <c r="BI1074" i="14"/>
  <c r="BK1074" i="14" s="1"/>
  <c r="AH1192" i="14"/>
  <c r="AM1192" i="14" s="1"/>
  <c r="BJ1187" i="14"/>
  <c r="BK1187" i="14" s="1"/>
  <c r="BJ1049" i="14"/>
  <c r="BK1049" i="14" s="1"/>
  <c r="AH1095" i="14"/>
  <c r="AK1095" i="14" s="1"/>
  <c r="AG1142" i="14"/>
  <c r="AN1142" i="14" s="1"/>
  <c r="BJ1069" i="14"/>
  <c r="BK1069" i="14" s="1"/>
  <c r="AH1135" i="14"/>
  <c r="AM1135" i="14" s="1"/>
  <c r="BE1049" i="14"/>
  <c r="AG1202" i="14"/>
  <c r="AL1202" i="14" s="1"/>
  <c r="AG1025" i="14"/>
  <c r="AL1025" i="14" s="1"/>
  <c r="AG1118" i="14"/>
  <c r="AI1118" i="14" s="1"/>
  <c r="AA1118" i="14" s="1"/>
  <c r="AD1118" i="14" s="1"/>
  <c r="AH1165" i="14"/>
  <c r="AK1165" i="14" s="1"/>
  <c r="AH1142" i="14"/>
  <c r="AM1142" i="14" s="1"/>
  <c r="AH1185" i="14"/>
  <c r="AK1185" i="14" s="1"/>
  <c r="BI1158" i="14"/>
  <c r="AG1163" i="14"/>
  <c r="AN1163" i="14" s="1"/>
  <c r="BI1101" i="14"/>
  <c r="AH1118" i="14"/>
  <c r="AK1118" i="14" s="1"/>
  <c r="AG1062" i="14"/>
  <c r="AL1062" i="14" s="1"/>
  <c r="BI1119" i="14"/>
  <c r="BK1119" i="14" s="1"/>
  <c r="BJ1149" i="14"/>
  <c r="BJ1124" i="14"/>
  <c r="BK1124" i="14" s="1"/>
  <c r="AH1115" i="14"/>
  <c r="AK1115" i="14" s="1"/>
  <c r="AH1110" i="14"/>
  <c r="AK1110" i="14" s="1"/>
  <c r="BI1148" i="14"/>
  <c r="BK1148" i="14" s="1"/>
  <c r="AH1035" i="14"/>
  <c r="AK1035" i="14" s="1"/>
  <c r="BJ1210" i="14"/>
  <c r="AG1075" i="14"/>
  <c r="AL1075" i="14" s="1"/>
  <c r="BE1114" i="14"/>
  <c r="AH1069" i="14"/>
  <c r="AM1069" i="14" s="1"/>
  <c r="BI1083" i="14"/>
  <c r="BK1083" i="14" s="1"/>
  <c r="AG1045" i="14"/>
  <c r="AI1045" i="14" s="1"/>
  <c r="AA1045" i="14" s="1"/>
  <c r="AD1045" i="14" s="1"/>
  <c r="AG1116" i="14"/>
  <c r="AN1116" i="14" s="1"/>
  <c r="AH1129" i="14"/>
  <c r="AK1129" i="14" s="1"/>
  <c r="AH1122" i="14"/>
  <c r="AM1122" i="14" s="1"/>
  <c r="BF1143" i="14"/>
  <c r="BE1109" i="14"/>
  <c r="AH1164" i="14"/>
  <c r="AM1164" i="14" s="1"/>
  <c r="AG1028" i="14"/>
  <c r="AL1028" i="14" s="1"/>
  <c r="BJ1033" i="14"/>
  <c r="BK1033" i="14" s="1"/>
  <c r="AH1180" i="14"/>
  <c r="AM1180" i="14" s="1"/>
  <c r="AG1201" i="14"/>
  <c r="AL1201" i="14" s="1"/>
  <c r="AG1180" i="14"/>
  <c r="AI1180" i="14" s="1"/>
  <c r="AA1180" i="14" s="1"/>
  <c r="AD1180" i="14" s="1"/>
  <c r="AH1218" i="14"/>
  <c r="AM1218" i="14" s="1"/>
  <c r="BI1137" i="14"/>
  <c r="BK1137" i="14" s="1"/>
  <c r="BJ1213" i="14"/>
  <c r="AG1111" i="14"/>
  <c r="AL1111" i="14" s="1"/>
  <c r="AG1072" i="14"/>
  <c r="AI1072" i="14" s="1"/>
  <c r="AA1072" i="14" s="1"/>
  <c r="AD1072" i="14" s="1"/>
  <c r="BI1177" i="14"/>
  <c r="BI1051" i="14"/>
  <c r="BK1051" i="14" s="1"/>
  <c r="BI1143" i="14"/>
  <c r="BE1172" i="14"/>
  <c r="BE1161" i="14"/>
  <c r="BE1189" i="14"/>
  <c r="AH1151" i="14"/>
  <c r="AK1151" i="14" s="1"/>
  <c r="BJ1041" i="14"/>
  <c r="BJ1032" i="14"/>
  <c r="BK1032" i="14" s="1"/>
  <c r="BI1213" i="14"/>
  <c r="AH1109" i="14"/>
  <c r="AM1109" i="14" s="1"/>
  <c r="AG1217" i="14"/>
  <c r="AI1217" i="14" s="1"/>
  <c r="AA1217" i="14" s="1"/>
  <c r="AD1217" i="14" s="1"/>
  <c r="BE1039" i="14"/>
  <c r="AH1031" i="14"/>
  <c r="AM1031" i="14" s="1"/>
  <c r="AH1114" i="14"/>
  <c r="AM1114" i="14" s="1"/>
  <c r="BI1170" i="14"/>
  <c r="BI1194" i="14"/>
  <c r="AH1140" i="14"/>
  <c r="AJ1140" i="14" s="1"/>
  <c r="Z1140" i="14" s="1"/>
  <c r="BJ1101" i="14"/>
  <c r="BI1088" i="14"/>
  <c r="BK1088" i="14" s="1"/>
  <c r="AH1060" i="14"/>
  <c r="AK1060" i="14" s="1"/>
  <c r="BJ1144" i="14"/>
  <c r="BI1085" i="14"/>
  <c r="AH1025" i="14"/>
  <c r="AM1025" i="14" s="1"/>
  <c r="AH1094" i="14"/>
  <c r="AJ1094" i="14" s="1"/>
  <c r="Z1094" i="14" s="1"/>
  <c r="AG1088" i="14"/>
  <c r="AL1088" i="14" s="1"/>
  <c r="AG1218" i="14"/>
  <c r="AL1218" i="14" s="1"/>
  <c r="AH1040" i="14"/>
  <c r="AM1040" i="14" s="1"/>
  <c r="BI1046" i="14"/>
  <c r="AH1174" i="14"/>
  <c r="AM1174" i="14" s="1"/>
  <c r="AG1198" i="14"/>
  <c r="AI1198" i="14" s="1"/>
  <c r="AA1198" i="14" s="1"/>
  <c r="AD1198" i="14" s="1"/>
  <c r="AG1094" i="14"/>
  <c r="AN1094" i="14" s="1"/>
  <c r="BI1111" i="14"/>
  <c r="BK1111" i="14" s="1"/>
  <c r="AH1208" i="14"/>
  <c r="AJ1208" i="14" s="1"/>
  <c r="Z1208" i="14" s="1"/>
  <c r="AG1183" i="14"/>
  <c r="AL1183" i="14" s="1"/>
  <c r="AG1064" i="14"/>
  <c r="AN1064" i="14" s="1"/>
  <c r="AH1053" i="14"/>
  <c r="AM1053" i="14" s="1"/>
  <c r="AG1137" i="14"/>
  <c r="AL1137" i="14" s="1"/>
  <c r="BJ1027" i="14"/>
  <c r="BI1027" i="14"/>
  <c r="AG1140" i="14"/>
  <c r="AI1140" i="14" s="1"/>
  <c r="AA1140" i="14" s="1"/>
  <c r="AD1140" i="14" s="1"/>
  <c r="BJ1030" i="14"/>
  <c r="AG1109" i="14"/>
  <c r="AL1109" i="14" s="1"/>
  <c r="BI1128" i="14"/>
  <c r="BK1128" i="14" s="1"/>
  <c r="AH1217" i="14"/>
  <c r="AK1217" i="14" s="1"/>
  <c r="BI1163" i="14"/>
  <c r="BK1163" i="14" s="1"/>
  <c r="BJ1085" i="14"/>
  <c r="BJ1169" i="14"/>
  <c r="BE1198" i="14"/>
  <c r="AG1095" i="14"/>
  <c r="AL1095" i="14" s="1"/>
  <c r="AG1096" i="14"/>
  <c r="AI1096" i="14" s="1"/>
  <c r="AA1096" i="14" s="1"/>
  <c r="AD1096" i="14" s="1"/>
  <c r="AH1049" i="14"/>
  <c r="AJ1049" i="14" s="1"/>
  <c r="Z1049" i="14" s="1"/>
  <c r="AH1096" i="14"/>
  <c r="AM1096" i="14" s="1"/>
  <c r="BJ1046" i="14"/>
  <c r="BJ1040" i="14"/>
  <c r="BK1040" i="14" s="1"/>
  <c r="BJ1039" i="14"/>
  <c r="AG1051" i="14"/>
  <c r="AL1051" i="14" s="1"/>
  <c r="BI1041" i="14"/>
  <c r="BI1144" i="14"/>
  <c r="AG1130" i="14"/>
  <c r="AN1130" i="14" s="1"/>
  <c r="AH1057" i="14"/>
  <c r="AK1057" i="14" s="1"/>
  <c r="BI1039" i="14"/>
  <c r="BE1060" i="14"/>
  <c r="AH1117" i="14"/>
  <c r="AJ1117" i="14" s="1"/>
  <c r="Z1117" i="14" s="1"/>
  <c r="BI1030" i="14"/>
  <c r="BI1130" i="14"/>
  <c r="BK1130" i="14" s="1"/>
  <c r="BJ1082" i="14"/>
  <c r="AG1092" i="14"/>
  <c r="AL1092" i="14" s="1"/>
  <c r="AH1198" i="14"/>
  <c r="AK1198" i="14" s="1"/>
  <c r="BJ1097" i="14"/>
  <c r="BK1097" i="14" s="1"/>
  <c r="BI1062" i="14"/>
  <c r="BK1062" i="14" s="1"/>
  <c r="AG1161" i="14"/>
  <c r="AI1161" i="14" s="1"/>
  <c r="AA1161" i="14" s="1"/>
  <c r="AD1161" i="14" s="1"/>
  <c r="BK1087" i="14"/>
  <c r="BK1201" i="14"/>
  <c r="BK1199" i="14"/>
  <c r="BK1037" i="14"/>
  <c r="BK1060" i="14"/>
  <c r="BK1214" i="14"/>
  <c r="BK1096" i="14"/>
  <c r="BK1106" i="14"/>
  <c r="BK1197" i="14"/>
  <c r="BK1078" i="14"/>
  <c r="BK1118" i="14"/>
  <c r="BK1202" i="14"/>
  <c r="BK1209" i="14"/>
  <c r="BK1094" i="14"/>
  <c r="BK1057" i="14"/>
  <c r="BK1208" i="14"/>
  <c r="BK1093" i="14"/>
  <c r="BK1142" i="14"/>
  <c r="BK1218" i="14"/>
  <c r="BK1224" i="14"/>
  <c r="BK1180" i="14"/>
  <c r="BK1115" i="14"/>
  <c r="BK1110" i="14"/>
  <c r="AL1158" i="14"/>
  <c r="AN1158" i="14"/>
  <c r="AI1158" i="14"/>
  <c r="AA1158" i="14" s="1"/>
  <c r="AD1158" i="14" s="1"/>
  <c r="AN1170" i="14"/>
  <c r="AL1170" i="14"/>
  <c r="AI1170" i="14"/>
  <c r="AA1170" i="14" s="1"/>
  <c r="AD1170" i="14" s="1"/>
  <c r="AI1107" i="14"/>
  <c r="AA1107" i="14" s="1"/>
  <c r="AD1107" i="14" s="1"/>
  <c r="AL1107" i="14"/>
  <c r="AN1107" i="14"/>
  <c r="AM1222" i="14"/>
  <c r="AK1222" i="14"/>
  <c r="AJ1222" i="14"/>
  <c r="Z1222" i="14" s="1"/>
  <c r="AK1063" i="14"/>
  <c r="AM1063" i="14"/>
  <c r="AJ1063" i="14"/>
  <c r="Z1063" i="14" s="1"/>
  <c r="AI1032" i="14"/>
  <c r="AA1032" i="14" s="1"/>
  <c r="AD1032" i="14" s="1"/>
  <c r="AL1032" i="14"/>
  <c r="AN1032" i="14"/>
  <c r="AN1127" i="14"/>
  <c r="AL1127" i="14"/>
  <c r="AI1127" i="14"/>
  <c r="AA1127" i="14" s="1"/>
  <c r="AD1127" i="14" s="1"/>
  <c r="AI1073" i="14"/>
  <c r="AA1073" i="14" s="1"/>
  <c r="AD1073" i="14" s="1"/>
  <c r="AN1073" i="14"/>
  <c r="AL1073" i="14"/>
  <c r="AM1067" i="14"/>
  <c r="AK1067" i="14"/>
  <c r="AJ1067" i="14"/>
  <c r="Z1067" i="14" s="1"/>
  <c r="AK1064" i="14"/>
  <c r="AM1064" i="14"/>
  <c r="AJ1064" i="14"/>
  <c r="Z1064" i="14" s="1"/>
  <c r="AJ1070" i="14"/>
  <c r="Z1070" i="14" s="1"/>
  <c r="AK1070" i="14"/>
  <c r="AM1070" i="14"/>
  <c r="AK1147" i="14"/>
  <c r="AM1147" i="14"/>
  <c r="AJ1147" i="14"/>
  <c r="Z1147" i="14" s="1"/>
  <c r="AI1166" i="14"/>
  <c r="AA1166" i="14" s="1"/>
  <c r="AD1166" i="14" s="1"/>
  <c r="AN1166" i="14"/>
  <c r="AL1166" i="14"/>
  <c r="AL1071" i="14"/>
  <c r="AI1071" i="14"/>
  <c r="AA1071" i="14" s="1"/>
  <c r="AD1071" i="14" s="1"/>
  <c r="AN1071" i="14"/>
  <c r="AI1101" i="14"/>
  <c r="AA1101" i="14" s="1"/>
  <c r="AD1101" i="14" s="1"/>
  <c r="AL1101" i="14"/>
  <c r="AN1101" i="14"/>
  <c r="AM1121" i="14"/>
  <c r="AK1121" i="14"/>
  <c r="AJ1121" i="14"/>
  <c r="Z1121" i="14" s="1"/>
  <c r="AN1129" i="14"/>
  <c r="AL1129" i="14"/>
  <c r="AI1129" i="14"/>
  <c r="AA1129" i="14" s="1"/>
  <c r="AD1129" i="14" s="1"/>
  <c r="AK1166" i="14"/>
  <c r="AM1166" i="14"/>
  <c r="AJ1166" i="14"/>
  <c r="Z1166" i="14" s="1"/>
  <c r="AL1082" i="14"/>
  <c r="AN1082" i="14"/>
  <c r="AI1082" i="14"/>
  <c r="AA1082" i="14" s="1"/>
  <c r="AD1082" i="14" s="1"/>
  <c r="AK1146" i="14"/>
  <c r="AM1146" i="14"/>
  <c r="AJ1146" i="14"/>
  <c r="Z1146" i="14" s="1"/>
  <c r="AL1152" i="14"/>
  <c r="AI1152" i="14"/>
  <c r="AA1152" i="14" s="1"/>
  <c r="AD1152" i="14" s="1"/>
  <c r="AN1152" i="14"/>
  <c r="BK1031" i="14"/>
  <c r="AM1158" i="14"/>
  <c r="AK1158" i="14"/>
  <c r="AJ1158" i="14"/>
  <c r="Z1158" i="14" s="1"/>
  <c r="AJ1074" i="14"/>
  <c r="Z1074" i="14" s="1"/>
  <c r="AK1074" i="14"/>
  <c r="AM1074" i="14"/>
  <c r="AI1189" i="14"/>
  <c r="AA1189" i="14" s="1"/>
  <c r="AD1189" i="14" s="1"/>
  <c r="AN1189" i="14"/>
  <c r="AL1189" i="14"/>
  <c r="BE1225" i="14"/>
  <c r="AN1207" i="14"/>
  <c r="AL1207" i="14"/>
  <c r="AI1207" i="14"/>
  <c r="AA1207" i="14" s="1"/>
  <c r="AD1207" i="14" s="1"/>
  <c r="AK1157" i="14"/>
  <c r="AM1157" i="14"/>
  <c r="AJ1157" i="14"/>
  <c r="Z1157" i="14" s="1"/>
  <c r="AJ1026" i="14"/>
  <c r="Z1026" i="14" s="1"/>
  <c r="AK1026" i="14"/>
  <c r="AM1026" i="14"/>
  <c r="AN1112" i="14"/>
  <c r="AL1112" i="14"/>
  <c r="AI1112" i="14"/>
  <c r="AA1112" i="14" s="1"/>
  <c r="AD1112" i="14" s="1"/>
  <c r="AK1169" i="14"/>
  <c r="AM1169" i="14"/>
  <c r="AJ1169" i="14"/>
  <c r="Z1169" i="14" s="1"/>
  <c r="AK1120" i="14"/>
  <c r="AM1120" i="14"/>
  <c r="AJ1120" i="14"/>
  <c r="Z1120" i="14" s="1"/>
  <c r="AM1113" i="14"/>
  <c r="AK1113" i="14"/>
  <c r="AJ1113" i="14"/>
  <c r="Z1113" i="14" s="1"/>
  <c r="AM1139" i="14"/>
  <c r="AK1139" i="14"/>
  <c r="AJ1139" i="14"/>
  <c r="Z1139" i="14" s="1"/>
  <c r="AN1049" i="14"/>
  <c r="AL1049" i="14"/>
  <c r="AI1049" i="14"/>
  <c r="AA1049" i="14" s="1"/>
  <c r="AD1049" i="14" s="1"/>
  <c r="AN1085" i="14"/>
  <c r="AL1085" i="14"/>
  <c r="AI1085" i="14"/>
  <c r="AA1085" i="14" s="1"/>
  <c r="AD1085" i="14" s="1"/>
  <c r="AJ1128" i="14"/>
  <c r="Z1128" i="14" s="1"/>
  <c r="AM1128" i="14"/>
  <c r="AK1128" i="14"/>
  <c r="AN1179" i="14"/>
  <c r="AI1179" i="14"/>
  <c r="AA1179" i="14" s="1"/>
  <c r="AD1179" i="14" s="1"/>
  <c r="AL1179" i="14"/>
  <c r="BK1025" i="14"/>
  <c r="AL1091" i="14"/>
  <c r="AI1091" i="14"/>
  <c r="AA1091" i="14" s="1"/>
  <c r="AD1091" i="14" s="1"/>
  <c r="AN1091" i="14"/>
  <c r="AJ1056" i="14"/>
  <c r="Z1056" i="14" s="1"/>
  <c r="AM1056" i="14"/>
  <c r="AK1056" i="14"/>
  <c r="AN1157" i="14"/>
  <c r="AL1157" i="14"/>
  <c r="AI1157" i="14"/>
  <c r="AA1157" i="14" s="1"/>
  <c r="AD1157" i="14" s="1"/>
  <c r="BK1079" i="14"/>
  <c r="AI1167" i="14"/>
  <c r="AA1167" i="14" s="1"/>
  <c r="AD1167" i="14" s="1"/>
  <c r="AN1167" i="14"/>
  <c r="AL1167" i="14"/>
  <c r="AI1190" i="14"/>
  <c r="AA1190" i="14" s="1"/>
  <c r="AD1190" i="14" s="1"/>
  <c r="AL1190" i="14"/>
  <c r="AN1190" i="14"/>
  <c r="BK1140" i="14"/>
  <c r="BK1174" i="14"/>
  <c r="AN1131" i="14"/>
  <c r="AI1131" i="14"/>
  <c r="AA1131" i="14" s="1"/>
  <c r="AD1131" i="14" s="1"/>
  <c r="AL1131" i="14"/>
  <c r="AL1033" i="14"/>
  <c r="AI1033" i="14"/>
  <c r="AA1033" i="14" s="1"/>
  <c r="AD1033" i="14" s="1"/>
  <c r="AN1033" i="14"/>
  <c r="AM1178" i="14"/>
  <c r="AK1178" i="14"/>
  <c r="AJ1178" i="14"/>
  <c r="Z1178" i="14" s="1"/>
  <c r="AK1163" i="14"/>
  <c r="AM1163" i="14"/>
  <c r="AJ1163" i="14"/>
  <c r="Z1163" i="14" s="1"/>
  <c r="AK1136" i="14"/>
  <c r="AM1136" i="14"/>
  <c r="AJ1136" i="14"/>
  <c r="Z1136" i="14" s="1"/>
  <c r="AK1073" i="14"/>
  <c r="AM1073" i="14"/>
  <c r="AJ1073" i="14"/>
  <c r="Z1073" i="14" s="1"/>
  <c r="AK1183" i="14"/>
  <c r="AM1183" i="14"/>
  <c r="AJ1183" i="14"/>
  <c r="Z1183" i="14" s="1"/>
  <c r="AM1041" i="14"/>
  <c r="AK1041" i="14"/>
  <c r="AJ1041" i="14"/>
  <c r="Z1041" i="14" s="1"/>
  <c r="AK1083" i="14"/>
  <c r="AM1083" i="14"/>
  <c r="AJ1083" i="14"/>
  <c r="Z1083" i="14" s="1"/>
  <c r="AI1123" i="14"/>
  <c r="AA1123" i="14" s="1"/>
  <c r="AD1123" i="14" s="1"/>
  <c r="AL1123" i="14"/>
  <c r="AN1123" i="14"/>
  <c r="AL1139" i="14"/>
  <c r="AN1139" i="14"/>
  <c r="AI1139" i="14"/>
  <c r="AA1139" i="14" s="1"/>
  <c r="AD1139" i="14" s="1"/>
  <c r="AI1108" i="14"/>
  <c r="AA1108" i="14" s="1"/>
  <c r="AD1108" i="14" s="1"/>
  <c r="AN1108" i="14"/>
  <c r="AL1108" i="14"/>
  <c r="AL1099" i="14"/>
  <c r="AI1099" i="14"/>
  <c r="AA1099" i="14" s="1"/>
  <c r="AD1099" i="14" s="1"/>
  <c r="AN1099" i="14"/>
  <c r="AN1113" i="14"/>
  <c r="AL1113" i="14"/>
  <c r="AI1113" i="14"/>
  <c r="AA1113" i="14" s="1"/>
  <c r="AD1113" i="14" s="1"/>
  <c r="BK1109" i="14"/>
  <c r="AK1098" i="14"/>
  <c r="AM1098" i="14"/>
  <c r="AJ1098" i="14"/>
  <c r="Z1098" i="14" s="1"/>
  <c r="AM1213" i="14"/>
  <c r="AK1213" i="14"/>
  <c r="AJ1213" i="14"/>
  <c r="Z1213" i="14" s="1"/>
  <c r="AN1027" i="14"/>
  <c r="AI1027" i="14"/>
  <c r="AA1027" i="14" s="1"/>
  <c r="AD1027" i="14" s="1"/>
  <c r="AL1027" i="14"/>
  <c r="AI1204" i="14"/>
  <c r="AA1204" i="14" s="1"/>
  <c r="AD1204" i="14" s="1"/>
  <c r="AL1204" i="14"/>
  <c r="AN1204" i="14"/>
  <c r="AN1194" i="14"/>
  <c r="AI1194" i="14"/>
  <c r="AA1194" i="14" s="1"/>
  <c r="AD1194" i="14" s="1"/>
  <c r="AL1194" i="14"/>
  <c r="AK1138" i="14"/>
  <c r="AM1138" i="14"/>
  <c r="AJ1138" i="14"/>
  <c r="Z1138" i="14" s="1"/>
  <c r="AI1151" i="14"/>
  <c r="AA1151" i="14" s="1"/>
  <c r="AD1151" i="14" s="1"/>
  <c r="AL1151" i="14"/>
  <c r="AN1151" i="14"/>
  <c r="AM1123" i="14"/>
  <c r="AK1123" i="14"/>
  <c r="AJ1123" i="14"/>
  <c r="Z1123" i="14" s="1"/>
  <c r="AI1052" i="14"/>
  <c r="AA1052" i="14" s="1"/>
  <c r="AD1052" i="14" s="1"/>
  <c r="AL1052" i="14"/>
  <c r="AN1052" i="14"/>
  <c r="BK1161" i="14"/>
  <c r="AL1100" i="14"/>
  <c r="AN1100" i="14"/>
  <c r="AI1100" i="14"/>
  <c r="AA1100" i="14" s="1"/>
  <c r="AD1100" i="14" s="1"/>
  <c r="AJ1061" i="14"/>
  <c r="Z1061" i="14" s="1"/>
  <c r="AK1061" i="14"/>
  <c r="AM1061" i="14"/>
  <c r="AK1193" i="14"/>
  <c r="AM1193" i="14"/>
  <c r="AJ1193" i="14"/>
  <c r="Z1193" i="14" s="1"/>
  <c r="BK1095" i="14"/>
  <c r="BK1122" i="14"/>
  <c r="AK1072" i="14"/>
  <c r="AM1072" i="14"/>
  <c r="AJ1072" i="14"/>
  <c r="Z1072" i="14" s="1"/>
  <c r="AK1089" i="14"/>
  <c r="AM1089" i="14"/>
  <c r="AJ1089" i="14"/>
  <c r="Z1089" i="14" s="1"/>
  <c r="AM1051" i="14"/>
  <c r="AK1051" i="14"/>
  <c r="AJ1051" i="14"/>
  <c r="Z1051" i="14" s="1"/>
  <c r="AK1223" i="14"/>
  <c r="AM1223" i="14"/>
  <c r="AJ1223" i="14"/>
  <c r="Z1223" i="14" s="1"/>
  <c r="AN1213" i="14"/>
  <c r="AL1213" i="14"/>
  <c r="AI1213" i="14"/>
  <c r="AA1213" i="14" s="1"/>
  <c r="AD1213" i="14" s="1"/>
  <c r="AN1146" i="14"/>
  <c r="AI1146" i="14"/>
  <c r="AA1146" i="14" s="1"/>
  <c r="AD1146" i="14" s="1"/>
  <c r="AL1146" i="14"/>
  <c r="AN1192" i="14"/>
  <c r="AI1192" i="14"/>
  <c r="AA1192" i="14" s="1"/>
  <c r="AD1192" i="14" s="1"/>
  <c r="AL1192" i="14"/>
  <c r="AM1144" i="14"/>
  <c r="AK1144" i="14"/>
  <c r="AJ1144" i="14"/>
  <c r="Z1144" i="14" s="1"/>
  <c r="AK1080" i="14"/>
  <c r="AM1080" i="14"/>
  <c r="AJ1080" i="14"/>
  <c r="Z1080" i="14" s="1"/>
  <c r="BF1225" i="14"/>
  <c r="AM1194" i="14"/>
  <c r="AK1194" i="14"/>
  <c r="AJ1194" i="14"/>
  <c r="Z1194" i="14" s="1"/>
  <c r="AM1153" i="14"/>
  <c r="AK1153" i="14"/>
  <c r="AJ1153" i="14"/>
  <c r="Z1153" i="14" s="1"/>
  <c r="AK1112" i="14"/>
  <c r="AM1112" i="14"/>
  <c r="AJ1112" i="14"/>
  <c r="Z1112" i="14" s="1"/>
  <c r="AI1046" i="14"/>
  <c r="AA1046" i="14" s="1"/>
  <c r="AD1046" i="14" s="1"/>
  <c r="AN1046" i="14"/>
  <c r="AL1046" i="14"/>
  <c r="AK1042" i="14"/>
  <c r="AM1042" i="14"/>
  <c r="AJ1042" i="14"/>
  <c r="Z1042" i="14" s="1"/>
  <c r="AL1026" i="14"/>
  <c r="AI1026" i="14"/>
  <c r="AA1026" i="14" s="1"/>
  <c r="AD1026" i="14" s="1"/>
  <c r="AN1026" i="14"/>
  <c r="AK1171" i="14"/>
  <c r="AM1171" i="14"/>
  <c r="AJ1171" i="14"/>
  <c r="Z1171" i="14" s="1"/>
  <c r="AI1086" i="14"/>
  <c r="AA1086" i="14" s="1"/>
  <c r="AD1086" i="14" s="1"/>
  <c r="AL1086" i="14"/>
  <c r="AN1086" i="14"/>
  <c r="AM1145" i="14"/>
  <c r="AK1145" i="14"/>
  <c r="AJ1145" i="14"/>
  <c r="Z1145" i="14" s="1"/>
  <c r="AK1119" i="14"/>
  <c r="AM1119" i="14"/>
  <c r="AJ1119" i="14"/>
  <c r="Z1119" i="14" s="1"/>
  <c r="AM1045" i="14"/>
  <c r="AK1045" i="14"/>
  <c r="AJ1045" i="14"/>
  <c r="Z1045" i="14" s="1"/>
  <c r="AK1175" i="14"/>
  <c r="AM1175" i="14"/>
  <c r="AJ1175" i="14"/>
  <c r="Z1175" i="14" s="1"/>
  <c r="AJ1182" i="14"/>
  <c r="Z1182" i="14" s="1"/>
  <c r="AM1182" i="14"/>
  <c r="AK1182" i="14"/>
  <c r="BK1206" i="14"/>
  <c r="AM1177" i="14"/>
  <c r="AK1177" i="14"/>
  <c r="AJ1177" i="14"/>
  <c r="Z1177" i="14" s="1"/>
  <c r="AM1058" i="14"/>
  <c r="AK1058" i="14"/>
  <c r="AJ1058" i="14"/>
  <c r="Z1058" i="14" s="1"/>
  <c r="AM1148" i="14"/>
  <c r="AK1148" i="14"/>
  <c r="AJ1148" i="14"/>
  <c r="Z1148" i="14" s="1"/>
  <c r="AK1170" i="14"/>
  <c r="AM1170" i="14"/>
  <c r="AJ1170" i="14"/>
  <c r="Z1170" i="14" s="1"/>
  <c r="AM1150" i="14"/>
  <c r="AK1150" i="14"/>
  <c r="AJ1150" i="14"/>
  <c r="Z1150" i="14" s="1"/>
  <c r="AI1196" i="14"/>
  <c r="AA1196" i="14" s="1"/>
  <c r="AD1196" i="14" s="1"/>
  <c r="AN1196" i="14"/>
  <c r="AL1196" i="14"/>
  <c r="AN1080" i="14"/>
  <c r="AL1080" i="14"/>
  <c r="AI1080" i="14"/>
  <c r="AA1080" i="14" s="1"/>
  <c r="AD1080" i="14" s="1"/>
  <c r="BK1028" i="14"/>
  <c r="AM1062" i="14"/>
  <c r="AK1062" i="14"/>
  <c r="AJ1062" i="14"/>
  <c r="Z1062" i="14" s="1"/>
  <c r="AI1135" i="14"/>
  <c r="AA1135" i="14" s="1"/>
  <c r="AD1135" i="14" s="1"/>
  <c r="AL1135" i="14"/>
  <c r="AN1135" i="14"/>
  <c r="AM1027" i="14"/>
  <c r="AK1027" i="14"/>
  <c r="AJ1027" i="14"/>
  <c r="Z1027" i="14" s="1"/>
  <c r="AL1124" i="14"/>
  <c r="AI1124" i="14"/>
  <c r="AA1124" i="14" s="1"/>
  <c r="AD1124" i="14" s="1"/>
  <c r="AN1124" i="14"/>
  <c r="AM1082" i="14"/>
  <c r="AK1082" i="14"/>
  <c r="AJ1082" i="14"/>
  <c r="Z1082" i="14" s="1"/>
  <c r="AL1177" i="14"/>
  <c r="AI1177" i="14"/>
  <c r="AA1177" i="14" s="1"/>
  <c r="AD1177" i="14" s="1"/>
  <c r="AN1177" i="14"/>
  <c r="AJ1085" i="14"/>
  <c r="Z1085" i="14" s="1"/>
  <c r="AK1085" i="14"/>
  <c r="AM1085" i="14"/>
  <c r="AL1055" i="14"/>
  <c r="AN1055" i="14"/>
  <c r="AI1055" i="14"/>
  <c r="AA1055" i="14" s="1"/>
  <c r="AD1055" i="14" s="1"/>
  <c r="AJ1116" i="14"/>
  <c r="Z1116" i="14" s="1"/>
  <c r="AK1116" i="14"/>
  <c r="AM1116" i="14"/>
  <c r="AL1164" i="14"/>
  <c r="AI1164" i="14"/>
  <c r="AA1164" i="14" s="1"/>
  <c r="AD1164" i="14" s="1"/>
  <c r="AN1164" i="14"/>
  <c r="AL1081" i="14"/>
  <c r="AN1081" i="14"/>
  <c r="AI1081" i="14"/>
  <c r="AA1081" i="14" s="1"/>
  <c r="AD1081" i="14" s="1"/>
  <c r="AI1048" i="14"/>
  <c r="AA1048" i="14" s="1"/>
  <c r="AD1048" i="14" s="1"/>
  <c r="AN1048" i="14"/>
  <c r="AL1048" i="14"/>
  <c r="AL1184" i="14"/>
  <c r="AI1184" i="14"/>
  <c r="AA1184" i="14" s="1"/>
  <c r="AD1184" i="14" s="1"/>
  <c r="AN1184" i="14"/>
  <c r="AN1162" i="14"/>
  <c r="AL1162" i="14"/>
  <c r="AI1162" i="14"/>
  <c r="AA1162" i="14" s="1"/>
  <c r="AD1162" i="14" s="1"/>
  <c r="AK1107" i="14"/>
  <c r="AM1107" i="14"/>
  <c r="AJ1107" i="14"/>
  <c r="Z1107" i="14" s="1"/>
  <c r="AI1172" i="14"/>
  <c r="AA1172" i="14" s="1"/>
  <c r="AD1172" i="14" s="1"/>
  <c r="AL1172" i="14"/>
  <c r="AN1172" i="14"/>
  <c r="AK1101" i="14"/>
  <c r="AM1101" i="14"/>
  <c r="AJ1101" i="14"/>
  <c r="Z1101" i="14" s="1"/>
  <c r="AM1156" i="14"/>
  <c r="AJ1156" i="14"/>
  <c r="Z1156" i="14" s="1"/>
  <c r="AK1156" i="14"/>
  <c r="AI1059" i="14"/>
  <c r="AA1059" i="14" s="1"/>
  <c r="AD1059" i="14" s="1"/>
  <c r="AL1059" i="14"/>
  <c r="AN1059" i="14"/>
  <c r="AN1133" i="14"/>
  <c r="AL1133" i="14"/>
  <c r="AI1133" i="14"/>
  <c r="AA1133" i="14" s="1"/>
  <c r="AD1133" i="14" s="1"/>
  <c r="BK1066" i="14"/>
  <c r="AI1036" i="14"/>
  <c r="AA1036" i="14" s="1"/>
  <c r="AD1036" i="14" s="1"/>
  <c r="AN1036" i="14"/>
  <c r="AL1036" i="14"/>
  <c r="AI1047" i="14"/>
  <c r="AA1047" i="14" s="1"/>
  <c r="AD1047" i="14" s="1"/>
  <c r="AL1047" i="14"/>
  <c r="AN1047" i="14"/>
  <c r="BK1198" i="14"/>
  <c r="AL1169" i="14"/>
  <c r="AI1169" i="14"/>
  <c r="AA1169" i="14" s="1"/>
  <c r="AD1169" i="14" s="1"/>
  <c r="AN1169" i="14"/>
  <c r="BK1029" i="14"/>
  <c r="AL1143" i="14"/>
  <c r="AI1143" i="14"/>
  <c r="AA1143" i="14" s="1"/>
  <c r="AD1143" i="14" s="1"/>
  <c r="AN1143" i="14"/>
  <c r="BK1065" i="14"/>
  <c r="AK1162" i="14"/>
  <c r="AM1162" i="14"/>
  <c r="AJ1162" i="14"/>
  <c r="Z1162" i="14" s="1"/>
  <c r="AM1103" i="14"/>
  <c r="AK1103" i="14"/>
  <c r="AJ1103" i="14"/>
  <c r="Z1103" i="14" s="1"/>
  <c r="AK1102" i="14"/>
  <c r="AM1102" i="14"/>
  <c r="AJ1102" i="14"/>
  <c r="Z1102" i="14" s="1"/>
  <c r="AK1149" i="14"/>
  <c r="AM1149" i="14"/>
  <c r="AJ1149" i="14"/>
  <c r="Z1149" i="14" s="1"/>
  <c r="AN1084" i="14"/>
  <c r="AL1084" i="14"/>
  <c r="AI1084" i="14"/>
  <c r="AA1084" i="14" s="1"/>
  <c r="AD1084" i="14" s="1"/>
  <c r="AK1100" i="14"/>
  <c r="AM1100" i="14"/>
  <c r="AJ1100" i="14"/>
  <c r="Z1100" i="14" s="1"/>
  <c r="AM1132" i="14"/>
  <c r="AK1132" i="14"/>
  <c r="AJ1132" i="14"/>
  <c r="Z1132" i="14" s="1"/>
  <c r="AN1061" i="14"/>
  <c r="AL1061" i="14"/>
  <c r="AI1061" i="14"/>
  <c r="AA1061" i="14" s="1"/>
  <c r="AD1061" i="14" s="1"/>
  <c r="AN1175" i="14"/>
  <c r="AI1175" i="14"/>
  <c r="AA1175" i="14" s="1"/>
  <c r="AD1175" i="14" s="1"/>
  <c r="AL1175" i="14"/>
  <c r="AI1044" i="14"/>
  <c r="AA1044" i="14" s="1"/>
  <c r="AD1044" i="14" s="1"/>
  <c r="AN1044" i="14"/>
  <c r="AL1044" i="14"/>
  <c r="AL1114" i="14"/>
  <c r="AN1114" i="14"/>
  <c r="AI1114" i="14"/>
  <c r="AA1114" i="14" s="1"/>
  <c r="AD1114" i="14" s="1"/>
  <c r="AK1105" i="14"/>
  <c r="AM1105" i="14"/>
  <c r="AJ1105" i="14"/>
  <c r="Z1105" i="14" s="1"/>
  <c r="AM1155" i="14"/>
  <c r="AK1155" i="14"/>
  <c r="AJ1155" i="14"/>
  <c r="Z1155" i="14" s="1"/>
  <c r="AN1150" i="14"/>
  <c r="AI1150" i="14"/>
  <c r="AA1150" i="14" s="1"/>
  <c r="AD1150" i="14" s="1"/>
  <c r="AL1150" i="14"/>
  <c r="AN1126" i="14"/>
  <c r="AI1126" i="14"/>
  <c r="AA1126" i="14" s="1"/>
  <c r="AD1126" i="14" s="1"/>
  <c r="AL1126" i="14"/>
  <c r="AK1086" i="14"/>
  <c r="AM1086" i="14"/>
  <c r="AJ1086" i="14"/>
  <c r="Z1086" i="14" s="1"/>
  <c r="AI1188" i="14"/>
  <c r="AA1188" i="14" s="1"/>
  <c r="AD1188" i="14" s="1"/>
  <c r="AN1188" i="14"/>
  <c r="AL1188" i="14"/>
  <c r="AI1219" i="14"/>
  <c r="AA1219" i="14" s="1"/>
  <c r="AD1219" i="14" s="1"/>
  <c r="AN1219" i="14"/>
  <c r="AL1219" i="14"/>
  <c r="AK1220" i="14"/>
  <c r="AM1220" i="14"/>
  <c r="AJ1220" i="14"/>
  <c r="Z1220" i="14" s="1"/>
  <c r="AL1165" i="14"/>
  <c r="AN1165" i="14"/>
  <c r="AI1165" i="14"/>
  <c r="AA1165" i="14" s="1"/>
  <c r="AD1165" i="14" s="1"/>
  <c r="AL1159" i="14"/>
  <c r="AI1159" i="14"/>
  <c r="AA1159" i="14" s="1"/>
  <c r="AD1159" i="14" s="1"/>
  <c r="AN1159" i="14"/>
  <c r="AK1068" i="14"/>
  <c r="AM1068" i="14"/>
  <c r="AJ1068" i="14"/>
  <c r="Z1068" i="14" s="1"/>
  <c r="BK1053" i="14"/>
  <c r="AI1205" i="14"/>
  <c r="AA1205" i="14" s="1"/>
  <c r="AD1205" i="14" s="1"/>
  <c r="AN1205" i="14"/>
  <c r="AL1205" i="14"/>
  <c r="AM1126" i="14"/>
  <c r="AK1126" i="14"/>
  <c r="AJ1126" i="14"/>
  <c r="Z1126" i="14" s="1"/>
  <c r="AL1203" i="14"/>
  <c r="AI1203" i="14"/>
  <c r="AA1203" i="14" s="1"/>
  <c r="AD1203" i="14" s="1"/>
  <c r="AN1203" i="14"/>
  <c r="BK1076" i="14"/>
  <c r="AN1089" i="14"/>
  <c r="AL1089" i="14"/>
  <c r="AI1089" i="14"/>
  <c r="AA1089" i="14" s="1"/>
  <c r="AD1089" i="14" s="1"/>
  <c r="AL1191" i="14"/>
  <c r="AI1191" i="14"/>
  <c r="AA1191" i="14" s="1"/>
  <c r="AD1191" i="14" s="1"/>
  <c r="AN1191" i="14"/>
  <c r="BK1125" i="14"/>
  <c r="AK1204" i="14"/>
  <c r="AJ1204" i="14"/>
  <c r="Z1204" i="14" s="1"/>
  <c r="AM1204" i="14"/>
  <c r="AM1186" i="14"/>
  <c r="AK1186" i="14"/>
  <c r="AJ1186" i="14"/>
  <c r="Z1186" i="14" s="1"/>
  <c r="AM1039" i="14"/>
  <c r="AK1039" i="14"/>
  <c r="AJ1039" i="14"/>
  <c r="Z1039" i="14" s="1"/>
  <c r="AI1185" i="14"/>
  <c r="AA1185" i="14" s="1"/>
  <c r="AD1185" i="14" s="1"/>
  <c r="AL1185" i="14"/>
  <c r="AN1185" i="14"/>
  <c r="AI1138" i="14"/>
  <c r="AA1138" i="14" s="1"/>
  <c r="AD1138" i="14" s="1"/>
  <c r="AN1138" i="14"/>
  <c r="AL1138" i="14"/>
  <c r="AM1210" i="14"/>
  <c r="AK1210" i="14"/>
  <c r="AJ1210" i="14"/>
  <c r="Z1210" i="14" s="1"/>
  <c r="AM1179" i="14"/>
  <c r="AK1179" i="14"/>
  <c r="AJ1179" i="14"/>
  <c r="Z1179" i="14" s="1"/>
  <c r="BK1221" i="14"/>
  <c r="AL1043" i="14"/>
  <c r="AI1043" i="14"/>
  <c r="AA1043" i="14" s="1"/>
  <c r="AD1043" i="14" s="1"/>
  <c r="AN1043" i="14"/>
  <c r="AN1068" i="14"/>
  <c r="AI1068" i="14"/>
  <c r="AA1068" i="14" s="1"/>
  <c r="AD1068" i="14" s="1"/>
  <c r="AL1068" i="14"/>
  <c r="BK1217" i="14"/>
  <c r="AM1207" i="14"/>
  <c r="AK1207" i="14"/>
  <c r="AJ1207" i="14"/>
  <c r="Z1207" i="14" s="1"/>
  <c r="AN1038" i="14"/>
  <c r="AL1038" i="14"/>
  <c r="AI1038" i="14"/>
  <c r="AA1038" i="14" s="1"/>
  <c r="AD1038" i="14" s="1"/>
  <c r="AM1130" i="14"/>
  <c r="AK1130" i="14"/>
  <c r="AJ1130" i="14"/>
  <c r="Z1130" i="14" s="1"/>
  <c r="AL1176" i="14"/>
  <c r="AI1176" i="14"/>
  <c r="AA1176" i="14" s="1"/>
  <c r="AD1176" i="14" s="1"/>
  <c r="AN1176" i="14"/>
  <c r="AM1125" i="14"/>
  <c r="AK1125" i="14"/>
  <c r="AJ1125" i="14"/>
  <c r="Z1125" i="14" s="1"/>
  <c r="AJ1143" i="14"/>
  <c r="Z1143" i="14" s="1"/>
  <c r="AK1143" i="14"/>
  <c r="AM1143" i="14"/>
  <c r="AK1090" i="14"/>
  <c r="AM1090" i="14"/>
  <c r="AJ1090" i="14"/>
  <c r="Z1090" i="14" s="1"/>
  <c r="AL1117" i="14"/>
  <c r="AI1117" i="14"/>
  <c r="AA1117" i="14" s="1"/>
  <c r="AD1117" i="14" s="1"/>
  <c r="AN1117" i="14"/>
  <c r="AJ1216" i="14"/>
  <c r="Z1216" i="14" s="1"/>
  <c r="AK1216" i="14"/>
  <c r="AM1216" i="14"/>
  <c r="AM1038" i="14"/>
  <c r="AK1038" i="14"/>
  <c r="AJ1038" i="14"/>
  <c r="Z1038" i="14" s="1"/>
  <c r="AM1154" i="14"/>
  <c r="AK1154" i="14"/>
  <c r="AJ1154" i="14"/>
  <c r="Z1154" i="14" s="1"/>
  <c r="AI1210" i="14"/>
  <c r="AA1210" i="14" s="1"/>
  <c r="AD1210" i="14" s="1"/>
  <c r="AN1210" i="14"/>
  <c r="AL1210" i="14"/>
  <c r="AI1054" i="14"/>
  <c r="AA1054" i="14" s="1"/>
  <c r="AD1054" i="14" s="1"/>
  <c r="AN1054" i="14"/>
  <c r="AL1054" i="14"/>
  <c r="AN1134" i="14"/>
  <c r="AL1134" i="14"/>
  <c r="AI1134" i="14"/>
  <c r="AA1134" i="14" s="1"/>
  <c r="AD1134" i="14" s="1"/>
  <c r="AM1099" i="14"/>
  <c r="AK1099" i="14"/>
  <c r="AJ1099" i="14"/>
  <c r="Z1099" i="14" s="1"/>
  <c r="AM1046" i="14"/>
  <c r="AK1046" i="14"/>
  <c r="AJ1046" i="14"/>
  <c r="Z1046" i="14" s="1"/>
  <c r="AL1144" i="14"/>
  <c r="AI1144" i="14"/>
  <c r="AA1144" i="14" s="1"/>
  <c r="AD1144" i="14" s="1"/>
  <c r="AN1144" i="14"/>
  <c r="AK1047" i="14"/>
  <c r="AM1047" i="14"/>
  <c r="AJ1047" i="14"/>
  <c r="Z1047" i="14" s="1"/>
  <c r="AI1160" i="14"/>
  <c r="AA1160" i="14" s="1"/>
  <c r="AD1160" i="14" s="1"/>
  <c r="AN1160" i="14"/>
  <c r="AL1160" i="14"/>
  <c r="AL1034" i="14"/>
  <c r="AI1034" i="14"/>
  <c r="AA1034" i="14" s="1"/>
  <c r="AD1034" i="14" s="1"/>
  <c r="AN1034" i="14"/>
  <c r="AJ1077" i="14"/>
  <c r="Z1077" i="14" s="1"/>
  <c r="AM1077" i="14"/>
  <c r="AK1077" i="14"/>
  <c r="AK1173" i="14"/>
  <c r="AM1173" i="14"/>
  <c r="AJ1173" i="14"/>
  <c r="Z1173" i="14" s="1"/>
  <c r="AM1141" i="14"/>
  <c r="AK1141" i="14"/>
  <c r="AJ1141" i="14"/>
  <c r="Z1141" i="14" s="1"/>
  <c r="AL1141" i="14"/>
  <c r="AN1141" i="14"/>
  <c r="AI1141" i="14"/>
  <c r="AA1141" i="14" s="1"/>
  <c r="AD1141" i="14" s="1"/>
  <c r="AI1168" i="14"/>
  <c r="AA1168" i="14" s="1"/>
  <c r="AD1168" i="14" s="1"/>
  <c r="AL1168" i="14"/>
  <c r="AN1168" i="14"/>
  <c r="AL1149" i="14"/>
  <c r="AI1149" i="14"/>
  <c r="AA1149" i="14" s="1"/>
  <c r="AD1149" i="14" s="1"/>
  <c r="AN1149" i="14"/>
  <c r="AM1088" i="14"/>
  <c r="AK1088" i="14"/>
  <c r="AJ1088" i="14"/>
  <c r="Z1088" i="14" s="1"/>
  <c r="AJ1176" i="14"/>
  <c r="Z1176" i="14" s="1"/>
  <c r="AM1176" i="14"/>
  <c r="AK1176" i="14"/>
  <c r="AK1050" i="14"/>
  <c r="AM1050" i="14"/>
  <c r="AJ1050" i="14"/>
  <c r="Z1050" i="14" s="1"/>
  <c r="AL1041" i="14"/>
  <c r="AN1041" i="14"/>
  <c r="AI1041" i="14"/>
  <c r="AA1041" i="14" s="1"/>
  <c r="AD1041" i="14" s="1"/>
  <c r="AK1137" i="14"/>
  <c r="AM1137" i="14"/>
  <c r="AJ1137" i="14"/>
  <c r="Z1137" i="14" s="1"/>
  <c r="AL1132" i="14"/>
  <c r="AI1132" i="14"/>
  <c r="AA1132" i="14" s="1"/>
  <c r="AD1132" i="14" s="1"/>
  <c r="AN1132" i="14"/>
  <c r="AN1216" i="14"/>
  <c r="AL1216" i="14"/>
  <c r="AI1216" i="14"/>
  <c r="AA1216" i="14" s="1"/>
  <c r="AD1216" i="14" s="1"/>
  <c r="AM1075" i="14"/>
  <c r="AK1075" i="14"/>
  <c r="AJ1075" i="14"/>
  <c r="Z1075" i="14" s="1"/>
  <c r="BI1225" i="14"/>
  <c r="AH1225" i="14"/>
  <c r="AJ1092" i="14"/>
  <c r="Z1092" i="14" s="1"/>
  <c r="AK1092" i="14"/>
  <c r="AM1092" i="14"/>
  <c r="AL1125" i="14"/>
  <c r="AN1125" i="14"/>
  <c r="AI1125" i="14"/>
  <c r="AA1125" i="14" s="1"/>
  <c r="AD1125" i="14" s="1"/>
  <c r="AI1145" i="14"/>
  <c r="AA1145" i="14" s="1"/>
  <c r="AD1145" i="14" s="1"/>
  <c r="AL1145" i="14"/>
  <c r="AN1145" i="14"/>
  <c r="AN1097" i="14"/>
  <c r="AL1097" i="14"/>
  <c r="AI1097" i="14"/>
  <c r="AA1097" i="14" s="1"/>
  <c r="AD1097" i="14" s="1"/>
  <c r="AI1040" i="14"/>
  <c r="AA1040" i="14" s="1"/>
  <c r="AD1040" i="14" s="1"/>
  <c r="AN1040" i="14"/>
  <c r="AL1040" i="14"/>
  <c r="AN1187" i="14"/>
  <c r="AI1187" i="14"/>
  <c r="AA1187" i="14" s="1"/>
  <c r="AD1187" i="14" s="1"/>
  <c r="AL1187" i="14"/>
  <c r="AM1111" i="14"/>
  <c r="AK1111" i="14"/>
  <c r="AJ1111" i="14"/>
  <c r="Z1111" i="14" s="1"/>
  <c r="BK1212" i="14"/>
  <c r="AL1039" i="14"/>
  <c r="AN1039" i="14"/>
  <c r="AI1039" i="14"/>
  <c r="AA1039" i="14" s="1"/>
  <c r="AD1039" i="14" s="1"/>
  <c r="AL1030" i="14"/>
  <c r="AN1030" i="14"/>
  <c r="AI1030" i="14"/>
  <c r="AA1030" i="14" s="1"/>
  <c r="AD1030" i="14" s="1"/>
  <c r="AM1195" i="14"/>
  <c r="AK1195" i="14"/>
  <c r="AJ1195" i="14"/>
  <c r="Z1195" i="14" s="1"/>
  <c r="AL1056" i="14"/>
  <c r="AN1056" i="14"/>
  <c r="AI1056" i="14"/>
  <c r="AA1056" i="14" s="1"/>
  <c r="AD1056" i="14" s="1"/>
  <c r="AI1042" i="14"/>
  <c r="AA1042" i="14" s="1"/>
  <c r="AD1042" i="14" s="1"/>
  <c r="AN1042" i="14"/>
  <c r="AL1042" i="14"/>
  <c r="AM1215" i="14"/>
  <c r="AK1215" i="14"/>
  <c r="AJ1215" i="14"/>
  <c r="Z1215" i="14" s="1"/>
  <c r="AI1090" i="14"/>
  <c r="AA1090" i="14" s="1"/>
  <c r="AD1090" i="14" s="1"/>
  <c r="AL1090" i="14"/>
  <c r="AN1090" i="14"/>
  <c r="AM1104" i="14"/>
  <c r="AK1104" i="14"/>
  <c r="AJ1104" i="14"/>
  <c r="Z1104" i="14" s="1"/>
  <c r="BK1035" i="14"/>
  <c r="AM1030" i="14"/>
  <c r="AK1030" i="14"/>
  <c r="AJ1030" i="14"/>
  <c r="Z1030" i="14" s="1"/>
  <c r="AI1211" i="14"/>
  <c r="AA1211" i="14" s="1"/>
  <c r="AD1211" i="14" s="1"/>
  <c r="AL1211" i="14"/>
  <c r="AN1211" i="14"/>
  <c r="AK1181" i="14"/>
  <c r="AM1181" i="14"/>
  <c r="AJ1181" i="14"/>
  <c r="Z1181" i="14" s="1"/>
  <c r="AL1200" i="14"/>
  <c r="AI1200" i="14"/>
  <c r="AA1200" i="14" s="1"/>
  <c r="AD1200" i="14" s="1"/>
  <c r="AN1200" i="14"/>
  <c r="AL1069" i="14"/>
  <c r="AI1069" i="14"/>
  <c r="AA1069" i="14" s="1"/>
  <c r="AD1069" i="14" s="1"/>
  <c r="AN1069" i="14"/>
  <c r="AK1084" i="14"/>
  <c r="AM1084" i="14"/>
  <c r="AJ1084" i="14"/>
  <c r="Z1084" i="14" s="1"/>
  <c r="AG1225" i="14"/>
  <c r="BJ1225" i="14"/>
  <c r="BK1126" i="14" l="1"/>
  <c r="AJ1205" i="14"/>
  <c r="Z1205" i="14" s="1"/>
  <c r="AB1205" i="14" s="1"/>
  <c r="AK1205" i="14"/>
  <c r="AO1205" i="14" s="1"/>
  <c r="AJ1168" i="14"/>
  <c r="Z1168" i="14" s="1"/>
  <c r="AB1168" i="14" s="1"/>
  <c r="AM1168" i="14"/>
  <c r="AO1168" i="14" s="1"/>
  <c r="AJ1211" i="14"/>
  <c r="Z1211" i="14" s="1"/>
  <c r="AE1211" i="14" s="1"/>
  <c r="AM1211" i="14"/>
  <c r="AO1211" i="14" s="1"/>
  <c r="AJ1108" i="14"/>
  <c r="Z1108" i="14" s="1"/>
  <c r="AE1108" i="14" s="1"/>
  <c r="AM1043" i="14"/>
  <c r="AO1043" i="14" s="1"/>
  <c r="AJ1043" i="14"/>
  <c r="Z1043" i="14" s="1"/>
  <c r="AE1043" i="14" s="1"/>
  <c r="AK1108" i="14"/>
  <c r="AO1108" i="14" s="1"/>
  <c r="AN1223" i="14"/>
  <c r="AL1223" i="14"/>
  <c r="AK1059" i="14"/>
  <c r="AO1059" i="14" s="1"/>
  <c r="AJ1059" i="14"/>
  <c r="Z1059" i="14" s="1"/>
  <c r="AE1059" i="14" s="1"/>
  <c r="AL1193" i="14"/>
  <c r="AN1193" i="14"/>
  <c r="AL1220" i="14"/>
  <c r="AJ1106" i="14"/>
  <c r="Z1106" i="14" s="1"/>
  <c r="AE1106" i="14" s="1"/>
  <c r="AM1106" i="14"/>
  <c r="AO1106" i="14" s="1"/>
  <c r="AN1220" i="14"/>
  <c r="AL1106" i="14"/>
  <c r="AP1106" i="14" s="1"/>
  <c r="AI1106" i="14"/>
  <c r="AA1106" i="14" s="1"/>
  <c r="AD1106" i="14" s="1"/>
  <c r="BK1179" i="14"/>
  <c r="AM1133" i="14"/>
  <c r="AO1133" i="14" s="1"/>
  <c r="AJ1133" i="14"/>
  <c r="Z1133" i="14" s="1"/>
  <c r="AE1133" i="14" s="1"/>
  <c r="BK1139" i="14"/>
  <c r="BK1175" i="14"/>
  <c r="AK1079" i="14"/>
  <c r="AM1079" i="14"/>
  <c r="BK1176" i="14"/>
  <c r="BK1166" i="14"/>
  <c r="AI1178" i="14"/>
  <c r="AA1178" i="14" s="1"/>
  <c r="AD1178" i="14" s="1"/>
  <c r="AN1178" i="14"/>
  <c r="AP1178" i="14" s="1"/>
  <c r="BK1042" i="14"/>
  <c r="BK1068" i="14"/>
  <c r="AI1079" i="14"/>
  <c r="AA1079" i="14" s="1"/>
  <c r="AD1079" i="14" s="1"/>
  <c r="AL1079" i="14"/>
  <c r="AP1079" i="14" s="1"/>
  <c r="AI1121" i="14"/>
  <c r="AA1121" i="14" s="1"/>
  <c r="AD1121" i="14" s="1"/>
  <c r="AN1121" i="14"/>
  <c r="AP1121" i="14" s="1"/>
  <c r="AI1058" i="14"/>
  <c r="AA1058" i="14" s="1"/>
  <c r="AD1058" i="14" s="1"/>
  <c r="AN1058" i="14"/>
  <c r="AP1058" i="14" s="1"/>
  <c r="AI1153" i="14"/>
  <c r="AA1153" i="14" s="1"/>
  <c r="AD1153" i="14" s="1"/>
  <c r="AL1153" i="14"/>
  <c r="AP1153" i="14" s="1"/>
  <c r="BK1113" i="14"/>
  <c r="AM1131" i="14"/>
  <c r="AO1131" i="14" s="1"/>
  <c r="AJ1131" i="14"/>
  <c r="Z1131" i="14" s="1"/>
  <c r="AB1131" i="14" s="1"/>
  <c r="AN1067" i="14"/>
  <c r="AL1067" i="14"/>
  <c r="AM1221" i="14"/>
  <c r="AO1221" i="14" s="1"/>
  <c r="AI1070" i="14"/>
  <c r="AA1070" i="14" s="1"/>
  <c r="AD1070" i="14" s="1"/>
  <c r="AJ1221" i="14"/>
  <c r="Z1221" i="14" s="1"/>
  <c r="AB1221" i="14" s="1"/>
  <c r="AN1222" i="14"/>
  <c r="AP1222" i="14" s="1"/>
  <c r="AI1222" i="14"/>
  <c r="AA1222" i="14" s="1"/>
  <c r="AD1222" i="14" s="1"/>
  <c r="AL1070" i="14"/>
  <c r="AP1070" i="14" s="1"/>
  <c r="AN1221" i="14"/>
  <c r="AK1214" i="14"/>
  <c r="AO1214" i="14" s="1"/>
  <c r="AJ1214" i="14"/>
  <c r="Z1214" i="14" s="1"/>
  <c r="AB1214" i="14" s="1"/>
  <c r="AL1221" i="14"/>
  <c r="BK1099" i="14"/>
  <c r="AN1136" i="14"/>
  <c r="AL1136" i="14"/>
  <c r="BK1080" i="14"/>
  <c r="AL1214" i="14"/>
  <c r="AN1214" i="14"/>
  <c r="BK1150" i="14"/>
  <c r="AI1076" i="14"/>
  <c r="AA1076" i="14" s="1"/>
  <c r="AD1076" i="14" s="1"/>
  <c r="AN1076" i="14"/>
  <c r="AP1076" i="14" s="1"/>
  <c r="AK1076" i="14"/>
  <c r="AO1076" i="14" s="1"/>
  <c r="BK1047" i="14"/>
  <c r="AJ1076" i="14"/>
  <c r="Z1076" i="14" s="1"/>
  <c r="AM1044" i="14"/>
  <c r="AO1044" i="14" s="1"/>
  <c r="AJ1093" i="14"/>
  <c r="Z1093" i="14" s="1"/>
  <c r="AE1093" i="14" s="1"/>
  <c r="AK1093" i="14"/>
  <c r="AO1093" i="14" s="1"/>
  <c r="AM1078" i="14"/>
  <c r="AJ1044" i="14"/>
  <c r="Z1044" i="14" s="1"/>
  <c r="AB1044" i="14" s="1"/>
  <c r="AI1077" i="14"/>
  <c r="AA1077" i="14" s="1"/>
  <c r="AD1077" i="14" s="1"/>
  <c r="AN1077" i="14"/>
  <c r="AP1077" i="14" s="1"/>
  <c r="AN1093" i="14"/>
  <c r="AP1093" i="14" s="1"/>
  <c r="AK1199" i="14"/>
  <c r="AO1199" i="14" s="1"/>
  <c r="AJ1199" i="14"/>
  <c r="Z1199" i="14" s="1"/>
  <c r="AE1199" i="14" s="1"/>
  <c r="AL1199" i="14"/>
  <c r="AP1199" i="14" s="1"/>
  <c r="AI1199" i="14"/>
  <c r="AA1199" i="14" s="1"/>
  <c r="AD1199" i="14" s="1"/>
  <c r="AI1093" i="14"/>
  <c r="AA1093" i="14" s="1"/>
  <c r="AD1093" i="14" s="1"/>
  <c r="AK1078" i="14"/>
  <c r="AL1078" i="14"/>
  <c r="AP1078" i="14" s="1"/>
  <c r="AL1105" i="14"/>
  <c r="AP1105" i="14" s="1"/>
  <c r="AI1105" i="14"/>
  <c r="AA1105" i="14" s="1"/>
  <c r="AD1105" i="14" s="1"/>
  <c r="AI1078" i="14"/>
  <c r="AA1078" i="14" s="1"/>
  <c r="AD1078" i="14" s="1"/>
  <c r="BK1216" i="14"/>
  <c r="BK1112" i="14"/>
  <c r="AJ1209" i="14"/>
  <c r="Z1209" i="14" s="1"/>
  <c r="AE1209" i="14" s="1"/>
  <c r="AK1209" i="14"/>
  <c r="AO1209" i="14" s="1"/>
  <c r="AN1156" i="14"/>
  <c r="AP1156" i="14" s="1"/>
  <c r="AI1156" i="14"/>
  <c r="AA1156" i="14" s="1"/>
  <c r="AD1156" i="14" s="1"/>
  <c r="AN1209" i="14"/>
  <c r="AP1209" i="14" s="1"/>
  <c r="AI1209" i="14"/>
  <c r="AA1209" i="14" s="1"/>
  <c r="AD1209" i="14" s="1"/>
  <c r="BK1138" i="14"/>
  <c r="AJ1206" i="14"/>
  <c r="Z1206" i="14" s="1"/>
  <c r="AB1206" i="14" s="1"/>
  <c r="AL1181" i="14"/>
  <c r="AN1181" i="14"/>
  <c r="AN1120" i="14"/>
  <c r="AL1120" i="14"/>
  <c r="AJ1201" i="14"/>
  <c r="Z1201" i="14" s="1"/>
  <c r="AE1201" i="14" s="1"/>
  <c r="AK1201" i="14"/>
  <c r="AO1201" i="14" s="1"/>
  <c r="AL1212" i="14"/>
  <c r="AP1212" i="14" s="1"/>
  <c r="AI1174" i="14"/>
  <c r="AA1174" i="14" s="1"/>
  <c r="AD1174" i="14" s="1"/>
  <c r="AL1174" i="14"/>
  <c r="AP1174" i="14" s="1"/>
  <c r="AJ1081" i="14"/>
  <c r="Z1081" i="14" s="1"/>
  <c r="AB1081" i="14" s="1"/>
  <c r="AK1127" i="14"/>
  <c r="AM1127" i="14"/>
  <c r="AK1190" i="14"/>
  <c r="AO1190" i="14" s="1"/>
  <c r="AI1212" i="14"/>
  <c r="AA1212" i="14" s="1"/>
  <c r="AD1212" i="14" s="1"/>
  <c r="AJ1190" i="14"/>
  <c r="Z1190" i="14" s="1"/>
  <c r="AB1190" i="14" s="1"/>
  <c r="BK1038" i="14"/>
  <c r="AK1206" i="14"/>
  <c r="AO1206" i="14" s="1"/>
  <c r="BK1084" i="14"/>
  <c r="AK1219" i="14"/>
  <c r="AO1219" i="14" s="1"/>
  <c r="AK1188" i="14"/>
  <c r="AL1050" i="14"/>
  <c r="AP1050" i="14" s="1"/>
  <c r="AJ1224" i="14"/>
  <c r="Z1224" i="14" s="1"/>
  <c r="AE1224" i="14" s="1"/>
  <c r="AI1050" i="14"/>
  <c r="AA1050" i="14" s="1"/>
  <c r="AD1050" i="14" s="1"/>
  <c r="AI1215" i="14"/>
  <c r="AA1215" i="14" s="1"/>
  <c r="AD1215" i="14" s="1"/>
  <c r="BK1123" i="14"/>
  <c r="AJ1212" i="14"/>
  <c r="Z1212" i="14" s="1"/>
  <c r="AN1215" i="14"/>
  <c r="AP1215" i="14" s="1"/>
  <c r="AM1212" i="14"/>
  <c r="AO1212" i="14" s="1"/>
  <c r="AI1063" i="14"/>
  <c r="AA1063" i="14" s="1"/>
  <c r="AD1063" i="14" s="1"/>
  <c r="AJ1054" i="14"/>
  <c r="Z1054" i="14" s="1"/>
  <c r="AB1054" i="14" s="1"/>
  <c r="AK1054" i="14"/>
  <c r="AO1054" i="14" s="1"/>
  <c r="AN1063" i="14"/>
  <c r="AP1063" i="14" s="1"/>
  <c r="AM1091" i="14"/>
  <c r="AO1091" i="14" s="1"/>
  <c r="AJ1191" i="14"/>
  <c r="Z1191" i="14" s="1"/>
  <c r="AB1191" i="14" s="1"/>
  <c r="BK1086" i="14"/>
  <c r="BK1107" i="14"/>
  <c r="AM1081" i="14"/>
  <c r="AO1081" i="14" s="1"/>
  <c r="AM1191" i="14"/>
  <c r="AO1191" i="14" s="1"/>
  <c r="AL1147" i="14"/>
  <c r="AP1147" i="14" s="1"/>
  <c r="AI1147" i="14"/>
  <c r="AA1147" i="14" s="1"/>
  <c r="AD1147" i="14" s="1"/>
  <c r="BK1158" i="14"/>
  <c r="AL1104" i="14"/>
  <c r="AP1104" i="14" s="1"/>
  <c r="AJ1192" i="14"/>
  <c r="Z1192" i="14" s="1"/>
  <c r="AE1192" i="14" s="1"/>
  <c r="AI1104" i="14"/>
  <c r="AA1104" i="14" s="1"/>
  <c r="AD1104" i="14" s="1"/>
  <c r="AN1186" i="14"/>
  <c r="AJ1055" i="14"/>
  <c r="Z1055" i="14" s="1"/>
  <c r="AE1055" i="14" s="1"/>
  <c r="AL1186" i="14"/>
  <c r="AK1055" i="14"/>
  <c r="AO1055" i="14" s="1"/>
  <c r="AJ1091" i="14"/>
  <c r="Z1091" i="14" s="1"/>
  <c r="AB1091" i="14" s="1"/>
  <c r="BK1100" i="14"/>
  <c r="BK1204" i="14"/>
  <c r="AJ1187" i="14"/>
  <c r="Z1187" i="14" s="1"/>
  <c r="AB1187" i="14" s="1"/>
  <c r="AM1187" i="14"/>
  <c r="AO1187" i="14" s="1"/>
  <c r="AI1173" i="14"/>
  <c r="AA1173" i="14" s="1"/>
  <c r="AD1173" i="14" s="1"/>
  <c r="AN1173" i="14"/>
  <c r="AP1173" i="14" s="1"/>
  <c r="AJ1028" i="14"/>
  <c r="Z1028" i="14" s="1"/>
  <c r="AE1028" i="14" s="1"/>
  <c r="BK1145" i="14"/>
  <c r="AL1119" i="14"/>
  <c r="AP1119" i="14" s="1"/>
  <c r="AL1103" i="14"/>
  <c r="AM1224" i="14"/>
  <c r="AO1224" i="14" s="1"/>
  <c r="AI1119" i="14"/>
  <c r="AA1119" i="14" s="1"/>
  <c r="AD1119" i="14" s="1"/>
  <c r="AI1171" i="14"/>
  <c r="AA1171" i="14" s="1"/>
  <c r="AD1171" i="14" s="1"/>
  <c r="AL1171" i="14"/>
  <c r="AP1171" i="14" s="1"/>
  <c r="AJ1029" i="14"/>
  <c r="Z1029" i="14" s="1"/>
  <c r="AE1029" i="14" s="1"/>
  <c r="BK1026" i="14"/>
  <c r="BK1162" i="14"/>
  <c r="AM1188" i="14"/>
  <c r="BK1073" i="14"/>
  <c r="AM1184" i="14"/>
  <c r="AO1184" i="14" s="1"/>
  <c r="AL1155" i="14"/>
  <c r="AP1155" i="14" s="1"/>
  <c r="AI1155" i="14"/>
  <c r="AA1155" i="14" s="1"/>
  <c r="AD1155" i="14" s="1"/>
  <c r="AJ1200" i="14"/>
  <c r="Z1200" i="14" s="1"/>
  <c r="AE1200" i="14" s="1"/>
  <c r="AK1200" i="14"/>
  <c r="AO1200" i="14" s="1"/>
  <c r="AJ1152" i="14"/>
  <c r="Z1152" i="14" s="1"/>
  <c r="AE1152" i="14" s="1"/>
  <c r="AM1152" i="14"/>
  <c r="AO1152" i="14" s="1"/>
  <c r="AM1197" i="14"/>
  <c r="AO1197" i="14" s="1"/>
  <c r="AK1033" i="14"/>
  <c r="AO1033" i="14" s="1"/>
  <c r="AJ1071" i="14"/>
  <c r="Z1071" i="14" s="1"/>
  <c r="AE1071" i="14" s="1"/>
  <c r="AJ1033" i="14"/>
  <c r="Z1033" i="14" s="1"/>
  <c r="AB1033" i="14" s="1"/>
  <c r="AM1071" i="14"/>
  <c r="AO1071" i="14" s="1"/>
  <c r="BK1146" i="14"/>
  <c r="AN1103" i="14"/>
  <c r="BK1157" i="14"/>
  <c r="BK1210" i="14"/>
  <c r="AK1164" i="14"/>
  <c r="AO1164" i="14" s="1"/>
  <c r="AL1053" i="14"/>
  <c r="AP1053" i="14" s="1"/>
  <c r="AI1195" i="14"/>
  <c r="AA1195" i="14" s="1"/>
  <c r="AD1195" i="14" s="1"/>
  <c r="AI1053" i="14"/>
  <c r="AA1053" i="14" s="1"/>
  <c r="AD1053" i="14" s="1"/>
  <c r="AI1035" i="14"/>
  <c r="AA1035" i="14" s="1"/>
  <c r="AD1035" i="14" s="1"/>
  <c r="BK1056" i="14"/>
  <c r="AK1029" i="14"/>
  <c r="AO1029" i="14" s="1"/>
  <c r="AN1087" i="14"/>
  <c r="AP1087" i="14" s="1"/>
  <c r="AI1087" i="14"/>
  <c r="AA1087" i="14" s="1"/>
  <c r="AD1087" i="14" s="1"/>
  <c r="AL1197" i="14"/>
  <c r="AP1197" i="14" s="1"/>
  <c r="AI1197" i="14"/>
  <c r="AA1197" i="14" s="1"/>
  <c r="AD1197" i="14" s="1"/>
  <c r="AJ1196" i="14"/>
  <c r="Z1196" i="14" s="1"/>
  <c r="AB1196" i="14" s="1"/>
  <c r="AM1185" i="14"/>
  <c r="AO1185" i="14" s="1"/>
  <c r="AK1196" i="14"/>
  <c r="AO1196" i="14" s="1"/>
  <c r="AJ1160" i="14"/>
  <c r="Z1160" i="14" s="1"/>
  <c r="AE1160" i="14" s="1"/>
  <c r="AM1160" i="14"/>
  <c r="AO1160" i="14" s="1"/>
  <c r="AI1065" i="14"/>
  <c r="AA1065" i="14" s="1"/>
  <c r="AD1065" i="14" s="1"/>
  <c r="BK1194" i="14"/>
  <c r="BK1141" i="14"/>
  <c r="BK1207" i="14"/>
  <c r="AK1028" i="14"/>
  <c r="AO1028" i="14" s="1"/>
  <c r="BK1090" i="14"/>
  <c r="AJ1184" i="14"/>
  <c r="Z1184" i="14" s="1"/>
  <c r="AB1184" i="14" s="1"/>
  <c r="AN1224" i="14"/>
  <c r="AP1224" i="14" s="1"/>
  <c r="BK1061" i="14"/>
  <c r="AJ1219" i="14"/>
  <c r="Z1219" i="14" s="1"/>
  <c r="AE1219" i="14" s="1"/>
  <c r="BK1089" i="14"/>
  <c r="AJ1197" i="14"/>
  <c r="Z1197" i="14" s="1"/>
  <c r="AE1197" i="14" s="1"/>
  <c r="AJ1159" i="14"/>
  <c r="Z1159" i="14" s="1"/>
  <c r="AE1159" i="14" s="1"/>
  <c r="AN1110" i="14"/>
  <c r="AJ1172" i="14"/>
  <c r="Z1172" i="14" s="1"/>
  <c r="AE1172" i="14" s="1"/>
  <c r="AN1206" i="14"/>
  <c r="AJ1142" i="14"/>
  <c r="Z1142" i="14" s="1"/>
  <c r="AE1142" i="14" s="1"/>
  <c r="AK1172" i="14"/>
  <c r="AO1172" i="14" s="1"/>
  <c r="AK1087" i="14"/>
  <c r="AO1087" i="14" s="1"/>
  <c r="AL1110" i="14"/>
  <c r="AK1192" i="14"/>
  <c r="AO1192" i="14" s="1"/>
  <c r="AL1206" i="14"/>
  <c r="AK1142" i="14"/>
  <c r="AO1142" i="14" s="1"/>
  <c r="AJ1124" i="14"/>
  <c r="Z1124" i="14" s="1"/>
  <c r="AE1124" i="14" s="1"/>
  <c r="AK1124" i="14"/>
  <c r="AO1124" i="14" s="1"/>
  <c r="BK1170" i="14"/>
  <c r="AI1029" i="14"/>
  <c r="AA1029" i="14" s="1"/>
  <c r="AD1029" i="14" s="1"/>
  <c r="AN1029" i="14"/>
  <c r="AP1029" i="14" s="1"/>
  <c r="AJ1087" i="14"/>
  <c r="Z1087" i="14" s="1"/>
  <c r="AE1087" i="14" s="1"/>
  <c r="AI1031" i="14"/>
  <c r="AA1031" i="14" s="1"/>
  <c r="AD1031" i="14" s="1"/>
  <c r="AI1115" i="14"/>
  <c r="AA1115" i="14" s="1"/>
  <c r="AD1115" i="14" s="1"/>
  <c r="AL1115" i="14"/>
  <c r="AP1115" i="14" s="1"/>
  <c r="AK1159" i="14"/>
  <c r="AO1159" i="14" s="1"/>
  <c r="AK1203" i="14"/>
  <c r="AM1203" i="14"/>
  <c r="AI1037" i="14"/>
  <c r="AA1037" i="14" s="1"/>
  <c r="AD1037" i="14" s="1"/>
  <c r="AL1037" i="14"/>
  <c r="AP1037" i="14" s="1"/>
  <c r="AI1224" i="14"/>
  <c r="AA1224" i="14" s="1"/>
  <c r="AD1224" i="14" s="1"/>
  <c r="AJ1066" i="14"/>
  <c r="Z1066" i="14" s="1"/>
  <c r="AE1066" i="14" s="1"/>
  <c r="AK1066" i="14"/>
  <c r="AO1066" i="14" s="1"/>
  <c r="AI1154" i="14"/>
  <c r="AA1154" i="14" s="1"/>
  <c r="AD1154" i="14" s="1"/>
  <c r="AK1065" i="14"/>
  <c r="AI1163" i="14"/>
  <c r="AA1163" i="14" s="1"/>
  <c r="AD1163" i="14" s="1"/>
  <c r="AM1065" i="14"/>
  <c r="AM1095" i="14"/>
  <c r="AO1095" i="14" s="1"/>
  <c r="AL1163" i="14"/>
  <c r="AP1163" i="14" s="1"/>
  <c r="AM1140" i="14"/>
  <c r="AI1142" i="14"/>
  <c r="AA1142" i="14" s="1"/>
  <c r="AD1142" i="14" s="1"/>
  <c r="AJ1135" i="14"/>
  <c r="Z1135" i="14" s="1"/>
  <c r="AB1135" i="14" s="1"/>
  <c r="AK1140" i="14"/>
  <c r="AN1083" i="14"/>
  <c r="AK1135" i="14"/>
  <c r="AO1135" i="14" s="1"/>
  <c r="AI1075" i="14"/>
  <c r="AA1075" i="14" s="1"/>
  <c r="AD1075" i="14" s="1"/>
  <c r="AL1065" i="14"/>
  <c r="AP1065" i="14" s="1"/>
  <c r="AL1057" i="14"/>
  <c r="AM1134" i="14"/>
  <c r="AO1134" i="14" s="1"/>
  <c r="AN1057" i="14"/>
  <c r="AL1083" i="14"/>
  <c r="AN1075" i="14"/>
  <c r="AP1075" i="14" s="1"/>
  <c r="AL1122" i="14"/>
  <c r="AL1142" i="14"/>
  <c r="AP1142" i="14" s="1"/>
  <c r="AK1167" i="14"/>
  <c r="AN1122" i="14"/>
  <c r="AJ1134" i="14"/>
  <c r="Z1134" i="14" s="1"/>
  <c r="AE1134" i="14" s="1"/>
  <c r="AJ1036" i="14"/>
  <c r="Z1036" i="14" s="1"/>
  <c r="AB1036" i="14" s="1"/>
  <c r="AN1062" i="14"/>
  <c r="AP1062" i="14" s="1"/>
  <c r="AM1167" i="14"/>
  <c r="AJ1185" i="14"/>
  <c r="Z1185" i="14" s="1"/>
  <c r="AB1185" i="14" s="1"/>
  <c r="AI1062" i="14"/>
  <c r="AA1062" i="14" s="1"/>
  <c r="AD1062" i="14" s="1"/>
  <c r="AJ1035" i="14"/>
  <c r="Z1035" i="14" s="1"/>
  <c r="AE1035" i="14" s="1"/>
  <c r="AJ1095" i="14"/>
  <c r="Z1095" i="14" s="1"/>
  <c r="AE1095" i="14" s="1"/>
  <c r="BK1149" i="14"/>
  <c r="AL1154" i="14"/>
  <c r="AP1154" i="14" s="1"/>
  <c r="AJ1189" i="14"/>
  <c r="Z1189" i="14" s="1"/>
  <c r="AB1189" i="14" s="1"/>
  <c r="AM1189" i="14"/>
  <c r="AO1189" i="14" s="1"/>
  <c r="AI1074" i="14"/>
  <c r="AA1074" i="14" s="1"/>
  <c r="AD1074" i="14" s="1"/>
  <c r="AL1074" i="14"/>
  <c r="AP1074" i="14" s="1"/>
  <c r="AI1066" i="14"/>
  <c r="AA1066" i="14" s="1"/>
  <c r="AD1066" i="14" s="1"/>
  <c r="AI1025" i="14"/>
  <c r="AA1025" i="14" s="1"/>
  <c r="AD1025" i="14" s="1"/>
  <c r="AL1066" i="14"/>
  <c r="AP1066" i="14" s="1"/>
  <c r="AN1025" i="14"/>
  <c r="AP1025" i="14" s="1"/>
  <c r="BK1169" i="14"/>
  <c r="AM1036" i="14"/>
  <c r="AO1036" i="14" s="1"/>
  <c r="AN1102" i="14"/>
  <c r="AP1102" i="14" s="1"/>
  <c r="AK1032" i="14"/>
  <c r="AI1102" i="14"/>
  <c r="AA1102" i="14" s="1"/>
  <c r="AD1102" i="14" s="1"/>
  <c r="AM1032" i="14"/>
  <c r="AJ1097" i="14"/>
  <c r="Z1097" i="14" s="1"/>
  <c r="AB1097" i="14" s="1"/>
  <c r="AK1097" i="14"/>
  <c r="AO1097" i="14" s="1"/>
  <c r="BK1082" i="14"/>
  <c r="BK1132" i="14"/>
  <c r="AI1148" i="14"/>
  <c r="AA1148" i="14" s="1"/>
  <c r="AD1148" i="14" s="1"/>
  <c r="AL1128" i="14"/>
  <c r="AP1128" i="14" s="1"/>
  <c r="AN1148" i="14"/>
  <c r="AP1148" i="14" s="1"/>
  <c r="AI1128" i="14"/>
  <c r="AA1128" i="14" s="1"/>
  <c r="AD1128" i="14" s="1"/>
  <c r="BK1143" i="14"/>
  <c r="AN1060" i="14"/>
  <c r="AI1182" i="14"/>
  <c r="AA1182" i="14" s="1"/>
  <c r="AD1182" i="14" s="1"/>
  <c r="AL1060" i="14"/>
  <c r="AK1117" i="14"/>
  <c r="AL1182" i="14"/>
  <c r="AP1182" i="14" s="1"/>
  <c r="AJ1048" i="14"/>
  <c r="Z1048" i="14" s="1"/>
  <c r="AE1048" i="14" s="1"/>
  <c r="AK1052" i="14"/>
  <c r="AN1031" i="14"/>
  <c r="AP1031" i="14" s="1"/>
  <c r="AN1118" i="14"/>
  <c r="AL1208" i="14"/>
  <c r="AL1118" i="14"/>
  <c r="AN1208" i="14"/>
  <c r="AJ1037" i="14"/>
  <c r="Z1037" i="14" s="1"/>
  <c r="AE1037" i="14" s="1"/>
  <c r="AK1048" i="14"/>
  <c r="AO1048" i="14" s="1"/>
  <c r="AM1037" i="14"/>
  <c r="AO1037" i="14" s="1"/>
  <c r="AL1098" i="14"/>
  <c r="AP1098" i="14" s="1"/>
  <c r="AJ1202" i="14"/>
  <c r="Z1202" i="14" s="1"/>
  <c r="AE1202" i="14" s="1"/>
  <c r="AJ1034" i="14"/>
  <c r="Z1034" i="14" s="1"/>
  <c r="AE1034" i="14" s="1"/>
  <c r="AI1098" i="14"/>
  <c r="AA1098" i="14" s="1"/>
  <c r="AD1098" i="14" s="1"/>
  <c r="AJ1161" i="14"/>
  <c r="Z1161" i="14" s="1"/>
  <c r="AE1161" i="14" s="1"/>
  <c r="AK1202" i="14"/>
  <c r="AO1202" i="14" s="1"/>
  <c r="AK1034" i="14"/>
  <c r="AO1034" i="14" s="1"/>
  <c r="AK1161" i="14"/>
  <c r="AO1161" i="14" s="1"/>
  <c r="AM1052" i="14"/>
  <c r="BK1177" i="14"/>
  <c r="AL1035" i="14"/>
  <c r="AP1035" i="14" s="1"/>
  <c r="AN1195" i="14"/>
  <c r="AP1195" i="14" s="1"/>
  <c r="AJ1165" i="14"/>
  <c r="Z1165" i="14" s="1"/>
  <c r="AE1165" i="14" s="1"/>
  <c r="AM1165" i="14"/>
  <c r="AO1165" i="14" s="1"/>
  <c r="AI1202" i="14"/>
  <c r="AA1202" i="14" s="1"/>
  <c r="AD1202" i="14" s="1"/>
  <c r="AN1202" i="14"/>
  <c r="AP1202" i="14" s="1"/>
  <c r="BK1213" i="14"/>
  <c r="AM1035" i="14"/>
  <c r="AO1035" i="14" s="1"/>
  <c r="AK1049" i="14"/>
  <c r="AK1040" i="14"/>
  <c r="AO1040" i="14" s="1"/>
  <c r="AJ1180" i="14"/>
  <c r="Z1180" i="14" s="1"/>
  <c r="AE1180" i="14" s="1"/>
  <c r="AK1114" i="14"/>
  <c r="AO1114" i="14" s="1"/>
  <c r="AK1180" i="14"/>
  <c r="AO1180" i="14" s="1"/>
  <c r="BK1101" i="14"/>
  <c r="AM1118" i="14"/>
  <c r="AO1118" i="14" s="1"/>
  <c r="AJ1069" i="14"/>
  <c r="Z1069" i="14" s="1"/>
  <c r="AE1069" i="14" s="1"/>
  <c r="AJ1118" i="14"/>
  <c r="Z1118" i="14" s="1"/>
  <c r="AE1118" i="14" s="1"/>
  <c r="AK1069" i="14"/>
  <c r="AO1069" i="14" s="1"/>
  <c r="AN1201" i="14"/>
  <c r="AP1201" i="14" s="1"/>
  <c r="AI1116" i="14"/>
  <c r="AA1116" i="14" s="1"/>
  <c r="AD1116" i="14" s="1"/>
  <c r="AL1116" i="14"/>
  <c r="AP1116" i="14" s="1"/>
  <c r="AI1201" i="14"/>
  <c r="AA1201" i="14" s="1"/>
  <c r="AD1201" i="14" s="1"/>
  <c r="AJ1115" i="14"/>
  <c r="Z1115" i="14" s="1"/>
  <c r="AE1115" i="14" s="1"/>
  <c r="AM1115" i="14"/>
  <c r="AO1115" i="14" s="1"/>
  <c r="AK1122" i="14"/>
  <c r="AO1122" i="14" s="1"/>
  <c r="AJ1110" i="14"/>
  <c r="Z1110" i="14" s="1"/>
  <c r="AE1110" i="14" s="1"/>
  <c r="AM1110" i="14"/>
  <c r="AO1110" i="14" s="1"/>
  <c r="AM1151" i="14"/>
  <c r="AO1151" i="14" s="1"/>
  <c r="AL1180" i="14"/>
  <c r="AN1180" i="14"/>
  <c r="AJ1151" i="14"/>
  <c r="Z1151" i="14" s="1"/>
  <c r="AB1151" i="14" s="1"/>
  <c r="BK1041" i="14"/>
  <c r="AN1045" i="14"/>
  <c r="AM1129" i="14"/>
  <c r="AO1129" i="14" s="1"/>
  <c r="AJ1122" i="14"/>
  <c r="Z1122" i="14" s="1"/>
  <c r="AB1122" i="14" s="1"/>
  <c r="AJ1060" i="14"/>
  <c r="Z1060" i="14" s="1"/>
  <c r="AE1060" i="14" s="1"/>
  <c r="AJ1198" i="14"/>
  <c r="Z1198" i="14" s="1"/>
  <c r="AB1198" i="14" s="1"/>
  <c r="AM1060" i="14"/>
  <c r="AO1060" i="14" s="1"/>
  <c r="AI1051" i="14"/>
  <c r="AA1051" i="14" s="1"/>
  <c r="AD1051" i="14" s="1"/>
  <c r="AM1198" i="14"/>
  <c r="AO1198" i="14" s="1"/>
  <c r="AN1051" i="14"/>
  <c r="AP1051" i="14" s="1"/>
  <c r="AJ1217" i="14"/>
  <c r="Z1217" i="14" s="1"/>
  <c r="AE1217" i="14" s="1"/>
  <c r="AJ1218" i="14"/>
  <c r="Z1218" i="14" s="1"/>
  <c r="AE1218" i="14" s="1"/>
  <c r="AM1217" i="14"/>
  <c r="AO1217" i="14" s="1"/>
  <c r="AK1218" i="14"/>
  <c r="AO1218" i="14" s="1"/>
  <c r="AL1045" i="14"/>
  <c r="AJ1129" i="14"/>
  <c r="Z1129" i="14" s="1"/>
  <c r="AE1129" i="14" s="1"/>
  <c r="AJ1164" i="14"/>
  <c r="Z1164" i="14" s="1"/>
  <c r="AE1164" i="14" s="1"/>
  <c r="AI1028" i="14"/>
  <c r="AA1028" i="14" s="1"/>
  <c r="AD1028" i="14" s="1"/>
  <c r="AN1028" i="14"/>
  <c r="AP1028" i="14" s="1"/>
  <c r="AN1111" i="14"/>
  <c r="AP1111" i="14" s="1"/>
  <c r="AI1111" i="14"/>
  <c r="AA1111" i="14" s="1"/>
  <c r="AD1111" i="14" s="1"/>
  <c r="AN1072" i="14"/>
  <c r="AL1072" i="14"/>
  <c r="AJ1109" i="14"/>
  <c r="Z1109" i="14" s="1"/>
  <c r="AE1109" i="14" s="1"/>
  <c r="AK1109" i="14"/>
  <c r="AO1109" i="14" s="1"/>
  <c r="AK1053" i="14"/>
  <c r="AO1053" i="14" s="1"/>
  <c r="AJ1053" i="14"/>
  <c r="Z1053" i="14" s="1"/>
  <c r="AE1053" i="14" s="1"/>
  <c r="AM1094" i="14"/>
  <c r="AK1094" i="14"/>
  <c r="AN1217" i="14"/>
  <c r="AL1217" i="14"/>
  <c r="AL1064" i="14"/>
  <c r="AP1064" i="14" s="1"/>
  <c r="AJ1031" i="14"/>
  <c r="Z1031" i="14" s="1"/>
  <c r="AK1031" i="14"/>
  <c r="AO1031" i="14" s="1"/>
  <c r="AI1218" i="14"/>
  <c r="AA1218" i="14" s="1"/>
  <c r="AD1218" i="14" s="1"/>
  <c r="AN1218" i="14"/>
  <c r="AP1218" i="14" s="1"/>
  <c r="AL1096" i="14"/>
  <c r="AN1096" i="14"/>
  <c r="AJ1114" i="14"/>
  <c r="Z1114" i="14" s="1"/>
  <c r="AB1114" i="14" s="1"/>
  <c r="BK1027" i="14"/>
  <c r="AI1137" i="14"/>
  <c r="AA1137" i="14" s="1"/>
  <c r="AD1137" i="14" s="1"/>
  <c r="AM1049" i="14"/>
  <c r="AM1117" i="14"/>
  <c r="BK1085" i="14"/>
  <c r="AN1088" i="14"/>
  <c r="AP1088" i="14" s="1"/>
  <c r="AJ1040" i="14"/>
  <c r="Z1040" i="14" s="1"/>
  <c r="AE1040" i="14" s="1"/>
  <c r="AI1088" i="14"/>
  <c r="AA1088" i="14" s="1"/>
  <c r="AD1088" i="14" s="1"/>
  <c r="BK1046" i="14"/>
  <c r="AI1183" i="14"/>
  <c r="AA1183" i="14" s="1"/>
  <c r="AD1183" i="14" s="1"/>
  <c r="AM1208" i="14"/>
  <c r="AK1208" i="14"/>
  <c r="AI1094" i="14"/>
  <c r="AA1094" i="14" s="1"/>
  <c r="AD1094" i="14" s="1"/>
  <c r="AL1094" i="14"/>
  <c r="AP1094" i="14" s="1"/>
  <c r="AN1183" i="14"/>
  <c r="AP1183" i="14" s="1"/>
  <c r="AI1064" i="14"/>
  <c r="AA1064" i="14" s="1"/>
  <c r="AD1064" i="14" s="1"/>
  <c r="AJ1025" i="14"/>
  <c r="Z1025" i="14" s="1"/>
  <c r="BK1144" i="14"/>
  <c r="AK1025" i="14"/>
  <c r="AO1025" i="14" s="1"/>
  <c r="AL1140" i="14"/>
  <c r="BK1030" i="14"/>
  <c r="AJ1174" i="14"/>
  <c r="Z1174" i="14" s="1"/>
  <c r="AK1174" i="14"/>
  <c r="AO1174" i="14" s="1"/>
  <c r="AL1198" i="14"/>
  <c r="AN1198" i="14"/>
  <c r="AN1137" i="14"/>
  <c r="AP1137" i="14" s="1"/>
  <c r="AN1095" i="14"/>
  <c r="AP1095" i="14" s="1"/>
  <c r="AI1095" i="14"/>
  <c r="AA1095" i="14" s="1"/>
  <c r="AD1095" i="14" s="1"/>
  <c r="AN1140" i="14"/>
  <c r="AJ1096" i="14"/>
  <c r="Z1096" i="14" s="1"/>
  <c r="AB1096" i="14" s="1"/>
  <c r="AK1096" i="14"/>
  <c r="AO1096" i="14" s="1"/>
  <c r="AN1109" i="14"/>
  <c r="AP1109" i="14" s="1"/>
  <c r="AI1109" i="14"/>
  <c r="AA1109" i="14" s="1"/>
  <c r="AD1109" i="14" s="1"/>
  <c r="AN1092" i="14"/>
  <c r="AP1092" i="14" s="1"/>
  <c r="AI1092" i="14"/>
  <c r="AA1092" i="14" s="1"/>
  <c r="AD1092" i="14" s="1"/>
  <c r="BK1039" i="14"/>
  <c r="AN1161" i="14"/>
  <c r="AL1161" i="14"/>
  <c r="AI1130" i="14"/>
  <c r="AA1130" i="14" s="1"/>
  <c r="AD1130" i="14" s="1"/>
  <c r="AL1130" i="14"/>
  <c r="AP1130" i="14" s="1"/>
  <c r="AJ1057" i="14"/>
  <c r="Z1057" i="14" s="1"/>
  <c r="AE1057" i="14" s="1"/>
  <c r="AM1057" i="14"/>
  <c r="AO1057" i="14" s="1"/>
  <c r="AP1190" i="14"/>
  <c r="AS1190" i="14" s="1"/>
  <c r="AP1030" i="14"/>
  <c r="AS1030" i="14" s="1"/>
  <c r="AO1204" i="14"/>
  <c r="AP1143" i="14"/>
  <c r="AS1143" i="14" s="1"/>
  <c r="AP1124" i="14"/>
  <c r="AS1124" i="14" s="1"/>
  <c r="BK1225" i="14"/>
  <c r="AP1114" i="14"/>
  <c r="AS1114" i="14" s="1"/>
  <c r="AO1101" i="14"/>
  <c r="AP1081" i="14"/>
  <c r="AS1081" i="14" s="1"/>
  <c r="AP1055" i="14"/>
  <c r="AS1055" i="14" s="1"/>
  <c r="AP1126" i="14"/>
  <c r="AS1126" i="14" s="1"/>
  <c r="AO1100" i="14"/>
  <c r="AP1059" i="14"/>
  <c r="AS1059" i="14" s="1"/>
  <c r="AO1137" i="14"/>
  <c r="AP1100" i="14"/>
  <c r="AS1100" i="14" s="1"/>
  <c r="AP1204" i="14"/>
  <c r="AS1204" i="14" s="1"/>
  <c r="AO1146" i="14"/>
  <c r="AO1026" i="14"/>
  <c r="AO1064" i="14"/>
  <c r="AP1041" i="14"/>
  <c r="AS1041" i="14" s="1"/>
  <c r="AO1047" i="14"/>
  <c r="AO1132" i="14"/>
  <c r="AP1133" i="14"/>
  <c r="AS1133" i="14" s="1"/>
  <c r="AP1132" i="14"/>
  <c r="AS1132" i="14" s="1"/>
  <c r="AP1034" i="14"/>
  <c r="AS1034" i="14" s="1"/>
  <c r="AO1125" i="14"/>
  <c r="AO1130" i="14"/>
  <c r="AO1207" i="14"/>
  <c r="AP1138" i="14"/>
  <c r="AS1138" i="14" s="1"/>
  <c r="AP1089" i="14"/>
  <c r="AS1089" i="14" s="1"/>
  <c r="AO1067" i="14"/>
  <c r="AO1089" i="14"/>
  <c r="AO1099" i="14"/>
  <c r="AO1155" i="14"/>
  <c r="AP1061" i="14"/>
  <c r="AS1061" i="14" s="1"/>
  <c r="AO1150" i="14"/>
  <c r="AO1084" i="14"/>
  <c r="AP1123" i="14"/>
  <c r="AS1123" i="14" s="1"/>
  <c r="AO1073" i="14"/>
  <c r="AO1147" i="14"/>
  <c r="AP1032" i="14"/>
  <c r="AS1032" i="14" s="1"/>
  <c r="AP1169" i="14"/>
  <c r="AS1169" i="14" s="1"/>
  <c r="AP1099" i="14"/>
  <c r="AS1099" i="14" s="1"/>
  <c r="AP1152" i="14"/>
  <c r="AS1152" i="14" s="1"/>
  <c r="AP1097" i="14"/>
  <c r="AS1097" i="14" s="1"/>
  <c r="AP1044" i="14"/>
  <c r="AS1044" i="14" s="1"/>
  <c r="AO1082" i="14"/>
  <c r="AP1033" i="14"/>
  <c r="AS1033" i="14" s="1"/>
  <c r="AO1080" i="14"/>
  <c r="AP1135" i="14"/>
  <c r="AS1135" i="14" s="1"/>
  <c r="AP1179" i="14"/>
  <c r="AS1179" i="14" s="1"/>
  <c r="AO1223" i="14"/>
  <c r="AP1071" i="14"/>
  <c r="AS1071" i="14" s="1"/>
  <c r="AP1039" i="14"/>
  <c r="AS1039" i="14" s="1"/>
  <c r="AO1050" i="14"/>
  <c r="AP1091" i="14"/>
  <c r="AS1091" i="14" s="1"/>
  <c r="AP1177" i="14"/>
  <c r="AS1177" i="14" s="1"/>
  <c r="AP1160" i="14"/>
  <c r="AS1160" i="14" s="1"/>
  <c r="AO1046" i="14"/>
  <c r="AO1063" i="14"/>
  <c r="AO1056" i="14"/>
  <c r="AP1042" i="14"/>
  <c r="AS1042" i="14" s="1"/>
  <c r="AO1141" i="14"/>
  <c r="AO1077" i="14"/>
  <c r="AO1216" i="14"/>
  <c r="AP1219" i="14"/>
  <c r="AS1219" i="14" s="1"/>
  <c r="AO1102" i="14"/>
  <c r="AO1085" i="14"/>
  <c r="AO1194" i="14"/>
  <c r="AO1175" i="14"/>
  <c r="AO1154" i="14"/>
  <c r="AP1038" i="14"/>
  <c r="AS1038" i="14" s="1"/>
  <c r="AO1186" i="14"/>
  <c r="AO1027" i="14"/>
  <c r="AO1098" i="14"/>
  <c r="AO1158" i="14"/>
  <c r="AP1127" i="14"/>
  <c r="AS1127" i="14" s="1"/>
  <c r="AP1117" i="14"/>
  <c r="AS1117" i="14" s="1"/>
  <c r="AP1082" i="14"/>
  <c r="AS1082" i="14" s="1"/>
  <c r="AO1116" i="14"/>
  <c r="AO1171" i="14"/>
  <c r="AO1120" i="14"/>
  <c r="AP1158" i="14"/>
  <c r="AS1158" i="14" s="1"/>
  <c r="AO1181" i="14"/>
  <c r="AP1056" i="14"/>
  <c r="AS1056" i="14" s="1"/>
  <c r="AP1145" i="14"/>
  <c r="AS1145" i="14" s="1"/>
  <c r="AO1092" i="14"/>
  <c r="AP1168" i="14"/>
  <c r="AS1168" i="14" s="1"/>
  <c r="AO1119" i="14"/>
  <c r="AO1042" i="14"/>
  <c r="AP1184" i="14"/>
  <c r="AS1184" i="14" s="1"/>
  <c r="AP1211" i="14"/>
  <c r="AS1211" i="14" s="1"/>
  <c r="AO1068" i="14"/>
  <c r="AP1151" i="14"/>
  <c r="AS1151" i="14" s="1"/>
  <c r="AP1101" i="14"/>
  <c r="AS1101" i="14" s="1"/>
  <c r="AO1169" i="14"/>
  <c r="AO1070" i="14"/>
  <c r="AP1073" i="14"/>
  <c r="AS1073" i="14" s="1"/>
  <c r="AO1143" i="14"/>
  <c r="AO1220" i="14"/>
  <c r="AO1086" i="14"/>
  <c r="AO1162" i="14"/>
  <c r="AO1045" i="14"/>
  <c r="AO1213" i="14"/>
  <c r="AP1170" i="14"/>
  <c r="AS1170" i="14" s="1"/>
  <c r="AE1126" i="14"/>
  <c r="AB1126" i="14"/>
  <c r="AE1103" i="14"/>
  <c r="AB1103" i="14"/>
  <c r="AP1210" i="14"/>
  <c r="AS1210" i="14" s="1"/>
  <c r="AP1162" i="14"/>
  <c r="AS1162" i="14" s="1"/>
  <c r="AP1080" i="14"/>
  <c r="AS1080" i="14" s="1"/>
  <c r="AO1178" i="14"/>
  <c r="AE1147" i="14"/>
  <c r="AO1126" i="14"/>
  <c r="AB1068" i="14"/>
  <c r="AE1068" i="14"/>
  <c r="AE1065" i="14"/>
  <c r="AO1103" i="14"/>
  <c r="AE1177" i="14"/>
  <c r="AB1177" i="14"/>
  <c r="AE1079" i="14"/>
  <c r="AP1213" i="14"/>
  <c r="AS1213" i="14" s="1"/>
  <c r="AO1051" i="14"/>
  <c r="AP1157" i="14"/>
  <c r="AS1157" i="14" s="1"/>
  <c r="AP1085" i="14"/>
  <c r="AS1085" i="14" s="1"/>
  <c r="AE1208" i="14"/>
  <c r="AB1208" i="14"/>
  <c r="AE1026" i="14"/>
  <c r="AB1026" i="14"/>
  <c r="AO1121" i="14"/>
  <c r="AE1067" i="14"/>
  <c r="AB1067" i="14"/>
  <c r="AE1216" i="14"/>
  <c r="AB1216" i="14"/>
  <c r="AE1051" i="14"/>
  <c r="AP1048" i="14"/>
  <c r="AS1048" i="14" s="1"/>
  <c r="AE1046" i="14"/>
  <c r="AB1046" i="14"/>
  <c r="AO1039" i="14"/>
  <c r="AE1104" i="14"/>
  <c r="AO1111" i="14"/>
  <c r="AE1092" i="14"/>
  <c r="AO1075" i="14"/>
  <c r="AP1216" i="14"/>
  <c r="AS1216" i="14" s="1"/>
  <c r="AE1137" i="14"/>
  <c r="AO1173" i="14"/>
  <c r="AP1054" i="14"/>
  <c r="AS1054" i="14" s="1"/>
  <c r="AE1094" i="14"/>
  <c r="AE1188" i="14"/>
  <c r="AB1188" i="14"/>
  <c r="AP1196" i="14"/>
  <c r="AS1196" i="14" s="1"/>
  <c r="AE1058" i="14"/>
  <c r="AE1145" i="14"/>
  <c r="AB1145" i="14"/>
  <c r="AE1171" i="14"/>
  <c r="AP1046" i="14"/>
  <c r="AS1046" i="14" s="1"/>
  <c r="AO1144" i="14"/>
  <c r="AE1139" i="14"/>
  <c r="AB1139" i="14"/>
  <c r="AB1169" i="14"/>
  <c r="AE1169" i="14"/>
  <c r="AP1189" i="14"/>
  <c r="AS1189" i="14" s="1"/>
  <c r="AP1107" i="14"/>
  <c r="AS1107" i="14" s="1"/>
  <c r="AE1119" i="14"/>
  <c r="AE1073" i="14"/>
  <c r="AB1073" i="14"/>
  <c r="AP1134" i="14"/>
  <c r="AS1134" i="14" s="1"/>
  <c r="AE1154" i="14"/>
  <c r="AE1090" i="14"/>
  <c r="AB1090" i="14"/>
  <c r="AP1068" i="14"/>
  <c r="AS1068" i="14" s="1"/>
  <c r="AE1140" i="14"/>
  <c r="AB1140" i="14"/>
  <c r="AE1186" i="14"/>
  <c r="AB1186" i="14"/>
  <c r="AP1188" i="14"/>
  <c r="AS1188" i="14" s="1"/>
  <c r="AE1105" i="14"/>
  <c r="AP1175" i="14"/>
  <c r="AS1175" i="14" s="1"/>
  <c r="AP1084" i="14"/>
  <c r="AS1084" i="14" s="1"/>
  <c r="AE1156" i="14"/>
  <c r="AE1027" i="14"/>
  <c r="AB1027" i="14"/>
  <c r="AO1177" i="14"/>
  <c r="AP1192" i="14"/>
  <c r="AS1192" i="14" s="1"/>
  <c r="AB1089" i="14"/>
  <c r="AE1089" i="14"/>
  <c r="AE1078" i="14"/>
  <c r="AB1083" i="14"/>
  <c r="AE1083" i="14"/>
  <c r="AE1136" i="14"/>
  <c r="AB1136" i="14"/>
  <c r="AO1128" i="14"/>
  <c r="AB1157" i="14"/>
  <c r="AE1157" i="14"/>
  <c r="AE1039" i="14"/>
  <c r="AB1039" i="14"/>
  <c r="AE1042" i="14"/>
  <c r="AB1042" i="14"/>
  <c r="AO1148" i="14"/>
  <c r="AO1153" i="14"/>
  <c r="AO1222" i="14"/>
  <c r="AE1195" i="14"/>
  <c r="AO1104" i="14"/>
  <c r="AO1195" i="14"/>
  <c r="AO1176" i="14"/>
  <c r="AP1141" i="14"/>
  <c r="AS1141" i="14" s="1"/>
  <c r="AE1099" i="14"/>
  <c r="AB1099" i="14"/>
  <c r="AO1090" i="14"/>
  <c r="AP1043" i="14"/>
  <c r="AS1043" i="14" s="1"/>
  <c r="AP1205" i="14"/>
  <c r="AS1205" i="14" s="1"/>
  <c r="AP1159" i="14"/>
  <c r="AS1159" i="14" s="1"/>
  <c r="AE1155" i="14"/>
  <c r="AO1105" i="14"/>
  <c r="AB1149" i="14"/>
  <c r="AE1149" i="14"/>
  <c r="AO1156" i="14"/>
  <c r="AP1172" i="14"/>
  <c r="AS1172" i="14" s="1"/>
  <c r="AE1150" i="14"/>
  <c r="AB1150" i="14"/>
  <c r="AO1058" i="14"/>
  <c r="AO1145" i="14"/>
  <c r="AP1027" i="14"/>
  <c r="AS1027" i="14" s="1"/>
  <c r="AE1049" i="14"/>
  <c r="AB1049" i="14"/>
  <c r="AO1083" i="14"/>
  <c r="AO1136" i="14"/>
  <c r="AP1131" i="14"/>
  <c r="AS1131" i="14" s="1"/>
  <c r="AE1128" i="14"/>
  <c r="AO1139" i="14"/>
  <c r="AO1157" i="14"/>
  <c r="AO1074" i="14"/>
  <c r="AE1166" i="14"/>
  <c r="AB1166" i="14"/>
  <c r="AE1063" i="14"/>
  <c r="AB1144" i="14"/>
  <c r="AE1144" i="14"/>
  <c r="AE1173" i="14"/>
  <c r="AP1069" i="14"/>
  <c r="AS1069" i="14" s="1"/>
  <c r="AB1030" i="14"/>
  <c r="AE1030" i="14"/>
  <c r="AP1090" i="14"/>
  <c r="AS1090" i="14" s="1"/>
  <c r="AE1215" i="14"/>
  <c r="AP1187" i="14"/>
  <c r="AS1187" i="14" s="1"/>
  <c r="AB1176" i="14"/>
  <c r="AE1176" i="14"/>
  <c r="AE1047" i="14"/>
  <c r="AB1047" i="14"/>
  <c r="AP1176" i="14"/>
  <c r="AS1176" i="14" s="1"/>
  <c r="AP1203" i="14"/>
  <c r="AS1203" i="14" s="1"/>
  <c r="AB1220" i="14"/>
  <c r="AE1220" i="14"/>
  <c r="AB1086" i="14"/>
  <c r="AE1086" i="14"/>
  <c r="AO1149" i="14"/>
  <c r="AE1162" i="14"/>
  <c r="AB1162" i="14"/>
  <c r="AP1047" i="14"/>
  <c r="AS1047" i="14" s="1"/>
  <c r="AE1116" i="14"/>
  <c r="AE1045" i="14"/>
  <c r="AB1045" i="14"/>
  <c r="AP1086" i="14"/>
  <c r="AS1086" i="14" s="1"/>
  <c r="AP1026" i="14"/>
  <c r="AS1026" i="14" s="1"/>
  <c r="AB1223" i="14"/>
  <c r="AE1223" i="14"/>
  <c r="AP1052" i="14"/>
  <c r="AS1052" i="14" s="1"/>
  <c r="AE1138" i="14"/>
  <c r="AB1138" i="14"/>
  <c r="AE1213" i="14"/>
  <c r="AB1213" i="14"/>
  <c r="AP1108" i="14"/>
  <c r="AS1108" i="14" s="1"/>
  <c r="AE1113" i="14"/>
  <c r="AB1113" i="14"/>
  <c r="AO1166" i="14"/>
  <c r="AE1070" i="14"/>
  <c r="AE1121" i="14"/>
  <c r="AE1111" i="14"/>
  <c r="AO1210" i="14"/>
  <c r="AB1179" i="14"/>
  <c r="AE1179" i="14"/>
  <c r="AB1032" i="14"/>
  <c r="AE1032" i="14"/>
  <c r="AE1101" i="14"/>
  <c r="AB1101" i="14"/>
  <c r="AE1062" i="14"/>
  <c r="AE1127" i="14"/>
  <c r="AB1127" i="14"/>
  <c r="AO1138" i="14"/>
  <c r="AE1041" i="14"/>
  <c r="AB1041" i="14"/>
  <c r="AE1074" i="14"/>
  <c r="AB1084" i="14"/>
  <c r="AE1084" i="14"/>
  <c r="AE1038" i="14"/>
  <c r="AB1038" i="14"/>
  <c r="AO1030" i="14"/>
  <c r="AB1141" i="14"/>
  <c r="AE1141" i="14"/>
  <c r="AE1204" i="14"/>
  <c r="AB1204" i="14"/>
  <c r="AE1132" i="14"/>
  <c r="AB1132" i="14"/>
  <c r="AB1107" i="14"/>
  <c r="AE1107" i="14"/>
  <c r="AB1170" i="14"/>
  <c r="AE1170" i="14"/>
  <c r="AB1112" i="14"/>
  <c r="AE1112" i="14"/>
  <c r="AE1194" i="14"/>
  <c r="AB1194" i="14"/>
  <c r="AE1163" i="14"/>
  <c r="AE1056" i="14"/>
  <c r="AB1056" i="14"/>
  <c r="AB1203" i="14"/>
  <c r="AE1203" i="14"/>
  <c r="AP1049" i="14"/>
  <c r="AS1049" i="14" s="1"/>
  <c r="AO1113" i="14"/>
  <c r="AP1112" i="14"/>
  <c r="AS1112" i="14" s="1"/>
  <c r="AE1158" i="14"/>
  <c r="AB1158" i="14"/>
  <c r="AE1181" i="14"/>
  <c r="AB1181" i="14"/>
  <c r="AB1085" i="14"/>
  <c r="AE1085" i="14"/>
  <c r="AB1175" i="14"/>
  <c r="AE1175" i="14"/>
  <c r="AE1088" i="14"/>
  <c r="AO1215" i="14"/>
  <c r="AP1040" i="14"/>
  <c r="AS1040" i="14" s="1"/>
  <c r="AE1167" i="14"/>
  <c r="AB1167" i="14"/>
  <c r="AP1200" i="14"/>
  <c r="AS1200" i="14" s="1"/>
  <c r="AE1050" i="14"/>
  <c r="AO1088" i="14"/>
  <c r="AP1144" i="14"/>
  <c r="AS1144" i="14" s="1"/>
  <c r="AO1038" i="14"/>
  <c r="AE1143" i="14"/>
  <c r="AB1143" i="14"/>
  <c r="AO1179" i="14"/>
  <c r="AP1185" i="14"/>
  <c r="AS1185" i="14" s="1"/>
  <c r="AP1165" i="14"/>
  <c r="AS1165" i="14" s="1"/>
  <c r="AE1102" i="14"/>
  <c r="AO1107" i="14"/>
  <c r="AO1062" i="14"/>
  <c r="AO1170" i="14"/>
  <c r="AO1112" i="14"/>
  <c r="AE1080" i="14"/>
  <c r="AB1080" i="14"/>
  <c r="AO1061" i="14"/>
  <c r="AB1123" i="14"/>
  <c r="AE1123" i="14"/>
  <c r="AE1098" i="14"/>
  <c r="AP1113" i="14"/>
  <c r="AS1113" i="14" s="1"/>
  <c r="AP1139" i="14"/>
  <c r="AS1139" i="14" s="1"/>
  <c r="AO1041" i="14"/>
  <c r="AO1163" i="14"/>
  <c r="AP1167" i="14"/>
  <c r="AS1167" i="14" s="1"/>
  <c r="AE1120" i="14"/>
  <c r="AB1120" i="14"/>
  <c r="AP1207" i="14"/>
  <c r="AS1207" i="14" s="1"/>
  <c r="AE1182" i="14"/>
  <c r="AM1225" i="14"/>
  <c r="AK1225" i="14"/>
  <c r="AJ1225" i="14"/>
  <c r="Z1225" i="14" s="1"/>
  <c r="AL1225" i="14"/>
  <c r="AI1225" i="14"/>
  <c r="AA1225" i="14" s="1"/>
  <c r="AD1225" i="14" s="1"/>
  <c r="AN1225" i="14"/>
  <c r="AE1130" i="14"/>
  <c r="AP1150" i="14"/>
  <c r="AS1150" i="14" s="1"/>
  <c r="AP1164" i="14"/>
  <c r="AS1164" i="14" s="1"/>
  <c r="AE1082" i="14"/>
  <c r="AB1082" i="14"/>
  <c r="AB1072" i="14"/>
  <c r="AE1072" i="14"/>
  <c r="AB1193" i="14"/>
  <c r="AE1193" i="14"/>
  <c r="AE1183" i="14"/>
  <c r="AE1075" i="14"/>
  <c r="AE1117" i="14"/>
  <c r="AB1117" i="14"/>
  <c r="AP1149" i="14"/>
  <c r="AS1149" i="14" s="1"/>
  <c r="AB1125" i="14"/>
  <c r="AE1125" i="14"/>
  <c r="AE1207" i="14"/>
  <c r="AB1207" i="14"/>
  <c r="AP1191" i="14"/>
  <c r="AS1191" i="14" s="1"/>
  <c r="AP1125" i="14"/>
  <c r="AS1125" i="14" s="1"/>
  <c r="AE1077" i="14"/>
  <c r="AE1210" i="14"/>
  <c r="AB1210" i="14"/>
  <c r="AE1100" i="14"/>
  <c r="AB1100" i="14"/>
  <c r="AP1036" i="14"/>
  <c r="AS1036" i="14" s="1"/>
  <c r="AE1052" i="14"/>
  <c r="AB1052" i="14"/>
  <c r="AE1148" i="14"/>
  <c r="AO1182" i="14"/>
  <c r="AE1153" i="14"/>
  <c r="AP1146" i="14"/>
  <c r="AS1146" i="14" s="1"/>
  <c r="AO1072" i="14"/>
  <c r="AO1193" i="14"/>
  <c r="AE1061" i="14"/>
  <c r="AB1061" i="14"/>
  <c r="AO1123" i="14"/>
  <c r="AP1194" i="14"/>
  <c r="AS1194" i="14" s="1"/>
  <c r="AO1183" i="14"/>
  <c r="AE1178" i="14"/>
  <c r="AE1146" i="14"/>
  <c r="AB1146" i="14"/>
  <c r="AP1129" i="14"/>
  <c r="AS1129" i="14" s="1"/>
  <c r="AP1166" i="14"/>
  <c r="AS1166" i="14" s="1"/>
  <c r="AE1064" i="14"/>
  <c r="AE1222" i="14"/>
  <c r="AE1205" i="14" l="1"/>
  <c r="AC1205" i="14" s="1"/>
  <c r="AB1108" i="14"/>
  <c r="AE1168" i="14"/>
  <c r="AC1168" i="14" s="1"/>
  <c r="AB1211" i="14"/>
  <c r="AB1043" i="14"/>
  <c r="AP1223" i="14"/>
  <c r="AS1223" i="14" s="1"/>
  <c r="AB1059" i="14"/>
  <c r="AP1193" i="14"/>
  <c r="AS1193" i="14" s="1"/>
  <c r="AP1220" i="14"/>
  <c r="AS1220" i="14" s="1"/>
  <c r="AB1106" i="14"/>
  <c r="AS1106" i="14"/>
  <c r="AB1133" i="14"/>
  <c r="AB1058" i="14"/>
  <c r="AO1079" i="14"/>
  <c r="AQ1079" i="14" s="1"/>
  <c r="AB1178" i="14"/>
  <c r="AS1178" i="14"/>
  <c r="AB1121" i="14"/>
  <c r="AS1079" i="14"/>
  <c r="AS1121" i="14"/>
  <c r="AB1079" i="14"/>
  <c r="AS1058" i="14"/>
  <c r="AB1153" i="14"/>
  <c r="AS1153" i="14"/>
  <c r="AB1070" i="14"/>
  <c r="AP1067" i="14"/>
  <c r="AS1067" i="14" s="1"/>
  <c r="AE1131" i="14"/>
  <c r="AC1131" i="14" s="1"/>
  <c r="AE1221" i="14"/>
  <c r="AC1221" i="14" s="1"/>
  <c r="AB1222" i="14"/>
  <c r="AS1070" i="14"/>
  <c r="AS1222" i="14"/>
  <c r="AE1214" i="14"/>
  <c r="AC1214" i="14" s="1"/>
  <c r="AP1221" i="14"/>
  <c r="AS1221" i="14" s="1"/>
  <c r="AP1136" i="14"/>
  <c r="AS1136" i="14" s="1"/>
  <c r="AP1214" i="14"/>
  <c r="AS1214" i="14" s="1"/>
  <c r="AS1076" i="14"/>
  <c r="AB1076" i="14"/>
  <c r="AE1076" i="14"/>
  <c r="AC1076" i="14" s="1"/>
  <c r="AE1044" i="14"/>
  <c r="AC1044" i="14" s="1"/>
  <c r="AS1077" i="14"/>
  <c r="AS1137" i="14"/>
  <c r="AB1077" i="14"/>
  <c r="AB1199" i="14"/>
  <c r="AO1078" i="14"/>
  <c r="AQ1078" i="14" s="1"/>
  <c r="AS1093" i="14"/>
  <c r="AB1093" i="14"/>
  <c r="AS1199" i="14"/>
  <c r="AS1105" i="14"/>
  <c r="AB1105" i="14"/>
  <c r="AS1078" i="14"/>
  <c r="AB1078" i="14"/>
  <c r="AS1195" i="14"/>
  <c r="AS1053" i="14"/>
  <c r="AS1201" i="14"/>
  <c r="AS1163" i="14"/>
  <c r="AS1115" i="14"/>
  <c r="AS1147" i="14"/>
  <c r="AS1209" i="14"/>
  <c r="AS1035" i="14"/>
  <c r="AS1174" i="14"/>
  <c r="AS1218" i="14"/>
  <c r="AS1031" i="14"/>
  <c r="AS1142" i="14"/>
  <c r="AS1224" i="14"/>
  <c r="AS1182" i="14"/>
  <c r="AS1094" i="14"/>
  <c r="AS1156" i="14"/>
  <c r="AS1051" i="14"/>
  <c r="AS1074" i="14"/>
  <c r="AS1064" i="14"/>
  <c r="AS1037" i="14"/>
  <c r="AS1148" i="14"/>
  <c r="AS1128" i="14"/>
  <c r="AS1025" i="14"/>
  <c r="AS1065" i="14"/>
  <c r="AS1197" i="14"/>
  <c r="AS1155" i="14"/>
  <c r="AS1088" i="14"/>
  <c r="AS1050" i="14"/>
  <c r="AS1098" i="14"/>
  <c r="AS1063" i="14"/>
  <c r="AS1130" i="14"/>
  <c r="AS1028" i="14"/>
  <c r="AS1173" i="14"/>
  <c r="AS1102" i="14"/>
  <c r="AS1092" i="14"/>
  <c r="AS1116" i="14"/>
  <c r="AS1066" i="14"/>
  <c r="AS1109" i="14"/>
  <c r="AS1202" i="14"/>
  <c r="AS1062" i="14"/>
  <c r="AS1119" i="14"/>
  <c r="AS1111" i="14"/>
  <c r="AS1029" i="14"/>
  <c r="AS1087" i="14"/>
  <c r="AS1212" i="14"/>
  <c r="AS1095" i="14"/>
  <c r="AS1183" i="14"/>
  <c r="AS1104" i="14"/>
  <c r="AS1154" i="14"/>
  <c r="AS1075" i="14"/>
  <c r="AS1171" i="14"/>
  <c r="AS1215" i="14"/>
  <c r="AB1156" i="14"/>
  <c r="AB1209" i="14"/>
  <c r="AB1215" i="14"/>
  <c r="AE1206" i="14"/>
  <c r="AR1206" i="14" s="1"/>
  <c r="AP1181" i="14"/>
  <c r="AS1181" i="14" s="1"/>
  <c r="AE1190" i="14"/>
  <c r="AC1190" i="14" s="1"/>
  <c r="AO1127" i="14"/>
  <c r="AQ1127" i="14" s="1"/>
  <c r="AP1120" i="14"/>
  <c r="AS1120" i="14" s="1"/>
  <c r="AE1081" i="14"/>
  <c r="AC1081" i="14" s="1"/>
  <c r="AB1174" i="14"/>
  <c r="AB1212" i="14"/>
  <c r="AO1188" i="14"/>
  <c r="AR1188" i="14" s="1"/>
  <c r="BN1188" i="14" s="1"/>
  <c r="AB1173" i="14"/>
  <c r="AE1212" i="14"/>
  <c r="AC1212" i="14" s="1"/>
  <c r="AB1050" i="14"/>
  <c r="AE1091" i="14"/>
  <c r="AC1091" i="14" s="1"/>
  <c r="AB1063" i="14"/>
  <c r="AE1033" i="14"/>
  <c r="AC1033" i="14" s="1"/>
  <c r="AE1054" i="14"/>
  <c r="AC1054" i="14" s="1"/>
  <c r="AE1191" i="14"/>
  <c r="AC1191" i="14" s="1"/>
  <c r="AP1103" i="14"/>
  <c r="AS1103" i="14" s="1"/>
  <c r="AB1155" i="14"/>
  <c r="AB1152" i="14"/>
  <c r="AB1171" i="14"/>
  <c r="AB1219" i="14"/>
  <c r="AE1187" i="14"/>
  <c r="AC1187" i="14" s="1"/>
  <c r="AB1147" i="14"/>
  <c r="AP1186" i="14"/>
  <c r="AS1186" i="14" s="1"/>
  <c r="AB1192" i="14"/>
  <c r="AB1104" i="14"/>
  <c r="AB1055" i="14"/>
  <c r="AB1200" i="14"/>
  <c r="AE1196" i="14"/>
  <c r="AC1196" i="14" s="1"/>
  <c r="AB1119" i="14"/>
  <c r="AB1160" i="14"/>
  <c r="AB1195" i="14"/>
  <c r="AB1128" i="14"/>
  <c r="AB1164" i="14"/>
  <c r="AB1065" i="14"/>
  <c r="AB1037" i="14"/>
  <c r="AB1071" i="14"/>
  <c r="AB1035" i="14"/>
  <c r="AE1135" i="14"/>
  <c r="AC1135" i="14" s="1"/>
  <c r="AE1184" i="14"/>
  <c r="AC1184" i="14" s="1"/>
  <c r="AB1197" i="14"/>
  <c r="AB1163" i="14"/>
  <c r="AB1087" i="14"/>
  <c r="AB1115" i="14"/>
  <c r="AP1110" i="14"/>
  <c r="AS1110" i="14" s="1"/>
  <c r="AB1224" i="14"/>
  <c r="AO1203" i="14"/>
  <c r="AQ1203" i="14" s="1"/>
  <c r="AB1142" i="14"/>
  <c r="AB1124" i="14"/>
  <c r="AP1060" i="14"/>
  <c r="AS1060" i="14" s="1"/>
  <c r="AO1032" i="14"/>
  <c r="AQ1032" i="14" s="1"/>
  <c r="AP1122" i="14"/>
  <c r="AS1122" i="14" s="1"/>
  <c r="AE1189" i="14"/>
  <c r="AC1189" i="14" s="1"/>
  <c r="AB1102" i="14"/>
  <c r="AB1182" i="14"/>
  <c r="AB1031" i="14"/>
  <c r="AE1097" i="14"/>
  <c r="AC1097" i="14" s="1"/>
  <c r="AB1134" i="14"/>
  <c r="AB1029" i="14"/>
  <c r="AP1206" i="14"/>
  <c r="AS1206" i="14" s="1"/>
  <c r="AB1172" i="14"/>
  <c r="AB1159" i="14"/>
  <c r="AB1074" i="14"/>
  <c r="AB1060" i="14"/>
  <c r="AB1066" i="14"/>
  <c r="AB1154" i="14"/>
  <c r="AO1065" i="14"/>
  <c r="AR1065" i="14" s="1"/>
  <c r="AE1185" i="14"/>
  <c r="AC1185" i="14" s="1"/>
  <c r="AO1140" i="14"/>
  <c r="AR1140" i="14" s="1"/>
  <c r="AB1062" i="14"/>
  <c r="AE1036" i="14"/>
  <c r="AC1036" i="14" s="1"/>
  <c r="AO1052" i="14"/>
  <c r="AR1052" i="14" s="1"/>
  <c r="BN1052" i="14" s="1"/>
  <c r="AO1167" i="14"/>
  <c r="AQ1167" i="14" s="1"/>
  <c r="AP1057" i="14"/>
  <c r="AS1057" i="14" s="1"/>
  <c r="AO1117" i="14"/>
  <c r="AR1117" i="14" s="1"/>
  <c r="BN1117" i="14" s="1"/>
  <c r="AB1098" i="14"/>
  <c r="AP1083" i="14"/>
  <c r="AS1083" i="14" s="1"/>
  <c r="AB1075" i="14"/>
  <c r="AB1025" i="14"/>
  <c r="AB1148" i="14"/>
  <c r="AB1161" i="14"/>
  <c r="AP1208" i="14"/>
  <c r="AS1208" i="14" s="1"/>
  <c r="AP1118" i="14"/>
  <c r="AS1118" i="14" s="1"/>
  <c r="AO1049" i="14"/>
  <c r="AQ1049" i="14" s="1"/>
  <c r="AB1116" i="14"/>
  <c r="AP1180" i="14"/>
  <c r="AS1180" i="14" s="1"/>
  <c r="AB1034" i="14"/>
  <c r="AB1048" i="14"/>
  <c r="AB1165" i="14"/>
  <c r="AB1202" i="14"/>
  <c r="AB1180" i="14"/>
  <c r="AB1201" i="14"/>
  <c r="AB1069" i="14"/>
  <c r="AB1040" i="14"/>
  <c r="AB1118" i="14"/>
  <c r="AP1045" i="14"/>
  <c r="AS1045" i="14" s="1"/>
  <c r="AP1072" i="14"/>
  <c r="AS1072" i="14" s="1"/>
  <c r="AE1151" i="14"/>
  <c r="AC1151" i="14" s="1"/>
  <c r="AB1110" i="14"/>
  <c r="AB1217" i="14"/>
  <c r="AB1051" i="14"/>
  <c r="AE1122" i="14"/>
  <c r="AC1122" i="14" s="1"/>
  <c r="AB1053" i="14"/>
  <c r="AB1129" i="14"/>
  <c r="AE1198" i="14"/>
  <c r="AC1198" i="14" s="1"/>
  <c r="AB1028" i="14"/>
  <c r="AE1174" i="14"/>
  <c r="AC1174" i="14" s="1"/>
  <c r="AB1111" i="14"/>
  <c r="AB1218" i="14"/>
  <c r="AO1094" i="14"/>
  <c r="AR1094" i="14" s="1"/>
  <c r="AE1114" i="14"/>
  <c r="AC1114" i="14" s="1"/>
  <c r="AP1217" i="14"/>
  <c r="AS1217" i="14" s="1"/>
  <c r="AB1064" i="14"/>
  <c r="AB1088" i="14"/>
  <c r="AB1109" i="14"/>
  <c r="AE1031" i="14"/>
  <c r="AC1031" i="14" s="1"/>
  <c r="AP1096" i="14"/>
  <c r="AS1096" i="14" s="1"/>
  <c r="AB1137" i="14"/>
  <c r="AE1025" i="14"/>
  <c r="AC1025" i="14" s="1"/>
  <c r="AP1198" i="14"/>
  <c r="AS1198" i="14" s="1"/>
  <c r="AO1208" i="14"/>
  <c r="AB1094" i="14"/>
  <c r="AB1183" i="14"/>
  <c r="AP1140" i="14"/>
  <c r="AS1140" i="14" s="1"/>
  <c r="AB1095" i="14"/>
  <c r="AE1096" i="14"/>
  <c r="AC1096" i="14" s="1"/>
  <c r="AB1092" i="14"/>
  <c r="AP1161" i="14"/>
  <c r="AS1161" i="14" s="1"/>
  <c r="AB1130" i="14"/>
  <c r="AB1057" i="14"/>
  <c r="AR1130" i="14"/>
  <c r="AR1194" i="14"/>
  <c r="BN1194" i="14" s="1"/>
  <c r="AR1077" i="14"/>
  <c r="AR1101" i="14"/>
  <c r="BN1101" i="14" s="1"/>
  <c r="AR1160" i="14"/>
  <c r="BN1160" i="14" s="1"/>
  <c r="AR1204" i="14"/>
  <c r="BN1204" i="14" s="1"/>
  <c r="AR1164" i="14"/>
  <c r="BN1164" i="14" s="1"/>
  <c r="AR1132" i="14"/>
  <c r="BN1132" i="14" s="1"/>
  <c r="AQ1190" i="14"/>
  <c r="AR1082" i="14"/>
  <c r="BN1082" i="14" s="1"/>
  <c r="AQ1030" i="14"/>
  <c r="AR1158" i="14"/>
  <c r="BN1158" i="14" s="1"/>
  <c r="AR1110" i="14"/>
  <c r="AR1155" i="14"/>
  <c r="AR1205" i="14"/>
  <c r="BN1205" i="14" s="1"/>
  <c r="AR1220" i="14"/>
  <c r="AR1216" i="14"/>
  <c r="BN1216" i="14" s="1"/>
  <c r="AR1223" i="14"/>
  <c r="AR1165" i="14"/>
  <c r="BN1165" i="14" s="1"/>
  <c r="AR1046" i="14"/>
  <c r="BN1046" i="14" s="1"/>
  <c r="AQ1041" i="14"/>
  <c r="AR1028" i="14"/>
  <c r="AR1098" i="14"/>
  <c r="AR1034" i="14"/>
  <c r="BN1034" i="14" s="1"/>
  <c r="AR1119" i="14"/>
  <c r="AR1124" i="14"/>
  <c r="BN1124" i="14" s="1"/>
  <c r="AR1026" i="14"/>
  <c r="BN1026" i="14" s="1"/>
  <c r="AR1118" i="14"/>
  <c r="AR1099" i="14"/>
  <c r="BN1099" i="14" s="1"/>
  <c r="AR1129" i="14"/>
  <c r="BN1129" i="14" s="1"/>
  <c r="AR1057" i="14"/>
  <c r="AR1116" i="14"/>
  <c r="AR1047" i="14"/>
  <c r="BN1047" i="14" s="1"/>
  <c r="AR1064" i="14"/>
  <c r="AR1207" i="14"/>
  <c r="BN1207" i="14" s="1"/>
  <c r="AR1202" i="14"/>
  <c r="AR1175" i="14"/>
  <c r="BN1175" i="14" s="1"/>
  <c r="AR1152" i="14"/>
  <c r="BN1152" i="14" s="1"/>
  <c r="AR1073" i="14"/>
  <c r="BN1073" i="14" s="1"/>
  <c r="AR1087" i="14"/>
  <c r="AR1111" i="14"/>
  <c r="AR1150" i="14"/>
  <c r="BN1150" i="14" s="1"/>
  <c r="AR1086" i="14"/>
  <c r="BN1086" i="14" s="1"/>
  <c r="AR1209" i="14"/>
  <c r="AR1143" i="14"/>
  <c r="BN1143" i="14" s="1"/>
  <c r="AR1040" i="14"/>
  <c r="BN1040" i="14" s="1"/>
  <c r="AR1071" i="14"/>
  <c r="BN1071" i="14" s="1"/>
  <c r="AR1045" i="14"/>
  <c r="AR1137" i="14"/>
  <c r="AR1148" i="14"/>
  <c r="AR1063" i="14"/>
  <c r="AR1050" i="14"/>
  <c r="AR1067" i="14"/>
  <c r="AR1168" i="14"/>
  <c r="BN1168" i="14" s="1"/>
  <c r="AR1100" i="14"/>
  <c r="BN1100" i="14" s="1"/>
  <c r="AR1039" i="14"/>
  <c r="BN1039" i="14" s="1"/>
  <c r="AR1070" i="14"/>
  <c r="AR1056" i="14"/>
  <c r="BN1056" i="14" s="1"/>
  <c r="AR1092" i="14"/>
  <c r="AR1068" i="14"/>
  <c r="BN1068" i="14" s="1"/>
  <c r="AR1178" i="14"/>
  <c r="AR1217" i="14"/>
  <c r="AR1154" i="14"/>
  <c r="AR1162" i="14"/>
  <c r="BN1162" i="14" s="1"/>
  <c r="AR1176" i="14"/>
  <c r="BN1176" i="14" s="1"/>
  <c r="AR1200" i="14"/>
  <c r="BN1200" i="14" s="1"/>
  <c r="AR1173" i="14"/>
  <c r="AR1085" i="14"/>
  <c r="BN1085" i="14" s="1"/>
  <c r="AR1121" i="14"/>
  <c r="AR1136" i="14"/>
  <c r="AR1213" i="14"/>
  <c r="BN1213" i="14" s="1"/>
  <c r="AR1108" i="14"/>
  <c r="BN1108" i="14" s="1"/>
  <c r="AR1222" i="14"/>
  <c r="AR1153" i="14"/>
  <c r="AR1029" i="14"/>
  <c r="AR1080" i="14"/>
  <c r="BN1080" i="14" s="1"/>
  <c r="AR1211" i="14"/>
  <c r="BN1211" i="14" s="1"/>
  <c r="AR1042" i="14"/>
  <c r="BN1042" i="14" s="1"/>
  <c r="AR1171" i="14"/>
  <c r="AR1075" i="14"/>
  <c r="AR1084" i="14"/>
  <c r="BN1084" i="14" s="1"/>
  <c r="AR1120" i="14"/>
  <c r="AR1112" i="14"/>
  <c r="BN1112" i="14" s="1"/>
  <c r="AR1102" i="14"/>
  <c r="AR1059" i="14"/>
  <c r="BN1059" i="14" s="1"/>
  <c r="AR1115" i="14"/>
  <c r="AR1224" i="14"/>
  <c r="AR1219" i="14"/>
  <c r="BN1219" i="14" s="1"/>
  <c r="AR1181" i="14"/>
  <c r="AR1095" i="14"/>
  <c r="AR1201" i="14"/>
  <c r="AR1147" i="14"/>
  <c r="AR1146" i="14"/>
  <c r="BN1146" i="14" s="1"/>
  <c r="AR1051" i="14"/>
  <c r="AR1058" i="14"/>
  <c r="AR1037" i="14"/>
  <c r="AR1144" i="14"/>
  <c r="BN1144" i="14" s="1"/>
  <c r="AR1195" i="14"/>
  <c r="AR1179" i="14"/>
  <c r="BN1179" i="14" s="1"/>
  <c r="AR1142" i="14"/>
  <c r="AR1074" i="14"/>
  <c r="AR1161" i="14"/>
  <c r="AR1083" i="14"/>
  <c r="AR1061" i="14"/>
  <c r="BN1061" i="14" s="1"/>
  <c r="AR1215" i="14"/>
  <c r="AR1128" i="14"/>
  <c r="AR1066" i="14"/>
  <c r="AR1169" i="14"/>
  <c r="BN1169" i="14" s="1"/>
  <c r="AR1141" i="14"/>
  <c r="BN1141" i="14" s="1"/>
  <c r="AR1159" i="14"/>
  <c r="BN1159" i="14" s="1"/>
  <c r="AR1093" i="14"/>
  <c r="AR1035" i="14"/>
  <c r="AR1193" i="14"/>
  <c r="AR1197" i="14"/>
  <c r="AR1030" i="14"/>
  <c r="BN1030" i="14" s="1"/>
  <c r="AR1156" i="14"/>
  <c r="AR1103" i="14"/>
  <c r="AR1192" i="14"/>
  <c r="BN1192" i="14" s="1"/>
  <c r="AR1157" i="14"/>
  <c r="BN1157" i="14" s="1"/>
  <c r="AR1072" i="14"/>
  <c r="AR1107" i="14"/>
  <c r="BN1107" i="14" s="1"/>
  <c r="AR1038" i="14"/>
  <c r="BN1038" i="14" s="1"/>
  <c r="AR1186" i="14"/>
  <c r="AR1113" i="14"/>
  <c r="BN1113" i="14" s="1"/>
  <c r="AR1109" i="14"/>
  <c r="AR1088" i="14"/>
  <c r="AR1182" i="14"/>
  <c r="AR1053" i="14"/>
  <c r="AR1133" i="14"/>
  <c r="BN1133" i="14" s="1"/>
  <c r="AR1079" i="14"/>
  <c r="AR1170" i="14"/>
  <c r="BN1170" i="14" s="1"/>
  <c r="AR1166" i="14"/>
  <c r="BN1166" i="14" s="1"/>
  <c r="AR1055" i="14"/>
  <c r="BN1055" i="14" s="1"/>
  <c r="AR1163" i="14"/>
  <c r="AR1060" i="14"/>
  <c r="AR1041" i="14"/>
  <c r="BN1041" i="14" s="1"/>
  <c r="AR1089" i="14"/>
  <c r="BN1089" i="14" s="1"/>
  <c r="AR1104" i="14"/>
  <c r="AR1105" i="14"/>
  <c r="AR1139" i="14"/>
  <c r="BN1139" i="14" s="1"/>
  <c r="AR1180" i="14"/>
  <c r="AR1218" i="14"/>
  <c r="AR1177" i="14"/>
  <c r="BN1177" i="14" s="1"/>
  <c r="AR1210" i="14"/>
  <c r="BN1210" i="14" s="1"/>
  <c r="AR1183" i="14"/>
  <c r="AR1062" i="14"/>
  <c r="AR1125" i="14"/>
  <c r="BN1125" i="14" s="1"/>
  <c r="AR1134" i="14"/>
  <c r="BN1134" i="14" s="1"/>
  <c r="AR1149" i="14"/>
  <c r="BN1149" i="14" s="1"/>
  <c r="AR1106" i="14"/>
  <c r="AR1069" i="14"/>
  <c r="BN1069" i="14" s="1"/>
  <c r="AR1126" i="14"/>
  <c r="BN1126" i="14" s="1"/>
  <c r="AR1123" i="14"/>
  <c r="BN1123" i="14" s="1"/>
  <c r="AR1172" i="14"/>
  <c r="BN1172" i="14" s="1"/>
  <c r="AR1199" i="14"/>
  <c r="AR1138" i="14"/>
  <c r="BN1138" i="14" s="1"/>
  <c r="AR1043" i="14"/>
  <c r="BN1043" i="14" s="1"/>
  <c r="AR1027" i="14"/>
  <c r="BN1027" i="14" s="1"/>
  <c r="AR1090" i="14"/>
  <c r="BN1090" i="14" s="1"/>
  <c r="AR1048" i="14"/>
  <c r="BN1048" i="14" s="1"/>
  <c r="AR1145" i="14"/>
  <c r="BN1145" i="14" s="1"/>
  <c r="AQ1070" i="14"/>
  <c r="AQ1224" i="14"/>
  <c r="AQ1055" i="14"/>
  <c r="AQ1137" i="14"/>
  <c r="AQ1126" i="14"/>
  <c r="AQ1036" i="14"/>
  <c r="AQ1216" i="14"/>
  <c r="AQ1119" i="14"/>
  <c r="AQ1143" i="14"/>
  <c r="AQ1040" i="14"/>
  <c r="AQ1174" i="14"/>
  <c r="AC1136" i="14"/>
  <c r="AQ1089" i="14"/>
  <c r="AQ1155" i="14"/>
  <c r="AQ1204" i="14"/>
  <c r="AQ1095" i="14"/>
  <c r="AC1103" i="14"/>
  <c r="AQ1046" i="14"/>
  <c r="AQ1205" i="14"/>
  <c r="AQ1160" i="14"/>
  <c r="AQ1165" i="14"/>
  <c r="AC1089" i="14"/>
  <c r="AQ1124" i="14"/>
  <c r="AQ1135" i="14"/>
  <c r="AQ1195" i="14"/>
  <c r="AC1026" i="14"/>
  <c r="AQ1085" i="14"/>
  <c r="AQ1062" i="14"/>
  <c r="AQ1207" i="14"/>
  <c r="AQ1108" i="14"/>
  <c r="AQ1058" i="14"/>
  <c r="AQ1209" i="14"/>
  <c r="AQ1168" i="14"/>
  <c r="AC1055" i="14"/>
  <c r="AQ1187" i="14"/>
  <c r="AQ1115" i="14"/>
  <c r="AC1063" i="14"/>
  <c r="AQ1071" i="14"/>
  <c r="AQ1082" i="14"/>
  <c r="AQ1141" i="14"/>
  <c r="AQ1037" i="14"/>
  <c r="AQ1097" i="14"/>
  <c r="AC1065" i="14"/>
  <c r="AQ1091" i="14"/>
  <c r="AQ1105" i="14"/>
  <c r="AQ1059" i="14"/>
  <c r="AQ1042" i="14"/>
  <c r="AC1213" i="14"/>
  <c r="AQ1125" i="14"/>
  <c r="AQ1142" i="14"/>
  <c r="AQ1146" i="14"/>
  <c r="AC1110" i="14"/>
  <c r="AQ1114" i="14"/>
  <c r="AQ1184" i="14"/>
  <c r="AQ1026" i="14"/>
  <c r="AQ1177" i="14"/>
  <c r="AQ1179" i="14"/>
  <c r="AC1105" i="14"/>
  <c r="AQ1145" i="14"/>
  <c r="AQ1029" i="14"/>
  <c r="AQ1092" i="14"/>
  <c r="AQ1077" i="14"/>
  <c r="AQ1081" i="14"/>
  <c r="AQ1064" i="14"/>
  <c r="AQ1068" i="14"/>
  <c r="AQ1101" i="14"/>
  <c r="AQ1132" i="14"/>
  <c r="AQ1100" i="14"/>
  <c r="AQ1123" i="14"/>
  <c r="AQ1202" i="14"/>
  <c r="AQ1031" i="14"/>
  <c r="AQ1194" i="14"/>
  <c r="AQ1129" i="14"/>
  <c r="AC1126" i="14"/>
  <c r="AC1053" i="14"/>
  <c r="AQ1035" i="14"/>
  <c r="AQ1044" i="14"/>
  <c r="AQ1130" i="14"/>
  <c r="AQ1107" i="14"/>
  <c r="AQ1163" i="14"/>
  <c r="AQ1047" i="14"/>
  <c r="AC1171" i="14"/>
  <c r="AQ1025" i="14"/>
  <c r="AQ1038" i="14"/>
  <c r="AQ1183" i="14"/>
  <c r="AQ1033" i="14"/>
  <c r="AQ1201" i="14"/>
  <c r="AQ1133" i="14"/>
  <c r="AC1149" i="14"/>
  <c r="AQ1150" i="14"/>
  <c r="AC1150" i="14"/>
  <c r="AQ1164" i="14"/>
  <c r="AQ1169" i="14"/>
  <c r="AC1164" i="14"/>
  <c r="AQ1153" i="14"/>
  <c r="AQ1211" i="14"/>
  <c r="AQ1196" i="14"/>
  <c r="AQ1027" i="14"/>
  <c r="AC1186" i="14"/>
  <c r="AQ1156" i="14"/>
  <c r="AQ1075" i="14"/>
  <c r="AQ1073" i="14"/>
  <c r="AC1111" i="14"/>
  <c r="AQ1175" i="14"/>
  <c r="AQ1080" i="14"/>
  <c r="AQ1099" i="14"/>
  <c r="AQ1138" i="14"/>
  <c r="AQ1162" i="14"/>
  <c r="AQ1151" i="14"/>
  <c r="AQ1182" i="14"/>
  <c r="AQ1147" i="14"/>
  <c r="AQ1034" i="14"/>
  <c r="AQ1050" i="14"/>
  <c r="AC1028" i="14"/>
  <c r="AC1139" i="14"/>
  <c r="AC1094" i="14"/>
  <c r="AQ1219" i="14"/>
  <c r="AC1035" i="14"/>
  <c r="AQ1088" i="14"/>
  <c r="AC1201" i="14"/>
  <c r="AQ1197" i="14"/>
  <c r="AQ1121" i="14"/>
  <c r="AQ1066" i="14"/>
  <c r="AC1047" i="14"/>
  <c r="AC1200" i="14"/>
  <c r="AQ1087" i="14"/>
  <c r="AQ1061" i="14"/>
  <c r="AQ1054" i="14"/>
  <c r="AC1085" i="14"/>
  <c r="AQ1106" i="14"/>
  <c r="AQ1148" i="14"/>
  <c r="AC1144" i="14"/>
  <c r="AQ1102" i="14"/>
  <c r="AQ1210" i="14"/>
  <c r="AQ1152" i="14"/>
  <c r="AQ1192" i="14"/>
  <c r="AC1049" i="14"/>
  <c r="AQ1084" i="14"/>
  <c r="AC1079" i="14"/>
  <c r="AQ1074" i="14"/>
  <c r="AQ1218" i="14"/>
  <c r="AQ1131" i="14"/>
  <c r="AC1095" i="14"/>
  <c r="AC1090" i="14"/>
  <c r="AC1180" i="14"/>
  <c r="AQ1039" i="14"/>
  <c r="AQ1104" i="14"/>
  <c r="AQ1116" i="14"/>
  <c r="AQ1111" i="14"/>
  <c r="AC1121" i="14"/>
  <c r="AQ1063" i="14"/>
  <c r="AC1080" i="14"/>
  <c r="AQ1086" i="14"/>
  <c r="AC1027" i="14"/>
  <c r="AQ1109" i="14"/>
  <c r="AQ1158" i="14"/>
  <c r="AC1167" i="14"/>
  <c r="AQ1056" i="14"/>
  <c r="AQ1028" i="14"/>
  <c r="AC1125" i="14"/>
  <c r="AC1071" i="14"/>
  <c r="AC1086" i="14"/>
  <c r="AQ1215" i="14"/>
  <c r="AC1066" i="14"/>
  <c r="AC1108" i="14"/>
  <c r="AC1156" i="14"/>
  <c r="AC1147" i="14"/>
  <c r="AQ1173" i="14"/>
  <c r="AC1165" i="14"/>
  <c r="AC1073" i="14"/>
  <c r="AC1058" i="14"/>
  <c r="AC1042" i="14"/>
  <c r="AQ1128" i="14"/>
  <c r="AQ1139" i="14"/>
  <c r="AQ1159" i="14"/>
  <c r="AC1211" i="14"/>
  <c r="AQ1191" i="14"/>
  <c r="AQ1171" i="14"/>
  <c r="AQ1098" i="14"/>
  <c r="AC1069" i="14"/>
  <c r="AQ1213" i="14"/>
  <c r="AC1113" i="14"/>
  <c r="AC1083" i="14"/>
  <c r="AQ1043" i="14"/>
  <c r="AQ1185" i="14"/>
  <c r="AO1225" i="14"/>
  <c r="AC1220" i="14"/>
  <c r="AC1208" i="14"/>
  <c r="AQ1154" i="14"/>
  <c r="AC1129" i="14"/>
  <c r="AC1159" i="14"/>
  <c r="AC1060" i="14"/>
  <c r="AC1172" i="14"/>
  <c r="AC1057" i="14"/>
  <c r="AC1068" i="14"/>
  <c r="AC1194" i="14"/>
  <c r="AC1088" i="14"/>
  <c r="AC1067" i="14"/>
  <c r="AC1163" i="14"/>
  <c r="AC1217" i="14"/>
  <c r="AC1210" i="14"/>
  <c r="AC1043" i="14"/>
  <c r="AC1074" i="14"/>
  <c r="AC1173" i="14"/>
  <c r="AQ1212" i="14"/>
  <c r="AQ1048" i="14"/>
  <c r="AC1040" i="14"/>
  <c r="AQ1149" i="14"/>
  <c r="AC1120" i="14"/>
  <c r="AC1137" i="14"/>
  <c r="AC1127" i="14"/>
  <c r="AC1193" i="14"/>
  <c r="AC1115" i="14"/>
  <c r="AC1030" i="14"/>
  <c r="AQ1157" i="14"/>
  <c r="AC1100" i="14"/>
  <c r="AQ1170" i="14"/>
  <c r="AC1188" i="14"/>
  <c r="AC1160" i="14"/>
  <c r="AC1032" i="14"/>
  <c r="AC1106" i="14"/>
  <c r="AC1092" i="14"/>
  <c r="AC1119" i="14"/>
  <c r="AC1142" i="14"/>
  <c r="AC1056" i="14"/>
  <c r="AC1116" i="14"/>
  <c r="AQ1090" i="14"/>
  <c r="AC1166" i="14"/>
  <c r="AC1204" i="14"/>
  <c r="AC1064" i="14"/>
  <c r="AC1154" i="14"/>
  <c r="AC1101" i="14"/>
  <c r="AC1153" i="14"/>
  <c r="AC1046" i="14"/>
  <c r="AC1050" i="14"/>
  <c r="AC1038" i="14"/>
  <c r="AC1087" i="14"/>
  <c r="AC1218" i="14"/>
  <c r="AC1169" i="14"/>
  <c r="AC1102" i="14"/>
  <c r="AC1145" i="14"/>
  <c r="AC1181" i="14"/>
  <c r="AQ1178" i="14"/>
  <c r="AC1140" i="14"/>
  <c r="AQ1222" i="14"/>
  <c r="AC1059" i="14"/>
  <c r="AQ1093" i="14"/>
  <c r="AC1070" i="14"/>
  <c r="AC1224" i="14"/>
  <c r="AC1132" i="14"/>
  <c r="AC1207" i="14"/>
  <c r="AQ1166" i="14"/>
  <c r="AC1179" i="14"/>
  <c r="AC1072" i="14"/>
  <c r="AC1157" i="14"/>
  <c r="AC1141" i="14"/>
  <c r="AC1161" i="14"/>
  <c r="AQ1134" i="14"/>
  <c r="AC1183" i="14"/>
  <c r="AC1034" i="14"/>
  <c r="AE1225" i="14"/>
  <c r="AB1225" i="14"/>
  <c r="AQ1112" i="14"/>
  <c r="AC1045" i="14"/>
  <c r="AC1077" i="14"/>
  <c r="AC1118" i="14"/>
  <c r="AC1029" i="14"/>
  <c r="AC1130" i="14"/>
  <c r="AQ1176" i="14"/>
  <c r="AC1195" i="14"/>
  <c r="AC1192" i="14"/>
  <c r="AC1084" i="14"/>
  <c r="AC1133" i="14"/>
  <c r="AC1109" i="14"/>
  <c r="AQ1053" i="14"/>
  <c r="AQ1144" i="14"/>
  <c r="AC1128" i="14"/>
  <c r="AQ1051" i="14"/>
  <c r="AC1177" i="14"/>
  <c r="AC1124" i="14"/>
  <c r="AC1158" i="14"/>
  <c r="AQ1076" i="14"/>
  <c r="AC1039" i="14"/>
  <c r="AC1209" i="14"/>
  <c r="AC1093" i="14"/>
  <c r="AC1041" i="14"/>
  <c r="AC1123" i="14"/>
  <c r="AC1037" i="14"/>
  <c r="AQ1200" i="14"/>
  <c r="AC1175" i="14"/>
  <c r="AC1048" i="14"/>
  <c r="AC1051" i="14"/>
  <c r="AC1148" i="14"/>
  <c r="AC1182" i="14"/>
  <c r="AQ1199" i="14"/>
  <c r="AC1162" i="14"/>
  <c r="AC1146" i="14"/>
  <c r="AQ1172" i="14"/>
  <c r="AC1176" i="14"/>
  <c r="AC1112" i="14"/>
  <c r="AC1117" i="14"/>
  <c r="AC1152" i="14"/>
  <c r="AC1098" i="14"/>
  <c r="AC1078" i="14"/>
  <c r="AC1170" i="14"/>
  <c r="AC1197" i="14"/>
  <c r="AC1062" i="14"/>
  <c r="AC1061" i="14"/>
  <c r="AQ1069" i="14"/>
  <c r="AC1099" i="14"/>
  <c r="AC1104" i="14"/>
  <c r="AC1199" i="14"/>
  <c r="AC1178" i="14"/>
  <c r="AC1052" i="14"/>
  <c r="AC1219" i="14"/>
  <c r="AC1222" i="14"/>
  <c r="AP1225" i="14"/>
  <c r="AS1225" i="14" s="1"/>
  <c r="AQ1113" i="14"/>
  <c r="AC1143" i="14"/>
  <c r="AC1203" i="14"/>
  <c r="AC1107" i="14"/>
  <c r="AC1202" i="14"/>
  <c r="AC1075" i="14"/>
  <c r="AC1215" i="14"/>
  <c r="AC1138" i="14"/>
  <c r="AC1223" i="14"/>
  <c r="AC1082" i="14"/>
  <c r="AQ1189" i="14"/>
  <c r="AC1155" i="14"/>
  <c r="AC1134" i="14"/>
  <c r="AC1216" i="14"/>
  <c r="AQ1223" i="14" l="1"/>
  <c r="BN1223" i="14"/>
  <c r="AQ1193" i="14"/>
  <c r="BN1193" i="14"/>
  <c r="AQ1220" i="14"/>
  <c r="BN1220" i="14"/>
  <c r="BN1106" i="14"/>
  <c r="BN1079" i="14"/>
  <c r="BN1178" i="14"/>
  <c r="BN1058" i="14"/>
  <c r="BN1121" i="14"/>
  <c r="AR1078" i="14"/>
  <c r="BN1078" i="14" s="1"/>
  <c r="AR1221" i="14"/>
  <c r="BN1221" i="14" s="1"/>
  <c r="AR1076" i="14"/>
  <c r="BN1076" i="14" s="1"/>
  <c r="AR1131" i="14"/>
  <c r="BN1131" i="14" s="1"/>
  <c r="AR1044" i="14"/>
  <c r="BN1044" i="14" s="1"/>
  <c r="AR1214" i="14"/>
  <c r="BN1214" i="14" s="1"/>
  <c r="BN1153" i="14"/>
  <c r="AQ1067" i="14"/>
  <c r="BN1067" i="14"/>
  <c r="BN1070" i="14"/>
  <c r="AQ1221" i="14"/>
  <c r="BN1222" i="14"/>
  <c r="AQ1136" i="14"/>
  <c r="BN1136" i="14"/>
  <c r="AQ1214" i="14"/>
  <c r="BN1051" i="14"/>
  <c r="BN1077" i="14"/>
  <c r="BN1093" i="14"/>
  <c r="BN1137" i="14"/>
  <c r="BN1199" i="14"/>
  <c r="BN1105" i="14"/>
  <c r="BN1195" i="14"/>
  <c r="BN1201" i="14"/>
  <c r="BN1053" i="14"/>
  <c r="BN1163" i="14"/>
  <c r="BN1209" i="14"/>
  <c r="BN1115" i="14"/>
  <c r="BN1142" i="14"/>
  <c r="BN1035" i="14"/>
  <c r="BN1147" i="14"/>
  <c r="BN1130" i="14"/>
  <c r="BN1183" i="14"/>
  <c r="BN1218" i="14"/>
  <c r="BN1037" i="14"/>
  <c r="BN1182" i="14"/>
  <c r="AR1114" i="14"/>
  <c r="BN1114" i="14" s="1"/>
  <c r="BN1092" i="14"/>
  <c r="BN1156" i="14"/>
  <c r="BN1224" i="14"/>
  <c r="AR1036" i="14"/>
  <c r="BN1036" i="14" s="1"/>
  <c r="BN1094" i="14"/>
  <c r="BN1148" i="14"/>
  <c r="AR1135" i="14"/>
  <c r="BN1135" i="14" s="1"/>
  <c r="AR1054" i="14"/>
  <c r="BN1054" i="14" s="1"/>
  <c r="BN1065" i="14"/>
  <c r="BN1116" i="14"/>
  <c r="AR1025" i="14"/>
  <c r="BN1025" i="14" s="1"/>
  <c r="BN1029" i="14"/>
  <c r="BN1064" i="14"/>
  <c r="BN1074" i="14"/>
  <c r="BN1095" i="14"/>
  <c r="BN1102" i="14"/>
  <c r="BN1128" i="14"/>
  <c r="AR1174" i="14"/>
  <c r="BN1174" i="14" s="1"/>
  <c r="BN1173" i="14"/>
  <c r="BN1154" i="14"/>
  <c r="BN1066" i="14"/>
  <c r="BN1098" i="14"/>
  <c r="AR1081" i="14"/>
  <c r="BN1081" i="14" s="1"/>
  <c r="BN1050" i="14"/>
  <c r="BN1088" i="14"/>
  <c r="BN1215" i="14"/>
  <c r="AR1185" i="14"/>
  <c r="BN1185" i="14" s="1"/>
  <c r="AR1189" i="14"/>
  <c r="BN1189" i="14" s="1"/>
  <c r="BN1062" i="14"/>
  <c r="AR1196" i="14"/>
  <c r="BN1196" i="14" s="1"/>
  <c r="BN1197" i="14"/>
  <c r="BN1028" i="14"/>
  <c r="AC1206" i="14"/>
  <c r="BN1109" i="14"/>
  <c r="AR1096" i="14"/>
  <c r="BN1096" i="14" s="1"/>
  <c r="AR1097" i="14"/>
  <c r="BN1097" i="14" s="1"/>
  <c r="BN1111" i="14"/>
  <c r="AR1212" i="14"/>
  <c r="BN1212" i="14" s="1"/>
  <c r="AR1191" i="14"/>
  <c r="BN1191" i="14" s="1"/>
  <c r="BN1063" i="14"/>
  <c r="BN1087" i="14"/>
  <c r="AR1184" i="14"/>
  <c r="BN1184" i="14" s="1"/>
  <c r="AR1091" i="14"/>
  <c r="BN1091" i="14" s="1"/>
  <c r="AR1198" i="14"/>
  <c r="BN1198" i="14" s="1"/>
  <c r="BN1075" i="14"/>
  <c r="BN1202" i="14"/>
  <c r="BN1119" i="14"/>
  <c r="BN1155" i="14"/>
  <c r="AR1122" i="14"/>
  <c r="BN1122" i="14" s="1"/>
  <c r="BN1104" i="14"/>
  <c r="BN1171" i="14"/>
  <c r="AR1031" i="14"/>
  <c r="BN1031" i="14" s="1"/>
  <c r="AR1033" i="14"/>
  <c r="BN1033" i="14" s="1"/>
  <c r="AR1190" i="14"/>
  <c r="BN1190" i="14" s="1"/>
  <c r="AQ1181" i="14"/>
  <c r="AR1187" i="14"/>
  <c r="BN1187" i="14" s="1"/>
  <c r="AR1151" i="14"/>
  <c r="BN1151" i="14" s="1"/>
  <c r="AR1127" i="14"/>
  <c r="BN1127" i="14" s="1"/>
  <c r="BN1181" i="14"/>
  <c r="BN1120" i="14"/>
  <c r="AQ1120" i="14"/>
  <c r="BN1060" i="14"/>
  <c r="AR1167" i="14"/>
  <c r="BN1167" i="14" s="1"/>
  <c r="AQ1188" i="14"/>
  <c r="BN1103" i="14"/>
  <c r="AQ1103" i="14"/>
  <c r="AQ1186" i="14"/>
  <c r="BN1186" i="14"/>
  <c r="AQ1206" i="14"/>
  <c r="AQ1110" i="14"/>
  <c r="BN1110" i="14"/>
  <c r="AR1203" i="14"/>
  <c r="BN1203" i="14" s="1"/>
  <c r="AR1032" i="14"/>
  <c r="BN1032" i="14" s="1"/>
  <c r="AQ1060" i="14"/>
  <c r="AQ1122" i="14"/>
  <c r="AQ1052" i="14"/>
  <c r="BN1206" i="14"/>
  <c r="AQ1065" i="14"/>
  <c r="AQ1057" i="14"/>
  <c r="AQ1072" i="14"/>
  <c r="AQ1117" i="14"/>
  <c r="AQ1083" i="14"/>
  <c r="BN1083" i="14"/>
  <c r="BN1057" i="14"/>
  <c r="AQ1208" i="14"/>
  <c r="AR1049" i="14"/>
  <c r="BN1049" i="14" s="1"/>
  <c r="AQ1180" i="14"/>
  <c r="BN1180" i="14"/>
  <c r="BN1118" i="14"/>
  <c r="AQ1118" i="14"/>
  <c r="AQ1045" i="14"/>
  <c r="BN1045" i="14"/>
  <c r="BN1072" i="14"/>
  <c r="AQ1094" i="14"/>
  <c r="AQ1217" i="14"/>
  <c r="BN1217" i="14"/>
  <c r="AQ1096" i="14"/>
  <c r="AQ1140" i="14"/>
  <c r="AR1208" i="14"/>
  <c r="BN1208" i="14" s="1"/>
  <c r="BN1140" i="14"/>
  <c r="AQ1198" i="14"/>
  <c r="AQ1161" i="14"/>
  <c r="BN1161" i="14"/>
  <c r="AR1225" i="14"/>
  <c r="BN1225" i="14" s="1"/>
  <c r="AQ1225" i="14"/>
  <c r="AC1225" i="14"/>
  <c r="U3" i="14"/>
  <c r="G197" i="7" l="1" a="1"/>
  <c r="G197" i="7" s="1"/>
  <c r="G200" i="7" a="1"/>
  <c r="G200" i="7" s="1"/>
  <c r="G199" i="7" a="1"/>
  <c r="G199" i="7" s="1"/>
  <c r="G198" i="7" a="1"/>
  <c r="G198" i="7" s="1"/>
  <c r="G201" i="7" a="1"/>
  <c r="G201" i="7" s="1"/>
  <c r="M1361" i="14"/>
  <c r="M1290" i="14"/>
  <c r="M1363" i="14"/>
  <c r="M1416" i="14"/>
  <c r="M1405" i="14"/>
  <c r="M1379" i="14"/>
  <c r="M1303" i="14"/>
  <c r="M1362" i="14"/>
  <c r="M1356" i="14"/>
  <c r="M1230" i="14"/>
  <c r="M1285" i="14"/>
  <c r="M1413" i="14"/>
  <c r="M1354" i="14"/>
  <c r="M1378" i="14"/>
  <c r="M1328" i="14"/>
  <c r="M1408" i="14"/>
  <c r="M1396" i="14"/>
  <c r="M1280" i="14"/>
  <c r="M1323" i="14"/>
  <c r="M1306" i="14"/>
  <c r="M1284" i="14"/>
  <c r="M1373" i="14"/>
  <c r="M1327" i="14"/>
  <c r="M1318" i="14"/>
  <c r="M1412" i="14"/>
  <c r="M1321" i="14"/>
  <c r="M1311" i="14"/>
  <c r="M1410" i="14"/>
  <c r="M1316" i="14"/>
  <c r="M1380" i="14"/>
  <c r="M1334" i="14"/>
  <c r="M1371" i="14"/>
  <c r="M1325" i="14"/>
  <c r="M1294" i="14"/>
  <c r="M1399" i="14"/>
  <c r="M1388" i="14"/>
  <c r="M1308" i="14"/>
  <c r="M1293" i="14"/>
  <c r="M1253" i="14"/>
  <c r="M1385" i="14"/>
  <c r="M1249" i="14"/>
  <c r="M1288" i="14"/>
  <c r="M1255" i="14"/>
  <c r="M1387" i="14"/>
  <c r="M1376" i="14"/>
  <c r="M1296" i="14"/>
  <c r="M1341" i="14"/>
  <c r="M1348" i="14"/>
  <c r="M1392" i="14"/>
  <c r="M1298" i="14"/>
  <c r="M1421" i="14"/>
  <c r="U6" i="14"/>
  <c r="M1333" i="14"/>
  <c r="M1414" i="14"/>
  <c r="M1349" i="14"/>
  <c r="M1418" i="14"/>
  <c r="M1258" i="14"/>
  <c r="U5" i="14"/>
  <c r="U4" i="14" s="1"/>
  <c r="M1330" i="14"/>
  <c r="M1315" i="14"/>
  <c r="M1299" i="14"/>
  <c r="M1343" i="14"/>
  <c r="M1322" i="14"/>
  <c r="M1359" i="14"/>
  <c r="M1420" i="14"/>
  <c r="M1236" i="14"/>
  <c r="M1244" i="14"/>
  <c r="M1375" i="14"/>
  <c r="M1278" i="14"/>
  <c r="M1287" i="14"/>
  <c r="M1275" i="14"/>
  <c r="M1248" i="14"/>
  <c r="M1314" i="14"/>
  <c r="M1233" i="14"/>
  <c r="M1394" i="14"/>
  <c r="M1382" i="14"/>
  <c r="M1370" i="14"/>
  <c r="U2" i="14"/>
  <c r="AV1361" i="14" s="1"/>
  <c r="M1264" i="14"/>
  <c r="M1261" i="14"/>
  <c r="M1292" i="14"/>
  <c r="M1340" i="14"/>
  <c r="M1279" i="14"/>
  <c r="M1241" i="14"/>
  <c r="M1238" i="14"/>
  <c r="M1331" i="14"/>
  <c r="M1283" i="14"/>
  <c r="M1329" i="14"/>
  <c r="M1317" i="14"/>
  <c r="M1295" i="14"/>
  <c r="M1403" i="14"/>
  <c r="M1276" i="14"/>
  <c r="M1389" i="14"/>
  <c r="M1374" i="14"/>
  <c r="M1304" i="14"/>
  <c r="M1409" i="14"/>
  <c r="M1402" i="14"/>
  <c r="M1271" i="14"/>
  <c r="M1347" i="14"/>
  <c r="M1301" i="14"/>
  <c r="M1235" i="14"/>
  <c r="M1257" i="14"/>
  <c r="M1307" i="14"/>
  <c r="M1417" i="14"/>
  <c r="M1228" i="14"/>
  <c r="M1344" i="14"/>
  <c r="M1372" i="14"/>
  <c r="M1324" i="14"/>
  <c r="M1281" i="14"/>
  <c r="M1384" i="14"/>
  <c r="M1251" i="14"/>
  <c r="M1282" i="14"/>
  <c r="M1415" i="14"/>
  <c r="M1367" i="14"/>
  <c r="M1237" i="14"/>
  <c r="M1332" i="14"/>
  <c r="M1339" i="14"/>
  <c r="M1319" i="14"/>
  <c r="M1381" i="14"/>
  <c r="M1312" i="14"/>
  <c r="M1350" i="14"/>
  <c r="M1338" i="14"/>
  <c r="M1411" i="14"/>
  <c r="M1250" i="14"/>
  <c r="M1246" i="14"/>
  <c r="M1309" i="14"/>
  <c r="M1262" i="14"/>
  <c r="M1266" i="14"/>
  <c r="M1398" i="14"/>
  <c r="M1427" i="14"/>
  <c r="M1252" i="14"/>
  <c r="M1272" i="14"/>
  <c r="M1353" i="14"/>
  <c r="M1260" i="14"/>
  <c r="M1291" i="14"/>
  <c r="M1426" i="14"/>
  <c r="M1366" i="14"/>
  <c r="M1390" i="14"/>
  <c r="M1274" i="14"/>
  <c r="M1336" i="14"/>
  <c r="M1243" i="14"/>
  <c r="M1239" i="14"/>
  <c r="M1229" i="14"/>
  <c r="M1377" i="14"/>
  <c r="M1391" i="14"/>
  <c r="M1267" i="14"/>
  <c r="M1256" i="14"/>
  <c r="M1320" i="14"/>
  <c r="M1401" i="14"/>
  <c r="M1297" i="14"/>
  <c r="M1397" i="14"/>
  <c r="M1254" i="14"/>
  <c r="M1393" i="14"/>
  <c r="M1231" i="14"/>
  <c r="M1346" i="14"/>
  <c r="M1259" i="14"/>
  <c r="M1368" i="14"/>
  <c r="M1300" i="14"/>
  <c r="M1423" i="14"/>
  <c r="M1345" i="14"/>
  <c r="M1313" i="14"/>
  <c r="M1400" i="14"/>
  <c r="M1286" i="14"/>
  <c r="M1289" i="14"/>
  <c r="M1234" i="14"/>
  <c r="M1270" i="14"/>
  <c r="M1351" i="14"/>
  <c r="M1273" i="14"/>
  <c r="M1419" i="14"/>
  <c r="M1358" i="14"/>
  <c r="A1398" i="14"/>
  <c r="A1390" i="14"/>
  <c r="A1406" i="14"/>
  <c r="A1355" i="14"/>
  <c r="A1258" i="14"/>
  <c r="A1382" i="14"/>
  <c r="A1358" i="14"/>
  <c r="A1300" i="14"/>
  <c r="A1320" i="14"/>
  <c r="A1369" i="14"/>
  <c r="A1267" i="14"/>
  <c r="A1405" i="14"/>
  <c r="A1413" i="14"/>
  <c r="A1332" i="14"/>
  <c r="A1367" i="14"/>
  <c r="A1378" i="14"/>
  <c r="A1345" i="14"/>
  <c r="A1324" i="14"/>
  <c r="A1283" i="14"/>
  <c r="A1396" i="14"/>
  <c r="A1325" i="14"/>
  <c r="A1374" i="14"/>
  <c r="A1338" i="14"/>
  <c r="A1282" i="14"/>
  <c r="A1231" i="14"/>
  <c r="A1387" i="14"/>
  <c r="A1295" i="14"/>
  <c r="A1386" i="14"/>
  <c r="A1388" i="14"/>
  <c r="A1349" i="14"/>
  <c r="A1250" i="14"/>
  <c r="A1361" i="14"/>
  <c r="A1240" i="14"/>
  <c r="A1257" i="14"/>
  <c r="A1399" i="14"/>
  <c r="A1275" i="14"/>
  <c r="A1238" i="14"/>
  <c r="A1426" i="14"/>
  <c r="A1401" i="14"/>
  <c r="A1317" i="14"/>
  <c r="A1392" i="14"/>
  <c r="A1384" i="14"/>
  <c r="A1420" i="14"/>
  <c r="A1285" i="14"/>
  <c r="A1309" i="14"/>
  <c r="A1354" i="14"/>
  <c r="A1278" i="14"/>
  <c r="A1379" i="14"/>
  <c r="A1417" i="14"/>
  <c r="A1395" i="14"/>
  <c r="A1385" i="14"/>
  <c r="A1301" i="14"/>
  <c r="A1256" i="14"/>
  <c r="A1372" i="14"/>
  <c r="A1402" i="14"/>
  <c r="A1303" i="14"/>
  <c r="A1265" i="14"/>
  <c r="A1315" i="14"/>
  <c r="A1404" i="14"/>
  <c r="A1415" i="14"/>
  <c r="A1346" i="14"/>
  <c r="A1336" i="14"/>
  <c r="A1308" i="14"/>
  <c r="A1416" i="14"/>
  <c r="A1302" i="14"/>
  <c r="A1350" i="14"/>
  <c r="A1307" i="14"/>
  <c r="A1363" i="14"/>
  <c r="A1389" i="14"/>
  <c r="A1319" i="14"/>
  <c r="A1375" i="14"/>
  <c r="A1243" i="14"/>
  <c r="A1353" i="14"/>
  <c r="A1232" i="14"/>
  <c r="A1272" i="14"/>
  <c r="A1230" i="14"/>
  <c r="A1347" i="14"/>
  <c r="A1330" i="14"/>
  <c r="A1383" i="14"/>
  <c r="A1236" i="14"/>
  <c r="A1297" i="14"/>
  <c r="A1237" i="14"/>
  <c r="A1408" i="14"/>
  <c r="A1328" i="14"/>
  <c r="A1235" i="14"/>
  <c r="A1288" i="14"/>
  <c r="A1247" i="14"/>
  <c r="A1268" i="14"/>
  <c r="A1248" i="14"/>
  <c r="A1356" i="14"/>
  <c r="A1263" i="14"/>
  <c r="A1365" i="14"/>
  <c r="A1241" i="14"/>
  <c r="A1329" i="14"/>
  <c r="A1233" i="14"/>
  <c r="A1314" i="14"/>
  <c r="A1293" i="14"/>
  <c r="A1239" i="14"/>
  <c r="A1290" i="14"/>
  <c r="A1304" i="14"/>
  <c r="A1277" i="14"/>
  <c r="A1394" i="14"/>
  <c r="A1273" i="14"/>
  <c r="A1251" i="14"/>
  <c r="A1373" i="14"/>
  <c r="A1228" i="14"/>
  <c r="A1327" i="14"/>
  <c r="A1296" i="14"/>
  <c r="A1306" i="14"/>
  <c r="A1352" i="14"/>
  <c r="A1311" i="14"/>
  <c r="A1286" i="14"/>
  <c r="A1259" i="14"/>
  <c r="A1339" i="14"/>
  <c r="A1262" i="14"/>
  <c r="A1313" i="14"/>
  <c r="A1357" i="14"/>
  <c r="A1335" i="14"/>
  <c r="A1412" i="14"/>
  <c r="A1366" i="14"/>
  <c r="A1234" i="14"/>
  <c r="A1279" i="14"/>
  <c r="A1340" i="14"/>
  <c r="A1348" i="14"/>
  <c r="A1362" i="14"/>
  <c r="A1414" i="14"/>
  <c r="A1344" i="14"/>
  <c r="A1377" i="14"/>
  <c r="A1276" i="14"/>
  <c r="A1246" i="14"/>
  <c r="A1351" i="14"/>
  <c r="A1371" i="14"/>
  <c r="A1418" i="14"/>
  <c r="A1264" i="14"/>
  <c r="A1370" i="14"/>
  <c r="A1299" i="14"/>
  <c r="A1289" i="14"/>
  <c r="A1245" i="14"/>
  <c r="A1298" i="14"/>
  <c r="A1269" i="14"/>
  <c r="A1255" i="14"/>
  <c r="A1337" i="14"/>
  <c r="A1341" i="14"/>
  <c r="A1380" i="14"/>
  <c r="A1428" i="14"/>
  <c r="A1253" i="14"/>
  <c r="A1323" i="14"/>
  <c r="A1252" i="14"/>
  <c r="A1305" i="14"/>
  <c r="A1381" i="14"/>
  <c r="A1425" i="14"/>
  <c r="A1326" i="14"/>
  <c r="A1271" i="14"/>
  <c r="A1287" i="14"/>
  <c r="A1260" i="14"/>
  <c r="A1403" i="14"/>
  <c r="A1254" i="14"/>
  <c r="A1419" i="14"/>
  <c r="A1244" i="14"/>
  <c r="A1322" i="14"/>
  <c r="A1393" i="14"/>
  <c r="A1333" i="14"/>
  <c r="A1421" i="14"/>
  <c r="A1360" i="14"/>
  <c r="A1261" i="14"/>
  <c r="A1242" i="14"/>
  <c r="A1249" i="14"/>
  <c r="A1397" i="14"/>
  <c r="A1424" i="14"/>
  <c r="A1376" i="14"/>
  <c r="A1266" i="14"/>
  <c r="A1294" i="14"/>
  <c r="A1411" i="14"/>
  <c r="A1422" i="14"/>
  <c r="A1312" i="14"/>
  <c r="A1291" i="14"/>
  <c r="A1368" i="14"/>
  <c r="A1316" i="14"/>
  <c r="A1364" i="14"/>
  <c r="A1292" i="14"/>
  <c r="A1359" i="14"/>
  <c r="A1427" i="14"/>
  <c r="A1407" i="14"/>
  <c r="A1229" i="14"/>
  <c r="A1409" i="14"/>
  <c r="A1331" i="14"/>
  <c r="A1342" i="14"/>
  <c r="A1270" i="14"/>
  <c r="A1274" i="14"/>
  <c r="A1321" i="14"/>
  <c r="A1334" i="14"/>
  <c r="A1423" i="14"/>
  <c r="A1284" i="14"/>
  <c r="A1391" i="14"/>
  <c r="A1280" i="14"/>
  <c r="A1400" i="14"/>
  <c r="A1343" i="14"/>
  <c r="A1281" i="14"/>
  <c r="A1310" i="14"/>
  <c r="A1410" i="14"/>
  <c r="A1318" i="14"/>
  <c r="M1232" i="14"/>
  <c r="M1265" i="14"/>
  <c r="M1383" i="14"/>
  <c r="M1305" i="14"/>
  <c r="M1357" i="14"/>
  <c r="M1269" i="14"/>
  <c r="M1268" i="14"/>
  <c r="M1247" i="14"/>
  <c r="M1365" i="14"/>
  <c r="M1245" i="14"/>
  <c r="M1342" i="14"/>
  <c r="M1277" i="14"/>
  <c r="M1364" i="14"/>
  <c r="M1360" i="14"/>
  <c r="M1355" i="14"/>
  <c r="M1404" i="14"/>
  <c r="M1386" i="14"/>
  <c r="M1395" i="14"/>
  <c r="M1425" i="14"/>
  <c r="M1369" i="14"/>
  <c r="M1337" i="14"/>
  <c r="M1424" i="14"/>
  <c r="M1310" i="14"/>
  <c r="M1326" i="14"/>
  <c r="M1422" i="14"/>
  <c r="M1335" i="14"/>
  <c r="M1302" i="14"/>
  <c r="M1428" i="14"/>
  <c r="M1406" i="14"/>
  <c r="M1352" i="14"/>
  <c r="M1240" i="14"/>
  <c r="M1242" i="14"/>
  <c r="M1407" i="14"/>
  <c r="M1263" i="14"/>
  <c r="AV1357" i="14" l="1"/>
  <c r="AV1254" i="14"/>
  <c r="AV1310" i="14"/>
  <c r="AV1418" i="14"/>
  <c r="AV1322" i="14"/>
  <c r="AV1400" i="14"/>
  <c r="D1400" i="14" s="1"/>
  <c r="AV1383" i="14"/>
  <c r="D1383" i="14" s="1"/>
  <c r="AV1356" i="14"/>
  <c r="AV1260" i="14"/>
  <c r="D1260" i="14" s="1"/>
  <c r="AV1333" i="14"/>
  <c r="AV1342" i="14"/>
  <c r="AV1249" i="14"/>
  <c r="D1249" i="14" s="1"/>
  <c r="AV1247" i="14"/>
  <c r="AV1408" i="14"/>
  <c r="D1408" i="14" s="1"/>
  <c r="AV1336" i="14"/>
  <c r="D1336" i="14" s="1"/>
  <c r="AV1401" i="14"/>
  <c r="D1401" i="14" s="1"/>
  <c r="AV1255" i="14"/>
  <c r="AV1381" i="14"/>
  <c r="D1381" i="14" s="1"/>
  <c r="AV1242" i="14"/>
  <c r="AV1238" i="14"/>
  <c r="D1238" i="14" s="1"/>
  <c r="AV1373" i="14"/>
  <c r="D1373" i="14" s="1"/>
  <c r="AV1406" i="14"/>
  <c r="AV1272" i="14"/>
  <c r="D1272" i="14" s="1"/>
  <c r="AV1412" i="14"/>
  <c r="D1412" i="14" s="1"/>
  <c r="AV1303" i="14"/>
  <c r="AV1306" i="14"/>
  <c r="AV1244" i="14"/>
  <c r="D1244" i="14" s="1"/>
  <c r="AV1264" i="14"/>
  <c r="D1264" i="14" s="1"/>
  <c r="AV1360" i="14"/>
  <c r="D1360" i="14" s="1"/>
  <c r="AV1337" i="14"/>
  <c r="AV1394" i="14"/>
  <c r="AV1397" i="14"/>
  <c r="AV1350" i="14"/>
  <c r="AV1246" i="14"/>
  <c r="D1246" i="14" s="1"/>
  <c r="AV1302" i="14"/>
  <c r="AV1332" i="14"/>
  <c r="D1332" i="14" s="1"/>
  <c r="AV1319" i="14"/>
  <c r="AV1424" i="14"/>
  <c r="D1424" i="14" s="1"/>
  <c r="AV1253" i="14"/>
  <c r="D1253" i="14" s="1"/>
  <c r="AV1279" i="14"/>
  <c r="AV1419" i="14"/>
  <c r="AV1371" i="14"/>
  <c r="AV1393" i="14"/>
  <c r="AV1416" i="14"/>
  <c r="D1416" i="14" s="1"/>
  <c r="AV1366" i="14"/>
  <c r="AV1364" i="14"/>
  <c r="AV1392" i="14"/>
  <c r="AV1396" i="14"/>
  <c r="BP1260" i="14" s="1"/>
  <c r="AV1289" i="14"/>
  <c r="AV1284" i="14"/>
  <c r="D1284" i="14" s="1"/>
  <c r="AV1323" i="14"/>
  <c r="D1323" i="14" s="1"/>
  <c r="AV1410" i="14"/>
  <c r="D1410" i="14" s="1"/>
  <c r="AV1262" i="14"/>
  <c r="AV1428" i="14"/>
  <c r="AV1248" i="14"/>
  <c r="AV1305" i="14"/>
  <c r="D1305" i="14" s="1"/>
  <c r="AV1297" i="14"/>
  <c r="AV1352" i="14"/>
  <c r="AV1354" i="14"/>
  <c r="AV1374" i="14"/>
  <c r="AV1300" i="14"/>
  <c r="AV1343" i="14"/>
  <c r="D1343" i="14" s="1"/>
  <c r="AV1250" i="14"/>
  <c r="D1250" i="14" s="1"/>
  <c r="AV1232" i="14"/>
  <c r="AV1280" i="14"/>
  <c r="AV1256" i="14"/>
  <c r="BP1400" i="14" s="1"/>
  <c r="AV1417" i="14"/>
  <c r="D1417" i="14" s="1"/>
  <c r="AV1266" i="14"/>
  <c r="D1266" i="14" s="1"/>
  <c r="AV1386" i="14"/>
  <c r="AV1230" i="14"/>
  <c r="AV1311" i="14"/>
  <c r="D1311" i="14" s="1"/>
  <c r="AV1385" i="14"/>
  <c r="AV1259" i="14"/>
  <c r="AV1309" i="14"/>
  <c r="AV1233" i="14"/>
  <c r="D1233" i="14" s="1"/>
  <c r="AV1390" i="14"/>
  <c r="AV1228" i="14"/>
  <c r="AV1298" i="14"/>
  <c r="D1298" i="14" s="1"/>
  <c r="AV1292" i="14"/>
  <c r="AV1376" i="14"/>
  <c r="D1376" i="14" s="1"/>
  <c r="AV1399" i="14"/>
  <c r="AV1348" i="14"/>
  <c r="AV1330" i="14"/>
  <c r="AV1316" i="14"/>
  <c r="D1316" i="14" s="1"/>
  <c r="AV1378" i="14"/>
  <c r="D1378" i="14" s="1"/>
  <c r="AV1359" i="14"/>
  <c r="D1359" i="14" s="1"/>
  <c r="AV1314" i="14"/>
  <c r="AV1347" i="14"/>
  <c r="AV1243" i="14"/>
  <c r="D1243" i="14" s="1"/>
  <c r="AV1287" i="14"/>
  <c r="AV1277" i="14"/>
  <c r="D1277" i="14" s="1"/>
  <c r="AV1329" i="14"/>
  <c r="AV1351" i="14"/>
  <c r="AV1335" i="14"/>
  <c r="AV1236" i="14"/>
  <c r="AV1261" i="14"/>
  <c r="AV1296" i="14"/>
  <c r="D1296" i="14" s="1"/>
  <c r="AV1294" i="14"/>
  <c r="D1294" i="14" s="1"/>
  <c r="AV1391" i="14"/>
  <c r="D1391" i="14" s="1"/>
  <c r="AV1377" i="14"/>
  <c r="BP1279" i="14" s="1"/>
  <c r="AV1358" i="14"/>
  <c r="AV1307" i="14"/>
  <c r="AV1341" i="14"/>
  <c r="AV1251" i="14"/>
  <c r="AV1304" i="14"/>
  <c r="AV1420" i="14"/>
  <c r="D1420" i="14" s="1"/>
  <c r="AV1239" i="14"/>
  <c r="D1239" i="14" s="1"/>
  <c r="AV1290" i="14"/>
  <c r="AV1379" i="14"/>
  <c r="D1379" i="14" s="1"/>
  <c r="AV1425" i="14"/>
  <c r="AV1349" i="14"/>
  <c r="D1349" i="14" s="1"/>
  <c r="AV1370" i="14"/>
  <c r="D1370" i="14" s="1"/>
  <c r="AV1334" i="14"/>
  <c r="D1334" i="14" s="1"/>
  <c r="AV1274" i="14"/>
  <c r="AV1328" i="14"/>
  <c r="BP1328" i="14" s="1"/>
  <c r="N1328" i="14" s="1"/>
  <c r="AV1353" i="14"/>
  <c r="BP1303" i="14" s="1"/>
  <c r="AV1389" i="14"/>
  <c r="AV1263" i="14"/>
  <c r="AV1375" i="14"/>
  <c r="D1375" i="14" s="1"/>
  <c r="AV1258" i="14"/>
  <c r="AV1339" i="14"/>
  <c r="D1339" i="14" s="1"/>
  <c r="AV1407" i="14"/>
  <c r="AV1355" i="14"/>
  <c r="D1355" i="14" s="1"/>
  <c r="AV1252" i="14"/>
  <c r="D1252" i="14" s="1"/>
  <c r="AV1273" i="14"/>
  <c r="AV1388" i="14"/>
  <c r="AV1422" i="14"/>
  <c r="D1422" i="14" s="1"/>
  <c r="AV1288" i="14"/>
  <c r="AV1301" i="14"/>
  <c r="AV1363" i="14"/>
  <c r="D1363" i="14" s="1"/>
  <c r="AV1269" i="14"/>
  <c r="D1269" i="14" s="1"/>
  <c r="AV1368" i="14"/>
  <c r="AV1380" i="14"/>
  <c r="D1380" i="14" s="1"/>
  <c r="AV1340" i="14"/>
  <c r="D1340" i="14" s="1"/>
  <c r="AV1338" i="14"/>
  <c r="D1338" i="14" s="1"/>
  <c r="AV1229" i="14"/>
  <c r="AV1241" i="14"/>
  <c r="AV1312" i="14"/>
  <c r="AV1404" i="14"/>
  <c r="AV1395" i="14"/>
  <c r="AV1403" i="14"/>
  <c r="D1403" i="14" s="1"/>
  <c r="AV1413" i="14"/>
  <c r="AV1324" i="14"/>
  <c r="AV1271" i="14"/>
  <c r="AV1313" i="14"/>
  <c r="AV1234" i="14"/>
  <c r="AV1235" i="14"/>
  <c r="D1235" i="14" s="1"/>
  <c r="AV1344" i="14"/>
  <c r="D1344" i="14" s="1"/>
  <c r="AV1345" i="14"/>
  <c r="AV1365" i="14"/>
  <c r="D1365" i="14" s="1"/>
  <c r="AV1382" i="14"/>
  <c r="AV1315" i="14"/>
  <c r="AV1402" i="14"/>
  <c r="AV1362" i="14"/>
  <c r="D1362" i="14" s="1"/>
  <c r="AV1423" i="14"/>
  <c r="AV1411" i="14"/>
  <c r="AV1281" i="14"/>
  <c r="D1281" i="14" s="1"/>
  <c r="AV1267" i="14"/>
  <c r="D1267" i="14" s="1"/>
  <c r="AV1282" i="14"/>
  <c r="D1282" i="14" s="1"/>
  <c r="AV1409" i="14"/>
  <c r="BP1247" i="14" s="1"/>
  <c r="AV1276" i="14"/>
  <c r="AV1237" i="14"/>
  <c r="AV1414" i="14"/>
  <c r="BP1242" i="14" s="1"/>
  <c r="AV1321" i="14"/>
  <c r="AV1427" i="14"/>
  <c r="AV1384" i="14"/>
  <c r="AV1265" i="14"/>
  <c r="D1265" i="14" s="1"/>
  <c r="AV1285" i="14"/>
  <c r="BP1371" i="14" s="1"/>
  <c r="AV1291" i="14"/>
  <c r="D1291" i="14" s="1"/>
  <c r="AV1299" i="14"/>
  <c r="D1299" i="14" s="1"/>
  <c r="AV1317" i="14"/>
  <c r="AV1426" i="14"/>
  <c r="AV1398" i="14"/>
  <c r="AV1367" i="14"/>
  <c r="BP1289" i="14" s="1"/>
  <c r="AV1331" i="14"/>
  <c r="AV1415" i="14"/>
  <c r="AV1421" i="14"/>
  <c r="D1421" i="14" s="1"/>
  <c r="AV1405" i="14"/>
  <c r="AV1326" i="14"/>
  <c r="D1326" i="14" s="1"/>
  <c r="AV1245" i="14"/>
  <c r="D1245" i="14" s="1"/>
  <c r="AV1320" i="14"/>
  <c r="AV1327" i="14"/>
  <c r="D1327" i="14" s="1"/>
  <c r="AV1240" i="14"/>
  <c r="D1240" i="14" s="1"/>
  <c r="AV1346" i="14"/>
  <c r="AV1387" i="14"/>
  <c r="AV1295" i="14"/>
  <c r="D1295" i="14" s="1"/>
  <c r="AV1369" i="14"/>
  <c r="D1369" i="14" s="1"/>
  <c r="AV1231" i="14"/>
  <c r="AV1293" i="14"/>
  <c r="AV1268" i="14"/>
  <c r="AV1308" i="14"/>
  <c r="D1361" i="14"/>
  <c r="AV1286" i="14"/>
  <c r="AV1275" i="14"/>
  <c r="D1275" i="14" s="1"/>
  <c r="AV1318" i="14"/>
  <c r="BP1338" i="14" s="1"/>
  <c r="AV1257" i="14"/>
  <c r="AV1278" i="14"/>
  <c r="AV1270" i="14"/>
  <c r="AV1325" i="14"/>
  <c r="AV1372" i="14"/>
  <c r="AV1283" i="14"/>
  <c r="D1283" i="14" s="1"/>
  <c r="D1254" i="14"/>
  <c r="D1289" i="14"/>
  <c r="D1319" i="14"/>
  <c r="D1300" i="14"/>
  <c r="D1259" i="14"/>
  <c r="D1310" i="14"/>
  <c r="D1247" i="14"/>
  <c r="D1303" i="14"/>
  <c r="D1357" i="14"/>
  <c r="D1306" i="14"/>
  <c r="BP1408" i="14" l="1"/>
  <c r="BP1331" i="14"/>
  <c r="BP1393" i="14"/>
  <c r="BP1378" i="14"/>
  <c r="BP1385" i="14"/>
  <c r="BP1284" i="14"/>
  <c r="BP1264" i="14"/>
  <c r="BP1401" i="14"/>
  <c r="BP1366" i="14"/>
  <c r="BP1233" i="14"/>
  <c r="BP1254" i="14"/>
  <c r="BP1306" i="14"/>
  <c r="BP1424" i="14"/>
  <c r="N1424" i="14" s="1"/>
  <c r="AZ1424" i="14" s="1"/>
  <c r="BP1425" i="14"/>
  <c r="BP1299" i="14"/>
  <c r="BP1347" i="14"/>
  <c r="BP1320" i="14"/>
  <c r="D1309" i="14"/>
  <c r="BP1313" i="14"/>
  <c r="BP1232" i="14"/>
  <c r="N1232" i="14" s="1"/>
  <c r="BL1232" i="14" s="1"/>
  <c r="BP1318" i="14"/>
  <c r="N1338" i="14" s="1"/>
  <c r="T1338" i="14" s="1"/>
  <c r="BP1359" i="14"/>
  <c r="BP1309" i="14"/>
  <c r="N1309" i="14" s="1"/>
  <c r="J1309" i="14" s="1"/>
  <c r="BP1343" i="14"/>
  <c r="BP1266" i="14"/>
  <c r="BP1397" i="14"/>
  <c r="BP1357" i="14"/>
  <c r="N1357" i="14" s="1"/>
  <c r="J1357" i="14" s="1"/>
  <c r="D1320" i="14"/>
  <c r="D1390" i="14"/>
  <c r="BP1276" i="14"/>
  <c r="BP1317" i="14"/>
  <c r="BP1275" i="14"/>
  <c r="BP1356" i="14"/>
  <c r="BP1255" i="14"/>
  <c r="BP1336" i="14"/>
  <c r="D1255" i="14"/>
  <c r="BP1243" i="14"/>
  <c r="BP1419" i="14"/>
  <c r="BP1360" i="14"/>
  <c r="BP1259" i="14"/>
  <c r="BP1300" i="14"/>
  <c r="BP1319" i="14"/>
  <c r="BP1286" i="14"/>
  <c r="BP1282" i="14"/>
  <c r="BP1250" i="14"/>
  <c r="BP1355" i="14"/>
  <c r="BP1349" i="14"/>
  <c r="D1317" i="14"/>
  <c r="BP1310" i="14"/>
  <c r="BP1302" i="14"/>
  <c r="BP1346" i="14"/>
  <c r="BP1229" i="14"/>
  <c r="BP1252" i="14"/>
  <c r="BP1402" i="14"/>
  <c r="N1402" i="14" s="1"/>
  <c r="BM1402" i="14" s="1"/>
  <c r="BP1323" i="14"/>
  <c r="BP1337" i="14"/>
  <c r="BP1388" i="14"/>
  <c r="BP1274" i="14"/>
  <c r="BP1307" i="14"/>
  <c r="BP1251" i="14"/>
  <c r="BP1314" i="14"/>
  <c r="BP1344" i="14"/>
  <c r="BP1377" i="14"/>
  <c r="N1377" i="14" s="1"/>
  <c r="Q1377" i="14" s="1"/>
  <c r="BP1238" i="14"/>
  <c r="BP1409" i="14"/>
  <c r="N1409" i="14" s="1"/>
  <c r="I1409" i="14" s="1"/>
  <c r="D1377" i="14"/>
  <c r="D1409" i="14"/>
  <c r="D1347" i="14"/>
  <c r="D1279" i="14"/>
  <c r="D1418" i="14"/>
  <c r="D1232" i="14"/>
  <c r="BP1329" i="14"/>
  <c r="BP1248" i="14"/>
  <c r="BP1333" i="14"/>
  <c r="BP1350" i="14"/>
  <c r="BP1380" i="14"/>
  <c r="BP1339" i="14"/>
  <c r="BP1353" i="14"/>
  <c r="N1303" i="14" s="1"/>
  <c r="I1303" i="14" s="1"/>
  <c r="BP1406" i="14"/>
  <c r="BP1277" i="14"/>
  <c r="BP1341" i="14"/>
  <c r="BP1386" i="14"/>
  <c r="BP1383" i="14"/>
  <c r="BP1305" i="14"/>
  <c r="BP1392" i="14"/>
  <c r="N1392" i="14" s="1"/>
  <c r="AZ1392" i="14" s="1"/>
  <c r="BP1365" i="14"/>
  <c r="BP1352" i="14"/>
  <c r="BP1363" i="14"/>
  <c r="BP1241" i="14"/>
  <c r="BP1335" i="14"/>
  <c r="BP1364" i="14"/>
  <c r="BP1262" i="14"/>
  <c r="BP1348" i="14"/>
  <c r="BP1272" i="14"/>
  <c r="BP1311" i="14"/>
  <c r="BP1301" i="14"/>
  <c r="BP1246" i="14"/>
  <c r="BP1332" i="14"/>
  <c r="BP1426" i="14"/>
  <c r="BP1412" i="14"/>
  <c r="BP1267" i="14"/>
  <c r="BP1327" i="14"/>
  <c r="BP1316" i="14"/>
  <c r="BP1269" i="14"/>
  <c r="BP1374" i="14"/>
  <c r="BP1403" i="14"/>
  <c r="BP1257" i="14"/>
  <c r="BP1261" i="14"/>
  <c r="BP1368" i="14"/>
  <c r="BP1258" i="14"/>
  <c r="BP1298" i="14"/>
  <c r="BP1428" i="14"/>
  <c r="BP1423" i="14"/>
  <c r="N1423" i="14" s="1"/>
  <c r="BP1372" i="14"/>
  <c r="BP1342" i="14"/>
  <c r="BP1265" i="14"/>
  <c r="BP1249" i="14"/>
  <c r="BP1370" i="14"/>
  <c r="BP1420" i="14"/>
  <c r="BP1326" i="14"/>
  <c r="BP1354" i="14"/>
  <c r="BP1321" i="14"/>
  <c r="BP1308" i="14"/>
  <c r="BP1304" i="14"/>
  <c r="BP1292" i="14"/>
  <c r="BP1270" i="14"/>
  <c r="BP1290" i="14"/>
  <c r="BP1405" i="14"/>
  <c r="BP1325" i="14"/>
  <c r="N1325" i="14" s="1"/>
  <c r="BP1315" i="14"/>
  <c r="BP1263" i="14"/>
  <c r="N1263" i="14" s="1"/>
  <c r="BP1414" i="14"/>
  <c r="N1414" i="14" s="1"/>
  <c r="BP1268" i="14"/>
  <c r="BP1382" i="14"/>
  <c r="BP1369" i="14"/>
  <c r="BP1228" i="14"/>
  <c r="BP1285" i="14"/>
  <c r="N1285" i="14" s="1"/>
  <c r="BP1256" i="14"/>
  <c r="N1256" i="14" s="1"/>
  <c r="BP1415" i="14"/>
  <c r="BP1376" i="14"/>
  <c r="BP1394" i="14"/>
  <c r="BP1237" i="14"/>
  <c r="BP1334" i="14"/>
  <c r="BP1367" i="14"/>
  <c r="N1367" i="14" s="1"/>
  <c r="BP1399" i="14"/>
  <c r="BP1230" i="14"/>
  <c r="BP1427" i="14"/>
  <c r="BP1362" i="14"/>
  <c r="BP1421" i="14"/>
  <c r="BP1404" i="14"/>
  <c r="BP1389" i="14"/>
  <c r="BP1422" i="14"/>
  <c r="BP1231" i="14"/>
  <c r="N1231" i="14" s="1"/>
  <c r="BP1297" i="14"/>
  <c r="N1297" i="14" s="1"/>
  <c r="BP1278" i="14"/>
  <c r="N1278" i="14" s="1"/>
  <c r="BP1375" i="14"/>
  <c r="BP1245" i="14"/>
  <c r="BP1288" i="14"/>
  <c r="BP1398" i="14"/>
  <c r="BP1395" i="14"/>
  <c r="BP1271" i="14"/>
  <c r="N1271" i="14" s="1"/>
  <c r="BP1295" i="14"/>
  <c r="D1393" i="14"/>
  <c r="D1228" i="14"/>
  <c r="D1322" i="14"/>
  <c r="BP1273" i="14"/>
  <c r="D1248" i="14"/>
  <c r="D1394" i="14"/>
  <c r="D1242" i="14"/>
  <c r="BP1239" i="14"/>
  <c r="BP1283" i="14"/>
  <c r="BP1418" i="14"/>
  <c r="D1346" i="14"/>
  <c r="D1229" i="14"/>
  <c r="D1350" i="14"/>
  <c r="BP1358" i="14"/>
  <c r="D1273" i="14"/>
  <c r="D1274" i="14"/>
  <c r="BP1236" i="14"/>
  <c r="D1256" i="14"/>
  <c r="BP1291" i="14"/>
  <c r="D1428" i="14"/>
  <c r="D1337" i="14"/>
  <c r="D1388" i="14"/>
  <c r="BP1396" i="14"/>
  <c r="N1260" i="14" s="1"/>
  <c r="T1260" i="14" s="1"/>
  <c r="BP1244" i="14"/>
  <c r="D1307" i="14"/>
  <c r="D1371" i="14"/>
  <c r="BP1312" i="14"/>
  <c r="D1384" i="14"/>
  <c r="D1399" i="14"/>
  <c r="BP1361" i="14"/>
  <c r="D1389" i="14"/>
  <c r="D1367" i="14"/>
  <c r="BP1345" i="14"/>
  <c r="D1423" i="14"/>
  <c r="D1328" i="14"/>
  <c r="D1230" i="14"/>
  <c r="BP1294" i="14"/>
  <c r="D1330" i="14"/>
  <c r="BP1387" i="14"/>
  <c r="D1405" i="14"/>
  <c r="D1354" i="14"/>
  <c r="D1364" i="14"/>
  <c r="D1406" i="14"/>
  <c r="D1268" i="14"/>
  <c r="D1263" i="14"/>
  <c r="D1302" i="14"/>
  <c r="D1335" i="14"/>
  <c r="BP1281" i="14"/>
  <c r="D1342" i="14"/>
  <c r="D1352" i="14"/>
  <c r="D1368" i="14"/>
  <c r="BP1417" i="14"/>
  <c r="D1348" i="14"/>
  <c r="D1333" i="14"/>
  <c r="BP1293" i="14"/>
  <c r="BP1410" i="14"/>
  <c r="BP1384" i="14"/>
  <c r="BP1324" i="14"/>
  <c r="D1413" i="14"/>
  <c r="D1324" i="14"/>
  <c r="D1386" i="14"/>
  <c r="D1396" i="14"/>
  <c r="D1351" i="14"/>
  <c r="D1356" i="14"/>
  <c r="D1392" i="14"/>
  <c r="BP1391" i="14"/>
  <c r="BP1253" i="14"/>
  <c r="D1301" i="14"/>
  <c r="D1304" i="14"/>
  <c r="BP1411" i="14"/>
  <c r="D1290" i="14"/>
  <c r="D1308" i="14"/>
  <c r="BP1340" i="14"/>
  <c r="BP1407" i="14"/>
  <c r="BP1330" i="14"/>
  <c r="D1261" i="14"/>
  <c r="D1236" i="14"/>
  <c r="D1271" i="14"/>
  <c r="D1297" i="14"/>
  <c r="D1285" i="14"/>
  <c r="D1366" i="14"/>
  <c r="D1374" i="14"/>
  <c r="D1411" i="14"/>
  <c r="BP1351" i="14"/>
  <c r="D1293" i="14"/>
  <c r="D1258" i="14"/>
  <c r="D1385" i="14"/>
  <c r="BP1235" i="14"/>
  <c r="BP1240" i="14"/>
  <c r="D1427" i="14"/>
  <c r="D1402" i="14"/>
  <c r="BP1373" i="14"/>
  <c r="D1329" i="14"/>
  <c r="BP1416" i="14"/>
  <c r="BP1381" i="14"/>
  <c r="D1407" i="14"/>
  <c r="D1234" i="14"/>
  <c r="D1286" i="14"/>
  <c r="D1425" i="14"/>
  <c r="D1313" i="14"/>
  <c r="D1314" i="14"/>
  <c r="D1426" i="14"/>
  <c r="BP1234" i="14"/>
  <c r="D1382" i="14"/>
  <c r="BP1280" i="14"/>
  <c r="D1358" i="14"/>
  <c r="D1353" i="14"/>
  <c r="BP1322" i="14"/>
  <c r="BP1296" i="14"/>
  <c r="BP1379" i="14"/>
  <c r="BP1390" i="14"/>
  <c r="D1280" i="14"/>
  <c r="BP1287" i="14"/>
  <c r="D1341" i="14"/>
  <c r="D1292" i="14"/>
  <c r="D1288" i="14"/>
  <c r="D1419" i="14"/>
  <c r="D1387" i="14"/>
  <c r="D1397" i="14"/>
  <c r="D1251" i="14"/>
  <c r="D1321" i="14"/>
  <c r="D1231" i="14"/>
  <c r="D1415" i="14"/>
  <c r="D1287" i="14"/>
  <c r="D1404" i="14"/>
  <c r="D1315" i="14"/>
  <c r="D1398" i="14"/>
  <c r="D1395" i="14"/>
  <c r="BP1413" i="14"/>
  <c r="D1237" i="14"/>
  <c r="D1278" i="14"/>
  <c r="D1312" i="14"/>
  <c r="D1276" i="14"/>
  <c r="D1372" i="14"/>
  <c r="D1262" i="14"/>
  <c r="D1241" i="14"/>
  <c r="D1257" i="14"/>
  <c r="D1345" i="14"/>
  <c r="D1325" i="14"/>
  <c r="D1414" i="14"/>
  <c r="D1331" i="14"/>
  <c r="D1318" i="14"/>
  <c r="D1270" i="14"/>
  <c r="T1328" i="14"/>
  <c r="AY1328" i="14"/>
  <c r="I1328" i="14"/>
  <c r="Q1328" i="14"/>
  <c r="BA1328" i="14"/>
  <c r="G1328" i="14"/>
  <c r="W1328" i="14"/>
  <c r="E1328" i="14"/>
  <c r="J1328" i="14"/>
  <c r="R1328" i="14"/>
  <c r="AZ1328" i="14"/>
  <c r="U1328" i="14"/>
  <c r="BM1328" i="14"/>
  <c r="BL1328" i="14"/>
  <c r="BB1328" i="14"/>
  <c r="H1328" i="14" a="1"/>
  <c r="P1328" i="14" a="1"/>
  <c r="N1408" i="14" l="1"/>
  <c r="T1408" i="14" s="1"/>
  <c r="N1284" i="14"/>
  <c r="AY1284" i="14" s="1"/>
  <c r="N1401" i="14"/>
  <c r="BA1401" i="14" s="1"/>
  <c r="N1366" i="14"/>
  <c r="J1366" i="14" s="1"/>
  <c r="N1306" i="14"/>
  <c r="G1306" i="14" s="1"/>
  <c r="N1320" i="14"/>
  <c r="BB1320" i="14" s="1"/>
  <c r="N1318" i="14"/>
  <c r="AY1318" i="14" s="1"/>
  <c r="N1343" i="14"/>
  <c r="E1343" i="14" s="1"/>
  <c r="N1313" i="14"/>
  <c r="J1313" i="14" s="1"/>
  <c r="N1347" i="14"/>
  <c r="BB1347" i="14" s="1"/>
  <c r="N1259" i="14"/>
  <c r="U1259" i="14" s="1"/>
  <c r="N1299" i="14"/>
  <c r="BM1299" i="14" s="1"/>
  <c r="N1266" i="14"/>
  <c r="BA1266" i="14" s="1"/>
  <c r="N1360" i="14"/>
  <c r="E1360" i="14" s="1"/>
  <c r="N1275" i="14"/>
  <c r="AY1275" i="14" s="1"/>
  <c r="N1336" i="14"/>
  <c r="AZ1336" i="14" s="1"/>
  <c r="N1300" i="14"/>
  <c r="AY1300" i="14" s="1"/>
  <c r="N1243" i="14"/>
  <c r="AZ1243" i="14" s="1"/>
  <c r="N1255" i="14"/>
  <c r="G1255" i="14" s="1"/>
  <c r="BG1255" i="14" s="1"/>
  <c r="N1356" i="14"/>
  <c r="E1356" i="14" s="1"/>
  <c r="N1339" i="14"/>
  <c r="R1339" i="14" s="1"/>
  <c r="N1380" i="14"/>
  <c r="AY1380" i="14" s="1"/>
  <c r="N1237" i="14"/>
  <c r="BL1237" i="14" s="1"/>
  <c r="R1338" i="14"/>
  <c r="I1338" i="14"/>
  <c r="AY1338" i="14"/>
  <c r="AZ1338" i="14"/>
  <c r="J1338" i="14"/>
  <c r="BB1338" i="14"/>
  <c r="BL1338" i="14"/>
  <c r="N1382" i="14"/>
  <c r="U1382" i="14" s="1"/>
  <c r="N1354" i="14"/>
  <c r="BB1354" i="14" s="1"/>
  <c r="N1405" i="14"/>
  <c r="U1405" i="14" s="1"/>
  <c r="N1264" i="14"/>
  <c r="G1264" i="14" s="1"/>
  <c r="BG1264" i="14" s="1"/>
  <c r="N1342" i="14"/>
  <c r="W1342" i="14" s="1"/>
  <c r="E1338" i="14"/>
  <c r="BA1338" i="14"/>
  <c r="W1338" i="14"/>
  <c r="BH1338" i="14" s="1"/>
  <c r="G1338" i="14"/>
  <c r="BG1338" i="14" s="1"/>
  <c r="N1307" i="14"/>
  <c r="AZ1307" i="14" s="1"/>
  <c r="BM1338" i="14"/>
  <c r="Q1338" i="14"/>
  <c r="U1338" i="14"/>
  <c r="N1404" i="14"/>
  <c r="AZ1404" i="14" s="1"/>
  <c r="N1337" i="14"/>
  <c r="G1337" i="14" s="1"/>
  <c r="BG1337" i="14" s="1"/>
  <c r="N1427" i="14"/>
  <c r="BM1427" i="14" s="1"/>
  <c r="N1247" i="14"/>
  <c r="BA1247" i="14" s="1"/>
  <c r="N1254" i="14"/>
  <c r="BM1254" i="14" s="1"/>
  <c r="N1374" i="14"/>
  <c r="W1374" i="14" s="1"/>
  <c r="N1268" i="14"/>
  <c r="BB1268" i="14" s="1"/>
  <c r="N1370" i="14"/>
  <c r="AZ1370" i="14" s="1"/>
  <c r="N1397" i="14"/>
  <c r="E1397" i="14" s="1"/>
  <c r="N1279" i="14"/>
  <c r="BM1279" i="14" s="1"/>
  <c r="N1333" i="14"/>
  <c r="AY1333" i="14" s="1"/>
  <c r="N1301" i="14"/>
  <c r="J1301" i="14" s="1"/>
  <c r="N1323" i="14"/>
  <c r="G1323" i="14" s="1"/>
  <c r="BG1323" i="14" s="1"/>
  <c r="N1349" i="14"/>
  <c r="T1349" i="14" s="1"/>
  <c r="N1250" i="14"/>
  <c r="E1250" i="14" s="1"/>
  <c r="N1319" i="14"/>
  <c r="G1319" i="14" s="1"/>
  <c r="BG1319" i="14" s="1"/>
  <c r="N1310" i="14"/>
  <c r="W1310" i="14" s="1"/>
  <c r="N1238" i="14"/>
  <c r="R1238" i="14" s="1"/>
  <c r="N1346" i="14"/>
  <c r="BA1346" i="14" s="1"/>
  <c r="N1376" i="14"/>
  <c r="G1376" i="14" s="1"/>
  <c r="BG1376" i="14" s="1"/>
  <c r="N1248" i="14"/>
  <c r="G1248" i="14" s="1"/>
  <c r="BG1248" i="14" s="1"/>
  <c r="N1311" i="14"/>
  <c r="W1311" i="14" s="1"/>
  <c r="N1344" i="14"/>
  <c r="BA1344" i="14" s="1"/>
  <c r="N1406" i="14"/>
  <c r="R1406" i="14" s="1"/>
  <c r="N1353" i="14"/>
  <c r="U1353" i="14" s="1"/>
  <c r="N1352" i="14"/>
  <c r="R1352" i="14" s="1"/>
  <c r="N1290" i="14"/>
  <c r="BA1290" i="14" s="1"/>
  <c r="N1350" i="14"/>
  <c r="W1350" i="14" s="1"/>
  <c r="N1327" i="14"/>
  <c r="G1327" i="14" s="1"/>
  <c r="BG1327" i="14" s="1"/>
  <c r="N1314" i="14"/>
  <c r="R1314" i="14" s="1"/>
  <c r="N1276" i="14"/>
  <c r="T1276" i="14" s="1"/>
  <c r="N1317" i="14"/>
  <c r="U1317" i="14" s="1"/>
  <c r="N1399" i="14"/>
  <c r="R1399" i="14" s="1"/>
  <c r="N1355" i="14"/>
  <c r="AZ1355" i="14" s="1"/>
  <c r="R1424" i="14"/>
  <c r="N1385" i="14"/>
  <c r="I1385" i="14" s="1"/>
  <c r="N1229" i="14"/>
  <c r="BA1229" i="14" s="1"/>
  <c r="N1395" i="14"/>
  <c r="W1395" i="14" s="1"/>
  <c r="N1230" i="14"/>
  <c r="J1230" i="14" s="1"/>
  <c r="N1371" i="14"/>
  <c r="G1371" i="14" s="1"/>
  <c r="BG1371" i="14" s="1"/>
  <c r="N1286" i="14"/>
  <c r="Q1286" i="14" s="1"/>
  <c r="N1261" i="14"/>
  <c r="W1261" i="14" s="1"/>
  <c r="N1288" i="14"/>
  <c r="AZ1288" i="14" s="1"/>
  <c r="N1426" i="14"/>
  <c r="T1426" i="14" s="1"/>
  <c r="N1274" i="14"/>
  <c r="G1274" i="14" s="1"/>
  <c r="BG1274" i="14" s="1"/>
  <c r="N1308" i="14"/>
  <c r="T1308" i="14" s="1"/>
  <c r="N1315" i="14"/>
  <c r="Q1315" i="14" s="1"/>
  <c r="N1252" i="14"/>
  <c r="J1252" i="14" s="1"/>
  <c r="N1389" i="14"/>
  <c r="BL1389" i="14" s="1"/>
  <c r="N1415" i="14"/>
  <c r="I1415" i="14" s="1"/>
  <c r="N1368" i="14"/>
  <c r="I1368" i="14" s="1"/>
  <c r="N1233" i="14"/>
  <c r="G1233" i="14" s="1"/>
  <c r="BG1233" i="14" s="1"/>
  <c r="N1388" i="14"/>
  <c r="I1388" i="14" s="1"/>
  <c r="N1258" i="14"/>
  <c r="AY1258" i="14" s="1"/>
  <c r="N1386" i="14"/>
  <c r="AZ1386" i="14" s="1"/>
  <c r="N1331" i="14"/>
  <c r="T1331" i="14" s="1"/>
  <c r="N1242" i="14"/>
  <c r="AY1242" i="14" s="1"/>
  <c r="N1267" i="14"/>
  <c r="W1267" i="14" s="1"/>
  <c r="N1241" i="14"/>
  <c r="I1241" i="14" s="1"/>
  <c r="N1341" i="14"/>
  <c r="BA1341" i="14" s="1"/>
  <c r="N1270" i="14"/>
  <c r="AZ1270" i="14" s="1"/>
  <c r="N1257" i="14"/>
  <c r="W1257" i="14" s="1"/>
  <c r="N1228" i="14"/>
  <c r="N1425" i="14"/>
  <c r="BM1425" i="14" s="1"/>
  <c r="N1289" i="14"/>
  <c r="T1289" i="14" s="1"/>
  <c r="N1398" i="14"/>
  <c r="AZ1398" i="14" s="1"/>
  <c r="N1329" i="14"/>
  <c r="T1329" i="14" s="1"/>
  <c r="N1422" i="14"/>
  <c r="R1422" i="14" s="1"/>
  <c r="N1363" i="14"/>
  <c r="R1363" i="14" s="1"/>
  <c r="N1277" i="14"/>
  <c r="BB1277" i="14" s="1"/>
  <c r="N1412" i="14"/>
  <c r="Q1412" i="14" s="1"/>
  <c r="N1326" i="14"/>
  <c r="U1326" i="14" s="1"/>
  <c r="N1383" i="14"/>
  <c r="I1383" i="14" s="1"/>
  <c r="BA1303" i="14"/>
  <c r="W1303" i="14"/>
  <c r="G1303" i="14"/>
  <c r="BG1303" i="14" s="1"/>
  <c r="BM1303" i="14"/>
  <c r="Q1303" i="14"/>
  <c r="BB1303" i="14"/>
  <c r="AZ1303" i="14"/>
  <c r="T1303" i="14"/>
  <c r="U1303" i="14"/>
  <c r="R1303" i="14"/>
  <c r="AY1303" i="14"/>
  <c r="J1303" i="14"/>
  <c r="E1303" i="14"/>
  <c r="BL1303" i="14"/>
  <c r="BB1409" i="14"/>
  <c r="AY1409" i="14"/>
  <c r="N1365" i="14"/>
  <c r="T1365" i="14" s="1"/>
  <c r="N1249" i="14"/>
  <c r="T1249" i="14" s="1"/>
  <c r="N1362" i="14"/>
  <c r="E1362" i="14" s="1"/>
  <c r="R1377" i="14"/>
  <c r="N1305" i="14"/>
  <c r="T1305" i="14" s="1"/>
  <c r="N1316" i="14"/>
  <c r="U1316" i="14" s="1"/>
  <c r="BB1232" i="14"/>
  <c r="AZ1232" i="14"/>
  <c r="BM1232" i="14"/>
  <c r="N1251" i="14"/>
  <c r="N1262" i="14"/>
  <c r="E1262" i="14" s="1"/>
  <c r="N1394" i="14"/>
  <c r="E1394" i="14" s="1"/>
  <c r="N1378" i="14"/>
  <c r="I1378" i="14" s="1"/>
  <c r="N1419" i="14"/>
  <c r="BB1419" i="14" s="1"/>
  <c r="N1393" i="14"/>
  <c r="R1393" i="14" s="1"/>
  <c r="N1359" i="14"/>
  <c r="G1359" i="14" s="1"/>
  <c r="BG1359" i="14" s="1"/>
  <c r="N1400" i="14"/>
  <c r="N1302" i="14"/>
  <c r="N1282" i="14"/>
  <c r="AY1282" i="14" s="1"/>
  <c r="N1428" i="14"/>
  <c r="BA1428" i="14" s="1"/>
  <c r="N1348" i="14"/>
  <c r="BM1348" i="14" s="1"/>
  <c r="N1269" i="14"/>
  <c r="BA1269" i="14" s="1"/>
  <c r="N1298" i="14"/>
  <c r="BB1298" i="14" s="1"/>
  <c r="N1335" i="14"/>
  <c r="J1335" i="14" s="1"/>
  <c r="AY1377" i="14"/>
  <c r="N1420" i="14"/>
  <c r="BM1420" i="14" s="1"/>
  <c r="BB1357" i="14"/>
  <c r="E1377" i="14"/>
  <c r="T1377" i="14"/>
  <c r="BB1377" i="14"/>
  <c r="BL1377" i="14"/>
  <c r="BM1377" i="14"/>
  <c r="AZ1377" i="14"/>
  <c r="U1377" i="14"/>
  <c r="W1377" i="14"/>
  <c r="BA1377" i="14"/>
  <c r="G1377" i="14"/>
  <c r="BG1377" i="14" s="1"/>
  <c r="N1364" i="14"/>
  <c r="Q1364" i="14" s="1"/>
  <c r="I1377" i="14"/>
  <c r="J1377" i="14"/>
  <c r="U1402" i="14"/>
  <c r="N1375" i="14"/>
  <c r="T1375" i="14" s="1"/>
  <c r="R1309" i="14"/>
  <c r="W1309" i="14"/>
  <c r="G1309" i="14"/>
  <c r="BG1309" i="14" s="1"/>
  <c r="N1239" i="14"/>
  <c r="R1239" i="14" s="1"/>
  <c r="R1392" i="14"/>
  <c r="G1392" i="14"/>
  <c r="BG1392" i="14" s="1"/>
  <c r="E1392" i="14"/>
  <c r="AZ1409" i="14"/>
  <c r="T1409" i="14"/>
  <c r="J1392" i="14"/>
  <c r="U1409" i="14"/>
  <c r="U1392" i="14"/>
  <c r="R1409" i="14"/>
  <c r="W1392" i="14"/>
  <c r="J1409" i="14"/>
  <c r="BA1392" i="14"/>
  <c r="E1409" i="14"/>
  <c r="Q1392" i="14"/>
  <c r="Q1409" i="14"/>
  <c r="BL1392" i="14"/>
  <c r="I1392" i="14"/>
  <c r="G1409" i="14"/>
  <c r="BG1409" i="14" s="1"/>
  <c r="BM1392" i="14"/>
  <c r="AY1392" i="14"/>
  <c r="W1409" i="14"/>
  <c r="BL1409" i="14"/>
  <c r="BB1392" i="14"/>
  <c r="T1392" i="14"/>
  <c r="BA1409" i="14"/>
  <c r="BM1409" i="14"/>
  <c r="BM1285" i="14"/>
  <c r="BL1285" i="14"/>
  <c r="U1424" i="14"/>
  <c r="I1357" i="14"/>
  <c r="Q1424" i="14"/>
  <c r="W1424" i="14"/>
  <c r="E1309" i="14"/>
  <c r="N1245" i="14"/>
  <c r="BA1245" i="14" s="1"/>
  <c r="N1332" i="14"/>
  <c r="I1332" i="14" s="1"/>
  <c r="R1232" i="14"/>
  <c r="G1232" i="14"/>
  <c r="BG1232" i="14" s="1"/>
  <c r="J1424" i="14"/>
  <c r="I1424" i="14"/>
  <c r="BB1309" i="14"/>
  <c r="AY1309" i="14"/>
  <c r="N1272" i="14"/>
  <c r="BL1272" i="14" s="1"/>
  <c r="W1232" i="14"/>
  <c r="Q1309" i="14"/>
  <c r="Q1232" i="14"/>
  <c r="E1424" i="14"/>
  <c r="AY1424" i="14"/>
  <c r="BL1309" i="14"/>
  <c r="T1309" i="14"/>
  <c r="N1246" i="14"/>
  <c r="Q1246" i="14" s="1"/>
  <c r="G1424" i="14"/>
  <c r="BG1424" i="14" s="1"/>
  <c r="BA1424" i="14"/>
  <c r="I1309" i="14"/>
  <c r="U1232" i="14"/>
  <c r="I1232" i="14"/>
  <c r="BL1424" i="14"/>
  <c r="T1424" i="14"/>
  <c r="BM1309" i="14"/>
  <c r="N1403" i="14"/>
  <c r="G1403" i="14" s="1"/>
  <c r="BG1403" i="14" s="1"/>
  <c r="AZ1309" i="14"/>
  <c r="N1265" i="14"/>
  <c r="T1265" i="14" s="1"/>
  <c r="BA1232" i="14"/>
  <c r="J1232" i="14"/>
  <c r="BM1424" i="14"/>
  <c r="E1232" i="14"/>
  <c r="T1232" i="14"/>
  <c r="BB1424" i="14"/>
  <c r="U1309" i="14"/>
  <c r="N1369" i="14"/>
  <c r="Q1369" i="14" s="1"/>
  <c r="E1357" i="14"/>
  <c r="BA1309" i="14"/>
  <c r="N1292" i="14"/>
  <c r="AY1232" i="14"/>
  <c r="BB1285" i="14"/>
  <c r="BA1285" i="14"/>
  <c r="G1285" i="14"/>
  <c r="BG1285" i="14" s="1"/>
  <c r="W1285" i="14"/>
  <c r="I1285" i="14"/>
  <c r="U1285" i="14"/>
  <c r="Q1285" i="14"/>
  <c r="AZ1285" i="14"/>
  <c r="AY1285" i="14"/>
  <c r="J1285" i="14"/>
  <c r="T1285" i="14"/>
  <c r="R1285" i="14"/>
  <c r="E1285" i="14"/>
  <c r="Q1423" i="14"/>
  <c r="R1423" i="14"/>
  <c r="T1423" i="14"/>
  <c r="Q1357" i="14"/>
  <c r="N1321" i="14"/>
  <c r="AY1321" i="14" s="1"/>
  <c r="BA1357" i="14"/>
  <c r="G1357" i="14"/>
  <c r="BG1357" i="14" s="1"/>
  <c r="N1421" i="14"/>
  <c r="T1421" i="14" s="1"/>
  <c r="W1357" i="14"/>
  <c r="BL1357" i="14"/>
  <c r="AY1357" i="14"/>
  <c r="BM1357" i="14"/>
  <c r="T1357" i="14"/>
  <c r="AZ1357" i="14"/>
  <c r="U1357" i="14"/>
  <c r="R1357" i="14"/>
  <c r="G1367" i="14"/>
  <c r="BG1367" i="14" s="1"/>
  <c r="E1367" i="14"/>
  <c r="R1367" i="14"/>
  <c r="U1367" i="14"/>
  <c r="J1367" i="14"/>
  <c r="AZ1367" i="14"/>
  <c r="BL1367" i="14"/>
  <c r="T1367" i="14"/>
  <c r="BA1367" i="14"/>
  <c r="AY1367" i="14"/>
  <c r="BB1367" i="14"/>
  <c r="Q1367" i="14"/>
  <c r="BM1367" i="14"/>
  <c r="I1367" i="14"/>
  <c r="W1367" i="14"/>
  <c r="T1325" i="14"/>
  <c r="BB1325" i="14"/>
  <c r="AY1325" i="14"/>
  <c r="E1325" i="14"/>
  <c r="BA1325" i="14"/>
  <c r="Q1325" i="14"/>
  <c r="J1325" i="14"/>
  <c r="I1325" i="14"/>
  <c r="G1325" i="14"/>
  <c r="BG1325" i="14" s="1"/>
  <c r="R1325" i="14"/>
  <c r="W1325" i="14"/>
  <c r="BM1325" i="14"/>
  <c r="AZ1325" i="14"/>
  <c r="U1325" i="14"/>
  <c r="BL1325" i="14"/>
  <c r="AZ1402" i="14"/>
  <c r="R1402" i="14"/>
  <c r="N1372" i="14"/>
  <c r="J1402" i="14"/>
  <c r="G1402" i="14"/>
  <c r="BG1402" i="14" s="1"/>
  <c r="BA1402" i="14"/>
  <c r="W1402" i="14"/>
  <c r="N1334" i="14"/>
  <c r="AY1334" i="14" s="1"/>
  <c r="Q1402" i="14"/>
  <c r="E1402" i="14"/>
  <c r="I1402" i="14"/>
  <c r="N1240" i="14"/>
  <c r="BB1240" i="14" s="1"/>
  <c r="BB1402" i="14"/>
  <c r="AY1402" i="14"/>
  <c r="BL1402" i="14"/>
  <c r="T1402" i="14"/>
  <c r="N1304" i="14"/>
  <c r="I1256" i="14"/>
  <c r="W1256" i="14"/>
  <c r="BA1256" i="14"/>
  <c r="G1256" i="14"/>
  <c r="BG1256" i="14" s="1"/>
  <c r="J1256" i="14"/>
  <c r="AZ1256" i="14"/>
  <c r="BL1256" i="14"/>
  <c r="U1256" i="14"/>
  <c r="BB1256" i="14"/>
  <c r="T1256" i="14"/>
  <c r="BM1256" i="14"/>
  <c r="AY1256" i="14"/>
  <c r="E1256" i="14"/>
  <c r="Q1256" i="14"/>
  <c r="R1256" i="14"/>
  <c r="I1278" i="14"/>
  <c r="BA1278" i="14"/>
  <c r="W1278" i="14"/>
  <c r="G1278" i="14"/>
  <c r="BG1278" i="14" s="1"/>
  <c r="J1278" i="14"/>
  <c r="R1278" i="14"/>
  <c r="U1278" i="14"/>
  <c r="AZ1278" i="14"/>
  <c r="BB1278" i="14"/>
  <c r="T1278" i="14"/>
  <c r="BM1278" i="14"/>
  <c r="AY1278" i="14"/>
  <c r="BL1278" i="14"/>
  <c r="Q1278" i="14"/>
  <c r="E1278" i="14"/>
  <c r="Q1297" i="14"/>
  <c r="BL1297" i="14"/>
  <c r="I1297" i="14"/>
  <c r="BA1297" i="14"/>
  <c r="G1297" i="14"/>
  <c r="BG1297" i="14" s="1"/>
  <c r="W1297" i="14"/>
  <c r="BB1297" i="14"/>
  <c r="E1297" i="14"/>
  <c r="J1297" i="14"/>
  <c r="R1297" i="14"/>
  <c r="U1297" i="14"/>
  <c r="T1297" i="14"/>
  <c r="AZ1297" i="14"/>
  <c r="AY1297" i="14"/>
  <c r="BM1297" i="14"/>
  <c r="BA1231" i="14"/>
  <c r="G1231" i="14"/>
  <c r="BG1231" i="14" s="1"/>
  <c r="BM1231" i="14"/>
  <c r="BL1231" i="14"/>
  <c r="BB1231" i="14"/>
  <c r="E1231" i="14"/>
  <c r="J1231" i="14"/>
  <c r="T1231" i="14"/>
  <c r="R1231" i="14"/>
  <c r="AY1231" i="14"/>
  <c r="U1231" i="14"/>
  <c r="Q1231" i="14"/>
  <c r="AZ1231" i="14"/>
  <c r="I1231" i="14"/>
  <c r="W1231" i="14"/>
  <c r="G1414" i="14"/>
  <c r="BG1414" i="14" s="1"/>
  <c r="AZ1414" i="14"/>
  <c r="R1414" i="14"/>
  <c r="BM1414" i="14"/>
  <c r="BL1414" i="14"/>
  <c r="BB1414" i="14"/>
  <c r="T1414" i="14"/>
  <c r="E1414" i="14"/>
  <c r="AY1414" i="14"/>
  <c r="J1414" i="14"/>
  <c r="Q1414" i="14"/>
  <c r="U1414" i="14"/>
  <c r="I1414" i="14"/>
  <c r="BA1414" i="14"/>
  <c r="W1414" i="14"/>
  <c r="BB1263" i="14"/>
  <c r="BM1263" i="14"/>
  <c r="T1263" i="14"/>
  <c r="E1263" i="14"/>
  <c r="J1263" i="14"/>
  <c r="AY1263" i="14"/>
  <c r="U1263" i="14"/>
  <c r="I1263" i="14"/>
  <c r="AZ1263" i="14"/>
  <c r="Q1263" i="14"/>
  <c r="BA1263" i="14"/>
  <c r="W1263" i="14"/>
  <c r="G1263" i="14"/>
  <c r="BG1263" i="14" s="1"/>
  <c r="R1263" i="14"/>
  <c r="BL1263" i="14"/>
  <c r="I1271" i="14"/>
  <c r="BL1271" i="14"/>
  <c r="W1271" i="14"/>
  <c r="BA1271" i="14"/>
  <c r="G1271" i="14"/>
  <c r="BG1271" i="14" s="1"/>
  <c r="Q1271" i="14"/>
  <c r="BB1271" i="14"/>
  <c r="E1271" i="14"/>
  <c r="U1271" i="14"/>
  <c r="AZ1271" i="14"/>
  <c r="R1271" i="14"/>
  <c r="AY1271" i="14"/>
  <c r="J1271" i="14"/>
  <c r="T1271" i="14"/>
  <c r="BM1271" i="14"/>
  <c r="J1423" i="14"/>
  <c r="AY1423" i="14"/>
  <c r="BB1423" i="14"/>
  <c r="N1283" i="14"/>
  <c r="T1283" i="14" s="1"/>
  <c r="BL1423" i="14"/>
  <c r="N1234" i="14"/>
  <c r="BL1234" i="14" s="1"/>
  <c r="N1345" i="14"/>
  <c r="BM1423" i="14"/>
  <c r="E1423" i="14"/>
  <c r="AZ1423" i="14"/>
  <c r="I1423" i="14"/>
  <c r="W1423" i="14"/>
  <c r="G1423" i="14"/>
  <c r="BG1423" i="14" s="1"/>
  <c r="BA1423" i="14"/>
  <c r="N1418" i="14"/>
  <c r="Q1418" i="14" s="1"/>
  <c r="U1423" i="14"/>
  <c r="N1384" i="14"/>
  <c r="N1407" i="14"/>
  <c r="N1396" i="14"/>
  <c r="N1281" i="14"/>
  <c r="N1294" i="14"/>
  <c r="N1387" i="14"/>
  <c r="N1312" i="14"/>
  <c r="N1410" i="14"/>
  <c r="N1244" i="14"/>
  <c r="N1391" i="14"/>
  <c r="N1291" i="14"/>
  <c r="N1351" i="14"/>
  <c r="N1373" i="14"/>
  <c r="N1296" i="14"/>
  <c r="N1340" i="14"/>
  <c r="N1381" i="14"/>
  <c r="N1322" i="14"/>
  <c r="N1293" i="14"/>
  <c r="N1253" i="14"/>
  <c r="N1417" i="14"/>
  <c r="G1417" i="14" s="1"/>
  <c r="BG1417" i="14" s="1"/>
  <c r="N1413" i="14"/>
  <c r="N1390" i="14"/>
  <c r="N1330" i="14"/>
  <c r="N1295" i="14"/>
  <c r="E1295" i="14" s="1"/>
  <c r="N1361" i="14"/>
  <c r="N1280" i="14"/>
  <c r="N1236" i="14"/>
  <c r="N1416" i="14"/>
  <c r="W1416" i="14" s="1"/>
  <c r="N1411" i="14"/>
  <c r="N1379" i="14"/>
  <c r="N1358" i="14"/>
  <c r="N1324" i="14"/>
  <c r="N1273" i="14"/>
  <c r="N1287" i="14"/>
  <c r="N1235" i="14"/>
  <c r="BL1260" i="14"/>
  <c r="BB1260" i="14"/>
  <c r="Q1260" i="14"/>
  <c r="BM1260" i="14"/>
  <c r="U1260" i="14"/>
  <c r="AZ1260" i="14"/>
  <c r="W1260" i="14"/>
  <c r="BH1260" i="14" s="1"/>
  <c r="BA1260" i="14"/>
  <c r="G1260" i="14"/>
  <c r="BG1260" i="14" s="1"/>
  <c r="J1260" i="14"/>
  <c r="I1260" i="14"/>
  <c r="R1260" i="14"/>
  <c r="AY1260" i="14"/>
  <c r="E1260" i="14"/>
  <c r="BQ1228" i="14" a="1"/>
  <c r="BQ1228" i="14" s="1"/>
  <c r="BC1328" i="14"/>
  <c r="BH1328" i="14"/>
  <c r="P1328" i="14"/>
  <c r="H1328" i="14"/>
  <c r="BD1328" i="14"/>
  <c r="BG1328" i="14"/>
  <c r="AF1328" i="14"/>
  <c r="P1278" i="14" a="1"/>
  <c r="P1297" i="14" a="1"/>
  <c r="H1402" i="14" a="1"/>
  <c r="H1260" i="14" a="1"/>
  <c r="H1278" i="14" a="1"/>
  <c r="P1309" i="14" a="1"/>
  <c r="H1392" i="14" a="1"/>
  <c r="H1377" i="14" a="1"/>
  <c r="H1303" i="14" a="1"/>
  <c r="P1367" i="14" a="1"/>
  <c r="H1357" i="14" a="1"/>
  <c r="P1231" i="14" a="1"/>
  <c r="P1271" i="14" a="1"/>
  <c r="P1256" i="14" a="1"/>
  <c r="H1409" i="14" a="1"/>
  <c r="H1231" i="14" a="1"/>
  <c r="P1423" i="14" a="1"/>
  <c r="H1423" i="14" a="1"/>
  <c r="P1260" i="14" a="1"/>
  <c r="P1424" i="14" a="1"/>
  <c r="H1309" i="14" a="1"/>
  <c r="H1232" i="14" a="1"/>
  <c r="H1297" i="14" a="1"/>
  <c r="H1367" i="14" a="1"/>
  <c r="H1285" i="14" a="1"/>
  <c r="P1263" i="14" a="1"/>
  <c r="P1325" i="14" a="1"/>
  <c r="P1392" i="14" a="1"/>
  <c r="P1409" i="14" a="1"/>
  <c r="H1263" i="14" a="1"/>
  <c r="H1424" i="14" a="1"/>
  <c r="P1377" i="14" a="1"/>
  <c r="H1414" i="14" a="1"/>
  <c r="H1338" i="14" a="1"/>
  <c r="P1338" i="14" a="1"/>
  <c r="P1414" i="14" a="1"/>
  <c r="H1256" i="14" a="1"/>
  <c r="P1285" i="14" a="1"/>
  <c r="P1402" i="14" a="1"/>
  <c r="P1303" i="14" a="1"/>
  <c r="H1271" i="14" a="1"/>
  <c r="P1357" i="14" a="1"/>
  <c r="P1232" i="14" a="1"/>
  <c r="H1325" i="14" a="1"/>
  <c r="AY1408" i="14" l="1"/>
  <c r="G1408" i="14"/>
  <c r="BG1408" i="14" s="1"/>
  <c r="I1408" i="14"/>
  <c r="Q1408" i="14"/>
  <c r="BA1408" i="14"/>
  <c r="W1408" i="14"/>
  <c r="BH1408" i="14" s="1"/>
  <c r="BL1408" i="14"/>
  <c r="E1408" i="14"/>
  <c r="AZ1408" i="14"/>
  <c r="BM1408" i="14"/>
  <c r="BB1408" i="14"/>
  <c r="R1408" i="14"/>
  <c r="U1408" i="14"/>
  <c r="J1408" i="14"/>
  <c r="BL1401" i="14"/>
  <c r="G1284" i="14"/>
  <c r="BG1284" i="14" s="1"/>
  <c r="BM1284" i="14"/>
  <c r="I1284" i="14"/>
  <c r="R1284" i="14"/>
  <c r="E1284" i="14"/>
  <c r="BB1284" i="14"/>
  <c r="AZ1284" i="14"/>
  <c r="W1284" i="14"/>
  <c r="Q1284" i="14"/>
  <c r="T1284" i="14"/>
  <c r="J1284" i="14"/>
  <c r="BL1284" i="14"/>
  <c r="BA1284" i="14"/>
  <c r="U1284" i="14"/>
  <c r="U1306" i="14"/>
  <c r="BB1318" i="14"/>
  <c r="U1401" i="14"/>
  <c r="AZ1401" i="14"/>
  <c r="G1401" i="14"/>
  <c r="BG1401" i="14" s="1"/>
  <c r="E1401" i="14"/>
  <c r="T1401" i="14"/>
  <c r="BB1401" i="14"/>
  <c r="Q1401" i="14"/>
  <c r="J1401" i="14"/>
  <c r="AY1401" i="14"/>
  <c r="BM1401" i="14"/>
  <c r="R1401" i="14"/>
  <c r="W1401" i="14"/>
  <c r="I1401" i="14"/>
  <c r="Q1228" i="14"/>
  <c r="AY1320" i="14"/>
  <c r="W1320" i="14"/>
  <c r="E1320" i="14"/>
  <c r="G1320" i="14"/>
  <c r="BG1320" i="14" s="1"/>
  <c r="BL1320" i="14"/>
  <c r="BM1320" i="14"/>
  <c r="AZ1320" i="14"/>
  <c r="G1318" i="14"/>
  <c r="BG1318" i="14" s="1"/>
  <c r="J1318" i="14"/>
  <c r="BM1318" i="14"/>
  <c r="U1318" i="14"/>
  <c r="G1366" i="14"/>
  <c r="BG1366" i="14" s="1"/>
  <c r="BL1366" i="14"/>
  <c r="AY1366" i="14"/>
  <c r="I1366" i="14"/>
  <c r="E1366" i="14"/>
  <c r="Q1366" i="14"/>
  <c r="BL1318" i="14"/>
  <c r="R1318" i="14"/>
  <c r="R1366" i="14"/>
  <c r="BA1366" i="14"/>
  <c r="BA1306" i="14"/>
  <c r="I1320" i="14"/>
  <c r="U1366" i="14"/>
  <c r="W1366" i="14"/>
  <c r="Q1306" i="14"/>
  <c r="I1318" i="14"/>
  <c r="W1318" i="14"/>
  <c r="J1320" i="14"/>
  <c r="Q1320" i="14"/>
  <c r="AZ1366" i="14"/>
  <c r="BA1318" i="14"/>
  <c r="E1318" i="14"/>
  <c r="BM1366" i="14"/>
  <c r="AZ1318" i="14"/>
  <c r="T1366" i="14"/>
  <c r="J1306" i="14"/>
  <c r="T1306" i="14"/>
  <c r="Q1318" i="14"/>
  <c r="T1318" i="14"/>
  <c r="BB1366" i="14"/>
  <c r="U1313" i="14"/>
  <c r="AZ1306" i="14"/>
  <c r="R1306" i="14"/>
  <c r="W1306" i="14"/>
  <c r="AF1306" i="14" s="1"/>
  <c r="AY1306" i="14"/>
  <c r="BL1306" i="14"/>
  <c r="I1306" i="14"/>
  <c r="BB1306" i="14"/>
  <c r="BM1306" i="14"/>
  <c r="E1306" i="14"/>
  <c r="W1343" i="14"/>
  <c r="BA1343" i="14"/>
  <c r="T1313" i="14"/>
  <c r="BB1343" i="14"/>
  <c r="BA1320" i="14"/>
  <c r="U1320" i="14"/>
  <c r="R1320" i="14"/>
  <c r="T1320" i="14"/>
  <c r="G1347" i="14"/>
  <c r="BG1347" i="14" s="1"/>
  <c r="AZ1313" i="14"/>
  <c r="R1313" i="14"/>
  <c r="AY1313" i="14"/>
  <c r="G1313" i="14"/>
  <c r="BG1313" i="14" s="1"/>
  <c r="I1313" i="14"/>
  <c r="BB1313" i="14"/>
  <c r="BA1313" i="14"/>
  <c r="T1347" i="14"/>
  <c r="R1347" i="14"/>
  <c r="BM1313" i="14"/>
  <c r="BL1313" i="14"/>
  <c r="AY1347" i="14"/>
  <c r="J1299" i="14"/>
  <c r="W1347" i="14"/>
  <c r="I1347" i="14"/>
  <c r="BM1347" i="14"/>
  <c r="AY1299" i="14"/>
  <c r="J1347" i="14"/>
  <c r="Q1347" i="14"/>
  <c r="AZ1299" i="14"/>
  <c r="T1299" i="14"/>
  <c r="I1299" i="14"/>
  <c r="BB1299" i="14"/>
  <c r="Q1299" i="14"/>
  <c r="E1347" i="14"/>
  <c r="BL1347" i="14"/>
  <c r="E1313" i="14"/>
  <c r="BA1299" i="14"/>
  <c r="Q1259" i="14"/>
  <c r="AZ1347" i="14"/>
  <c r="BA1347" i="14"/>
  <c r="U1347" i="14"/>
  <c r="W1299" i="14"/>
  <c r="Q1313" i="14"/>
  <c r="W1313" i="14"/>
  <c r="AZ1259" i="14"/>
  <c r="E1299" i="14"/>
  <c r="G1299" i="14"/>
  <c r="BG1299" i="14" s="1"/>
  <c r="BL1299" i="14"/>
  <c r="U1299" i="14"/>
  <c r="BM1343" i="14"/>
  <c r="G1343" i="14"/>
  <c r="BG1343" i="14" s="1"/>
  <c r="AZ1343" i="14"/>
  <c r="U1343" i="14"/>
  <c r="R1299" i="14"/>
  <c r="I1343" i="14"/>
  <c r="R1343" i="14"/>
  <c r="T1343" i="14"/>
  <c r="AY1343" i="14"/>
  <c r="J1343" i="14"/>
  <c r="Q1343" i="14"/>
  <c r="BL1343" i="14"/>
  <c r="BB1259" i="14"/>
  <c r="BM1259" i="14"/>
  <c r="BL1266" i="14"/>
  <c r="Q1266" i="14"/>
  <c r="I1266" i="14"/>
  <c r="T1360" i="14"/>
  <c r="J1360" i="14"/>
  <c r="BM1360" i="14"/>
  <c r="AY1259" i="14"/>
  <c r="BL1259" i="14"/>
  <c r="J1259" i="14"/>
  <c r="BA1259" i="14"/>
  <c r="G1259" i="14"/>
  <c r="BG1259" i="14" s="1"/>
  <c r="W1259" i="14"/>
  <c r="I1259" i="14"/>
  <c r="E1259" i="14"/>
  <c r="T1259" i="14"/>
  <c r="R1259" i="14"/>
  <c r="R1360" i="14"/>
  <c r="W1360" i="14"/>
  <c r="BB1266" i="14"/>
  <c r="G1266" i="14"/>
  <c r="BG1266" i="14" s="1"/>
  <c r="E1266" i="14"/>
  <c r="R1266" i="14"/>
  <c r="BA1360" i="14"/>
  <c r="Q1360" i="14"/>
  <c r="AY1360" i="14"/>
  <c r="BL1360" i="14"/>
  <c r="AZ1360" i="14"/>
  <c r="U1360" i="14"/>
  <c r="G1360" i="14"/>
  <c r="BG1360" i="14" s="1"/>
  <c r="I1360" i="14"/>
  <c r="BB1360" i="14"/>
  <c r="U1266" i="14"/>
  <c r="T1266" i="14"/>
  <c r="AZ1266" i="14"/>
  <c r="BM1266" i="14"/>
  <c r="J1266" i="14"/>
  <c r="AY1266" i="14"/>
  <c r="W1266" i="14"/>
  <c r="G1275" i="14"/>
  <c r="BG1275" i="14" s="1"/>
  <c r="E1275" i="14"/>
  <c r="BM1275" i="14"/>
  <c r="W1336" i="14"/>
  <c r="T1300" i="14"/>
  <c r="U1275" i="14"/>
  <c r="Q1275" i="14"/>
  <c r="W1275" i="14"/>
  <c r="BA1275" i="14"/>
  <c r="BB1275" i="14"/>
  <c r="R1275" i="14"/>
  <c r="T1275" i="14"/>
  <c r="BL1275" i="14"/>
  <c r="J1275" i="14"/>
  <c r="I1275" i="14"/>
  <c r="AZ1275" i="14"/>
  <c r="Q1336" i="14"/>
  <c r="E1336" i="14"/>
  <c r="T1336" i="14"/>
  <c r="J1336" i="14"/>
  <c r="BA1336" i="14"/>
  <c r="G1336" i="14"/>
  <c r="BG1336" i="14" s="1"/>
  <c r="BB1336" i="14"/>
  <c r="AY1336" i="14"/>
  <c r="R1336" i="14"/>
  <c r="U1336" i="14"/>
  <c r="BM1336" i="14"/>
  <c r="I1336" i="14"/>
  <c r="BL1336" i="14"/>
  <c r="U1300" i="14"/>
  <c r="AZ1300" i="14"/>
  <c r="BB1300" i="14"/>
  <c r="I1300" i="14"/>
  <c r="BL1300" i="14"/>
  <c r="G1300" i="14"/>
  <c r="BG1300" i="14" s="1"/>
  <c r="BM1300" i="14"/>
  <c r="J1356" i="14"/>
  <c r="Q1300" i="14"/>
  <c r="BL1356" i="14"/>
  <c r="J1300" i="14"/>
  <c r="U1356" i="14"/>
  <c r="R1300" i="14"/>
  <c r="Q1356" i="14"/>
  <c r="BA1356" i="14"/>
  <c r="T1356" i="14"/>
  <c r="W1356" i="14"/>
  <c r="BB1356" i="14"/>
  <c r="I1356" i="14"/>
  <c r="AZ1356" i="14"/>
  <c r="AY1356" i="14"/>
  <c r="R1356" i="14"/>
  <c r="BB1243" i="14"/>
  <c r="G1356" i="14"/>
  <c r="BG1356" i="14" s="1"/>
  <c r="BM1356" i="14"/>
  <c r="BL1243" i="14"/>
  <c r="BA1243" i="14"/>
  <c r="I1243" i="14"/>
  <c r="G1243" i="14"/>
  <c r="BG1243" i="14" s="1"/>
  <c r="AY1243" i="14"/>
  <c r="Q1243" i="14"/>
  <c r="E1243" i="14"/>
  <c r="E1255" i="14"/>
  <c r="R1243" i="14"/>
  <c r="T1243" i="14"/>
  <c r="J1243" i="14"/>
  <c r="U1243" i="14"/>
  <c r="BM1243" i="14"/>
  <c r="W1243" i="14"/>
  <c r="Q1255" i="14"/>
  <c r="BA1255" i="14"/>
  <c r="AY1255" i="14"/>
  <c r="BM1255" i="14"/>
  <c r="T1255" i="14"/>
  <c r="BL1255" i="14"/>
  <c r="BB1255" i="14"/>
  <c r="U1255" i="14"/>
  <c r="I1255" i="14"/>
  <c r="W1255" i="14"/>
  <c r="AF1255" i="14" s="1"/>
  <c r="R1255" i="14"/>
  <c r="J1255" i="14"/>
  <c r="AZ1255" i="14"/>
  <c r="BA1300" i="14"/>
  <c r="E1300" i="14"/>
  <c r="W1300" i="14"/>
  <c r="BA1339" i="14"/>
  <c r="E1339" i="14"/>
  <c r="BB1339" i="14"/>
  <c r="BL1380" i="14"/>
  <c r="BA1380" i="14"/>
  <c r="I1380" i="14"/>
  <c r="BL1339" i="14"/>
  <c r="Q1380" i="14"/>
  <c r="R1380" i="14"/>
  <c r="E1380" i="14"/>
  <c r="J1380" i="14"/>
  <c r="BM1380" i="14"/>
  <c r="W1380" i="14"/>
  <c r="BB1380" i="14"/>
  <c r="BM1339" i="14"/>
  <c r="Q1339" i="14"/>
  <c r="W1339" i="14"/>
  <c r="G1339" i="14"/>
  <c r="BG1339" i="14" s="1"/>
  <c r="AZ1339" i="14"/>
  <c r="I1339" i="14"/>
  <c r="T1339" i="14"/>
  <c r="J1237" i="14"/>
  <c r="AZ1380" i="14"/>
  <c r="G1380" i="14"/>
  <c r="BG1380" i="14" s="1"/>
  <c r="T1380" i="14"/>
  <c r="U1380" i="14"/>
  <c r="U1339" i="14"/>
  <c r="AY1339" i="14"/>
  <c r="J1339" i="14"/>
  <c r="W1237" i="14"/>
  <c r="T1237" i="14"/>
  <c r="BB1237" i="14"/>
  <c r="AY1237" i="14"/>
  <c r="BA1237" i="14"/>
  <c r="BM1237" i="14"/>
  <c r="AZ1237" i="14"/>
  <c r="E1237" i="14"/>
  <c r="U1237" i="14"/>
  <c r="G1237" i="14"/>
  <c r="BG1237" i="14" s="1"/>
  <c r="Q1237" i="14"/>
  <c r="I1237" i="14"/>
  <c r="R1237" i="14"/>
  <c r="J1370" i="14"/>
  <c r="R1307" i="14"/>
  <c r="BM1405" i="14"/>
  <c r="AZ1405" i="14"/>
  <c r="Q1405" i="14"/>
  <c r="E1354" i="14"/>
  <c r="W1405" i="14"/>
  <c r="BA1382" i="14"/>
  <c r="BM1382" i="14"/>
  <c r="E1405" i="14"/>
  <c r="BL1405" i="14"/>
  <c r="R1382" i="14"/>
  <c r="BA1405" i="14"/>
  <c r="G1405" i="14"/>
  <c r="BG1405" i="14" s="1"/>
  <c r="BB1405" i="14"/>
  <c r="I1405" i="14"/>
  <c r="W1382" i="14"/>
  <c r="J1382" i="14"/>
  <c r="G1354" i="14"/>
  <c r="BG1354" i="14" s="1"/>
  <c r="BL1354" i="14"/>
  <c r="J1405" i="14"/>
  <c r="AY1405" i="14"/>
  <c r="AY1264" i="14"/>
  <c r="R1405" i="14"/>
  <c r="T1405" i="14"/>
  <c r="U1354" i="14"/>
  <c r="BM1264" i="14"/>
  <c r="T1354" i="14"/>
  <c r="Q1382" i="14"/>
  <c r="R1354" i="14"/>
  <c r="BL1382" i="14"/>
  <c r="AZ1264" i="14"/>
  <c r="T1264" i="14"/>
  <c r="J1354" i="14"/>
  <c r="AY1382" i="14"/>
  <c r="U1264" i="14"/>
  <c r="BA1354" i="14"/>
  <c r="R1264" i="14"/>
  <c r="Q1264" i="14"/>
  <c r="BB1382" i="14"/>
  <c r="W1264" i="14"/>
  <c r="AF1264" i="14" s="1"/>
  <c r="AZ1354" i="14"/>
  <c r="G1382" i="14"/>
  <c r="BG1382" i="14" s="1"/>
  <c r="J1264" i="14"/>
  <c r="I1354" i="14"/>
  <c r="W1354" i="14"/>
  <c r="I1382" i="14"/>
  <c r="Q1354" i="14"/>
  <c r="BM1354" i="14"/>
  <c r="AZ1382" i="14"/>
  <c r="Q1342" i="14"/>
  <c r="BL1264" i="14"/>
  <c r="AY1354" i="14"/>
  <c r="T1382" i="14"/>
  <c r="R1342" i="14"/>
  <c r="E1382" i="14"/>
  <c r="J1342" i="14"/>
  <c r="BB1264" i="14"/>
  <c r="BA1264" i="14"/>
  <c r="I1342" i="14"/>
  <c r="BA1374" i="14"/>
  <c r="BL1342" i="14"/>
  <c r="AY1342" i="14"/>
  <c r="BB1342" i="14"/>
  <c r="E1342" i="14"/>
  <c r="R1374" i="14"/>
  <c r="BM1342" i="14"/>
  <c r="T1342" i="14"/>
  <c r="BH1342" i="14" s="1"/>
  <c r="AZ1342" i="14"/>
  <c r="I1264" i="14"/>
  <c r="U1342" i="14"/>
  <c r="BA1342" i="14"/>
  <c r="G1342" i="14"/>
  <c r="BG1342" i="14" s="1"/>
  <c r="E1264" i="14"/>
  <c r="AY1374" i="14"/>
  <c r="I1374" i="14"/>
  <c r="G1374" i="14"/>
  <c r="BG1374" i="14" s="1"/>
  <c r="BL1374" i="14"/>
  <c r="W1346" i="14"/>
  <c r="BL1268" i="14"/>
  <c r="BL1346" i="14"/>
  <c r="E1254" i="14"/>
  <c r="R1346" i="14"/>
  <c r="BL1254" i="14"/>
  <c r="H1338" i="14"/>
  <c r="AH1338" i="14" s="1"/>
  <c r="W1268" i="14"/>
  <c r="G1254" i="14"/>
  <c r="BG1254" i="14" s="1"/>
  <c r="G1268" i="14"/>
  <c r="BG1268" i="14" s="1"/>
  <c r="BB1346" i="14"/>
  <c r="G1346" i="14"/>
  <c r="BG1346" i="14" s="1"/>
  <c r="W1254" i="14"/>
  <c r="BA1268" i="14"/>
  <c r="AY1268" i="14"/>
  <c r="U1268" i="14"/>
  <c r="AY1346" i="14"/>
  <c r="Q1268" i="14"/>
  <c r="I1346" i="14"/>
  <c r="AY1254" i="14"/>
  <c r="Q1254" i="14"/>
  <c r="AZ1268" i="14"/>
  <c r="U1346" i="14"/>
  <c r="R1268" i="14"/>
  <c r="T1268" i="14"/>
  <c r="AZ1346" i="14"/>
  <c r="E1346" i="14"/>
  <c r="BB1254" i="14"/>
  <c r="BA1254" i="14"/>
  <c r="BD1338" i="14"/>
  <c r="J1268" i="14"/>
  <c r="R1254" i="14"/>
  <c r="I1268" i="14"/>
  <c r="BM1268" i="14"/>
  <c r="Q1346" i="14"/>
  <c r="AZ1254" i="14"/>
  <c r="J1346" i="14"/>
  <c r="E1268" i="14"/>
  <c r="BM1346" i="14"/>
  <c r="T1346" i="14"/>
  <c r="T1254" i="14"/>
  <c r="I1254" i="14"/>
  <c r="J1254" i="14"/>
  <c r="U1254" i="14"/>
  <c r="BB1374" i="14"/>
  <c r="J1374" i="14"/>
  <c r="BM1374" i="14"/>
  <c r="AZ1374" i="14"/>
  <c r="T1374" i="14"/>
  <c r="BH1374" i="14" s="1"/>
  <c r="G1370" i="14"/>
  <c r="BG1370" i="14" s="1"/>
  <c r="Q1374" i="14"/>
  <c r="BA1370" i="14"/>
  <c r="E1374" i="14"/>
  <c r="BB1370" i="14"/>
  <c r="U1374" i="14"/>
  <c r="W1370" i="14"/>
  <c r="BC1338" i="14"/>
  <c r="I1370" i="14"/>
  <c r="T1370" i="14"/>
  <c r="U1370" i="14"/>
  <c r="R1370" i="14"/>
  <c r="AF1338" i="14"/>
  <c r="J1397" i="14"/>
  <c r="W1307" i="14"/>
  <c r="J1307" i="14"/>
  <c r="AY1397" i="14"/>
  <c r="Q1370" i="14"/>
  <c r="BL1397" i="14"/>
  <c r="U1397" i="14"/>
  <c r="I1397" i="14"/>
  <c r="BL1370" i="14"/>
  <c r="AY1370" i="14"/>
  <c r="Q1307" i="14"/>
  <c r="BM1370" i="14"/>
  <c r="E1370" i="14"/>
  <c r="R1333" i="14"/>
  <c r="U1333" i="14"/>
  <c r="E1279" i="14"/>
  <c r="J1404" i="14"/>
  <c r="J1337" i="14"/>
  <c r="I1337" i="14"/>
  <c r="U1337" i="14"/>
  <c r="Q1349" i="14"/>
  <c r="G1397" i="14"/>
  <c r="BG1397" i="14" s="1"/>
  <c r="Q1337" i="14"/>
  <c r="I1307" i="14"/>
  <c r="BA1337" i="14"/>
  <c r="BL1337" i="14"/>
  <c r="BB1307" i="14"/>
  <c r="W1337" i="14"/>
  <c r="AF1337" i="14" s="1"/>
  <c r="E1337" i="14"/>
  <c r="AY1337" i="14"/>
  <c r="G1349" i="14"/>
  <c r="BG1349" i="14" s="1"/>
  <c r="W1333" i="14"/>
  <c r="BA1397" i="14"/>
  <c r="T1337" i="14"/>
  <c r="T1397" i="14"/>
  <c r="T1307" i="14"/>
  <c r="BL1404" i="14"/>
  <c r="BA1404" i="14"/>
  <c r="U1323" i="14"/>
  <c r="R1337" i="14"/>
  <c r="R1279" i="14"/>
  <c r="U1279" i="14"/>
  <c r="AZ1337" i="14"/>
  <c r="BB1337" i="14"/>
  <c r="BM1337" i="14"/>
  <c r="I1279" i="14"/>
  <c r="AY1323" i="14"/>
  <c r="Q1427" i="14"/>
  <c r="BM1247" i="14"/>
  <c r="BB1427" i="14"/>
  <c r="E1247" i="14"/>
  <c r="W1404" i="14"/>
  <c r="BB1404" i="14"/>
  <c r="P1338" i="14"/>
  <c r="BJ1338" i="14" s="1"/>
  <c r="Q1404" i="14"/>
  <c r="G1404" i="14"/>
  <c r="BG1404" i="14" s="1"/>
  <c r="AY1427" i="14"/>
  <c r="R1397" i="14"/>
  <c r="Q1279" i="14"/>
  <c r="BL1247" i="14"/>
  <c r="T1427" i="14"/>
  <c r="J1323" i="14"/>
  <c r="BB1247" i="14"/>
  <c r="BL1279" i="14"/>
  <c r="BM1404" i="14"/>
  <c r="R1427" i="14"/>
  <c r="BB1397" i="14"/>
  <c r="BL1307" i="14"/>
  <c r="W1247" i="14"/>
  <c r="I1247" i="14"/>
  <c r="BM1397" i="14"/>
  <c r="AZ1427" i="14"/>
  <c r="I1404" i="14"/>
  <c r="E1427" i="14"/>
  <c r="U1404" i="14"/>
  <c r="BL1427" i="14"/>
  <c r="J1247" i="14"/>
  <c r="AY1404" i="14"/>
  <c r="G1427" i="14"/>
  <c r="BG1427" i="14" s="1"/>
  <c r="U1427" i="14"/>
  <c r="G1307" i="14"/>
  <c r="BG1307" i="14" s="1"/>
  <c r="BM1307" i="14"/>
  <c r="R1404" i="14"/>
  <c r="BA1427" i="14"/>
  <c r="J1427" i="14"/>
  <c r="AZ1397" i="14"/>
  <c r="U1247" i="14"/>
  <c r="Q1247" i="14"/>
  <c r="Q1397" i="14"/>
  <c r="G1279" i="14"/>
  <c r="BG1279" i="14" s="1"/>
  <c r="AY1247" i="14"/>
  <c r="T1404" i="14"/>
  <c r="R1247" i="14"/>
  <c r="E1404" i="14"/>
  <c r="AY1279" i="14"/>
  <c r="AY1307" i="14"/>
  <c r="BA1307" i="14"/>
  <c r="W1323" i="14"/>
  <c r="AF1323" i="14" s="1"/>
  <c r="T1247" i="14"/>
  <c r="W1427" i="14"/>
  <c r="I1427" i="14"/>
  <c r="J1279" i="14"/>
  <c r="U1307" i="14"/>
  <c r="E1307" i="14"/>
  <c r="AZ1247" i="14"/>
  <c r="G1247" i="14"/>
  <c r="BG1247" i="14" s="1"/>
  <c r="W1397" i="14"/>
  <c r="T1333" i="14"/>
  <c r="BA1279" i="14"/>
  <c r="AZ1279" i="14"/>
  <c r="BB1279" i="14"/>
  <c r="Q1333" i="14"/>
  <c r="J1333" i="14"/>
  <c r="T1279" i="14"/>
  <c r="BL1333" i="14"/>
  <c r="G1333" i="14"/>
  <c r="BG1333" i="14" s="1"/>
  <c r="E1333" i="14"/>
  <c r="I1333" i="14"/>
  <c r="BB1333" i="14"/>
  <c r="BA1333" i="14"/>
  <c r="BL1301" i="14"/>
  <c r="W1279" i="14"/>
  <c r="BM1333" i="14"/>
  <c r="G1301" i="14"/>
  <c r="BG1301" i="14" s="1"/>
  <c r="AZ1333" i="14"/>
  <c r="E1301" i="14"/>
  <c r="BA1250" i="14"/>
  <c r="BM1349" i="14"/>
  <c r="BM1323" i="14"/>
  <c r="BB1349" i="14"/>
  <c r="W1301" i="14"/>
  <c r="U1349" i="14"/>
  <c r="AY1349" i="14"/>
  <c r="Q1301" i="14"/>
  <c r="BB1323" i="14"/>
  <c r="AZ1323" i="14"/>
  <c r="BB1301" i="14"/>
  <c r="E1323" i="14"/>
  <c r="I1301" i="14"/>
  <c r="BL1323" i="14"/>
  <c r="T1323" i="14"/>
  <c r="Q1323" i="14"/>
  <c r="BA1349" i="14"/>
  <c r="U1301" i="14"/>
  <c r="BA1323" i="14"/>
  <c r="R1323" i="14"/>
  <c r="I1323" i="14"/>
  <c r="BL1250" i="14"/>
  <c r="Q1250" i="14"/>
  <c r="T1250" i="14"/>
  <c r="AY1250" i="14"/>
  <c r="U1250" i="14"/>
  <c r="J1250" i="14"/>
  <c r="R1250" i="14"/>
  <c r="AY1238" i="14"/>
  <c r="I1250" i="14"/>
  <c r="J1319" i="14"/>
  <c r="E1238" i="14"/>
  <c r="T1301" i="14"/>
  <c r="G1250" i="14"/>
  <c r="BG1250" i="14" s="1"/>
  <c r="BB1250" i="14"/>
  <c r="I1238" i="14"/>
  <c r="Q1238" i="14"/>
  <c r="BL1349" i="14"/>
  <c r="E1349" i="14"/>
  <c r="AY1301" i="14"/>
  <c r="AZ1250" i="14"/>
  <c r="BB1238" i="14"/>
  <c r="BM1319" i="14"/>
  <c r="BM1238" i="14"/>
  <c r="G1238" i="14"/>
  <c r="BG1238" i="14" s="1"/>
  <c r="J1238" i="14"/>
  <c r="BA1238" i="14"/>
  <c r="R1349" i="14"/>
  <c r="I1349" i="14"/>
  <c r="W1349" i="14"/>
  <c r="BH1349" i="14" s="1"/>
  <c r="AZ1301" i="14"/>
  <c r="BM1250" i="14"/>
  <c r="W1238" i="14"/>
  <c r="U1238" i="14"/>
  <c r="BL1238" i="14"/>
  <c r="J1349" i="14"/>
  <c r="BM1301" i="14"/>
  <c r="W1250" i="14"/>
  <c r="R1301" i="14"/>
  <c r="T1238" i="14"/>
  <c r="AZ1238" i="14"/>
  <c r="BA1301" i="14"/>
  <c r="AZ1349" i="14"/>
  <c r="U1319" i="14"/>
  <c r="W1319" i="14"/>
  <c r="AF1319" i="14" s="1"/>
  <c r="BB1319" i="14"/>
  <c r="T1319" i="14"/>
  <c r="Q1319" i="14"/>
  <c r="I1319" i="14"/>
  <c r="BA1319" i="14"/>
  <c r="AY1319" i="14"/>
  <c r="BM1311" i="14"/>
  <c r="E1319" i="14"/>
  <c r="J1310" i="14"/>
  <c r="AZ1310" i="14"/>
  <c r="AY1376" i="14"/>
  <c r="BL1319" i="14"/>
  <c r="R1319" i="14"/>
  <c r="AZ1319" i="14"/>
  <c r="Q1376" i="14"/>
  <c r="W1376" i="14"/>
  <c r="AF1376" i="14" s="1"/>
  <c r="E1376" i="14"/>
  <c r="BM1376" i="14"/>
  <c r="I1376" i="14"/>
  <c r="BB1376" i="14"/>
  <c r="BL1376" i="14"/>
  <c r="T1376" i="14"/>
  <c r="U1376" i="14"/>
  <c r="BA1376" i="14"/>
  <c r="R1376" i="14"/>
  <c r="J1376" i="14"/>
  <c r="AZ1376" i="14"/>
  <c r="U1310" i="14"/>
  <c r="R1310" i="14"/>
  <c r="BM1310" i="14"/>
  <c r="AY1310" i="14"/>
  <c r="BB1310" i="14"/>
  <c r="J1406" i="14"/>
  <c r="G1310" i="14"/>
  <c r="Q1310" i="14"/>
  <c r="BA1310" i="14"/>
  <c r="BL1310" i="14"/>
  <c r="I1310" i="14"/>
  <c r="E1310" i="14"/>
  <c r="T1310" i="14"/>
  <c r="BH1310" i="14" s="1"/>
  <c r="BL1276" i="14"/>
  <c r="BL1406" i="14"/>
  <c r="T1406" i="14"/>
  <c r="BM1406" i="14"/>
  <c r="BB1406" i="14"/>
  <c r="I1406" i="14"/>
  <c r="U1406" i="14"/>
  <c r="G1353" i="14"/>
  <c r="BG1353" i="14" s="1"/>
  <c r="E1353" i="14"/>
  <c r="E1352" i="14"/>
  <c r="G1352" i="14"/>
  <c r="BG1352" i="14" s="1"/>
  <c r="I1352" i="14"/>
  <c r="T1352" i="14"/>
  <c r="J1352" i="14"/>
  <c r="W1352" i="14"/>
  <c r="BB1352" i="14"/>
  <c r="BL1352" i="14"/>
  <c r="G1276" i="14"/>
  <c r="BG1276" i="14" s="1"/>
  <c r="U1352" i="14"/>
  <c r="Q1352" i="14"/>
  <c r="W1290" i="14"/>
  <c r="BB1311" i="14"/>
  <c r="BL1311" i="14"/>
  <c r="T1311" i="14"/>
  <c r="BH1311" i="14" s="1"/>
  <c r="BA1311" i="14"/>
  <c r="Q1311" i="14"/>
  <c r="G1311" i="14"/>
  <c r="BG1311" i="14" s="1"/>
  <c r="I1311" i="14"/>
  <c r="E1311" i="14"/>
  <c r="AY1311" i="14"/>
  <c r="J1311" i="14"/>
  <c r="AZ1311" i="14"/>
  <c r="U1311" i="14"/>
  <c r="R1311" i="14"/>
  <c r="J1248" i="14"/>
  <c r="BL1344" i="14"/>
  <c r="W1248" i="14"/>
  <c r="AF1248" i="14" s="1"/>
  <c r="R1248" i="14"/>
  <c r="I1248" i="14"/>
  <c r="I1344" i="14"/>
  <c r="BL1248" i="14"/>
  <c r="AY1344" i="14"/>
  <c r="BB1344" i="14"/>
  <c r="BA1248" i="14"/>
  <c r="BM1344" i="14"/>
  <c r="Q1344" i="14"/>
  <c r="T1344" i="14"/>
  <c r="BB1248" i="14"/>
  <c r="U1344" i="14"/>
  <c r="E1344" i="14"/>
  <c r="G1344" i="14"/>
  <c r="BG1344" i="14" s="1"/>
  <c r="T1248" i="14"/>
  <c r="BM1248" i="14"/>
  <c r="R1344" i="14"/>
  <c r="E1248" i="14"/>
  <c r="U1248" i="14"/>
  <c r="AY1248" i="14"/>
  <c r="J1344" i="14"/>
  <c r="Q1248" i="14"/>
  <c r="W1344" i="14"/>
  <c r="AZ1344" i="14"/>
  <c r="AZ1248" i="14"/>
  <c r="AY1290" i="14"/>
  <c r="J1290" i="14"/>
  <c r="U1290" i="14"/>
  <c r="U1350" i="14"/>
  <c r="BA1350" i="14"/>
  <c r="T1317" i="14"/>
  <c r="AY1350" i="14"/>
  <c r="Q1350" i="14"/>
  <c r="BB1350" i="14"/>
  <c r="T1353" i="14"/>
  <c r="G1406" i="14"/>
  <c r="BG1406" i="14" s="1"/>
  <c r="BM1350" i="14"/>
  <c r="BL1353" i="14"/>
  <c r="I1350" i="14"/>
  <c r="T1350" i="14"/>
  <c r="BH1350" i="14" s="1"/>
  <c r="Q1353" i="14"/>
  <c r="AZ1290" i="14"/>
  <c r="AY1406" i="14"/>
  <c r="BA1406" i="14"/>
  <c r="AZ1406" i="14"/>
  <c r="BL1350" i="14"/>
  <c r="W1353" i="14"/>
  <c r="BB1353" i="14"/>
  <c r="R1353" i="14"/>
  <c r="J1350" i="14"/>
  <c r="T1290" i="14"/>
  <c r="E1406" i="14"/>
  <c r="AZ1353" i="14"/>
  <c r="BM1353" i="14"/>
  <c r="BA1353" i="14"/>
  <c r="BL1290" i="14"/>
  <c r="BB1290" i="14"/>
  <c r="I1353" i="14"/>
  <c r="Q1290" i="14"/>
  <c r="W1406" i="14"/>
  <c r="AY1353" i="14"/>
  <c r="J1353" i="14"/>
  <c r="R1317" i="14"/>
  <c r="R1290" i="14"/>
  <c r="G1350" i="14"/>
  <c r="BG1350" i="14" s="1"/>
  <c r="AZ1350" i="14"/>
  <c r="I1290" i="14"/>
  <c r="E1350" i="14"/>
  <c r="Q1406" i="14"/>
  <c r="R1350" i="14"/>
  <c r="AZ1327" i="14"/>
  <c r="J1327" i="14"/>
  <c r="G1314" i="14"/>
  <c r="BG1314" i="14" s="1"/>
  <c r="BB1327" i="14"/>
  <c r="T1314" i="14"/>
  <c r="T1327" i="14"/>
  <c r="U1314" i="14"/>
  <c r="W1385" i="14"/>
  <c r="R1327" i="14"/>
  <c r="E1314" i="14"/>
  <c r="E1327" i="14"/>
  <c r="BA1314" i="14"/>
  <c r="J1314" i="14"/>
  <c r="BA1327" i="14"/>
  <c r="AY1314" i="14"/>
  <c r="W1314" i="14"/>
  <c r="Q1327" i="14"/>
  <c r="BM1314" i="14"/>
  <c r="BM1327" i="14"/>
  <c r="Q1385" i="14"/>
  <c r="Q1314" i="14"/>
  <c r="AY1327" i="14"/>
  <c r="J1385" i="14"/>
  <c r="E1290" i="14"/>
  <c r="BL1327" i="14"/>
  <c r="W1327" i="14"/>
  <c r="AF1327" i="14" s="1"/>
  <c r="BL1314" i="14"/>
  <c r="BA1352" i="14"/>
  <c r="I1327" i="14"/>
  <c r="G1290" i="14"/>
  <c r="BG1290" i="14" s="1"/>
  <c r="AY1276" i="14"/>
  <c r="BM1290" i="14"/>
  <c r="U1327" i="14"/>
  <c r="I1314" i="14"/>
  <c r="BB1314" i="14"/>
  <c r="AZ1385" i="14"/>
  <c r="AZ1352" i="14"/>
  <c r="BM1352" i="14"/>
  <c r="AY1352" i="14"/>
  <c r="AZ1314" i="14"/>
  <c r="R1276" i="14"/>
  <c r="J1276" i="14"/>
  <c r="I1276" i="14"/>
  <c r="BM1276" i="14"/>
  <c r="BA1276" i="14"/>
  <c r="BB1276" i="14"/>
  <c r="W1276" i="14"/>
  <c r="BH1276" i="14" s="1"/>
  <c r="Q1276" i="14"/>
  <c r="E1276" i="14"/>
  <c r="AZ1276" i="14"/>
  <c r="R1288" i="14"/>
  <c r="AZ1317" i="14"/>
  <c r="I1317" i="14"/>
  <c r="G1317" i="14"/>
  <c r="BG1317" i="14" s="1"/>
  <c r="E1317" i="14"/>
  <c r="Q1317" i="14"/>
  <c r="BL1317" i="14"/>
  <c r="W1317" i="14"/>
  <c r="AY1317" i="14"/>
  <c r="BB1317" i="14"/>
  <c r="BM1317" i="14"/>
  <c r="BA1317" i="14"/>
  <c r="J1317" i="14"/>
  <c r="U1385" i="14"/>
  <c r="T1385" i="14"/>
  <c r="BB1385" i="14"/>
  <c r="E1385" i="14"/>
  <c r="G1385" i="14"/>
  <c r="BG1385" i="14" s="1"/>
  <c r="BL1385" i="14"/>
  <c r="BA1385" i="14"/>
  <c r="AY1385" i="14"/>
  <c r="E1371" i="14"/>
  <c r="BM1371" i="14"/>
  <c r="W1371" i="14"/>
  <c r="AF1371" i="14" s="1"/>
  <c r="U1261" i="14"/>
  <c r="AY1371" i="14"/>
  <c r="R1371" i="14"/>
  <c r="G1261" i="14"/>
  <c r="BG1261" i="14" s="1"/>
  <c r="BB1371" i="14"/>
  <c r="BL1371" i="14"/>
  <c r="Q1371" i="14"/>
  <c r="BL1261" i="14"/>
  <c r="BA1371" i="14"/>
  <c r="J1371" i="14"/>
  <c r="AZ1371" i="14"/>
  <c r="I1371" i="14"/>
  <c r="BM1385" i="14"/>
  <c r="R1385" i="14"/>
  <c r="I1261" i="14"/>
  <c r="J1261" i="14"/>
  <c r="T1261" i="14"/>
  <c r="BH1261" i="14" s="1"/>
  <c r="U1371" i="14"/>
  <c r="Q1261" i="14"/>
  <c r="BM1261" i="14"/>
  <c r="T1371" i="14"/>
  <c r="BL1399" i="14"/>
  <c r="I1399" i="14"/>
  <c r="W1355" i="14"/>
  <c r="E1399" i="14"/>
  <c r="BA1399" i="14"/>
  <c r="W1399" i="14"/>
  <c r="BB1355" i="14"/>
  <c r="G1399" i="14"/>
  <c r="BG1399" i="14" s="1"/>
  <c r="BB1399" i="14"/>
  <c r="BA1355" i="14"/>
  <c r="Q1399" i="14"/>
  <c r="BM1399" i="14"/>
  <c r="R1355" i="14"/>
  <c r="AY1399" i="14"/>
  <c r="G1355" i="14"/>
  <c r="BG1355" i="14" s="1"/>
  <c r="AZ1399" i="14"/>
  <c r="T1399" i="14"/>
  <c r="U1399" i="14"/>
  <c r="AY1355" i="14"/>
  <c r="J1399" i="14"/>
  <c r="U1276" i="14"/>
  <c r="BB1229" i="14"/>
  <c r="R1229" i="14"/>
  <c r="I1229" i="14"/>
  <c r="AY1229" i="14"/>
  <c r="E1229" i="14"/>
  <c r="U1229" i="14"/>
  <c r="BL1229" i="14"/>
  <c r="Q1229" i="14"/>
  <c r="BM1229" i="14"/>
  <c r="G1229" i="14"/>
  <c r="BG1229" i="14" s="1"/>
  <c r="W1229" i="14"/>
  <c r="BA1329" i="14"/>
  <c r="AZ1229" i="14"/>
  <c r="J1229" i="14"/>
  <c r="T1229" i="14"/>
  <c r="E1355" i="14"/>
  <c r="J1355" i="14"/>
  <c r="BM1355" i="14"/>
  <c r="E1289" i="14"/>
  <c r="I1355" i="14"/>
  <c r="Q1355" i="14"/>
  <c r="T1355" i="14"/>
  <c r="U1355" i="14"/>
  <c r="BL1355" i="14"/>
  <c r="AZ1261" i="14"/>
  <c r="BA1261" i="14"/>
  <c r="R1261" i="14"/>
  <c r="AY1261" i="14"/>
  <c r="E1261" i="14"/>
  <c r="BB1261" i="14"/>
  <c r="E1288" i="14"/>
  <c r="BL1288" i="14"/>
  <c r="BM1288" i="14"/>
  <c r="W1288" i="14"/>
  <c r="G1288" i="14"/>
  <c r="T1288" i="14"/>
  <c r="J1288" i="14"/>
  <c r="U1426" i="14"/>
  <c r="BA1288" i="14"/>
  <c r="AZ1426" i="14"/>
  <c r="BM1286" i="14"/>
  <c r="I1286" i="14"/>
  <c r="Q1288" i="14"/>
  <c r="BA1426" i="14"/>
  <c r="J1308" i="14"/>
  <c r="BB1288" i="14"/>
  <c r="I1288" i="14"/>
  <c r="E1426" i="14"/>
  <c r="BL1331" i="14"/>
  <c r="G1308" i="14"/>
  <c r="BG1308" i="14" s="1"/>
  <c r="U1288" i="14"/>
  <c r="J1426" i="14"/>
  <c r="BA1308" i="14"/>
  <c r="AY1288" i="14"/>
  <c r="BL1274" i="14"/>
  <c r="U1286" i="14"/>
  <c r="AY1274" i="14"/>
  <c r="BB1274" i="14"/>
  <c r="BA1388" i="14"/>
  <c r="AY1388" i="14"/>
  <c r="R1274" i="14"/>
  <c r="AZ1388" i="14"/>
  <c r="W1388" i="14"/>
  <c r="J1274" i="14"/>
  <c r="E1388" i="14"/>
  <c r="AZ1308" i="14"/>
  <c r="BM1426" i="14"/>
  <c r="AY1286" i="14"/>
  <c r="E1286" i="14"/>
  <c r="BM1331" i="14"/>
  <c r="AY1426" i="14"/>
  <c r="R1426" i="14"/>
  <c r="BL1286" i="14"/>
  <c r="W1286" i="14"/>
  <c r="I1426" i="14"/>
  <c r="BB1426" i="14"/>
  <c r="BL1426" i="14"/>
  <c r="Q1426" i="14"/>
  <c r="W1426" i="14"/>
  <c r="BH1426" i="14" s="1"/>
  <c r="G1286" i="14"/>
  <c r="BG1286" i="14" s="1"/>
  <c r="BM1308" i="14"/>
  <c r="G1426" i="14"/>
  <c r="BG1426" i="14" s="1"/>
  <c r="BA1286" i="14"/>
  <c r="W1274" i="14"/>
  <c r="AF1274" i="14" s="1"/>
  <c r="BA1274" i="14"/>
  <c r="U1274" i="14"/>
  <c r="Q1274" i="14"/>
  <c r="I1274" i="14"/>
  <c r="T1274" i="14"/>
  <c r="BM1274" i="14"/>
  <c r="AZ1274" i="14"/>
  <c r="E1274" i="14"/>
  <c r="R1286" i="14"/>
  <c r="BB1286" i="14"/>
  <c r="T1286" i="14"/>
  <c r="BL1395" i="14"/>
  <c r="I1395" i="14"/>
  <c r="BM1395" i="14"/>
  <c r="AY1395" i="14"/>
  <c r="Q1230" i="14"/>
  <c r="AY1230" i="14"/>
  <c r="AZ1331" i="14"/>
  <c r="BM1230" i="14"/>
  <c r="AZ1395" i="14"/>
  <c r="T1230" i="14"/>
  <c r="I1308" i="14"/>
  <c r="R1331" i="14"/>
  <c r="U1395" i="14"/>
  <c r="AZ1230" i="14"/>
  <c r="BL1230" i="14"/>
  <c r="BB1395" i="14"/>
  <c r="T1395" i="14"/>
  <c r="BH1395" i="14" s="1"/>
  <c r="R1395" i="14"/>
  <c r="U1230" i="14"/>
  <c r="T1368" i="14"/>
  <c r="I1230" i="14"/>
  <c r="Q1422" i="14"/>
  <c r="G1395" i="14"/>
  <c r="BG1395" i="14" s="1"/>
  <c r="J1395" i="14"/>
  <c r="G1230" i="14"/>
  <c r="BG1230" i="14" s="1"/>
  <c r="R1230" i="14"/>
  <c r="BA1395" i="14"/>
  <c r="E1395" i="14"/>
  <c r="BA1230" i="14"/>
  <c r="E1230" i="14"/>
  <c r="J1331" i="14"/>
  <c r="U1329" i="14"/>
  <c r="BB1230" i="14"/>
  <c r="Q1395" i="14"/>
  <c r="W1230" i="14"/>
  <c r="U1363" i="14"/>
  <c r="BA1363" i="14"/>
  <c r="BB1331" i="14"/>
  <c r="BM1363" i="14"/>
  <c r="Q1331" i="14"/>
  <c r="W1331" i="14"/>
  <c r="BH1331" i="14" s="1"/>
  <c r="I1331" i="14"/>
  <c r="BA1331" i="14"/>
  <c r="AZ1315" i="14"/>
  <c r="U1308" i="14"/>
  <c r="J1363" i="14"/>
  <c r="AY1422" i="14"/>
  <c r="BB1308" i="14"/>
  <c r="BA1315" i="14"/>
  <c r="W1242" i="14"/>
  <c r="G1331" i="14"/>
  <c r="BG1331" i="14" s="1"/>
  <c r="AY1308" i="14"/>
  <c r="W1308" i="14"/>
  <c r="T1363" i="14"/>
  <c r="Q1308" i="14"/>
  <c r="I1242" i="14"/>
  <c r="BL1308" i="14"/>
  <c r="R1308" i="14"/>
  <c r="E1308" i="14"/>
  <c r="BL1242" i="14"/>
  <c r="AY1331" i="14"/>
  <c r="U1368" i="14"/>
  <c r="E1331" i="14"/>
  <c r="U1331" i="14"/>
  <c r="W1241" i="14"/>
  <c r="R1412" i="14"/>
  <c r="U1252" i="14"/>
  <c r="BB1412" i="14"/>
  <c r="G1412" i="14"/>
  <c r="BG1412" i="14" s="1"/>
  <c r="U1412" i="14"/>
  <c r="T1252" i="14"/>
  <c r="R1241" i="14"/>
  <c r="BL1252" i="14"/>
  <c r="U1241" i="14"/>
  <c r="R1326" i="14"/>
  <c r="BB1389" i="14"/>
  <c r="I1389" i="14"/>
  <c r="AY1389" i="14"/>
  <c r="AZ1363" i="14"/>
  <c r="BB1363" i="14"/>
  <c r="U1389" i="14"/>
  <c r="E1315" i="14"/>
  <c r="U1242" i="14"/>
  <c r="BL1363" i="14"/>
  <c r="BM1326" i="14"/>
  <c r="G1315" i="14"/>
  <c r="BG1315" i="14" s="1"/>
  <c r="BB1242" i="14"/>
  <c r="AY1363" i="14"/>
  <c r="BA1267" i="14"/>
  <c r="AY1315" i="14"/>
  <c r="J1242" i="14"/>
  <c r="T1267" i="14"/>
  <c r="BH1267" i="14" s="1"/>
  <c r="J1277" i="14"/>
  <c r="BB1326" i="14"/>
  <c r="E1363" i="14"/>
  <c r="U1315" i="14"/>
  <c r="BM1242" i="14"/>
  <c r="BL1277" i="14"/>
  <c r="E1326" i="14"/>
  <c r="G1363" i="14"/>
  <c r="BG1363" i="14" s="1"/>
  <c r="BM1315" i="14"/>
  <c r="J1315" i="14"/>
  <c r="U1267" i="14"/>
  <c r="BB1315" i="14"/>
  <c r="G1277" i="14"/>
  <c r="BG1277" i="14" s="1"/>
  <c r="R1277" i="14"/>
  <c r="BA1326" i="14"/>
  <c r="Q1363" i="14"/>
  <c r="T1315" i="14"/>
  <c r="BA1242" i="14"/>
  <c r="T1242" i="14"/>
  <c r="BM1341" i="14"/>
  <c r="AZ1242" i="14"/>
  <c r="R1315" i="14"/>
  <c r="W1326" i="14"/>
  <c r="BL1315" i="14"/>
  <c r="R1242" i="14"/>
  <c r="AZ1341" i="14"/>
  <c r="I1315" i="14"/>
  <c r="BB1341" i="14"/>
  <c r="W1363" i="14"/>
  <c r="I1363" i="14"/>
  <c r="AZ1389" i="14"/>
  <c r="W1315" i="14"/>
  <c r="R1267" i="14"/>
  <c r="Q1242" i="14"/>
  <c r="E1242" i="14"/>
  <c r="T1341" i="14"/>
  <c r="E1389" i="14"/>
  <c r="G1242" i="14"/>
  <c r="BG1242" i="14" s="1"/>
  <c r="J1286" i="14"/>
  <c r="AZ1286" i="14"/>
  <c r="BA1412" i="14"/>
  <c r="W1252" i="14"/>
  <c r="AZ1241" i="14"/>
  <c r="W1412" i="14"/>
  <c r="Q1241" i="14"/>
  <c r="T1412" i="14"/>
  <c r="Q1252" i="14"/>
  <c r="J1241" i="14"/>
  <c r="E1415" i="14"/>
  <c r="BL1262" i="14"/>
  <c r="AY1257" i="14"/>
  <c r="BM1233" i="14"/>
  <c r="AY1241" i="14"/>
  <c r="AY1412" i="14"/>
  <c r="J1233" i="14"/>
  <c r="BA1228" i="14"/>
  <c r="T1241" i="14"/>
  <c r="BG1306" i="14"/>
  <c r="BM1270" i="14"/>
  <c r="U1257" i="14"/>
  <c r="I1412" i="14"/>
  <c r="BM1412" i="14"/>
  <c r="I1252" i="14"/>
  <c r="BA1252" i="14"/>
  <c r="BL1228" i="14"/>
  <c r="E1241" i="14"/>
  <c r="R1428" i="14"/>
  <c r="BM1252" i="14"/>
  <c r="BL1241" i="14"/>
  <c r="Q1233" i="14"/>
  <c r="BL1412" i="14"/>
  <c r="AY1252" i="14"/>
  <c r="BA1241" i="14"/>
  <c r="E1412" i="14"/>
  <c r="Q1270" i="14"/>
  <c r="AZ1252" i="14"/>
  <c r="BB1252" i="14"/>
  <c r="BM1241" i="14"/>
  <c r="R1252" i="14"/>
  <c r="BB1241" i="14"/>
  <c r="BB1415" i="14"/>
  <c r="AZ1412" i="14"/>
  <c r="J1412" i="14"/>
  <c r="G1252" i="14"/>
  <c r="BG1252" i="14" s="1"/>
  <c r="E1252" i="14"/>
  <c r="G1241" i="14"/>
  <c r="BG1241" i="14" s="1"/>
  <c r="J1270" i="14"/>
  <c r="Q1277" i="14"/>
  <c r="I1326" i="14"/>
  <c r="I1277" i="14"/>
  <c r="G1270" i="14"/>
  <c r="BG1270" i="14" s="1"/>
  <c r="Q1415" i="14"/>
  <c r="T1389" i="14"/>
  <c r="BM1389" i="14"/>
  <c r="AZ1267" i="14"/>
  <c r="AY1267" i="14"/>
  <c r="BL1341" i="14"/>
  <c r="AY1341" i="14"/>
  <c r="U1341" i="14"/>
  <c r="U1277" i="14"/>
  <c r="G1326" i="14"/>
  <c r="BG1326" i="14" s="1"/>
  <c r="BL1415" i="14"/>
  <c r="R1389" i="14"/>
  <c r="AY1228" i="14"/>
  <c r="BM1277" i="14"/>
  <c r="Q1326" i="14"/>
  <c r="R1415" i="14"/>
  <c r="BM1415" i="14"/>
  <c r="J1389" i="14"/>
  <c r="J1267" i="14"/>
  <c r="AY1233" i="14"/>
  <c r="E1341" i="14"/>
  <c r="R1341" i="14"/>
  <c r="T1228" i="14"/>
  <c r="Q1267" i="14"/>
  <c r="G1341" i="14"/>
  <c r="BG1341" i="14" s="1"/>
  <c r="BL1233" i="14"/>
  <c r="T1277" i="14"/>
  <c r="J1326" i="14"/>
  <c r="W1270" i="14"/>
  <c r="J1415" i="14"/>
  <c r="U1415" i="14"/>
  <c r="G1389" i="14"/>
  <c r="BG1389" i="14" s="1"/>
  <c r="BM1267" i="14"/>
  <c r="U1228" i="14"/>
  <c r="BB1267" i="14"/>
  <c r="BA1270" i="14"/>
  <c r="BM1228" i="14"/>
  <c r="AY1277" i="14"/>
  <c r="AZ1326" i="14"/>
  <c r="E1270" i="14"/>
  <c r="I1270" i="14"/>
  <c r="G1415" i="14"/>
  <c r="BG1415" i="14" s="1"/>
  <c r="AZ1415" i="14"/>
  <c r="BA1389" i="14"/>
  <c r="G1267" i="14"/>
  <c r="BG1267" i="14" s="1"/>
  <c r="J1341" i="14"/>
  <c r="J1228" i="14"/>
  <c r="AY1415" i="14"/>
  <c r="T1415" i="14"/>
  <c r="T1326" i="14"/>
  <c r="AY1270" i="14"/>
  <c r="BB1270" i="14"/>
  <c r="BA1415" i="14"/>
  <c r="W1389" i="14"/>
  <c r="BL1267" i="14"/>
  <c r="E1267" i="14"/>
  <c r="W1341" i="14"/>
  <c r="U1270" i="14"/>
  <c r="AZ1277" i="14"/>
  <c r="BL1326" i="14"/>
  <c r="BL1270" i="14"/>
  <c r="R1270" i="14"/>
  <c r="W1415" i="14"/>
  <c r="Q1389" i="14"/>
  <c r="W1233" i="14"/>
  <c r="AF1233" i="14" s="1"/>
  <c r="R1233" i="14"/>
  <c r="Q1341" i="14"/>
  <c r="BA1277" i="14"/>
  <c r="E1277" i="14"/>
  <c r="W1277" i="14"/>
  <c r="AY1326" i="14"/>
  <c r="T1270" i="14"/>
  <c r="I1267" i="14"/>
  <c r="BA1233" i="14"/>
  <c r="AZ1233" i="14"/>
  <c r="I1257" i="14"/>
  <c r="I1341" i="14"/>
  <c r="R1368" i="14"/>
  <c r="BA1368" i="14"/>
  <c r="J1368" i="14"/>
  <c r="BM1368" i="14"/>
  <c r="J1257" i="14"/>
  <c r="G1368" i="14"/>
  <c r="BG1368" i="14" s="1"/>
  <c r="E1368" i="14"/>
  <c r="T1257" i="14"/>
  <c r="BH1257" i="14" s="1"/>
  <c r="BB1257" i="14"/>
  <c r="BB1398" i="14"/>
  <c r="AZ1368" i="14"/>
  <c r="G1257" i="14"/>
  <c r="BG1257" i="14" s="1"/>
  <c r="W1398" i="14"/>
  <c r="BA1257" i="14"/>
  <c r="E1398" i="14"/>
  <c r="Q1368" i="14"/>
  <c r="BB1368" i="14"/>
  <c r="R1258" i="14"/>
  <c r="AZ1289" i="14"/>
  <c r="W1368" i="14"/>
  <c r="AY1368" i="14"/>
  <c r="E1257" i="14"/>
  <c r="Q1258" i="14"/>
  <c r="BL1368" i="14"/>
  <c r="AY1386" i="14"/>
  <c r="J1258" i="14"/>
  <c r="Q1398" i="14"/>
  <c r="R1386" i="14"/>
  <c r="BM1386" i="14"/>
  <c r="BL1386" i="14"/>
  <c r="J1386" i="14"/>
  <c r="I1258" i="14"/>
  <c r="U1258" i="14"/>
  <c r="R1329" i="14"/>
  <c r="W1329" i="14"/>
  <c r="BH1329" i="14" s="1"/>
  <c r="G1398" i="14"/>
  <c r="BG1398" i="14" s="1"/>
  <c r="BA1398" i="14"/>
  <c r="I1386" i="14"/>
  <c r="BM1388" i="14"/>
  <c r="BB1289" i="14"/>
  <c r="BA1258" i="14"/>
  <c r="R1388" i="14"/>
  <c r="I1398" i="14"/>
  <c r="G1289" i="14"/>
  <c r="BG1289" i="14" s="1"/>
  <c r="E1233" i="14"/>
  <c r="R1228" i="14"/>
  <c r="I1228" i="14"/>
  <c r="BL1257" i="14"/>
  <c r="BB1258" i="14"/>
  <c r="U1398" i="14"/>
  <c r="Q1289" i="14"/>
  <c r="BA1289" i="14"/>
  <c r="W1289" i="14"/>
  <c r="BH1289" i="14" s="1"/>
  <c r="G1386" i="14"/>
  <c r="BG1386" i="14" s="1"/>
  <c r="BB1233" i="14"/>
  <c r="G1228" i="14"/>
  <c r="BG1228" i="14" s="1"/>
  <c r="BB1228" i="14"/>
  <c r="Q1257" i="14"/>
  <c r="G1258" i="14"/>
  <c r="BG1258" i="14" s="1"/>
  <c r="T1258" i="14"/>
  <c r="J1289" i="14"/>
  <c r="Q1386" i="14"/>
  <c r="AY1329" i="14"/>
  <c r="BL1329" i="14"/>
  <c r="E1386" i="14"/>
  <c r="T1388" i="14"/>
  <c r="AY1398" i="14"/>
  <c r="I1289" i="14"/>
  <c r="U1289" i="14"/>
  <c r="W1228" i="14"/>
  <c r="AZ1228" i="14"/>
  <c r="BM1257" i="14"/>
  <c r="BM1258" i="14"/>
  <c r="I1233" i="14"/>
  <c r="I1329" i="14"/>
  <c r="Q1329" i="14"/>
  <c r="G1329" i="14"/>
  <c r="BG1329" i="14" s="1"/>
  <c r="T1386" i="14"/>
  <c r="BB1386" i="14"/>
  <c r="G1388" i="14"/>
  <c r="BG1388" i="14" s="1"/>
  <c r="J1398" i="14"/>
  <c r="AY1289" i="14"/>
  <c r="BL1289" i="14"/>
  <c r="E1228" i="14"/>
  <c r="R1257" i="14"/>
  <c r="W1258" i="14"/>
  <c r="U1388" i="14"/>
  <c r="AZ1329" i="14"/>
  <c r="BB1329" i="14"/>
  <c r="AZ1258" i="14"/>
  <c r="J1388" i="14"/>
  <c r="R1398" i="14"/>
  <c r="BM1289" i="14"/>
  <c r="W1386" i="14"/>
  <c r="BL1258" i="14"/>
  <c r="U1386" i="14"/>
  <c r="BM1398" i="14"/>
  <c r="BL1388" i="14"/>
  <c r="T1398" i="14"/>
  <c r="Q1388" i="14"/>
  <c r="BB1388" i="14"/>
  <c r="BL1398" i="14"/>
  <c r="R1289" i="14"/>
  <c r="BA1386" i="14"/>
  <c r="T1233" i="14"/>
  <c r="U1233" i="14"/>
  <c r="AZ1257" i="14"/>
  <c r="E1258" i="14"/>
  <c r="J1329" i="14"/>
  <c r="U1425" i="14"/>
  <c r="AY1425" i="14"/>
  <c r="J1425" i="14"/>
  <c r="BB1425" i="14"/>
  <c r="BA1425" i="14"/>
  <c r="R1425" i="14"/>
  <c r="I1425" i="14"/>
  <c r="BL1425" i="14"/>
  <c r="G1425" i="14"/>
  <c r="BG1425" i="14" s="1"/>
  <c r="AZ1425" i="14"/>
  <c r="E1425" i="14"/>
  <c r="T1425" i="14"/>
  <c r="BM1422" i="14"/>
  <c r="I1422" i="14"/>
  <c r="J1422" i="14"/>
  <c r="E1422" i="14"/>
  <c r="AZ1422" i="14"/>
  <c r="W1422" i="14"/>
  <c r="BA1422" i="14"/>
  <c r="G1422" i="14"/>
  <c r="BG1422" i="14" s="1"/>
  <c r="Q1425" i="14"/>
  <c r="W1425" i="14"/>
  <c r="T1422" i="14"/>
  <c r="BB1422" i="14"/>
  <c r="E1329" i="14"/>
  <c r="U1422" i="14"/>
  <c r="BL1422" i="14"/>
  <c r="BM1329" i="14"/>
  <c r="BM1249" i="14"/>
  <c r="J1249" i="14"/>
  <c r="R1249" i="14"/>
  <c r="Q1249" i="14"/>
  <c r="Q1383" i="14"/>
  <c r="BB1383" i="14"/>
  <c r="BM1383" i="14"/>
  <c r="J1383" i="14"/>
  <c r="R1383" i="14"/>
  <c r="W1383" i="14"/>
  <c r="BL1383" i="14"/>
  <c r="BM1239" i="14"/>
  <c r="G1383" i="14"/>
  <c r="BG1383" i="14" s="1"/>
  <c r="E1383" i="14"/>
  <c r="AY1383" i="14"/>
  <c r="T1383" i="14"/>
  <c r="BA1383" i="14"/>
  <c r="U1383" i="14"/>
  <c r="AZ1383" i="14"/>
  <c r="BC1303" i="14"/>
  <c r="R1269" i="14"/>
  <c r="E1403" i="14"/>
  <c r="G1240" i="14"/>
  <c r="BG1240" i="14" s="1"/>
  <c r="R1362" i="14"/>
  <c r="T1362" i="14"/>
  <c r="J1362" i="14"/>
  <c r="BH1303" i="14"/>
  <c r="BF1303" i="14" s="1"/>
  <c r="U1362" i="14"/>
  <c r="BB1335" i="14"/>
  <c r="G1335" i="14"/>
  <c r="BG1335" i="14" s="1"/>
  <c r="Q1362" i="14"/>
  <c r="U1335" i="14"/>
  <c r="BB1362" i="14"/>
  <c r="BM1362" i="14"/>
  <c r="BL1362" i="14"/>
  <c r="T1335" i="14"/>
  <c r="I1362" i="14"/>
  <c r="G1362" i="14"/>
  <c r="BG1362" i="14" s="1"/>
  <c r="AF1303" i="14"/>
  <c r="BA1362" i="14"/>
  <c r="AY1362" i="14"/>
  <c r="W1362" i="14"/>
  <c r="AZ1362" i="14"/>
  <c r="G1365" i="14"/>
  <c r="BG1365" i="14" s="1"/>
  <c r="Q1365" i="14"/>
  <c r="BA1365" i="14"/>
  <c r="BL1269" i="14"/>
  <c r="BA1305" i="14"/>
  <c r="T1316" i="14"/>
  <c r="Q1316" i="14"/>
  <c r="BD1303" i="14"/>
  <c r="H1303" i="14"/>
  <c r="BI1303" i="14" s="1"/>
  <c r="P1303" i="14"/>
  <c r="AG1303" i="14" s="1"/>
  <c r="W1316" i="14"/>
  <c r="I1269" i="14"/>
  <c r="I1298" i="14"/>
  <c r="AY1249" i="14"/>
  <c r="E1249" i="14"/>
  <c r="J1239" i="14"/>
  <c r="G1239" i="14"/>
  <c r="BG1239" i="14" s="1"/>
  <c r="BA1239" i="14"/>
  <c r="BL1249" i="14"/>
  <c r="G1269" i="14"/>
  <c r="BG1269" i="14" s="1"/>
  <c r="AZ1239" i="14"/>
  <c r="BL1239" i="14"/>
  <c r="BA1262" i="14"/>
  <c r="BB1269" i="14"/>
  <c r="I1249" i="14"/>
  <c r="U1249" i="14"/>
  <c r="T1239" i="14"/>
  <c r="E1239" i="14"/>
  <c r="BB1282" i="14"/>
  <c r="BB1249" i="14"/>
  <c r="AZ1249" i="14"/>
  <c r="U1239" i="14"/>
  <c r="W1269" i="14"/>
  <c r="BA1249" i="14"/>
  <c r="AY1239" i="14"/>
  <c r="AY1262" i="14"/>
  <c r="BC1232" i="14"/>
  <c r="J1305" i="14"/>
  <c r="W1249" i="14"/>
  <c r="BH1249" i="14" s="1"/>
  <c r="BB1239" i="14"/>
  <c r="BM1262" i="14"/>
  <c r="W1239" i="14"/>
  <c r="Q1239" i="14"/>
  <c r="BL1316" i="14"/>
  <c r="G1249" i="14"/>
  <c r="BG1249" i="14" s="1"/>
  <c r="I1239" i="14"/>
  <c r="BA1348" i="14"/>
  <c r="E1305" i="14"/>
  <c r="G1305" i="14"/>
  <c r="BG1305" i="14" s="1"/>
  <c r="R1316" i="14"/>
  <c r="BB1316" i="14"/>
  <c r="AY1298" i="14"/>
  <c r="Q1305" i="14"/>
  <c r="AZ1305" i="14"/>
  <c r="J1316" i="14"/>
  <c r="E1316" i="14"/>
  <c r="W1246" i="14"/>
  <c r="BL1305" i="14"/>
  <c r="BB1305" i="14"/>
  <c r="AY1316" i="14"/>
  <c r="BM1298" i="14"/>
  <c r="AZ1316" i="14"/>
  <c r="I1316" i="14"/>
  <c r="BM1305" i="14"/>
  <c r="R1305" i="14"/>
  <c r="BM1316" i="14"/>
  <c r="E1246" i="14"/>
  <c r="G1394" i="14"/>
  <c r="BG1394" i="14" s="1"/>
  <c r="BB1348" i="14"/>
  <c r="U1305" i="14"/>
  <c r="W1305" i="14"/>
  <c r="BH1305" i="14" s="1"/>
  <c r="G1316" i="14"/>
  <c r="BG1316" i="14" s="1"/>
  <c r="W1348" i="14"/>
  <c r="AZ1348" i="14"/>
  <c r="I1305" i="14"/>
  <c r="BA1316" i="14"/>
  <c r="J1348" i="14"/>
  <c r="BL1348" i="14"/>
  <c r="AY1305" i="14"/>
  <c r="U1348" i="14"/>
  <c r="E1348" i="14"/>
  <c r="R1348" i="14"/>
  <c r="Q1348" i="14"/>
  <c r="P1377" i="14"/>
  <c r="AG1377" i="14" s="1"/>
  <c r="T1359" i="14"/>
  <c r="T1419" i="14"/>
  <c r="BA1359" i="14"/>
  <c r="BM1359" i="14"/>
  <c r="BA1335" i="14"/>
  <c r="AZ1359" i="14"/>
  <c r="W1365" i="14"/>
  <c r="BH1365" i="14" s="1"/>
  <c r="AY1359" i="14"/>
  <c r="U1359" i="14"/>
  <c r="E1359" i="14"/>
  <c r="J1359" i="14"/>
  <c r="J1365" i="14"/>
  <c r="I1359" i="14"/>
  <c r="Q1419" i="14"/>
  <c r="R1335" i="14"/>
  <c r="I1335" i="14"/>
  <c r="Q1335" i="14"/>
  <c r="R1375" i="14"/>
  <c r="BL1365" i="14"/>
  <c r="U1365" i="14"/>
  <c r="BL1335" i="14"/>
  <c r="Q1359" i="14"/>
  <c r="AY1365" i="14"/>
  <c r="AZ1365" i="14"/>
  <c r="BB1365" i="14"/>
  <c r="R1365" i="14"/>
  <c r="W1359" i="14"/>
  <c r="AF1359" i="14" s="1"/>
  <c r="I1365" i="14"/>
  <c r="BM1365" i="14"/>
  <c r="E1335" i="14"/>
  <c r="AZ1335" i="14"/>
  <c r="AY1335" i="14"/>
  <c r="E1365" i="14"/>
  <c r="BC1409" i="14"/>
  <c r="I1348" i="14"/>
  <c r="AY1348" i="14"/>
  <c r="BL1428" i="14"/>
  <c r="BB1428" i="14"/>
  <c r="AY1428" i="14"/>
  <c r="T1348" i="14"/>
  <c r="G1348" i="14"/>
  <c r="BG1348" i="14" s="1"/>
  <c r="BH1377" i="14"/>
  <c r="BF1377" i="14" s="1"/>
  <c r="BH1357" i="14"/>
  <c r="BF1357" i="14" s="1"/>
  <c r="T1298" i="14"/>
  <c r="AZ1298" i="14"/>
  <c r="BA1420" i="14"/>
  <c r="Q1394" i="14"/>
  <c r="AZ1428" i="14"/>
  <c r="T1428" i="14"/>
  <c r="T1269" i="14"/>
  <c r="E1269" i="14"/>
  <c r="BL1298" i="14"/>
  <c r="AZ1420" i="14"/>
  <c r="BB1262" i="14"/>
  <c r="G1262" i="14"/>
  <c r="BG1262" i="14" s="1"/>
  <c r="W1394" i="14"/>
  <c r="W1262" i="14"/>
  <c r="J1428" i="14"/>
  <c r="E1298" i="14"/>
  <c r="BM1394" i="14"/>
  <c r="BA1394" i="14"/>
  <c r="Q1428" i="14"/>
  <c r="J1269" i="14"/>
  <c r="AY1269" i="14"/>
  <c r="U1298" i="14"/>
  <c r="AY1394" i="14"/>
  <c r="BL1394" i="14"/>
  <c r="G1282" i="14"/>
  <c r="BG1282" i="14" s="1"/>
  <c r="I1394" i="14"/>
  <c r="J1298" i="14"/>
  <c r="T1394" i="14"/>
  <c r="U1428" i="14"/>
  <c r="W1240" i="14"/>
  <c r="Q1298" i="14"/>
  <c r="E1420" i="14"/>
  <c r="AZ1394" i="14"/>
  <c r="BB1394" i="14"/>
  <c r="I1428" i="14"/>
  <c r="BH1409" i="14"/>
  <c r="BF1409" i="14" s="1"/>
  <c r="E1428" i="14"/>
  <c r="BA1298" i="14"/>
  <c r="R1420" i="14"/>
  <c r="U1394" i="14"/>
  <c r="I1262" i="14"/>
  <c r="G1428" i="14"/>
  <c r="BG1428" i="14" s="1"/>
  <c r="BL1403" i="14"/>
  <c r="AZ1269" i="14"/>
  <c r="G1298" i="14"/>
  <c r="BG1298" i="14" s="1"/>
  <c r="J1262" i="14"/>
  <c r="U1262" i="14"/>
  <c r="Q1262" i="14"/>
  <c r="R1394" i="14"/>
  <c r="W1428" i="14"/>
  <c r="J1403" i="14"/>
  <c r="U1269" i="14"/>
  <c r="Q1269" i="14"/>
  <c r="W1298" i="14"/>
  <c r="T1262" i="14"/>
  <c r="J1394" i="14"/>
  <c r="BL1420" i="14"/>
  <c r="BM1428" i="14"/>
  <c r="AZ1334" i="14"/>
  <c r="BM1269" i="14"/>
  <c r="R1298" i="14"/>
  <c r="G1420" i="14"/>
  <c r="BG1420" i="14" s="1"/>
  <c r="R1262" i="14"/>
  <c r="AZ1262" i="14"/>
  <c r="BH1423" i="14"/>
  <c r="BF1423" i="14" s="1"/>
  <c r="E1272" i="14"/>
  <c r="AZ1417" i="14"/>
  <c r="AY1393" i="14"/>
  <c r="T1393" i="14"/>
  <c r="U1393" i="14"/>
  <c r="I1393" i="14"/>
  <c r="BH1256" i="14"/>
  <c r="BF1256" i="14" s="1"/>
  <c r="BB1393" i="14"/>
  <c r="AZ1393" i="14"/>
  <c r="BL1393" i="14"/>
  <c r="BM1393" i="14"/>
  <c r="I1272" i="14"/>
  <c r="E1393" i="14"/>
  <c r="Q1393" i="14"/>
  <c r="G1393" i="14"/>
  <c r="BG1393" i="14" s="1"/>
  <c r="R1272" i="14"/>
  <c r="BL1378" i="14"/>
  <c r="BH1278" i="14"/>
  <c r="BF1278" i="14" s="1"/>
  <c r="W1378" i="14"/>
  <c r="T1378" i="14"/>
  <c r="AZ1378" i="14"/>
  <c r="R1421" i="14"/>
  <c r="R1378" i="14"/>
  <c r="AY1378" i="14"/>
  <c r="BM1378" i="14"/>
  <c r="Q1378" i="14"/>
  <c r="BA1378" i="14"/>
  <c r="E1378" i="14"/>
  <c r="J1421" i="14"/>
  <c r="U1378" i="14"/>
  <c r="J1378" i="14"/>
  <c r="BB1378" i="14"/>
  <c r="G1378" i="14"/>
  <c r="BG1378" i="14" s="1"/>
  <c r="AF1357" i="14"/>
  <c r="J1419" i="14"/>
  <c r="R1419" i="14"/>
  <c r="AZ1419" i="14"/>
  <c r="AY1419" i="14"/>
  <c r="I1419" i="14"/>
  <c r="BM1419" i="14"/>
  <c r="U1419" i="14"/>
  <c r="W1419" i="14"/>
  <c r="BM1335" i="14"/>
  <c r="E1419" i="14"/>
  <c r="BA1419" i="14"/>
  <c r="G1419" i="14"/>
  <c r="BL1419" i="14"/>
  <c r="T1321" i="14"/>
  <c r="BA1321" i="14"/>
  <c r="Q1321" i="14"/>
  <c r="BC1377" i="14"/>
  <c r="J1251" i="14"/>
  <c r="R1251" i="14"/>
  <c r="U1251" i="14"/>
  <c r="AZ1251" i="14"/>
  <c r="BB1251" i="14"/>
  <c r="T1251" i="14"/>
  <c r="BM1251" i="14"/>
  <c r="AY1251" i="14"/>
  <c r="BL1251" i="14"/>
  <c r="I1251" i="14"/>
  <c r="E1251" i="14"/>
  <c r="Q1251" i="14"/>
  <c r="W1251" i="14"/>
  <c r="BA1251" i="14"/>
  <c r="G1251" i="14"/>
  <c r="BH1392" i="14"/>
  <c r="BF1392" i="14" s="1"/>
  <c r="W1335" i="14"/>
  <c r="J1321" i="14"/>
  <c r="BH1309" i="14"/>
  <c r="BF1309" i="14" s="1"/>
  <c r="BA1282" i="14"/>
  <c r="Q1282" i="14"/>
  <c r="Q1403" i="14"/>
  <c r="BM1403" i="14"/>
  <c r="I1421" i="14"/>
  <c r="BM1246" i="14"/>
  <c r="BM1282" i="14"/>
  <c r="AZ1282" i="14"/>
  <c r="R1364" i="14"/>
  <c r="G1364" i="14"/>
  <c r="BG1364" i="14" s="1"/>
  <c r="R1359" i="14"/>
  <c r="BL1359" i="14"/>
  <c r="BB1359" i="14"/>
  <c r="BB1321" i="14"/>
  <c r="R1403" i="14"/>
  <c r="BB1403" i="14"/>
  <c r="AZ1421" i="14"/>
  <c r="I1321" i="14"/>
  <c r="BM1364" i="14"/>
  <c r="AZ1364" i="14"/>
  <c r="J1393" i="14"/>
  <c r="W1393" i="14"/>
  <c r="BA1393" i="14"/>
  <c r="E1364" i="14"/>
  <c r="J1364" i="14"/>
  <c r="Q1400" i="14"/>
  <c r="BB1400" i="14"/>
  <c r="E1400" i="14"/>
  <c r="J1400" i="14"/>
  <c r="R1400" i="14"/>
  <c r="AZ1400" i="14"/>
  <c r="T1400" i="14"/>
  <c r="U1400" i="14"/>
  <c r="AY1400" i="14"/>
  <c r="BM1400" i="14"/>
  <c r="I1400" i="14"/>
  <c r="BL1400" i="14"/>
  <c r="W1400" i="14"/>
  <c r="G1400" i="14"/>
  <c r="BA1400" i="14"/>
  <c r="AF1278" i="14"/>
  <c r="J1272" i="14"/>
  <c r="W1272" i="14"/>
  <c r="BB1421" i="14"/>
  <c r="BL1421" i="14"/>
  <c r="G1321" i="14"/>
  <c r="BG1321" i="14" s="1"/>
  <c r="AZ1321" i="14"/>
  <c r="U1272" i="14"/>
  <c r="AY1403" i="14"/>
  <c r="AY1272" i="14"/>
  <c r="BA1421" i="14"/>
  <c r="R1246" i="14"/>
  <c r="BL1321" i="14"/>
  <c r="T1282" i="14"/>
  <c r="U1364" i="14"/>
  <c r="AZ1272" i="14"/>
  <c r="G1272" i="14"/>
  <c r="BG1272" i="14" s="1"/>
  <c r="Q1272" i="14"/>
  <c r="AY1421" i="14"/>
  <c r="J1246" i="14"/>
  <c r="E1321" i="14"/>
  <c r="R1282" i="14"/>
  <c r="U1282" i="14"/>
  <c r="BB1364" i="14"/>
  <c r="T1272" i="14"/>
  <c r="BM1321" i="14"/>
  <c r="U1403" i="14"/>
  <c r="I1403" i="14"/>
  <c r="E1421" i="14"/>
  <c r="AY1246" i="14"/>
  <c r="G1246" i="14"/>
  <c r="BG1246" i="14" s="1"/>
  <c r="W1321" i="14"/>
  <c r="R1321" i="14"/>
  <c r="BC1256" i="14"/>
  <c r="BD1309" i="14"/>
  <c r="T1364" i="14"/>
  <c r="R1302" i="14"/>
  <c r="J1302" i="14"/>
  <c r="U1302" i="14"/>
  <c r="BM1302" i="14"/>
  <c r="BL1302" i="14"/>
  <c r="T1302" i="14"/>
  <c r="BB1302" i="14"/>
  <c r="AY1302" i="14"/>
  <c r="AZ1302" i="14"/>
  <c r="W1302" i="14"/>
  <c r="I1302" i="14"/>
  <c r="E1302" i="14"/>
  <c r="Q1302" i="14"/>
  <c r="BA1302" i="14"/>
  <c r="G1302" i="14"/>
  <c r="W1403" i="14"/>
  <c r="AF1403" i="14" s="1"/>
  <c r="BA1272" i="14"/>
  <c r="U1421" i="14"/>
  <c r="G1421" i="14"/>
  <c r="BG1421" i="14" s="1"/>
  <c r="BM1421" i="14"/>
  <c r="T1246" i="14"/>
  <c r="I1246" i="14"/>
  <c r="E1282" i="14"/>
  <c r="W1282" i="14"/>
  <c r="AY1364" i="14"/>
  <c r="AF1377" i="14"/>
  <c r="BB1272" i="14"/>
  <c r="BA1403" i="14"/>
  <c r="U1246" i="14"/>
  <c r="BL1246" i="14"/>
  <c r="BA1246" i="14"/>
  <c r="I1364" i="14"/>
  <c r="BA1364" i="14"/>
  <c r="AZ1403" i="14"/>
  <c r="BM1272" i="14"/>
  <c r="T1403" i="14"/>
  <c r="Q1421" i="14"/>
  <c r="W1421" i="14"/>
  <c r="BH1421" i="14" s="1"/>
  <c r="AZ1246" i="14"/>
  <c r="BB1246" i="14"/>
  <c r="BH1271" i="14"/>
  <c r="BF1271" i="14" s="1"/>
  <c r="U1321" i="14"/>
  <c r="BL1282" i="14"/>
  <c r="J1282" i="14"/>
  <c r="I1282" i="14"/>
  <c r="BL1364" i="14"/>
  <c r="W1364" i="14"/>
  <c r="BD1377" i="14"/>
  <c r="AF1285" i="14"/>
  <c r="BD1232" i="14"/>
  <c r="AY1265" i="14"/>
  <c r="BB1265" i="14"/>
  <c r="BD1367" i="14"/>
  <c r="BD1285" i="14"/>
  <c r="BD1357" i="14"/>
  <c r="AF1309" i="14"/>
  <c r="I1420" i="14"/>
  <c r="T1420" i="14"/>
  <c r="W1420" i="14"/>
  <c r="AF1402" i="14"/>
  <c r="AF1325" i="14"/>
  <c r="BD1409" i="14"/>
  <c r="BC1392" i="14"/>
  <c r="BD1392" i="14"/>
  <c r="AY1420" i="14"/>
  <c r="J1420" i="14"/>
  <c r="AF1423" i="14"/>
  <c r="Q1420" i="14"/>
  <c r="U1420" i="14"/>
  <c r="BB1420" i="14"/>
  <c r="BH1231" i="14"/>
  <c r="BF1231" i="14" s="1"/>
  <c r="BD1325" i="14"/>
  <c r="BC1424" i="14"/>
  <c r="H1377" i="14"/>
  <c r="BI1377" i="14" s="1"/>
  <c r="AF1263" i="14"/>
  <c r="BD1231" i="14"/>
  <c r="BD1297" i="14"/>
  <c r="BD1278" i="14"/>
  <c r="AY1375" i="14"/>
  <c r="BB1245" i="14"/>
  <c r="U1375" i="14"/>
  <c r="W1375" i="14"/>
  <c r="BH1375" i="14" s="1"/>
  <c r="BB1332" i="14"/>
  <c r="W1369" i="14"/>
  <c r="BA1332" i="14"/>
  <c r="E1375" i="14"/>
  <c r="Q1375" i="14"/>
  <c r="G1375" i="14"/>
  <c r="BG1375" i="14" s="1"/>
  <c r="AZ1245" i="14"/>
  <c r="BH1402" i="14"/>
  <c r="BF1402" i="14" s="1"/>
  <c r="BM1375" i="14"/>
  <c r="AF1392" i="14"/>
  <c r="AZ1369" i="14"/>
  <c r="R1332" i="14"/>
  <c r="AF1409" i="14"/>
  <c r="AF1256" i="14"/>
  <c r="BA1375" i="14"/>
  <c r="AZ1332" i="14"/>
  <c r="BL1332" i="14"/>
  <c r="AZ1375" i="14"/>
  <c r="BB1375" i="14"/>
  <c r="I1375" i="14"/>
  <c r="BL1375" i="14"/>
  <c r="J1375" i="14"/>
  <c r="BC1402" i="14"/>
  <c r="BH1367" i="14"/>
  <c r="BF1367" i="14" s="1"/>
  <c r="P1392" i="14"/>
  <c r="AG1392" i="14" s="1"/>
  <c r="H1392" i="14"/>
  <c r="BI1392" i="14" s="1"/>
  <c r="P1409" i="14"/>
  <c r="AG1409" i="14" s="1"/>
  <c r="H1409" i="14"/>
  <c r="AH1409" i="14" s="1"/>
  <c r="R1369" i="14"/>
  <c r="BM1369" i="14"/>
  <c r="Q1245" i="14"/>
  <c r="T1245" i="14"/>
  <c r="AY1245" i="14"/>
  <c r="BC1309" i="14"/>
  <c r="BD1424" i="14"/>
  <c r="BB1369" i="14"/>
  <c r="E1245" i="14"/>
  <c r="BL1240" i="14"/>
  <c r="BL1369" i="14"/>
  <c r="E1369" i="14"/>
  <c r="AZ1240" i="14"/>
  <c r="U1240" i="14"/>
  <c r="R1245" i="14"/>
  <c r="I1245" i="14"/>
  <c r="BD1414" i="14"/>
  <c r="J1245" i="14"/>
  <c r="I1369" i="14"/>
  <c r="J1240" i="14"/>
  <c r="G1245" i="14"/>
  <c r="BG1245" i="14" s="1"/>
  <c r="AY1240" i="14"/>
  <c r="Q1240" i="14"/>
  <c r="BM1245" i="14"/>
  <c r="BC1357" i="14"/>
  <c r="R1240" i="14"/>
  <c r="T1369" i="14"/>
  <c r="G1369" i="14"/>
  <c r="BG1369" i="14" s="1"/>
  <c r="U1369" i="14"/>
  <c r="T1240" i="14"/>
  <c r="BA1240" i="14"/>
  <c r="BL1245" i="14"/>
  <c r="BA1369" i="14"/>
  <c r="AY1369" i="14"/>
  <c r="BM1240" i="14"/>
  <c r="J1369" i="14"/>
  <c r="W1245" i="14"/>
  <c r="I1240" i="14"/>
  <c r="E1240" i="14"/>
  <c r="U1245" i="14"/>
  <c r="BL1334" i="14"/>
  <c r="T1334" i="14"/>
  <c r="J1334" i="14"/>
  <c r="BM1334" i="14"/>
  <c r="BH1285" i="14"/>
  <c r="BF1285" i="14" s="1"/>
  <c r="Q1334" i="14"/>
  <c r="W1334" i="14"/>
  <c r="BD1263" i="14"/>
  <c r="BC1325" i="14"/>
  <c r="BH1232" i="14"/>
  <c r="BF1232" i="14" s="1"/>
  <c r="BC1285" i="14"/>
  <c r="U1334" i="14"/>
  <c r="BB1334" i="14"/>
  <c r="AF1424" i="14"/>
  <c r="I1334" i="14"/>
  <c r="AF1414" i="14"/>
  <c r="E1334" i="14"/>
  <c r="G1334" i="14"/>
  <c r="BG1334" i="14" s="1"/>
  <c r="BA1334" i="14"/>
  <c r="R1334" i="14"/>
  <c r="P1424" i="14"/>
  <c r="AG1424" i="14" s="1"/>
  <c r="H1232" i="14"/>
  <c r="BI1232" i="14" s="1"/>
  <c r="H1357" i="14"/>
  <c r="AH1357" i="14" s="1"/>
  <c r="P1232" i="14"/>
  <c r="BJ1232" i="14" s="1"/>
  <c r="H1309" i="14"/>
  <c r="AH1309" i="14" s="1"/>
  <c r="P1309" i="14"/>
  <c r="AG1309" i="14" s="1"/>
  <c r="H1424" i="14"/>
  <c r="AH1424" i="14" s="1"/>
  <c r="R1265" i="14"/>
  <c r="BD1402" i="14"/>
  <c r="BC1367" i="14"/>
  <c r="BH1325" i="14"/>
  <c r="BF1325" i="14" s="1"/>
  <c r="BH1424" i="14"/>
  <c r="BF1424" i="14" s="1"/>
  <c r="I1265" i="14"/>
  <c r="W1332" i="14"/>
  <c r="J1265" i="14"/>
  <c r="W1265" i="14"/>
  <c r="BH1265" i="14" s="1"/>
  <c r="AF1232" i="14"/>
  <c r="Q1332" i="14"/>
  <c r="BM1332" i="14"/>
  <c r="Q1265" i="14"/>
  <c r="BA1265" i="14"/>
  <c r="U1265" i="14"/>
  <c r="J1332" i="14"/>
  <c r="G1265" i="14"/>
  <c r="BG1265" i="14" s="1"/>
  <c r="AZ1295" i="14"/>
  <c r="AZ1265" i="14"/>
  <c r="BD1271" i="14"/>
  <c r="BC1278" i="14"/>
  <c r="G1332" i="14"/>
  <c r="BG1332" i="14" s="1"/>
  <c r="E1332" i="14"/>
  <c r="T1332" i="14"/>
  <c r="AZ1292" i="14"/>
  <c r="W1292" i="14"/>
  <c r="U1292" i="14"/>
  <c r="BB1292" i="14"/>
  <c r="I1292" i="14"/>
  <c r="BM1292" i="14"/>
  <c r="T1292" i="14"/>
  <c r="BL1292" i="14"/>
  <c r="BA1292" i="14"/>
  <c r="AY1292" i="14"/>
  <c r="E1292" i="14"/>
  <c r="G1292" i="14"/>
  <c r="Q1292" i="14"/>
  <c r="R1292" i="14"/>
  <c r="J1292" i="14"/>
  <c r="AY1332" i="14"/>
  <c r="BM1265" i="14"/>
  <c r="BL1265" i="14"/>
  <c r="U1332" i="14"/>
  <c r="E1265" i="14"/>
  <c r="H1285" i="14"/>
  <c r="BI1285" i="14" s="1"/>
  <c r="P1285" i="14"/>
  <c r="BJ1285" i="14" s="1"/>
  <c r="BC1297" i="14"/>
  <c r="J1295" i="14"/>
  <c r="BM1295" i="14"/>
  <c r="BM1283" i="14"/>
  <c r="BA1283" i="14"/>
  <c r="BL1295" i="14"/>
  <c r="P1357" i="14"/>
  <c r="AG1357" i="14" s="1"/>
  <c r="P1423" i="14"/>
  <c r="AG1423" i="14" s="1"/>
  <c r="AF1271" i="14"/>
  <c r="E1283" i="14"/>
  <c r="AZ1283" i="14"/>
  <c r="AY1417" i="14"/>
  <c r="R1418" i="14"/>
  <c r="I1283" i="14"/>
  <c r="J1283" i="14"/>
  <c r="U1417" i="14"/>
  <c r="BH1414" i="14"/>
  <c r="BF1414" i="14" s="1"/>
  <c r="T1295" i="14"/>
  <c r="BL1283" i="14"/>
  <c r="AF1367" i="14"/>
  <c r="R1283" i="14"/>
  <c r="J1418" i="14"/>
  <c r="BM1418" i="14"/>
  <c r="AY1416" i="14"/>
  <c r="G1283" i="14"/>
  <c r="BG1283" i="14" s="1"/>
  <c r="BL1417" i="14"/>
  <c r="W1418" i="14"/>
  <c r="BH1263" i="14"/>
  <c r="BF1263" i="14" s="1"/>
  <c r="BC1231" i="14"/>
  <c r="BH1297" i="14"/>
  <c r="BF1297" i="14" s="1"/>
  <c r="BD1256" i="14"/>
  <c r="J1417" i="14"/>
  <c r="BD1423" i="14"/>
  <c r="BC1271" i="14"/>
  <c r="BC1263" i="14"/>
  <c r="AY1283" i="14"/>
  <c r="Q1283" i="14"/>
  <c r="U1283" i="14"/>
  <c r="BB1417" i="14"/>
  <c r="BB1418" i="14"/>
  <c r="W1295" i="14"/>
  <c r="W1283" i="14"/>
  <c r="BH1283" i="14" s="1"/>
  <c r="BB1283" i="14"/>
  <c r="BL1418" i="14"/>
  <c r="U1418" i="14"/>
  <c r="P1325" i="14"/>
  <c r="AG1325" i="14" s="1"/>
  <c r="H1402" i="14"/>
  <c r="AH1402" i="14" s="1"/>
  <c r="P1402" i="14"/>
  <c r="BJ1402" i="14" s="1"/>
  <c r="H1367" i="14"/>
  <c r="BI1367" i="14" s="1"/>
  <c r="P1367" i="14"/>
  <c r="AG1367" i="14" s="1"/>
  <c r="H1325" i="14"/>
  <c r="AH1325" i="14" s="1"/>
  <c r="U1295" i="14"/>
  <c r="Q1295" i="14"/>
  <c r="BC1414" i="14"/>
  <c r="I1304" i="14"/>
  <c r="BA1304" i="14"/>
  <c r="J1304" i="14"/>
  <c r="G1304" i="14"/>
  <c r="W1304" i="14"/>
  <c r="E1304" i="14"/>
  <c r="R1304" i="14"/>
  <c r="AZ1304" i="14"/>
  <c r="AY1304" i="14"/>
  <c r="U1304" i="14"/>
  <c r="T1304" i="14"/>
  <c r="BM1304" i="14"/>
  <c r="BL1304" i="14"/>
  <c r="Q1304" i="14"/>
  <c r="BB1304" i="14"/>
  <c r="BA1295" i="14"/>
  <c r="I1295" i="14"/>
  <c r="AY1372" i="14"/>
  <c r="BL1372" i="14"/>
  <c r="Q1372" i="14"/>
  <c r="U1372" i="14"/>
  <c r="BA1372" i="14"/>
  <c r="G1372" i="14"/>
  <c r="AZ1372" i="14"/>
  <c r="W1372" i="14"/>
  <c r="I1372" i="14"/>
  <c r="R1372" i="14"/>
  <c r="E1372" i="14"/>
  <c r="BM1372" i="14"/>
  <c r="BB1372" i="14"/>
  <c r="T1372" i="14"/>
  <c r="J1372" i="14"/>
  <c r="AY1295" i="14"/>
  <c r="R1295" i="14"/>
  <c r="BB1295" i="14"/>
  <c r="G1295" i="14"/>
  <c r="BG1295" i="14" s="1"/>
  <c r="I1417" i="14"/>
  <c r="P1271" i="14"/>
  <c r="BJ1271" i="14" s="1"/>
  <c r="P1231" i="14"/>
  <c r="BJ1231" i="14" s="1"/>
  <c r="H1297" i="14"/>
  <c r="AH1297" i="14" s="1"/>
  <c r="P1263" i="14"/>
  <c r="AG1263" i="14" s="1"/>
  <c r="P1297" i="14"/>
  <c r="AG1297" i="14" s="1"/>
  <c r="H1263" i="14"/>
  <c r="BI1263" i="14" s="1"/>
  <c r="P1256" i="14"/>
  <c r="AG1256" i="14" s="1"/>
  <c r="H1231" i="14"/>
  <c r="AH1231" i="14" s="1"/>
  <c r="H1271" i="14"/>
  <c r="BI1271" i="14" s="1"/>
  <c r="H1414" i="14"/>
  <c r="BI1414" i="14" s="1"/>
  <c r="H1256" i="14"/>
  <c r="BI1256" i="14" s="1"/>
  <c r="P1414" i="14"/>
  <c r="AG1414" i="14" s="1"/>
  <c r="P1278" i="14"/>
  <c r="BJ1278" i="14" s="1"/>
  <c r="H1278" i="14"/>
  <c r="BI1278" i="14" s="1"/>
  <c r="T1417" i="14"/>
  <c r="E1417" i="14"/>
  <c r="R1234" i="14"/>
  <c r="AF1231" i="14"/>
  <c r="U1234" i="14"/>
  <c r="J1234" i="14"/>
  <c r="H157" i="7"/>
  <c r="W1234" i="14"/>
  <c r="BM1417" i="14"/>
  <c r="E1234" i="14"/>
  <c r="BM1234" i="14"/>
  <c r="Q1234" i="14"/>
  <c r="BA1234" i="14"/>
  <c r="AF1297" i="14"/>
  <c r="AY1234" i="14"/>
  <c r="BC1423" i="14"/>
  <c r="AZ1234" i="14"/>
  <c r="H1423" i="14"/>
  <c r="AH1423" i="14" s="1"/>
  <c r="G1416" i="14"/>
  <c r="BG1416" i="14" s="1"/>
  <c r="H134" i="7"/>
  <c r="BA1416" i="14"/>
  <c r="T1345" i="14"/>
  <c r="R1345" i="14"/>
  <c r="AY1345" i="14"/>
  <c r="AZ1345" i="14"/>
  <c r="Q1345" i="14"/>
  <c r="U1345" i="14"/>
  <c r="I1345" i="14"/>
  <c r="BA1345" i="14"/>
  <c r="G1345" i="14"/>
  <c r="W1345" i="14"/>
  <c r="BM1345" i="14"/>
  <c r="BL1345" i="14"/>
  <c r="J1345" i="14"/>
  <c r="BB1345" i="14"/>
  <c r="E1345" i="14"/>
  <c r="AZ1416" i="14"/>
  <c r="H165" i="7"/>
  <c r="G1234" i="14"/>
  <c r="I1234" i="14"/>
  <c r="BB1234" i="14"/>
  <c r="H177" i="7"/>
  <c r="BM1416" i="14"/>
  <c r="Q1416" i="14"/>
  <c r="R1416" i="14"/>
  <c r="E1416" i="14"/>
  <c r="H136" i="7"/>
  <c r="AY1418" i="14"/>
  <c r="BA1418" i="14"/>
  <c r="BL1416" i="14"/>
  <c r="T1418" i="14"/>
  <c r="AZ1418" i="14"/>
  <c r="H183" i="7"/>
  <c r="J1416" i="14"/>
  <c r="I1416" i="14"/>
  <c r="G1418" i="14"/>
  <c r="I1418" i="14"/>
  <c r="H154" i="7"/>
  <c r="T1416" i="14"/>
  <c r="BH1416" i="14" s="1"/>
  <c r="E1418" i="14"/>
  <c r="U1416" i="14"/>
  <c r="BB1416" i="14"/>
  <c r="T1234" i="14"/>
  <c r="J1244" i="14"/>
  <c r="AZ1244" i="14"/>
  <c r="R1244" i="14"/>
  <c r="BL1244" i="14"/>
  <c r="E1244" i="14"/>
  <c r="G1244" i="14"/>
  <c r="T1244" i="14"/>
  <c r="U1244" i="14"/>
  <c r="AY1244" i="14"/>
  <c r="BB1244" i="14"/>
  <c r="Q1244" i="14"/>
  <c r="BM1244" i="14"/>
  <c r="I1244" i="14"/>
  <c r="W1244" i="14"/>
  <c r="BA1244" i="14"/>
  <c r="H200" i="7"/>
  <c r="BA1384" i="14"/>
  <c r="BL1384" i="14"/>
  <c r="G1384" i="14"/>
  <c r="W1384" i="14"/>
  <c r="E1384" i="14"/>
  <c r="J1384" i="14"/>
  <c r="R1384" i="14"/>
  <c r="Q1384" i="14"/>
  <c r="U1384" i="14"/>
  <c r="AZ1384" i="14"/>
  <c r="T1384" i="14"/>
  <c r="BB1384" i="14"/>
  <c r="AY1384" i="14"/>
  <c r="BM1384" i="14"/>
  <c r="I1384" i="14"/>
  <c r="J1287" i="14"/>
  <c r="BL1287" i="14"/>
  <c r="U1287" i="14"/>
  <c r="AZ1287" i="14"/>
  <c r="BB1287" i="14"/>
  <c r="T1287" i="14"/>
  <c r="BM1287" i="14"/>
  <c r="AY1287" i="14"/>
  <c r="E1287" i="14"/>
  <c r="Q1287" i="14"/>
  <c r="R1287" i="14"/>
  <c r="W1287" i="14"/>
  <c r="BA1287" i="14"/>
  <c r="G1287" i="14"/>
  <c r="I1287" i="14"/>
  <c r="R1413" i="14"/>
  <c r="J1413" i="14"/>
  <c r="BL1413" i="14"/>
  <c r="U1413" i="14"/>
  <c r="AZ1413" i="14"/>
  <c r="T1413" i="14"/>
  <c r="BB1413" i="14"/>
  <c r="AY1413" i="14"/>
  <c r="BM1413" i="14"/>
  <c r="Q1413" i="14"/>
  <c r="E1413" i="14"/>
  <c r="I1413" i="14"/>
  <c r="G1413" i="14"/>
  <c r="BA1413" i="14"/>
  <c r="W1413" i="14"/>
  <c r="BA1293" i="14"/>
  <c r="W1293" i="14"/>
  <c r="G1293" i="14"/>
  <c r="Q1293" i="14"/>
  <c r="AY1293" i="14"/>
  <c r="U1293" i="14"/>
  <c r="BB1293" i="14"/>
  <c r="BM1293" i="14"/>
  <c r="E1293" i="14"/>
  <c r="R1293" i="14"/>
  <c r="T1293" i="14"/>
  <c r="J1293" i="14"/>
  <c r="I1293" i="14"/>
  <c r="BL1293" i="14"/>
  <c r="AZ1293" i="14"/>
  <c r="J1351" i="14"/>
  <c r="R1351" i="14"/>
  <c r="U1351" i="14"/>
  <c r="W1351" i="14"/>
  <c r="BL1351" i="14"/>
  <c r="T1351" i="14"/>
  <c r="AZ1351" i="14"/>
  <c r="BA1351" i="14"/>
  <c r="AY1351" i="14"/>
  <c r="BB1351" i="14"/>
  <c r="I1351" i="14"/>
  <c r="BM1351" i="14"/>
  <c r="Q1351" i="14"/>
  <c r="G1351" i="14"/>
  <c r="E1351" i="14"/>
  <c r="R1396" i="14"/>
  <c r="G1396" i="14"/>
  <c r="U1396" i="14"/>
  <c r="AZ1396" i="14"/>
  <c r="BM1396" i="14"/>
  <c r="BL1396" i="14"/>
  <c r="T1396" i="14"/>
  <c r="BB1396" i="14"/>
  <c r="AY1396" i="14"/>
  <c r="E1396" i="14"/>
  <c r="Q1396" i="14"/>
  <c r="J1396" i="14"/>
  <c r="I1396" i="14"/>
  <c r="BA1396" i="14"/>
  <c r="W1396" i="14"/>
  <c r="H151" i="7"/>
  <c r="H178" i="7"/>
  <c r="H168" i="7"/>
  <c r="H199" i="7"/>
  <c r="H186" i="7"/>
  <c r="AZ1273" i="14"/>
  <c r="BL1273" i="14"/>
  <c r="BB1273" i="14"/>
  <c r="E1273" i="14"/>
  <c r="J1273" i="14"/>
  <c r="T1273" i="14"/>
  <c r="U1273" i="14"/>
  <c r="AY1273" i="14"/>
  <c r="R1273" i="14"/>
  <c r="I1273" i="14"/>
  <c r="BM1273" i="14"/>
  <c r="G1273" i="14"/>
  <c r="BA1273" i="14"/>
  <c r="W1273" i="14"/>
  <c r="Q1273" i="14"/>
  <c r="R1417" i="14"/>
  <c r="W1417" i="14"/>
  <c r="BL1322" i="14"/>
  <c r="E1322" i="14"/>
  <c r="J1322" i="14"/>
  <c r="R1322" i="14"/>
  <c r="U1322" i="14"/>
  <c r="T1322" i="14"/>
  <c r="AZ1322" i="14"/>
  <c r="G1322" i="14"/>
  <c r="AY1322" i="14"/>
  <c r="BB1322" i="14"/>
  <c r="I1322" i="14"/>
  <c r="BM1322" i="14"/>
  <c r="BA1322" i="14"/>
  <c r="W1322" i="14"/>
  <c r="Q1322" i="14"/>
  <c r="H132" i="7"/>
  <c r="H184" i="7"/>
  <c r="H129" i="7"/>
  <c r="H170" i="7"/>
  <c r="H174" i="7"/>
  <c r="H193" i="7"/>
  <c r="H179" i="7"/>
  <c r="H141" i="7"/>
  <c r="G1324" i="14"/>
  <c r="BA1324" i="14"/>
  <c r="W1324" i="14"/>
  <c r="I1324" i="14"/>
  <c r="BB1324" i="14"/>
  <c r="E1324" i="14"/>
  <c r="J1324" i="14"/>
  <c r="R1324" i="14"/>
  <c r="AZ1324" i="14"/>
  <c r="BL1324" i="14"/>
  <c r="T1324" i="14"/>
  <c r="U1324" i="14"/>
  <c r="AY1324" i="14"/>
  <c r="BM1324" i="14"/>
  <c r="Q1324" i="14"/>
  <c r="BL1236" i="14"/>
  <c r="AZ1236" i="14"/>
  <c r="T1236" i="14"/>
  <c r="U1236" i="14"/>
  <c r="R1236" i="14"/>
  <c r="AY1236" i="14"/>
  <c r="BB1236" i="14"/>
  <c r="Q1236" i="14"/>
  <c r="BM1236" i="14"/>
  <c r="I1236" i="14"/>
  <c r="W1236" i="14"/>
  <c r="G1236" i="14"/>
  <c r="BA1236" i="14"/>
  <c r="E1236" i="14"/>
  <c r="J1236" i="14"/>
  <c r="AY1330" i="14"/>
  <c r="BL1330" i="14"/>
  <c r="I1330" i="14"/>
  <c r="BB1330" i="14"/>
  <c r="Q1330" i="14"/>
  <c r="W1330" i="14"/>
  <c r="BA1330" i="14"/>
  <c r="G1330" i="14"/>
  <c r="E1330" i="14"/>
  <c r="R1330" i="14"/>
  <c r="AZ1330" i="14"/>
  <c r="J1330" i="14"/>
  <c r="U1330" i="14"/>
  <c r="T1330" i="14"/>
  <c r="BM1330" i="14"/>
  <c r="G1381" i="14"/>
  <c r="W1381" i="14"/>
  <c r="J1381" i="14"/>
  <c r="Q1381" i="14"/>
  <c r="U1381" i="14"/>
  <c r="AZ1381" i="14"/>
  <c r="R1381" i="14"/>
  <c r="BM1381" i="14"/>
  <c r="BL1381" i="14"/>
  <c r="T1381" i="14"/>
  <c r="BB1381" i="14"/>
  <c r="AY1381" i="14"/>
  <c r="E1381" i="14"/>
  <c r="I1381" i="14"/>
  <c r="BA1381" i="14"/>
  <c r="H125" i="7"/>
  <c r="H166" i="7"/>
  <c r="H133" i="7"/>
  <c r="AZ1358" i="14"/>
  <c r="R1358" i="14"/>
  <c r="BM1358" i="14"/>
  <c r="BL1358" i="14"/>
  <c r="W1358" i="14"/>
  <c r="BB1358" i="14"/>
  <c r="T1358" i="14"/>
  <c r="E1358" i="14"/>
  <c r="AY1358" i="14"/>
  <c r="J1358" i="14"/>
  <c r="I1358" i="14"/>
  <c r="U1358" i="14"/>
  <c r="Q1358" i="14"/>
  <c r="G1358" i="14"/>
  <c r="BA1358" i="14"/>
  <c r="E1280" i="14"/>
  <c r="J1280" i="14"/>
  <c r="R1280" i="14"/>
  <c r="AZ1280" i="14"/>
  <c r="U1280" i="14"/>
  <c r="T1280" i="14"/>
  <c r="BM1280" i="14"/>
  <c r="BA1280" i="14"/>
  <c r="AY1280" i="14"/>
  <c r="BL1280" i="14"/>
  <c r="Q1280" i="14"/>
  <c r="BB1280" i="14"/>
  <c r="I1280" i="14"/>
  <c r="G1280" i="14"/>
  <c r="W1280" i="14"/>
  <c r="BB1340" i="14"/>
  <c r="T1340" i="14"/>
  <c r="R1340" i="14"/>
  <c r="AY1340" i="14"/>
  <c r="J1340" i="14"/>
  <c r="I1340" i="14"/>
  <c r="BM1340" i="14"/>
  <c r="W1340" i="14"/>
  <c r="BA1340" i="14"/>
  <c r="G1340" i="14"/>
  <c r="Q1340" i="14"/>
  <c r="E1340" i="14"/>
  <c r="U1340" i="14"/>
  <c r="AZ1340" i="14"/>
  <c r="BL1340" i="14"/>
  <c r="H189" i="7"/>
  <c r="H185" i="7"/>
  <c r="H159" i="7"/>
  <c r="H126" i="7"/>
  <c r="H148" i="7"/>
  <c r="H142" i="7"/>
  <c r="H190" i="7"/>
  <c r="H140" i="7"/>
  <c r="H172" i="7"/>
  <c r="H191" i="7"/>
  <c r="BL1379" i="14"/>
  <c r="E1379" i="14"/>
  <c r="J1379" i="14"/>
  <c r="R1379" i="14"/>
  <c r="AZ1379" i="14"/>
  <c r="T1379" i="14"/>
  <c r="U1379" i="14"/>
  <c r="AY1379" i="14"/>
  <c r="BB1379" i="14"/>
  <c r="Q1379" i="14"/>
  <c r="BM1379" i="14"/>
  <c r="I1379" i="14"/>
  <c r="G1379" i="14"/>
  <c r="BA1379" i="14"/>
  <c r="W1379" i="14"/>
  <c r="W1361" i="14"/>
  <c r="BL1361" i="14"/>
  <c r="U1361" i="14"/>
  <c r="AY1361" i="14"/>
  <c r="E1361" i="14"/>
  <c r="AZ1361" i="14"/>
  <c r="I1361" i="14"/>
  <c r="BA1361" i="14"/>
  <c r="J1361" i="14"/>
  <c r="T1361" i="14"/>
  <c r="R1361" i="14"/>
  <c r="BM1361" i="14"/>
  <c r="Q1361" i="14"/>
  <c r="G1361" i="14"/>
  <c r="BB1361" i="14"/>
  <c r="AY1296" i="14"/>
  <c r="U1296" i="14"/>
  <c r="I1296" i="14"/>
  <c r="BM1296" i="14"/>
  <c r="G1296" i="14"/>
  <c r="BA1296" i="14"/>
  <c r="W1296" i="14"/>
  <c r="Q1296" i="14"/>
  <c r="BB1296" i="14"/>
  <c r="E1296" i="14"/>
  <c r="J1296" i="14"/>
  <c r="AZ1296" i="14"/>
  <c r="T1296" i="14"/>
  <c r="R1296" i="14"/>
  <c r="BL1296" i="14"/>
  <c r="AY1294" i="14"/>
  <c r="BB1294" i="14"/>
  <c r="I1294" i="14"/>
  <c r="BM1294" i="14"/>
  <c r="Q1294" i="14"/>
  <c r="U1294" i="14"/>
  <c r="G1294" i="14"/>
  <c r="BA1294" i="14"/>
  <c r="W1294" i="14"/>
  <c r="E1294" i="14"/>
  <c r="R1294" i="14"/>
  <c r="J1294" i="14"/>
  <c r="AZ1294" i="14"/>
  <c r="T1294" i="14"/>
  <c r="BL1294" i="14"/>
  <c r="G1410" i="14"/>
  <c r="W1410" i="14"/>
  <c r="I1410" i="14"/>
  <c r="Q1410" i="14"/>
  <c r="E1410" i="14"/>
  <c r="J1410" i="14"/>
  <c r="BM1410" i="14"/>
  <c r="BL1410" i="14"/>
  <c r="R1410" i="14"/>
  <c r="T1410" i="14"/>
  <c r="AZ1410" i="14"/>
  <c r="BB1410" i="14"/>
  <c r="AY1410" i="14"/>
  <c r="U1410" i="14"/>
  <c r="BA1410" i="14"/>
  <c r="H176" i="7"/>
  <c r="H194" i="7"/>
  <c r="H124" i="7"/>
  <c r="H192" i="7"/>
  <c r="H146" i="7"/>
  <c r="H150" i="7"/>
  <c r="H187" i="7"/>
  <c r="H175" i="7"/>
  <c r="H171" i="7"/>
  <c r="Q1417" i="14"/>
  <c r="BA1411" i="14"/>
  <c r="G1411" i="14"/>
  <c r="W1411" i="14"/>
  <c r="Q1411" i="14"/>
  <c r="AZ1411" i="14"/>
  <c r="R1411" i="14"/>
  <c r="U1411" i="14"/>
  <c r="BM1411" i="14"/>
  <c r="BL1411" i="14"/>
  <c r="BB1411" i="14"/>
  <c r="T1411" i="14"/>
  <c r="E1411" i="14"/>
  <c r="AY1411" i="14"/>
  <c r="J1411" i="14"/>
  <c r="I1411" i="14"/>
  <c r="AY1373" i="14"/>
  <c r="BB1373" i="14"/>
  <c r="Q1373" i="14"/>
  <c r="BM1373" i="14"/>
  <c r="I1373" i="14"/>
  <c r="G1373" i="14"/>
  <c r="BA1373" i="14"/>
  <c r="W1373" i="14"/>
  <c r="BL1373" i="14"/>
  <c r="E1373" i="14"/>
  <c r="J1373" i="14"/>
  <c r="U1373" i="14"/>
  <c r="R1373" i="14"/>
  <c r="T1373" i="14"/>
  <c r="AZ1373" i="14"/>
  <c r="T1407" i="14"/>
  <c r="R1407" i="14"/>
  <c r="I1407" i="14"/>
  <c r="BL1407" i="14"/>
  <c r="AY1407" i="14"/>
  <c r="BM1407" i="14"/>
  <c r="Q1407" i="14"/>
  <c r="G1407" i="14"/>
  <c r="BA1407" i="14"/>
  <c r="U1407" i="14"/>
  <c r="W1407" i="14"/>
  <c r="BB1407" i="14"/>
  <c r="E1407" i="14"/>
  <c r="J1407" i="14"/>
  <c r="AZ1407" i="14"/>
  <c r="H138" i="7"/>
  <c r="H158" i="7"/>
  <c r="AY1390" i="14"/>
  <c r="BB1390" i="14"/>
  <c r="I1390" i="14"/>
  <c r="E1390" i="14"/>
  <c r="Q1390" i="14"/>
  <c r="BA1390" i="14"/>
  <c r="W1390" i="14"/>
  <c r="BM1390" i="14"/>
  <c r="G1390" i="14"/>
  <c r="J1390" i="14"/>
  <c r="R1390" i="14"/>
  <c r="U1390" i="14"/>
  <c r="AZ1390" i="14"/>
  <c r="T1390" i="14"/>
  <c r="BL1390" i="14"/>
  <c r="H167" i="7"/>
  <c r="H128" i="7"/>
  <c r="H135" i="7"/>
  <c r="H149" i="7"/>
  <c r="H155" i="7"/>
  <c r="H188" i="7"/>
  <c r="H197" i="7"/>
  <c r="H161" i="7"/>
  <c r="BM1235" i="14"/>
  <c r="E1235" i="14"/>
  <c r="R1235" i="14"/>
  <c r="J1235" i="14"/>
  <c r="BL1235" i="14"/>
  <c r="T1235" i="14"/>
  <c r="U1235" i="14"/>
  <c r="G1235" i="14"/>
  <c r="AY1235" i="14"/>
  <c r="AZ1235" i="14"/>
  <c r="Q1235" i="14"/>
  <c r="BB1235" i="14"/>
  <c r="I1235" i="14"/>
  <c r="W1235" i="14"/>
  <c r="BA1235" i="14"/>
  <c r="H137" i="7"/>
  <c r="H162" i="7"/>
  <c r="H152" i="7"/>
  <c r="H153" i="7"/>
  <c r="H180" i="7"/>
  <c r="H164" i="7"/>
  <c r="H160" i="7"/>
  <c r="G1281" i="14"/>
  <c r="BA1281" i="14"/>
  <c r="Q1281" i="14"/>
  <c r="R1281" i="14"/>
  <c r="U1281" i="14"/>
  <c r="I1281" i="14"/>
  <c r="AZ1281" i="14"/>
  <c r="BM1281" i="14"/>
  <c r="BL1281" i="14"/>
  <c r="BB1281" i="14"/>
  <c r="T1281" i="14"/>
  <c r="J1281" i="14"/>
  <c r="AY1281" i="14"/>
  <c r="E1281" i="14"/>
  <c r="W1281" i="14"/>
  <c r="H143" i="7"/>
  <c r="H131" i="7"/>
  <c r="H173" i="7"/>
  <c r="H182" i="7"/>
  <c r="H163" i="7"/>
  <c r="H156" i="7"/>
  <c r="BA1417" i="14"/>
  <c r="U1291" i="14"/>
  <c r="AZ1291" i="14"/>
  <c r="BM1291" i="14"/>
  <c r="W1291" i="14"/>
  <c r="T1291" i="14"/>
  <c r="BL1291" i="14"/>
  <c r="AY1291" i="14"/>
  <c r="E1291" i="14"/>
  <c r="I1291" i="14"/>
  <c r="J1291" i="14"/>
  <c r="BA1291" i="14"/>
  <c r="BB1291" i="14"/>
  <c r="G1291" i="14"/>
  <c r="Q1291" i="14"/>
  <c r="R1291" i="14"/>
  <c r="BM1312" i="14"/>
  <c r="BL1312" i="14"/>
  <c r="T1312" i="14"/>
  <c r="BB1312" i="14"/>
  <c r="AY1312" i="14"/>
  <c r="E1312" i="14"/>
  <c r="Q1312" i="14"/>
  <c r="J1312" i="14"/>
  <c r="U1312" i="14"/>
  <c r="I1312" i="14"/>
  <c r="G1312" i="14"/>
  <c r="W1312" i="14"/>
  <c r="BA1312" i="14"/>
  <c r="R1312" i="14"/>
  <c r="AZ1312" i="14"/>
  <c r="H130" i="7"/>
  <c r="BA1253" i="14"/>
  <c r="G1253" i="14"/>
  <c r="W1253" i="14"/>
  <c r="AY1253" i="14"/>
  <c r="Q1253" i="14"/>
  <c r="BM1253" i="14"/>
  <c r="BL1253" i="14"/>
  <c r="E1253" i="14"/>
  <c r="J1253" i="14"/>
  <c r="R1253" i="14"/>
  <c r="T1253" i="14"/>
  <c r="AZ1253" i="14"/>
  <c r="U1253" i="14"/>
  <c r="I1253" i="14"/>
  <c r="BB1253" i="14"/>
  <c r="H196" i="7"/>
  <c r="H144" i="7"/>
  <c r="H127" i="7"/>
  <c r="H169" i="7"/>
  <c r="H145" i="7"/>
  <c r="H147" i="7"/>
  <c r="H195" i="7"/>
  <c r="H198" i="7"/>
  <c r="H181" i="7"/>
  <c r="H139" i="7"/>
  <c r="R1391" i="14"/>
  <c r="AZ1391" i="14"/>
  <c r="T1391" i="14"/>
  <c r="U1391" i="14"/>
  <c r="AY1391" i="14"/>
  <c r="BB1391" i="14"/>
  <c r="I1391" i="14"/>
  <c r="BM1391" i="14"/>
  <c r="Q1391" i="14"/>
  <c r="W1391" i="14"/>
  <c r="G1391" i="14"/>
  <c r="BA1391" i="14"/>
  <c r="BL1391" i="14"/>
  <c r="E1391" i="14"/>
  <c r="J1391" i="14"/>
  <c r="AY1387" i="14"/>
  <c r="U1387" i="14"/>
  <c r="Q1387" i="14"/>
  <c r="BB1387" i="14"/>
  <c r="I1387" i="14"/>
  <c r="BA1387" i="14"/>
  <c r="G1387" i="14"/>
  <c r="W1387" i="14"/>
  <c r="BM1387" i="14"/>
  <c r="AZ1387" i="14"/>
  <c r="E1387" i="14"/>
  <c r="R1387" i="14"/>
  <c r="J1387" i="14"/>
  <c r="T1387" i="14"/>
  <c r="BL1387" i="14"/>
  <c r="BC1260" i="14"/>
  <c r="BD1260" i="14"/>
  <c r="AF1260" i="14"/>
  <c r="P1260" i="14"/>
  <c r="AG1260" i="14" s="1"/>
  <c r="H1260" i="14"/>
  <c r="AH1260" i="14" s="1"/>
  <c r="BE1328" i="14"/>
  <c r="BF1260" i="14"/>
  <c r="BF1328" i="14"/>
  <c r="BF1338" i="14"/>
  <c r="AH1328" i="14"/>
  <c r="BI1328" i="14"/>
  <c r="AG1328" i="14"/>
  <c r="BJ1328" i="14"/>
  <c r="P1277" i="14" a="1"/>
  <c r="P1401" i="14" a="1"/>
  <c r="H1346" i="14" a="1"/>
  <c r="H1283" i="14" a="1"/>
  <c r="H1416" i="14" a="1"/>
  <c r="H1314" i="14" a="1"/>
  <c r="H1337" i="14" a="1"/>
  <c r="H1390" i="14" a="1"/>
  <c r="H1299" i="14" a="1"/>
  <c r="P1371" i="14" a="1"/>
  <c r="P1365" i="14" a="1"/>
  <c r="P1321" i="14" a="1"/>
  <c r="H1327" i="14" a="1"/>
  <c r="H1228" i="14" a="1"/>
  <c r="H1315" i="14" a="1"/>
  <c r="H1388" i="14" a="1"/>
  <c r="P1396" i="14" a="1"/>
  <c r="H1360" i="14" a="1"/>
  <c r="P1380" i="14" a="1"/>
  <c r="P1383" i="14" a="1"/>
  <c r="H1385" i="14" a="1"/>
  <c r="P1331" i="14" a="1"/>
  <c r="P1273" i="14" a="1"/>
  <c r="H1284" i="14" a="1"/>
  <c r="H1363" i="14" a="1"/>
  <c r="H1324" i="14" a="1"/>
  <c r="P1368" i="14" a="1"/>
  <c r="P1318" i="14" a="1"/>
  <c r="H1342" i="14" a="1"/>
  <c r="H1267" i="14" a="1"/>
  <c r="H1329" i="14" a="1"/>
  <c r="P1362" i="14" a="1"/>
  <c r="P1422" i="14" a="1"/>
  <c r="P1416" i="14" a="1"/>
  <c r="P1341" i="14" a="1"/>
  <c r="H1422" i="14" a="1"/>
  <c r="H1312" i="14" a="1"/>
  <c r="H1400" i="14" a="1"/>
  <c r="P1372" i="14" a="1"/>
  <c r="P1289" i="14" a="1"/>
  <c r="H1262" i="14" a="1"/>
  <c r="P1344" i="14" a="1"/>
  <c r="H1365" i="14" a="1"/>
  <c r="P1270" i="14" a="1"/>
  <c r="H1354" i="14" a="1"/>
  <c r="H1379" i="14" a="1"/>
  <c r="H1333" i="14" a="1"/>
  <c r="H1369" i="14" a="1"/>
  <c r="P1244" i="14" a="1"/>
  <c r="P1307" i="14" a="1"/>
  <c r="P1391" i="14" a="1"/>
  <c r="H1268" i="14" a="1"/>
  <c r="H1340" i="14" a="1"/>
  <c r="H1302" i="14" a="1"/>
  <c r="H1408" i="14" a="1"/>
  <c r="H1403" i="14" a="1"/>
  <c r="H1358" i="14" a="1"/>
  <c r="P1253" i="14" a="1"/>
  <c r="H1249" i="14" a="1"/>
  <c r="H1380" i="14" a="1"/>
  <c r="P1420" i="14" a="1"/>
  <c r="H1320" i="14" a="1"/>
  <c r="H1291" i="14" a="1"/>
  <c r="P1283" i="14" a="1"/>
  <c r="P1354" i="14" a="1"/>
  <c r="H1418" i="14" a="1"/>
  <c r="H1250" i="14" a="1"/>
  <c r="H1425" i="14" a="1"/>
  <c r="H1386" i="14" a="1"/>
  <c r="P1410" i="14" a="1"/>
  <c r="H1290" i="14" a="1"/>
  <c r="H1265" i="14" a="1"/>
  <c r="P1267" i="14" a="1"/>
  <c r="P1356" i="14" a="1"/>
  <c r="P1315" i="14" a="1"/>
  <c r="P1395" i="14" a="1"/>
  <c r="P1235" i="14" a="1"/>
  <c r="H1383" i="14" a="1"/>
  <c r="H1415" i="14" a="1"/>
  <c r="H1321" i="14" a="1"/>
  <c r="P1300" i="14" a="1"/>
  <c r="P1313" i="14" a="1"/>
  <c r="H1389" i="14" a="1"/>
  <c r="H1421" i="14" a="1"/>
  <c r="P1335" i="14" a="1"/>
  <c r="P1428" i="14" a="1"/>
  <c r="H1266" i="14" a="1"/>
  <c r="P1298" i="14" a="1"/>
  <c r="H1428" i="14" a="1"/>
  <c r="P1336" i="14" a="1"/>
  <c r="H1420" i="14" a="1"/>
  <c r="P1279" i="14" a="1"/>
  <c r="P1312" i="14" a="1"/>
  <c r="P1388" i="14" a="1"/>
  <c r="H1319" i="14" a="1"/>
  <c r="P1375" i="14" a="1"/>
  <c r="P1398" i="14" a="1"/>
  <c r="P1272" i="14" a="1"/>
  <c r="P1290" i="14" a="1"/>
  <c r="H1306" i="14" a="1"/>
  <c r="P1425" i="14" a="1"/>
  <c r="H1276" i="14" a="1"/>
  <c r="H1235" i="14" a="1"/>
  <c r="H1348" i="14" a="1"/>
  <c r="H1318" i="14" a="1"/>
  <c r="P1274" i="14" a="1"/>
  <c r="P1310" i="14" a="1"/>
  <c r="H1317" i="14" a="1"/>
  <c r="P1386" i="14" a="1"/>
  <c r="H1274" i="14" a="1"/>
  <c r="P1379" i="14" a="1"/>
  <c r="H1288" i="14" a="1"/>
  <c r="H1332" i="14" a="1"/>
  <c r="P1287" i="14" a="1"/>
  <c r="P1406" i="14" a="1"/>
  <c r="H1395" i="14" a="1"/>
  <c r="P1236" i="14" a="1"/>
  <c r="H1258" i="14" a="1"/>
  <c r="P1252" i="14" a="1"/>
  <c r="H1233" i="14" a="1"/>
  <c r="H1286" i="14" a="1"/>
  <c r="P1347" i="14" a="1"/>
  <c r="P1370" i="14" a="1"/>
  <c r="P1245" i="14" a="1"/>
  <c r="H1341" i="14" a="1"/>
  <c r="P1415" i="14" a="1"/>
  <c r="P1421" i="14" a="1"/>
  <c r="P1384" i="14" a="1"/>
  <c r="H1316" i="14" a="1"/>
  <c r="P1257" i="14" a="1"/>
  <c r="P1345" i="14" a="1"/>
  <c r="H1326" i="14" a="1"/>
  <c r="P1349" i="14" a="1"/>
  <c r="P1308" i="14" a="1"/>
  <c r="P1280" i="14" a="1"/>
  <c r="P1282" i="14" a="1"/>
  <c r="H1251" i="14" a="1"/>
  <c r="P1243" i="14" a="1"/>
  <c r="H1382" i="14" a="1"/>
  <c r="H1273" i="14" a="1"/>
  <c r="H1323" i="14" a="1"/>
  <c r="H1361" i="14" a="1"/>
  <c r="H1280" i="14" a="1"/>
  <c r="H1352" i="14" a="1"/>
  <c r="P1233" i="14" a="1"/>
  <c r="H1259" i="14" a="1"/>
  <c r="P1286" i="14" a="1"/>
  <c r="P1389" i="14" a="1"/>
  <c r="P1411" i="14" a="1"/>
  <c r="P1229" i="14" a="1"/>
  <c r="H1244" i="14" a="1"/>
  <c r="H1345" i="14" a="1"/>
  <c r="P1288" i="14" a="1"/>
  <c r="P1399" i="14" a="1"/>
  <c r="H1234" i="14" a="1"/>
  <c r="H1243" i="14" a="1"/>
  <c r="P1281" i="14" a="1"/>
  <c r="P1329" i="14" a="1"/>
  <c r="P1426" i="14" a="1"/>
  <c r="H1404" i="14" a="1"/>
  <c r="H1301" i="14" a="1"/>
  <c r="P1311" i="14" a="1"/>
  <c r="H1279" i="14" a="1"/>
  <c r="H1304" i="14" a="1"/>
  <c r="H1238" i="14" a="1"/>
  <c r="H1229" i="14" a="1"/>
  <c r="P1327" i="14" a="1"/>
  <c r="P1339" i="14" a="1"/>
  <c r="P1350" i="14" a="1"/>
  <c r="P1276" i="14" a="1"/>
  <c r="P1366" i="14" a="1"/>
  <c r="H1257" i="14" a="1"/>
  <c r="P1241" i="14" a="1"/>
  <c r="H1305" i="14" a="1"/>
  <c r="H1242" i="14" a="1"/>
  <c r="P1301" i="14" a="1"/>
  <c r="H1378" i="14" a="1"/>
  <c r="P1387" i="14" a="1"/>
  <c r="H1413" i="14" a="1"/>
  <c r="H1372" i="14" a="1"/>
  <c r="P1334" i="14" a="1"/>
  <c r="H1310" i="14" a="1"/>
  <c r="P1293" i="14" a="1"/>
  <c r="H1387" i="14" a="1"/>
  <c r="P1319" i="14" a="1"/>
  <c r="H1261" i="14" a="1"/>
  <c r="H1343" i="14" a="1"/>
  <c r="H1240" i="14" a="1"/>
  <c r="P1364" i="14" a="1"/>
  <c r="H1407" i="14" a="1"/>
  <c r="H1241" i="14" a="1"/>
  <c r="P1246" i="14" a="1"/>
  <c r="H1339" i="14" a="1"/>
  <c r="P1275" i="14" a="1"/>
  <c r="H1396" i="14" a="1"/>
  <c r="H1335" i="14" a="1"/>
  <c r="P1417" i="14" a="1"/>
  <c r="H1295" i="14" a="1"/>
  <c r="H1384" i="14" a="1"/>
  <c r="P1269" i="14" a="1"/>
  <c r="H1270" i="14" a="1"/>
  <c r="P1305" i="14" a="1"/>
  <c r="H1356" i="14" a="1"/>
  <c r="H1371" i="14" a="1"/>
  <c r="P1324" i="14" a="1"/>
  <c r="H1331" i="14" a="1"/>
  <c r="H1391" i="14" a="1"/>
  <c r="P1248" i="14" a="1"/>
  <c r="H1375" i="14" a="1"/>
  <c r="P1306" i="14" a="1"/>
  <c r="P1326" i="14" a="1"/>
  <c r="H1347" i="14" a="1"/>
  <c r="P1292" i="14" a="1"/>
  <c r="P1361" i="14" a="1"/>
  <c r="H1362" i="14" a="1"/>
  <c r="H1427" i="14" a="1"/>
  <c r="H1394" i="14" a="1"/>
  <c r="P1304" i="14" a="1"/>
  <c r="P1251" i="14" a="1"/>
  <c r="H1254" i="14" a="1"/>
  <c r="H1349" i="14" a="1"/>
  <c r="H1376" i="14" a="1"/>
  <c r="H1336" i="14" a="1"/>
  <c r="H1255" i="14" a="1"/>
  <c r="H1344" i="14" a="1"/>
  <c r="P1378" i="14" a="1"/>
  <c r="H1351" i="14" a="1"/>
  <c r="P1296" i="14" a="1"/>
  <c r="P1353" i="14" a="1"/>
  <c r="P1419" i="14" a="1"/>
  <c r="H1350" i="14" a="1"/>
  <c r="P1340" i="14" a="1"/>
  <c r="H1245" i="14" a="1"/>
  <c r="P1363" i="14" a="1"/>
  <c r="P1234" i="14" a="1"/>
  <c r="H1294" i="14" a="1"/>
  <c r="P1385" i="14" a="1"/>
  <c r="H1308" i="14" a="1"/>
  <c r="P1291" i="14" a="1"/>
  <c r="P1381" i="14" a="1"/>
  <c r="P1255" i="14" a="1"/>
  <c r="H1322" i="14" a="1"/>
  <c r="H1239" i="14" a="1"/>
  <c r="H1237" i="14" a="1"/>
  <c r="P1355" i="14" a="1"/>
  <c r="H1287" i="14" a="1"/>
  <c r="H1300" i="14" a="1"/>
  <c r="P1403" i="14" a="1"/>
  <c r="P1360" i="14" a="1"/>
  <c r="P1348" i="14" a="1"/>
  <c r="H1334" i="14" a="1"/>
  <c r="P1261" i="14" a="1"/>
  <c r="H1370" i="14" a="1"/>
  <c r="P1247" i="14" a="1"/>
  <c r="P1407" i="14" a="1"/>
  <c r="P1373" i="14" a="1"/>
  <c r="H1374" i="14" a="1"/>
  <c r="H1277" i="14" a="1"/>
  <c r="P1242" i="14" a="1"/>
  <c r="P1330" i="14" a="1"/>
  <c r="P1400" i="14" a="1"/>
  <c r="P1405" i="14" a="1"/>
  <c r="P1265" i="14" a="1"/>
  <c r="H1411" i="14" a="1"/>
  <c r="H1393" i="14" a="1"/>
  <c r="P1230" i="14" a="1"/>
  <c r="P1238" i="14" a="1"/>
  <c r="P1413" i="14" a="1"/>
  <c r="H1426" i="14" a="1"/>
  <c r="H1264" i="14" a="1"/>
  <c r="P1317" i="14" a="1"/>
  <c r="H1293" i="14" a="1"/>
  <c r="H1252" i="14" a="1"/>
  <c r="H1398" i="14" a="1"/>
  <c r="P1390" i="14" a="1"/>
  <c r="P1228" i="14" a="1"/>
  <c r="H1364" i="14" a="1"/>
  <c r="P1284" i="14" a="1"/>
  <c r="H1311" i="14" a="1"/>
  <c r="P1394" i="14" a="1"/>
  <c r="P1240" i="14" a="1"/>
  <c r="P1337" i="14" a="1"/>
  <c r="P1266" i="14" a="1"/>
  <c r="P1268" i="14" a="1"/>
  <c r="P1427" i="14" a="1"/>
  <c r="H1406" i="14" a="1"/>
  <c r="H1248" i="14" a="1"/>
  <c r="H1410" i="14" a="1"/>
  <c r="P1314" i="14" a="1"/>
  <c r="P1262" i="14" a="1"/>
  <c r="P1374" i="14" a="1"/>
  <c r="H1281" i="14" a="1"/>
  <c r="H1373" i="14" a="1"/>
  <c r="P1351" i="14" a="1"/>
  <c r="H1359" i="14" a="1"/>
  <c r="H1397" i="14" a="1"/>
  <c r="P1346" i="14" a="1"/>
  <c r="P1316" i="14" a="1"/>
  <c r="H1313" i="14" a="1"/>
  <c r="H1298" i="14" a="1"/>
  <c r="P1408" i="14" a="1"/>
  <c r="P1239" i="14" a="1"/>
  <c r="P1376" i="14" a="1"/>
  <c r="P1343" i="14" a="1"/>
  <c r="H1275" i="14" a="1"/>
  <c r="H1419" i="14" a="1"/>
  <c r="H1246" i="14" a="1"/>
  <c r="H1292" i="14" a="1"/>
  <c r="P1352" i="14" a="1"/>
  <c r="P1342" i="14" a="1"/>
  <c r="H1353" i="14" a="1"/>
  <c r="H1330" i="14" a="1"/>
  <c r="P1382" i="14" a="1"/>
  <c r="P1332" i="14" a="1"/>
  <c r="P1250" i="14" a="1"/>
  <c r="P1295" i="14" a="1"/>
  <c r="H1401" i="14" a="1"/>
  <c r="H1366" i="14" a="1"/>
  <c r="P1397" i="14" a="1"/>
  <c r="P1359" i="14" a="1"/>
  <c r="P1237" i="14" a="1"/>
  <c r="P1369" i="14" a="1"/>
  <c r="H1405" i="14" a="1"/>
  <c r="H1368" i="14" a="1"/>
  <c r="H1417" i="14" a="1"/>
  <c r="H1381" i="14" a="1"/>
  <c r="P1258" i="14" a="1"/>
  <c r="P1294" i="14" a="1"/>
  <c r="H1399" i="14" a="1"/>
  <c r="P1393" i="14" a="1"/>
  <c r="P1299" i="14" a="1"/>
  <c r="P1320" i="14" a="1"/>
  <c r="H1253" i="14" a="1"/>
  <c r="H1289" i="14" a="1"/>
  <c r="P1418" i="14" a="1"/>
  <c r="H1355" i="14" a="1"/>
  <c r="P1264" i="14" a="1"/>
  <c r="P1302" i="14" a="1"/>
  <c r="P1259" i="14" a="1"/>
  <c r="P1254" i="14" a="1"/>
  <c r="H1269" i="14" a="1"/>
  <c r="H1412" i="14" a="1"/>
  <c r="P1358" i="14" a="1"/>
  <c r="H1236" i="14" a="1"/>
  <c r="H1247" i="14" a="1"/>
  <c r="P1412" i="14" a="1"/>
  <c r="H1272" i="14" a="1"/>
  <c r="H1230" i="14" a="1"/>
  <c r="H1296" i="14" a="1"/>
  <c r="H1282" i="14" a="1"/>
  <c r="H1307" i="14" a="1"/>
  <c r="P1333" i="14" a="1"/>
  <c r="P1323" i="14" a="1"/>
  <c r="P1322" i="14" a="1"/>
  <c r="P1249" i="14" a="1"/>
  <c r="P1404" i="14" a="1"/>
  <c r="BF1408" i="14" l="1"/>
  <c r="AF1408" i="14"/>
  <c r="BD1408" i="14"/>
  <c r="BC1408" i="14"/>
  <c r="P1408" i="14"/>
  <c r="AG1408" i="14" s="1"/>
  <c r="AI1408" i="14" s="1"/>
  <c r="AA1408" i="14" s="1"/>
  <c r="AD1408" i="14" s="1"/>
  <c r="H1408" i="14"/>
  <c r="AH1408" i="14" s="1"/>
  <c r="AJ1408" i="14" s="1"/>
  <c r="Z1408" i="14" s="1"/>
  <c r="AF1284" i="14"/>
  <c r="BC1284" i="14"/>
  <c r="BH1284" i="14"/>
  <c r="BF1284" i="14" s="1"/>
  <c r="BD1284" i="14"/>
  <c r="H1284" i="14"/>
  <c r="AH1284" i="14" s="1"/>
  <c r="AJ1284" i="14" s="1"/>
  <c r="Z1284" i="14" s="1"/>
  <c r="P1284" i="14"/>
  <c r="BJ1284" i="14" s="1"/>
  <c r="BD1401" i="14"/>
  <c r="BC1401" i="14"/>
  <c r="BH1401" i="14"/>
  <c r="BF1401" i="14" s="1"/>
  <c r="AF1401" i="14"/>
  <c r="H1401" i="14"/>
  <c r="BI1401" i="14" s="1"/>
  <c r="P1401" i="14"/>
  <c r="AG1401" i="14" s="1"/>
  <c r="AL1401" i="14" s="1"/>
  <c r="AF1320" i="14"/>
  <c r="BH1320" i="14"/>
  <c r="BF1320" i="14" s="1"/>
  <c r="BC1320" i="14"/>
  <c r="AF1318" i="14"/>
  <c r="BD1318" i="14"/>
  <c r="BC1318" i="14"/>
  <c r="H1366" i="14"/>
  <c r="AH1366" i="14" s="1"/>
  <c r="AJ1366" i="14" s="1"/>
  <c r="Z1366" i="14" s="1"/>
  <c r="BC1366" i="14"/>
  <c r="BH1366" i="14"/>
  <c r="BF1366" i="14" s="1"/>
  <c r="BD1306" i="14"/>
  <c r="BD1366" i="14"/>
  <c r="BH1318" i="14"/>
  <c r="BF1318" i="14" s="1"/>
  <c r="H1320" i="14"/>
  <c r="BI1320" i="14" s="1"/>
  <c r="P1318" i="14"/>
  <c r="BJ1318" i="14" s="1"/>
  <c r="H1318" i="14"/>
  <c r="AH1318" i="14" s="1"/>
  <c r="AK1318" i="14" s="1"/>
  <c r="P1366" i="14"/>
  <c r="AG1366" i="14" s="1"/>
  <c r="AL1366" i="14" s="1"/>
  <c r="AF1366" i="14"/>
  <c r="BH1306" i="14"/>
  <c r="BF1306" i="14" s="1"/>
  <c r="BC1306" i="14"/>
  <c r="BH1343" i="14"/>
  <c r="BF1343" i="14" s="1"/>
  <c r="H1306" i="14"/>
  <c r="AH1306" i="14" s="1"/>
  <c r="AJ1306" i="14" s="1"/>
  <c r="Z1306" i="14" s="1"/>
  <c r="P1306" i="14"/>
  <c r="AG1306" i="14" s="1"/>
  <c r="AL1306" i="14" s="1"/>
  <c r="BH1313" i="14"/>
  <c r="BF1313" i="14" s="1"/>
  <c r="BD1320" i="14"/>
  <c r="AF1347" i="14"/>
  <c r="P1320" i="14"/>
  <c r="BJ1320" i="14" s="1"/>
  <c r="BD1313" i="14"/>
  <c r="H1313" i="14"/>
  <c r="AH1313" i="14" s="1"/>
  <c r="AJ1313" i="14" s="1"/>
  <c r="Z1313" i="14" s="1"/>
  <c r="BH1347" i="14"/>
  <c r="BF1347" i="14" s="1"/>
  <c r="BC1347" i="14"/>
  <c r="BC1313" i="14"/>
  <c r="BH1299" i="14"/>
  <c r="BF1299" i="14" s="1"/>
  <c r="BC1299" i="14"/>
  <c r="AF1313" i="14"/>
  <c r="BD1299" i="14"/>
  <c r="BC1343" i="14"/>
  <c r="P1347" i="14"/>
  <c r="AG1347" i="14" s="1"/>
  <c r="AL1347" i="14" s="1"/>
  <c r="H1347" i="14"/>
  <c r="BI1347" i="14" s="1"/>
  <c r="AF1299" i="14"/>
  <c r="BD1347" i="14"/>
  <c r="AF1343" i="14"/>
  <c r="P1313" i="14"/>
  <c r="BJ1313" i="14" s="1"/>
  <c r="H1299" i="14"/>
  <c r="BI1299" i="14" s="1"/>
  <c r="BD1343" i="14"/>
  <c r="P1299" i="14"/>
  <c r="BJ1299" i="14" s="1"/>
  <c r="H1343" i="14"/>
  <c r="BI1343" i="14" s="1"/>
  <c r="P1343" i="14"/>
  <c r="BJ1343" i="14" s="1"/>
  <c r="BC1259" i="14"/>
  <c r="BD1259" i="14"/>
  <c r="BH1360" i="14"/>
  <c r="BF1360" i="14" s="1"/>
  <c r="BH1259" i="14"/>
  <c r="BF1259" i="14" s="1"/>
  <c r="AF1259" i="14"/>
  <c r="P1259" i="14"/>
  <c r="AG1259" i="14" s="1"/>
  <c r="AL1259" i="14" s="1"/>
  <c r="H1259" i="14"/>
  <c r="BI1259" i="14" s="1"/>
  <c r="BD1266" i="14"/>
  <c r="AF1266" i="14"/>
  <c r="BC1360" i="14"/>
  <c r="P1266" i="14"/>
  <c r="BJ1266" i="14" s="1"/>
  <c r="BC1266" i="14"/>
  <c r="BH1266" i="14"/>
  <c r="BF1266" i="14" s="1"/>
  <c r="BD1360" i="14"/>
  <c r="AF1360" i="14"/>
  <c r="H1360" i="14"/>
  <c r="BI1360" i="14" s="1"/>
  <c r="P1360" i="14"/>
  <c r="BJ1360" i="14" s="1"/>
  <c r="H1266" i="14"/>
  <c r="AH1266" i="14" s="1"/>
  <c r="AK1266" i="14" s="1"/>
  <c r="AF1275" i="14"/>
  <c r="BH1275" i="14"/>
  <c r="BF1275" i="14" s="1"/>
  <c r="BC1275" i="14"/>
  <c r="BD1336" i="14"/>
  <c r="BH1336" i="14"/>
  <c r="BF1336" i="14" s="1"/>
  <c r="AF1336" i="14"/>
  <c r="BD1275" i="14"/>
  <c r="BC1336" i="14"/>
  <c r="H1275" i="14"/>
  <c r="BI1275" i="14" s="1"/>
  <c r="P1275" i="14"/>
  <c r="BJ1275" i="14" s="1"/>
  <c r="H1336" i="14"/>
  <c r="AH1336" i="14" s="1"/>
  <c r="AJ1336" i="14" s="1"/>
  <c r="Z1336" i="14" s="1"/>
  <c r="P1336" i="14"/>
  <c r="BJ1336" i="14" s="1"/>
  <c r="BD1300" i="14"/>
  <c r="AF1300" i="14"/>
  <c r="BC1300" i="14"/>
  <c r="BD1356" i="14"/>
  <c r="BH1356" i="14"/>
  <c r="BF1356" i="14" s="1"/>
  <c r="BC1255" i="14"/>
  <c r="P1300" i="14"/>
  <c r="AG1300" i="14" s="1"/>
  <c r="AN1300" i="14" s="1"/>
  <c r="H1300" i="14"/>
  <c r="AH1300" i="14" s="1"/>
  <c r="AM1300" i="14" s="1"/>
  <c r="BD1243" i="14"/>
  <c r="AF1356" i="14"/>
  <c r="BC1356" i="14"/>
  <c r="H1356" i="14"/>
  <c r="BI1356" i="14" s="1"/>
  <c r="P1356" i="14"/>
  <c r="AG1356" i="14" s="1"/>
  <c r="AN1356" i="14" s="1"/>
  <c r="BH1243" i="14"/>
  <c r="BF1243" i="14" s="1"/>
  <c r="BC1243" i="14"/>
  <c r="AF1243" i="14"/>
  <c r="BD1255" i="14"/>
  <c r="H1243" i="14"/>
  <c r="AH1243" i="14" s="1"/>
  <c r="AJ1243" i="14" s="1"/>
  <c r="Z1243" i="14" s="1"/>
  <c r="P1243" i="14"/>
  <c r="BJ1243" i="14" s="1"/>
  <c r="BH1255" i="14"/>
  <c r="BF1255" i="14" s="1"/>
  <c r="BH1300" i="14"/>
  <c r="BF1300" i="14" s="1"/>
  <c r="P1255" i="14"/>
  <c r="BJ1255" i="14" s="1"/>
  <c r="H1255" i="14"/>
  <c r="AH1255" i="14" s="1"/>
  <c r="AM1255" i="14" s="1"/>
  <c r="BD1339" i="14"/>
  <c r="BH1339" i="14"/>
  <c r="BF1339" i="14" s="1"/>
  <c r="BD1380" i="14"/>
  <c r="BC1339" i="14"/>
  <c r="BH1380" i="14"/>
  <c r="BF1380" i="14" s="1"/>
  <c r="BC1380" i="14"/>
  <c r="H1380" i="14"/>
  <c r="BI1380" i="14" s="1"/>
  <c r="P1380" i="14"/>
  <c r="BJ1380" i="14" s="1"/>
  <c r="AF1339" i="14"/>
  <c r="P1339" i="14"/>
  <c r="BJ1339" i="14" s="1"/>
  <c r="BH1326" i="14"/>
  <c r="BF1326" i="14" s="1"/>
  <c r="AF1380" i="14"/>
  <c r="BH1237" i="14"/>
  <c r="BF1237" i="14" s="1"/>
  <c r="H1339" i="14"/>
  <c r="AH1339" i="14" s="1"/>
  <c r="AM1339" i="14" s="1"/>
  <c r="BC1237" i="14"/>
  <c r="BD1237" i="14"/>
  <c r="AF1237" i="14"/>
  <c r="P1237" i="14"/>
  <c r="AG1237" i="14" s="1"/>
  <c r="AL1237" i="14" s="1"/>
  <c r="H1237" i="14"/>
  <c r="AH1237" i="14" s="1"/>
  <c r="AJ1237" i="14" s="1"/>
  <c r="Z1237" i="14" s="1"/>
  <c r="BH1397" i="14"/>
  <c r="BF1397" i="14" s="1"/>
  <c r="BH1405" i="14"/>
  <c r="BF1405" i="14" s="1"/>
  <c r="BC1405" i="14"/>
  <c r="BD1405" i="14"/>
  <c r="AF1405" i="14"/>
  <c r="AF1354" i="14"/>
  <c r="BH1264" i="14"/>
  <c r="BF1264" i="14" s="1"/>
  <c r="BH1382" i="14"/>
  <c r="BF1382" i="14" s="1"/>
  <c r="BD1354" i="14"/>
  <c r="BD1382" i="14"/>
  <c r="P1405" i="14"/>
  <c r="BJ1405" i="14" s="1"/>
  <c r="H1405" i="14"/>
  <c r="BI1405" i="14" s="1"/>
  <c r="AF1382" i="14"/>
  <c r="BH1354" i="14"/>
  <c r="BF1354" i="14" s="1"/>
  <c r="BH1268" i="14"/>
  <c r="BF1268" i="14" s="1"/>
  <c r="BC1264" i="14"/>
  <c r="BF1342" i="14"/>
  <c r="AF1342" i="14"/>
  <c r="P1264" i="14"/>
  <c r="AG1264" i="14" s="1"/>
  <c r="AL1264" i="14" s="1"/>
  <c r="P1382" i="14"/>
  <c r="AG1382" i="14" s="1"/>
  <c r="AI1382" i="14" s="1"/>
  <c r="AA1382" i="14" s="1"/>
  <c r="AD1382" i="14" s="1"/>
  <c r="BC1342" i="14"/>
  <c r="BC1354" i="14"/>
  <c r="AF1333" i="14"/>
  <c r="BC1382" i="14"/>
  <c r="BD1264" i="14"/>
  <c r="BC1268" i="14"/>
  <c r="BD1346" i="14"/>
  <c r="BC1346" i="14"/>
  <c r="P1342" i="14"/>
  <c r="BJ1342" i="14" s="1"/>
  <c r="P1354" i="14"/>
  <c r="AG1354" i="14" s="1"/>
  <c r="AI1354" i="14" s="1"/>
  <c r="AA1354" i="14" s="1"/>
  <c r="AD1354" i="14" s="1"/>
  <c r="H1382" i="14"/>
  <c r="AH1382" i="14" s="1"/>
  <c r="AJ1382" i="14" s="1"/>
  <c r="Z1382" i="14" s="1"/>
  <c r="H1354" i="14"/>
  <c r="BI1354" i="14" s="1"/>
  <c r="AF1374" i="14"/>
  <c r="BF1374" i="14"/>
  <c r="BH1254" i="14"/>
  <c r="BF1254" i="14" s="1"/>
  <c r="BD1342" i="14"/>
  <c r="BH1346" i="14"/>
  <c r="BF1346" i="14" s="1"/>
  <c r="AF1268" i="14"/>
  <c r="H1264" i="14"/>
  <c r="BI1264" i="14" s="1"/>
  <c r="H1342" i="14"/>
  <c r="BI1342" i="14" s="1"/>
  <c r="BI1338" i="14"/>
  <c r="BK1338" i="14" s="1"/>
  <c r="BC1254" i="14"/>
  <c r="BD1254" i="14"/>
  <c r="AF1254" i="14"/>
  <c r="BE1338" i="14"/>
  <c r="BC1374" i="14"/>
  <c r="BH1333" i="14"/>
  <c r="BF1333" i="14" s="1"/>
  <c r="BH1307" i="14"/>
  <c r="BF1307" i="14" s="1"/>
  <c r="BD1268" i="14"/>
  <c r="H1254" i="14"/>
  <c r="AH1254" i="14" s="1"/>
  <c r="AK1254" i="14" s="1"/>
  <c r="P1268" i="14"/>
  <c r="AG1268" i="14" s="1"/>
  <c r="AL1268" i="14" s="1"/>
  <c r="P1346" i="14"/>
  <c r="BJ1346" i="14" s="1"/>
  <c r="H1268" i="14"/>
  <c r="BI1268" i="14" s="1"/>
  <c r="P1254" i="14"/>
  <c r="AG1254" i="14" s="1"/>
  <c r="AI1254" i="14" s="1"/>
  <c r="AA1254" i="14" s="1"/>
  <c r="AD1254" i="14" s="1"/>
  <c r="H1346" i="14"/>
  <c r="BI1346" i="14" s="1"/>
  <c r="BC1370" i="14"/>
  <c r="AF1346" i="14"/>
  <c r="AF1370" i="14"/>
  <c r="BD1374" i="14"/>
  <c r="P1374" i="14"/>
  <c r="BJ1374" i="14" s="1"/>
  <c r="H1374" i="14"/>
  <c r="BI1374" i="14" s="1"/>
  <c r="BH1370" i="14"/>
  <c r="BF1370" i="14" s="1"/>
  <c r="H1370" i="14"/>
  <c r="BI1370" i="14" s="1"/>
  <c r="BD1370" i="14"/>
  <c r="P1307" i="14"/>
  <c r="AG1307" i="14" s="1"/>
  <c r="AN1307" i="14" s="1"/>
  <c r="H1397" i="14"/>
  <c r="BI1397" i="14" s="1"/>
  <c r="P1370" i="14"/>
  <c r="AG1370" i="14" s="1"/>
  <c r="AN1370" i="14" s="1"/>
  <c r="AF1350" i="14"/>
  <c r="AF1307" i="14"/>
  <c r="BH1247" i="14"/>
  <c r="BF1247" i="14" s="1"/>
  <c r="BD1397" i="14"/>
  <c r="BD1337" i="14"/>
  <c r="BC1397" i="14"/>
  <c r="BH1323" i="14"/>
  <c r="BF1323" i="14" s="1"/>
  <c r="BD1404" i="14"/>
  <c r="BC1337" i="14"/>
  <c r="AF1404" i="14"/>
  <c r="BH1279" i="14"/>
  <c r="BF1279" i="14" s="1"/>
  <c r="H1337" i="14"/>
  <c r="AH1337" i="14" s="1"/>
  <c r="AK1337" i="14" s="1"/>
  <c r="BH1404" i="14"/>
  <c r="BF1404" i="14" s="1"/>
  <c r="BC1247" i="14"/>
  <c r="BH1337" i="14"/>
  <c r="BF1337" i="14" s="1"/>
  <c r="H1307" i="14"/>
  <c r="AH1307" i="14" s="1"/>
  <c r="AK1307" i="14" s="1"/>
  <c r="BH1250" i="14"/>
  <c r="BF1250" i="14" s="1"/>
  <c r="AF1279" i="14"/>
  <c r="BD1247" i="14"/>
  <c r="BC1279" i="14"/>
  <c r="AG1338" i="14"/>
  <c r="AL1338" i="14" s="1"/>
  <c r="P1337" i="14"/>
  <c r="AG1337" i="14" s="1"/>
  <c r="AN1337" i="14" s="1"/>
  <c r="BC1307" i="14"/>
  <c r="BC1427" i="14"/>
  <c r="AF1397" i="14"/>
  <c r="BD1323" i="14"/>
  <c r="BC1349" i="14"/>
  <c r="BD1307" i="14"/>
  <c r="BH1427" i="14"/>
  <c r="BF1427" i="14" s="1"/>
  <c r="BD1238" i="14"/>
  <c r="BD1427" i="14"/>
  <c r="AF1427" i="14"/>
  <c r="AF1247" i="14"/>
  <c r="BD1250" i="14"/>
  <c r="BC1333" i="14"/>
  <c r="BC1404" i="14"/>
  <c r="BD1279" i="14"/>
  <c r="P1247" i="14"/>
  <c r="AG1247" i="14" s="1"/>
  <c r="AN1247" i="14" s="1"/>
  <c r="P1397" i="14"/>
  <c r="BJ1397" i="14" s="1"/>
  <c r="H1427" i="14"/>
  <c r="BI1427" i="14" s="1"/>
  <c r="H1404" i="14"/>
  <c r="AH1404" i="14" s="1"/>
  <c r="AK1404" i="14" s="1"/>
  <c r="P1279" i="14"/>
  <c r="AG1279" i="14" s="1"/>
  <c r="AI1279" i="14" s="1"/>
  <c r="AA1279" i="14" s="1"/>
  <c r="AD1279" i="14" s="1"/>
  <c r="H1247" i="14"/>
  <c r="AH1247" i="14" s="1"/>
  <c r="AJ1247" i="14" s="1"/>
  <c r="Z1247" i="14" s="1"/>
  <c r="P1404" i="14"/>
  <c r="AG1404" i="14" s="1"/>
  <c r="AI1404" i="14" s="1"/>
  <c r="AA1404" i="14" s="1"/>
  <c r="AD1404" i="14" s="1"/>
  <c r="H1279" i="14"/>
  <c r="BI1279" i="14" s="1"/>
  <c r="P1427" i="14"/>
  <c r="AG1427" i="14" s="1"/>
  <c r="AN1427" i="14" s="1"/>
  <c r="AF1301" i="14"/>
  <c r="BD1333" i="14"/>
  <c r="H1333" i="14"/>
  <c r="BI1333" i="14" s="1"/>
  <c r="P1333" i="14"/>
  <c r="AG1333" i="14" s="1"/>
  <c r="AL1333" i="14" s="1"/>
  <c r="BH1301" i="14"/>
  <c r="BF1301" i="14" s="1"/>
  <c r="BC1323" i="14"/>
  <c r="BC1238" i="14"/>
  <c r="BD1301" i="14"/>
  <c r="H1323" i="14"/>
  <c r="AH1323" i="14" s="1"/>
  <c r="AJ1323" i="14" s="1"/>
  <c r="Z1323" i="14" s="1"/>
  <c r="H1301" i="14"/>
  <c r="AH1301" i="14" s="1"/>
  <c r="AJ1301" i="14" s="1"/>
  <c r="Z1301" i="14" s="1"/>
  <c r="P1323" i="14"/>
  <c r="BJ1323" i="14" s="1"/>
  <c r="AF1250" i="14"/>
  <c r="BD1349" i="14"/>
  <c r="P1250" i="14"/>
  <c r="AG1250" i="14" s="1"/>
  <c r="AI1250" i="14" s="1"/>
  <c r="AA1250" i="14" s="1"/>
  <c r="AD1250" i="14" s="1"/>
  <c r="BC1301" i="14"/>
  <c r="AF1238" i="14"/>
  <c r="BC1250" i="14"/>
  <c r="H1349" i="14"/>
  <c r="BI1349" i="14" s="1"/>
  <c r="P1238" i="14"/>
  <c r="BJ1238" i="14" s="1"/>
  <c r="P1349" i="14"/>
  <c r="AG1349" i="14" s="1"/>
  <c r="AI1349" i="14" s="1"/>
  <c r="AA1349" i="14" s="1"/>
  <c r="AD1349" i="14" s="1"/>
  <c r="H1238" i="14"/>
  <c r="AH1238" i="14" s="1"/>
  <c r="AK1238" i="14" s="1"/>
  <c r="P1301" i="14"/>
  <c r="AG1301" i="14" s="1"/>
  <c r="AN1301" i="14" s="1"/>
  <c r="H1250" i="14"/>
  <c r="BI1250" i="14" s="1"/>
  <c r="BH1319" i="14"/>
  <c r="BF1319" i="14" s="1"/>
  <c r="BF1349" i="14"/>
  <c r="BD1319" i="14"/>
  <c r="BH1238" i="14"/>
  <c r="BF1238" i="14" s="1"/>
  <c r="AF1349" i="14"/>
  <c r="H1319" i="14"/>
  <c r="BI1319" i="14" s="1"/>
  <c r="BC1319" i="14"/>
  <c r="BC1376" i="14"/>
  <c r="BH1376" i="14"/>
  <c r="BF1376" i="14" s="1"/>
  <c r="BD1376" i="14"/>
  <c r="P1319" i="14"/>
  <c r="AG1319" i="14" s="1"/>
  <c r="AN1319" i="14" s="1"/>
  <c r="BH1353" i="14"/>
  <c r="BF1353" i="14" s="1"/>
  <c r="BD1406" i="14"/>
  <c r="BH1406" i="14"/>
  <c r="BF1406" i="14" s="1"/>
  <c r="H1376" i="14"/>
  <c r="AH1376" i="14" s="1"/>
  <c r="AJ1376" i="14" s="1"/>
  <c r="Z1376" i="14" s="1"/>
  <c r="P1376" i="14"/>
  <c r="BJ1376" i="14" s="1"/>
  <c r="AF1352" i="14"/>
  <c r="BC1310" i="14"/>
  <c r="BD1310" i="14"/>
  <c r="H1310" i="14"/>
  <c r="P1310" i="14"/>
  <c r="AF1310" i="14"/>
  <c r="BG1310" i="14"/>
  <c r="BF1310" i="14" s="1"/>
  <c r="BH1344" i="14"/>
  <c r="BF1344" i="14" s="1"/>
  <c r="H1406" i="14"/>
  <c r="AH1406" i="14" s="1"/>
  <c r="AJ1406" i="14" s="1"/>
  <c r="Z1406" i="14" s="1"/>
  <c r="BH1352" i="14"/>
  <c r="BF1352" i="14" s="1"/>
  <c r="BF1276" i="14"/>
  <c r="BD1290" i="14"/>
  <c r="BD1344" i="14"/>
  <c r="BF1311" i="14"/>
  <c r="H1352" i="14"/>
  <c r="BI1352" i="14" s="1"/>
  <c r="P1352" i="14"/>
  <c r="AG1352" i="14" s="1"/>
  <c r="AL1352" i="14" s="1"/>
  <c r="AF1353" i="14"/>
  <c r="BD1352" i="14"/>
  <c r="BH1248" i="14"/>
  <c r="BF1248" i="14" s="1"/>
  <c r="AF1344" i="14"/>
  <c r="AF1311" i="14"/>
  <c r="BH1290" i="14"/>
  <c r="BF1290" i="14" s="1"/>
  <c r="BH1317" i="14"/>
  <c r="BF1317" i="14" s="1"/>
  <c r="BD1311" i="14"/>
  <c r="BC1352" i="14"/>
  <c r="BD1350" i="14"/>
  <c r="BC1311" i="14"/>
  <c r="P1311" i="14"/>
  <c r="AG1311" i="14" s="1"/>
  <c r="AL1311" i="14" s="1"/>
  <c r="H1311" i="14"/>
  <c r="BI1311" i="14" s="1"/>
  <c r="BD1248" i="14"/>
  <c r="BF1350" i="14"/>
  <c r="AF1406" i="14"/>
  <c r="AF1276" i="14"/>
  <c r="BC1248" i="14"/>
  <c r="BC1344" i="14"/>
  <c r="BC1350" i="14"/>
  <c r="P1248" i="14"/>
  <c r="BJ1248" i="14" s="1"/>
  <c r="P1344" i="14"/>
  <c r="BJ1344" i="14" s="1"/>
  <c r="H1344" i="14"/>
  <c r="BI1344" i="14" s="1"/>
  <c r="H1248" i="14"/>
  <c r="AH1248" i="14" s="1"/>
  <c r="AJ1248" i="14" s="1"/>
  <c r="Z1248" i="14" s="1"/>
  <c r="BD1327" i="14"/>
  <c r="BH1327" i="14"/>
  <c r="BF1327" i="14" s="1"/>
  <c r="BC1353" i="14"/>
  <c r="BD1353" i="14"/>
  <c r="BC1406" i="14"/>
  <c r="H1290" i="14"/>
  <c r="BI1290" i="14" s="1"/>
  <c r="P1353" i="14"/>
  <c r="BJ1353" i="14" s="1"/>
  <c r="H1350" i="14"/>
  <c r="AH1350" i="14" s="1"/>
  <c r="AM1350" i="14" s="1"/>
  <c r="P1290" i="14"/>
  <c r="AG1290" i="14" s="1"/>
  <c r="AI1290" i="14" s="1"/>
  <c r="AA1290" i="14" s="1"/>
  <c r="AD1290" i="14" s="1"/>
  <c r="H1353" i="14"/>
  <c r="AH1353" i="14" s="1"/>
  <c r="AJ1353" i="14" s="1"/>
  <c r="Z1353" i="14" s="1"/>
  <c r="P1406" i="14"/>
  <c r="AG1406" i="14" s="1"/>
  <c r="AN1406" i="14" s="1"/>
  <c r="P1350" i="14"/>
  <c r="AG1350" i="14" s="1"/>
  <c r="AI1350" i="14" s="1"/>
  <c r="AA1350" i="14" s="1"/>
  <c r="AD1350" i="14" s="1"/>
  <c r="BH1314" i="14"/>
  <c r="BF1314" i="14" s="1"/>
  <c r="BD1314" i="14"/>
  <c r="BC1327" i="14"/>
  <c r="BH1399" i="14"/>
  <c r="BF1399" i="14" s="1"/>
  <c r="AF1385" i="14"/>
  <c r="BH1385" i="14"/>
  <c r="BF1385" i="14" s="1"/>
  <c r="BC1314" i="14"/>
  <c r="BF1261" i="14"/>
  <c r="AF1314" i="14"/>
  <c r="BC1290" i="14"/>
  <c r="BD1385" i="14"/>
  <c r="P1327" i="14"/>
  <c r="BJ1327" i="14" s="1"/>
  <c r="H1385" i="14"/>
  <c r="AH1385" i="14" s="1"/>
  <c r="AJ1385" i="14" s="1"/>
  <c r="Z1385" i="14" s="1"/>
  <c r="P1314" i="14"/>
  <c r="AG1314" i="14" s="1"/>
  <c r="AN1314" i="14" s="1"/>
  <c r="AF1261" i="14"/>
  <c r="AF1317" i="14"/>
  <c r="AF1290" i="14"/>
  <c r="H1314" i="14"/>
  <c r="AH1314" i="14" s="1"/>
  <c r="AK1314" i="14" s="1"/>
  <c r="H1327" i="14"/>
  <c r="AH1327" i="14" s="1"/>
  <c r="AJ1327" i="14" s="1"/>
  <c r="Z1327" i="14" s="1"/>
  <c r="BD1276" i="14"/>
  <c r="BC1276" i="14"/>
  <c r="P1276" i="14"/>
  <c r="BJ1276" i="14" s="1"/>
  <c r="H1276" i="14"/>
  <c r="AH1276" i="14" s="1"/>
  <c r="AM1276" i="14" s="1"/>
  <c r="BC1317" i="14"/>
  <c r="BD1317" i="14"/>
  <c r="BC1385" i="14"/>
  <c r="AF1355" i="14"/>
  <c r="H1317" i="14"/>
  <c r="AH1317" i="14" s="1"/>
  <c r="AJ1317" i="14" s="1"/>
  <c r="Z1317" i="14" s="1"/>
  <c r="P1317" i="14"/>
  <c r="AG1317" i="14" s="1"/>
  <c r="AI1317" i="14" s="1"/>
  <c r="AA1317" i="14" s="1"/>
  <c r="AD1317" i="14" s="1"/>
  <c r="BD1399" i="14"/>
  <c r="BD1371" i="14"/>
  <c r="BH1371" i="14"/>
  <c r="BF1371" i="14" s="1"/>
  <c r="AF1399" i="14"/>
  <c r="BD1229" i="14"/>
  <c r="BC1371" i="14"/>
  <c r="P1371" i="14"/>
  <c r="AG1371" i="14" s="1"/>
  <c r="AN1371" i="14" s="1"/>
  <c r="H1261" i="14"/>
  <c r="BI1261" i="14" s="1"/>
  <c r="P1385" i="14"/>
  <c r="AG1385" i="14" s="1"/>
  <c r="AN1385" i="14" s="1"/>
  <c r="H1371" i="14"/>
  <c r="BI1371" i="14" s="1"/>
  <c r="BH1355" i="14"/>
  <c r="BF1355" i="14" s="1"/>
  <c r="AF1286" i="14"/>
  <c r="BC1399" i="14"/>
  <c r="P1399" i="14"/>
  <c r="AG1399" i="14" s="1"/>
  <c r="AI1399" i="14" s="1"/>
  <c r="AA1399" i="14" s="1"/>
  <c r="AD1399" i="14" s="1"/>
  <c r="H1399" i="14"/>
  <c r="BI1399" i="14" s="1"/>
  <c r="BH1229" i="14"/>
  <c r="BF1229" i="14" s="1"/>
  <c r="BC1355" i="14"/>
  <c r="BC1229" i="14"/>
  <c r="BC1261" i="14"/>
  <c r="P1229" i="14"/>
  <c r="AG1229" i="14" s="1"/>
  <c r="AI1229" i="14" s="1"/>
  <c r="AA1229" i="14" s="1"/>
  <c r="AD1229" i="14" s="1"/>
  <c r="H1229" i="14"/>
  <c r="AH1229" i="14" s="1"/>
  <c r="AJ1229" i="14" s="1"/>
  <c r="Z1229" i="14" s="1"/>
  <c r="AF1229" i="14"/>
  <c r="AF1288" i="14"/>
  <c r="BC1288" i="14"/>
  <c r="BD1288" i="14"/>
  <c r="P1428" i="14"/>
  <c r="AG1428" i="14" s="1"/>
  <c r="H1428" i="14"/>
  <c r="AH1428" i="14" s="1"/>
  <c r="BD1261" i="14"/>
  <c r="BD1274" i="14"/>
  <c r="BH1288" i="14"/>
  <c r="BD1355" i="14"/>
  <c r="P1355" i="14"/>
  <c r="BJ1355" i="14" s="1"/>
  <c r="H1355" i="14"/>
  <c r="AH1355" i="14" s="1"/>
  <c r="AM1355" i="14" s="1"/>
  <c r="AF1426" i="14"/>
  <c r="BG1288" i="14"/>
  <c r="BH1233" i="14"/>
  <c r="BF1233" i="14" s="1"/>
  <c r="P1261" i="14"/>
  <c r="AG1261" i="14" s="1"/>
  <c r="AI1261" i="14" s="1"/>
  <c r="AA1261" i="14" s="1"/>
  <c r="AD1261" i="14" s="1"/>
  <c r="BH1388" i="14"/>
  <c r="BF1388" i="14" s="1"/>
  <c r="AF1308" i="14"/>
  <c r="BH1274" i="14"/>
  <c r="BF1274" i="14" s="1"/>
  <c r="BC1274" i="14"/>
  <c r="H1288" i="14"/>
  <c r="BI1288" i="14" s="1"/>
  <c r="P1288" i="14"/>
  <c r="BJ1288" i="14" s="1"/>
  <c r="BD1286" i="14"/>
  <c r="BF1426" i="14"/>
  <c r="BC1426" i="14"/>
  <c r="BC1286" i="14"/>
  <c r="BD1426" i="14"/>
  <c r="BC1388" i="14"/>
  <c r="BH1286" i="14"/>
  <c r="BF1286" i="14" s="1"/>
  <c r="H1426" i="14"/>
  <c r="AH1426" i="14" s="1"/>
  <c r="AJ1426" i="14" s="1"/>
  <c r="Z1426" i="14" s="1"/>
  <c r="P1426" i="14"/>
  <c r="AG1426" i="14" s="1"/>
  <c r="AI1426" i="14" s="1"/>
  <c r="AA1426" i="14" s="1"/>
  <c r="AD1426" i="14" s="1"/>
  <c r="H1274" i="14"/>
  <c r="AH1274" i="14" s="1"/>
  <c r="AM1274" i="14" s="1"/>
  <c r="P1274" i="14"/>
  <c r="BJ1274" i="14" s="1"/>
  <c r="P1286" i="14"/>
  <c r="AG1286" i="14" s="1"/>
  <c r="AI1286" i="14" s="1"/>
  <c r="AA1286" i="14" s="1"/>
  <c r="AD1286" i="14" s="1"/>
  <c r="BH1308" i="14"/>
  <c r="BF1308" i="14" s="1"/>
  <c r="BH1241" i="14"/>
  <c r="BF1241" i="14" s="1"/>
  <c r="AF1331" i="14"/>
  <c r="BD1230" i="14"/>
  <c r="BF1331" i="14"/>
  <c r="BH1412" i="14"/>
  <c r="BF1412" i="14" s="1"/>
  <c r="BC1395" i="14"/>
  <c r="BC1363" i="14"/>
  <c r="BD1395" i="14"/>
  <c r="BC1308" i="14"/>
  <c r="BH1230" i="14"/>
  <c r="BF1230" i="14" s="1"/>
  <c r="BD1329" i="14"/>
  <c r="BC1230" i="14"/>
  <c r="BF1395" i="14"/>
  <c r="BH1428" i="14"/>
  <c r="BF1428" i="14" s="1"/>
  <c r="AF1395" i="14"/>
  <c r="AF1230" i="14"/>
  <c r="BH1363" i="14"/>
  <c r="BF1363" i="14" s="1"/>
  <c r="P1230" i="14"/>
  <c r="BJ1230" i="14" s="1"/>
  <c r="H1395" i="14"/>
  <c r="AH1395" i="14" s="1"/>
  <c r="AJ1395" i="14" s="1"/>
  <c r="Z1395" i="14" s="1"/>
  <c r="P1395" i="14"/>
  <c r="BJ1395" i="14" s="1"/>
  <c r="H1308" i="14"/>
  <c r="AH1308" i="14" s="1"/>
  <c r="AM1308" i="14" s="1"/>
  <c r="P1422" i="14"/>
  <c r="BJ1422" i="14" s="1"/>
  <c r="H1230" i="14"/>
  <c r="BI1230" i="14" s="1"/>
  <c r="BH1341" i="14"/>
  <c r="BF1341" i="14" s="1"/>
  <c r="BD1308" i="14"/>
  <c r="BD1331" i="14"/>
  <c r="AF1412" i="14"/>
  <c r="AF1277" i="14"/>
  <c r="BF1329" i="14"/>
  <c r="BD1363" i="14"/>
  <c r="BC1331" i="14"/>
  <c r="AF1242" i="14"/>
  <c r="BH1252" i="14"/>
  <c r="BF1252" i="14" s="1"/>
  <c r="BF1267" i="14"/>
  <c r="BH1315" i="14"/>
  <c r="BF1315" i="14" s="1"/>
  <c r="P1308" i="14"/>
  <c r="AG1308" i="14" s="1"/>
  <c r="AL1308" i="14" s="1"/>
  <c r="H1331" i="14"/>
  <c r="BI1331" i="14" s="1"/>
  <c r="P1331" i="14"/>
  <c r="AG1331" i="14" s="1"/>
  <c r="AL1331" i="14" s="1"/>
  <c r="BH1242" i="14"/>
  <c r="BF1242" i="14" s="1"/>
  <c r="BD1389" i="14"/>
  <c r="AF1326" i="14"/>
  <c r="BC1315" i="14"/>
  <c r="P1412" i="14"/>
  <c r="BJ1412" i="14" s="1"/>
  <c r="BD1277" i="14"/>
  <c r="AF1267" i="14"/>
  <c r="BD1315" i="14"/>
  <c r="BD1326" i="14"/>
  <c r="BF1289" i="14"/>
  <c r="AF1315" i="14"/>
  <c r="BF1265" i="14"/>
  <c r="BC1242" i="14"/>
  <c r="BD1267" i="14"/>
  <c r="BC1241" i="14"/>
  <c r="BC1389" i="14"/>
  <c r="BD1242" i="14"/>
  <c r="H1363" i="14"/>
  <c r="BI1363" i="14" s="1"/>
  <c r="H1286" i="14"/>
  <c r="AH1286" i="14" s="1"/>
  <c r="AK1286" i="14" s="1"/>
  <c r="P1363" i="14"/>
  <c r="AG1363" i="14" s="1"/>
  <c r="AL1363" i="14" s="1"/>
  <c r="H1315" i="14"/>
  <c r="BI1315" i="14" s="1"/>
  <c r="H1242" i="14"/>
  <c r="AH1242" i="14" s="1"/>
  <c r="AJ1242" i="14" s="1"/>
  <c r="Z1242" i="14" s="1"/>
  <c r="P1242" i="14"/>
  <c r="AG1242" i="14" s="1"/>
  <c r="AL1242" i="14" s="1"/>
  <c r="P1315" i="14"/>
  <c r="AG1315" i="14" s="1"/>
  <c r="AI1315" i="14" s="1"/>
  <c r="AA1315" i="14" s="1"/>
  <c r="AD1315" i="14" s="1"/>
  <c r="BH1398" i="14"/>
  <c r="BF1398" i="14" s="1"/>
  <c r="BD1368" i="14"/>
  <c r="BD1252" i="14"/>
  <c r="AF1363" i="14"/>
  <c r="BH1228" i="14"/>
  <c r="BF1228" i="14" s="1"/>
  <c r="BD1412" i="14"/>
  <c r="H1241" i="14"/>
  <c r="AH1241" i="14" s="1"/>
  <c r="AJ1241" i="14" s="1"/>
  <c r="Z1241" i="14" s="1"/>
  <c r="P1241" i="14"/>
  <c r="AG1241" i="14" s="1"/>
  <c r="AN1241" i="14" s="1"/>
  <c r="BD1228" i="14"/>
  <c r="BD1270" i="14"/>
  <c r="BC1277" i="14"/>
  <c r="BF1249" i="14"/>
  <c r="BD1388" i="14"/>
  <c r="BC1386" i="14"/>
  <c r="BH1277" i="14"/>
  <c r="BF1277" i="14" s="1"/>
  <c r="BH1258" i="14"/>
  <c r="BF1258" i="14" s="1"/>
  <c r="BH1389" i="14"/>
  <c r="BF1389" i="14" s="1"/>
  <c r="AF1341" i="14"/>
  <c r="BC1233" i="14"/>
  <c r="AF1270" i="14"/>
  <c r="AF1388" i="14"/>
  <c r="AF1252" i="14"/>
  <c r="BD1241" i="14"/>
  <c r="BC1398" i="14"/>
  <c r="BH1415" i="14"/>
  <c r="BF1415" i="14" s="1"/>
  <c r="BC1329" i="14"/>
  <c r="BC1341" i="14"/>
  <c r="BC1228" i="14"/>
  <c r="BC1252" i="14"/>
  <c r="BC1412" i="14"/>
  <c r="BD1398" i="14"/>
  <c r="BD1415" i="14"/>
  <c r="BC1415" i="14"/>
  <c r="BD1341" i="14"/>
  <c r="AF1368" i="14"/>
  <c r="BC1326" i="14"/>
  <c r="BF1257" i="14"/>
  <c r="AF1257" i="14"/>
  <c r="BE1367" i="14"/>
  <c r="H1252" i="14"/>
  <c r="AH1252" i="14" s="1"/>
  <c r="AJ1252" i="14" s="1"/>
  <c r="Z1252" i="14" s="1"/>
  <c r="H1412" i="14"/>
  <c r="BI1412" i="14" s="1"/>
  <c r="P1252" i="14"/>
  <c r="AG1252" i="14" s="1"/>
  <c r="AL1252" i="14" s="1"/>
  <c r="BH1270" i="14"/>
  <c r="BF1270" i="14" s="1"/>
  <c r="BC1422" i="14"/>
  <c r="BC1270" i="14"/>
  <c r="BC1267" i="14"/>
  <c r="AF1241" i="14"/>
  <c r="P1233" i="14"/>
  <c r="AG1233" i="14" s="1"/>
  <c r="AL1233" i="14" s="1"/>
  <c r="H1415" i="14"/>
  <c r="AH1415" i="14" s="1"/>
  <c r="AM1415" i="14" s="1"/>
  <c r="H1389" i="14"/>
  <c r="AH1389" i="14" s="1"/>
  <c r="AM1389" i="14" s="1"/>
  <c r="H1341" i="14"/>
  <c r="BI1341" i="14" s="1"/>
  <c r="H1270" i="14"/>
  <c r="AH1270" i="14" s="1"/>
  <c r="AJ1270" i="14" s="1"/>
  <c r="Z1270" i="14" s="1"/>
  <c r="P1389" i="14"/>
  <c r="BJ1389" i="14" s="1"/>
  <c r="P1326" i="14"/>
  <c r="BJ1326" i="14" s="1"/>
  <c r="P1270" i="14"/>
  <c r="AG1270" i="14" s="1"/>
  <c r="AL1270" i="14" s="1"/>
  <c r="H1267" i="14"/>
  <c r="AH1267" i="14" s="1"/>
  <c r="AJ1267" i="14" s="1"/>
  <c r="Z1267" i="14" s="1"/>
  <c r="P1267" i="14"/>
  <c r="BJ1267" i="14" s="1"/>
  <c r="P1415" i="14"/>
  <c r="AG1415" i="14" s="1"/>
  <c r="AN1415" i="14" s="1"/>
  <c r="H1277" i="14"/>
  <c r="AH1277" i="14" s="1"/>
  <c r="AJ1277" i="14" s="1"/>
  <c r="Z1277" i="14" s="1"/>
  <c r="H1326" i="14"/>
  <c r="BI1326" i="14" s="1"/>
  <c r="P1277" i="14"/>
  <c r="AG1277" i="14" s="1"/>
  <c r="AN1277" i="14" s="1"/>
  <c r="P1341" i="14"/>
  <c r="BJ1341" i="14" s="1"/>
  <c r="AF1415" i="14"/>
  <c r="BC1368" i="14"/>
  <c r="BD1386" i="14"/>
  <c r="BD1233" i="14"/>
  <c r="BH1362" i="14"/>
  <c r="BF1362" i="14" s="1"/>
  <c r="AF1389" i="14"/>
  <c r="AF1289" i="14"/>
  <c r="AF1228" i="14"/>
  <c r="BC1257" i="14"/>
  <c r="P1368" i="14"/>
  <c r="BJ1368" i="14" s="1"/>
  <c r="H1257" i="14"/>
  <c r="BI1257" i="14" s="1"/>
  <c r="H1368" i="14"/>
  <c r="BI1368" i="14" s="1"/>
  <c r="P1258" i="14"/>
  <c r="AG1258" i="14" s="1"/>
  <c r="AN1258" i="14" s="1"/>
  <c r="BH1368" i="14"/>
  <c r="BF1368" i="14" s="1"/>
  <c r="BH1425" i="14"/>
  <c r="BF1425" i="14" s="1"/>
  <c r="BC1258" i="14"/>
  <c r="BD1257" i="14"/>
  <c r="BD1258" i="14"/>
  <c r="BD1289" i="14"/>
  <c r="BD1422" i="14"/>
  <c r="BD1425" i="14"/>
  <c r="BH1386" i="14"/>
  <c r="BF1386" i="14" s="1"/>
  <c r="BC1289" i="14"/>
  <c r="H1228" i="14"/>
  <c r="BI1228" i="14" s="1"/>
  <c r="P1257" i="14"/>
  <c r="AG1257" i="14" s="1"/>
  <c r="AI1257" i="14" s="1"/>
  <c r="AA1257" i="14" s="1"/>
  <c r="AD1257" i="14" s="1"/>
  <c r="H1289" i="14"/>
  <c r="BI1289" i="14" s="1"/>
  <c r="H1258" i="14"/>
  <c r="BI1258" i="14" s="1"/>
  <c r="H1388" i="14"/>
  <c r="BI1388" i="14" s="1"/>
  <c r="H1398" i="14"/>
  <c r="BI1398" i="14" s="1"/>
  <c r="P1228" i="14"/>
  <c r="AG1228" i="14" s="1"/>
  <c r="AI1228" i="14" s="1"/>
  <c r="AA1228" i="14" s="1"/>
  <c r="AD1228" i="14" s="1"/>
  <c r="P1388" i="14"/>
  <c r="BJ1388" i="14" s="1"/>
  <c r="P1329" i="14"/>
  <c r="BJ1329" i="14" s="1"/>
  <c r="H1329" i="14"/>
  <c r="AH1329" i="14" s="1"/>
  <c r="AK1329" i="14" s="1"/>
  <c r="P1289" i="14"/>
  <c r="AG1289" i="14" s="1"/>
  <c r="AL1289" i="14" s="1"/>
  <c r="P1398" i="14"/>
  <c r="AG1398" i="14" s="1"/>
  <c r="AI1398" i="14" s="1"/>
  <c r="AA1398" i="14" s="1"/>
  <c r="AD1398" i="14" s="1"/>
  <c r="H1233" i="14"/>
  <c r="AH1233" i="14" s="1"/>
  <c r="AJ1233" i="14" s="1"/>
  <c r="Z1233" i="14" s="1"/>
  <c r="P1386" i="14"/>
  <c r="AG1386" i="14" s="1"/>
  <c r="AL1386" i="14" s="1"/>
  <c r="H1386" i="14"/>
  <c r="AH1386" i="14" s="1"/>
  <c r="AJ1386" i="14" s="1"/>
  <c r="Z1386" i="14" s="1"/>
  <c r="AF1386" i="14"/>
  <c r="AF1398" i="14"/>
  <c r="AF1329" i="14"/>
  <c r="AF1258" i="14"/>
  <c r="BC1425" i="14"/>
  <c r="H1425" i="14"/>
  <c r="AH1425" i="14" s="1"/>
  <c r="AK1425" i="14" s="1"/>
  <c r="AF1239" i="14"/>
  <c r="AF1422" i="14"/>
  <c r="BH1422" i="14"/>
  <c r="BF1422" i="14" s="1"/>
  <c r="AF1425" i="14"/>
  <c r="BC1383" i="14"/>
  <c r="P1425" i="14"/>
  <c r="BJ1425" i="14" s="1"/>
  <c r="H1422" i="14"/>
  <c r="BI1422" i="14" s="1"/>
  <c r="BC1362" i="14"/>
  <c r="BD1383" i="14"/>
  <c r="AF1383" i="14"/>
  <c r="P1249" i="14"/>
  <c r="AG1249" i="14" s="1"/>
  <c r="AL1249" i="14" s="1"/>
  <c r="AF1298" i="14"/>
  <c r="BE1309" i="14"/>
  <c r="BF1305" i="14"/>
  <c r="BH1383" i="14"/>
  <c r="BF1383" i="14" s="1"/>
  <c r="H1383" i="14"/>
  <c r="AH1383" i="14" s="1"/>
  <c r="AJ1383" i="14" s="1"/>
  <c r="Z1383" i="14" s="1"/>
  <c r="P1383" i="14"/>
  <c r="BJ1383" i="14" s="1"/>
  <c r="BD1428" i="14"/>
  <c r="AF1240" i="14"/>
  <c r="AF1305" i="14"/>
  <c r="BH1298" i="14"/>
  <c r="BF1298" i="14" s="1"/>
  <c r="BH1348" i="14"/>
  <c r="BF1348" i="14" s="1"/>
  <c r="AF1362" i="14"/>
  <c r="BE1357" i="14"/>
  <c r="BE1303" i="14"/>
  <c r="BC1262" i="14"/>
  <c r="BH1239" i="14"/>
  <c r="BF1239" i="14" s="1"/>
  <c r="BE1409" i="14"/>
  <c r="BD1305" i="14"/>
  <c r="BD1362" i="14"/>
  <c r="BF1365" i="14"/>
  <c r="P1362" i="14"/>
  <c r="BJ1362" i="14" s="1"/>
  <c r="H1362" i="14"/>
  <c r="BI1362" i="14" s="1"/>
  <c r="AF1249" i="14"/>
  <c r="BH1335" i="14"/>
  <c r="BF1335" i="14" s="1"/>
  <c r="AF1269" i="14"/>
  <c r="BH1316" i="14"/>
  <c r="BF1316" i="14" s="1"/>
  <c r="BC1335" i="14"/>
  <c r="BD1249" i="14"/>
  <c r="BC1249" i="14"/>
  <c r="BC1239" i="14"/>
  <c r="AH1303" i="14"/>
  <c r="AJ1303" i="14" s="1"/>
  <c r="Z1303" i="14" s="1"/>
  <c r="BE1232" i="14"/>
  <c r="BC1305" i="14"/>
  <c r="BD1269" i="14"/>
  <c r="BJ1409" i="14"/>
  <c r="BD1239" i="14"/>
  <c r="BH1359" i="14"/>
  <c r="BF1359" i="14" s="1"/>
  <c r="BJ1303" i="14"/>
  <c r="BK1303" i="14" s="1"/>
  <c r="AF1394" i="14"/>
  <c r="BJ1377" i="14"/>
  <c r="BK1377" i="14" s="1"/>
  <c r="AF1316" i="14"/>
  <c r="BH1419" i="14"/>
  <c r="BH1269" i="14"/>
  <c r="BF1269" i="14" s="1"/>
  <c r="BC1348" i="14"/>
  <c r="AF1420" i="14"/>
  <c r="BC1394" i="14"/>
  <c r="BE1423" i="14"/>
  <c r="BH1321" i="14"/>
  <c r="BF1321" i="14" s="1"/>
  <c r="BE1271" i="14"/>
  <c r="BH1334" i="14"/>
  <c r="BF1334" i="14" s="1"/>
  <c r="BD1262" i="14"/>
  <c r="BD1316" i="14"/>
  <c r="H1249" i="14"/>
  <c r="BI1249" i="14" s="1"/>
  <c r="H1239" i="14"/>
  <c r="BI1239" i="14" s="1"/>
  <c r="P1239" i="14"/>
  <c r="AG1239" i="14" s="1"/>
  <c r="AL1239" i="14" s="1"/>
  <c r="BE1424" i="14"/>
  <c r="BC1316" i="14"/>
  <c r="BD1348" i="14"/>
  <c r="P1348" i="14"/>
  <c r="AG1348" i="14" s="1"/>
  <c r="AI1348" i="14" s="1"/>
  <c r="AA1348" i="14" s="1"/>
  <c r="AD1348" i="14" s="1"/>
  <c r="H1305" i="14"/>
  <c r="AH1305" i="14" s="1"/>
  <c r="AJ1305" i="14" s="1"/>
  <c r="Z1305" i="14" s="1"/>
  <c r="P1305" i="14"/>
  <c r="BJ1305" i="14" s="1"/>
  <c r="H1316" i="14"/>
  <c r="BI1316" i="14" s="1"/>
  <c r="P1316" i="14"/>
  <c r="AG1316" i="14" s="1"/>
  <c r="AI1316" i="14" s="1"/>
  <c r="AA1316" i="14" s="1"/>
  <c r="AD1316" i="14" s="1"/>
  <c r="AF1348" i="14"/>
  <c r="AF1282" i="14"/>
  <c r="BH1246" i="14"/>
  <c r="BF1246" i="14" s="1"/>
  <c r="BH1295" i="14"/>
  <c r="BF1295" i="14" s="1"/>
  <c r="AF1335" i="14"/>
  <c r="BH1394" i="14"/>
  <c r="BF1394" i="14" s="1"/>
  <c r="BD1365" i="14"/>
  <c r="BC1359" i="14"/>
  <c r="BC1428" i="14"/>
  <c r="BE1325" i="14"/>
  <c r="BD1419" i="14"/>
  <c r="BC1365" i="14"/>
  <c r="BD1335" i="14"/>
  <c r="BD1420" i="14"/>
  <c r="H1365" i="14"/>
  <c r="BI1365" i="14" s="1"/>
  <c r="P1335" i="14"/>
  <c r="AG1335" i="14" s="1"/>
  <c r="AI1335" i="14" s="1"/>
  <c r="AA1335" i="14" s="1"/>
  <c r="AD1335" i="14" s="1"/>
  <c r="P1365" i="14"/>
  <c r="AG1365" i="14" s="1"/>
  <c r="AN1365" i="14" s="1"/>
  <c r="H1335" i="14"/>
  <c r="AH1335" i="14" s="1"/>
  <c r="AJ1335" i="14" s="1"/>
  <c r="Z1335" i="14" s="1"/>
  <c r="H1359" i="14"/>
  <c r="BE1231" i="14"/>
  <c r="AF1262" i="14"/>
  <c r="AF1334" i="14"/>
  <c r="AF1365" i="14"/>
  <c r="AF1393" i="14"/>
  <c r="BE1377" i="14"/>
  <c r="BH1364" i="14"/>
  <c r="BF1364" i="14" s="1"/>
  <c r="BJ1392" i="14"/>
  <c r="BK1392" i="14" s="1"/>
  <c r="BH1240" i="14"/>
  <c r="BF1240" i="14" s="1"/>
  <c r="H1348" i="14"/>
  <c r="BI1348" i="14" s="1"/>
  <c r="BH1262" i="14"/>
  <c r="BF1262" i="14" s="1"/>
  <c r="BH1282" i="14"/>
  <c r="BF1282" i="14" s="1"/>
  <c r="BD1246" i="14"/>
  <c r="BD1394" i="14"/>
  <c r="BD1272" i="14"/>
  <c r="BC1403" i="14"/>
  <c r="BC1419" i="14"/>
  <c r="BC1298" i="14"/>
  <c r="BJ1256" i="14"/>
  <c r="BK1256" i="14" s="1"/>
  <c r="AF1246" i="14"/>
  <c r="BD1265" i="14"/>
  <c r="BF1375" i="14"/>
  <c r="BD1393" i="14"/>
  <c r="BH1393" i="14"/>
  <c r="BF1393" i="14" s="1"/>
  <c r="AF1421" i="14"/>
  <c r="BD1378" i="14"/>
  <c r="AF1245" i="14"/>
  <c r="BF1283" i="14"/>
  <c r="BE1392" i="14"/>
  <c r="BC1269" i="14"/>
  <c r="BD1298" i="14"/>
  <c r="BC1420" i="14"/>
  <c r="AF1375" i="14"/>
  <c r="BC1321" i="14"/>
  <c r="BC1246" i="14"/>
  <c r="BD1403" i="14"/>
  <c r="BI1231" i="14"/>
  <c r="BK1231" i="14" s="1"/>
  <c r="AH1392" i="14"/>
  <c r="AM1392" i="14" s="1"/>
  <c r="P1298" i="14"/>
  <c r="BJ1298" i="14" s="1"/>
  <c r="H1262" i="14"/>
  <c r="AH1262" i="14" s="1"/>
  <c r="AJ1262" i="14" s="1"/>
  <c r="Z1262" i="14" s="1"/>
  <c r="H1269" i="14"/>
  <c r="BI1269" i="14" s="1"/>
  <c r="H1298" i="14"/>
  <c r="AH1298" i="14" s="1"/>
  <c r="AM1298" i="14" s="1"/>
  <c r="P1262" i="14"/>
  <c r="AG1262" i="14" s="1"/>
  <c r="AN1262" i="14" s="1"/>
  <c r="H1394" i="14"/>
  <c r="BI1394" i="14" s="1"/>
  <c r="P1394" i="14"/>
  <c r="AG1394" i="14" s="1"/>
  <c r="AI1394" i="14" s="1"/>
  <c r="AA1394" i="14" s="1"/>
  <c r="AD1394" i="14" s="1"/>
  <c r="P1269" i="14"/>
  <c r="AG1269" i="14" s="1"/>
  <c r="AI1269" i="14" s="1"/>
  <c r="AA1269" i="14" s="1"/>
  <c r="AD1269" i="14" s="1"/>
  <c r="BC1378" i="14"/>
  <c r="BC1245" i="14"/>
  <c r="BC1375" i="14"/>
  <c r="BF1421" i="14"/>
  <c r="BH1245" i="14"/>
  <c r="BF1245" i="14" s="1"/>
  <c r="BC1282" i="14"/>
  <c r="AF1419" i="14"/>
  <c r="BE1297" i="14"/>
  <c r="BC1393" i="14"/>
  <c r="AF1428" i="14"/>
  <c r="BH1272" i="14"/>
  <c r="BF1272" i="14" s="1"/>
  <c r="BC1272" i="14"/>
  <c r="BD1375" i="14"/>
  <c r="BE1278" i="14"/>
  <c r="BE1285" i="14"/>
  <c r="BD1364" i="14"/>
  <c r="P1393" i="14"/>
  <c r="BJ1393" i="14" s="1"/>
  <c r="BE1414" i="14"/>
  <c r="BH1378" i="14"/>
  <c r="BF1378" i="14" s="1"/>
  <c r="AF1272" i="14"/>
  <c r="BH1403" i="14"/>
  <c r="BF1403" i="14" s="1"/>
  <c r="BG1419" i="14"/>
  <c r="BH1234" i="14"/>
  <c r="AF1378" i="14"/>
  <c r="AH1285" i="14"/>
  <c r="AK1285" i="14" s="1"/>
  <c r="BI1409" i="14"/>
  <c r="AH1377" i="14"/>
  <c r="AJ1377" i="14" s="1"/>
  <c r="Z1377" i="14" s="1"/>
  <c r="BJ1357" i="14"/>
  <c r="BJ1297" i="14"/>
  <c r="AH1278" i="14"/>
  <c r="AJ1278" i="14" s="1"/>
  <c r="Z1278" i="14" s="1"/>
  <c r="AG1271" i="14"/>
  <c r="AL1271" i="14" s="1"/>
  <c r="H1378" i="14"/>
  <c r="BI1378" i="14" s="1"/>
  <c r="P1378" i="14"/>
  <c r="H1419" i="14"/>
  <c r="BI1419" i="14" s="1"/>
  <c r="P1419" i="14"/>
  <c r="BJ1419" i="14" s="1"/>
  <c r="AF1321" i="14"/>
  <c r="BD1359" i="14"/>
  <c r="BD1251" i="14"/>
  <c r="BC1421" i="14"/>
  <c r="BD1321" i="14"/>
  <c r="BC1364" i="14"/>
  <c r="BH1251" i="14"/>
  <c r="P1251" i="14"/>
  <c r="H1251" i="14"/>
  <c r="BE1256" i="14"/>
  <c r="BD1332" i="14"/>
  <c r="BD1421" i="14"/>
  <c r="BD1282" i="14"/>
  <c r="BC1251" i="14"/>
  <c r="AF1332" i="14"/>
  <c r="BH1387" i="14"/>
  <c r="BC1400" i="14"/>
  <c r="BG1251" i="14"/>
  <c r="AF1251" i="14"/>
  <c r="BD1400" i="14"/>
  <c r="BH1400" i="14"/>
  <c r="BC1416" i="14"/>
  <c r="P1321" i="14"/>
  <c r="AG1321" i="14" s="1"/>
  <c r="AI1321" i="14" s="1"/>
  <c r="AA1321" i="14" s="1"/>
  <c r="AD1321" i="14" s="1"/>
  <c r="P1364" i="14"/>
  <c r="AG1364" i="14" s="1"/>
  <c r="AL1364" i="14" s="1"/>
  <c r="P1421" i="14"/>
  <c r="AG1421" i="14" s="1"/>
  <c r="AI1421" i="14" s="1"/>
  <c r="AA1421" i="14" s="1"/>
  <c r="AD1421" i="14" s="1"/>
  <c r="H1321" i="14"/>
  <c r="BI1321" i="14" s="1"/>
  <c r="P1272" i="14"/>
  <c r="AG1272" i="14" s="1"/>
  <c r="AL1272" i="14" s="1"/>
  <c r="P1400" i="14"/>
  <c r="H1364" i="14"/>
  <c r="BI1364" i="14" s="1"/>
  <c r="P1302" i="14"/>
  <c r="H1403" i="14"/>
  <c r="AH1403" i="14" s="1"/>
  <c r="AJ1403" i="14" s="1"/>
  <c r="Z1403" i="14" s="1"/>
  <c r="H1421" i="14"/>
  <c r="BI1421" i="14" s="1"/>
  <c r="H1400" i="14"/>
  <c r="P1246" i="14"/>
  <c r="BJ1246" i="14" s="1"/>
  <c r="H1302" i="14"/>
  <c r="P1403" i="14"/>
  <c r="AG1403" i="14" s="1"/>
  <c r="AI1403" i="14" s="1"/>
  <c r="AA1403" i="14" s="1"/>
  <c r="AD1403" i="14" s="1"/>
  <c r="H1246" i="14"/>
  <c r="AH1246" i="14" s="1"/>
  <c r="AM1246" i="14" s="1"/>
  <c r="P1282" i="14"/>
  <c r="BJ1282" i="14" s="1"/>
  <c r="H1393" i="14"/>
  <c r="AH1393" i="14" s="1"/>
  <c r="AJ1393" i="14" s="1"/>
  <c r="Z1393" i="14" s="1"/>
  <c r="H1272" i="14"/>
  <c r="AH1272" i="14" s="1"/>
  <c r="AM1272" i="14" s="1"/>
  <c r="H1282" i="14"/>
  <c r="BI1282" i="14" s="1"/>
  <c r="P1359" i="14"/>
  <c r="AG1359" i="14" s="1"/>
  <c r="AI1359" i="14" s="1"/>
  <c r="AA1359" i="14" s="1"/>
  <c r="AD1359" i="14" s="1"/>
  <c r="AF1364" i="14"/>
  <c r="BG1302" i="14"/>
  <c r="AF1302" i="14"/>
  <c r="AF1400" i="14"/>
  <c r="BG1400" i="14"/>
  <c r="BD1302" i="14"/>
  <c r="BH1302" i="14"/>
  <c r="BC1302" i="14"/>
  <c r="BJ1325" i="14"/>
  <c r="BD1416" i="14"/>
  <c r="BE1263" i="14"/>
  <c r="BC1240" i="14"/>
  <c r="BD1369" i="14"/>
  <c r="BE1402" i="14"/>
  <c r="AF1369" i="14"/>
  <c r="BH1332" i="14"/>
  <c r="BF1332" i="14" s="1"/>
  <c r="BI1325" i="14"/>
  <c r="H1420" i="14"/>
  <c r="AH1420" i="14" s="1"/>
  <c r="AK1420" i="14" s="1"/>
  <c r="P1420" i="14"/>
  <c r="AG1420" i="14" s="1"/>
  <c r="AL1420" i="14" s="1"/>
  <c r="BH1420" i="14"/>
  <c r="BF1420" i="14" s="1"/>
  <c r="BJ1263" i="14"/>
  <c r="BK1263" i="14" s="1"/>
  <c r="BH1369" i="14"/>
  <c r="BF1369" i="14" s="1"/>
  <c r="BH1330" i="14"/>
  <c r="AG1232" i="14"/>
  <c r="AL1232" i="14" s="1"/>
  <c r="BI1424" i="14"/>
  <c r="AG1278" i="14"/>
  <c r="AI1278" i="14" s="1"/>
  <c r="AA1278" i="14" s="1"/>
  <c r="AD1278" i="14" s="1"/>
  <c r="H1375" i="14"/>
  <c r="AH1375" i="14" s="1"/>
  <c r="AK1375" i="14" s="1"/>
  <c r="P1375" i="14"/>
  <c r="BJ1375" i="14" s="1"/>
  <c r="BH1418" i="14"/>
  <c r="BJ1309" i="14"/>
  <c r="BJ1424" i="14"/>
  <c r="BH1345" i="14"/>
  <c r="BD1283" i="14"/>
  <c r="BD1418" i="14"/>
  <c r="BC1283" i="14"/>
  <c r="BC1334" i="14"/>
  <c r="BD1245" i="14"/>
  <c r="BC1332" i="14"/>
  <c r="BD1334" i="14"/>
  <c r="BD1240" i="14"/>
  <c r="BC1369" i="14"/>
  <c r="BI1309" i="14"/>
  <c r="H1245" i="14"/>
  <c r="AH1245" i="14" s="1"/>
  <c r="AJ1245" i="14" s="1"/>
  <c r="Z1245" i="14" s="1"/>
  <c r="P1245" i="14"/>
  <c r="BJ1245" i="14" s="1"/>
  <c r="P1369" i="14"/>
  <c r="AG1369" i="14" s="1"/>
  <c r="AL1369" i="14" s="1"/>
  <c r="H1240" i="14"/>
  <c r="AH1240" i="14" s="1"/>
  <c r="AM1240" i="14" s="1"/>
  <c r="P1240" i="14"/>
  <c r="AG1240" i="14" s="1"/>
  <c r="AL1240" i="14" s="1"/>
  <c r="H1369" i="14"/>
  <c r="BI1369" i="14" s="1"/>
  <c r="BD1295" i="14"/>
  <c r="BD1292" i="14"/>
  <c r="AG1285" i="14"/>
  <c r="AN1285" i="14" s="1"/>
  <c r="AH1232" i="14"/>
  <c r="AJ1232" i="14" s="1"/>
  <c r="Z1232" i="14" s="1"/>
  <c r="BC1417" i="14"/>
  <c r="AF1265" i="14"/>
  <c r="AH1256" i="14"/>
  <c r="AJ1256" i="14" s="1"/>
  <c r="Z1256" i="14" s="1"/>
  <c r="BC1295" i="14"/>
  <c r="AF1295" i="14"/>
  <c r="BC1265" i="14"/>
  <c r="P1334" i="14"/>
  <c r="BJ1334" i="14" s="1"/>
  <c r="H1334" i="14"/>
  <c r="BI1334" i="14" s="1"/>
  <c r="P1292" i="14"/>
  <c r="H1332" i="14"/>
  <c r="AH1332" i="14" s="1"/>
  <c r="AM1332" i="14" s="1"/>
  <c r="H1265" i="14"/>
  <c r="BI1265" i="14" s="1"/>
  <c r="H1292" i="14"/>
  <c r="P1265" i="14"/>
  <c r="AG1265" i="14" s="1"/>
  <c r="AN1265" i="14" s="1"/>
  <c r="P1332" i="14"/>
  <c r="AG1332" i="14" s="1"/>
  <c r="AL1332" i="14" s="1"/>
  <c r="BG1292" i="14"/>
  <c r="AF1292" i="14"/>
  <c r="BJ1414" i="14"/>
  <c r="BK1414" i="14" s="1"/>
  <c r="BF1416" i="14"/>
  <c r="AF1283" i="14"/>
  <c r="BC1292" i="14"/>
  <c r="AF1416" i="14"/>
  <c r="BJ1423" i="14"/>
  <c r="BH1417" i="14"/>
  <c r="BF1417" i="14" s="1"/>
  <c r="BJ1367" i="14"/>
  <c r="BK1367" i="14" s="1"/>
  <c r="BI1357" i="14"/>
  <c r="AH1263" i="14"/>
  <c r="AJ1263" i="14" s="1"/>
  <c r="Z1263" i="14" s="1"/>
  <c r="BH1292" i="14"/>
  <c r="BD1234" i="14"/>
  <c r="BC1304" i="14"/>
  <c r="BD1417" i="14"/>
  <c r="BH1351" i="14"/>
  <c r="AH1367" i="14"/>
  <c r="AM1367" i="14" s="1"/>
  <c r="P1418" i="14"/>
  <c r="AG1418" i="14" s="1"/>
  <c r="AI1418" i="14" s="1"/>
  <c r="AA1418" i="14" s="1"/>
  <c r="AD1418" i="14" s="1"/>
  <c r="P1283" i="14"/>
  <c r="BJ1283" i="14" s="1"/>
  <c r="H1283" i="14"/>
  <c r="AH1283" i="14" s="1"/>
  <c r="AM1283" i="14" s="1"/>
  <c r="BH1391" i="14"/>
  <c r="BH1304" i="14"/>
  <c r="BH1372" i="14"/>
  <c r="AH1414" i="14"/>
  <c r="AJ1414" i="14" s="1"/>
  <c r="Z1414" i="14" s="1"/>
  <c r="BI1297" i="14"/>
  <c r="BI1423" i="14"/>
  <c r="BI1402" i="14"/>
  <c r="BK1402" i="14" s="1"/>
  <c r="AG1231" i="14"/>
  <c r="AL1231" i="14" s="1"/>
  <c r="AG1402" i="14"/>
  <c r="AN1402" i="14" s="1"/>
  <c r="AH1271" i="14"/>
  <c r="AJ1271" i="14" s="1"/>
  <c r="Z1271" i="14" s="1"/>
  <c r="P1295" i="14"/>
  <c r="AG1295" i="14" s="1"/>
  <c r="AN1295" i="14" s="1"/>
  <c r="P1372" i="14"/>
  <c r="H1295" i="14"/>
  <c r="BI1295" i="14" s="1"/>
  <c r="H1372" i="14"/>
  <c r="P1304" i="14"/>
  <c r="H1417" i="14"/>
  <c r="H1304" i="14"/>
  <c r="BD1372" i="14"/>
  <c r="BC1372" i="14"/>
  <c r="AF1417" i="14"/>
  <c r="AF1304" i="14"/>
  <c r="BG1304" i="14"/>
  <c r="BD1304" i="14"/>
  <c r="BH1293" i="14"/>
  <c r="BG1372" i="14"/>
  <c r="AF1372" i="14"/>
  <c r="P1234" i="14"/>
  <c r="BC1324" i="14"/>
  <c r="BC1418" i="14"/>
  <c r="BC1234" i="14"/>
  <c r="BD1345" i="14"/>
  <c r="H1418" i="14"/>
  <c r="H1234" i="14"/>
  <c r="H1345" i="14"/>
  <c r="H1416" i="14"/>
  <c r="AH1416" i="14" s="1"/>
  <c r="AK1416" i="14" s="1"/>
  <c r="P1345" i="14"/>
  <c r="P1416" i="14"/>
  <c r="AG1416" i="14" s="1"/>
  <c r="AI1416" i="14" s="1"/>
  <c r="AA1416" i="14" s="1"/>
  <c r="AD1416" i="14" s="1"/>
  <c r="BC1287" i="14"/>
  <c r="BG1345" i="14"/>
  <c r="AF1345" i="14"/>
  <c r="BG1418" i="14"/>
  <c r="AF1418" i="14"/>
  <c r="BG1234" i="14"/>
  <c r="AF1234" i="14"/>
  <c r="BC1345" i="14"/>
  <c r="BH1373" i="14"/>
  <c r="BH1287" i="14"/>
  <c r="BC1280" i="14"/>
  <c r="BH1410" i="14"/>
  <c r="BH1379" i="14"/>
  <c r="BH1324" i="14"/>
  <c r="BH1236" i="14"/>
  <c r="BH1361" i="14"/>
  <c r="BC1312" i="14"/>
  <c r="BC1410" i="14"/>
  <c r="BH1291" i="14"/>
  <c r="BH1407" i="14"/>
  <c r="BH1413" i="14"/>
  <c r="BH1244" i="14"/>
  <c r="BH1312" i="14"/>
  <c r="BH1280" i="14"/>
  <c r="BD1413" i="14"/>
  <c r="BH1396" i="14"/>
  <c r="BC1387" i="14"/>
  <c r="BD1281" i="14"/>
  <c r="BD1235" i="14"/>
  <c r="BC1411" i="14"/>
  <c r="BD1411" i="14"/>
  <c r="BC1296" i="14"/>
  <c r="BC1361" i="14"/>
  <c r="BD1340" i="14"/>
  <c r="BD1358" i="14"/>
  <c r="BC1330" i="14"/>
  <c r="BC1322" i="14"/>
  <c r="BH1273" i="14"/>
  <c r="BD1396" i="14"/>
  <c r="BH1253" i="14"/>
  <c r="BC1407" i="14"/>
  <c r="BD1294" i="14"/>
  <c r="BH1384" i="14"/>
  <c r="P1253" i="14"/>
  <c r="P1417" i="14"/>
  <c r="P1280" i="14"/>
  <c r="H1396" i="14"/>
  <c r="P1413" i="14"/>
  <c r="P1312" i="14"/>
  <c r="H1235" i="14"/>
  <c r="P1410" i="14"/>
  <c r="P1358" i="14"/>
  <c r="H1253" i="14"/>
  <c r="H1291" i="14"/>
  <c r="H1410" i="14"/>
  <c r="P1361" i="14"/>
  <c r="H1340" i="14"/>
  <c r="H1324" i="14"/>
  <c r="P1396" i="14"/>
  <c r="H1384" i="14"/>
  <c r="P1235" i="14"/>
  <c r="H1407" i="14"/>
  <c r="H1358" i="14"/>
  <c r="P1324" i="14"/>
  <c r="H1273" i="14"/>
  <c r="P1351" i="14"/>
  <c r="P1293" i="14"/>
  <c r="P1287" i="14"/>
  <c r="H1373" i="14"/>
  <c r="P1294" i="14"/>
  <c r="P1296" i="14"/>
  <c r="P1381" i="14"/>
  <c r="H1236" i="14"/>
  <c r="P1322" i="14"/>
  <c r="H1351" i="14"/>
  <c r="P1407" i="14"/>
  <c r="P1391" i="14"/>
  <c r="P1373" i="14"/>
  <c r="H1294" i="14"/>
  <c r="H1379" i="14"/>
  <c r="H1293" i="14"/>
  <c r="H1387" i="14"/>
  <c r="H1281" i="14"/>
  <c r="H1381" i="14"/>
  <c r="P1330" i="14"/>
  <c r="P1236" i="14"/>
  <c r="H1391" i="14"/>
  <c r="P1390" i="14"/>
  <c r="P1411" i="14"/>
  <c r="H1361" i="14"/>
  <c r="P1379" i="14"/>
  <c r="H1244" i="14"/>
  <c r="P1387" i="14"/>
  <c r="P1291" i="14"/>
  <c r="H1411" i="14"/>
  <c r="H1296" i="14"/>
  <c r="P1340" i="14"/>
  <c r="H1330" i="14"/>
  <c r="H1322" i="14"/>
  <c r="P1384" i="14"/>
  <c r="H1312" i="14"/>
  <c r="P1281" i="14"/>
  <c r="H1390" i="14"/>
  <c r="H1280" i="14"/>
  <c r="P1273" i="14"/>
  <c r="H1413" i="14"/>
  <c r="H1287" i="14"/>
  <c r="P1244" i="14"/>
  <c r="BG1396" i="14"/>
  <c r="AF1396" i="14"/>
  <c r="BG1287" i="14"/>
  <c r="AF1287" i="14"/>
  <c r="BC1253" i="14"/>
  <c r="BD1291" i="14"/>
  <c r="BC1281" i="14"/>
  <c r="AF1281" i="14"/>
  <c r="BG1281" i="14"/>
  <c r="BH1235" i="14"/>
  <c r="BC1390" i="14"/>
  <c r="BH1294" i="14"/>
  <c r="BH1340" i="14"/>
  <c r="BG1358" i="14"/>
  <c r="AF1358" i="14"/>
  <c r="BG1322" i="14"/>
  <c r="AF1322" i="14"/>
  <c r="BD1273" i="14"/>
  <c r="BD1287" i="14"/>
  <c r="BC1244" i="14"/>
  <c r="BG1361" i="14"/>
  <c r="AF1361" i="14"/>
  <c r="BG1273" i="14"/>
  <c r="AF1273" i="14"/>
  <c r="BG1253" i="14"/>
  <c r="AF1253" i="14"/>
  <c r="BD1373" i="14"/>
  <c r="BD1410" i="14"/>
  <c r="BG1294" i="14"/>
  <c r="AF1294" i="14"/>
  <c r="BD1236" i="14"/>
  <c r="BG1351" i="14"/>
  <c r="AF1351" i="14"/>
  <c r="BC1293" i="14"/>
  <c r="BC1413" i="14"/>
  <c r="BG1384" i="14"/>
  <c r="AF1384" i="14"/>
  <c r="BD1391" i="14"/>
  <c r="BD1253" i="14"/>
  <c r="BG1373" i="14"/>
  <c r="AF1373" i="14"/>
  <c r="BD1280" i="14"/>
  <c r="BG1236" i="14"/>
  <c r="AF1236" i="14"/>
  <c r="BG1244" i="14"/>
  <c r="AF1244" i="14"/>
  <c r="BG1391" i="14"/>
  <c r="AF1391" i="14"/>
  <c r="BC1291" i="14"/>
  <c r="BG1390" i="14"/>
  <c r="AF1390" i="14"/>
  <c r="BG1410" i="14"/>
  <c r="AF1410" i="14"/>
  <c r="BD1379" i="14"/>
  <c r="BC1340" i="14"/>
  <c r="BG1330" i="14"/>
  <c r="AF1330" i="14"/>
  <c r="BD1324" i="14"/>
  <c r="BC1396" i="14"/>
  <c r="AF1293" i="14"/>
  <c r="BG1293" i="14"/>
  <c r="BC1384" i="14"/>
  <c r="BD1384" i="14"/>
  <c r="AF1387" i="14"/>
  <c r="BG1387" i="14"/>
  <c r="BC1235" i="14"/>
  <c r="BH1296" i="14"/>
  <c r="BG1379" i="14"/>
  <c r="AF1379" i="14"/>
  <c r="BC1358" i="14"/>
  <c r="BD1330" i="14"/>
  <c r="BG1324" i="14"/>
  <c r="AF1324" i="14"/>
  <c r="BC1273" i="14"/>
  <c r="BD1387" i="14"/>
  <c r="BG1235" i="14"/>
  <c r="AF1235" i="14"/>
  <c r="BH1390" i="14"/>
  <c r="BD1296" i="14"/>
  <c r="BD1381" i="14"/>
  <c r="BH1322" i="14"/>
  <c r="BD1293" i="14"/>
  <c r="BD1244" i="14"/>
  <c r="BD1312" i="14"/>
  <c r="BD1390" i="14"/>
  <c r="BG1296" i="14"/>
  <c r="AF1296" i="14"/>
  <c r="BD1361" i="14"/>
  <c r="BH1381" i="14"/>
  <c r="BD1322" i="14"/>
  <c r="BC1351" i="14"/>
  <c r="BC1373" i="14"/>
  <c r="BC1294" i="14"/>
  <c r="BG1381" i="14"/>
  <c r="AF1381" i="14"/>
  <c r="BD1351" i="14"/>
  <c r="BG1312" i="14"/>
  <c r="AF1312" i="14"/>
  <c r="BD1407" i="14"/>
  <c r="BH1411" i="14"/>
  <c r="BG1280" i="14"/>
  <c r="AF1280" i="14"/>
  <c r="BH1358" i="14"/>
  <c r="BC1381" i="14"/>
  <c r="BC1236" i="14"/>
  <c r="BG1413" i="14"/>
  <c r="AF1413" i="14"/>
  <c r="BC1391" i="14"/>
  <c r="AF1291" i="14"/>
  <c r="BG1291" i="14"/>
  <c r="BH1281" i="14"/>
  <c r="BG1407" i="14"/>
  <c r="AF1407" i="14"/>
  <c r="BG1411" i="14"/>
  <c r="AF1411" i="14"/>
  <c r="BC1379" i="14"/>
  <c r="BG1340" i="14"/>
  <c r="AF1340" i="14"/>
  <c r="BE1260" i="14"/>
  <c r="BJ1260" i="14"/>
  <c r="BI1260" i="14"/>
  <c r="BK1232" i="14"/>
  <c r="AN1325" i="14"/>
  <c r="AL1325" i="14"/>
  <c r="AI1325" i="14"/>
  <c r="AA1325" i="14" s="1"/>
  <c r="AD1325" i="14" s="1"/>
  <c r="AJ1409" i="14"/>
  <c r="Z1409" i="14" s="1"/>
  <c r="AM1409" i="14"/>
  <c r="AK1409" i="14"/>
  <c r="AJ1297" i="14"/>
  <c r="Z1297" i="14" s="1"/>
  <c r="AM1297" i="14"/>
  <c r="AK1297" i="14"/>
  <c r="AL1414" i="14"/>
  <c r="AI1414" i="14"/>
  <c r="AA1414" i="14" s="1"/>
  <c r="AD1414" i="14" s="1"/>
  <c r="AN1414" i="14"/>
  <c r="AJ1424" i="14"/>
  <c r="Z1424" i="14" s="1"/>
  <c r="AK1424" i="14"/>
  <c r="AM1424" i="14"/>
  <c r="AK1231" i="14"/>
  <c r="AM1231" i="14"/>
  <c r="AJ1231" i="14"/>
  <c r="Z1231" i="14" s="1"/>
  <c r="BK1278" i="14"/>
  <c r="AL1377" i="14"/>
  <c r="AN1377" i="14"/>
  <c r="AI1377" i="14"/>
  <c r="AA1377" i="14" s="1"/>
  <c r="AD1377" i="14" s="1"/>
  <c r="AI1367" i="14"/>
  <c r="AA1367" i="14" s="1"/>
  <c r="AD1367" i="14" s="1"/>
  <c r="AL1367" i="14"/>
  <c r="AN1367" i="14"/>
  <c r="AN1409" i="14"/>
  <c r="AI1409" i="14"/>
  <c r="AA1409" i="14" s="1"/>
  <c r="AD1409" i="14" s="1"/>
  <c r="AL1409" i="14"/>
  <c r="AJ1260" i="14"/>
  <c r="Z1260" i="14" s="1"/>
  <c r="AK1260" i="14"/>
  <c r="AM1260" i="14"/>
  <c r="AI1423" i="14"/>
  <c r="AA1423" i="14" s="1"/>
  <c r="AD1423" i="14" s="1"/>
  <c r="AN1423" i="14"/>
  <c r="AL1423" i="14"/>
  <c r="BK1271" i="14"/>
  <c r="AI1424" i="14"/>
  <c r="AA1424" i="14" s="1"/>
  <c r="AD1424" i="14" s="1"/>
  <c r="AN1424" i="14"/>
  <c r="AL1424" i="14"/>
  <c r="AJ1402" i="14"/>
  <c r="Z1402" i="14" s="1"/>
  <c r="AM1402" i="14"/>
  <c r="AK1402" i="14"/>
  <c r="AL1303" i="14"/>
  <c r="AN1303" i="14"/>
  <c r="AI1303" i="14"/>
  <c r="AA1303" i="14" s="1"/>
  <c r="AD1303" i="14" s="1"/>
  <c r="BK1328" i="14"/>
  <c r="BK1285" i="14"/>
  <c r="AN1328" i="14"/>
  <c r="AI1328" i="14"/>
  <c r="AA1328" i="14" s="1"/>
  <c r="AD1328" i="14" s="1"/>
  <c r="AL1328" i="14"/>
  <c r="AL1260" i="14"/>
  <c r="AN1260" i="14"/>
  <c r="AI1260" i="14"/>
  <c r="AA1260" i="14" s="1"/>
  <c r="AD1260" i="14" s="1"/>
  <c r="AL1309" i="14"/>
  <c r="AN1309" i="14"/>
  <c r="AI1309" i="14"/>
  <c r="AA1309" i="14" s="1"/>
  <c r="AD1309" i="14" s="1"/>
  <c r="AJ1328" i="14"/>
  <c r="Z1328" i="14" s="1"/>
  <c r="AK1328" i="14"/>
  <c r="AM1328" i="14"/>
  <c r="AN1256" i="14"/>
  <c r="AI1256" i="14"/>
  <c r="AA1256" i="14" s="1"/>
  <c r="AD1256" i="14" s="1"/>
  <c r="AL1256" i="14"/>
  <c r="AJ1325" i="14"/>
  <c r="Z1325" i="14" s="1"/>
  <c r="AK1325" i="14"/>
  <c r="AM1325" i="14"/>
  <c r="AL1392" i="14"/>
  <c r="AN1392" i="14"/>
  <c r="AI1392" i="14"/>
  <c r="AA1392" i="14" s="1"/>
  <c r="AD1392" i="14" s="1"/>
  <c r="AI1357" i="14"/>
  <c r="AA1357" i="14" s="1"/>
  <c r="AD1357" i="14" s="1"/>
  <c r="AN1357" i="14"/>
  <c r="AL1357" i="14"/>
  <c r="AJ1357" i="14"/>
  <c r="Z1357" i="14" s="1"/>
  <c r="AK1357" i="14"/>
  <c r="AM1357" i="14"/>
  <c r="AJ1423" i="14"/>
  <c r="Z1423" i="14" s="1"/>
  <c r="AM1423" i="14"/>
  <c r="AK1423" i="14"/>
  <c r="AL1297" i="14"/>
  <c r="AN1297" i="14"/>
  <c r="AI1297" i="14"/>
  <c r="AA1297" i="14" s="1"/>
  <c r="AD1297" i="14" s="1"/>
  <c r="AJ1338" i="14"/>
  <c r="Z1338" i="14" s="1"/>
  <c r="AK1338" i="14"/>
  <c r="AM1338" i="14"/>
  <c r="AJ1309" i="14"/>
  <c r="Z1309" i="14" s="1"/>
  <c r="AK1309" i="14"/>
  <c r="AM1309" i="14"/>
  <c r="AI1263" i="14"/>
  <c r="AA1263" i="14" s="1"/>
  <c r="AD1263" i="14" s="1"/>
  <c r="AL1263" i="14"/>
  <c r="AN1263" i="14"/>
  <c r="AL1408" i="14" l="1"/>
  <c r="AN1408" i="14"/>
  <c r="AM1408" i="14"/>
  <c r="AK1408" i="14"/>
  <c r="BJ1408" i="14"/>
  <c r="BE1408" i="14"/>
  <c r="BI1408" i="14"/>
  <c r="AK1284" i="14"/>
  <c r="AM1284" i="14"/>
  <c r="BI1284" i="14"/>
  <c r="BK1284" i="14" s="1"/>
  <c r="AG1284" i="14"/>
  <c r="AI1284" i="14" s="1"/>
  <c r="AA1284" i="14" s="1"/>
  <c r="AD1284" i="14" s="1"/>
  <c r="BE1284" i="14"/>
  <c r="BE1401" i="14"/>
  <c r="AH1401" i="14"/>
  <c r="AJ1401" i="14" s="1"/>
  <c r="Z1401" i="14" s="1"/>
  <c r="AE1401" i="14" s="1"/>
  <c r="AI1401" i="14"/>
  <c r="AA1401" i="14" s="1"/>
  <c r="AD1401" i="14" s="1"/>
  <c r="AN1401" i="14"/>
  <c r="AP1401" i="14" s="1"/>
  <c r="BJ1401" i="14"/>
  <c r="BK1401" i="14" s="1"/>
  <c r="AM1366" i="14"/>
  <c r="AK1366" i="14"/>
  <c r="BE1320" i="14"/>
  <c r="BI1366" i="14"/>
  <c r="BE1318" i="14"/>
  <c r="BE1366" i="14"/>
  <c r="AM1318" i="14"/>
  <c r="AO1318" i="14" s="1"/>
  <c r="BI1318" i="14"/>
  <c r="BK1318" i="14" s="1"/>
  <c r="AN1366" i="14"/>
  <c r="AP1366" i="14" s="1"/>
  <c r="AI1366" i="14"/>
  <c r="AA1366" i="14" s="1"/>
  <c r="AD1366" i="14" s="1"/>
  <c r="BJ1366" i="14"/>
  <c r="BE1306" i="14"/>
  <c r="AH1320" i="14"/>
  <c r="AJ1320" i="14" s="1"/>
  <c r="Z1320" i="14" s="1"/>
  <c r="AE1320" i="14" s="1"/>
  <c r="AJ1318" i="14"/>
  <c r="Z1318" i="14" s="1"/>
  <c r="AE1318" i="14" s="1"/>
  <c r="BK1320" i="14"/>
  <c r="BI1306" i="14"/>
  <c r="AG1318" i="14"/>
  <c r="AL1318" i="14" s="1"/>
  <c r="AN1306" i="14"/>
  <c r="AP1306" i="14" s="1"/>
  <c r="AI1306" i="14"/>
  <c r="AA1306" i="14" s="1"/>
  <c r="AD1306" i="14" s="1"/>
  <c r="AK1306" i="14"/>
  <c r="AM1306" i="14"/>
  <c r="BJ1306" i="14"/>
  <c r="AG1320" i="14"/>
  <c r="AN1320" i="14" s="1"/>
  <c r="BI1313" i="14"/>
  <c r="BK1313" i="14" s="1"/>
  <c r="AM1313" i="14"/>
  <c r="AK1313" i="14"/>
  <c r="BE1313" i="14"/>
  <c r="BE1347" i="14"/>
  <c r="AI1347" i="14"/>
  <c r="AA1347" i="14" s="1"/>
  <c r="AD1347" i="14" s="1"/>
  <c r="AN1347" i="14"/>
  <c r="AP1347" i="14" s="1"/>
  <c r="AH1347" i="14"/>
  <c r="AJ1347" i="14" s="1"/>
  <c r="Z1347" i="14" s="1"/>
  <c r="AE1347" i="14" s="1"/>
  <c r="BE1299" i="14"/>
  <c r="AG1313" i="14"/>
  <c r="AN1313" i="14" s="1"/>
  <c r="BE1343" i="14"/>
  <c r="BJ1347" i="14"/>
  <c r="BK1347" i="14" s="1"/>
  <c r="AH1299" i="14"/>
  <c r="AM1299" i="14" s="1"/>
  <c r="AG1299" i="14"/>
  <c r="AN1299" i="14" s="1"/>
  <c r="BK1299" i="14"/>
  <c r="BE1259" i="14"/>
  <c r="AH1343" i="14"/>
  <c r="AJ1343" i="14" s="1"/>
  <c r="Z1343" i="14" s="1"/>
  <c r="AE1343" i="14" s="1"/>
  <c r="AG1343" i="14"/>
  <c r="AI1343" i="14" s="1"/>
  <c r="AA1343" i="14" s="1"/>
  <c r="AD1343" i="14" s="1"/>
  <c r="BK1343" i="14"/>
  <c r="AI1259" i="14"/>
  <c r="AA1259" i="14" s="1"/>
  <c r="AD1259" i="14" s="1"/>
  <c r="AN1259" i="14"/>
  <c r="AP1259" i="14" s="1"/>
  <c r="BE1266" i="14"/>
  <c r="BE1360" i="14"/>
  <c r="AG1266" i="14"/>
  <c r="AL1266" i="14" s="1"/>
  <c r="AH1259" i="14"/>
  <c r="AJ1259" i="14" s="1"/>
  <c r="Z1259" i="14" s="1"/>
  <c r="BJ1259" i="14"/>
  <c r="BK1259" i="14" s="1"/>
  <c r="BK1360" i="14"/>
  <c r="AH1360" i="14"/>
  <c r="AJ1360" i="14" s="1"/>
  <c r="Z1360" i="14" s="1"/>
  <c r="AE1360" i="14" s="1"/>
  <c r="AG1360" i="14"/>
  <c r="AN1360" i="14" s="1"/>
  <c r="AJ1266" i="14"/>
  <c r="Z1266" i="14" s="1"/>
  <c r="AE1266" i="14" s="1"/>
  <c r="BI1266" i="14"/>
  <c r="BK1266" i="14" s="1"/>
  <c r="AM1266" i="14"/>
  <c r="AO1266" i="14" s="1"/>
  <c r="BE1275" i="14"/>
  <c r="BE1336" i="14"/>
  <c r="AG1275" i="14"/>
  <c r="AN1275" i="14" s="1"/>
  <c r="AH1275" i="14"/>
  <c r="AJ1275" i="14" s="1"/>
  <c r="Z1275" i="14" s="1"/>
  <c r="AE1275" i="14" s="1"/>
  <c r="AJ1300" i="14"/>
  <c r="Z1300" i="14" s="1"/>
  <c r="AE1300" i="14" s="1"/>
  <c r="BJ1300" i="14"/>
  <c r="AM1336" i="14"/>
  <c r="BI1336" i="14"/>
  <c r="BK1336" i="14" s="1"/>
  <c r="AK1336" i="14"/>
  <c r="BK1275" i="14"/>
  <c r="AG1336" i="14"/>
  <c r="AL1336" i="14" s="1"/>
  <c r="BE1300" i="14"/>
  <c r="AI1300" i="14"/>
  <c r="AA1300" i="14" s="1"/>
  <c r="AD1300" i="14" s="1"/>
  <c r="AL1300" i="14"/>
  <c r="AP1300" i="14" s="1"/>
  <c r="BE1356" i="14"/>
  <c r="AK1300" i="14"/>
  <c r="AO1300" i="14" s="1"/>
  <c r="BI1300" i="14"/>
  <c r="AH1356" i="14"/>
  <c r="AM1356" i="14" s="1"/>
  <c r="BE1255" i="14"/>
  <c r="AI1356" i="14"/>
  <c r="AA1356" i="14" s="1"/>
  <c r="AD1356" i="14" s="1"/>
  <c r="AL1356" i="14"/>
  <c r="AP1356" i="14" s="1"/>
  <c r="BJ1356" i="14"/>
  <c r="BK1356" i="14" s="1"/>
  <c r="BE1243" i="14"/>
  <c r="AK1243" i="14"/>
  <c r="BI1243" i="14"/>
  <c r="BK1243" i="14" s="1"/>
  <c r="AM1243" i="14"/>
  <c r="AG1243" i="14"/>
  <c r="AL1243" i="14" s="1"/>
  <c r="AG1255" i="14"/>
  <c r="AI1255" i="14" s="1"/>
  <c r="AA1255" i="14" s="1"/>
  <c r="AD1255" i="14" s="1"/>
  <c r="AJ1255" i="14"/>
  <c r="Z1255" i="14" s="1"/>
  <c r="AE1255" i="14" s="1"/>
  <c r="AK1255" i="14"/>
  <c r="AO1255" i="14" s="1"/>
  <c r="BI1255" i="14"/>
  <c r="BK1255" i="14" s="1"/>
  <c r="BE1339" i="14"/>
  <c r="AH1380" i="14"/>
  <c r="AK1380" i="14" s="1"/>
  <c r="BE1380" i="14"/>
  <c r="AG1339" i="14"/>
  <c r="AI1339" i="14" s="1"/>
  <c r="AA1339" i="14" s="1"/>
  <c r="AD1339" i="14" s="1"/>
  <c r="AG1380" i="14"/>
  <c r="AN1380" i="14" s="1"/>
  <c r="BK1380" i="14"/>
  <c r="AJ1339" i="14"/>
  <c r="Z1339" i="14" s="1"/>
  <c r="AK1339" i="14"/>
  <c r="AO1339" i="14" s="1"/>
  <c r="BE1358" i="14"/>
  <c r="BI1339" i="14"/>
  <c r="BK1339" i="14" s="1"/>
  <c r="BE1237" i="14"/>
  <c r="BJ1237" i="14"/>
  <c r="AM1237" i="14"/>
  <c r="AI1237" i="14"/>
  <c r="AA1237" i="14" s="1"/>
  <c r="AD1237" i="14" s="1"/>
  <c r="AN1237" i="14"/>
  <c r="AP1237" i="14" s="1"/>
  <c r="AK1237" i="14"/>
  <c r="BI1237" i="14"/>
  <c r="BJ1382" i="14"/>
  <c r="BE1405" i="14"/>
  <c r="BE1382" i="14"/>
  <c r="AG1405" i="14"/>
  <c r="AI1405" i="14" s="1"/>
  <c r="AA1405" i="14" s="1"/>
  <c r="AD1405" i="14" s="1"/>
  <c r="AH1405" i="14"/>
  <c r="AM1405" i="14" s="1"/>
  <c r="BK1405" i="14"/>
  <c r="BE1354" i="14"/>
  <c r="AM1382" i="14"/>
  <c r="BJ1264" i="14"/>
  <c r="BK1264" i="14" s="1"/>
  <c r="BE1264" i="14"/>
  <c r="AN1264" i="14"/>
  <c r="AP1264" i="14" s="1"/>
  <c r="AI1264" i="14"/>
  <c r="AA1264" i="14" s="1"/>
  <c r="AD1264" i="14" s="1"/>
  <c r="AN1382" i="14"/>
  <c r="AL1382" i="14"/>
  <c r="BE1346" i="14"/>
  <c r="BE1342" i="14"/>
  <c r="BE1268" i="14"/>
  <c r="BE1254" i="14"/>
  <c r="AK1382" i="14"/>
  <c r="BI1382" i="14"/>
  <c r="AL1354" i="14"/>
  <c r="AN1354" i="14"/>
  <c r="AH1354" i="14"/>
  <c r="AJ1354" i="14" s="1"/>
  <c r="Z1354" i="14" s="1"/>
  <c r="AE1354" i="14" s="1"/>
  <c r="BJ1354" i="14"/>
  <c r="BK1354" i="14" s="1"/>
  <c r="AG1342" i="14"/>
  <c r="AI1342" i="14" s="1"/>
  <c r="AA1342" i="14" s="1"/>
  <c r="AD1342" i="14" s="1"/>
  <c r="BE1374" i="14"/>
  <c r="BK1342" i="14"/>
  <c r="AM1254" i="14"/>
  <c r="AO1254" i="14" s="1"/>
  <c r="AJ1254" i="14"/>
  <c r="Z1254" i="14" s="1"/>
  <c r="AB1254" i="14" s="1"/>
  <c r="AH1264" i="14"/>
  <c r="AJ1264" i="14" s="1"/>
  <c r="Z1264" i="14" s="1"/>
  <c r="AH1342" i="14"/>
  <c r="AJ1342" i="14" s="1"/>
  <c r="Z1342" i="14" s="1"/>
  <c r="AE1342" i="14" s="1"/>
  <c r="AH1346" i="14"/>
  <c r="AJ1346" i="14" s="1"/>
  <c r="Z1346" i="14" s="1"/>
  <c r="AE1346" i="14" s="1"/>
  <c r="BE1370" i="14"/>
  <c r="BK1346" i="14"/>
  <c r="BJ1268" i="14"/>
  <c r="BK1268" i="14" s="1"/>
  <c r="AH1370" i="14"/>
  <c r="AK1370" i="14" s="1"/>
  <c r="BK1374" i="14"/>
  <c r="AL1307" i="14"/>
  <c r="AP1307" i="14" s="1"/>
  <c r="AI1307" i="14"/>
  <c r="AA1307" i="14" s="1"/>
  <c r="AD1307" i="14" s="1"/>
  <c r="BJ1254" i="14"/>
  <c r="AH1268" i="14"/>
  <c r="AJ1268" i="14" s="1"/>
  <c r="Z1268" i="14" s="1"/>
  <c r="AE1268" i="14" s="1"/>
  <c r="BI1254" i="14"/>
  <c r="AN1254" i="14"/>
  <c r="AG1346" i="14"/>
  <c r="AN1346" i="14" s="1"/>
  <c r="AI1268" i="14"/>
  <c r="AA1268" i="14" s="1"/>
  <c r="AD1268" i="14" s="1"/>
  <c r="AL1254" i="14"/>
  <c r="AN1268" i="14"/>
  <c r="AP1268" i="14" s="1"/>
  <c r="AG1374" i="14"/>
  <c r="AL1374" i="14" s="1"/>
  <c r="AH1374" i="14"/>
  <c r="AM1374" i="14" s="1"/>
  <c r="AL1370" i="14"/>
  <c r="AP1370" i="14" s="1"/>
  <c r="BE1397" i="14"/>
  <c r="BE1337" i="14"/>
  <c r="AI1370" i="14"/>
  <c r="AA1370" i="14" s="1"/>
  <c r="AD1370" i="14" s="1"/>
  <c r="BJ1370" i="14"/>
  <c r="BK1370" i="14" s="1"/>
  <c r="BK1397" i="14"/>
  <c r="BJ1307" i="14"/>
  <c r="AH1397" i="14"/>
  <c r="AM1397" i="14" s="1"/>
  <c r="BE1404" i="14"/>
  <c r="BE1247" i="14"/>
  <c r="BE1238" i="14"/>
  <c r="BI1337" i="14"/>
  <c r="AJ1337" i="14"/>
  <c r="Z1337" i="14" s="1"/>
  <c r="AE1337" i="14" s="1"/>
  <c r="AM1337" i="14"/>
  <c r="AO1337" i="14" s="1"/>
  <c r="AI1427" i="14"/>
  <c r="AA1427" i="14" s="1"/>
  <c r="AD1427" i="14" s="1"/>
  <c r="AI1333" i="14"/>
  <c r="AA1333" i="14" s="1"/>
  <c r="AD1333" i="14" s="1"/>
  <c r="AI1247" i="14"/>
  <c r="AA1247" i="14" s="1"/>
  <c r="AD1247" i="14" s="1"/>
  <c r="AM1307" i="14"/>
  <c r="AO1307" i="14" s="1"/>
  <c r="AI1319" i="14"/>
  <c r="AA1319" i="14" s="1"/>
  <c r="AD1319" i="14" s="1"/>
  <c r="AJ1307" i="14"/>
  <c r="Z1307" i="14" s="1"/>
  <c r="AE1307" i="14" s="1"/>
  <c r="BI1307" i="14"/>
  <c r="AL1247" i="14"/>
  <c r="AP1247" i="14" s="1"/>
  <c r="AN1333" i="14"/>
  <c r="AP1333" i="14" s="1"/>
  <c r="BE1427" i="14"/>
  <c r="BE1349" i="14"/>
  <c r="AH1427" i="14"/>
  <c r="AK1427" i="14" s="1"/>
  <c r="BE1279" i="14"/>
  <c r="AN1338" i="14"/>
  <c r="AP1338" i="14" s="1"/>
  <c r="AM1238" i="14"/>
  <c r="AO1238" i="14" s="1"/>
  <c r="AJ1238" i="14"/>
  <c r="Z1238" i="14" s="1"/>
  <c r="AE1238" i="14" s="1"/>
  <c r="AL1301" i="14"/>
  <c r="AP1301" i="14" s="1"/>
  <c r="AI1338" i="14"/>
  <c r="AA1338" i="14" s="1"/>
  <c r="AD1338" i="14" s="1"/>
  <c r="AN1404" i="14"/>
  <c r="AL1404" i="14"/>
  <c r="AL1337" i="14"/>
  <c r="AP1337" i="14" s="1"/>
  <c r="BJ1337" i="14"/>
  <c r="AK1301" i="14"/>
  <c r="AI1337" i="14"/>
  <c r="AA1337" i="14" s="1"/>
  <c r="AD1337" i="14" s="1"/>
  <c r="AM1301" i="14"/>
  <c r="BE1323" i="14"/>
  <c r="AI1301" i="14"/>
  <c r="AA1301" i="14" s="1"/>
  <c r="AD1301" i="14" s="1"/>
  <c r="BJ1404" i="14"/>
  <c r="BE1307" i="14"/>
  <c r="BJ1301" i="14"/>
  <c r="BI1301" i="14"/>
  <c r="AH1250" i="14"/>
  <c r="AJ1250" i="14" s="1"/>
  <c r="Z1250" i="14" s="1"/>
  <c r="AE1250" i="14" s="1"/>
  <c r="AH1279" i="14"/>
  <c r="AK1279" i="14" s="1"/>
  <c r="AJ1404" i="14"/>
  <c r="Z1404" i="14" s="1"/>
  <c r="AE1404" i="14" s="1"/>
  <c r="AM1404" i="14"/>
  <c r="AO1404" i="14" s="1"/>
  <c r="BI1404" i="14"/>
  <c r="AK1247" i="14"/>
  <c r="AM1247" i="14"/>
  <c r="BI1323" i="14"/>
  <c r="BK1323" i="14" s="1"/>
  <c r="AM1323" i="14"/>
  <c r="BI1238" i="14"/>
  <c r="BK1238" i="14" s="1"/>
  <c r="AK1323" i="14"/>
  <c r="BI1247" i="14"/>
  <c r="BE1250" i="14"/>
  <c r="BE1333" i="14"/>
  <c r="AL1279" i="14"/>
  <c r="AN1279" i="14"/>
  <c r="BJ1279" i="14"/>
  <c r="BK1279" i="14" s="1"/>
  <c r="AG1397" i="14"/>
  <c r="AN1397" i="14" s="1"/>
  <c r="BJ1333" i="14"/>
  <c r="BK1333" i="14" s="1"/>
  <c r="BE1301" i="14"/>
  <c r="BJ1247" i="14"/>
  <c r="AL1319" i="14"/>
  <c r="AP1319" i="14" s="1"/>
  <c r="BJ1427" i="14"/>
  <c r="BK1427" i="14" s="1"/>
  <c r="AL1427" i="14"/>
  <c r="AP1427" i="14" s="1"/>
  <c r="AH1333" i="14"/>
  <c r="AJ1333" i="14" s="1"/>
  <c r="Z1333" i="14" s="1"/>
  <c r="AL1250" i="14"/>
  <c r="AG1323" i="14"/>
  <c r="AI1323" i="14" s="1"/>
  <c r="AA1323" i="14" s="1"/>
  <c r="AD1323" i="14" s="1"/>
  <c r="AN1250" i="14"/>
  <c r="BJ1250" i="14"/>
  <c r="BK1250" i="14" s="1"/>
  <c r="BE1376" i="14"/>
  <c r="AH1349" i="14"/>
  <c r="AJ1349" i="14" s="1"/>
  <c r="Z1349" i="14" s="1"/>
  <c r="AB1349" i="14" s="1"/>
  <c r="AG1238" i="14"/>
  <c r="AN1238" i="14" s="1"/>
  <c r="AN1349" i="14"/>
  <c r="BJ1349" i="14"/>
  <c r="BK1349" i="14" s="1"/>
  <c r="AL1349" i="14"/>
  <c r="BE1319" i="14"/>
  <c r="AH1319" i="14"/>
  <c r="AK1319" i="14" s="1"/>
  <c r="AH1352" i="14"/>
  <c r="AJ1352" i="14" s="1"/>
  <c r="Z1352" i="14" s="1"/>
  <c r="AE1352" i="14" s="1"/>
  <c r="AH1311" i="14"/>
  <c r="AM1311" i="14" s="1"/>
  <c r="AM1376" i="14"/>
  <c r="AK1376" i="14"/>
  <c r="BI1376" i="14"/>
  <c r="BK1376" i="14" s="1"/>
  <c r="AM1406" i="14"/>
  <c r="BE1352" i="14"/>
  <c r="BE1344" i="14"/>
  <c r="AG1376" i="14"/>
  <c r="AL1376" i="14" s="1"/>
  <c r="BE1406" i="14"/>
  <c r="BI1406" i="14"/>
  <c r="BJ1319" i="14"/>
  <c r="BK1319" i="14" s="1"/>
  <c r="BF1324" i="14"/>
  <c r="BE1311" i="14"/>
  <c r="BE1310" i="14"/>
  <c r="BJ1310" i="14"/>
  <c r="AG1310" i="14"/>
  <c r="AH1310" i="14"/>
  <c r="BI1310" i="14"/>
  <c r="AI1352" i="14"/>
  <c r="AA1352" i="14" s="1"/>
  <c r="AD1352" i="14" s="1"/>
  <c r="AN1352" i="14"/>
  <c r="AP1352" i="14" s="1"/>
  <c r="BK1344" i="14"/>
  <c r="AK1350" i="14"/>
  <c r="AO1350" i="14" s="1"/>
  <c r="AK1406" i="14"/>
  <c r="AH1344" i="14"/>
  <c r="AK1344" i="14" s="1"/>
  <c r="AN1311" i="14"/>
  <c r="AP1311" i="14" s="1"/>
  <c r="AG1344" i="14"/>
  <c r="AL1344" i="14" s="1"/>
  <c r="AI1311" i="14"/>
  <c r="AA1311" i="14" s="1"/>
  <c r="AD1311" i="14" s="1"/>
  <c r="BJ1311" i="14"/>
  <c r="BK1311" i="14" s="1"/>
  <c r="BJ1352" i="14"/>
  <c r="BK1352" i="14" s="1"/>
  <c r="BE1290" i="14"/>
  <c r="AM1248" i="14"/>
  <c r="AK1248" i="14"/>
  <c r="BI1248" i="14"/>
  <c r="BK1248" i="14" s="1"/>
  <c r="BE1327" i="14"/>
  <c r="BE1314" i="14"/>
  <c r="BE1350" i="14"/>
  <c r="BE1248" i="14"/>
  <c r="BE1353" i="14"/>
  <c r="AG1248" i="14"/>
  <c r="AL1248" i="14" s="1"/>
  <c r="AG1353" i="14"/>
  <c r="AI1353" i="14" s="1"/>
  <c r="AA1353" i="14" s="1"/>
  <c r="AD1353" i="14" s="1"/>
  <c r="AH1290" i="14"/>
  <c r="AK1290" i="14" s="1"/>
  <c r="AJ1350" i="14"/>
  <c r="Z1350" i="14" s="1"/>
  <c r="AE1350" i="14" s="1"/>
  <c r="BI1350" i="14"/>
  <c r="BJ1290" i="14"/>
  <c r="BK1290" i="14" s="1"/>
  <c r="AL1290" i="14"/>
  <c r="AN1290" i="14"/>
  <c r="BI1353" i="14"/>
  <c r="BK1353" i="14" s="1"/>
  <c r="AM1353" i="14"/>
  <c r="AK1353" i="14"/>
  <c r="AN1350" i="14"/>
  <c r="BJ1350" i="14"/>
  <c r="AL1350" i="14"/>
  <c r="BJ1406" i="14"/>
  <c r="BE1276" i="14"/>
  <c r="AG1327" i="14"/>
  <c r="AL1327" i="14" s="1"/>
  <c r="AI1406" i="14"/>
  <c r="AA1406" i="14" s="1"/>
  <c r="AD1406" i="14" s="1"/>
  <c r="AL1406" i="14"/>
  <c r="AP1406" i="14" s="1"/>
  <c r="AJ1276" i="14"/>
  <c r="Z1276" i="14" s="1"/>
  <c r="AE1276" i="14" s="1"/>
  <c r="BE1317" i="14"/>
  <c r="BE1385" i="14"/>
  <c r="AK1276" i="14"/>
  <c r="AO1276" i="14" s="1"/>
  <c r="BI1385" i="14"/>
  <c r="AK1385" i="14"/>
  <c r="AM1385" i="14"/>
  <c r="BJ1314" i="14"/>
  <c r="AL1314" i="14"/>
  <c r="AP1314" i="14" s="1"/>
  <c r="AI1314" i="14"/>
  <c r="AA1314" i="14" s="1"/>
  <c r="AD1314" i="14" s="1"/>
  <c r="BE1229" i="14"/>
  <c r="AM1314" i="14"/>
  <c r="AO1314" i="14" s="1"/>
  <c r="BI1314" i="14"/>
  <c r="AK1327" i="14"/>
  <c r="AM1327" i="14"/>
  <c r="AJ1314" i="14"/>
  <c r="Z1314" i="14" s="1"/>
  <c r="AE1314" i="14" s="1"/>
  <c r="BI1276" i="14"/>
  <c r="BK1276" i="14" s="1"/>
  <c r="BI1327" i="14"/>
  <c r="BK1327" i="14" s="1"/>
  <c r="BE1274" i="14"/>
  <c r="BI1317" i="14"/>
  <c r="AG1276" i="14"/>
  <c r="AN1276" i="14" s="1"/>
  <c r="BE1371" i="14"/>
  <c r="AM1317" i="14"/>
  <c r="AK1317" i="14"/>
  <c r="AN1317" i="14"/>
  <c r="BE1399" i="14"/>
  <c r="AL1317" i="14"/>
  <c r="AI1371" i="14"/>
  <c r="AA1371" i="14" s="1"/>
  <c r="AD1371" i="14" s="1"/>
  <c r="BJ1317" i="14"/>
  <c r="BE1330" i="14"/>
  <c r="AL1385" i="14"/>
  <c r="AP1385" i="14" s="1"/>
  <c r="AI1385" i="14"/>
  <c r="AA1385" i="14" s="1"/>
  <c r="AD1385" i="14" s="1"/>
  <c r="AL1371" i="14"/>
  <c r="AP1371" i="14" s="1"/>
  <c r="BJ1371" i="14"/>
  <c r="BK1371" i="14" s="1"/>
  <c r="BJ1385" i="14"/>
  <c r="AL1399" i="14"/>
  <c r="AN1261" i="14"/>
  <c r="BJ1261" i="14"/>
  <c r="BK1261" i="14" s="1"/>
  <c r="AH1261" i="14"/>
  <c r="AJ1261" i="14" s="1"/>
  <c r="Z1261" i="14" s="1"/>
  <c r="AE1261" i="14" s="1"/>
  <c r="AH1371" i="14"/>
  <c r="AK1371" i="14" s="1"/>
  <c r="BE1261" i="14"/>
  <c r="AN1399" i="14"/>
  <c r="BJ1399" i="14"/>
  <c r="BK1399" i="14" s="1"/>
  <c r="BI1428" i="14"/>
  <c r="AH1399" i="14"/>
  <c r="AJ1399" i="14" s="1"/>
  <c r="Z1399" i="14" s="1"/>
  <c r="AB1399" i="14" s="1"/>
  <c r="BJ1428" i="14"/>
  <c r="BE1355" i="14"/>
  <c r="AK1229" i="14"/>
  <c r="AM1229" i="14"/>
  <c r="BI1229" i="14"/>
  <c r="AN1229" i="14"/>
  <c r="AL1229" i="14"/>
  <c r="BJ1229" i="14"/>
  <c r="BE1288" i="14"/>
  <c r="BF1288" i="14"/>
  <c r="BI1355" i="14"/>
  <c r="BK1355" i="14" s="1"/>
  <c r="AJ1274" i="14"/>
  <c r="Z1274" i="14" s="1"/>
  <c r="AE1274" i="14" s="1"/>
  <c r="AG1355" i="14"/>
  <c r="AI1355" i="14" s="1"/>
  <c r="AA1355" i="14" s="1"/>
  <c r="AD1355" i="14" s="1"/>
  <c r="AJ1355" i="14"/>
  <c r="Z1355" i="14" s="1"/>
  <c r="AE1355" i="14" s="1"/>
  <c r="AK1355" i="14"/>
  <c r="AO1355" i="14" s="1"/>
  <c r="AL1261" i="14"/>
  <c r="BE1363" i="14"/>
  <c r="BE1286" i="14"/>
  <c r="BK1288" i="14"/>
  <c r="AG1274" i="14"/>
  <c r="AL1274" i="14" s="1"/>
  <c r="AG1288" i="14"/>
  <c r="AN1288" i="14" s="1"/>
  <c r="AK1274" i="14"/>
  <c r="AO1274" i="14" s="1"/>
  <c r="AN1286" i="14"/>
  <c r="AL1286" i="14"/>
  <c r="BJ1286" i="14"/>
  <c r="BE1426" i="14"/>
  <c r="AH1288" i="14"/>
  <c r="AJ1288" i="14" s="1"/>
  <c r="Z1288" i="14" s="1"/>
  <c r="AE1288" i="14" s="1"/>
  <c r="AH1230" i="14"/>
  <c r="AJ1230" i="14" s="1"/>
  <c r="Z1230" i="14" s="1"/>
  <c r="AE1230" i="14" s="1"/>
  <c r="AL1426" i="14"/>
  <c r="AK1426" i="14"/>
  <c r="AM1426" i="14"/>
  <c r="AN1426" i="14"/>
  <c r="BJ1426" i="14"/>
  <c r="BI1426" i="14"/>
  <c r="BE1388" i="14"/>
  <c r="AM1286" i="14"/>
  <c r="AO1286" i="14" s="1"/>
  <c r="AJ1286" i="14"/>
  <c r="Z1286" i="14" s="1"/>
  <c r="AE1286" i="14" s="1"/>
  <c r="BI1274" i="14"/>
  <c r="BK1274" i="14" s="1"/>
  <c r="BE1329" i="14"/>
  <c r="AG1422" i="14"/>
  <c r="AN1422" i="14" s="1"/>
  <c r="BE1395" i="14"/>
  <c r="BE1230" i="14"/>
  <c r="BE1267" i="14"/>
  <c r="BE1331" i="14"/>
  <c r="BE1315" i="14"/>
  <c r="BE1308" i="14"/>
  <c r="BE1277" i="14"/>
  <c r="BK1230" i="14"/>
  <c r="AG1230" i="14"/>
  <c r="AN1230" i="14" s="1"/>
  <c r="BE1241" i="14"/>
  <c r="BE1368" i="14"/>
  <c r="AK1308" i="14"/>
  <c r="AO1308" i="14" s="1"/>
  <c r="BI1308" i="14"/>
  <c r="AK1395" i="14"/>
  <c r="BE1251" i="14"/>
  <c r="AG1395" i="14"/>
  <c r="AI1395" i="14" s="1"/>
  <c r="AA1395" i="14" s="1"/>
  <c r="AD1395" i="14" s="1"/>
  <c r="AJ1308" i="14"/>
  <c r="Z1308" i="14" s="1"/>
  <c r="AE1308" i="14" s="1"/>
  <c r="AH1363" i="14"/>
  <c r="AJ1363" i="14" s="1"/>
  <c r="Z1363" i="14" s="1"/>
  <c r="AE1363" i="14" s="1"/>
  <c r="AM1395" i="14"/>
  <c r="BI1395" i="14"/>
  <c r="BK1395" i="14" s="1"/>
  <c r="BE1326" i="14"/>
  <c r="BE1389" i="14"/>
  <c r="BJ1363" i="14"/>
  <c r="BK1363" i="14" s="1"/>
  <c r="BJ1331" i="14"/>
  <c r="BK1331" i="14" s="1"/>
  <c r="AG1389" i="14"/>
  <c r="AN1389" i="14" s="1"/>
  <c r="AG1368" i="14"/>
  <c r="AN1368" i="14" s="1"/>
  <c r="BE1252" i="14"/>
  <c r="AI1331" i="14"/>
  <c r="AA1331" i="14" s="1"/>
  <c r="AD1331" i="14" s="1"/>
  <c r="AL1315" i="14"/>
  <c r="AN1315" i="14"/>
  <c r="BE1296" i="14"/>
  <c r="BJ1315" i="14"/>
  <c r="BK1315" i="14" s="1"/>
  <c r="AI1308" i="14"/>
  <c r="AA1308" i="14" s="1"/>
  <c r="AD1308" i="14" s="1"/>
  <c r="BJ1308" i="14"/>
  <c r="AM1241" i="14"/>
  <c r="AN1308" i="14"/>
  <c r="AP1308" i="14" s="1"/>
  <c r="AN1331" i="14"/>
  <c r="AP1331" i="14" s="1"/>
  <c r="BJ1242" i="14"/>
  <c r="BK1412" i="14"/>
  <c r="BJ1270" i="14"/>
  <c r="AN1242" i="14"/>
  <c r="AP1242" i="14" s="1"/>
  <c r="AG1412" i="14"/>
  <c r="AN1412" i="14" s="1"/>
  <c r="AH1331" i="14"/>
  <c r="AJ1331" i="14" s="1"/>
  <c r="Z1331" i="14" s="1"/>
  <c r="AI1270" i="14"/>
  <c r="AA1270" i="14" s="1"/>
  <c r="AD1270" i="14" s="1"/>
  <c r="AI1242" i="14"/>
  <c r="AA1242" i="14" s="1"/>
  <c r="AD1242" i="14" s="1"/>
  <c r="AH1368" i="14"/>
  <c r="AJ1368" i="14" s="1"/>
  <c r="Z1368" i="14" s="1"/>
  <c r="AE1368" i="14" s="1"/>
  <c r="AN1270" i="14"/>
  <c r="AP1270" i="14" s="1"/>
  <c r="AG1388" i="14"/>
  <c r="AN1388" i="14" s="1"/>
  <c r="BI1286" i="14"/>
  <c r="AK1241" i="14"/>
  <c r="BI1241" i="14"/>
  <c r="AH1315" i="14"/>
  <c r="AK1315" i="14" s="1"/>
  <c r="BE1270" i="14"/>
  <c r="BE1242" i="14"/>
  <c r="BE1398" i="14"/>
  <c r="BE1228" i="14"/>
  <c r="BI1242" i="14"/>
  <c r="BJ1241" i="14"/>
  <c r="AK1242" i="14"/>
  <c r="AM1242" i="14"/>
  <c r="BE1233" i="14"/>
  <c r="AI1241" i="14"/>
  <c r="AA1241" i="14" s="1"/>
  <c r="AD1241" i="14" s="1"/>
  <c r="AL1241" i="14"/>
  <c r="AP1241" i="14" s="1"/>
  <c r="BK1368" i="14"/>
  <c r="AN1363" i="14"/>
  <c r="AP1363" i="14" s="1"/>
  <c r="AI1363" i="14"/>
  <c r="AA1363" i="14" s="1"/>
  <c r="AD1363" i="14" s="1"/>
  <c r="BE1258" i="14"/>
  <c r="AH1257" i="14"/>
  <c r="AJ1257" i="14" s="1"/>
  <c r="Z1257" i="14" s="1"/>
  <c r="AE1257" i="14" s="1"/>
  <c r="BJ1258" i="14"/>
  <c r="BK1258" i="14" s="1"/>
  <c r="AM1267" i="14"/>
  <c r="AK1267" i="14"/>
  <c r="AN1289" i="14"/>
  <c r="AP1289" i="14" s="1"/>
  <c r="AL1258" i="14"/>
  <c r="AP1258" i="14" s="1"/>
  <c r="AI1289" i="14"/>
  <c r="AA1289" i="14" s="1"/>
  <c r="AD1289" i="14" s="1"/>
  <c r="AI1258" i="14"/>
  <c r="AA1258" i="14" s="1"/>
  <c r="AD1258" i="14" s="1"/>
  <c r="BI1267" i="14"/>
  <c r="BK1267" i="14" s="1"/>
  <c r="AG1326" i="14"/>
  <c r="AI1326" i="14" s="1"/>
  <c r="AA1326" i="14" s="1"/>
  <c r="AD1326" i="14" s="1"/>
  <c r="BE1386" i="14"/>
  <c r="BE1412" i="14"/>
  <c r="BE1341" i="14"/>
  <c r="BE1365" i="14"/>
  <c r="BE1422" i="14"/>
  <c r="BE1415" i="14"/>
  <c r="BE1289" i="14"/>
  <c r="BK1326" i="14"/>
  <c r="AJ1389" i="14"/>
  <c r="Z1389" i="14" s="1"/>
  <c r="AE1389" i="14" s="1"/>
  <c r="BK1341" i="14"/>
  <c r="BI1252" i="14"/>
  <c r="AH1341" i="14"/>
  <c r="AJ1341" i="14" s="1"/>
  <c r="Z1341" i="14" s="1"/>
  <c r="AE1341" i="14" s="1"/>
  <c r="BE1257" i="14"/>
  <c r="BI1270" i="14"/>
  <c r="AM1270" i="14"/>
  <c r="AK1270" i="14"/>
  <c r="AK1415" i="14"/>
  <c r="AO1415" i="14" s="1"/>
  <c r="BI1415" i="14"/>
  <c r="AI1277" i="14"/>
  <c r="AA1277" i="14" s="1"/>
  <c r="AD1277" i="14" s="1"/>
  <c r="AJ1415" i="14"/>
  <c r="Z1415" i="14" s="1"/>
  <c r="AN1252" i="14"/>
  <c r="AP1252" i="14" s="1"/>
  <c r="AH1412" i="14"/>
  <c r="AJ1412" i="14" s="1"/>
  <c r="Z1412" i="14" s="1"/>
  <c r="AE1412" i="14" s="1"/>
  <c r="AM1252" i="14"/>
  <c r="AI1252" i="14"/>
  <c r="AA1252" i="14" s="1"/>
  <c r="AD1252" i="14" s="1"/>
  <c r="AK1252" i="14"/>
  <c r="BJ1277" i="14"/>
  <c r="BJ1252" i="14"/>
  <c r="AL1277" i="14"/>
  <c r="AP1277" i="14" s="1"/>
  <c r="AG1341" i="14"/>
  <c r="AI1341" i="14" s="1"/>
  <c r="AA1341" i="14" s="1"/>
  <c r="AD1341" i="14" s="1"/>
  <c r="BJ1233" i="14"/>
  <c r="BI1389" i="14"/>
  <c r="BK1389" i="14" s="1"/>
  <c r="AK1389" i="14"/>
  <c r="AO1389" i="14" s="1"/>
  <c r="AH1289" i="14"/>
  <c r="AJ1289" i="14" s="1"/>
  <c r="Z1289" i="14" s="1"/>
  <c r="AM1386" i="14"/>
  <c r="AK1386" i="14"/>
  <c r="AH1326" i="14"/>
  <c r="AJ1326" i="14" s="1"/>
  <c r="Z1326" i="14" s="1"/>
  <c r="AJ1425" i="14"/>
  <c r="Z1425" i="14" s="1"/>
  <c r="AE1425" i="14" s="1"/>
  <c r="AG1329" i="14"/>
  <c r="AL1329" i="14" s="1"/>
  <c r="AM1425" i="14"/>
  <c r="AO1425" i="14" s="1"/>
  <c r="AI1415" i="14"/>
  <c r="AA1415" i="14" s="1"/>
  <c r="AD1415" i="14" s="1"/>
  <c r="AL1415" i="14"/>
  <c r="AP1415" i="14" s="1"/>
  <c r="AM1233" i="14"/>
  <c r="AK1233" i="14"/>
  <c r="AH1228" i="14"/>
  <c r="AM1228" i="14" s="1"/>
  <c r="BJ1415" i="14"/>
  <c r="BI1277" i="14"/>
  <c r="AG1267" i="14"/>
  <c r="AI1267" i="14" s="1"/>
  <c r="AA1267" i="14" s="1"/>
  <c r="AD1267" i="14" s="1"/>
  <c r="BE1425" i="14"/>
  <c r="BJ1249" i="14"/>
  <c r="BK1249" i="14" s="1"/>
  <c r="AK1277" i="14"/>
  <c r="AN1249" i="14"/>
  <c r="AP1249" i="14" s="1"/>
  <c r="BK1388" i="14"/>
  <c r="AM1277" i="14"/>
  <c r="AI1249" i="14"/>
  <c r="AA1249" i="14" s="1"/>
  <c r="AD1249" i="14" s="1"/>
  <c r="BI1383" i="14"/>
  <c r="BK1383" i="14" s="1"/>
  <c r="AL1228" i="14"/>
  <c r="AH1398" i="14"/>
  <c r="AJ1398" i="14" s="1"/>
  <c r="Z1398" i="14" s="1"/>
  <c r="AB1398" i="14" s="1"/>
  <c r="AK1383" i="14"/>
  <c r="AM1383" i="14"/>
  <c r="BK1422" i="14"/>
  <c r="BI1386" i="14"/>
  <c r="AH1388" i="14"/>
  <c r="AJ1388" i="14" s="1"/>
  <c r="Z1388" i="14" s="1"/>
  <c r="AE1388" i="14" s="1"/>
  <c r="AH1258" i="14"/>
  <c r="AJ1258" i="14" s="1"/>
  <c r="Z1258" i="14" s="1"/>
  <c r="AE1258" i="14" s="1"/>
  <c r="AL1257" i="14"/>
  <c r="BI1233" i="14"/>
  <c r="BI1425" i="14"/>
  <c r="BK1425" i="14" s="1"/>
  <c r="BE1383" i="14"/>
  <c r="BE1262" i="14"/>
  <c r="AN1257" i="14"/>
  <c r="BJ1386" i="14"/>
  <c r="AN1386" i="14"/>
  <c r="AP1386" i="14" s="1"/>
  <c r="AI1386" i="14"/>
  <c r="AA1386" i="14" s="1"/>
  <c r="AD1386" i="14" s="1"/>
  <c r="BE1249" i="14"/>
  <c r="BJ1257" i="14"/>
  <c r="BK1257" i="14" s="1"/>
  <c r="AN1228" i="14"/>
  <c r="BJ1228" i="14"/>
  <c r="BK1228" i="14" s="1"/>
  <c r="AG1425" i="14"/>
  <c r="AI1425" i="14" s="1"/>
  <c r="AA1425" i="14" s="1"/>
  <c r="AD1425" i="14" s="1"/>
  <c r="AH1422" i="14"/>
  <c r="AM1422" i="14" s="1"/>
  <c r="AJ1329" i="14"/>
  <c r="Z1329" i="14" s="1"/>
  <c r="AE1329" i="14" s="1"/>
  <c r="AN1398" i="14"/>
  <c r="BJ1289" i="14"/>
  <c r="BK1289" i="14" s="1"/>
  <c r="BE1428" i="14"/>
  <c r="AL1398" i="14"/>
  <c r="BJ1398" i="14"/>
  <c r="BK1398" i="14" s="1"/>
  <c r="AM1329" i="14"/>
  <c r="AO1329" i="14" s="1"/>
  <c r="BI1329" i="14"/>
  <c r="BK1329" i="14" s="1"/>
  <c r="BE1362" i="14"/>
  <c r="BE1305" i="14"/>
  <c r="BE1381" i="14"/>
  <c r="AG1383" i="14"/>
  <c r="AN1383" i="14" s="1"/>
  <c r="BI1305" i="14"/>
  <c r="BK1305" i="14" s="1"/>
  <c r="BE1245" i="14"/>
  <c r="BE1393" i="14"/>
  <c r="BF1234" i="14"/>
  <c r="BF1330" i="14"/>
  <c r="BJ1365" i="14"/>
  <c r="BK1365" i="14" s="1"/>
  <c r="BK1362" i="14"/>
  <c r="AL1365" i="14"/>
  <c r="AP1365" i="14" s="1"/>
  <c r="AH1269" i="14"/>
  <c r="AM1269" i="14" s="1"/>
  <c r="AI1365" i="14"/>
  <c r="AA1365" i="14" s="1"/>
  <c r="AD1365" i="14" s="1"/>
  <c r="AH1362" i="14"/>
  <c r="AJ1362" i="14" s="1"/>
  <c r="Z1362" i="14" s="1"/>
  <c r="AE1362" i="14" s="1"/>
  <c r="AG1362" i="14"/>
  <c r="AL1362" i="14" s="1"/>
  <c r="BE1348" i="14"/>
  <c r="AM1303" i="14"/>
  <c r="AK1303" i="14"/>
  <c r="BE1316" i="14"/>
  <c r="BE1269" i="14"/>
  <c r="BE1335" i="14"/>
  <c r="BE1394" i="14"/>
  <c r="BE1239" i="14"/>
  <c r="BJ1239" i="14"/>
  <c r="BK1239" i="14" s="1"/>
  <c r="AI1239" i="14"/>
  <c r="AA1239" i="14" s="1"/>
  <c r="AD1239" i="14" s="1"/>
  <c r="AN1239" i="14"/>
  <c r="AP1239" i="14" s="1"/>
  <c r="AK1305" i="14"/>
  <c r="AM1305" i="14"/>
  <c r="AH1249" i="14"/>
  <c r="AJ1249" i="14" s="1"/>
  <c r="Z1249" i="14" s="1"/>
  <c r="AH1239" i="14"/>
  <c r="AM1239" i="14" s="1"/>
  <c r="AN1316" i="14"/>
  <c r="BE1403" i="14"/>
  <c r="BK1409" i="14"/>
  <c r="AN1335" i="14"/>
  <c r="AL1335" i="14"/>
  <c r="AM1377" i="14"/>
  <c r="BE1298" i="14"/>
  <c r="BF1419" i="14"/>
  <c r="AK1262" i="14"/>
  <c r="AG1305" i="14"/>
  <c r="AI1305" i="14" s="1"/>
  <c r="AA1305" i="14" s="1"/>
  <c r="AD1305" i="14" s="1"/>
  <c r="AK1272" i="14"/>
  <c r="AO1272" i="14" s="1"/>
  <c r="AJ1272" i="14"/>
  <c r="Z1272" i="14" s="1"/>
  <c r="AE1272" i="14" s="1"/>
  <c r="AM1262" i="14"/>
  <c r="AN1359" i="14"/>
  <c r="AM1335" i="14"/>
  <c r="BE1272" i="14"/>
  <c r="AL1359" i="14"/>
  <c r="AK1335" i="14"/>
  <c r="AK1392" i="14"/>
  <c r="AO1392" i="14" s="1"/>
  <c r="BJ1359" i="14"/>
  <c r="BI1335" i="14"/>
  <c r="BE1359" i="14"/>
  <c r="AN1348" i="14"/>
  <c r="BJ1335" i="14"/>
  <c r="AL1348" i="14"/>
  <c r="AJ1392" i="14"/>
  <c r="Z1392" i="14" s="1"/>
  <c r="AE1392" i="14" s="1"/>
  <c r="BE1369" i="14"/>
  <c r="AL1316" i="14"/>
  <c r="BJ1316" i="14"/>
  <c r="BK1316" i="14" s="1"/>
  <c r="AH1316" i="14"/>
  <c r="AJ1316" i="14" s="1"/>
  <c r="Z1316" i="14" s="1"/>
  <c r="AB1316" i="14" s="1"/>
  <c r="AJ1246" i="14"/>
  <c r="Z1246" i="14" s="1"/>
  <c r="AE1246" i="14" s="1"/>
  <c r="AL1421" i="14"/>
  <c r="BJ1348" i="14"/>
  <c r="BK1348" i="14" s="1"/>
  <c r="AH1348" i="14"/>
  <c r="AJ1348" i="14" s="1"/>
  <c r="Z1348" i="14" s="1"/>
  <c r="AE1348" i="14" s="1"/>
  <c r="BE1420" i="14"/>
  <c r="BI1262" i="14"/>
  <c r="AK1403" i="14"/>
  <c r="AM1285" i="14"/>
  <c r="AO1285" i="14" s="1"/>
  <c r="AL1269" i="14"/>
  <c r="AH1365" i="14"/>
  <c r="AK1365" i="14" s="1"/>
  <c r="AJ1285" i="14"/>
  <c r="Z1285" i="14" s="1"/>
  <c r="AE1285" i="14" s="1"/>
  <c r="AN1269" i="14"/>
  <c r="BE1332" i="14"/>
  <c r="AM1420" i="14"/>
  <c r="AO1420" i="14" s="1"/>
  <c r="BE1265" i="14"/>
  <c r="BE1419" i="14"/>
  <c r="BJ1269" i="14"/>
  <c r="BK1269" i="14" s="1"/>
  <c r="AK1298" i="14"/>
  <c r="AO1298" i="14" s="1"/>
  <c r="AJ1298" i="14"/>
  <c r="Z1298" i="14" s="1"/>
  <c r="AE1298" i="14" s="1"/>
  <c r="BE1246" i="14"/>
  <c r="BF1293" i="14"/>
  <c r="AH1394" i="14"/>
  <c r="AJ1394" i="14" s="1"/>
  <c r="Z1394" i="14" s="1"/>
  <c r="AE1394" i="14" s="1"/>
  <c r="BE1240" i="14"/>
  <c r="BE1282" i="14"/>
  <c r="AL1394" i="14"/>
  <c r="AN1394" i="14"/>
  <c r="BJ1394" i="14"/>
  <c r="BK1394" i="14" s="1"/>
  <c r="BI1359" i="14"/>
  <c r="AH1359" i="14"/>
  <c r="BE1321" i="14"/>
  <c r="AK1377" i="14"/>
  <c r="AM1403" i="14"/>
  <c r="AI1233" i="14"/>
  <c r="AA1233" i="14" s="1"/>
  <c r="AD1233" i="14" s="1"/>
  <c r="AN1233" i="14"/>
  <c r="AP1233" i="14" s="1"/>
  <c r="AG1298" i="14"/>
  <c r="AI1298" i="14" s="1"/>
  <c r="AA1298" i="14" s="1"/>
  <c r="AD1298" i="14" s="1"/>
  <c r="AM1278" i="14"/>
  <c r="BI1403" i="14"/>
  <c r="BI1272" i="14"/>
  <c r="AK1278" i="14"/>
  <c r="AG1393" i="14"/>
  <c r="AI1393" i="14" s="1"/>
  <c r="AA1393" i="14" s="1"/>
  <c r="AD1393" i="14" s="1"/>
  <c r="AI1262" i="14"/>
  <c r="AA1262" i="14" s="1"/>
  <c r="AD1262" i="14" s="1"/>
  <c r="AL1262" i="14"/>
  <c r="AP1262" i="14" s="1"/>
  <c r="BK1357" i="14"/>
  <c r="BJ1262" i="14"/>
  <c r="BE1378" i="14"/>
  <c r="BF1351" i="14"/>
  <c r="BE1375" i="14"/>
  <c r="BI1298" i="14"/>
  <c r="BK1298" i="14" s="1"/>
  <c r="BE1421" i="14"/>
  <c r="AK1246" i="14"/>
  <c r="AO1246" i="14" s="1"/>
  <c r="AJ1420" i="14"/>
  <c r="Z1420" i="14" s="1"/>
  <c r="AE1420" i="14" s="1"/>
  <c r="AN1421" i="14"/>
  <c r="AH1378" i="14"/>
  <c r="AM1378" i="14" s="1"/>
  <c r="BI1246" i="14"/>
  <c r="BK1246" i="14" s="1"/>
  <c r="AH1419" i="14"/>
  <c r="AJ1419" i="14" s="1"/>
  <c r="Z1419" i="14" s="1"/>
  <c r="AE1419" i="14" s="1"/>
  <c r="BE1364" i="14"/>
  <c r="BF1418" i="14"/>
  <c r="BK1297" i="14"/>
  <c r="BF1400" i="14"/>
  <c r="BJ1421" i="14"/>
  <c r="BK1421" i="14" s="1"/>
  <c r="BF1387" i="14"/>
  <c r="BK1419" i="14"/>
  <c r="AH1364" i="14"/>
  <c r="AJ1364" i="14" s="1"/>
  <c r="Z1364" i="14" s="1"/>
  <c r="AE1364" i="14" s="1"/>
  <c r="AH1421" i="14"/>
  <c r="AJ1421" i="14" s="1"/>
  <c r="Z1421" i="14" s="1"/>
  <c r="AE1421" i="14" s="1"/>
  <c r="AH1282" i="14"/>
  <c r="AJ1282" i="14" s="1"/>
  <c r="Z1282" i="14" s="1"/>
  <c r="AE1282" i="14" s="1"/>
  <c r="AN1364" i="14"/>
  <c r="AP1364" i="14" s="1"/>
  <c r="AN1271" i="14"/>
  <c r="AP1271" i="14" s="1"/>
  <c r="AG1419" i="14"/>
  <c r="AI1419" i="14" s="1"/>
  <c r="AA1419" i="14" s="1"/>
  <c r="AD1419" i="14" s="1"/>
  <c r="BI1393" i="14"/>
  <c r="BK1393" i="14" s="1"/>
  <c r="AI1272" i="14"/>
  <c r="AA1272" i="14" s="1"/>
  <c r="AD1272" i="14" s="1"/>
  <c r="AI1271" i="14"/>
  <c r="AA1271" i="14" s="1"/>
  <c r="AD1271" i="14" s="1"/>
  <c r="BE1400" i="14"/>
  <c r="BF1251" i="14"/>
  <c r="BK1325" i="14"/>
  <c r="BE1416" i="14"/>
  <c r="AG1378" i="14"/>
  <c r="BJ1378" i="14"/>
  <c r="BK1378" i="14" s="1"/>
  <c r="BJ1403" i="14"/>
  <c r="AN1403" i="14"/>
  <c r="AL1403" i="14"/>
  <c r="AI1364" i="14"/>
  <c r="AA1364" i="14" s="1"/>
  <c r="AD1364" i="14" s="1"/>
  <c r="BJ1369" i="14"/>
  <c r="BK1369" i="14" s="1"/>
  <c r="AI1232" i="14"/>
  <c r="AA1232" i="14" s="1"/>
  <c r="AD1232" i="14" s="1"/>
  <c r="AL1321" i="14"/>
  <c r="AN1232" i="14"/>
  <c r="AP1232" i="14" s="1"/>
  <c r="AN1321" i="14"/>
  <c r="BJ1321" i="14"/>
  <c r="BK1321" i="14" s="1"/>
  <c r="BE1304" i="14"/>
  <c r="BE1302" i="14"/>
  <c r="BI1251" i="14"/>
  <c r="AH1251" i="14"/>
  <c r="BK1282" i="14"/>
  <c r="AG1251" i="14"/>
  <c r="BJ1251" i="14"/>
  <c r="AN1272" i="14"/>
  <c r="AP1272" i="14" s="1"/>
  <c r="AM1393" i="14"/>
  <c r="BJ1364" i="14"/>
  <c r="BK1364" i="14" s="1"/>
  <c r="AG1282" i="14"/>
  <c r="AL1282" i="14" s="1"/>
  <c r="AH1321" i="14"/>
  <c r="AJ1321" i="14" s="1"/>
  <c r="Z1321" i="14" s="1"/>
  <c r="AE1321" i="14" s="1"/>
  <c r="AK1393" i="14"/>
  <c r="BJ1272" i="14"/>
  <c r="BF1302" i="14"/>
  <c r="AH1400" i="14"/>
  <c r="BI1400" i="14"/>
  <c r="AG1246" i="14"/>
  <c r="AN1246" i="14" s="1"/>
  <c r="AG1302" i="14"/>
  <c r="BJ1302" i="14"/>
  <c r="BJ1400" i="14"/>
  <c r="AG1400" i="14"/>
  <c r="AH1302" i="14"/>
  <c r="BI1302" i="14"/>
  <c r="AN1278" i="14"/>
  <c r="BE1334" i="14"/>
  <c r="AL1278" i="14"/>
  <c r="AH1334" i="14"/>
  <c r="AK1334" i="14" s="1"/>
  <c r="BI1245" i="14"/>
  <c r="BK1245" i="14" s="1"/>
  <c r="BE1295" i="14"/>
  <c r="AN1420" i="14"/>
  <c r="AP1420" i="14" s="1"/>
  <c r="AI1420" i="14"/>
  <c r="AA1420" i="14" s="1"/>
  <c r="AD1420" i="14" s="1"/>
  <c r="BJ1420" i="14"/>
  <c r="BI1420" i="14"/>
  <c r="BK1424" i="14"/>
  <c r="AI1285" i="14"/>
  <c r="AA1285" i="14" s="1"/>
  <c r="AD1285" i="14" s="1"/>
  <c r="AG1375" i="14"/>
  <c r="AL1375" i="14" s="1"/>
  <c r="AH1265" i="14"/>
  <c r="AJ1265" i="14" s="1"/>
  <c r="Z1265" i="14" s="1"/>
  <c r="AE1265" i="14" s="1"/>
  <c r="AK1232" i="14"/>
  <c r="AM1232" i="14"/>
  <c r="AH1369" i="14"/>
  <c r="AM1369" i="14" s="1"/>
  <c r="AM1375" i="14"/>
  <c r="AO1375" i="14" s="1"/>
  <c r="AJ1375" i="14"/>
  <c r="Z1375" i="14" s="1"/>
  <c r="AE1375" i="14" s="1"/>
  <c r="AJ1332" i="14"/>
  <c r="Z1332" i="14" s="1"/>
  <c r="AE1332" i="14" s="1"/>
  <c r="AK1332" i="14"/>
  <c r="AO1332" i="14" s="1"/>
  <c r="BI1375" i="14"/>
  <c r="BK1375" i="14" s="1"/>
  <c r="BK1309" i="14"/>
  <c r="AM1256" i="14"/>
  <c r="AK1256" i="14"/>
  <c r="BE1324" i="14"/>
  <c r="AM1263" i="14"/>
  <c r="AN1418" i="14"/>
  <c r="AM1245" i="14"/>
  <c r="BF1391" i="14"/>
  <c r="AG1245" i="14"/>
  <c r="AI1245" i="14" s="1"/>
  <c r="AA1245" i="14" s="1"/>
  <c r="AD1245" i="14" s="1"/>
  <c r="AK1245" i="14"/>
  <c r="BE1283" i="14"/>
  <c r="AI1369" i="14"/>
  <c r="AA1369" i="14" s="1"/>
  <c r="AD1369" i="14" s="1"/>
  <c r="AN1369" i="14"/>
  <c r="AP1369" i="14" s="1"/>
  <c r="BJ1295" i="14"/>
  <c r="BK1295" i="14" s="1"/>
  <c r="AN1240" i="14"/>
  <c r="AP1240" i="14" s="1"/>
  <c r="AI1295" i="14"/>
  <c r="AA1295" i="14" s="1"/>
  <c r="AD1295" i="14" s="1"/>
  <c r="BJ1240" i="14"/>
  <c r="BE1384" i="14"/>
  <c r="AL1295" i="14"/>
  <c r="AP1295" i="14" s="1"/>
  <c r="AI1240" i="14"/>
  <c r="AA1240" i="14" s="1"/>
  <c r="AD1240" i="14" s="1"/>
  <c r="AJ1283" i="14"/>
  <c r="Z1283" i="14" s="1"/>
  <c r="AE1283" i="14" s="1"/>
  <c r="BK1334" i="14"/>
  <c r="BE1418" i="14"/>
  <c r="AK1240" i="14"/>
  <c r="AO1240" i="14" s="1"/>
  <c r="AJ1416" i="14"/>
  <c r="Z1416" i="14" s="1"/>
  <c r="AE1416" i="14" s="1"/>
  <c r="BF1345" i="14"/>
  <c r="BE1417" i="14"/>
  <c r="AM1416" i="14"/>
  <c r="AO1416" i="14" s="1"/>
  <c r="BF1361" i="14"/>
  <c r="AJ1240" i="14"/>
  <c r="Z1240" i="14" s="1"/>
  <c r="AE1240" i="14" s="1"/>
  <c r="BE1379" i="14"/>
  <c r="BE1292" i="14"/>
  <c r="AL1285" i="14"/>
  <c r="AP1285" i="14" s="1"/>
  <c r="BI1416" i="14"/>
  <c r="BI1240" i="14"/>
  <c r="AG1334" i="14"/>
  <c r="AI1334" i="14" s="1"/>
  <c r="AA1334" i="14" s="1"/>
  <c r="AD1334" i="14" s="1"/>
  <c r="AL1418" i="14"/>
  <c r="BK1423" i="14"/>
  <c r="AK1263" i="14"/>
  <c r="AL1265" i="14"/>
  <c r="AP1265" i="14" s="1"/>
  <c r="AI1265" i="14"/>
  <c r="AA1265" i="14" s="1"/>
  <c r="AD1265" i="14" s="1"/>
  <c r="BJ1265" i="14"/>
  <c r="BK1265" i="14" s="1"/>
  <c r="AJ1367" i="14"/>
  <c r="Z1367" i="14" s="1"/>
  <c r="AE1367" i="14" s="1"/>
  <c r="AN1231" i="14"/>
  <c r="AP1231" i="14" s="1"/>
  <c r="AI1231" i="14"/>
  <c r="AA1231" i="14" s="1"/>
  <c r="AD1231" i="14" s="1"/>
  <c r="AK1367" i="14"/>
  <c r="AO1367" i="14" s="1"/>
  <c r="AI1332" i="14"/>
  <c r="AA1332" i="14" s="1"/>
  <c r="AD1332" i="14" s="1"/>
  <c r="BJ1332" i="14"/>
  <c r="AN1332" i="14"/>
  <c r="AP1332" i="14" s="1"/>
  <c r="BE1345" i="14"/>
  <c r="BF1253" i="14"/>
  <c r="BE1234" i="14"/>
  <c r="BF1292" i="14"/>
  <c r="AK1283" i="14"/>
  <c r="AO1283" i="14" s="1"/>
  <c r="BI1283" i="14"/>
  <c r="BK1283" i="14" s="1"/>
  <c r="BI1332" i="14"/>
  <c r="AG1283" i="14"/>
  <c r="AI1283" i="14" s="1"/>
  <c r="AA1283" i="14" s="1"/>
  <c r="AD1283" i="14" s="1"/>
  <c r="AL1402" i="14"/>
  <c r="AP1402" i="14" s="1"/>
  <c r="AI1402" i="14"/>
  <c r="AA1402" i="14" s="1"/>
  <c r="AD1402" i="14" s="1"/>
  <c r="AM1414" i="14"/>
  <c r="AK1414" i="14"/>
  <c r="AH1292" i="14"/>
  <c r="BI1292" i="14"/>
  <c r="BE1294" i="14"/>
  <c r="BE1281" i="14"/>
  <c r="AG1292" i="14"/>
  <c r="BJ1292" i="14"/>
  <c r="BJ1418" i="14"/>
  <c r="BF1372" i="14"/>
  <c r="BF1244" i="14"/>
  <c r="BF1304" i="14"/>
  <c r="BF1373" i="14"/>
  <c r="BE1410" i="14"/>
  <c r="BF1291" i="14"/>
  <c r="BE1273" i="14"/>
  <c r="BF1312" i="14"/>
  <c r="BE1291" i="14"/>
  <c r="BF1384" i="14"/>
  <c r="AK1271" i="14"/>
  <c r="AM1271" i="14"/>
  <c r="AH1295" i="14"/>
  <c r="AJ1295" i="14" s="1"/>
  <c r="Z1295" i="14" s="1"/>
  <c r="AE1295" i="14" s="1"/>
  <c r="BE1407" i="14"/>
  <c r="BE1372" i="14"/>
  <c r="BE1312" i="14"/>
  <c r="BI1304" i="14"/>
  <c r="AH1304" i="14"/>
  <c r="BI1417" i="14"/>
  <c r="AH1417" i="14"/>
  <c r="BJ1304" i="14"/>
  <c r="AG1304" i="14"/>
  <c r="BI1372" i="14"/>
  <c r="AH1372" i="14"/>
  <c r="BJ1372" i="14"/>
  <c r="AG1372" i="14"/>
  <c r="BF1411" i="14"/>
  <c r="BE1235" i="14"/>
  <c r="AL1416" i="14"/>
  <c r="AN1416" i="14"/>
  <c r="BE1236" i="14"/>
  <c r="BE1280" i="14"/>
  <c r="BJ1416" i="14"/>
  <c r="BF1407" i="14"/>
  <c r="BF1287" i="14"/>
  <c r="BF1296" i="14"/>
  <c r="BF1390" i="14"/>
  <c r="BF1413" i="14"/>
  <c r="AG1234" i="14"/>
  <c r="BJ1234" i="14"/>
  <c r="BE1413" i="14"/>
  <c r="BF1379" i="14"/>
  <c r="BF1236" i="14"/>
  <c r="BE1287" i="14"/>
  <c r="AG1345" i="14"/>
  <c r="BJ1345" i="14"/>
  <c r="BE1322" i="14"/>
  <c r="BF1280" i="14"/>
  <c r="BE1411" i="14"/>
  <c r="AH1345" i="14"/>
  <c r="BI1345" i="14"/>
  <c r="BF1235" i="14"/>
  <c r="BF1410" i="14"/>
  <c r="AH1234" i="14"/>
  <c r="BI1234" i="14"/>
  <c r="AH1418" i="14"/>
  <c r="BI1418" i="14"/>
  <c r="BF1396" i="14"/>
  <c r="BE1396" i="14"/>
  <c r="BF1273" i="14"/>
  <c r="BF1381" i="14"/>
  <c r="BF1340" i="14"/>
  <c r="BE1340" i="14"/>
  <c r="BE1361" i="14"/>
  <c r="BE1387" i="14"/>
  <c r="AG1379" i="14"/>
  <c r="BJ1379" i="14"/>
  <c r="BF1358" i="14"/>
  <c r="AG1281" i="14"/>
  <c r="BJ1281" i="14"/>
  <c r="AH1361" i="14"/>
  <c r="BI1361" i="14"/>
  <c r="BJ1373" i="14"/>
  <c r="AG1373" i="14"/>
  <c r="AG1351" i="14"/>
  <c r="BJ1351" i="14"/>
  <c r="AH1291" i="14"/>
  <c r="BI1291" i="14"/>
  <c r="AG1293" i="14"/>
  <c r="BJ1293" i="14"/>
  <c r="BE1391" i="14"/>
  <c r="BI1312" i="14"/>
  <c r="AH1312" i="14"/>
  <c r="BJ1411" i="14"/>
  <c r="AG1411" i="14"/>
  <c r="BJ1391" i="14"/>
  <c r="AG1391" i="14"/>
  <c r="BI1273" i="14"/>
  <c r="AH1273" i="14"/>
  <c r="BI1253" i="14"/>
  <c r="AH1253" i="14"/>
  <c r="BI1410" i="14"/>
  <c r="AH1410" i="14"/>
  <c r="AG1384" i="14"/>
  <c r="BJ1384" i="14"/>
  <c r="AG1390" i="14"/>
  <c r="BJ1390" i="14"/>
  <c r="AG1407" i="14"/>
  <c r="BJ1407" i="14"/>
  <c r="AG1324" i="14"/>
  <c r="BJ1324" i="14"/>
  <c r="AG1358" i="14"/>
  <c r="BJ1358" i="14"/>
  <c r="BI1294" i="14"/>
  <c r="AH1294" i="14"/>
  <c r="BE1390" i="14"/>
  <c r="AH1322" i="14"/>
  <c r="BI1322" i="14"/>
  <c r="BI1391" i="14"/>
  <c r="AH1391" i="14"/>
  <c r="BI1351" i="14"/>
  <c r="AH1351" i="14"/>
  <c r="AH1358" i="14"/>
  <c r="BI1358" i="14"/>
  <c r="BJ1410" i="14"/>
  <c r="AG1410" i="14"/>
  <c r="BE1293" i="14"/>
  <c r="BI1330" i="14"/>
  <c r="AH1330" i="14"/>
  <c r="AG1236" i="14"/>
  <c r="BJ1236" i="14"/>
  <c r="BJ1322" i="14"/>
  <c r="AG1322" i="14"/>
  <c r="AH1407" i="14"/>
  <c r="BI1407" i="14"/>
  <c r="AH1235" i="14"/>
  <c r="BI1235" i="14"/>
  <c r="BE1373" i="14"/>
  <c r="BF1281" i="14"/>
  <c r="AG1340" i="14"/>
  <c r="BJ1340" i="14"/>
  <c r="AG1330" i="14"/>
  <c r="BJ1330" i="14"/>
  <c r="AH1236" i="14"/>
  <c r="BI1236" i="14"/>
  <c r="AG1235" i="14"/>
  <c r="BJ1235" i="14"/>
  <c r="BJ1312" i="14"/>
  <c r="AG1312" i="14"/>
  <c r="AH1390" i="14"/>
  <c r="BI1390" i="14"/>
  <c r="BE1351" i="14"/>
  <c r="BE1244" i="14"/>
  <c r="AG1244" i="14"/>
  <c r="BJ1244" i="14"/>
  <c r="AH1296" i="14"/>
  <c r="BI1296" i="14"/>
  <c r="AH1381" i="14"/>
  <c r="BI1381" i="14"/>
  <c r="BJ1381" i="14"/>
  <c r="AG1381" i="14"/>
  <c r="AH1384" i="14"/>
  <c r="BI1384" i="14"/>
  <c r="BJ1413" i="14"/>
  <c r="AG1413" i="14"/>
  <c r="BI1287" i="14"/>
  <c r="AH1287" i="14"/>
  <c r="BI1411" i="14"/>
  <c r="AH1411" i="14"/>
  <c r="BI1281" i="14"/>
  <c r="AH1281" i="14"/>
  <c r="BJ1296" i="14"/>
  <c r="AG1296" i="14"/>
  <c r="AG1396" i="14"/>
  <c r="BJ1396" i="14"/>
  <c r="AH1396" i="14"/>
  <c r="BI1396" i="14"/>
  <c r="BI1413" i="14"/>
  <c r="AH1413" i="14"/>
  <c r="AG1291" i="14"/>
  <c r="BJ1291" i="14"/>
  <c r="BI1387" i="14"/>
  <c r="AH1387" i="14"/>
  <c r="BJ1294" i="14"/>
  <c r="AG1294" i="14"/>
  <c r="AH1324" i="14"/>
  <c r="BI1324" i="14"/>
  <c r="AG1280" i="14"/>
  <c r="BJ1280" i="14"/>
  <c r="BF1294" i="14"/>
  <c r="BE1253" i="14"/>
  <c r="AG1273" i="14"/>
  <c r="BJ1273" i="14"/>
  <c r="AG1387" i="14"/>
  <c r="BJ1387" i="14"/>
  <c r="AH1293" i="14"/>
  <c r="BI1293" i="14"/>
  <c r="BI1373" i="14"/>
  <c r="AH1373" i="14"/>
  <c r="BI1340" i="14"/>
  <c r="AH1340" i="14"/>
  <c r="BJ1417" i="14"/>
  <c r="AG1417" i="14"/>
  <c r="BF1322" i="14"/>
  <c r="BI1280" i="14"/>
  <c r="AH1280" i="14"/>
  <c r="AH1244" i="14"/>
  <c r="BI1244" i="14"/>
  <c r="AH1379" i="14"/>
  <c r="BI1379" i="14"/>
  <c r="AG1287" i="14"/>
  <c r="BJ1287" i="14"/>
  <c r="AG1361" i="14"/>
  <c r="BJ1361" i="14"/>
  <c r="AG1253" i="14"/>
  <c r="BJ1253" i="14"/>
  <c r="BK1260" i="14"/>
  <c r="AO1357" i="14"/>
  <c r="AP1357" i="14"/>
  <c r="AS1357" i="14" s="1"/>
  <c r="AP1260" i="14"/>
  <c r="AS1260" i="14" s="1"/>
  <c r="AP1414" i="14"/>
  <c r="AS1414" i="14" s="1"/>
  <c r="AO1423" i="14"/>
  <c r="AP1263" i="14"/>
  <c r="AS1263" i="14" s="1"/>
  <c r="AO1338" i="14"/>
  <c r="AO1424" i="14"/>
  <c r="AP1424" i="14"/>
  <c r="AS1424" i="14" s="1"/>
  <c r="AO1297" i="14"/>
  <c r="AO1231" i="14"/>
  <c r="AE1382" i="14"/>
  <c r="AB1382" i="14"/>
  <c r="AO1325" i="14"/>
  <c r="AE1262" i="14"/>
  <c r="AE1408" i="14"/>
  <c r="AB1408" i="14"/>
  <c r="AE1409" i="14"/>
  <c r="AB1409" i="14"/>
  <c r="AE1393" i="14"/>
  <c r="AE1366" i="14"/>
  <c r="AP1309" i="14"/>
  <c r="AS1309" i="14" s="1"/>
  <c r="AE1260" i="14"/>
  <c r="AB1260" i="14"/>
  <c r="AE1377" i="14"/>
  <c r="AB1377" i="14"/>
  <c r="AE1325" i="14"/>
  <c r="AB1325" i="14"/>
  <c r="AE1383" i="14"/>
  <c r="AE1426" i="14"/>
  <c r="AB1426" i="14"/>
  <c r="AE1297" i="14"/>
  <c r="AB1297" i="14"/>
  <c r="AE1267" i="14"/>
  <c r="AP1303" i="14"/>
  <c r="AS1303" i="14" s="1"/>
  <c r="AE1229" i="14"/>
  <c r="AB1229" i="14"/>
  <c r="AB1414" i="14"/>
  <c r="AE1414" i="14"/>
  <c r="AE1357" i="14"/>
  <c r="AB1357" i="14"/>
  <c r="AE1406" i="14"/>
  <c r="AE1306" i="14"/>
  <c r="AI1428" i="14"/>
  <c r="AA1428" i="14" s="1"/>
  <c r="AD1428" i="14" s="1"/>
  <c r="AL1428" i="14"/>
  <c r="AN1428" i="14"/>
  <c r="AO1309" i="14"/>
  <c r="AE1277" i="14"/>
  <c r="AP1297" i="14"/>
  <c r="AS1297" i="14" s="1"/>
  <c r="AP1392" i="14"/>
  <c r="AS1392" i="14" s="1"/>
  <c r="AE1252" i="14"/>
  <c r="AP1328" i="14"/>
  <c r="AS1328" i="14" s="1"/>
  <c r="AE1301" i="14"/>
  <c r="AE1256" i="14"/>
  <c r="AB1256" i="14"/>
  <c r="AE1270" i="14"/>
  <c r="AE1317" i="14"/>
  <c r="AB1317" i="14"/>
  <c r="AP1325" i="14"/>
  <c r="AS1325" i="14" s="1"/>
  <c r="AE1386" i="14"/>
  <c r="AB1278" i="14"/>
  <c r="AE1278" i="14"/>
  <c r="AE1237" i="14"/>
  <c r="AE1309" i="14"/>
  <c r="AB1309" i="14"/>
  <c r="AE1248" i="14"/>
  <c r="AO1328" i="14"/>
  <c r="AO1402" i="14"/>
  <c r="AP1423" i="14"/>
  <c r="AS1423" i="14" s="1"/>
  <c r="AE1353" i="14"/>
  <c r="AP1367" i="14"/>
  <c r="AS1367" i="14" s="1"/>
  <c r="AE1231" i="14"/>
  <c r="AE1241" i="14"/>
  <c r="AE1313" i="14"/>
  <c r="AE1402" i="14"/>
  <c r="AE1327" i="14"/>
  <c r="AE1395" i="14"/>
  <c r="AB1424" i="14"/>
  <c r="AE1424" i="14"/>
  <c r="AE1243" i="14"/>
  <c r="AE1233" i="14"/>
  <c r="AE1328" i="14"/>
  <c r="AB1328" i="14"/>
  <c r="AE1232" i="14"/>
  <c r="AE1403" i="14"/>
  <c r="AB1403" i="14"/>
  <c r="AE1247" i="14"/>
  <c r="AE1245" i="14"/>
  <c r="AE1242" i="14"/>
  <c r="AE1263" i="14"/>
  <c r="AB1263" i="14"/>
  <c r="AE1303" i="14"/>
  <c r="AB1303" i="14"/>
  <c r="AE1423" i="14"/>
  <c r="AB1423" i="14"/>
  <c r="AJ1428" i="14"/>
  <c r="Z1428" i="14" s="1"/>
  <c r="AM1428" i="14"/>
  <c r="AK1428" i="14"/>
  <c r="AE1284" i="14"/>
  <c r="AE1323" i="14"/>
  <c r="AP1409" i="14"/>
  <c r="AS1409" i="14" s="1"/>
  <c r="AE1338" i="14"/>
  <c r="AE1336" i="14"/>
  <c r="AP1256" i="14"/>
  <c r="AS1256" i="14" s="1"/>
  <c r="AE1376" i="14"/>
  <c r="AE1385" i="14"/>
  <c r="AO1260" i="14"/>
  <c r="AE1271" i="14"/>
  <c r="AE1305" i="14"/>
  <c r="AP1377" i="14"/>
  <c r="AS1377" i="14" s="1"/>
  <c r="AO1409" i="14"/>
  <c r="AE1335" i="14"/>
  <c r="AB1335" i="14"/>
  <c r="AP1408" i="14" l="1"/>
  <c r="AS1408" i="14" s="1"/>
  <c r="AO1408" i="14"/>
  <c r="AB1284" i="14"/>
  <c r="BK1408" i="14"/>
  <c r="AL1284" i="14"/>
  <c r="AN1284" i="14"/>
  <c r="AO1284" i="14"/>
  <c r="AS1401" i="14"/>
  <c r="AB1401" i="14"/>
  <c r="AK1401" i="14"/>
  <c r="AM1401" i="14"/>
  <c r="AO1366" i="14"/>
  <c r="AQ1366" i="14" s="1"/>
  <c r="BK1366" i="14"/>
  <c r="AB1366" i="14"/>
  <c r="AS1366" i="14"/>
  <c r="AK1320" i="14"/>
  <c r="AM1320" i="14"/>
  <c r="AS1306" i="14"/>
  <c r="AN1318" i="14"/>
  <c r="AP1318" i="14" s="1"/>
  <c r="AQ1318" i="14" s="1"/>
  <c r="AI1318" i="14"/>
  <c r="AA1318" i="14" s="1"/>
  <c r="AD1318" i="14" s="1"/>
  <c r="AC1318" i="14" s="1"/>
  <c r="BK1306" i="14"/>
  <c r="AB1306" i="14"/>
  <c r="AO1306" i="14"/>
  <c r="AQ1306" i="14" s="1"/>
  <c r="AO1313" i="14"/>
  <c r="AR1313" i="14" s="1"/>
  <c r="AI1320" i="14"/>
  <c r="AA1320" i="14" s="1"/>
  <c r="AD1320" i="14" s="1"/>
  <c r="AC1320" i="14" s="1"/>
  <c r="AL1320" i="14"/>
  <c r="AP1320" i="14" s="1"/>
  <c r="AS1347" i="14"/>
  <c r="AK1347" i="14"/>
  <c r="AM1347" i="14"/>
  <c r="AB1347" i="14"/>
  <c r="AL1313" i="14"/>
  <c r="AP1313" i="14" s="1"/>
  <c r="AI1313" i="14"/>
  <c r="AA1313" i="14" s="1"/>
  <c r="AD1313" i="14" s="1"/>
  <c r="AC1313" i="14" s="1"/>
  <c r="AI1299" i="14"/>
  <c r="AA1299" i="14" s="1"/>
  <c r="AD1299" i="14" s="1"/>
  <c r="AL1299" i="14"/>
  <c r="AP1299" i="14" s="1"/>
  <c r="AJ1299" i="14"/>
  <c r="Z1299" i="14" s="1"/>
  <c r="AE1299" i="14" s="1"/>
  <c r="AK1299" i="14"/>
  <c r="AO1299" i="14" s="1"/>
  <c r="AB1343" i="14"/>
  <c r="AN1343" i="14"/>
  <c r="AK1343" i="14"/>
  <c r="AL1343" i="14"/>
  <c r="AB1259" i="14"/>
  <c r="AS1259" i="14"/>
  <c r="AM1259" i="14"/>
  <c r="AI1266" i="14"/>
  <c r="AA1266" i="14" s="1"/>
  <c r="AD1266" i="14" s="1"/>
  <c r="AC1266" i="14" s="1"/>
  <c r="AN1266" i="14"/>
  <c r="AP1266" i="14" s="1"/>
  <c r="AQ1266" i="14" s="1"/>
  <c r="AM1343" i="14"/>
  <c r="AE1259" i="14"/>
  <c r="AC1259" i="14" s="1"/>
  <c r="AL1360" i="14"/>
  <c r="AP1360" i="14" s="1"/>
  <c r="AI1360" i="14"/>
  <c r="AA1360" i="14" s="1"/>
  <c r="AD1360" i="14" s="1"/>
  <c r="AC1360" i="14" s="1"/>
  <c r="AK1259" i="14"/>
  <c r="AK1360" i="14"/>
  <c r="AM1360" i="14"/>
  <c r="AK1275" i="14"/>
  <c r="AM1275" i="14"/>
  <c r="AO1336" i="14"/>
  <c r="AR1336" i="14" s="1"/>
  <c r="AN1336" i="14"/>
  <c r="AP1336" i="14" s="1"/>
  <c r="AI1336" i="14"/>
  <c r="AA1336" i="14" s="1"/>
  <c r="AD1336" i="14" s="1"/>
  <c r="AC1336" i="14" s="1"/>
  <c r="AS1300" i="14"/>
  <c r="AI1275" i="14"/>
  <c r="AA1275" i="14" s="1"/>
  <c r="AD1275" i="14" s="1"/>
  <c r="AC1275" i="14" s="1"/>
  <c r="AL1275" i="14"/>
  <c r="AP1275" i="14" s="1"/>
  <c r="AB1300" i="14"/>
  <c r="BK1300" i="14"/>
  <c r="AJ1356" i="14"/>
  <c r="Z1356" i="14" s="1"/>
  <c r="AE1356" i="14" s="1"/>
  <c r="AC1356" i="14" s="1"/>
  <c r="AK1356" i="14"/>
  <c r="AO1356" i="14" s="1"/>
  <c r="AQ1356" i="14" s="1"/>
  <c r="AS1356" i="14"/>
  <c r="AO1243" i="14"/>
  <c r="AR1243" i="14" s="1"/>
  <c r="AN1243" i="14"/>
  <c r="AP1243" i="14" s="1"/>
  <c r="AL1255" i="14"/>
  <c r="AI1243" i="14"/>
  <c r="AA1243" i="14" s="1"/>
  <c r="AD1243" i="14" s="1"/>
  <c r="AC1243" i="14" s="1"/>
  <c r="AB1255" i="14"/>
  <c r="AN1255" i="14"/>
  <c r="AL1339" i="14"/>
  <c r="AM1380" i="14"/>
  <c r="AO1380" i="14" s="1"/>
  <c r="AJ1380" i="14"/>
  <c r="Z1380" i="14" s="1"/>
  <c r="AE1380" i="14" s="1"/>
  <c r="AN1339" i="14"/>
  <c r="AB1339" i="14"/>
  <c r="AE1339" i="14"/>
  <c r="AC1339" i="14" s="1"/>
  <c r="AI1380" i="14"/>
  <c r="AA1380" i="14" s="1"/>
  <c r="AD1380" i="14" s="1"/>
  <c r="AL1380" i="14"/>
  <c r="AP1380" i="14" s="1"/>
  <c r="AO1237" i="14"/>
  <c r="AQ1237" i="14" s="1"/>
  <c r="AB1237" i="14"/>
  <c r="BK1237" i="14"/>
  <c r="AS1237" i="14"/>
  <c r="AN1405" i="14"/>
  <c r="AL1405" i="14"/>
  <c r="AK1405" i="14"/>
  <c r="AO1405" i="14" s="1"/>
  <c r="BK1382" i="14"/>
  <c r="AK1342" i="14"/>
  <c r="AJ1405" i="14"/>
  <c r="Z1405" i="14" s="1"/>
  <c r="AE1405" i="14" s="1"/>
  <c r="AC1405" i="14" s="1"/>
  <c r="AP1382" i="14"/>
  <c r="AS1382" i="14" s="1"/>
  <c r="AB1264" i="14"/>
  <c r="AS1264" i="14"/>
  <c r="AO1382" i="14"/>
  <c r="AR1382" i="14" s="1"/>
  <c r="AP1354" i="14"/>
  <c r="AS1354" i="14" s="1"/>
  <c r="AK1346" i="14"/>
  <c r="AB1354" i="14"/>
  <c r="AM1354" i="14"/>
  <c r="AK1354" i="14"/>
  <c r="AL1342" i="14"/>
  <c r="AN1342" i="14"/>
  <c r="AE1264" i="14"/>
  <c r="AC1264" i="14" s="1"/>
  <c r="AB1342" i="14"/>
  <c r="AS1307" i="14"/>
  <c r="AM1342" i="14"/>
  <c r="AE1254" i="14"/>
  <c r="AC1254" i="14" s="1"/>
  <c r="AM1346" i="14"/>
  <c r="AM1264" i="14"/>
  <c r="AK1264" i="14"/>
  <c r="AJ1370" i="14"/>
  <c r="Z1370" i="14" s="1"/>
  <c r="AE1370" i="14" s="1"/>
  <c r="AC1370" i="14" s="1"/>
  <c r="AM1370" i="14"/>
  <c r="AO1370" i="14" s="1"/>
  <c r="AQ1370" i="14" s="1"/>
  <c r="AS1370" i="14"/>
  <c r="AJ1374" i="14"/>
  <c r="Z1374" i="14" s="1"/>
  <c r="AE1374" i="14" s="1"/>
  <c r="BK1254" i="14"/>
  <c r="AM1268" i="14"/>
  <c r="AI1346" i="14"/>
  <c r="AA1346" i="14" s="1"/>
  <c r="AD1346" i="14" s="1"/>
  <c r="AC1346" i="14" s="1"/>
  <c r="AL1346" i="14"/>
  <c r="AP1346" i="14" s="1"/>
  <c r="AB1268" i="14"/>
  <c r="AP1254" i="14"/>
  <c r="AS1254" i="14" s="1"/>
  <c r="AJ1397" i="14"/>
  <c r="Z1397" i="14" s="1"/>
  <c r="AE1397" i="14" s="1"/>
  <c r="AS1268" i="14"/>
  <c r="AI1374" i="14"/>
  <c r="AA1374" i="14" s="1"/>
  <c r="AD1374" i="14" s="1"/>
  <c r="AK1268" i="14"/>
  <c r="AK1374" i="14"/>
  <c r="AO1374" i="14" s="1"/>
  <c r="AN1374" i="14"/>
  <c r="AP1374" i="14" s="1"/>
  <c r="AS1319" i="14"/>
  <c r="AK1397" i="14"/>
  <c r="AO1397" i="14" s="1"/>
  <c r="BK1337" i="14"/>
  <c r="BK1307" i="14"/>
  <c r="AB1247" i="14"/>
  <c r="AS1427" i="14"/>
  <c r="AB1333" i="14"/>
  <c r="AB1301" i="14"/>
  <c r="AS1301" i="14"/>
  <c r="AS1247" i="14"/>
  <c r="AS1333" i="14"/>
  <c r="AB1307" i="14"/>
  <c r="AJ1427" i="14"/>
  <c r="Z1427" i="14" s="1"/>
  <c r="AE1427" i="14" s="1"/>
  <c r="AC1427" i="14" s="1"/>
  <c r="AM1427" i="14"/>
  <c r="AO1427" i="14" s="1"/>
  <c r="AQ1427" i="14" s="1"/>
  <c r="AB1337" i="14"/>
  <c r="AB1338" i="14"/>
  <c r="AS1338" i="14"/>
  <c r="AB1250" i="14"/>
  <c r="BK1301" i="14"/>
  <c r="AP1404" i="14"/>
  <c r="AS1404" i="14" s="1"/>
  <c r="AJ1279" i="14"/>
  <c r="Z1279" i="14" s="1"/>
  <c r="AE1279" i="14" s="1"/>
  <c r="AC1279" i="14" s="1"/>
  <c r="AM1279" i="14"/>
  <c r="AO1279" i="14" s="1"/>
  <c r="AK1250" i="14"/>
  <c r="AM1250" i="14"/>
  <c r="AB1404" i="14"/>
  <c r="BK1404" i="14"/>
  <c r="AO1301" i="14"/>
  <c r="AQ1301" i="14" s="1"/>
  <c r="AI1397" i="14"/>
  <c r="AA1397" i="14" s="1"/>
  <c r="AD1397" i="14" s="1"/>
  <c r="AO1247" i="14"/>
  <c r="AQ1247" i="14" s="1"/>
  <c r="AL1397" i="14"/>
  <c r="AP1397" i="14" s="1"/>
  <c r="AK1349" i="14"/>
  <c r="AS1337" i="14"/>
  <c r="AP1250" i="14"/>
  <c r="AS1250" i="14" s="1"/>
  <c r="AO1323" i="14"/>
  <c r="AR1323" i="14" s="1"/>
  <c r="BK1247" i="14"/>
  <c r="AL1238" i="14"/>
  <c r="AP1238" i="14" s="1"/>
  <c r="AQ1238" i="14" s="1"/>
  <c r="AP1279" i="14"/>
  <c r="AS1279" i="14" s="1"/>
  <c r="AB1323" i="14"/>
  <c r="AL1323" i="14"/>
  <c r="AN1323" i="14"/>
  <c r="AI1238" i="14"/>
  <c r="AA1238" i="14" s="1"/>
  <c r="AD1238" i="14" s="1"/>
  <c r="AC1238" i="14" s="1"/>
  <c r="AK1333" i="14"/>
  <c r="AM1333" i="14"/>
  <c r="AE1333" i="14"/>
  <c r="AC1333" i="14" s="1"/>
  <c r="AM1349" i="14"/>
  <c r="AE1349" i="14"/>
  <c r="AC1349" i="14" s="1"/>
  <c r="AP1349" i="14"/>
  <c r="AS1349" i="14" s="1"/>
  <c r="AM1352" i="14"/>
  <c r="AM1319" i="14"/>
  <c r="AO1319" i="14" s="1"/>
  <c r="AQ1319" i="14" s="1"/>
  <c r="AK1311" i="14"/>
  <c r="AO1311" i="14" s="1"/>
  <c r="AQ1311" i="14" s="1"/>
  <c r="AJ1311" i="14"/>
  <c r="Z1311" i="14" s="1"/>
  <c r="AE1311" i="14" s="1"/>
  <c r="AC1311" i="14" s="1"/>
  <c r="AJ1319" i="14"/>
  <c r="Z1319" i="14" s="1"/>
  <c r="AE1319" i="14" s="1"/>
  <c r="AC1319" i="14" s="1"/>
  <c r="AK1352" i="14"/>
  <c r="AO1376" i="14"/>
  <c r="AR1376" i="14" s="1"/>
  <c r="AN1376" i="14"/>
  <c r="AP1376" i="14" s="1"/>
  <c r="AI1376" i="14"/>
  <c r="AA1376" i="14" s="1"/>
  <c r="AD1376" i="14" s="1"/>
  <c r="AC1376" i="14" s="1"/>
  <c r="BK1406" i="14"/>
  <c r="AO1406" i="14"/>
  <c r="AQ1406" i="14" s="1"/>
  <c r="AN1344" i="14"/>
  <c r="AP1344" i="14" s="1"/>
  <c r="BK1310" i="14"/>
  <c r="AI1344" i="14"/>
  <c r="AA1344" i="14" s="1"/>
  <c r="AD1344" i="14" s="1"/>
  <c r="AS1352" i="14"/>
  <c r="AB1352" i="14"/>
  <c r="AS1311" i="14"/>
  <c r="AJ1344" i="14"/>
  <c r="Z1344" i="14" s="1"/>
  <c r="AM1344" i="14"/>
  <c r="AO1344" i="14" s="1"/>
  <c r="AK1310" i="14"/>
  <c r="AM1310" i="14"/>
  <c r="AJ1310" i="14"/>
  <c r="Z1310" i="14" s="1"/>
  <c r="AL1310" i="14"/>
  <c r="AI1310" i="14"/>
  <c r="AA1310" i="14" s="1"/>
  <c r="AD1310" i="14" s="1"/>
  <c r="AN1310" i="14"/>
  <c r="AO1248" i="14"/>
  <c r="AR1248" i="14" s="1"/>
  <c r="AJ1290" i="14"/>
  <c r="Z1290" i="14" s="1"/>
  <c r="AE1290" i="14" s="1"/>
  <c r="AM1290" i="14"/>
  <c r="AO1290" i="14" s="1"/>
  <c r="AI1248" i="14"/>
  <c r="AA1248" i="14" s="1"/>
  <c r="AD1248" i="14" s="1"/>
  <c r="AB1353" i="14"/>
  <c r="AN1353" i="14"/>
  <c r="AN1248" i="14"/>
  <c r="AP1248" i="14" s="1"/>
  <c r="AB1350" i="14"/>
  <c r="AO1353" i="14"/>
  <c r="AR1353" i="14" s="1"/>
  <c r="AP1290" i="14"/>
  <c r="AS1290" i="14" s="1"/>
  <c r="BK1350" i="14"/>
  <c r="AL1353" i="14"/>
  <c r="AP1350" i="14"/>
  <c r="AQ1350" i="14" s="1"/>
  <c r="AB1314" i="14"/>
  <c r="AS1406" i="14"/>
  <c r="AS1314" i="14"/>
  <c r="AI1327" i="14"/>
  <c r="AA1327" i="14" s="1"/>
  <c r="AD1327" i="14" s="1"/>
  <c r="AN1327" i="14"/>
  <c r="AP1327" i="14" s="1"/>
  <c r="AB1406" i="14"/>
  <c r="AO1385" i="14"/>
  <c r="AQ1385" i="14" s="1"/>
  <c r="AO1327" i="14"/>
  <c r="AR1327" i="14" s="1"/>
  <c r="BK1385" i="14"/>
  <c r="BK1314" i="14"/>
  <c r="AO1317" i="14"/>
  <c r="AR1317" i="14" s="1"/>
  <c r="AL1276" i="14"/>
  <c r="AP1276" i="14" s="1"/>
  <c r="AQ1276" i="14" s="1"/>
  <c r="AI1276" i="14"/>
  <c r="AA1276" i="14" s="1"/>
  <c r="AD1276" i="14" s="1"/>
  <c r="BK1317" i="14"/>
  <c r="AP1317" i="14"/>
  <c r="AS1317" i="14" s="1"/>
  <c r="AS1371" i="14"/>
  <c r="AB1385" i="14"/>
  <c r="AS1385" i="14"/>
  <c r="AS1308" i="14"/>
  <c r="AM1261" i="14"/>
  <c r="AS1363" i="14"/>
  <c r="AB1261" i="14"/>
  <c r="AK1261" i="14"/>
  <c r="AP1399" i="14"/>
  <c r="AS1399" i="14" s="1"/>
  <c r="AS1265" i="14"/>
  <c r="AJ1371" i="14"/>
  <c r="Z1371" i="14" s="1"/>
  <c r="AE1371" i="14" s="1"/>
  <c r="AC1371" i="14" s="1"/>
  <c r="AM1371" i="14"/>
  <c r="AO1371" i="14" s="1"/>
  <c r="AQ1371" i="14" s="1"/>
  <c r="AS1295" i="14"/>
  <c r="AS1242" i="14"/>
  <c r="AS1232" i="14"/>
  <c r="AS1271" i="14"/>
  <c r="AS1249" i="14"/>
  <c r="AP1261" i="14"/>
  <c r="AS1261" i="14" s="1"/>
  <c r="AS1258" i="14"/>
  <c r="AS1289" i="14"/>
  <c r="AS1241" i="14"/>
  <c r="AS1386" i="14"/>
  <c r="AS1332" i="14"/>
  <c r="AS1402" i="14"/>
  <c r="AS1369" i="14"/>
  <c r="AS1252" i="14"/>
  <c r="AS1331" i="14"/>
  <c r="AS1231" i="14"/>
  <c r="AS1365" i="14"/>
  <c r="AS1270" i="14"/>
  <c r="AS1240" i="14"/>
  <c r="AS1233" i="14"/>
  <c r="AS1415" i="14"/>
  <c r="AS1277" i="14"/>
  <c r="AS1285" i="14"/>
  <c r="AS1272" i="14"/>
  <c r="AS1364" i="14"/>
  <c r="AS1420" i="14"/>
  <c r="AS1262" i="14"/>
  <c r="AS1239" i="14"/>
  <c r="BK1428" i="14"/>
  <c r="AK1399" i="14"/>
  <c r="AM1399" i="14"/>
  <c r="AE1399" i="14"/>
  <c r="AC1399" i="14" s="1"/>
  <c r="AO1229" i="14"/>
  <c r="AR1229" i="14" s="1"/>
  <c r="AP1229" i="14"/>
  <c r="AS1229" i="14" s="1"/>
  <c r="BK1229" i="14"/>
  <c r="AN1355" i="14"/>
  <c r="AL1355" i="14"/>
  <c r="AB1355" i="14"/>
  <c r="AI1288" i="14"/>
  <c r="AA1288" i="14" s="1"/>
  <c r="AD1288" i="14" s="1"/>
  <c r="AC1288" i="14" s="1"/>
  <c r="AN1274" i="14"/>
  <c r="AP1274" i="14" s="1"/>
  <c r="AI1274" i="14"/>
  <c r="AA1274" i="14" s="1"/>
  <c r="AD1274" i="14" s="1"/>
  <c r="AC1274" i="14" s="1"/>
  <c r="AL1288" i="14"/>
  <c r="AP1288" i="14" s="1"/>
  <c r="AP1286" i="14"/>
  <c r="AS1286" i="14" s="1"/>
  <c r="AM1230" i="14"/>
  <c r="AK1230" i="14"/>
  <c r="BK1286" i="14"/>
  <c r="AL1422" i="14"/>
  <c r="AP1422" i="14" s="1"/>
  <c r="AI1422" i="14"/>
  <c r="AA1422" i="14" s="1"/>
  <c r="AD1422" i="14" s="1"/>
  <c r="AO1426" i="14"/>
  <c r="AR1426" i="14" s="1"/>
  <c r="AP1426" i="14"/>
  <c r="AS1426" i="14" s="1"/>
  <c r="AM1288" i="14"/>
  <c r="AK1288" i="14"/>
  <c r="BK1426" i="14"/>
  <c r="AB1286" i="14"/>
  <c r="AL1395" i="14"/>
  <c r="AI1368" i="14"/>
  <c r="AA1368" i="14" s="1"/>
  <c r="AD1368" i="14" s="1"/>
  <c r="AC1368" i="14" s="1"/>
  <c r="AI1230" i="14"/>
  <c r="AA1230" i="14" s="1"/>
  <c r="AD1230" i="14" s="1"/>
  <c r="AC1230" i="14" s="1"/>
  <c r="AI1389" i="14"/>
  <c r="AA1389" i="14" s="1"/>
  <c r="AD1389" i="14" s="1"/>
  <c r="AC1389" i="14" s="1"/>
  <c r="AL1230" i="14"/>
  <c r="AP1230" i="14" s="1"/>
  <c r="AB1395" i="14"/>
  <c r="AO1395" i="14"/>
  <c r="AR1395" i="14" s="1"/>
  <c r="AP1315" i="14"/>
  <c r="AS1315" i="14" s="1"/>
  <c r="AN1395" i="14"/>
  <c r="AM1363" i="14"/>
  <c r="AK1363" i="14"/>
  <c r="BK1308" i="14"/>
  <c r="AB1241" i="14"/>
  <c r="AL1389" i="14"/>
  <c r="AP1389" i="14" s="1"/>
  <c r="BK1270" i="14"/>
  <c r="AB1331" i="14"/>
  <c r="AL1368" i="14"/>
  <c r="AP1368" i="14" s="1"/>
  <c r="AB1270" i="14"/>
  <c r="AO1241" i="14"/>
  <c r="AR1241" i="14" s="1"/>
  <c r="BK1241" i="14"/>
  <c r="AO1267" i="14"/>
  <c r="AR1267" i="14" s="1"/>
  <c r="AB1257" i="14"/>
  <c r="BK1242" i="14"/>
  <c r="AM1315" i="14"/>
  <c r="AO1315" i="14" s="1"/>
  <c r="AI1412" i="14"/>
  <c r="AA1412" i="14" s="1"/>
  <c r="AD1412" i="14" s="1"/>
  <c r="AC1412" i="14" s="1"/>
  <c r="AB1308" i="14"/>
  <c r="AB1242" i="14"/>
  <c r="AL1412" i="14"/>
  <c r="AP1412" i="14" s="1"/>
  <c r="AJ1315" i="14"/>
  <c r="Z1315" i="14" s="1"/>
  <c r="AE1315" i="14" s="1"/>
  <c r="AC1315" i="14" s="1"/>
  <c r="AB1363" i="14"/>
  <c r="AE1331" i="14"/>
  <c r="AC1331" i="14" s="1"/>
  <c r="AK1331" i="14"/>
  <c r="AM1331" i="14"/>
  <c r="AM1368" i="14"/>
  <c r="AL1388" i="14"/>
  <c r="AP1388" i="14" s="1"/>
  <c r="AK1368" i="14"/>
  <c r="AI1388" i="14"/>
  <c r="AA1388" i="14" s="1"/>
  <c r="AD1388" i="14" s="1"/>
  <c r="AC1388" i="14" s="1"/>
  <c r="AO1242" i="14"/>
  <c r="AQ1242" i="14" s="1"/>
  <c r="AO1383" i="14"/>
  <c r="AR1383" i="14" s="1"/>
  <c r="AN1326" i="14"/>
  <c r="AB1289" i="14"/>
  <c r="AM1341" i="14"/>
  <c r="AL1326" i="14"/>
  <c r="AO1270" i="14"/>
  <c r="AR1270" i="14" s="1"/>
  <c r="AK1257" i="14"/>
  <c r="AM1257" i="14"/>
  <c r="AB1326" i="14"/>
  <c r="AB1277" i="14"/>
  <c r="AM1412" i="14"/>
  <c r="AK1412" i="14"/>
  <c r="AK1341" i="14"/>
  <c r="AE1326" i="14"/>
  <c r="AC1326" i="14" s="1"/>
  <c r="AM1326" i="14"/>
  <c r="AK1326" i="14"/>
  <c r="BK1252" i="14"/>
  <c r="AB1341" i="14"/>
  <c r="AB1415" i="14"/>
  <c r="AN1329" i="14"/>
  <c r="AP1329" i="14" s="1"/>
  <c r="AE1415" i="14"/>
  <c r="AC1415" i="14" s="1"/>
  <c r="BK1415" i="14"/>
  <c r="AE1289" i="14"/>
  <c r="AC1289" i="14" s="1"/>
  <c r="AM1289" i="14"/>
  <c r="AO1386" i="14"/>
  <c r="AQ1386" i="14" s="1"/>
  <c r="AO1252" i="14"/>
  <c r="AQ1252" i="14" s="1"/>
  <c r="AB1252" i="14"/>
  <c r="AK1289" i="14"/>
  <c r="AO1233" i="14"/>
  <c r="AR1233" i="14" s="1"/>
  <c r="AI1329" i="14"/>
  <c r="AA1329" i="14" s="1"/>
  <c r="AD1329" i="14" s="1"/>
  <c r="AC1329" i="14" s="1"/>
  <c r="BK1277" i="14"/>
  <c r="AL1341" i="14"/>
  <c r="BK1233" i="14"/>
  <c r="AB1249" i="14"/>
  <c r="AK1422" i="14"/>
  <c r="AO1422" i="14" s="1"/>
  <c r="AN1341" i="14"/>
  <c r="AL1267" i="14"/>
  <c r="AB1267" i="14"/>
  <c r="AN1267" i="14"/>
  <c r="AK1398" i="14"/>
  <c r="AJ1228" i="14"/>
  <c r="Z1228" i="14" s="1"/>
  <c r="AE1228" i="14" s="1"/>
  <c r="AC1228" i="14" s="1"/>
  <c r="AK1228" i="14"/>
  <c r="AO1228" i="14" s="1"/>
  <c r="AE1398" i="14"/>
  <c r="AC1398" i="14" s="1"/>
  <c r="AO1277" i="14"/>
  <c r="AR1277" i="14" s="1"/>
  <c r="BK1386" i="14"/>
  <c r="AM1388" i="14"/>
  <c r="AK1388" i="14"/>
  <c r="AP1228" i="14"/>
  <c r="AS1228" i="14" s="1"/>
  <c r="AM1398" i="14"/>
  <c r="AJ1422" i="14"/>
  <c r="Z1422" i="14" s="1"/>
  <c r="AE1422" i="14" s="1"/>
  <c r="AP1257" i="14"/>
  <c r="AS1257" i="14" s="1"/>
  <c r="AP1398" i="14"/>
  <c r="AS1398" i="14" s="1"/>
  <c r="AL1425" i="14"/>
  <c r="AM1258" i="14"/>
  <c r="AB1258" i="14"/>
  <c r="AK1258" i="14"/>
  <c r="AB1425" i="14"/>
  <c r="AI1383" i="14"/>
  <c r="AA1383" i="14" s="1"/>
  <c r="AD1383" i="14" s="1"/>
  <c r="AC1383" i="14" s="1"/>
  <c r="AN1425" i="14"/>
  <c r="AL1383" i="14"/>
  <c r="AP1383" i="14" s="1"/>
  <c r="AB1386" i="14"/>
  <c r="AJ1239" i="14"/>
  <c r="Z1239" i="14" s="1"/>
  <c r="AB1239" i="14" s="1"/>
  <c r="AM1362" i="14"/>
  <c r="AK1269" i="14"/>
  <c r="AO1269" i="14" s="1"/>
  <c r="AK1239" i="14"/>
  <c r="AO1239" i="14" s="1"/>
  <c r="AE1249" i="14"/>
  <c r="AC1249" i="14" s="1"/>
  <c r="AJ1269" i="14"/>
  <c r="Z1269" i="14" s="1"/>
  <c r="AE1269" i="14" s="1"/>
  <c r="AC1269" i="14" s="1"/>
  <c r="AI1362" i="14"/>
  <c r="AA1362" i="14" s="1"/>
  <c r="AD1362" i="14" s="1"/>
  <c r="AC1362" i="14" s="1"/>
  <c r="AN1362" i="14"/>
  <c r="AP1362" i="14" s="1"/>
  <c r="AK1362" i="14"/>
  <c r="AO1303" i="14"/>
  <c r="AR1303" i="14" s="1"/>
  <c r="BN1303" i="14" s="1"/>
  <c r="AO1305" i="14"/>
  <c r="AR1305" i="14" s="1"/>
  <c r="AK1249" i="14"/>
  <c r="AM1249" i="14"/>
  <c r="AB1305" i="14"/>
  <c r="AP1316" i="14"/>
  <c r="AS1316" i="14" s="1"/>
  <c r="AL1305" i="14"/>
  <c r="AN1305" i="14"/>
  <c r="AP1335" i="14"/>
  <c r="AS1335" i="14" s="1"/>
  <c r="AO1377" i="14"/>
  <c r="AR1377" i="14" s="1"/>
  <c r="BN1377" i="14" s="1"/>
  <c r="AO1335" i="14"/>
  <c r="AR1335" i="14" s="1"/>
  <c r="AB1392" i="14"/>
  <c r="BK1359" i="14"/>
  <c r="AO1278" i="14"/>
  <c r="AR1278" i="14" s="1"/>
  <c r="AP1348" i="14"/>
  <c r="AS1348" i="14" s="1"/>
  <c r="AP1359" i="14"/>
  <c r="AS1359" i="14" s="1"/>
  <c r="AO1262" i="14"/>
  <c r="AR1262" i="14" s="1"/>
  <c r="AM1316" i="14"/>
  <c r="AM1394" i="14"/>
  <c r="AK1394" i="14"/>
  <c r="AB1394" i="14"/>
  <c r="AO1403" i="14"/>
  <c r="AR1403" i="14" s="1"/>
  <c r="AK1419" i="14"/>
  <c r="AM1419" i="14"/>
  <c r="AP1421" i="14"/>
  <c r="AS1421" i="14" s="1"/>
  <c r="BK1335" i="14"/>
  <c r="AK1316" i="14"/>
  <c r="AP1394" i="14"/>
  <c r="AS1394" i="14" s="1"/>
  <c r="AE1316" i="14"/>
  <c r="AC1316" i="14" s="1"/>
  <c r="BK1262" i="14"/>
  <c r="AB1233" i="14"/>
  <c r="AB1348" i="14"/>
  <c r="AN1298" i="14"/>
  <c r="AB1298" i="14"/>
  <c r="AL1298" i="14"/>
  <c r="AM1348" i="14"/>
  <c r="AK1348" i="14"/>
  <c r="AO1263" i="14"/>
  <c r="AQ1263" i="14" s="1"/>
  <c r="AP1269" i="14"/>
  <c r="AJ1365" i="14"/>
  <c r="Z1365" i="14" s="1"/>
  <c r="AB1365" i="14" s="1"/>
  <c r="AM1365" i="14"/>
  <c r="AO1365" i="14" s="1"/>
  <c r="AK1378" i="14"/>
  <c r="AO1378" i="14" s="1"/>
  <c r="AB1262" i="14"/>
  <c r="AB1393" i="14"/>
  <c r="AL1393" i="14"/>
  <c r="AN1393" i="14"/>
  <c r="AK1369" i="14"/>
  <c r="AO1369" i="14" s="1"/>
  <c r="AQ1369" i="14" s="1"/>
  <c r="AB1419" i="14"/>
  <c r="AK1364" i="14"/>
  <c r="AL1419" i="14"/>
  <c r="AO1393" i="14"/>
  <c r="AR1393" i="14" s="1"/>
  <c r="AJ1359" i="14"/>
  <c r="Z1359" i="14" s="1"/>
  <c r="AM1359" i="14"/>
  <c r="AK1359" i="14"/>
  <c r="AP1403" i="14"/>
  <c r="AS1403" i="14" s="1"/>
  <c r="BK1403" i="14"/>
  <c r="BK1272" i="14"/>
  <c r="AN1282" i="14"/>
  <c r="AP1282" i="14" s="1"/>
  <c r="AP1321" i="14"/>
  <c r="AS1321" i="14" s="1"/>
  <c r="AB1364" i="14"/>
  <c r="AN1419" i="14"/>
  <c r="AJ1378" i="14"/>
  <c r="Z1378" i="14" s="1"/>
  <c r="AE1378" i="14" s="1"/>
  <c r="AB1367" i="14"/>
  <c r="AJ1369" i="14"/>
  <c r="Z1369" i="14" s="1"/>
  <c r="AE1369" i="14" s="1"/>
  <c r="AC1369" i="14" s="1"/>
  <c r="AM1364" i="14"/>
  <c r="AK1282" i="14"/>
  <c r="AB1272" i="14"/>
  <c r="AB1232" i="14"/>
  <c r="AB1421" i="14"/>
  <c r="AM1421" i="14"/>
  <c r="AK1421" i="14"/>
  <c r="AM1282" i="14"/>
  <c r="AI1282" i="14"/>
  <c r="AA1282" i="14" s="1"/>
  <c r="AD1282" i="14" s="1"/>
  <c r="AC1282" i="14" s="1"/>
  <c r="AB1321" i="14"/>
  <c r="AO1232" i="14"/>
  <c r="AR1232" i="14" s="1"/>
  <c r="AB1271" i="14"/>
  <c r="AI1246" i="14"/>
  <c r="AA1246" i="14" s="1"/>
  <c r="AD1246" i="14" s="1"/>
  <c r="AC1246" i="14" s="1"/>
  <c r="AI1378" i="14"/>
  <c r="AA1378" i="14" s="1"/>
  <c r="AL1378" i="14"/>
  <c r="AN1378" i="14"/>
  <c r="AM1321" i="14"/>
  <c r="AK1321" i="14"/>
  <c r="AN1251" i="14"/>
  <c r="AL1251" i="14"/>
  <c r="AI1251" i="14"/>
  <c r="AA1251" i="14" s="1"/>
  <c r="AD1251" i="14" s="1"/>
  <c r="AJ1251" i="14"/>
  <c r="Z1251" i="14" s="1"/>
  <c r="AM1251" i="14"/>
  <c r="AK1251" i="14"/>
  <c r="BK1400" i="14"/>
  <c r="BK1251" i="14"/>
  <c r="AL1246" i="14"/>
  <c r="AP1246" i="14" s="1"/>
  <c r="AP1278" i="14"/>
  <c r="AS1278" i="14" s="1"/>
  <c r="AN1375" i="14"/>
  <c r="AP1375" i="14" s="1"/>
  <c r="AQ1375" i="14" s="1"/>
  <c r="AI1375" i="14"/>
  <c r="AA1375" i="14" s="1"/>
  <c r="AD1375" i="14" s="1"/>
  <c r="AC1375" i="14" s="1"/>
  <c r="AB1420" i="14"/>
  <c r="AN1302" i="14"/>
  <c r="AL1302" i="14"/>
  <c r="AI1302" i="14"/>
  <c r="AA1302" i="14" s="1"/>
  <c r="AD1302" i="14" s="1"/>
  <c r="AJ1334" i="14"/>
  <c r="Z1334" i="14" s="1"/>
  <c r="AB1334" i="14" s="1"/>
  <c r="BK1302" i="14"/>
  <c r="AJ1400" i="14"/>
  <c r="Z1400" i="14" s="1"/>
  <c r="AM1400" i="14"/>
  <c r="AK1400" i="14"/>
  <c r="AB1416" i="14"/>
  <c r="AM1334" i="14"/>
  <c r="AO1334" i="14" s="1"/>
  <c r="AJ1302" i="14"/>
  <c r="Z1302" i="14" s="1"/>
  <c r="AK1302" i="14"/>
  <c r="AM1302" i="14"/>
  <c r="AL1400" i="14"/>
  <c r="AI1400" i="14"/>
  <c r="AA1400" i="14" s="1"/>
  <c r="AD1400" i="14" s="1"/>
  <c r="AN1400" i="14"/>
  <c r="AP1418" i="14"/>
  <c r="AS1418" i="14" s="1"/>
  <c r="AB1285" i="14"/>
  <c r="AB1231" i="14"/>
  <c r="AL1283" i="14"/>
  <c r="AK1265" i="14"/>
  <c r="AM1265" i="14"/>
  <c r="BK1420" i="14"/>
  <c r="BK1332" i="14"/>
  <c r="BK1240" i="14"/>
  <c r="BK1416" i="14"/>
  <c r="AN1283" i="14"/>
  <c r="AO1245" i="14"/>
  <c r="AR1245" i="14" s="1"/>
  <c r="AB1245" i="14"/>
  <c r="AL1245" i="14"/>
  <c r="AO1256" i="14"/>
  <c r="AQ1256" i="14" s="1"/>
  <c r="AB1240" i="14"/>
  <c r="AN1245" i="14"/>
  <c r="AB1295" i="14"/>
  <c r="AB1283" i="14"/>
  <c r="AK1295" i="14"/>
  <c r="AN1334" i="14"/>
  <c r="AM1295" i="14"/>
  <c r="AL1334" i="14"/>
  <c r="AB1265" i="14"/>
  <c r="AO1414" i="14"/>
  <c r="AQ1414" i="14" s="1"/>
  <c r="AB1402" i="14"/>
  <c r="BK1417" i="14"/>
  <c r="AP1416" i="14"/>
  <c r="AS1416" i="14" s="1"/>
  <c r="AB1332" i="14"/>
  <c r="BK1418" i="14"/>
  <c r="BK1293" i="14"/>
  <c r="AO1271" i="14"/>
  <c r="AR1271" i="14" s="1"/>
  <c r="AL1292" i="14"/>
  <c r="AI1292" i="14"/>
  <c r="AA1292" i="14" s="1"/>
  <c r="AD1292" i="14" s="1"/>
  <c r="AN1292" i="14"/>
  <c r="BK1292" i="14"/>
  <c r="AJ1292" i="14"/>
  <c r="Z1292" i="14" s="1"/>
  <c r="AM1292" i="14"/>
  <c r="AK1292" i="14"/>
  <c r="BK1234" i="14"/>
  <c r="BK1407" i="14"/>
  <c r="AM1372" i="14"/>
  <c r="AJ1372" i="14"/>
  <c r="Z1372" i="14" s="1"/>
  <c r="AK1372" i="14"/>
  <c r="BK1372" i="14"/>
  <c r="AL1304" i="14"/>
  <c r="AI1304" i="14"/>
  <c r="AA1304" i="14" s="1"/>
  <c r="AD1304" i="14" s="1"/>
  <c r="AN1304" i="14"/>
  <c r="AJ1417" i="14"/>
  <c r="Z1417" i="14" s="1"/>
  <c r="AE1417" i="14" s="1"/>
  <c r="AM1417" i="14"/>
  <c r="AK1417" i="14"/>
  <c r="AM1304" i="14"/>
  <c r="AJ1304" i="14"/>
  <c r="Z1304" i="14" s="1"/>
  <c r="AK1304" i="14"/>
  <c r="BK1304" i="14"/>
  <c r="BK1379" i="14"/>
  <c r="AL1372" i="14"/>
  <c r="AI1372" i="14"/>
  <c r="AA1372" i="14" s="1"/>
  <c r="AD1372" i="14" s="1"/>
  <c r="AN1372" i="14"/>
  <c r="BK1413" i="14"/>
  <c r="AI1234" i="14"/>
  <c r="AA1234" i="14" s="1"/>
  <c r="AD1234" i="14" s="1"/>
  <c r="AL1234" i="14"/>
  <c r="AN1234" i="14"/>
  <c r="BK1281" i="14"/>
  <c r="BK1340" i="14"/>
  <c r="BK1384" i="14"/>
  <c r="BK1373" i="14"/>
  <c r="BK1244" i="14"/>
  <c r="BK1280" i="14"/>
  <c r="AM1345" i="14"/>
  <c r="AK1345" i="14"/>
  <c r="AJ1345" i="14"/>
  <c r="Z1345" i="14" s="1"/>
  <c r="AL1345" i="14"/>
  <c r="AI1345" i="14"/>
  <c r="AA1345" i="14" s="1"/>
  <c r="AD1345" i="14" s="1"/>
  <c r="AN1345" i="14"/>
  <c r="AJ1418" i="14"/>
  <c r="Z1418" i="14" s="1"/>
  <c r="AK1418" i="14"/>
  <c r="AM1418" i="14"/>
  <c r="AM1234" i="14"/>
  <c r="AJ1234" i="14"/>
  <c r="Z1234" i="14" s="1"/>
  <c r="AK1234" i="14"/>
  <c r="BK1411" i="14"/>
  <c r="BK1345" i="14"/>
  <c r="BK1381" i="14"/>
  <c r="BK1387" i="14"/>
  <c r="BK1273" i="14"/>
  <c r="AM1244" i="14"/>
  <c r="AK1244" i="14"/>
  <c r="AJ1244" i="14"/>
  <c r="Z1244" i="14" s="1"/>
  <c r="AJ1387" i="14"/>
  <c r="Z1387" i="14" s="1"/>
  <c r="AK1387" i="14"/>
  <c r="AM1387" i="14"/>
  <c r="AJ1281" i="14"/>
  <c r="Z1281" i="14" s="1"/>
  <c r="AK1281" i="14"/>
  <c r="AM1281" i="14"/>
  <c r="AJ1358" i="14"/>
  <c r="Z1358" i="14" s="1"/>
  <c r="AM1358" i="14"/>
  <c r="AK1358" i="14"/>
  <c r="AM1273" i="14"/>
  <c r="AK1273" i="14"/>
  <c r="AJ1273" i="14"/>
  <c r="Z1273" i="14" s="1"/>
  <c r="AJ1291" i="14"/>
  <c r="Z1291" i="14" s="1"/>
  <c r="AK1291" i="14"/>
  <c r="AM1291" i="14"/>
  <c r="AK1280" i="14"/>
  <c r="AM1280" i="14"/>
  <c r="AJ1280" i="14"/>
  <c r="Z1280" i="14" s="1"/>
  <c r="AL1387" i="14"/>
  <c r="AN1387" i="14"/>
  <c r="AI1387" i="14"/>
  <c r="AA1387" i="14" s="1"/>
  <c r="AD1387" i="14" s="1"/>
  <c r="AJ1381" i="14"/>
  <c r="Z1381" i="14" s="1"/>
  <c r="AK1381" i="14"/>
  <c r="AM1381" i="14"/>
  <c r="AI1235" i="14"/>
  <c r="AA1235" i="14" s="1"/>
  <c r="AD1235" i="14" s="1"/>
  <c r="AN1235" i="14"/>
  <c r="AL1235" i="14"/>
  <c r="AM1407" i="14"/>
  <c r="AK1407" i="14"/>
  <c r="AJ1407" i="14"/>
  <c r="Z1407" i="14" s="1"/>
  <c r="AJ1351" i="14"/>
  <c r="Z1351" i="14" s="1"/>
  <c r="AK1351" i="14"/>
  <c r="AM1351" i="14"/>
  <c r="AI1324" i="14"/>
  <c r="AA1324" i="14" s="1"/>
  <c r="AD1324" i="14" s="1"/>
  <c r="AN1324" i="14"/>
  <c r="AL1324" i="14"/>
  <c r="AJ1411" i="14"/>
  <c r="Z1411" i="14" s="1"/>
  <c r="AM1411" i="14"/>
  <c r="AK1411" i="14"/>
  <c r="BK1296" i="14"/>
  <c r="BK1236" i="14"/>
  <c r="AN1322" i="14"/>
  <c r="AL1322" i="14"/>
  <c r="AI1322" i="14"/>
  <c r="AA1322" i="14" s="1"/>
  <c r="AD1322" i="14" s="1"/>
  <c r="BK1351" i="14"/>
  <c r="AN1391" i="14"/>
  <c r="AI1391" i="14"/>
  <c r="AA1391" i="14" s="1"/>
  <c r="AD1391" i="14" s="1"/>
  <c r="AL1391" i="14"/>
  <c r="AL1351" i="14"/>
  <c r="AI1351" i="14"/>
  <c r="AA1351" i="14" s="1"/>
  <c r="AD1351" i="14" s="1"/>
  <c r="AN1351" i="14"/>
  <c r="AL1273" i="14"/>
  <c r="AN1273" i="14"/>
  <c r="AI1273" i="14"/>
  <c r="AA1273" i="14" s="1"/>
  <c r="AD1273" i="14" s="1"/>
  <c r="AN1291" i="14"/>
  <c r="AL1291" i="14"/>
  <c r="AI1291" i="14"/>
  <c r="AA1291" i="14" s="1"/>
  <c r="AD1291" i="14" s="1"/>
  <c r="AJ1296" i="14"/>
  <c r="Z1296" i="14" s="1"/>
  <c r="AM1296" i="14"/>
  <c r="AK1296" i="14"/>
  <c r="AJ1236" i="14"/>
  <c r="Z1236" i="14" s="1"/>
  <c r="AM1236" i="14"/>
  <c r="AK1236" i="14"/>
  <c r="AJ1391" i="14"/>
  <c r="Z1391" i="14" s="1"/>
  <c r="AK1391" i="14"/>
  <c r="AM1391" i="14"/>
  <c r="AN1407" i="14"/>
  <c r="AI1407" i="14"/>
  <c r="AA1407" i="14" s="1"/>
  <c r="AD1407" i="14" s="1"/>
  <c r="AL1407" i="14"/>
  <c r="AI1373" i="14"/>
  <c r="AA1373" i="14" s="1"/>
  <c r="AD1373" i="14" s="1"/>
  <c r="AL1373" i="14"/>
  <c r="AN1373" i="14"/>
  <c r="AL1253" i="14"/>
  <c r="AI1253" i="14"/>
  <c r="AA1253" i="14" s="1"/>
  <c r="AD1253" i="14" s="1"/>
  <c r="AN1253" i="14"/>
  <c r="AI1417" i="14"/>
  <c r="AA1417" i="14" s="1"/>
  <c r="AL1417" i="14"/>
  <c r="AN1417" i="14"/>
  <c r="AM1413" i="14"/>
  <c r="AK1413" i="14"/>
  <c r="AJ1413" i="14"/>
  <c r="Z1413" i="14" s="1"/>
  <c r="AJ1287" i="14"/>
  <c r="Z1287" i="14" s="1"/>
  <c r="AM1287" i="14"/>
  <c r="AK1287" i="14"/>
  <c r="BK1391" i="14"/>
  <c r="AL1411" i="14"/>
  <c r="AN1411" i="14"/>
  <c r="AI1411" i="14"/>
  <c r="AA1411" i="14" s="1"/>
  <c r="AD1411" i="14" s="1"/>
  <c r="BK1287" i="14"/>
  <c r="AN1244" i="14"/>
  <c r="AL1244" i="14"/>
  <c r="AI1244" i="14"/>
  <c r="AA1244" i="14" s="1"/>
  <c r="AD1244" i="14" s="1"/>
  <c r="AL1330" i="14"/>
  <c r="AN1330" i="14"/>
  <c r="AI1330" i="14"/>
  <c r="AA1330" i="14" s="1"/>
  <c r="AD1330" i="14" s="1"/>
  <c r="AN1236" i="14"/>
  <c r="AL1236" i="14"/>
  <c r="AI1236" i="14"/>
  <c r="AA1236" i="14" s="1"/>
  <c r="AD1236" i="14" s="1"/>
  <c r="BK1322" i="14"/>
  <c r="AI1390" i="14"/>
  <c r="AA1390" i="14" s="1"/>
  <c r="AD1390" i="14" s="1"/>
  <c r="AN1390" i="14"/>
  <c r="AL1390" i="14"/>
  <c r="BK1361" i="14"/>
  <c r="AI1361" i="14"/>
  <c r="AA1361" i="14" s="1"/>
  <c r="AD1361" i="14" s="1"/>
  <c r="AN1361" i="14"/>
  <c r="AL1361" i="14"/>
  <c r="AK1340" i="14"/>
  <c r="AM1340" i="14"/>
  <c r="AJ1340" i="14"/>
  <c r="Z1340" i="14" s="1"/>
  <c r="BK1396" i="14"/>
  <c r="AI1413" i="14"/>
  <c r="AA1413" i="14" s="1"/>
  <c r="AD1413" i="14" s="1"/>
  <c r="AN1413" i="14"/>
  <c r="AL1413" i="14"/>
  <c r="AJ1330" i="14"/>
  <c r="Z1330" i="14" s="1"/>
  <c r="AM1330" i="14"/>
  <c r="AK1330" i="14"/>
  <c r="AM1322" i="14"/>
  <c r="AJ1322" i="14"/>
  <c r="Z1322" i="14" s="1"/>
  <c r="AK1322" i="14"/>
  <c r="AJ1312" i="14"/>
  <c r="Z1312" i="14" s="1"/>
  <c r="AK1312" i="14"/>
  <c r="AM1312" i="14"/>
  <c r="AJ1361" i="14"/>
  <c r="Z1361" i="14" s="1"/>
  <c r="AM1361" i="14"/>
  <c r="AK1361" i="14"/>
  <c r="AN1280" i="14"/>
  <c r="AL1280" i="14"/>
  <c r="AI1280" i="14"/>
  <c r="AA1280" i="14" s="1"/>
  <c r="AD1280" i="14" s="1"/>
  <c r="AJ1396" i="14"/>
  <c r="Z1396" i="14" s="1"/>
  <c r="AM1396" i="14"/>
  <c r="AK1396" i="14"/>
  <c r="AL1340" i="14"/>
  <c r="AN1340" i="14"/>
  <c r="AI1340" i="14"/>
  <c r="AA1340" i="14" s="1"/>
  <c r="AD1340" i="14" s="1"/>
  <c r="BK1330" i="14"/>
  <c r="AL1384" i="14"/>
  <c r="AI1384" i="14"/>
  <c r="AA1384" i="14" s="1"/>
  <c r="AD1384" i="14" s="1"/>
  <c r="AN1384" i="14"/>
  <c r="BK1312" i="14"/>
  <c r="AI1287" i="14"/>
  <c r="AA1287" i="14" s="1"/>
  <c r="AD1287" i="14" s="1"/>
  <c r="AL1287" i="14"/>
  <c r="AN1287" i="14"/>
  <c r="AJ1373" i="14"/>
  <c r="Z1373" i="14" s="1"/>
  <c r="AK1373" i="14"/>
  <c r="AM1373" i="14"/>
  <c r="BK1324" i="14"/>
  <c r="BK1390" i="14"/>
  <c r="AM1294" i="14"/>
  <c r="AK1294" i="14"/>
  <c r="AJ1294" i="14"/>
  <c r="Z1294" i="14" s="1"/>
  <c r="AM1410" i="14"/>
  <c r="AJ1410" i="14"/>
  <c r="Z1410" i="14" s="1"/>
  <c r="AK1410" i="14"/>
  <c r="AL1281" i="14"/>
  <c r="AN1281" i="14"/>
  <c r="AI1281" i="14"/>
  <c r="AA1281" i="14" s="1"/>
  <c r="AD1281" i="14" s="1"/>
  <c r="AJ1324" i="14"/>
  <c r="Z1324" i="14" s="1"/>
  <c r="AM1324" i="14"/>
  <c r="AK1324" i="14"/>
  <c r="AL1396" i="14"/>
  <c r="AN1396" i="14"/>
  <c r="AI1396" i="14"/>
  <c r="AA1396" i="14" s="1"/>
  <c r="AD1396" i="14" s="1"/>
  <c r="AJ1384" i="14"/>
  <c r="Z1384" i="14" s="1"/>
  <c r="AM1384" i="14"/>
  <c r="AK1384" i="14"/>
  <c r="AJ1390" i="14"/>
  <c r="Z1390" i="14" s="1"/>
  <c r="AK1390" i="14"/>
  <c r="AM1390" i="14"/>
  <c r="AL1410" i="14"/>
  <c r="AN1410" i="14"/>
  <c r="AI1410" i="14"/>
  <c r="AA1410" i="14" s="1"/>
  <c r="AD1410" i="14" s="1"/>
  <c r="BK1294" i="14"/>
  <c r="BK1410" i="14"/>
  <c r="AJ1379" i="14"/>
  <c r="Z1379" i="14" s="1"/>
  <c r="AM1379" i="14"/>
  <c r="AK1379" i="14"/>
  <c r="AL1294" i="14"/>
  <c r="AN1294" i="14"/>
  <c r="AI1294" i="14"/>
  <c r="AA1294" i="14" s="1"/>
  <c r="AD1294" i="14" s="1"/>
  <c r="AN1296" i="14"/>
  <c r="AI1296" i="14"/>
  <c r="AA1296" i="14" s="1"/>
  <c r="AD1296" i="14" s="1"/>
  <c r="AL1296" i="14"/>
  <c r="AL1381" i="14"/>
  <c r="AN1381" i="14"/>
  <c r="AI1381" i="14"/>
  <c r="AA1381" i="14" s="1"/>
  <c r="AD1381" i="14" s="1"/>
  <c r="AN1312" i="14"/>
  <c r="AL1312" i="14"/>
  <c r="AI1312" i="14"/>
  <c r="AA1312" i="14" s="1"/>
  <c r="AD1312" i="14" s="1"/>
  <c r="BK1235" i="14"/>
  <c r="AJ1253" i="14"/>
  <c r="Z1253" i="14" s="1"/>
  <c r="AM1253" i="14"/>
  <c r="AK1253" i="14"/>
  <c r="AI1293" i="14"/>
  <c r="AA1293" i="14" s="1"/>
  <c r="AD1293" i="14" s="1"/>
  <c r="AN1293" i="14"/>
  <c r="AL1293" i="14"/>
  <c r="AM1293" i="14"/>
  <c r="AJ1293" i="14"/>
  <c r="Z1293" i="14" s="1"/>
  <c r="AK1293" i="14"/>
  <c r="AK1235" i="14"/>
  <c r="AJ1235" i="14"/>
  <c r="Z1235" i="14" s="1"/>
  <c r="AM1235" i="14"/>
  <c r="BK1358" i="14"/>
  <c r="AI1358" i="14"/>
  <c r="AA1358" i="14" s="1"/>
  <c r="AD1358" i="14" s="1"/>
  <c r="AL1358" i="14"/>
  <c r="AN1358" i="14"/>
  <c r="BK1253" i="14"/>
  <c r="BK1291" i="14"/>
  <c r="AL1379" i="14"/>
  <c r="AI1379" i="14"/>
  <c r="AA1379" i="14" s="1"/>
  <c r="AD1379" i="14" s="1"/>
  <c r="AN1379" i="14"/>
  <c r="AR1355" i="14"/>
  <c r="AR1425" i="14"/>
  <c r="AR1416" i="14"/>
  <c r="AR1338" i="14"/>
  <c r="AR1392" i="14"/>
  <c r="BN1392" i="14" s="1"/>
  <c r="AR1255" i="14"/>
  <c r="AR1307" i="14"/>
  <c r="AR1408" i="14"/>
  <c r="AR1329" i="14"/>
  <c r="AR1404" i="14"/>
  <c r="AR1300" i="14"/>
  <c r="AR1423" i="14"/>
  <c r="BN1423" i="14" s="1"/>
  <c r="AR1337" i="14"/>
  <c r="AR1357" i="14"/>
  <c r="BN1357" i="14" s="1"/>
  <c r="AR1318" i="14"/>
  <c r="AR1286" i="14"/>
  <c r="AR1284" i="14"/>
  <c r="AR1332" i="14"/>
  <c r="AR1231" i="14"/>
  <c r="AR1283" i="14"/>
  <c r="AR1308" i="14"/>
  <c r="AR1297" i="14"/>
  <c r="BN1297" i="14" s="1"/>
  <c r="AR1420" i="14"/>
  <c r="AR1389" i="14"/>
  <c r="AR1246" i="14"/>
  <c r="AR1260" i="14"/>
  <c r="BN1260" i="14" s="1"/>
  <c r="AR1409" i="14"/>
  <c r="BN1409" i="14" s="1"/>
  <c r="AR1285" i="14"/>
  <c r="AR1238" i="14"/>
  <c r="AR1402" i="14"/>
  <c r="AR1274" i="14"/>
  <c r="AR1328" i="14"/>
  <c r="BN1328" i="14" s="1"/>
  <c r="AR1266" i="14"/>
  <c r="AR1276" i="14"/>
  <c r="AR1325" i="14"/>
  <c r="BN1325" i="14" s="1"/>
  <c r="AR1350" i="14"/>
  <c r="AR1375" i="14"/>
  <c r="AR1424" i="14"/>
  <c r="BN1424" i="14" s="1"/>
  <c r="AR1314" i="14"/>
  <c r="AR1240" i="14"/>
  <c r="AR1367" i="14"/>
  <c r="BN1367" i="14" s="1"/>
  <c r="AR1272" i="14"/>
  <c r="AR1309" i="14"/>
  <c r="BN1309" i="14" s="1"/>
  <c r="AR1298" i="14"/>
  <c r="AQ1424" i="14"/>
  <c r="AQ1357" i="14"/>
  <c r="AC1352" i="14"/>
  <c r="AQ1314" i="14"/>
  <c r="AQ1300" i="14"/>
  <c r="AC1409" i="14"/>
  <c r="AC1366" i="14"/>
  <c r="AC1240" i="14"/>
  <c r="AQ1415" i="14"/>
  <c r="AC1256" i="14"/>
  <c r="AC1306" i="14"/>
  <c r="AQ1240" i="14"/>
  <c r="AC1272" i="14"/>
  <c r="AC1307" i="14"/>
  <c r="AQ1272" i="14"/>
  <c r="AC1321" i="14"/>
  <c r="AQ1420" i="14"/>
  <c r="AC1265" i="14"/>
  <c r="AC1357" i="14"/>
  <c r="AQ1297" i="14"/>
  <c r="AQ1285" i="14"/>
  <c r="AQ1309" i="14"/>
  <c r="AC1252" i="14"/>
  <c r="AC1421" i="14"/>
  <c r="AQ1392" i="14"/>
  <c r="AQ1308" i="14"/>
  <c r="AC1426" i="14"/>
  <c r="AQ1231" i="14"/>
  <c r="AQ1332" i="14"/>
  <c r="AQ1423" i="14"/>
  <c r="AQ1338" i="14"/>
  <c r="AQ1328" i="14"/>
  <c r="AC1297" i="14"/>
  <c r="AC1425" i="14"/>
  <c r="AC1367" i="14"/>
  <c r="AC1262" i="14"/>
  <c r="AC1414" i="14"/>
  <c r="AQ1307" i="14"/>
  <c r="AQ1402" i="14"/>
  <c r="AC1406" i="14"/>
  <c r="AC1353" i="14"/>
  <c r="AC1382" i="14"/>
  <c r="AQ1260" i="14"/>
  <c r="AC1301" i="14"/>
  <c r="AC1363" i="14"/>
  <c r="AC1377" i="14"/>
  <c r="AC1408" i="14"/>
  <c r="AC1403" i="14"/>
  <c r="AC1300" i="14"/>
  <c r="AC1258" i="14"/>
  <c r="AC1341" i="14"/>
  <c r="AC1393" i="14"/>
  <c r="AC1283" i="14"/>
  <c r="AC1395" i="14"/>
  <c r="AC1325" i="14"/>
  <c r="AC1284" i="14"/>
  <c r="AC1260" i="14"/>
  <c r="AC1237" i="14"/>
  <c r="AC1420" i="14"/>
  <c r="AC1261" i="14"/>
  <c r="AC1423" i="14"/>
  <c r="AC1335" i="14"/>
  <c r="AP1428" i="14"/>
  <c r="AS1428" i="14" s="1"/>
  <c r="AC1392" i="14"/>
  <c r="AC1263" i="14"/>
  <c r="AC1337" i="14"/>
  <c r="AC1308" i="14"/>
  <c r="AC1347" i="14"/>
  <c r="AC1350" i="14"/>
  <c r="AC1298" i="14"/>
  <c r="AC1386" i="14"/>
  <c r="AC1268" i="14"/>
  <c r="AC1277" i="14"/>
  <c r="AC1295" i="14"/>
  <c r="AC1231" i="14"/>
  <c r="AC1385" i="14"/>
  <c r="AC1424" i="14"/>
  <c r="AC1338" i="14"/>
  <c r="AC1278" i="14"/>
  <c r="AC1404" i="14"/>
  <c r="AC1241" i="14"/>
  <c r="AC1285" i="14"/>
  <c r="AC1267" i="14"/>
  <c r="AC1354" i="14"/>
  <c r="AC1416" i="14"/>
  <c r="AC1401" i="14"/>
  <c r="AC1343" i="14"/>
  <c r="AC1233" i="14"/>
  <c r="AC1402" i="14"/>
  <c r="AC1271" i="14"/>
  <c r="AC1364" i="14"/>
  <c r="AC1332" i="14"/>
  <c r="AC1270" i="14"/>
  <c r="AC1229" i="14"/>
  <c r="AC1257" i="14"/>
  <c r="AC1309" i="14"/>
  <c r="AC1342" i="14"/>
  <c r="AC1303" i="14"/>
  <c r="AC1355" i="14"/>
  <c r="AC1250" i="14"/>
  <c r="AC1314" i="14"/>
  <c r="AC1328" i="14"/>
  <c r="AC1232" i="14"/>
  <c r="AC1286" i="14"/>
  <c r="AO1428" i="14"/>
  <c r="AC1305" i="14"/>
  <c r="AC1323" i="14"/>
  <c r="AC1247" i="14"/>
  <c r="AQ1325" i="14"/>
  <c r="AE1428" i="14"/>
  <c r="AB1428" i="14"/>
  <c r="AC1317" i="14"/>
  <c r="AQ1409" i="14"/>
  <c r="AC1245" i="14"/>
  <c r="AC1348" i="14"/>
  <c r="AC1419" i="14"/>
  <c r="AC1242" i="14"/>
  <c r="AQ1367" i="14"/>
  <c r="AC1394" i="14"/>
  <c r="AC1255" i="14"/>
  <c r="AQ1337" i="14"/>
  <c r="AR1366" i="14" l="1"/>
  <c r="BN1366" i="14" s="1"/>
  <c r="BN1408" i="14"/>
  <c r="AQ1408" i="14"/>
  <c r="AP1284" i="14"/>
  <c r="AS1284" i="14" s="1"/>
  <c r="BN1284" i="14" s="1"/>
  <c r="AO1401" i="14"/>
  <c r="AQ1401" i="14" s="1"/>
  <c r="AO1320" i="14"/>
  <c r="AR1320" i="14" s="1"/>
  <c r="AB1318" i="14"/>
  <c r="AS1318" i="14"/>
  <c r="BN1318" i="14" s="1"/>
  <c r="AR1306" i="14"/>
  <c r="BN1306" i="14" s="1"/>
  <c r="AB1320" i="14"/>
  <c r="AS1320" i="14"/>
  <c r="AQ1313" i="14"/>
  <c r="AO1347" i="14"/>
  <c r="AQ1347" i="14" s="1"/>
  <c r="AS1313" i="14"/>
  <c r="BN1313" i="14" s="1"/>
  <c r="AB1313" i="14"/>
  <c r="AC1299" i="14"/>
  <c r="AS1299" i="14"/>
  <c r="AR1299" i="14"/>
  <c r="AB1299" i="14"/>
  <c r="AQ1299" i="14"/>
  <c r="AO1343" i="14"/>
  <c r="AR1343" i="14" s="1"/>
  <c r="AP1343" i="14"/>
  <c r="AS1343" i="14" s="1"/>
  <c r="AB1266" i="14"/>
  <c r="AS1266" i="14"/>
  <c r="BN1266" i="14" s="1"/>
  <c r="AO1259" i="14"/>
  <c r="AQ1259" i="14" s="1"/>
  <c r="AS1360" i="14"/>
  <c r="AO1360" i="14"/>
  <c r="AR1360" i="14" s="1"/>
  <c r="AB1360" i="14"/>
  <c r="AR1406" i="14"/>
  <c r="BN1406" i="14" s="1"/>
  <c r="AS1327" i="14"/>
  <c r="BN1327" i="14" s="1"/>
  <c r="AQ1336" i="14"/>
  <c r="AO1275" i="14"/>
  <c r="AR1275" i="14" s="1"/>
  <c r="AB1336" i="14"/>
  <c r="AS1336" i="14"/>
  <c r="BN1336" i="14" s="1"/>
  <c r="BN1300" i="14"/>
  <c r="AS1275" i="14"/>
  <c r="AR1356" i="14"/>
  <c r="BN1356" i="14" s="1"/>
  <c r="AB1275" i="14"/>
  <c r="AR1301" i="14"/>
  <c r="BN1301" i="14" s="1"/>
  <c r="AB1356" i="14"/>
  <c r="AR1385" i="14"/>
  <c r="BN1385" i="14" s="1"/>
  <c r="AS1248" i="14"/>
  <c r="BN1248" i="14" s="1"/>
  <c r="AQ1243" i="14"/>
  <c r="AR1237" i="14"/>
  <c r="BN1237" i="14" s="1"/>
  <c r="AS1350" i="14"/>
  <c r="BN1350" i="14" s="1"/>
  <c r="AR1290" i="14"/>
  <c r="BN1290" i="14" s="1"/>
  <c r="AR1247" i="14"/>
  <c r="BN1247" i="14" s="1"/>
  <c r="AS1276" i="14"/>
  <c r="BN1276" i="14" s="1"/>
  <c r="AP1255" i="14"/>
  <c r="AS1255" i="14" s="1"/>
  <c r="BN1255" i="14" s="1"/>
  <c r="AS1243" i="14"/>
  <c r="BN1243" i="14" s="1"/>
  <c r="AB1243" i="14"/>
  <c r="AR1339" i="14"/>
  <c r="AR1254" i="14"/>
  <c r="BN1254" i="14" s="1"/>
  <c r="AR1380" i="14"/>
  <c r="AP1339" i="14"/>
  <c r="AS1339" i="14" s="1"/>
  <c r="AC1380" i="14"/>
  <c r="AQ1380" i="14"/>
  <c r="AS1380" i="14"/>
  <c r="AB1380" i="14"/>
  <c r="AP1405" i="14"/>
  <c r="AS1405" i="14" s="1"/>
  <c r="AR1405" i="14"/>
  <c r="AB1405" i="14"/>
  <c r="BN1382" i="14"/>
  <c r="AQ1382" i="14"/>
  <c r="AO1342" i="14"/>
  <c r="AR1342" i="14" s="1"/>
  <c r="AP1342" i="14"/>
  <c r="AS1342" i="14" s="1"/>
  <c r="AO1346" i="14"/>
  <c r="AR1346" i="14" s="1"/>
  <c r="AO1354" i="14"/>
  <c r="AQ1354" i="14" s="1"/>
  <c r="AB1346" i="14"/>
  <c r="AS1346" i="14"/>
  <c r="BN1307" i="14"/>
  <c r="AQ1254" i="14"/>
  <c r="AO1264" i="14"/>
  <c r="AQ1264" i="14" s="1"/>
  <c r="AB1370" i="14"/>
  <c r="AR1397" i="14"/>
  <c r="AR1370" i="14"/>
  <c r="BN1370" i="14" s="1"/>
  <c r="AR1374" i="14"/>
  <c r="AO1268" i="14"/>
  <c r="AR1268" i="14" s="1"/>
  <c r="BN1268" i="14" s="1"/>
  <c r="AC1374" i="14"/>
  <c r="AB1374" i="14"/>
  <c r="AS1374" i="14"/>
  <c r="AQ1374" i="14"/>
  <c r="AQ1397" i="14"/>
  <c r="AC1397" i="14"/>
  <c r="BN1338" i="14"/>
  <c r="AB1397" i="14"/>
  <c r="AB1427" i="14"/>
  <c r="AR1427" i="14"/>
  <c r="BN1427" i="14" s="1"/>
  <c r="AB1279" i="14"/>
  <c r="AQ1404" i="14"/>
  <c r="AO1250" i="14"/>
  <c r="AQ1250" i="14" s="1"/>
  <c r="BN1337" i="14"/>
  <c r="BN1404" i="14"/>
  <c r="AR1279" i="14"/>
  <c r="BN1279" i="14" s="1"/>
  <c r="AQ1279" i="14"/>
  <c r="AS1397" i="14"/>
  <c r="AO1349" i="14"/>
  <c r="AR1349" i="14" s="1"/>
  <c r="BN1349" i="14" s="1"/>
  <c r="AP1323" i="14"/>
  <c r="AS1323" i="14" s="1"/>
  <c r="BN1323" i="14" s="1"/>
  <c r="AS1238" i="14"/>
  <c r="BN1238" i="14" s="1"/>
  <c r="AO1333" i="14"/>
  <c r="AQ1333" i="14" s="1"/>
  <c r="AB1238" i="14"/>
  <c r="AO1352" i="14"/>
  <c r="AR1352" i="14" s="1"/>
  <c r="BN1352" i="14" s="1"/>
  <c r="AQ1376" i="14"/>
  <c r="AR1311" i="14"/>
  <c r="BN1311" i="14" s="1"/>
  <c r="AR1319" i="14"/>
  <c r="BN1319" i="14" s="1"/>
  <c r="AB1311" i="14"/>
  <c r="AB1376" i="14"/>
  <c r="AS1376" i="14"/>
  <c r="BN1376" i="14" s="1"/>
  <c r="AB1319" i="14"/>
  <c r="AB1327" i="14"/>
  <c r="AQ1344" i="14"/>
  <c r="AS1344" i="14"/>
  <c r="AB1344" i="14"/>
  <c r="AE1344" i="14"/>
  <c r="AC1344" i="14" s="1"/>
  <c r="BN1317" i="14"/>
  <c r="AC1327" i="14"/>
  <c r="AQ1248" i="14"/>
  <c r="AQ1290" i="14"/>
  <c r="AP1310" i="14"/>
  <c r="AS1310" i="14" s="1"/>
  <c r="AP1353" i="14"/>
  <c r="AS1353" i="14" s="1"/>
  <c r="BN1353" i="14" s="1"/>
  <c r="AB1290" i="14"/>
  <c r="AO1310" i="14"/>
  <c r="AE1310" i="14"/>
  <c r="AB1310" i="14"/>
  <c r="AC1248" i="14"/>
  <c r="AC1290" i="14"/>
  <c r="AB1248" i="14"/>
  <c r="BN1232" i="14"/>
  <c r="AC1276" i="14"/>
  <c r="AB1276" i="14"/>
  <c r="BN1314" i="14"/>
  <c r="AQ1327" i="14"/>
  <c r="AQ1317" i="14"/>
  <c r="AO1261" i="14"/>
  <c r="AR1261" i="14" s="1"/>
  <c r="BN1261" i="14" s="1"/>
  <c r="BN1308" i="14"/>
  <c r="AB1371" i="14"/>
  <c r="AR1371" i="14"/>
  <c r="BN1371" i="14" s="1"/>
  <c r="BN1241" i="14"/>
  <c r="AQ1229" i="14"/>
  <c r="AO1399" i="14"/>
  <c r="AQ1399" i="14" s="1"/>
  <c r="BN1233" i="14"/>
  <c r="AR1415" i="14"/>
  <c r="BN1415" i="14" s="1"/>
  <c r="BN1271" i="14"/>
  <c r="AS1383" i="14"/>
  <c r="BN1383" i="14" s="1"/>
  <c r="AQ1286" i="14"/>
  <c r="BN1277" i="14"/>
  <c r="BN1231" i="14"/>
  <c r="BN1272" i="14"/>
  <c r="BN1229" i="14"/>
  <c r="BN1285" i="14"/>
  <c r="BN1420" i="14"/>
  <c r="AS1362" i="14"/>
  <c r="BN1262" i="14"/>
  <c r="BN1332" i="14"/>
  <c r="AS1389" i="14"/>
  <c r="BN1389" i="14" s="1"/>
  <c r="BN1402" i="14"/>
  <c r="AS1282" i="14"/>
  <c r="BN1240" i="14"/>
  <c r="AS1412" i="14"/>
  <c r="AS1246" i="14"/>
  <c r="BN1246" i="14" s="1"/>
  <c r="AS1368" i="14"/>
  <c r="AS1230" i="14"/>
  <c r="AR1378" i="14"/>
  <c r="BN1270" i="14"/>
  <c r="AS1329" i="14"/>
  <c r="BN1329" i="14" s="1"/>
  <c r="AS1274" i="14"/>
  <c r="BN1274" i="14" s="1"/>
  <c r="AR1228" i="14"/>
  <c r="BN1228" i="14" s="1"/>
  <c r="AR1269" i="14"/>
  <c r="AS1422" i="14"/>
  <c r="AR1315" i="14"/>
  <c r="BN1315" i="14" s="1"/>
  <c r="AS1388" i="14"/>
  <c r="AS1288" i="14"/>
  <c r="AP1355" i="14"/>
  <c r="AS1355" i="14" s="1"/>
  <c r="BN1355" i="14" s="1"/>
  <c r="AB1274" i="14"/>
  <c r="AB1288" i="14"/>
  <c r="BN1286" i="14"/>
  <c r="AB1368" i="14"/>
  <c r="AQ1274" i="14"/>
  <c r="AQ1422" i="14"/>
  <c r="AO1230" i="14"/>
  <c r="AR1230" i="14" s="1"/>
  <c r="AC1422" i="14"/>
  <c r="AQ1426" i="14"/>
  <c r="BN1426" i="14"/>
  <c r="AO1288" i="14"/>
  <c r="AQ1288" i="14" s="1"/>
  <c r="AB1230" i="14"/>
  <c r="AB1389" i="14"/>
  <c r="AP1395" i="14"/>
  <c r="AS1395" i="14" s="1"/>
  <c r="BN1395" i="14" s="1"/>
  <c r="AO1363" i="14"/>
  <c r="AQ1363" i="14" s="1"/>
  <c r="AB1412" i="14"/>
  <c r="AQ1389" i="14"/>
  <c r="AP1326" i="14"/>
  <c r="AS1326" i="14" s="1"/>
  <c r="AQ1241" i="14"/>
  <c r="AQ1315" i="14"/>
  <c r="AO1331" i="14"/>
  <c r="AR1331" i="14" s="1"/>
  <c r="BN1331" i="14" s="1"/>
  <c r="AB1388" i="14"/>
  <c r="AR1242" i="14"/>
  <c r="BN1242" i="14" s="1"/>
  <c r="AO1257" i="14"/>
  <c r="AR1257" i="14" s="1"/>
  <c r="BN1257" i="14" s="1"/>
  <c r="AQ1270" i="14"/>
  <c r="AB1315" i="14"/>
  <c r="AO1368" i="14"/>
  <c r="AQ1368" i="14" s="1"/>
  <c r="AR1252" i="14"/>
  <c r="BN1252" i="14" s="1"/>
  <c r="AO1326" i="14"/>
  <c r="AR1326" i="14" s="1"/>
  <c r="AO1412" i="14"/>
  <c r="AR1412" i="14" s="1"/>
  <c r="AO1341" i="14"/>
  <c r="AR1341" i="14" s="1"/>
  <c r="AQ1329" i="14"/>
  <c r="AR1386" i="14"/>
  <c r="BN1386" i="14" s="1"/>
  <c r="AR1422" i="14"/>
  <c r="AP1267" i="14"/>
  <c r="AS1267" i="14" s="1"/>
  <c r="BN1267" i="14" s="1"/>
  <c r="AO1289" i="14"/>
  <c r="AQ1289" i="14" s="1"/>
  <c r="AQ1233" i="14"/>
  <c r="AB1329" i="14"/>
  <c r="AQ1277" i="14"/>
  <c r="AP1341" i="14"/>
  <c r="AS1341" i="14" s="1"/>
  <c r="AO1388" i="14"/>
  <c r="AR1388" i="14" s="1"/>
  <c r="AQ1269" i="14"/>
  <c r="AB1228" i="14"/>
  <c r="AQ1228" i="14"/>
  <c r="AB1383" i="14"/>
  <c r="AO1398" i="14"/>
  <c r="AQ1398" i="14" s="1"/>
  <c r="AB1422" i="14"/>
  <c r="AO1258" i="14"/>
  <c r="AR1258" i="14" s="1"/>
  <c r="BN1258" i="14" s="1"/>
  <c r="AB1269" i="14"/>
  <c r="AP1425" i="14"/>
  <c r="AS1425" i="14" s="1"/>
  <c r="BN1425" i="14" s="1"/>
  <c r="AB1362" i="14"/>
  <c r="AE1239" i="14"/>
  <c r="AC1239" i="14" s="1"/>
  <c r="AQ1383" i="14"/>
  <c r="AQ1239" i="14"/>
  <c r="AO1362" i="14"/>
  <c r="AQ1362" i="14" s="1"/>
  <c r="AQ1303" i="14"/>
  <c r="AO1249" i="14"/>
  <c r="AQ1249" i="14" s="1"/>
  <c r="AO1394" i="14"/>
  <c r="AR1394" i="14" s="1"/>
  <c r="BN1394" i="14" s="1"/>
  <c r="AR1263" i="14"/>
  <c r="BN1263" i="14" s="1"/>
  <c r="AP1305" i="14"/>
  <c r="AS1305" i="14" s="1"/>
  <c r="BN1305" i="14" s="1"/>
  <c r="AQ1377" i="14"/>
  <c r="BN1335" i="14"/>
  <c r="AQ1335" i="14"/>
  <c r="AO1316" i="14"/>
  <c r="AQ1316" i="14" s="1"/>
  <c r="AO1419" i="14"/>
  <c r="AR1419" i="14" s="1"/>
  <c r="AE1365" i="14"/>
  <c r="AC1365" i="14" s="1"/>
  <c r="AQ1262" i="14"/>
  <c r="AQ1365" i="14"/>
  <c r="AP1298" i="14"/>
  <c r="AS1298" i="14" s="1"/>
  <c r="BN1298" i="14" s="1"/>
  <c r="AO1348" i="14"/>
  <c r="AQ1348" i="14" s="1"/>
  <c r="AS1269" i="14"/>
  <c r="AP1283" i="14"/>
  <c r="AS1283" i="14" s="1"/>
  <c r="BN1283" i="14" s="1"/>
  <c r="AP1393" i="14"/>
  <c r="AS1393" i="14" s="1"/>
  <c r="BN1393" i="14" s="1"/>
  <c r="AR1369" i="14"/>
  <c r="BN1369" i="14" s="1"/>
  <c r="BN1403" i="14"/>
  <c r="AQ1403" i="14"/>
  <c r="AB1375" i="14"/>
  <c r="AO1364" i="14"/>
  <c r="AR1364" i="14" s="1"/>
  <c r="BN1364" i="14" s="1"/>
  <c r="AP1419" i="14"/>
  <c r="AS1419" i="14" s="1"/>
  <c r="AO1421" i="14"/>
  <c r="AQ1421" i="14" s="1"/>
  <c r="AB1369" i="14"/>
  <c r="AO1359" i="14"/>
  <c r="AE1359" i="14"/>
  <c r="AC1359" i="14" s="1"/>
  <c r="AB1359" i="14"/>
  <c r="AB1282" i="14"/>
  <c r="AO1282" i="14"/>
  <c r="AQ1282" i="14" s="1"/>
  <c r="AS1375" i="14"/>
  <c r="BN1375" i="14" s="1"/>
  <c r="AQ1278" i="14"/>
  <c r="BN1278" i="14"/>
  <c r="AQ1232" i="14"/>
  <c r="AB1246" i="14"/>
  <c r="AO1265" i="14"/>
  <c r="AQ1265" i="14" s="1"/>
  <c r="AQ1246" i="14"/>
  <c r="AO1321" i="14"/>
  <c r="AQ1321" i="14" s="1"/>
  <c r="AP1378" i="14"/>
  <c r="AD1378" i="14"/>
  <c r="AC1378" i="14" s="1"/>
  <c r="AB1378" i="14"/>
  <c r="AO1251" i="14"/>
  <c r="AE1251" i="14"/>
  <c r="AC1251" i="14" s="1"/>
  <c r="AB1251" i="14"/>
  <c r="AP1251" i="14"/>
  <c r="AS1251" i="14" s="1"/>
  <c r="AP1400" i="14"/>
  <c r="AS1400" i="14" s="1"/>
  <c r="AP1302" i="14"/>
  <c r="AS1302" i="14" s="1"/>
  <c r="AE1334" i="14"/>
  <c r="AC1334" i="14" s="1"/>
  <c r="AO1400" i="14"/>
  <c r="AR1401" i="14"/>
  <c r="BN1401" i="14" s="1"/>
  <c r="AB1400" i="14"/>
  <c r="AE1400" i="14"/>
  <c r="AC1400" i="14" s="1"/>
  <c r="AO1302" i="14"/>
  <c r="AE1302" i="14"/>
  <c r="AC1302" i="14" s="1"/>
  <c r="AB1302" i="14"/>
  <c r="AQ1271" i="14"/>
  <c r="AR1256" i="14"/>
  <c r="BN1256" i="14" s="1"/>
  <c r="AP1334" i="14"/>
  <c r="AS1334" i="14" s="1"/>
  <c r="AP1245" i="14"/>
  <c r="AS1245" i="14" s="1"/>
  <c r="BN1245" i="14" s="1"/>
  <c r="AO1295" i="14"/>
  <c r="AQ1295" i="14" s="1"/>
  <c r="AQ1416" i="14"/>
  <c r="BN1416" i="14"/>
  <c r="AR1414" i="14"/>
  <c r="BN1414" i="14" s="1"/>
  <c r="AP1292" i="14"/>
  <c r="AS1292" i="14" s="1"/>
  <c r="AP1358" i="14"/>
  <c r="AS1358" i="14" s="1"/>
  <c r="AP1372" i="14"/>
  <c r="AS1372" i="14" s="1"/>
  <c r="AO1291" i="14"/>
  <c r="AO1387" i="14"/>
  <c r="AO1373" i="14"/>
  <c r="AO1292" i="14"/>
  <c r="AE1292" i="14"/>
  <c r="AC1292" i="14" s="1"/>
  <c r="AB1292" i="14"/>
  <c r="AO1304" i="14"/>
  <c r="AP1304" i="14"/>
  <c r="AO1418" i="14"/>
  <c r="AP1345" i="14"/>
  <c r="AS1345" i="14" s="1"/>
  <c r="AP1234" i="14"/>
  <c r="AS1234" i="14" s="1"/>
  <c r="AE1304" i="14"/>
  <c r="AC1304" i="14" s="1"/>
  <c r="AB1304" i="14"/>
  <c r="AO1417" i="14"/>
  <c r="AR1417" i="14" s="1"/>
  <c r="AE1372" i="14"/>
  <c r="AC1372" i="14" s="1"/>
  <c r="AB1372" i="14"/>
  <c r="AO1372" i="14"/>
  <c r="AO1384" i="14"/>
  <c r="AP1312" i="14"/>
  <c r="AS1312" i="14" s="1"/>
  <c r="AP1244" i="14"/>
  <c r="AS1244" i="14" s="1"/>
  <c r="AP1280" i="14"/>
  <c r="AS1280" i="14" s="1"/>
  <c r="AO1390" i="14"/>
  <c r="AO1381" i="14"/>
  <c r="AP1381" i="14"/>
  <c r="AS1381" i="14" s="1"/>
  <c r="AB1234" i="14"/>
  <c r="AE1234" i="14"/>
  <c r="AC1234" i="14" s="1"/>
  <c r="AO1234" i="14"/>
  <c r="AO1340" i="14"/>
  <c r="AP1373" i="14"/>
  <c r="AE1418" i="14"/>
  <c r="AC1418" i="14" s="1"/>
  <c r="AB1418" i="14"/>
  <c r="AE1345" i="14"/>
  <c r="AC1345" i="14" s="1"/>
  <c r="AB1345" i="14"/>
  <c r="AP1379" i="14"/>
  <c r="AS1379" i="14" s="1"/>
  <c r="AP1384" i="14"/>
  <c r="AP1322" i="14"/>
  <c r="AS1322" i="14" s="1"/>
  <c r="AO1345" i="14"/>
  <c r="AO1324" i="14"/>
  <c r="AO1396" i="14"/>
  <c r="AP1417" i="14"/>
  <c r="AO1391" i="14"/>
  <c r="AO1281" i="14"/>
  <c r="AO1294" i="14"/>
  <c r="AO1361" i="14"/>
  <c r="AP1413" i="14"/>
  <c r="AS1413" i="14" s="1"/>
  <c r="AO1407" i="14"/>
  <c r="AP1293" i="14"/>
  <c r="AS1293" i="14" s="1"/>
  <c r="AP1340" i="14"/>
  <c r="AO1312" i="14"/>
  <c r="AO1236" i="14"/>
  <c r="AO1253" i="14"/>
  <c r="AO1235" i="14"/>
  <c r="AO1322" i="14"/>
  <c r="AP1361" i="14"/>
  <c r="AS1361" i="14" s="1"/>
  <c r="AP1387" i="14"/>
  <c r="AO1358" i="14"/>
  <c r="AE1396" i="14"/>
  <c r="AC1396" i="14" s="1"/>
  <c r="AB1396" i="14"/>
  <c r="AE1413" i="14"/>
  <c r="AC1413" i="14" s="1"/>
  <c r="AB1413" i="14"/>
  <c r="AO1351" i="14"/>
  <c r="AE1235" i="14"/>
  <c r="AC1235" i="14" s="1"/>
  <c r="AB1235" i="14"/>
  <c r="AE1410" i="14"/>
  <c r="AC1410" i="14" s="1"/>
  <c r="AB1410" i="14"/>
  <c r="AO1379" i="14"/>
  <c r="AE1384" i="14"/>
  <c r="AC1384" i="14" s="1"/>
  <c r="AB1384" i="14"/>
  <c r="AO1410" i="14"/>
  <c r="AO1330" i="14"/>
  <c r="AO1413" i="14"/>
  <c r="AP1407" i="14"/>
  <c r="AP1291" i="14"/>
  <c r="AB1351" i="14"/>
  <c r="AE1351" i="14"/>
  <c r="AC1351" i="14" s="1"/>
  <c r="AE1358" i="14"/>
  <c r="AC1358" i="14" s="1"/>
  <c r="AB1358" i="14"/>
  <c r="AE1379" i="14"/>
  <c r="AC1379" i="14" s="1"/>
  <c r="AB1379" i="14"/>
  <c r="AE1294" i="14"/>
  <c r="AC1294" i="14" s="1"/>
  <c r="AB1294" i="14"/>
  <c r="AB1330" i="14"/>
  <c r="AE1330" i="14"/>
  <c r="AC1330" i="14" s="1"/>
  <c r="AE1407" i="14"/>
  <c r="AC1407" i="14" s="1"/>
  <c r="AB1407" i="14"/>
  <c r="AE1280" i="14"/>
  <c r="AC1280" i="14" s="1"/>
  <c r="AB1280" i="14"/>
  <c r="AE1293" i="14"/>
  <c r="AC1293" i="14" s="1"/>
  <c r="AB1293" i="14"/>
  <c r="AP1396" i="14"/>
  <c r="AP1390" i="14"/>
  <c r="AP1273" i="14"/>
  <c r="AS1273" i="14" s="1"/>
  <c r="AO1280" i="14"/>
  <c r="AO1293" i="14"/>
  <c r="AD1417" i="14"/>
  <c r="AC1417" i="14" s="1"/>
  <c r="AB1417" i="14"/>
  <c r="AB1391" i="14"/>
  <c r="AE1391" i="14"/>
  <c r="AC1391" i="14" s="1"/>
  <c r="AB1281" i="14"/>
  <c r="AE1281" i="14"/>
  <c r="AC1281" i="14" s="1"/>
  <c r="AE1361" i="14"/>
  <c r="AC1361" i="14" s="1"/>
  <c r="AB1361" i="14"/>
  <c r="AP1411" i="14"/>
  <c r="AS1411" i="14" s="1"/>
  <c r="AP1253" i="14"/>
  <c r="AP1351" i="14"/>
  <c r="AS1351" i="14" s="1"/>
  <c r="AP1410" i="14"/>
  <c r="AS1410" i="14" s="1"/>
  <c r="AO1411" i="14"/>
  <c r="AP1235" i="14"/>
  <c r="AB1324" i="14"/>
  <c r="AE1324" i="14"/>
  <c r="AC1324" i="14" s="1"/>
  <c r="AE1340" i="14"/>
  <c r="AC1340" i="14" s="1"/>
  <c r="AB1340" i="14"/>
  <c r="AE1236" i="14"/>
  <c r="AC1236" i="14" s="1"/>
  <c r="AB1236" i="14"/>
  <c r="AE1411" i="14"/>
  <c r="AC1411" i="14" s="1"/>
  <c r="AB1411" i="14"/>
  <c r="AB1291" i="14"/>
  <c r="AE1291" i="14"/>
  <c r="AC1291" i="14" s="1"/>
  <c r="AB1387" i="14"/>
  <c r="AE1387" i="14"/>
  <c r="AC1387" i="14" s="1"/>
  <c r="AP1296" i="14"/>
  <c r="AS1296" i="14" s="1"/>
  <c r="AE1312" i="14"/>
  <c r="AC1312" i="14" s="1"/>
  <c r="AB1312" i="14"/>
  <c r="AP1236" i="14"/>
  <c r="AE1273" i="14"/>
  <c r="AC1273" i="14" s="1"/>
  <c r="AB1273" i="14"/>
  <c r="AE1244" i="14"/>
  <c r="AC1244" i="14" s="1"/>
  <c r="AB1244" i="14"/>
  <c r="AP1281" i="14"/>
  <c r="AE1373" i="14"/>
  <c r="AC1373" i="14" s="1"/>
  <c r="AB1373" i="14"/>
  <c r="AO1287" i="14"/>
  <c r="AO1296" i="14"/>
  <c r="AP1324" i="14"/>
  <c r="AE1253" i="14"/>
  <c r="AC1253" i="14" s="1"/>
  <c r="AB1253" i="14"/>
  <c r="AP1294" i="14"/>
  <c r="AE1390" i="14"/>
  <c r="AC1390" i="14" s="1"/>
  <c r="AB1390" i="14"/>
  <c r="AP1287" i="14"/>
  <c r="AS1287" i="14" s="1"/>
  <c r="AE1322" i="14"/>
  <c r="AC1322" i="14" s="1"/>
  <c r="AB1322" i="14"/>
  <c r="AP1330" i="14"/>
  <c r="AS1330" i="14" s="1"/>
  <c r="AE1287" i="14"/>
  <c r="AC1287" i="14" s="1"/>
  <c r="AB1287" i="14"/>
  <c r="AE1296" i="14"/>
  <c r="AC1296" i="14" s="1"/>
  <c r="AB1296" i="14"/>
  <c r="AP1391" i="14"/>
  <c r="AB1381" i="14"/>
  <c r="AE1381" i="14"/>
  <c r="AC1381" i="14" s="1"/>
  <c r="AO1273" i="14"/>
  <c r="AO1244" i="14"/>
  <c r="AR1428" i="14"/>
  <c r="BN1428" i="14" s="1"/>
  <c r="AQ1428" i="14"/>
  <c r="AC1428" i="14"/>
  <c r="V2" i="14"/>
  <c r="AQ1284" i="14" l="1"/>
  <c r="AR1347" i="14"/>
  <c r="BN1347" i="14" s="1"/>
  <c r="AQ1320" i="14"/>
  <c r="AR1259" i="14"/>
  <c r="BN1259" i="14" s="1"/>
  <c r="BN1320" i="14"/>
  <c r="BN1299" i="14"/>
  <c r="AQ1343" i="14"/>
  <c r="AQ1360" i="14"/>
  <c r="BN1343" i="14"/>
  <c r="BN1360" i="14"/>
  <c r="AQ1275" i="14"/>
  <c r="BN1275" i="14"/>
  <c r="AR1333" i="14"/>
  <c r="BN1333" i="14" s="1"/>
  <c r="AQ1255" i="14"/>
  <c r="AR1250" i="14"/>
  <c r="BN1250" i="14" s="1"/>
  <c r="AR1264" i="14"/>
  <c r="BN1264" i="14" s="1"/>
  <c r="AR1354" i="14"/>
  <c r="BN1354" i="14" s="1"/>
  <c r="AR1399" i="14"/>
  <c r="BN1399" i="14" s="1"/>
  <c r="BN1339" i="14"/>
  <c r="AR1344" i="14"/>
  <c r="BN1344" i="14" s="1"/>
  <c r="AQ1339" i="14"/>
  <c r="BN1380" i="14"/>
  <c r="AQ1405" i="14"/>
  <c r="BN1405" i="14"/>
  <c r="AQ1342" i="14"/>
  <c r="BN1342" i="14"/>
  <c r="BN1346" i="14"/>
  <c r="AQ1346" i="14"/>
  <c r="BN1397" i="14"/>
  <c r="BN1374" i="14"/>
  <c r="AQ1268" i="14"/>
  <c r="AQ1349" i="14"/>
  <c r="AQ1323" i="14"/>
  <c r="AQ1352" i="14"/>
  <c r="AQ1353" i="14"/>
  <c r="AQ1310" i="14"/>
  <c r="AC1310" i="14"/>
  <c r="AR1310" i="14"/>
  <c r="BN1310" i="14" s="1"/>
  <c r="AQ1261" i="14"/>
  <c r="BN1412" i="14"/>
  <c r="BN1269" i="14"/>
  <c r="BN1388" i="14"/>
  <c r="BN1230" i="14"/>
  <c r="AQ1355" i="14"/>
  <c r="AR1361" i="14"/>
  <c r="BN1361" i="14" s="1"/>
  <c r="AR1391" i="14"/>
  <c r="AR1235" i="14"/>
  <c r="AR1381" i="14"/>
  <c r="BN1381" i="14" s="1"/>
  <c r="AR1407" i="14"/>
  <c r="AR1390" i="14"/>
  <c r="AR1294" i="14"/>
  <c r="AR1304" i="14"/>
  <c r="AR1281" i="14"/>
  <c r="AR1384" i="14"/>
  <c r="AR1365" i="14"/>
  <c r="BN1365" i="14" s="1"/>
  <c r="AR1340" i="14"/>
  <c r="AR1396" i="14"/>
  <c r="AR1373" i="14"/>
  <c r="AR1239" i="14"/>
  <c r="BN1239" i="14" s="1"/>
  <c r="AR1236" i="14"/>
  <c r="AR1324" i="14"/>
  <c r="AR1387" i="14"/>
  <c r="BN1422" i="14"/>
  <c r="AR1253" i="14"/>
  <c r="AR1291" i="14"/>
  <c r="AR1334" i="14"/>
  <c r="BN1334" i="14" s="1"/>
  <c r="AQ1230" i="14"/>
  <c r="AR1288" i="14"/>
  <c r="BN1288" i="14" s="1"/>
  <c r="AR1363" i="14"/>
  <c r="BN1363" i="14" s="1"/>
  <c r="AQ1395" i="14"/>
  <c r="BN1326" i="14"/>
  <c r="AR1289" i="14"/>
  <c r="BN1289" i="14" s="1"/>
  <c r="AQ1326" i="14"/>
  <c r="AQ1331" i="14"/>
  <c r="AR1368" i="14"/>
  <c r="BN1368" i="14" s="1"/>
  <c r="AQ1257" i="14"/>
  <c r="AQ1412" i="14"/>
  <c r="AQ1267" i="14"/>
  <c r="BN1341" i="14"/>
  <c r="AQ1388" i="14"/>
  <c r="AQ1341" i="14"/>
  <c r="AR1398" i="14"/>
  <c r="BN1398" i="14" s="1"/>
  <c r="AQ1258" i="14"/>
  <c r="AQ1425" i="14"/>
  <c r="AR1362" i="14"/>
  <c r="BN1362" i="14" s="1"/>
  <c r="AR1249" i="14"/>
  <c r="BN1249" i="14" s="1"/>
  <c r="AQ1305" i="14"/>
  <c r="AQ1394" i="14"/>
  <c r="AR1316" i="14"/>
  <c r="BN1316" i="14" s="1"/>
  <c r="BN1419" i="14"/>
  <c r="AQ1298" i="14"/>
  <c r="AR1348" i="14"/>
  <c r="BN1348" i="14" s="1"/>
  <c r="AQ1283" i="14"/>
  <c r="AQ1393" i="14"/>
  <c r="AQ1419" i="14"/>
  <c r="AR1421" i="14"/>
  <c r="BN1421" i="14" s="1"/>
  <c r="AQ1364" i="14"/>
  <c r="AQ1359" i="14"/>
  <c r="AR1359" i="14"/>
  <c r="BN1359" i="14" s="1"/>
  <c r="AR1282" i="14"/>
  <c r="BN1282" i="14" s="1"/>
  <c r="AR1265" i="14"/>
  <c r="BN1265" i="14" s="1"/>
  <c r="AR1321" i="14"/>
  <c r="BN1321" i="14" s="1"/>
  <c r="AS1378" i="14"/>
  <c r="BN1378" i="14" s="1"/>
  <c r="AQ1378" i="14"/>
  <c r="AQ1251" i="14"/>
  <c r="AR1251" i="14"/>
  <c r="BN1251" i="14" s="1"/>
  <c r="AR1400" i="14"/>
  <c r="BN1400" i="14" s="1"/>
  <c r="AQ1400" i="14"/>
  <c r="AR1302" i="14"/>
  <c r="BN1302" i="14" s="1"/>
  <c r="AQ1302" i="14"/>
  <c r="AR1295" i="14"/>
  <c r="BN1295" i="14" s="1"/>
  <c r="AQ1245" i="14"/>
  <c r="AQ1334" i="14"/>
  <c r="AR1292" i="14"/>
  <c r="BN1292" i="14" s="1"/>
  <c r="AQ1292" i="14"/>
  <c r="AQ1418" i="14"/>
  <c r="AR1418" i="14"/>
  <c r="BN1418" i="14" s="1"/>
  <c r="AS1304" i="14"/>
  <c r="AQ1304" i="14"/>
  <c r="AR1372" i="14"/>
  <c r="BN1372" i="14" s="1"/>
  <c r="AQ1372" i="14"/>
  <c r="AQ1381" i="14"/>
  <c r="AS1373" i="14"/>
  <c r="AQ1373" i="14"/>
  <c r="AR1234" i="14"/>
  <c r="BN1234" i="14" s="1"/>
  <c r="AQ1234" i="14"/>
  <c r="AQ1345" i="14"/>
  <c r="AR1345" i="14"/>
  <c r="BN1345" i="14" s="1"/>
  <c r="AS1384" i="14"/>
  <c r="AQ1384" i="14"/>
  <c r="AS1340" i="14"/>
  <c r="AQ1340" i="14"/>
  <c r="AS1417" i="14"/>
  <c r="BN1417" i="14" s="1"/>
  <c r="AQ1417" i="14"/>
  <c r="AR1358" i="14"/>
  <c r="BN1358" i="14" s="1"/>
  <c r="AQ1358" i="14"/>
  <c r="AS1387" i="14"/>
  <c r="AQ1387" i="14"/>
  <c r="AQ1322" i="14"/>
  <c r="AR1322" i="14"/>
  <c r="BN1322" i="14" s="1"/>
  <c r="AQ1312" i="14"/>
  <c r="AR1312" i="14"/>
  <c r="BN1312" i="14" s="1"/>
  <c r="AQ1361" i="14"/>
  <c r="AS1253" i="14"/>
  <c r="AQ1253" i="14"/>
  <c r="AR1293" i="14"/>
  <c r="BN1293" i="14" s="1"/>
  <c r="AQ1293" i="14"/>
  <c r="AS1236" i="14"/>
  <c r="AQ1236" i="14"/>
  <c r="AS1324" i="14"/>
  <c r="AQ1324" i="14"/>
  <c r="AS1291" i="14"/>
  <c r="AQ1291" i="14"/>
  <c r="AR1296" i="14"/>
  <c r="BN1296" i="14" s="1"/>
  <c r="AQ1296" i="14"/>
  <c r="AS1407" i="14"/>
  <c r="AQ1407" i="14"/>
  <c r="AS1391" i="14"/>
  <c r="AQ1391" i="14"/>
  <c r="AR1280" i="14"/>
  <c r="BN1280" i="14" s="1"/>
  <c r="AQ1280" i="14"/>
  <c r="AQ1413" i="14"/>
  <c r="AR1413" i="14"/>
  <c r="BN1413" i="14" s="1"/>
  <c r="AR1351" i="14"/>
  <c r="BN1351" i="14" s="1"/>
  <c r="AQ1351" i="14"/>
  <c r="AQ1330" i="14"/>
  <c r="AR1330" i="14"/>
  <c r="BN1330" i="14" s="1"/>
  <c r="AS1235" i="14"/>
  <c r="AQ1235" i="14"/>
  <c r="AS1390" i="14"/>
  <c r="AQ1390" i="14"/>
  <c r="AR1410" i="14"/>
  <c r="BN1410" i="14" s="1"/>
  <c r="AQ1410" i="14"/>
  <c r="AS1294" i="14"/>
  <c r="AQ1294" i="14"/>
  <c r="AS1281" i="14"/>
  <c r="AQ1281" i="14"/>
  <c r="AQ1411" i="14"/>
  <c r="AR1411" i="14"/>
  <c r="BN1411" i="14" s="1"/>
  <c r="AS1396" i="14"/>
  <c r="AQ1396" i="14"/>
  <c r="AQ1287" i="14"/>
  <c r="AR1287" i="14"/>
  <c r="BN1287" i="14" s="1"/>
  <c r="AQ1244" i="14"/>
  <c r="AR1244" i="14"/>
  <c r="BN1244" i="14" s="1"/>
  <c r="AQ1273" i="14"/>
  <c r="AR1273" i="14"/>
  <c r="BN1273" i="14" s="1"/>
  <c r="AQ1379" i="14"/>
  <c r="AR1379" i="14"/>
  <c r="BN1379" i="14" s="1"/>
  <c r="V5" i="14"/>
  <c r="V4" i="14" s="1"/>
  <c r="M1463" i="14"/>
  <c r="M1545" i="14"/>
  <c r="M1538" i="14"/>
  <c r="M1507" i="14"/>
  <c r="M1588" i="14"/>
  <c r="M1499" i="14"/>
  <c r="M1504" i="14"/>
  <c r="M1515" i="14"/>
  <c r="M1578" i="14"/>
  <c r="M1571" i="14"/>
  <c r="M1542" i="14"/>
  <c r="M1433" i="14"/>
  <c r="M1619" i="14"/>
  <c r="M1487" i="14"/>
  <c r="M1458" i="14"/>
  <c r="M1434" i="14"/>
  <c r="M1566" i="14"/>
  <c r="M1580" i="14"/>
  <c r="M1563" i="14"/>
  <c r="M1575" i="14"/>
  <c r="M1523" i="14"/>
  <c r="M1602" i="14"/>
  <c r="M1478" i="14"/>
  <c r="M1539" i="14"/>
  <c r="M1436" i="14"/>
  <c r="M1510" i="14"/>
  <c r="M1460" i="14"/>
  <c r="M1550" i="14"/>
  <c r="M1530" i="14"/>
  <c r="M1586" i="14"/>
  <c r="M1512" i="14"/>
  <c r="M1466" i="14"/>
  <c r="M1534" i="14"/>
  <c r="M1482" i="14"/>
  <c r="M1432" i="14"/>
  <c r="M1502" i="14"/>
  <c r="M1614" i="14"/>
  <c r="M1480" i="14"/>
  <c r="M1454" i="14"/>
  <c r="V6" i="14"/>
  <c r="M1603" i="14"/>
  <c r="M1587" i="14"/>
  <c r="M1453" i="14"/>
  <c r="M1598" i="14"/>
  <c r="M1613" i="14"/>
  <c r="M1497" i="14"/>
  <c r="M1495" i="14"/>
  <c r="M1508" i="14"/>
  <c r="M1552" i="14"/>
  <c r="M1541" i="14"/>
  <c r="M1620" i="14"/>
  <c r="M1437" i="14"/>
  <c r="M1615" i="14"/>
  <c r="M1537" i="14"/>
  <c r="M1561" i="14"/>
  <c r="M1553" i="14"/>
  <c r="M1583" i="14"/>
  <c r="M1546" i="14"/>
  <c r="M1455" i="14"/>
  <c r="M1621" i="14"/>
  <c r="M1468" i="14"/>
  <c r="M1517" i="14"/>
  <c r="M1549" i="14"/>
  <c r="M1573" i="14"/>
  <c r="M1450" i="14"/>
  <c r="M1547" i="14"/>
  <c r="M1461" i="14"/>
  <c r="M1535" i="14"/>
  <c r="M1593" i="14"/>
  <c r="M1558" i="14"/>
  <c r="M1431" i="14"/>
  <c r="M1579" i="14"/>
  <c r="M1471" i="14"/>
  <c r="M1605" i="14"/>
  <c r="M1611" i="14"/>
  <c r="M1594" i="14"/>
  <c r="M1486" i="14"/>
  <c r="M1525" i="14"/>
  <c r="M1631" i="14"/>
  <c r="M1451" i="14"/>
  <c r="M1597" i="14"/>
  <c r="M1457" i="14"/>
  <c r="M1577" i="14"/>
  <c r="M1501" i="14"/>
  <c r="M1448" i="14"/>
  <c r="M1608" i="14"/>
  <c r="M1565" i="14"/>
  <c r="M1585" i="14"/>
  <c r="M1522" i="14"/>
  <c r="M1616" i="14"/>
  <c r="M1438" i="14"/>
  <c r="M1494" i="14"/>
  <c r="M1612" i="14"/>
  <c r="M1493" i="14"/>
  <c r="M1491" i="14"/>
  <c r="M1622" i="14"/>
  <c r="M1626" i="14"/>
  <c r="M1600" i="14"/>
  <c r="M1519" i="14"/>
  <c r="M1503" i="14"/>
  <c r="M1564" i="14"/>
  <c r="M1628" i="14"/>
  <c r="M1443" i="14"/>
  <c r="M1483" i="14"/>
  <c r="M1569" i="14"/>
  <c r="M1529" i="14"/>
  <c r="M1444" i="14"/>
  <c r="M1470" i="14"/>
  <c r="M1473" i="14"/>
  <c r="M1543" i="14"/>
  <c r="M1567" i="14"/>
  <c r="M1595" i="14"/>
  <c r="M1562" i="14"/>
  <c r="M1560" i="14"/>
  <c r="M1492" i="14"/>
  <c r="M1521" i="14"/>
  <c r="M1576" i="14"/>
  <c r="M1532" i="14"/>
  <c r="M1456" i="14"/>
  <c r="M1592" i="14"/>
  <c r="M1485" i="14"/>
  <c r="M1610" i="14"/>
  <c r="M1472" i="14"/>
  <c r="M1475" i="14"/>
  <c r="M1435" i="14"/>
  <c r="M1467" i="14"/>
  <c r="M1445" i="14"/>
  <c r="M1524" i="14"/>
  <c r="M1540" i="14"/>
  <c r="M1589" i="14"/>
  <c r="M1557" i="14"/>
  <c r="M1459" i="14"/>
  <c r="M1527" i="14"/>
  <c r="M1596" i="14"/>
  <c r="M1617" i="14"/>
  <c r="M1489" i="14"/>
  <c r="M1474" i="14"/>
  <c r="M1513" i="14"/>
  <c r="M1439" i="14"/>
  <c r="M1514" i="14"/>
  <c r="M1531" i="14"/>
  <c r="M1462" i="14"/>
  <c r="M1582" i="14"/>
  <c r="M1465" i="14"/>
  <c r="M1526" i="14"/>
  <c r="M1607" i="14"/>
  <c r="M1452" i="14"/>
  <c r="M1511" i="14"/>
  <c r="M1498" i="14"/>
  <c r="M1591" i="14"/>
  <c r="M1464" i="14"/>
  <c r="M1555" i="14"/>
  <c r="M1479" i="14"/>
  <c r="M1559" i="14"/>
  <c r="M1477" i="14"/>
  <c r="M1574" i="14"/>
  <c r="M1625" i="14"/>
  <c r="M1469" i="14"/>
  <c r="M1442" i="14"/>
  <c r="M1609" i="14"/>
  <c r="M1518" i="14"/>
  <c r="M1440" i="14"/>
  <c r="M1568" i="14"/>
  <c r="M1599" i="14"/>
  <c r="M1630" i="14"/>
  <c r="M1623" i="14"/>
  <c r="M1490" i="14"/>
  <c r="M1536" i="14"/>
  <c r="M1500" i="14"/>
  <c r="M1476" i="14"/>
  <c r="M1627" i="14"/>
  <c r="M1484" i="14"/>
  <c r="M1618" i="14"/>
  <c r="M1581" i="14"/>
  <c r="M1570" i="14"/>
  <c r="M1606" i="14"/>
  <c r="M1447" i="14"/>
  <c r="M1584" i="14"/>
  <c r="M1506" i="14"/>
  <c r="M1624" i="14"/>
  <c r="M1449" i="14"/>
  <c r="M1554" i="14"/>
  <c r="M1629" i="14"/>
  <c r="M1556" i="14"/>
  <c r="M1488" i="14"/>
  <c r="M1441" i="14"/>
  <c r="M1548" i="14"/>
  <c r="M1520" i="14"/>
  <c r="M1446" i="14"/>
  <c r="M1516" i="14"/>
  <c r="M1604" i="14"/>
  <c r="M1505" i="14"/>
  <c r="M1572" i="14"/>
  <c r="M1590" i="14"/>
  <c r="M1481" i="14"/>
  <c r="M1601" i="14"/>
  <c r="M1544" i="14"/>
  <c r="M1496" i="14"/>
  <c r="M1509" i="14"/>
  <c r="M1528" i="14"/>
  <c r="M1533" i="14"/>
  <c r="M1551" i="14"/>
  <c r="AV1576" i="14"/>
  <c r="AV1482" i="14"/>
  <c r="AV1529" i="14"/>
  <c r="AV1501" i="14"/>
  <c r="AV1540" i="14"/>
  <c r="AV1568" i="14"/>
  <c r="AV1457" i="14"/>
  <c r="AV1470" i="14"/>
  <c r="AV1554" i="14"/>
  <c r="AV1458" i="14"/>
  <c r="AV1559" i="14"/>
  <c r="AV1453" i="14"/>
  <c r="AV1595" i="14"/>
  <c r="AV1592" i="14"/>
  <c r="AV1508" i="14"/>
  <c r="AV1524" i="14"/>
  <c r="AV1530" i="14"/>
  <c r="AV1536" i="14"/>
  <c r="AV1460" i="14"/>
  <c r="AV1504" i="14"/>
  <c r="AV1446" i="14"/>
  <c r="AV1623" i="14"/>
  <c r="AV1615" i="14"/>
  <c r="AV1451" i="14"/>
  <c r="AV1577" i="14"/>
  <c r="AV1610" i="14"/>
  <c r="AV1593" i="14"/>
  <c r="AV1616" i="14"/>
  <c r="AV1437" i="14"/>
  <c r="AV1535" i="14"/>
  <c r="AV1495" i="14"/>
  <c r="AV1601" i="14"/>
  <c r="AV1521" i="14"/>
  <c r="AV1599" i="14"/>
  <c r="AV1556" i="14"/>
  <c r="AV1612" i="14"/>
  <c r="AV1563" i="14"/>
  <c r="AV1578" i="14"/>
  <c r="AV1441" i="14"/>
  <c r="AV1489" i="14"/>
  <c r="AV1537" i="14"/>
  <c r="AV1598" i="14"/>
  <c r="AV1526" i="14"/>
  <c r="AV1628" i="14"/>
  <c r="AV1600" i="14"/>
  <c r="AV1571" i="14"/>
  <c r="AV1541" i="14"/>
  <c r="AV1515" i="14"/>
  <c r="AV1439" i="14"/>
  <c r="AV1596" i="14"/>
  <c r="AV1503" i="14"/>
  <c r="AV1522" i="14"/>
  <c r="AV1613" i="14"/>
  <c r="AV1564" i="14"/>
  <c r="AV1621" i="14"/>
  <c r="AV1492" i="14"/>
  <c r="AV1481" i="14"/>
  <c r="AV1466" i="14"/>
  <c r="AV1464" i="14"/>
  <c r="AV1539" i="14"/>
  <c r="AV1448" i="14"/>
  <c r="AV1473" i="14"/>
  <c r="AV1528" i="14"/>
  <c r="AV1493" i="14"/>
  <c r="AV1617" i="14"/>
  <c r="AV1471" i="14"/>
  <c r="AV1459" i="14"/>
  <c r="AV1586" i="14"/>
  <c r="AV1505" i="14"/>
  <c r="AV1518" i="14"/>
  <c r="AV1511" i="14"/>
  <c r="AV1454" i="14"/>
  <c r="AV1513" i="14"/>
  <c r="AV1472" i="14"/>
  <c r="AV1445" i="14"/>
  <c r="AV1607" i="14"/>
  <c r="AV1580" i="14"/>
  <c r="AV1461" i="14"/>
  <c r="AV1440" i="14"/>
  <c r="AV1509" i="14"/>
  <c r="AV1499" i="14"/>
  <c r="AV1467" i="14"/>
  <c r="AV1561" i="14"/>
  <c r="AV1581" i="14"/>
  <c r="AV1626" i="14"/>
  <c r="AV1447" i="14"/>
  <c r="AV1475" i="14"/>
  <c r="AV1502" i="14"/>
  <c r="AV1474" i="14"/>
  <c r="AV1436" i="14"/>
  <c r="AV1476" i="14"/>
  <c r="AV1433" i="14"/>
  <c r="AV1507" i="14"/>
  <c r="AV1542" i="14"/>
  <c r="AV1483" i="14"/>
  <c r="AV1597" i="14"/>
  <c r="AV1606" i="14"/>
  <c r="AV1490" i="14"/>
  <c r="AV1618" i="14"/>
  <c r="AV1494" i="14"/>
  <c r="AV1434" i="14"/>
  <c r="AV1444" i="14"/>
  <c r="AV1520" i="14"/>
  <c r="AV1462" i="14"/>
  <c r="AV1519" i="14"/>
  <c r="AV1548" i="14"/>
  <c r="AV1545" i="14"/>
  <c r="AV1587" i="14"/>
  <c r="AV1553" i="14"/>
  <c r="AV1590" i="14"/>
  <c r="AV1552" i="14"/>
  <c r="AV1455" i="14"/>
  <c r="AV1567" i="14"/>
  <c r="AV1517" i="14"/>
  <c r="AV1547" i="14"/>
  <c r="AV1485" i="14"/>
  <c r="AV1574" i="14"/>
  <c r="AV1480" i="14"/>
  <c r="AV1523" i="14"/>
  <c r="AV1555" i="14"/>
  <c r="AV1477" i="14"/>
  <c r="AV1549" i="14"/>
  <c r="AV1591" i="14"/>
  <c r="AV1566" i="14"/>
  <c r="AV1449" i="14"/>
  <c r="AV1469" i="14"/>
  <c r="AV1479" i="14"/>
  <c r="AV1551" i="14"/>
  <c r="AV1486" i="14"/>
  <c r="AV1510" i="14"/>
  <c r="AV1588" i="14"/>
  <c r="AV1583" i="14"/>
  <c r="AV1516" i="14"/>
  <c r="AV1614" i="14"/>
  <c r="AV1488" i="14"/>
  <c r="AV1450" i="14"/>
  <c r="AV1432" i="14"/>
  <c r="AV1531" i="14"/>
  <c r="AV1533" i="14"/>
  <c r="AV1579" i="14"/>
  <c r="AV1456" i="14"/>
  <c r="AV1498" i="14"/>
  <c r="AV1558" i="14"/>
  <c r="AV1532" i="14"/>
  <c r="AV1544" i="14"/>
  <c r="AV1525" i="14"/>
  <c r="AV1468" i="14"/>
  <c r="AV1573" i="14"/>
  <c r="AV1550" i="14"/>
  <c r="AV1560" i="14"/>
  <c r="AV1629" i="14"/>
  <c r="AV1438" i="14"/>
  <c r="AV1491" i="14"/>
  <c r="AV1585" i="14"/>
  <c r="AV1582" i="14"/>
  <c r="AV1487" i="14"/>
  <c r="AV1630" i="14"/>
  <c r="AV1619" i="14"/>
  <c r="AV1624" i="14"/>
  <c r="AV1500" i="14"/>
  <c r="AV1565" i="14"/>
  <c r="AV1604" i="14"/>
  <c r="AV1534" i="14"/>
  <c r="AV1543" i="14"/>
  <c r="AV1512" i="14"/>
  <c r="AV1497" i="14"/>
  <c r="AV1443" i="14"/>
  <c r="AV1546" i="14"/>
  <c r="AV1620" i="14"/>
  <c r="AV1572" i="14"/>
  <c r="AV1562" i="14"/>
  <c r="AV1584" i="14"/>
  <c r="AV1575" i="14"/>
  <c r="AV1569" i="14"/>
  <c r="AV1622" i="14"/>
  <c r="AV1602" i="14"/>
  <c r="AV1478" i="14"/>
  <c r="AV1557" i="14"/>
  <c r="AV1442" i="14"/>
  <c r="AV1605" i="14"/>
  <c r="AV1608" i="14"/>
  <c r="AV1609" i="14"/>
  <c r="AV1611" i="14"/>
  <c r="AV1538" i="14"/>
  <c r="AV1625" i="14"/>
  <c r="AV1627" i="14"/>
  <c r="AV1484" i="14"/>
  <c r="AV1496" i="14"/>
  <c r="AV1465" i="14"/>
  <c r="AV1506" i="14"/>
  <c r="AV1452" i="14"/>
  <c r="AV1589" i="14"/>
  <c r="AV1594" i="14"/>
  <c r="AV1435" i="14"/>
  <c r="AV1527" i="14"/>
  <c r="AV1570" i="14"/>
  <c r="AV1514" i="14"/>
  <c r="AV1603" i="14"/>
  <c r="AV1463" i="14"/>
  <c r="V3" i="14"/>
  <c r="AV1431" i="14"/>
  <c r="AV1631" i="14"/>
  <c r="BN1235" i="14" l="1"/>
  <c r="BN1396" i="14"/>
  <c r="BN1407" i="14"/>
  <c r="BN1391" i="14"/>
  <c r="BN1390" i="14"/>
  <c r="BN1373" i="14"/>
  <c r="BN1236" i="14"/>
  <c r="BN1253" i="14"/>
  <c r="BN1387" i="14"/>
  <c r="BN1294" i="14"/>
  <c r="BN1324" i="14"/>
  <c r="BN1281" i="14"/>
  <c r="BN1291" i="14"/>
  <c r="BN1340" i="14"/>
  <c r="BN1384" i="14"/>
  <c r="BN1304" i="14"/>
  <c r="H201" i="7" a="1"/>
  <c r="H201" i="7" s="1"/>
  <c r="H202" i="7" a="1"/>
  <c r="H202" i="7" s="1"/>
  <c r="D1608" i="14"/>
  <c r="BP1454" i="14"/>
  <c r="D1513" i="14"/>
  <c r="BP1549" i="14"/>
  <c r="D1589" i="14"/>
  <c r="BP1473" i="14"/>
  <c r="D1605" i="14"/>
  <c r="BP1457" i="14"/>
  <c r="D1546" i="14"/>
  <c r="BP1516" i="14"/>
  <c r="D1487" i="14"/>
  <c r="BP1575" i="14"/>
  <c r="D1532" i="14"/>
  <c r="BP1530" i="14"/>
  <c r="D1583" i="14"/>
  <c r="BP1479" i="14"/>
  <c r="D1555" i="14"/>
  <c r="BP1507" i="14"/>
  <c r="D1587" i="14"/>
  <c r="BP1475" i="14"/>
  <c r="D1597" i="14"/>
  <c r="BP1465" i="14"/>
  <c r="D1581" i="14"/>
  <c r="BP1481" i="14"/>
  <c r="D1454" i="14"/>
  <c r="BP1608" i="14"/>
  <c r="D1539" i="14"/>
  <c r="BP1523" i="14"/>
  <c r="D1515" i="14"/>
  <c r="BP1547" i="14"/>
  <c r="D1612" i="14"/>
  <c r="BP1450" i="14"/>
  <c r="D1451" i="14"/>
  <c r="BP1611" i="14"/>
  <c r="D1453" i="14"/>
  <c r="BP1609" i="14"/>
  <c r="D1443" i="14"/>
  <c r="BP1619" i="14"/>
  <c r="D1523" i="14"/>
  <c r="BP1539" i="14"/>
  <c r="D1545" i="14"/>
  <c r="BP1517" i="14"/>
  <c r="D1483" i="14"/>
  <c r="BP1579" i="14"/>
  <c r="D1561" i="14"/>
  <c r="BP1501" i="14"/>
  <c r="D1511" i="14"/>
  <c r="BP1551" i="14"/>
  <c r="D1464" i="14"/>
  <c r="BP1598" i="14"/>
  <c r="D1541" i="14"/>
  <c r="BP1521" i="14"/>
  <c r="D1556" i="14"/>
  <c r="BP1506" i="14"/>
  <c r="D1615" i="14"/>
  <c r="BP1447" i="14"/>
  <c r="D1559" i="14"/>
  <c r="BP1503" i="14"/>
  <c r="D1620" i="14"/>
  <c r="BP1442" i="14"/>
  <c r="D1576" i="14"/>
  <c r="BP1486" i="14"/>
  <c r="D1542" i="14"/>
  <c r="BP1520" i="14"/>
  <c r="D1466" i="14"/>
  <c r="BP1596" i="14"/>
  <c r="D1623" i="14"/>
  <c r="BP1439" i="14"/>
  <c r="D1458" i="14"/>
  <c r="BP1604" i="14"/>
  <c r="D1630" i="14"/>
  <c r="BP1432" i="14"/>
  <c r="D1507" i="14"/>
  <c r="BP1555" i="14"/>
  <c r="D1446" i="14"/>
  <c r="BP1616" i="14"/>
  <c r="D1477" i="14"/>
  <c r="BP1585" i="14"/>
  <c r="D1448" i="14"/>
  <c r="BP1614" i="14"/>
  <c r="D1442" i="14"/>
  <c r="BP1620" i="14"/>
  <c r="D1631" i="14"/>
  <c r="BP1431" i="14"/>
  <c r="D1585" i="14"/>
  <c r="BP1477" i="14"/>
  <c r="D1548" i="14"/>
  <c r="BP1514" i="14"/>
  <c r="D1518" i="14"/>
  <c r="BP1544" i="14"/>
  <c r="D1599" i="14"/>
  <c r="BP1463" i="14"/>
  <c r="D1465" i="14"/>
  <c r="BP1597" i="14"/>
  <c r="D1512" i="14"/>
  <c r="BP1550" i="14"/>
  <c r="D1456" i="14"/>
  <c r="BP1606" i="14"/>
  <c r="D1519" i="14"/>
  <c r="BP1543" i="14"/>
  <c r="D1505" i="14"/>
  <c r="BP1557" i="14"/>
  <c r="D1554" i="14"/>
  <c r="BP1508" i="14"/>
  <c r="D1496" i="14"/>
  <c r="BP1566" i="14"/>
  <c r="D1543" i="14"/>
  <c r="BP1519" i="14"/>
  <c r="D1438" i="14"/>
  <c r="BP1624" i="14"/>
  <c r="D1579" i="14"/>
  <c r="BP1483" i="14"/>
  <c r="D1551" i="14"/>
  <c r="BP1511" i="14"/>
  <c r="D1485" i="14"/>
  <c r="BP1577" i="14"/>
  <c r="D1462" i="14"/>
  <c r="BP1600" i="14"/>
  <c r="D1433" i="14"/>
  <c r="BP1629" i="14"/>
  <c r="D1509" i="14"/>
  <c r="BP1553" i="14"/>
  <c r="D1586" i="14"/>
  <c r="BP1476" i="14"/>
  <c r="D1492" i="14"/>
  <c r="BP1570" i="14"/>
  <c r="D1628" i="14"/>
  <c r="BP1434" i="14"/>
  <c r="D1601" i="14"/>
  <c r="BP1461" i="14"/>
  <c r="D1504" i="14"/>
  <c r="BP1558" i="14"/>
  <c r="D1470" i="14"/>
  <c r="BP1592" i="14"/>
  <c r="D1516" i="14"/>
  <c r="BP1546" i="14"/>
  <c r="D1595" i="14"/>
  <c r="BP1467" i="14"/>
  <c r="D1452" i="14"/>
  <c r="BP1610" i="14"/>
  <c r="D1582" i="14"/>
  <c r="BP1480" i="14"/>
  <c r="D1506" i="14"/>
  <c r="BP1556" i="14"/>
  <c r="D1480" i="14"/>
  <c r="BP1582" i="14"/>
  <c r="D1467" i="14"/>
  <c r="BP1595" i="14"/>
  <c r="D1571" i="14"/>
  <c r="BP1491" i="14"/>
  <c r="D1431" i="14"/>
  <c r="BP1631" i="14"/>
  <c r="D1478" i="14"/>
  <c r="BP1584" i="14"/>
  <c r="D1491" i="14"/>
  <c r="BP1571" i="14"/>
  <c r="D1486" i="14"/>
  <c r="BP1576" i="14"/>
  <c r="D1574" i="14"/>
  <c r="BP1488" i="14"/>
  <c r="D1499" i="14"/>
  <c r="BP1563" i="14"/>
  <c r="D1481" i="14"/>
  <c r="BP1581" i="14"/>
  <c r="D1600" i="14"/>
  <c r="BP1462" i="14"/>
  <c r="D1521" i="14"/>
  <c r="BP1541" i="14"/>
  <c r="A1593" i="14"/>
  <c r="A1595" i="14"/>
  <c r="A1554" i="14"/>
  <c r="A1473" i="14"/>
  <c r="A1578" i="14"/>
  <c r="A1535" i="14"/>
  <c r="A1582" i="14"/>
  <c r="A1470" i="14"/>
  <c r="A1626" i="14"/>
  <c r="A1459" i="14"/>
  <c r="A1572" i="14"/>
  <c r="A1550" i="14"/>
  <c r="A1596" i="14"/>
  <c r="A1610" i="14"/>
  <c r="A1544" i="14"/>
  <c r="A1504" i="14"/>
  <c r="A1511" i="14"/>
  <c r="A1627" i="14"/>
  <c r="A1541" i="14"/>
  <c r="A1476" i="14"/>
  <c r="A1568" i="14"/>
  <c r="A1509" i="14"/>
  <c r="A1488" i="14"/>
  <c r="A1549" i="14"/>
  <c r="A1465" i="14"/>
  <c r="A1599" i="14"/>
  <c r="A1629" i="14"/>
  <c r="A1461" i="14"/>
  <c r="A1570" i="14"/>
  <c r="A1529" i="14"/>
  <c r="A1537" i="14"/>
  <c r="A1444" i="14"/>
  <c r="A1614" i="14"/>
  <c r="A1443" i="14"/>
  <c r="A1466" i="14"/>
  <c r="A1447" i="14"/>
  <c r="A1630" i="14"/>
  <c r="A1526" i="14"/>
  <c r="A1527" i="14"/>
  <c r="A1605" i="14"/>
  <c r="A1501" i="14"/>
  <c r="A1500" i="14"/>
  <c r="A1493" i="14"/>
  <c r="A1534" i="14"/>
  <c r="A1495" i="14"/>
  <c r="A1440" i="14"/>
  <c r="A1441" i="14"/>
  <c r="A1542" i="14"/>
  <c r="A1524" i="14"/>
  <c r="A1467" i="14"/>
  <c r="A1455" i="14"/>
  <c r="A1457" i="14"/>
  <c r="A1449" i="14"/>
  <c r="A1613" i="14"/>
  <c r="A1577" i="14"/>
  <c r="A1446" i="14"/>
  <c r="A1531" i="14"/>
  <c r="A1621" i="14"/>
  <c r="A1625" i="14"/>
  <c r="A1513" i="14"/>
  <c r="A1623" i="14"/>
  <c r="A1432" i="14"/>
  <c r="A1600" i="14"/>
  <c r="A1567" i="14"/>
  <c r="A1491" i="14"/>
  <c r="A1463" i="14"/>
  <c r="A1545" i="14"/>
  <c r="A1607" i="14"/>
  <c r="A1496" i="14"/>
  <c r="A1451" i="14"/>
  <c r="A1555" i="14"/>
  <c r="A1484" i="14"/>
  <c r="A1562" i="14"/>
  <c r="A1433" i="14"/>
  <c r="A1581" i="14"/>
  <c r="A1456" i="14"/>
  <c r="A1540" i="14"/>
  <c r="A1622" i="14"/>
  <c r="A1464" i="14"/>
  <c r="A1587" i="14"/>
  <c r="A1445" i="14"/>
  <c r="A1556" i="14"/>
  <c r="A1469" i="14"/>
  <c r="A1571" i="14"/>
  <c r="A1475" i="14"/>
  <c r="A1618" i="14"/>
  <c r="A1442" i="14"/>
  <c r="A1502" i="14"/>
  <c r="A1516" i="14"/>
  <c r="A1591" i="14"/>
  <c r="A1546" i="14"/>
  <c r="A1494" i="14"/>
  <c r="A1530" i="14"/>
  <c r="A1598" i="14"/>
  <c r="A1558" i="14"/>
  <c r="A1454" i="14"/>
  <c r="A1458" i="14"/>
  <c r="A1561" i="14"/>
  <c r="A1566" i="14"/>
  <c r="A1547" i="14"/>
  <c r="A1482" i="14"/>
  <c r="A1448" i="14"/>
  <c r="A1517" i="14"/>
  <c r="A1543" i="14"/>
  <c r="A1438" i="14"/>
  <c r="A1617" i="14"/>
  <c r="A1612" i="14"/>
  <c r="A1557" i="14"/>
  <c r="A1521" i="14"/>
  <c r="A1510" i="14"/>
  <c r="A1479" i="14"/>
  <c r="A1560" i="14"/>
  <c r="A1586" i="14"/>
  <c r="A1471" i="14"/>
  <c r="A1485" i="14"/>
  <c r="A1559" i="14"/>
  <c r="A1576" i="14"/>
  <c r="A1601" i="14"/>
  <c r="A1437" i="14"/>
  <c r="A1514" i="14"/>
  <c r="A1575" i="14"/>
  <c r="A1474" i="14"/>
  <c r="A1619" i="14"/>
  <c r="A1525" i="14"/>
  <c r="A1434" i="14"/>
  <c r="A1503" i="14"/>
  <c r="A1551" i="14"/>
  <c r="A1519" i="14"/>
  <c r="A1507" i="14"/>
  <c r="A1480" i="14"/>
  <c r="A1508" i="14"/>
  <c r="A1609" i="14"/>
  <c r="A1462" i="14"/>
  <c r="A1460" i="14"/>
  <c r="A1563" i="14"/>
  <c r="A1490" i="14"/>
  <c r="A1564" i="14"/>
  <c r="A1538" i="14"/>
  <c r="A1597" i="14"/>
  <c r="A1536" i="14"/>
  <c r="A1492" i="14"/>
  <c r="A1520" i="14"/>
  <c r="A1522" i="14"/>
  <c r="A1615" i="14"/>
  <c r="A1594" i="14"/>
  <c r="A1611" i="14"/>
  <c r="A1528" i="14"/>
  <c r="A1584" i="14"/>
  <c r="A1489" i="14"/>
  <c r="A1565" i="14"/>
  <c r="A1497" i="14"/>
  <c r="A1498" i="14"/>
  <c r="A1628" i="14"/>
  <c r="A1579" i="14"/>
  <c r="A1548" i="14"/>
  <c r="A1533" i="14"/>
  <c r="A1505" i="14"/>
  <c r="A1539" i="14"/>
  <c r="A1608" i="14"/>
  <c r="A1588" i="14"/>
  <c r="A1478" i="14"/>
  <c r="A1499" i="14"/>
  <c r="A1453" i="14"/>
  <c r="A1606" i="14"/>
  <c r="A1583" i="14"/>
  <c r="A1589" i="14"/>
  <c r="A1616" i="14"/>
  <c r="A1481" i="14"/>
  <c r="A1483" i="14"/>
  <c r="A1523" i="14"/>
  <c r="A1574" i="14"/>
  <c r="A1602" i="14"/>
  <c r="A1603" i="14"/>
  <c r="A1573" i="14"/>
  <c r="A1532" i="14"/>
  <c r="A1506" i="14"/>
  <c r="A1450" i="14"/>
  <c r="A1477" i="14"/>
  <c r="A1620" i="14"/>
  <c r="A1553" i="14"/>
  <c r="A1569" i="14"/>
  <c r="A1435" i="14"/>
  <c r="A1552" i="14"/>
  <c r="A1487" i="14"/>
  <c r="A1468" i="14"/>
  <c r="A1604" i="14"/>
  <c r="A1486" i="14"/>
  <c r="A1472" i="14"/>
  <c r="A1590" i="14"/>
  <c r="A1512" i="14"/>
  <c r="A1592" i="14"/>
  <c r="A1585" i="14"/>
  <c r="A1624" i="14"/>
  <c r="A1580" i="14"/>
  <c r="A1515" i="14"/>
  <c r="A1518" i="14"/>
  <c r="A1439" i="14"/>
  <c r="A1436" i="14"/>
  <c r="A1452" i="14"/>
  <c r="A1431" i="14"/>
  <c r="A1631" i="14"/>
  <c r="D1602" i="14"/>
  <c r="BP1460" i="14"/>
  <c r="D1463" i="14"/>
  <c r="BP1599" i="14"/>
  <c r="D1484" i="14"/>
  <c r="BP1578" i="14"/>
  <c r="D1622" i="14"/>
  <c r="BP1440" i="14"/>
  <c r="D1534" i="14"/>
  <c r="BP1528" i="14"/>
  <c r="D1629" i="14"/>
  <c r="BP1433" i="14"/>
  <c r="D1533" i="14"/>
  <c r="BP1529" i="14"/>
  <c r="D1479" i="14"/>
  <c r="BP1583" i="14"/>
  <c r="D1547" i="14"/>
  <c r="BP1515" i="14"/>
  <c r="D1520" i="14"/>
  <c r="BP1542" i="14"/>
  <c r="D1476" i="14"/>
  <c r="BP1586" i="14"/>
  <c r="D1440" i="14"/>
  <c r="BP1622" i="14"/>
  <c r="D1459" i="14"/>
  <c r="BP1603" i="14"/>
  <c r="D1621" i="14"/>
  <c r="BP1441" i="14"/>
  <c r="D1526" i="14"/>
  <c r="BP1536" i="14"/>
  <c r="D1495" i="14"/>
  <c r="BP1567" i="14"/>
  <c r="D1460" i="14"/>
  <c r="BP1602" i="14"/>
  <c r="D1457" i="14"/>
  <c r="BP1605" i="14"/>
  <c r="D1544" i="14"/>
  <c r="BP1518" i="14"/>
  <c r="D1626" i="14"/>
  <c r="BP1436" i="14"/>
  <c r="D1577" i="14"/>
  <c r="BP1485" i="14"/>
  <c r="D1588" i="14"/>
  <c r="BP1474" i="14"/>
  <c r="D1497" i="14"/>
  <c r="BP1565" i="14"/>
  <c r="D1510" i="14"/>
  <c r="BP1552" i="14"/>
  <c r="D1627" i="14"/>
  <c r="BP1435" i="14"/>
  <c r="D1560" i="14"/>
  <c r="BP1502" i="14"/>
  <c r="D1531" i="14"/>
  <c r="BP1531" i="14"/>
  <c r="N1531" i="14" s="1"/>
  <c r="D1469" i="14"/>
  <c r="BP1593" i="14"/>
  <c r="D1517" i="14"/>
  <c r="BP1545" i="14"/>
  <c r="D1444" i="14"/>
  <c r="BP1618" i="14"/>
  <c r="D1436" i="14"/>
  <c r="BP1626" i="14"/>
  <c r="D1461" i="14"/>
  <c r="BP1601" i="14"/>
  <c r="D1471" i="14"/>
  <c r="BP1591" i="14"/>
  <c r="D1564" i="14"/>
  <c r="BP1498" i="14"/>
  <c r="D1598" i="14"/>
  <c r="BP1464" i="14"/>
  <c r="D1535" i="14"/>
  <c r="BP1527" i="14"/>
  <c r="D1536" i="14"/>
  <c r="BP1526" i="14"/>
  <c r="D1568" i="14"/>
  <c r="BP1494" i="14"/>
  <c r="D1594" i="14"/>
  <c r="BP1468" i="14"/>
  <c r="D1434" i="14"/>
  <c r="BP1628" i="14"/>
  <c r="D1537" i="14"/>
  <c r="BP1525" i="14"/>
  <c r="D1530" i="14"/>
  <c r="BP1532" i="14"/>
  <c r="D1540" i="14"/>
  <c r="BP1522" i="14"/>
  <c r="D1439" i="14"/>
  <c r="BP1623" i="14"/>
  <c r="D1558" i="14"/>
  <c r="BP1504" i="14"/>
  <c r="D1557" i="14"/>
  <c r="BP1505" i="14"/>
  <c r="D1498" i="14"/>
  <c r="BP1564" i="14"/>
  <c r="D1603" i="14"/>
  <c r="BP1459" i="14"/>
  <c r="D1569" i="14"/>
  <c r="BP1493" i="14"/>
  <c r="D1604" i="14"/>
  <c r="BP1458" i="14"/>
  <c r="D1514" i="14"/>
  <c r="BP1548" i="14"/>
  <c r="D1625" i="14"/>
  <c r="BP1437" i="14"/>
  <c r="D1575" i="14"/>
  <c r="BP1487" i="14"/>
  <c r="D1565" i="14"/>
  <c r="BP1497" i="14"/>
  <c r="D1550" i="14"/>
  <c r="BP1512" i="14"/>
  <c r="D1432" i="14"/>
  <c r="BP1630" i="14"/>
  <c r="D1449" i="14"/>
  <c r="BP1613" i="14"/>
  <c r="D1567" i="14"/>
  <c r="BP1495" i="14"/>
  <c r="D1474" i="14"/>
  <c r="BP1588" i="14"/>
  <c r="D1580" i="14"/>
  <c r="BP1482" i="14"/>
  <c r="D1617" i="14"/>
  <c r="BP1445" i="14"/>
  <c r="D1613" i="14"/>
  <c r="BP1449" i="14"/>
  <c r="D1437" i="14"/>
  <c r="BP1625" i="14"/>
  <c r="D1570" i="14"/>
  <c r="BP1492" i="14"/>
  <c r="D1538" i="14"/>
  <c r="BP1524" i="14"/>
  <c r="D1584" i="14"/>
  <c r="BP1478" i="14"/>
  <c r="D1500" i="14"/>
  <c r="BP1562" i="14"/>
  <c r="D1573" i="14"/>
  <c r="BP1489" i="14"/>
  <c r="D1450" i="14"/>
  <c r="BP1612" i="14"/>
  <c r="D1566" i="14"/>
  <c r="BP1496" i="14"/>
  <c r="D1455" i="14"/>
  <c r="BP1607" i="14"/>
  <c r="D1494" i="14"/>
  <c r="BP1568" i="14"/>
  <c r="D1502" i="14"/>
  <c r="BP1560" i="14"/>
  <c r="D1607" i="14"/>
  <c r="BP1455" i="14"/>
  <c r="D1493" i="14"/>
  <c r="BP1569" i="14"/>
  <c r="D1522" i="14"/>
  <c r="BP1540" i="14"/>
  <c r="D1489" i="14"/>
  <c r="BP1573" i="14"/>
  <c r="D1616" i="14"/>
  <c r="BP1446" i="14"/>
  <c r="D1524" i="14"/>
  <c r="BP1538" i="14"/>
  <c r="D1501" i="14"/>
  <c r="BP1561" i="14"/>
  <c r="D1606" i="14"/>
  <c r="BP1456" i="14"/>
  <c r="D1552" i="14"/>
  <c r="BP1510" i="14"/>
  <c r="D1503" i="14"/>
  <c r="BP1559" i="14"/>
  <c r="D1593" i="14"/>
  <c r="BP1469" i="14"/>
  <c r="D1529" i="14"/>
  <c r="BP1533" i="14"/>
  <c r="D1553" i="14"/>
  <c r="BP1509" i="14"/>
  <c r="D1563" i="14"/>
  <c r="BP1499" i="14"/>
  <c r="D1527" i="14"/>
  <c r="BP1535" i="14"/>
  <c r="D1611" i="14"/>
  <c r="BP1451" i="14"/>
  <c r="D1562" i="14"/>
  <c r="BP1500" i="14"/>
  <c r="D1624" i="14"/>
  <c r="BP1438" i="14"/>
  <c r="D1468" i="14"/>
  <c r="BP1594" i="14"/>
  <c r="D1488" i="14"/>
  <c r="BP1574" i="14"/>
  <c r="D1591" i="14"/>
  <c r="BP1471" i="14"/>
  <c r="D1618" i="14"/>
  <c r="BP1444" i="14"/>
  <c r="D1475" i="14"/>
  <c r="BP1587" i="14"/>
  <c r="D1445" i="14"/>
  <c r="BP1617" i="14"/>
  <c r="D1528" i="14"/>
  <c r="BP1534" i="14"/>
  <c r="D1441" i="14"/>
  <c r="BP1621" i="14"/>
  <c r="D1508" i="14"/>
  <c r="BP1554" i="14"/>
  <c r="D1435" i="14"/>
  <c r="BP1627" i="14"/>
  <c r="D1609" i="14"/>
  <c r="BP1453" i="14"/>
  <c r="D1572" i="14"/>
  <c r="BP1490" i="14"/>
  <c r="D1619" i="14"/>
  <c r="BP1443" i="14"/>
  <c r="D1525" i="14"/>
  <c r="BP1537" i="14"/>
  <c r="D1614" i="14"/>
  <c r="BP1448" i="14"/>
  <c r="D1549" i="14"/>
  <c r="BP1513" i="14"/>
  <c r="D1590" i="14"/>
  <c r="BP1472" i="14"/>
  <c r="D1490" i="14"/>
  <c r="BP1572" i="14"/>
  <c r="D1447" i="14"/>
  <c r="BP1615" i="14"/>
  <c r="D1472" i="14"/>
  <c r="BP1590" i="14"/>
  <c r="D1473" i="14"/>
  <c r="BP1589" i="14"/>
  <c r="D1596" i="14"/>
  <c r="BP1466" i="14"/>
  <c r="D1578" i="14"/>
  <c r="BP1484" i="14"/>
  <c r="D1610" i="14"/>
  <c r="BP1452" i="14"/>
  <c r="D1592" i="14"/>
  <c r="BP1470" i="14"/>
  <c r="D1482" i="14"/>
  <c r="BP1580" i="14"/>
  <c r="N1529" i="14" l="1"/>
  <c r="AY1529" i="14" s="1"/>
  <c r="N1486" i="14"/>
  <c r="U1486" i="14" s="1"/>
  <c r="N1567" i="14"/>
  <c r="BA1567" i="14" s="1"/>
  <c r="BQ1431" i="14" a="1"/>
  <c r="N1454" i="14"/>
  <c r="E1454" i="14" s="1"/>
  <c r="N1523" i="14"/>
  <c r="Q1523" i="14" s="1"/>
  <c r="N1549" i="14"/>
  <c r="G1549" i="14" s="1"/>
  <c r="N1598" i="14"/>
  <c r="BL1598" i="14" s="1"/>
  <c r="N1619" i="14"/>
  <c r="AY1619" i="14" s="1"/>
  <c r="N1624" i="14"/>
  <c r="BL1624" i="14" s="1"/>
  <c r="N1530" i="14"/>
  <c r="J1530" i="14" s="1"/>
  <c r="N1616" i="14"/>
  <c r="G1616" i="14" s="1"/>
  <c r="N1506" i="14"/>
  <c r="BM1506" i="14" s="1"/>
  <c r="N1606" i="14"/>
  <c r="Q1606" i="14" s="1"/>
  <c r="N1592" i="14"/>
  <c r="Q1592" i="14" s="1"/>
  <c r="N1553" i="14"/>
  <c r="J1553" i="14" s="1"/>
  <c r="N1596" i="14"/>
  <c r="BA1596" i="14" s="1"/>
  <c r="N1517" i="14"/>
  <c r="I1517" i="14" s="1"/>
  <c r="N1445" i="14"/>
  <c r="J1445" i="14" s="1"/>
  <c r="N1610" i="14"/>
  <c r="BB1610" i="14" s="1"/>
  <c r="N1578" i="14"/>
  <c r="Q1578" i="14" s="1"/>
  <c r="N1593" i="14"/>
  <c r="E1593" i="14" s="1"/>
  <c r="N1502" i="14"/>
  <c r="AZ1502" i="14" s="1"/>
  <c r="N1488" i="14"/>
  <c r="BA1488" i="14" s="1"/>
  <c r="N1514" i="14"/>
  <c r="R1514" i="14" s="1"/>
  <c r="N1479" i="14"/>
  <c r="AY1479" i="14" s="1"/>
  <c r="N1441" i="14"/>
  <c r="AY1441" i="14" s="1"/>
  <c r="N1536" i="14"/>
  <c r="E1536" i="14" s="1"/>
  <c r="N1591" i="14"/>
  <c r="BL1591" i="14" s="1"/>
  <c r="N1520" i="14"/>
  <c r="I1520" i="14" s="1"/>
  <c r="N1600" i="14"/>
  <c r="U1600" i="14" s="1"/>
  <c r="N1544" i="14"/>
  <c r="AY1544" i="14" s="1"/>
  <c r="N1473" i="14"/>
  <c r="BB1473" i="14" s="1"/>
  <c r="N1570" i="14"/>
  <c r="G1570" i="14" s="1"/>
  <c r="N1557" i="14"/>
  <c r="R1557" i="14" s="1"/>
  <c r="N1563" i="14"/>
  <c r="I1563" i="14" s="1"/>
  <c r="N1547" i="14"/>
  <c r="AY1547" i="14" s="1"/>
  <c r="N1507" i="14"/>
  <c r="AZ1507" i="14" s="1"/>
  <c r="N1494" i="14"/>
  <c r="BM1494" i="14" s="1"/>
  <c r="N1491" i="14"/>
  <c r="BL1491" i="14" s="1"/>
  <c r="N1521" i="14"/>
  <c r="BB1521" i="14" s="1"/>
  <c r="N1475" i="14"/>
  <c r="G1475" i="14" s="1"/>
  <c r="N1476" i="14"/>
  <c r="T1476" i="14" s="1"/>
  <c r="N1614" i="14"/>
  <c r="J1614" i="14" s="1"/>
  <c r="N1508" i="14"/>
  <c r="BA1508" i="14" s="1"/>
  <c r="N1450" i="14"/>
  <c r="BA1450" i="14" s="1"/>
  <c r="N1585" i="14"/>
  <c r="G1585" i="14" s="1"/>
  <c r="N1447" i="14"/>
  <c r="G1447" i="14" s="1"/>
  <c r="N1440" i="14"/>
  <c r="U1440" i="14" s="1"/>
  <c r="N1490" i="14"/>
  <c r="G1490" i="14" s="1"/>
  <c r="N1474" i="14"/>
  <c r="G1474" i="14" s="1"/>
  <c r="N1498" i="14"/>
  <c r="AZ1498" i="14" s="1"/>
  <c r="N1543" i="14"/>
  <c r="Q1543" i="14" s="1"/>
  <c r="N1528" i="14"/>
  <c r="J1528" i="14" s="1"/>
  <c r="N1436" i="14"/>
  <c r="AY1436" i="14" s="1"/>
  <c r="N1565" i="14"/>
  <c r="G1565" i="14" s="1"/>
  <c r="N1525" i="14"/>
  <c r="BA1525" i="14" s="1"/>
  <c r="N1524" i="14"/>
  <c r="J1524" i="14" s="1"/>
  <c r="N1511" i="14"/>
  <c r="BM1511" i="14" s="1"/>
  <c r="N1437" i="14"/>
  <c r="J1437" i="14" s="1"/>
  <c r="N1433" i="14"/>
  <c r="R1433" i="14" s="1"/>
  <c r="N1582" i="14"/>
  <c r="U1582" i="14" s="1"/>
  <c r="N1618" i="14"/>
  <c r="BB1618" i="14" s="1"/>
  <c r="N1527" i="14"/>
  <c r="BA1527" i="14" s="1"/>
  <c r="N1552" i="14"/>
  <c r="BB1552" i="14" s="1"/>
  <c r="N1482" i="14"/>
  <c r="BM1482" i="14" s="1"/>
  <c r="N1468" i="14"/>
  <c r="U1468" i="14" s="1"/>
  <c r="N1500" i="14"/>
  <c r="Q1500" i="14" s="1"/>
  <c r="N1550" i="14"/>
  <c r="W1550" i="14" s="1"/>
  <c r="N1569" i="14"/>
  <c r="AZ1569" i="14" s="1"/>
  <c r="N1540" i="14"/>
  <c r="I1540" i="14" s="1"/>
  <c r="N1627" i="14"/>
  <c r="G1627" i="14" s="1"/>
  <c r="N1459" i="14"/>
  <c r="R1459" i="14" s="1"/>
  <c r="N1602" i="14"/>
  <c r="AY1602" i="14" s="1"/>
  <c r="N1478" i="14"/>
  <c r="BM1478" i="14" s="1"/>
  <c r="N1601" i="14"/>
  <c r="R1601" i="14" s="1"/>
  <c r="N1496" i="14"/>
  <c r="AY1496" i="14" s="1"/>
  <c r="N1442" i="14"/>
  <c r="BA1442" i="14" s="1"/>
  <c r="N1458" i="14"/>
  <c r="E1458" i="14" s="1"/>
  <c r="N1559" i="14"/>
  <c r="J1559" i="14" s="1"/>
  <c r="N1561" i="14"/>
  <c r="AY1561" i="14" s="1"/>
  <c r="N1451" i="14"/>
  <c r="G1451" i="14" s="1"/>
  <c r="N1597" i="14"/>
  <c r="BM1597" i="14" s="1"/>
  <c r="N1546" i="14"/>
  <c r="E1546" i="14" s="1"/>
  <c r="N1609" i="14"/>
  <c r="AY1609" i="14" s="1"/>
  <c r="N1481" i="14"/>
  <c r="BA1481" i="14" s="1"/>
  <c r="N1431" i="14"/>
  <c r="N1628" i="14"/>
  <c r="G1628" i="14" s="1"/>
  <c r="N1485" i="14"/>
  <c r="Q1485" i="14" s="1"/>
  <c r="N1599" i="14"/>
  <c r="W1599" i="14" s="1"/>
  <c r="N1623" i="14"/>
  <c r="BB1623" i="14" s="1"/>
  <c r="N1483" i="14"/>
  <c r="W1483" i="14" s="1"/>
  <c r="N1605" i="14"/>
  <c r="E1605" i="14" s="1"/>
  <c r="N1489" i="14"/>
  <c r="R1489" i="14" s="1"/>
  <c r="N1455" i="14"/>
  <c r="AY1455" i="14" s="1"/>
  <c r="N1575" i="14"/>
  <c r="R1575" i="14" s="1"/>
  <c r="N1595" i="14"/>
  <c r="G1595" i="14" s="1"/>
  <c r="N1572" i="14"/>
  <c r="I1572" i="14" s="1"/>
  <c r="N1472" i="14"/>
  <c r="U1472" i="14" s="1"/>
  <c r="N1449" i="14"/>
  <c r="J1449" i="14" s="1"/>
  <c r="N1558" i="14"/>
  <c r="BL1558" i="14" s="1"/>
  <c r="N1432" i="14"/>
  <c r="AY1432" i="14" s="1"/>
  <c r="N1504" i="14"/>
  <c r="W1504" i="14" s="1"/>
  <c r="N1512" i="14"/>
  <c r="J1512" i="14" s="1"/>
  <c r="N1630" i="14"/>
  <c r="W1630" i="14" s="1"/>
  <c r="N1620" i="14"/>
  <c r="T1620" i="14" s="1"/>
  <c r="N1453" i="14"/>
  <c r="G1453" i="14" s="1"/>
  <c r="N1581" i="14"/>
  <c r="E1581" i="14" s="1"/>
  <c r="N1487" i="14"/>
  <c r="BM1487" i="14" s="1"/>
  <c r="N1533" i="14"/>
  <c r="J1533" i="14" s="1"/>
  <c r="N1462" i="14"/>
  <c r="Q1462" i="14" s="1"/>
  <c r="N1590" i="14"/>
  <c r="R1590" i="14" s="1"/>
  <c r="N1562" i="14"/>
  <c r="J1562" i="14" s="1"/>
  <c r="N1584" i="14"/>
  <c r="G1584" i="14" s="1"/>
  <c r="N1580" i="14"/>
  <c r="Q1580" i="14" s="1"/>
  <c r="N1603" i="14"/>
  <c r="AY1603" i="14" s="1"/>
  <c r="N1535" i="14"/>
  <c r="R1535" i="14" s="1"/>
  <c r="N1444" i="14"/>
  <c r="BA1444" i="14" s="1"/>
  <c r="N1510" i="14"/>
  <c r="W1510" i="14" s="1"/>
  <c r="N1457" i="14"/>
  <c r="BL1457" i="14" s="1"/>
  <c r="N1629" i="14"/>
  <c r="BA1629" i="14" s="1"/>
  <c r="N1452" i="14"/>
  <c r="AY1452" i="14" s="1"/>
  <c r="N1554" i="14"/>
  <c r="BA1554" i="14" s="1"/>
  <c r="N1448" i="14"/>
  <c r="W1448" i="14" s="1"/>
  <c r="N1615" i="14"/>
  <c r="BB1615" i="14" s="1"/>
  <c r="N1612" i="14"/>
  <c r="I1612" i="14" s="1"/>
  <c r="N1587" i="14"/>
  <c r="E1587" i="14" s="1"/>
  <c r="N1503" i="14"/>
  <c r="BM1503" i="14" s="1"/>
  <c r="N1538" i="14"/>
  <c r="I1538" i="14" s="1"/>
  <c r="N1537" i="14"/>
  <c r="J1537" i="14" s="1"/>
  <c r="N1497" i="14"/>
  <c r="W1497" i="14" s="1"/>
  <c r="N1460" i="14"/>
  <c r="I1460" i="14" s="1"/>
  <c r="N1534" i="14"/>
  <c r="R1534" i="14" s="1"/>
  <c r="N1465" i="14"/>
  <c r="AY1465" i="14" s="1"/>
  <c r="N1435" i="14"/>
  <c r="I1435" i="14" s="1"/>
  <c r="N1499" i="14"/>
  <c r="U1499" i="14" s="1"/>
  <c r="N1571" i="14"/>
  <c r="BM1571" i="14" s="1"/>
  <c r="N1492" i="14"/>
  <c r="J1492" i="14" s="1"/>
  <c r="N1551" i="14"/>
  <c r="G1551" i="14" s="1"/>
  <c r="N1505" i="14"/>
  <c r="BB1505" i="14" s="1"/>
  <c r="N1518" i="14"/>
  <c r="G1518" i="14" s="1"/>
  <c r="N1477" i="14"/>
  <c r="AY1477" i="14" s="1"/>
  <c r="N1466" i="14"/>
  <c r="Q1466" i="14" s="1"/>
  <c r="N1556" i="14"/>
  <c r="U1556" i="14" s="1"/>
  <c r="N1545" i="14"/>
  <c r="BM1545" i="14" s="1"/>
  <c r="N1515" i="14"/>
  <c r="BA1515" i="14" s="1"/>
  <c r="N1555" i="14"/>
  <c r="Q1555" i="14" s="1"/>
  <c r="N1589" i="14"/>
  <c r="T1589" i="14" s="1"/>
  <c r="N1611" i="14"/>
  <c r="AY1611" i="14" s="1"/>
  <c r="N1522" i="14"/>
  <c r="G1522" i="14" s="1"/>
  <c r="N1566" i="14"/>
  <c r="E1566" i="14" s="1"/>
  <c r="N1625" i="14"/>
  <c r="R1625" i="14" s="1"/>
  <c r="N1434" i="14"/>
  <c r="BM1434" i="14" s="1"/>
  <c r="N1564" i="14"/>
  <c r="Q1564" i="14" s="1"/>
  <c r="N1469" i="14"/>
  <c r="BA1469" i="14" s="1"/>
  <c r="N1588" i="14"/>
  <c r="Q1588" i="14" s="1"/>
  <c r="N1495" i="14"/>
  <c r="Q1495" i="14" s="1"/>
  <c r="N1622" i="14"/>
  <c r="G1622" i="14" s="1"/>
  <c r="N1574" i="14"/>
  <c r="BA1574" i="14" s="1"/>
  <c r="N1467" i="14"/>
  <c r="E1467" i="14" s="1"/>
  <c r="N1516" i="14"/>
  <c r="AY1516" i="14" s="1"/>
  <c r="N1586" i="14"/>
  <c r="G1586" i="14" s="1"/>
  <c r="N1579" i="14"/>
  <c r="W1579" i="14" s="1"/>
  <c r="N1519" i="14"/>
  <c r="W1519" i="14" s="1"/>
  <c r="N1548" i="14"/>
  <c r="W1548" i="14" s="1"/>
  <c r="N1446" i="14"/>
  <c r="AZ1446" i="14" s="1"/>
  <c r="N1542" i="14"/>
  <c r="T1542" i="14" s="1"/>
  <c r="N1541" i="14"/>
  <c r="AY1541" i="14" s="1"/>
  <c r="N1539" i="14"/>
  <c r="BL1539" i="14" s="1"/>
  <c r="N1583" i="14"/>
  <c r="R1583" i="14" s="1"/>
  <c r="N1513" i="14"/>
  <c r="E1513" i="14" s="1"/>
  <c r="N1617" i="14"/>
  <c r="AY1617" i="14" s="1"/>
  <c r="N1493" i="14"/>
  <c r="BB1493" i="14" s="1"/>
  <c r="N1594" i="14"/>
  <c r="W1594" i="14" s="1"/>
  <c r="N1471" i="14"/>
  <c r="J1471" i="14" s="1"/>
  <c r="N1577" i="14"/>
  <c r="BM1577" i="14" s="1"/>
  <c r="N1526" i="14"/>
  <c r="Q1526" i="14" s="1"/>
  <c r="N1484" i="14"/>
  <c r="AY1484" i="14" s="1"/>
  <c r="N1480" i="14"/>
  <c r="AY1480" i="14" s="1"/>
  <c r="N1470" i="14"/>
  <c r="G1470" i="14" s="1"/>
  <c r="N1509" i="14"/>
  <c r="W1509" i="14" s="1"/>
  <c r="N1438" i="14"/>
  <c r="BA1438" i="14" s="1"/>
  <c r="N1456" i="14"/>
  <c r="BA1456" i="14" s="1"/>
  <c r="N1576" i="14"/>
  <c r="G1576" i="14" s="1"/>
  <c r="N1464" i="14"/>
  <c r="BM1464" i="14" s="1"/>
  <c r="N1443" i="14"/>
  <c r="BM1443" i="14" s="1"/>
  <c r="N1532" i="14"/>
  <c r="Q1532" i="14" s="1"/>
  <c r="N1608" i="14"/>
  <c r="J1608" i="14" s="1"/>
  <c r="N1501" i="14"/>
  <c r="Q1501" i="14" s="1"/>
  <c r="N1607" i="14"/>
  <c r="BL1607" i="14" s="1"/>
  <c r="N1573" i="14"/>
  <c r="BL1573" i="14" s="1"/>
  <c r="N1613" i="14"/>
  <c r="G1613" i="14" s="1"/>
  <c r="N1604" i="14"/>
  <c r="W1604" i="14" s="1"/>
  <c r="N1439" i="14"/>
  <c r="J1439" i="14" s="1"/>
  <c r="N1568" i="14"/>
  <c r="W1568" i="14" s="1"/>
  <c r="N1461" i="14"/>
  <c r="G1461" i="14" s="1"/>
  <c r="N1560" i="14"/>
  <c r="BL1560" i="14" s="1"/>
  <c r="N1626" i="14"/>
  <c r="J1626" i="14" s="1"/>
  <c r="N1621" i="14"/>
  <c r="BA1621" i="14" s="1"/>
  <c r="N1463" i="14"/>
  <c r="G1463" i="14" s="1"/>
  <c r="N1631" i="14"/>
  <c r="BA1531" i="14"/>
  <c r="W1531" i="14"/>
  <c r="Q1531" i="14"/>
  <c r="I1531" i="14"/>
  <c r="AY1531" i="14"/>
  <c r="G1531" i="14"/>
  <c r="BB1531" i="14"/>
  <c r="AZ1531" i="14"/>
  <c r="U1531" i="14"/>
  <c r="J1531" i="14"/>
  <c r="E1531" i="14"/>
  <c r="BL1531" i="14"/>
  <c r="R1531" i="14"/>
  <c r="BM1531" i="14"/>
  <c r="T1531" i="14"/>
  <c r="H1531" i="14" a="1"/>
  <c r="P1531" i="14" a="1"/>
  <c r="T1567" i="14" l="1"/>
  <c r="Q1567" i="14"/>
  <c r="I1567" i="14"/>
  <c r="BM1529" i="14"/>
  <c r="W1529" i="14"/>
  <c r="Q1529" i="14"/>
  <c r="BA1529" i="14"/>
  <c r="T1529" i="14"/>
  <c r="AZ1529" i="14"/>
  <c r="J1529" i="14"/>
  <c r="E1529" i="14"/>
  <c r="I1529" i="14"/>
  <c r="R1529" i="14"/>
  <c r="BL1529" i="14"/>
  <c r="BB1529" i="14"/>
  <c r="U1529" i="14"/>
  <c r="G1529" i="14"/>
  <c r="BM1567" i="14"/>
  <c r="E1567" i="14"/>
  <c r="BL1567" i="14"/>
  <c r="R1567" i="14"/>
  <c r="BB1567" i="14"/>
  <c r="Q1431" i="14"/>
  <c r="AZ1454" i="14"/>
  <c r="J1454" i="14"/>
  <c r="BM1454" i="14"/>
  <c r="BB1454" i="14"/>
  <c r="G1454" i="14"/>
  <c r="BG1454" i="14" s="1"/>
  <c r="U1567" i="14"/>
  <c r="AY1567" i="14"/>
  <c r="AZ1486" i="14"/>
  <c r="BB1486" i="14"/>
  <c r="BM1486" i="14"/>
  <c r="BL1486" i="14"/>
  <c r="AY1486" i="14"/>
  <c r="G1486" i="14"/>
  <c r="BG1486" i="14" s="1"/>
  <c r="W1486" i="14"/>
  <c r="T1486" i="14"/>
  <c r="BA1486" i="14"/>
  <c r="E1486" i="14"/>
  <c r="R1486" i="14"/>
  <c r="J1486" i="14"/>
  <c r="I1486" i="14"/>
  <c r="Q1486" i="14"/>
  <c r="AZ1567" i="14"/>
  <c r="G1567" i="14"/>
  <c r="BG1567" i="14" s="1"/>
  <c r="BA1454" i="14"/>
  <c r="Q1454" i="14"/>
  <c r="J1567" i="14"/>
  <c r="W1567" i="14"/>
  <c r="BQ1431" i="14"/>
  <c r="AZ2" i="7" s="1" a="1"/>
  <c r="BL1454" i="14"/>
  <c r="AY1454" i="14"/>
  <c r="T1454" i="14"/>
  <c r="W1454" i="14"/>
  <c r="U1454" i="14"/>
  <c r="I1454" i="14"/>
  <c r="R1454" i="14"/>
  <c r="R1549" i="14"/>
  <c r="BA1549" i="14"/>
  <c r="BB1523" i="14"/>
  <c r="BM1523" i="14"/>
  <c r="Q1549" i="14"/>
  <c r="AY1549" i="14"/>
  <c r="BA1578" i="14"/>
  <c r="E1523" i="14"/>
  <c r="AY1523" i="14"/>
  <c r="AZ1523" i="14"/>
  <c r="BA1523" i="14"/>
  <c r="G1523" i="14"/>
  <c r="BG1523" i="14" s="1"/>
  <c r="I1523" i="14"/>
  <c r="W1523" i="14"/>
  <c r="T1523" i="14"/>
  <c r="U1523" i="14"/>
  <c r="R1523" i="14"/>
  <c r="I1619" i="14"/>
  <c r="I1624" i="14"/>
  <c r="W1549" i="14"/>
  <c r="AF1549" i="14" s="1"/>
  <c r="J1549" i="14"/>
  <c r="AZ1549" i="14"/>
  <c r="BB1549" i="14"/>
  <c r="E1549" i="14"/>
  <c r="BM1549" i="14"/>
  <c r="U1549" i="14"/>
  <c r="I1549" i="14"/>
  <c r="BM1598" i="14"/>
  <c r="U1619" i="14"/>
  <c r="J1619" i="14"/>
  <c r="W1598" i="14"/>
  <c r="Q1598" i="14"/>
  <c r="BL1549" i="14"/>
  <c r="R1598" i="14"/>
  <c r="BB1624" i="14"/>
  <c r="T1549" i="14"/>
  <c r="BA1530" i="14"/>
  <c r="BL1523" i="14"/>
  <c r="I1610" i="14"/>
  <c r="E1624" i="14"/>
  <c r="J1523" i="14"/>
  <c r="AZ1624" i="14"/>
  <c r="U1598" i="14"/>
  <c r="Q1624" i="14"/>
  <c r="E1598" i="14"/>
  <c r="Q1610" i="14"/>
  <c r="AZ1598" i="14"/>
  <c r="AY1598" i="14"/>
  <c r="G1598" i="14"/>
  <c r="BG1598" i="14" s="1"/>
  <c r="I1598" i="14"/>
  <c r="J1598" i="14"/>
  <c r="T1598" i="14"/>
  <c r="BA1598" i="14"/>
  <c r="BB1598" i="14"/>
  <c r="AY1610" i="14"/>
  <c r="AY1624" i="14"/>
  <c r="Q1619" i="14"/>
  <c r="BA1619" i="14"/>
  <c r="T1619" i="14"/>
  <c r="W1619" i="14"/>
  <c r="G1619" i="14"/>
  <c r="E1619" i="14"/>
  <c r="BM1619" i="14"/>
  <c r="BB1619" i="14"/>
  <c r="R1619" i="14"/>
  <c r="BL1619" i="14"/>
  <c r="G1578" i="14"/>
  <c r="BG1578" i="14" s="1"/>
  <c r="AZ1619" i="14"/>
  <c r="I1578" i="14"/>
  <c r="W1578" i="14"/>
  <c r="G1624" i="14"/>
  <c r="BG1624" i="14" s="1"/>
  <c r="W1624" i="14"/>
  <c r="BM1624" i="14"/>
  <c r="J1624" i="14"/>
  <c r="BA1624" i="14"/>
  <c r="U1624" i="14"/>
  <c r="E1530" i="14"/>
  <c r="R1624" i="14"/>
  <c r="AZ1530" i="14"/>
  <c r="T1624" i="14"/>
  <c r="G1530" i="14"/>
  <c r="BG1530" i="14" s="1"/>
  <c r="AZ1606" i="14"/>
  <c r="U1506" i="14"/>
  <c r="AZ1506" i="14"/>
  <c r="BL1506" i="14"/>
  <c r="Q1506" i="14"/>
  <c r="AY1506" i="14"/>
  <c r="G1592" i="14"/>
  <c r="BG1592" i="14" s="1"/>
  <c r="E1606" i="14"/>
  <c r="U1530" i="14"/>
  <c r="AY1530" i="14"/>
  <c r="T1616" i="14"/>
  <c r="W1530" i="14"/>
  <c r="BB1616" i="14"/>
  <c r="AZ1616" i="14"/>
  <c r="BA1616" i="14"/>
  <c r="U1592" i="14"/>
  <c r="I1616" i="14"/>
  <c r="BA1592" i="14"/>
  <c r="Q1616" i="14"/>
  <c r="T1592" i="14"/>
  <c r="W1592" i="14"/>
  <c r="BL1616" i="14"/>
  <c r="W1616" i="14"/>
  <c r="BL1530" i="14"/>
  <c r="I1592" i="14"/>
  <c r="AZ1592" i="14"/>
  <c r="U1606" i="14"/>
  <c r="BM1616" i="14"/>
  <c r="I1530" i="14"/>
  <c r="BM1592" i="14"/>
  <c r="G1606" i="14"/>
  <c r="R1616" i="14"/>
  <c r="T1530" i="14"/>
  <c r="Q1530" i="14"/>
  <c r="J1592" i="14"/>
  <c r="J1616" i="14"/>
  <c r="R1592" i="14"/>
  <c r="W1606" i="14"/>
  <c r="E1616" i="14"/>
  <c r="BM1530" i="14"/>
  <c r="BB1592" i="14"/>
  <c r="BL1592" i="14"/>
  <c r="U1479" i="14"/>
  <c r="E1592" i="14"/>
  <c r="I1606" i="14"/>
  <c r="U1616" i="14"/>
  <c r="BB1530" i="14"/>
  <c r="AY1592" i="14"/>
  <c r="AY1616" i="14"/>
  <c r="R1530" i="14"/>
  <c r="E1553" i="14"/>
  <c r="R1553" i="14"/>
  <c r="U1553" i="14"/>
  <c r="AY1553" i="14"/>
  <c r="G1553" i="14"/>
  <c r="BG1553" i="14" s="1"/>
  <c r="BL1517" i="14"/>
  <c r="BB1517" i="14"/>
  <c r="Q1517" i="14"/>
  <c r="E1517" i="14"/>
  <c r="R1517" i="14"/>
  <c r="AZ1517" i="14"/>
  <c r="J1517" i="14"/>
  <c r="G1517" i="14"/>
  <c r="BG1517" i="14" s="1"/>
  <c r="U1528" i="14"/>
  <c r="AY1517" i="14"/>
  <c r="BM1517" i="14"/>
  <c r="BA1517" i="14"/>
  <c r="T1517" i="14"/>
  <c r="W1517" i="14"/>
  <c r="U1517" i="14"/>
  <c r="T1445" i="14"/>
  <c r="U1445" i="14"/>
  <c r="AY1445" i="14"/>
  <c r="BL1553" i="14"/>
  <c r="BB1445" i="14"/>
  <c r="BM1553" i="14"/>
  <c r="BA1445" i="14"/>
  <c r="Q1445" i="14"/>
  <c r="Q1553" i="14"/>
  <c r="E1596" i="14"/>
  <c r="I1445" i="14"/>
  <c r="BA1553" i="14"/>
  <c r="R1596" i="14"/>
  <c r="Q1596" i="14"/>
  <c r="I1553" i="14"/>
  <c r="T1606" i="14"/>
  <c r="BA1606" i="14"/>
  <c r="U1596" i="14"/>
  <c r="I1596" i="14"/>
  <c r="BL1445" i="14"/>
  <c r="R1506" i="14"/>
  <c r="AZ1596" i="14"/>
  <c r="BB1553" i="14"/>
  <c r="W1553" i="14"/>
  <c r="J1606" i="14"/>
  <c r="J1596" i="14"/>
  <c r="G1445" i="14"/>
  <c r="BG1445" i="14" s="1"/>
  <c r="J1506" i="14"/>
  <c r="BM1596" i="14"/>
  <c r="G1506" i="14"/>
  <c r="BG1506" i="14" s="1"/>
  <c r="BM1606" i="14"/>
  <c r="BB1596" i="14"/>
  <c r="W1445" i="14"/>
  <c r="AZ1553" i="14"/>
  <c r="BB1606" i="14"/>
  <c r="AY1596" i="14"/>
  <c r="R1445" i="14"/>
  <c r="BB1506" i="14"/>
  <c r="W1506" i="14"/>
  <c r="BL1606" i="14"/>
  <c r="BL1596" i="14"/>
  <c r="E1445" i="14"/>
  <c r="T1553" i="14"/>
  <c r="R1606" i="14"/>
  <c r="G1596" i="14"/>
  <c r="AZ1445" i="14"/>
  <c r="E1506" i="14"/>
  <c r="BA1506" i="14"/>
  <c r="T1506" i="14"/>
  <c r="I1506" i="14"/>
  <c r="AY1606" i="14"/>
  <c r="W1596" i="14"/>
  <c r="BM1445" i="14"/>
  <c r="T1596" i="14"/>
  <c r="I1514" i="14"/>
  <c r="W1610" i="14"/>
  <c r="BM1593" i="14"/>
  <c r="AY1557" i="14"/>
  <c r="BA1610" i="14"/>
  <c r="G1593" i="14"/>
  <c r="BG1593" i="14" s="1"/>
  <c r="R1488" i="14"/>
  <c r="BL1578" i="14"/>
  <c r="T1610" i="14"/>
  <c r="U1488" i="14"/>
  <c r="E1610" i="14"/>
  <c r="J1557" i="14"/>
  <c r="BB1578" i="14"/>
  <c r="BB1488" i="14"/>
  <c r="BL1593" i="14"/>
  <c r="BL1610" i="14"/>
  <c r="AZ1488" i="14"/>
  <c r="U1578" i="14"/>
  <c r="T1578" i="14"/>
  <c r="G1557" i="14"/>
  <c r="BG1557" i="14" s="1"/>
  <c r="E1578" i="14"/>
  <c r="BM1488" i="14"/>
  <c r="J1593" i="14"/>
  <c r="G1610" i="14"/>
  <c r="BG1610" i="14" s="1"/>
  <c r="BL1502" i="14"/>
  <c r="T1557" i="14"/>
  <c r="Q1502" i="14"/>
  <c r="U1557" i="14"/>
  <c r="Q1557" i="14"/>
  <c r="AZ1578" i="14"/>
  <c r="J1502" i="14"/>
  <c r="BA1502" i="14"/>
  <c r="I1488" i="14"/>
  <c r="T1593" i="14"/>
  <c r="W1593" i="14"/>
  <c r="BM1610" i="14"/>
  <c r="BM1502" i="14"/>
  <c r="J1578" i="14"/>
  <c r="R1502" i="14"/>
  <c r="BB1593" i="14"/>
  <c r="BA1593" i="14"/>
  <c r="R1610" i="14"/>
  <c r="BA1514" i="14"/>
  <c r="BB1502" i="14"/>
  <c r="AZ1557" i="14"/>
  <c r="BM1578" i="14"/>
  <c r="T1502" i="14"/>
  <c r="U1593" i="14"/>
  <c r="Q1593" i="14"/>
  <c r="U1610" i="14"/>
  <c r="G1514" i="14"/>
  <c r="BG1514" i="14" s="1"/>
  <c r="BA1557" i="14"/>
  <c r="W1502" i="14"/>
  <c r="W1557" i="14"/>
  <c r="BM1557" i="14"/>
  <c r="E1557" i="14"/>
  <c r="R1578" i="14"/>
  <c r="E1502" i="14"/>
  <c r="R1593" i="14"/>
  <c r="AZ1610" i="14"/>
  <c r="AY1502" i="14"/>
  <c r="AY1593" i="14"/>
  <c r="BL1557" i="14"/>
  <c r="I1593" i="14"/>
  <c r="BB1557" i="14"/>
  <c r="AY1578" i="14"/>
  <c r="U1502" i="14"/>
  <c r="E1514" i="14"/>
  <c r="AZ1593" i="14"/>
  <c r="J1610" i="14"/>
  <c r="I1502" i="14"/>
  <c r="I1557" i="14"/>
  <c r="G1502" i="14"/>
  <c r="BG1502" i="14" s="1"/>
  <c r="AY1514" i="14"/>
  <c r="BA1479" i="14"/>
  <c r="BL1488" i="14"/>
  <c r="Q1514" i="14"/>
  <c r="J1536" i="14"/>
  <c r="E1488" i="14"/>
  <c r="T1514" i="14"/>
  <c r="W1514" i="14"/>
  <c r="BM1536" i="14"/>
  <c r="AY1488" i="14"/>
  <c r="U1514" i="14"/>
  <c r="G1488" i="14"/>
  <c r="BG1488" i="14" s="1"/>
  <c r="J1514" i="14"/>
  <c r="BM1514" i="14"/>
  <c r="Q1488" i="14"/>
  <c r="AZ1514" i="14"/>
  <c r="T1488" i="14"/>
  <c r="W1488" i="14"/>
  <c r="BB1514" i="14"/>
  <c r="J1488" i="14"/>
  <c r="BL1514" i="14"/>
  <c r="E1479" i="14"/>
  <c r="BL1520" i="14"/>
  <c r="AZ1479" i="14"/>
  <c r="I1479" i="14"/>
  <c r="I1475" i="14"/>
  <c r="J1441" i="14"/>
  <c r="R1536" i="14"/>
  <c r="Q1536" i="14"/>
  <c r="E1475" i="14"/>
  <c r="E1528" i="14"/>
  <c r="BM1475" i="14"/>
  <c r="AY1528" i="14"/>
  <c r="BA1475" i="14"/>
  <c r="R1443" i="14"/>
  <c r="Q1528" i="14"/>
  <c r="W1475" i="14"/>
  <c r="AF1475" i="14" s="1"/>
  <c r="U1520" i="14"/>
  <c r="BM1520" i="14"/>
  <c r="E1520" i="14"/>
  <c r="BB1520" i="14"/>
  <c r="G1432" i="14"/>
  <c r="BG1432" i="14" s="1"/>
  <c r="I1432" i="14"/>
  <c r="AY1482" i="14"/>
  <c r="BL1528" i="14"/>
  <c r="AZ1528" i="14"/>
  <c r="BB1475" i="14"/>
  <c r="BL1536" i="14"/>
  <c r="I1591" i="14"/>
  <c r="BB1536" i="14"/>
  <c r="AZ1536" i="14"/>
  <c r="BA1536" i="14"/>
  <c r="I1536" i="14"/>
  <c r="T1536" i="14"/>
  <c r="BA1473" i="14"/>
  <c r="I1508" i="14"/>
  <c r="AZ1508" i="14"/>
  <c r="AZ1591" i="14"/>
  <c r="R1591" i="14"/>
  <c r="U1591" i="14"/>
  <c r="G1591" i="14"/>
  <c r="BG1591" i="14" s="1"/>
  <c r="G1528" i="14"/>
  <c r="BG1528" i="14" s="1"/>
  <c r="AZ1520" i="14"/>
  <c r="T1528" i="14"/>
  <c r="W1528" i="14"/>
  <c r="J1525" i="14"/>
  <c r="AY1520" i="14"/>
  <c r="R1528" i="14"/>
  <c r="BA1528" i="14"/>
  <c r="BM1525" i="14"/>
  <c r="G1520" i="14"/>
  <c r="BG1520" i="14" s="1"/>
  <c r="BB1528" i="14"/>
  <c r="I1528" i="14"/>
  <c r="I1522" i="14"/>
  <c r="BA1520" i="14"/>
  <c r="BM1528" i="14"/>
  <c r="AZ1475" i="14"/>
  <c r="J1482" i="14"/>
  <c r="T1520" i="14"/>
  <c r="W1520" i="14"/>
  <c r="R1520" i="14"/>
  <c r="Q1520" i="14"/>
  <c r="J1475" i="14"/>
  <c r="Q1473" i="14"/>
  <c r="J1520" i="14"/>
  <c r="BM1591" i="14"/>
  <c r="Q1591" i="14"/>
  <c r="BB1591" i="14"/>
  <c r="BA1441" i="14"/>
  <c r="W1441" i="14"/>
  <c r="R1441" i="14"/>
  <c r="T1441" i="14"/>
  <c r="I1441" i="14"/>
  <c r="U1441" i="14"/>
  <c r="Q1441" i="14"/>
  <c r="BM1441" i="14"/>
  <c r="AZ1441" i="14"/>
  <c r="BB1441" i="14"/>
  <c r="BL1441" i="14"/>
  <c r="E1441" i="14"/>
  <c r="G1441" i="14"/>
  <c r="E1600" i="14"/>
  <c r="BL1600" i="14"/>
  <c r="BB1600" i="14"/>
  <c r="R1600" i="14"/>
  <c r="Q1570" i="14"/>
  <c r="BL1473" i="14"/>
  <c r="U1614" i="14"/>
  <c r="R1473" i="14"/>
  <c r="AZ1434" i="14"/>
  <c r="BM1600" i="14"/>
  <c r="AZ1473" i="14"/>
  <c r="G1600" i="14"/>
  <c r="BM1473" i="14"/>
  <c r="G1473" i="14"/>
  <c r="BG1473" i="14" s="1"/>
  <c r="E1473" i="14"/>
  <c r="I1600" i="14"/>
  <c r="I1525" i="14"/>
  <c r="BL1501" i="14"/>
  <c r="J1473" i="14"/>
  <c r="Q1503" i="14"/>
  <c r="W1600" i="14"/>
  <c r="T1473" i="14"/>
  <c r="Q1600" i="14"/>
  <c r="U1473" i="14"/>
  <c r="U1508" i="14"/>
  <c r="T1544" i="14"/>
  <c r="BM1570" i="14"/>
  <c r="U1450" i="14"/>
  <c r="BM1508" i="14"/>
  <c r="W1544" i="14"/>
  <c r="W1570" i="14"/>
  <c r="AF1570" i="14" s="1"/>
  <c r="W1473" i="14"/>
  <c r="R1525" i="14"/>
  <c r="AY1473" i="14"/>
  <c r="U1570" i="14"/>
  <c r="I1473" i="14"/>
  <c r="E1525" i="14"/>
  <c r="E1508" i="14"/>
  <c r="J1600" i="14"/>
  <c r="BM1479" i="14"/>
  <c r="E1544" i="14"/>
  <c r="BB1463" i="14"/>
  <c r="Q1479" i="14"/>
  <c r="W1463" i="14"/>
  <c r="AF1463" i="14" s="1"/>
  <c r="W1479" i="14"/>
  <c r="BL1614" i="14"/>
  <c r="U1500" i="14"/>
  <c r="G1544" i="14"/>
  <c r="BG1544" i="14" s="1"/>
  <c r="J1479" i="14"/>
  <c r="G1479" i="14"/>
  <c r="BG1479" i="14" s="1"/>
  <c r="E1591" i="14"/>
  <c r="R1614" i="14"/>
  <c r="BB1608" i="14"/>
  <c r="E1503" i="14"/>
  <c r="AZ1600" i="14"/>
  <c r="G1500" i="14"/>
  <c r="BG1500" i="14" s="1"/>
  <c r="BA1544" i="14"/>
  <c r="AY1536" i="14"/>
  <c r="T1479" i="14"/>
  <c r="AY1591" i="14"/>
  <c r="Q1614" i="14"/>
  <c r="AY1570" i="14"/>
  <c r="AZ1519" i="14"/>
  <c r="R1565" i="14"/>
  <c r="J1605" i="14"/>
  <c r="AY1600" i="14"/>
  <c r="R1544" i="14"/>
  <c r="I1544" i="14"/>
  <c r="G1536" i="14"/>
  <c r="BG1536" i="14" s="1"/>
  <c r="AY1614" i="14"/>
  <c r="BB1544" i="14"/>
  <c r="Q1544" i="14"/>
  <c r="BB1479" i="14"/>
  <c r="G1614" i="14"/>
  <c r="I1603" i="14"/>
  <c r="BL1565" i="14"/>
  <c r="U1483" i="14"/>
  <c r="BM1544" i="14"/>
  <c r="R1479" i="14"/>
  <c r="BA1591" i="14"/>
  <c r="W1614" i="14"/>
  <c r="G1603" i="14"/>
  <c r="W1565" i="14"/>
  <c r="AF1565" i="14" s="1"/>
  <c r="AY1559" i="14"/>
  <c r="AZ1544" i="14"/>
  <c r="BL1479" i="14"/>
  <c r="T1591" i="14"/>
  <c r="W1591" i="14"/>
  <c r="BM1537" i="14"/>
  <c r="I1450" i="14"/>
  <c r="W1603" i="14"/>
  <c r="T1600" i="14"/>
  <c r="BA1600" i="14"/>
  <c r="J1544" i="14"/>
  <c r="U1536" i="14"/>
  <c r="W1536" i="14"/>
  <c r="T1463" i="14"/>
  <c r="J1591" i="14"/>
  <c r="T1614" i="14"/>
  <c r="U1525" i="14"/>
  <c r="BM1500" i="14"/>
  <c r="U1544" i="14"/>
  <c r="AY1512" i="14"/>
  <c r="BL1544" i="14"/>
  <c r="BB1614" i="14"/>
  <c r="BB1500" i="14"/>
  <c r="G1607" i="14"/>
  <c r="BG1607" i="14" s="1"/>
  <c r="T1570" i="14"/>
  <c r="BA1570" i="14"/>
  <c r="R1570" i="14"/>
  <c r="I1570" i="14"/>
  <c r="BA1489" i="14"/>
  <c r="BB1570" i="14"/>
  <c r="AZ1450" i="14"/>
  <c r="Q1489" i="14"/>
  <c r="J1570" i="14"/>
  <c r="G1524" i="14"/>
  <c r="BG1524" i="14" s="1"/>
  <c r="E1450" i="14"/>
  <c r="BL1570" i="14"/>
  <c r="BM1450" i="14"/>
  <c r="AZ1570" i="14"/>
  <c r="BB1450" i="14"/>
  <c r="E1570" i="14"/>
  <c r="R1450" i="14"/>
  <c r="G1450" i="14"/>
  <c r="BG1450" i="14" s="1"/>
  <c r="J1547" i="14"/>
  <c r="W1547" i="14"/>
  <c r="Q1547" i="14"/>
  <c r="R1563" i="14"/>
  <c r="U1563" i="14"/>
  <c r="BL1563" i="14"/>
  <c r="AY1563" i="14"/>
  <c r="J1563" i="14"/>
  <c r="BM1563" i="14"/>
  <c r="E1507" i="14"/>
  <c r="AZ1563" i="14"/>
  <c r="R1507" i="14"/>
  <c r="G1563" i="14"/>
  <c r="BG1563" i="14" s="1"/>
  <c r="BM1507" i="14"/>
  <c r="BA1563" i="14"/>
  <c r="U1507" i="14"/>
  <c r="AY1507" i="14"/>
  <c r="T1563" i="14"/>
  <c r="W1563" i="14"/>
  <c r="Q1507" i="14"/>
  <c r="BB1563" i="14"/>
  <c r="Q1563" i="14"/>
  <c r="E1563" i="14"/>
  <c r="AZ1547" i="14"/>
  <c r="BA1547" i="14"/>
  <c r="U1547" i="14"/>
  <c r="I1547" i="14"/>
  <c r="BL1547" i="14"/>
  <c r="E1547" i="14"/>
  <c r="BM1547" i="14"/>
  <c r="BB1547" i="14"/>
  <c r="BL1494" i="14"/>
  <c r="T1547" i="14"/>
  <c r="BB1494" i="14"/>
  <c r="R1547" i="14"/>
  <c r="Q1440" i="14"/>
  <c r="G1547" i="14"/>
  <c r="BA1440" i="14"/>
  <c r="T1494" i="14"/>
  <c r="R1494" i="14"/>
  <c r="U1494" i="14"/>
  <c r="AY1494" i="14"/>
  <c r="W1494" i="14"/>
  <c r="BA1494" i="14"/>
  <c r="E1494" i="14"/>
  <c r="G1494" i="14"/>
  <c r="BG1494" i="14" s="1"/>
  <c r="J1494" i="14"/>
  <c r="I1494" i="14"/>
  <c r="AZ1494" i="14"/>
  <c r="Q1494" i="14"/>
  <c r="E1552" i="14"/>
  <c r="AY1468" i="14"/>
  <c r="Q1468" i="14"/>
  <c r="R1476" i="14"/>
  <c r="G1482" i="14"/>
  <c r="BG1482" i="14" s="1"/>
  <c r="Q1594" i="14"/>
  <c r="BA1522" i="14"/>
  <c r="E1443" i="14"/>
  <c r="W1482" i="14"/>
  <c r="AZ1584" i="14"/>
  <c r="T1482" i="14"/>
  <c r="BA1482" i="14"/>
  <c r="AY1586" i="14"/>
  <c r="U1475" i="14"/>
  <c r="E1482" i="14"/>
  <c r="I1482" i="14"/>
  <c r="W1586" i="14"/>
  <c r="AF1586" i="14" s="1"/>
  <c r="T1475" i="14"/>
  <c r="AZ1482" i="14"/>
  <c r="Q1482" i="14"/>
  <c r="BL1475" i="14"/>
  <c r="BB1482" i="14"/>
  <c r="BB1612" i="14"/>
  <c r="R1475" i="14"/>
  <c r="R1482" i="14"/>
  <c r="AZ1626" i="14"/>
  <c r="AY1475" i="14"/>
  <c r="U1482" i="14"/>
  <c r="E1594" i="14"/>
  <c r="G1626" i="14"/>
  <c r="BG1626" i="14" s="1"/>
  <c r="Q1475" i="14"/>
  <c r="BL1482" i="14"/>
  <c r="J1594" i="14"/>
  <c r="R1522" i="14"/>
  <c r="G1492" i="14"/>
  <c r="BG1492" i="14" s="1"/>
  <c r="G1594" i="14"/>
  <c r="AF1594" i="14" s="1"/>
  <c r="E1522" i="14"/>
  <c r="I1468" i="14"/>
  <c r="AZ1476" i="14"/>
  <c r="G1476" i="14"/>
  <c r="BG1476" i="14" s="1"/>
  <c r="AY1476" i="14"/>
  <c r="BA1476" i="14"/>
  <c r="U1436" i="14"/>
  <c r="BB1543" i="14"/>
  <c r="W1476" i="14"/>
  <c r="G1496" i="14"/>
  <c r="AZ1436" i="14"/>
  <c r="T1436" i="14"/>
  <c r="Q1558" i="14"/>
  <c r="G1436" i="14"/>
  <c r="BG1436" i="14" s="1"/>
  <c r="I1436" i="14"/>
  <c r="G1491" i="14"/>
  <c r="BG1491" i="14" s="1"/>
  <c r="AZ1485" i="14"/>
  <c r="Q1436" i="14"/>
  <c r="U1521" i="14"/>
  <c r="BL1468" i="14"/>
  <c r="E1468" i="14"/>
  <c r="J1468" i="14"/>
  <c r="J1552" i="14"/>
  <c r="BM1558" i="14"/>
  <c r="J1485" i="14"/>
  <c r="W1485" i="14"/>
  <c r="Q1496" i="14"/>
  <c r="U1543" i="14"/>
  <c r="I1543" i="14"/>
  <c r="BM1491" i="14"/>
  <c r="AZ1521" i="14"/>
  <c r="BB1468" i="14"/>
  <c r="BM1552" i="14"/>
  <c r="BB1507" i="14"/>
  <c r="AY1558" i="14"/>
  <c r="I1476" i="14"/>
  <c r="BM1485" i="14"/>
  <c r="BA1485" i="14"/>
  <c r="I1496" i="14"/>
  <c r="BA1436" i="14"/>
  <c r="T1543" i="14"/>
  <c r="W1543" i="14"/>
  <c r="T1491" i="14"/>
  <c r="E1521" i="14"/>
  <c r="AY1552" i="14"/>
  <c r="BL1507" i="14"/>
  <c r="T1558" i="14"/>
  <c r="W1558" i="14"/>
  <c r="U1476" i="14"/>
  <c r="Q1476" i="14"/>
  <c r="U1485" i="14"/>
  <c r="J1436" i="14"/>
  <c r="W1436" i="14"/>
  <c r="AZ1543" i="14"/>
  <c r="Q1491" i="14"/>
  <c r="BM1521" i="14"/>
  <c r="BA1496" i="14"/>
  <c r="BL1543" i="14"/>
  <c r="AY1491" i="14"/>
  <c r="T1468" i="14"/>
  <c r="G1468" i="14"/>
  <c r="BG1468" i="14" s="1"/>
  <c r="E1493" i="14"/>
  <c r="G1552" i="14"/>
  <c r="BG1552" i="14" s="1"/>
  <c r="G1507" i="14"/>
  <c r="BG1507" i="14" s="1"/>
  <c r="BB1558" i="14"/>
  <c r="I1558" i="14"/>
  <c r="J1571" i="14"/>
  <c r="BB1476" i="14"/>
  <c r="R1580" i="14"/>
  <c r="BB1485" i="14"/>
  <c r="BL1436" i="14"/>
  <c r="E1543" i="14"/>
  <c r="R1491" i="14"/>
  <c r="BA1491" i="14"/>
  <c r="AY1521" i="14"/>
  <c r="AZ1552" i="14"/>
  <c r="I1552" i="14"/>
  <c r="BA1558" i="14"/>
  <c r="U1491" i="14"/>
  <c r="W1621" i="14"/>
  <c r="AZ1468" i="14"/>
  <c r="BA1468" i="14"/>
  <c r="T1552" i="14"/>
  <c r="W1552" i="14"/>
  <c r="BL1464" i="14"/>
  <c r="W1507" i="14"/>
  <c r="AZ1558" i="14"/>
  <c r="BM1476" i="14"/>
  <c r="BL1485" i="14"/>
  <c r="E1436" i="14"/>
  <c r="J1543" i="14"/>
  <c r="AZ1491" i="14"/>
  <c r="I1491" i="14"/>
  <c r="BA1521" i="14"/>
  <c r="G1558" i="14"/>
  <c r="BG1558" i="14" s="1"/>
  <c r="R1485" i="14"/>
  <c r="U1558" i="14"/>
  <c r="E1485" i="14"/>
  <c r="R1543" i="14"/>
  <c r="W1491" i="14"/>
  <c r="G1521" i="14"/>
  <c r="BG1521" i="14" s="1"/>
  <c r="BM1468" i="14"/>
  <c r="W1468" i="14"/>
  <c r="BL1552" i="14"/>
  <c r="BA1552" i="14"/>
  <c r="T1507" i="14"/>
  <c r="BA1507" i="14"/>
  <c r="R1558" i="14"/>
  <c r="BL1476" i="14"/>
  <c r="G1485" i="14"/>
  <c r="BB1436" i="14"/>
  <c r="AY1543" i="14"/>
  <c r="E1491" i="14"/>
  <c r="T1521" i="14"/>
  <c r="W1521" i="14"/>
  <c r="E1558" i="14"/>
  <c r="J1476" i="14"/>
  <c r="AY1485" i="14"/>
  <c r="R1496" i="14"/>
  <c r="R1436" i="14"/>
  <c r="G1543" i="14"/>
  <c r="BG1543" i="14" s="1"/>
  <c r="BB1491" i="14"/>
  <c r="R1521" i="14"/>
  <c r="Q1521" i="14"/>
  <c r="R1552" i="14"/>
  <c r="J1507" i="14"/>
  <c r="I1507" i="14"/>
  <c r="J1558" i="14"/>
  <c r="Q1611" i="14"/>
  <c r="E1476" i="14"/>
  <c r="E1615" i="14"/>
  <c r="I1485" i="14"/>
  <c r="T1496" i="14"/>
  <c r="BM1436" i="14"/>
  <c r="BA1543" i="14"/>
  <c r="J1491" i="14"/>
  <c r="BL1521" i="14"/>
  <c r="I1521" i="14"/>
  <c r="J1521" i="14"/>
  <c r="AY1498" i="14"/>
  <c r="Q1552" i="14"/>
  <c r="E1560" i="14"/>
  <c r="R1468" i="14"/>
  <c r="U1552" i="14"/>
  <c r="Q1516" i="14"/>
  <c r="E1562" i="14"/>
  <c r="T1485" i="14"/>
  <c r="U1496" i="14"/>
  <c r="BM1543" i="14"/>
  <c r="BB1525" i="14"/>
  <c r="Q1525" i="14"/>
  <c r="BL1508" i="14"/>
  <c r="G1538" i="14"/>
  <c r="BG1538" i="14" s="1"/>
  <c r="BB1508" i="14"/>
  <c r="BL1525" i="14"/>
  <c r="J1508" i="14"/>
  <c r="AZ1525" i="14"/>
  <c r="R1548" i="14"/>
  <c r="AY1508" i="14"/>
  <c r="BB1447" i="14"/>
  <c r="U1447" i="14"/>
  <c r="BM1447" i="14"/>
  <c r="W1447" i="14"/>
  <c r="AF1447" i="14" s="1"/>
  <c r="J1526" i="14"/>
  <c r="AY1525" i="14"/>
  <c r="Q1508" i="14"/>
  <c r="T1518" i="14"/>
  <c r="Q1447" i="14"/>
  <c r="BM1608" i="14"/>
  <c r="E1585" i="14"/>
  <c r="AZ1577" i="14"/>
  <c r="G1525" i="14"/>
  <c r="BG1525" i="14" s="1"/>
  <c r="U1519" i="14"/>
  <c r="AY1625" i="14"/>
  <c r="W1508" i="14"/>
  <c r="J1505" i="14"/>
  <c r="AZ1585" i="14"/>
  <c r="T1608" i="14"/>
  <c r="BA1577" i="14"/>
  <c r="W1525" i="14"/>
  <c r="E1519" i="14"/>
  <c r="T1508" i="14"/>
  <c r="G1508" i="14"/>
  <c r="AY1505" i="14"/>
  <c r="T1525" i="14"/>
  <c r="Q1519" i="14"/>
  <c r="R1508" i="14"/>
  <c r="AY1492" i="14"/>
  <c r="W1440" i="14"/>
  <c r="T1440" i="14"/>
  <c r="J1440" i="14"/>
  <c r="BM1440" i="14"/>
  <c r="AZ1440" i="14"/>
  <c r="AY1440" i="14"/>
  <c r="J1498" i="14"/>
  <c r="U1498" i="14"/>
  <c r="G1498" i="14"/>
  <c r="BG1498" i="14" s="1"/>
  <c r="I1622" i="14"/>
  <c r="I1614" i="14"/>
  <c r="BL1608" i="14"/>
  <c r="J1585" i="14"/>
  <c r="W1498" i="14"/>
  <c r="J1450" i="14"/>
  <c r="BA1519" i="14"/>
  <c r="E1565" i="14"/>
  <c r="I1440" i="14"/>
  <c r="BA1500" i="14"/>
  <c r="BL1498" i="14"/>
  <c r="Q1602" i="14"/>
  <c r="U1463" i="14"/>
  <c r="AZ1614" i="14"/>
  <c r="BA1614" i="14"/>
  <c r="BA1585" i="14"/>
  <c r="BB1498" i="14"/>
  <c r="Q1498" i="14"/>
  <c r="BM1524" i="14"/>
  <c r="G1577" i="14"/>
  <c r="BG1577" i="14" s="1"/>
  <c r="AY1450" i="14"/>
  <c r="T1625" i="14"/>
  <c r="BM1483" i="14"/>
  <c r="R1440" i="14"/>
  <c r="G1440" i="14"/>
  <c r="G1512" i="14"/>
  <c r="BG1512" i="14" s="1"/>
  <c r="BA1498" i="14"/>
  <c r="T1585" i="14"/>
  <c r="BL1510" i="14"/>
  <c r="BM1614" i="14"/>
  <c r="AZ1537" i="14"/>
  <c r="T1527" i="14"/>
  <c r="E1498" i="14"/>
  <c r="AY1503" i="14"/>
  <c r="BA1524" i="14"/>
  <c r="Q1450" i="14"/>
  <c r="AY1467" i="14"/>
  <c r="I1625" i="14"/>
  <c r="E1483" i="14"/>
  <c r="BL1440" i="14"/>
  <c r="I1498" i="14"/>
  <c r="U1439" i="14"/>
  <c r="Q1585" i="14"/>
  <c r="BM1498" i="14"/>
  <c r="AY1463" i="14"/>
  <c r="E1614" i="14"/>
  <c r="G1537" i="14"/>
  <c r="BG1537" i="14" s="1"/>
  <c r="G1527" i="14"/>
  <c r="BG1527" i="14" s="1"/>
  <c r="R1498" i="14"/>
  <c r="G1503" i="14"/>
  <c r="BG1503" i="14" s="1"/>
  <c r="I1524" i="14"/>
  <c r="T1450" i="14"/>
  <c r="W1450" i="14"/>
  <c r="T1603" i="14"/>
  <c r="W1625" i="14"/>
  <c r="BB1440" i="14"/>
  <c r="BB1559" i="14"/>
  <c r="T1498" i="14"/>
  <c r="BB1602" i="14"/>
  <c r="E1440" i="14"/>
  <c r="AZ1582" i="14"/>
  <c r="I1463" i="14"/>
  <c r="Q1463" i="14"/>
  <c r="BA1607" i="14"/>
  <c r="G1489" i="14"/>
  <c r="BG1489" i="14" s="1"/>
  <c r="BA1503" i="14"/>
  <c r="BL1450" i="14"/>
  <c r="U1603" i="14"/>
  <c r="E1505" i="14"/>
  <c r="E1559" i="14"/>
  <c r="T1447" i="14"/>
  <c r="BA1447" i="14"/>
  <c r="W1585" i="14"/>
  <c r="AF1585" i="14" s="1"/>
  <c r="G1513" i="14"/>
  <c r="BG1513" i="14" s="1"/>
  <c r="J1622" i="14"/>
  <c r="E1574" i="14"/>
  <c r="BB1568" i="14"/>
  <c r="R1447" i="14"/>
  <c r="U1585" i="14"/>
  <c r="I1585" i="14"/>
  <c r="T1474" i="14"/>
  <c r="I1453" i="14"/>
  <c r="J1472" i="14"/>
  <c r="W1474" i="14"/>
  <c r="AF1474" i="14" s="1"/>
  <c r="BL1497" i="14"/>
  <c r="BL1481" i="14"/>
  <c r="G1582" i="14"/>
  <c r="BG1582" i="14" s="1"/>
  <c r="Q1568" i="14"/>
  <c r="AZ1456" i="14"/>
  <c r="AZ1447" i="14"/>
  <c r="J1447" i="14"/>
  <c r="BL1585" i="14"/>
  <c r="AZ1481" i="14"/>
  <c r="G1478" i="14"/>
  <c r="BG1478" i="14" s="1"/>
  <c r="U1573" i="14"/>
  <c r="BL1447" i="14"/>
  <c r="R1585" i="14"/>
  <c r="BL1490" i="14"/>
  <c r="J1589" i="14"/>
  <c r="Q1481" i="14"/>
  <c r="BM1585" i="14"/>
  <c r="AY1447" i="14"/>
  <c r="BB1585" i="14"/>
  <c r="AZ1490" i="14"/>
  <c r="U1555" i="14"/>
  <c r="I1481" i="14"/>
  <c r="T1465" i="14"/>
  <c r="E1447" i="14"/>
  <c r="Q1456" i="14"/>
  <c r="AZ1431" i="14"/>
  <c r="I1447" i="14"/>
  <c r="AY1585" i="14"/>
  <c r="T1435" i="14"/>
  <c r="W1490" i="14"/>
  <c r="AF1490" i="14" s="1"/>
  <c r="BL1572" i="14"/>
  <c r="W1555" i="14"/>
  <c r="E1618" i="14"/>
  <c r="W1435" i="14"/>
  <c r="Q1490" i="14"/>
  <c r="U1572" i="14"/>
  <c r="T1466" i="14"/>
  <c r="T1568" i="14"/>
  <c r="BH1568" i="14" s="1"/>
  <c r="R1568" i="14"/>
  <c r="I1568" i="14"/>
  <c r="AZ1472" i="14"/>
  <c r="BM1618" i="14"/>
  <c r="T1456" i="14"/>
  <c r="G1456" i="14"/>
  <c r="G1435" i="14"/>
  <c r="BG1435" i="14" s="1"/>
  <c r="T1490" i="14"/>
  <c r="BA1490" i="14"/>
  <c r="AY1513" i="14"/>
  <c r="BB1574" i="14"/>
  <c r="W1574" i="14"/>
  <c r="BA1474" i="14"/>
  <c r="BM1572" i="14"/>
  <c r="T1622" i="14"/>
  <c r="J1555" i="14"/>
  <c r="G1555" i="14"/>
  <c r="BG1555" i="14" s="1"/>
  <c r="BL1554" i="14"/>
  <c r="W1554" i="14"/>
  <c r="J1431" i="14"/>
  <c r="T1481" i="14"/>
  <c r="W1481" i="14"/>
  <c r="BM1462" i="14"/>
  <c r="BB1582" i="14"/>
  <c r="Q1478" i="14"/>
  <c r="E1602" i="14"/>
  <c r="J1554" i="14"/>
  <c r="U1568" i="14"/>
  <c r="R1456" i="14"/>
  <c r="I1474" i="14"/>
  <c r="BM1555" i="14"/>
  <c r="R1554" i="14"/>
  <c r="R1431" i="14"/>
  <c r="E1462" i="14"/>
  <c r="AZ1568" i="14"/>
  <c r="BB1439" i="14"/>
  <c r="AY1472" i="14"/>
  <c r="Q1618" i="14"/>
  <c r="E1456" i="14"/>
  <c r="R1438" i="14"/>
  <c r="BL1435" i="14"/>
  <c r="Q1435" i="14"/>
  <c r="BM1490" i="14"/>
  <c r="T1513" i="14"/>
  <c r="W1513" i="14"/>
  <c r="AZ1574" i="14"/>
  <c r="R1474" i="14"/>
  <c r="Q1474" i="14"/>
  <c r="R1572" i="14"/>
  <c r="BA1622" i="14"/>
  <c r="R1555" i="14"/>
  <c r="U1515" i="14"/>
  <c r="U1554" i="14"/>
  <c r="T1431" i="14"/>
  <c r="J1481" i="14"/>
  <c r="BB1465" i="14"/>
  <c r="U1462" i="14"/>
  <c r="AY1582" i="14"/>
  <c r="I1602" i="14"/>
  <c r="U1435" i="14"/>
  <c r="AZ1474" i="14"/>
  <c r="R1435" i="14"/>
  <c r="E1490" i="14"/>
  <c r="BB1513" i="14"/>
  <c r="BA1513" i="14"/>
  <c r="T1574" i="14"/>
  <c r="U1474" i="14"/>
  <c r="AZ1572" i="14"/>
  <c r="Q1622" i="14"/>
  <c r="BL1555" i="14"/>
  <c r="AZ1515" i="14"/>
  <c r="AZ1554" i="14"/>
  <c r="AZ1452" i="14"/>
  <c r="BB1431" i="14"/>
  <c r="BB1481" i="14"/>
  <c r="G1465" i="14"/>
  <c r="BG1465" i="14" s="1"/>
  <c r="I1462" i="14"/>
  <c r="I1582" i="14"/>
  <c r="G1602" i="14"/>
  <c r="BG1602" i="14" s="1"/>
  <c r="G1618" i="14"/>
  <c r="BG1618" i="14" s="1"/>
  <c r="R1439" i="14"/>
  <c r="J1618" i="14"/>
  <c r="BA1618" i="14"/>
  <c r="J1456" i="14"/>
  <c r="T1438" i="14"/>
  <c r="E1435" i="14"/>
  <c r="BB1490" i="14"/>
  <c r="J1513" i="14"/>
  <c r="I1513" i="14"/>
  <c r="BL1574" i="14"/>
  <c r="BL1474" i="14"/>
  <c r="J1572" i="14"/>
  <c r="E1555" i="14"/>
  <c r="J1515" i="14"/>
  <c r="BM1554" i="14"/>
  <c r="J1452" i="14"/>
  <c r="E1431" i="14"/>
  <c r="E1481" i="14"/>
  <c r="T1582" i="14"/>
  <c r="W1582" i="14"/>
  <c r="BL1533" i="14"/>
  <c r="G1472" i="14"/>
  <c r="E1568" i="14"/>
  <c r="I1472" i="14"/>
  <c r="BM1438" i="14"/>
  <c r="T1472" i="14"/>
  <c r="J1568" i="14"/>
  <c r="AY1439" i="14"/>
  <c r="BB1472" i="14"/>
  <c r="BA1472" i="14"/>
  <c r="AZ1618" i="14"/>
  <c r="W1618" i="14"/>
  <c r="BB1456" i="14"/>
  <c r="E1438" i="14"/>
  <c r="AZ1435" i="14"/>
  <c r="U1490" i="14"/>
  <c r="AZ1513" i="14"/>
  <c r="J1583" i="14"/>
  <c r="J1574" i="14"/>
  <c r="J1474" i="14"/>
  <c r="G1572" i="14"/>
  <c r="BG1572" i="14" s="1"/>
  <c r="AZ1555" i="14"/>
  <c r="Q1515" i="14"/>
  <c r="E1554" i="14"/>
  <c r="I1452" i="14"/>
  <c r="BM1431" i="14"/>
  <c r="R1481" i="14"/>
  <c r="BM1582" i="14"/>
  <c r="BA1582" i="14"/>
  <c r="BM1456" i="14"/>
  <c r="Q1439" i="14"/>
  <c r="E1472" i="14"/>
  <c r="Q1472" i="14"/>
  <c r="T1618" i="14"/>
  <c r="I1618" i="14"/>
  <c r="U1456" i="14"/>
  <c r="I1438" i="14"/>
  <c r="J1435" i="14"/>
  <c r="J1490" i="14"/>
  <c r="U1513" i="14"/>
  <c r="AZ1583" i="14"/>
  <c r="G1574" i="14"/>
  <c r="BG1574" i="14" s="1"/>
  <c r="BM1474" i="14"/>
  <c r="AY1572" i="14"/>
  <c r="BB1555" i="14"/>
  <c r="AY1554" i="14"/>
  <c r="G1452" i="14"/>
  <c r="BG1452" i="14" s="1"/>
  <c r="BL1431" i="14"/>
  <c r="U1481" i="14"/>
  <c r="E1582" i="14"/>
  <c r="Q1582" i="14"/>
  <c r="BM1568" i="14"/>
  <c r="BA1439" i="14"/>
  <c r="BM1472" i="14"/>
  <c r="BL1618" i="14"/>
  <c r="BL1456" i="14"/>
  <c r="W1438" i="14"/>
  <c r="BM1435" i="14"/>
  <c r="R1490" i="14"/>
  <c r="BM1513" i="14"/>
  <c r="BM1583" i="14"/>
  <c r="AY1574" i="14"/>
  <c r="AY1474" i="14"/>
  <c r="BA1572" i="14"/>
  <c r="T1555" i="14"/>
  <c r="Q1554" i="14"/>
  <c r="W1452" i="14"/>
  <c r="I1431" i="14"/>
  <c r="BM1481" i="14"/>
  <c r="R1582" i="14"/>
  <c r="T1478" i="14"/>
  <c r="AY1618" i="14"/>
  <c r="W1456" i="14"/>
  <c r="R1472" i="14"/>
  <c r="R1618" i="14"/>
  <c r="AY1456" i="14"/>
  <c r="BB1435" i="14"/>
  <c r="AY1490" i="14"/>
  <c r="BL1513" i="14"/>
  <c r="Q1574" i="14"/>
  <c r="E1474" i="14"/>
  <c r="T1572" i="14"/>
  <c r="W1572" i="14"/>
  <c r="AY1555" i="14"/>
  <c r="I1554" i="14"/>
  <c r="AY1431" i="14"/>
  <c r="BA1431" i="14"/>
  <c r="G1481" i="14"/>
  <c r="BG1481" i="14" s="1"/>
  <c r="J1582" i="14"/>
  <c r="BB1478" i="14"/>
  <c r="BL1462" i="14"/>
  <c r="BA1435" i="14"/>
  <c r="Q1513" i="14"/>
  <c r="BM1574" i="14"/>
  <c r="BA1555" i="14"/>
  <c r="AZ1439" i="14"/>
  <c r="W1472" i="14"/>
  <c r="BL1568" i="14"/>
  <c r="G1568" i="14"/>
  <c r="BG1568" i="14" s="1"/>
  <c r="AY1568" i="14"/>
  <c r="I1439" i="14"/>
  <c r="BA1568" i="14"/>
  <c r="BL1472" i="14"/>
  <c r="U1618" i="14"/>
  <c r="I1456" i="14"/>
  <c r="AY1435" i="14"/>
  <c r="I1490" i="14"/>
  <c r="R1513" i="14"/>
  <c r="R1574" i="14"/>
  <c r="I1574" i="14"/>
  <c r="BB1474" i="14"/>
  <c r="BB1572" i="14"/>
  <c r="Q1572" i="14"/>
  <c r="I1555" i="14"/>
  <c r="T1554" i="14"/>
  <c r="G1554" i="14"/>
  <c r="BG1554" i="14" s="1"/>
  <c r="U1431" i="14"/>
  <c r="W1431" i="14"/>
  <c r="AY1481" i="14"/>
  <c r="BL1582" i="14"/>
  <c r="AY1478" i="14"/>
  <c r="T1602" i="14"/>
  <c r="U1574" i="14"/>
  <c r="E1572" i="14"/>
  <c r="BB1554" i="14"/>
  <c r="G1431" i="14"/>
  <c r="BG1431" i="14" s="1"/>
  <c r="I1478" i="14"/>
  <c r="U1602" i="14"/>
  <c r="I1607" i="14"/>
  <c r="E1537" i="14"/>
  <c r="AZ1489" i="14"/>
  <c r="W1480" i="14"/>
  <c r="T1469" i="14"/>
  <c r="AY1524" i="14"/>
  <c r="J1484" i="14"/>
  <c r="U1577" i="14"/>
  <c r="T1519" i="14"/>
  <c r="BH1519" i="14" s="1"/>
  <c r="G1519" i="14"/>
  <c r="BG1519" i="14" s="1"/>
  <c r="Q1603" i="14"/>
  <c r="BL1625" i="14"/>
  <c r="BM1565" i="14"/>
  <c r="BA1565" i="14"/>
  <c r="U1505" i="14"/>
  <c r="BM1497" i="14"/>
  <c r="BL1483" i="14"/>
  <c r="T1510" i="14"/>
  <c r="BH1510" i="14" s="1"/>
  <c r="BL1559" i="14"/>
  <c r="W1500" i="14"/>
  <c r="BM1453" i="14"/>
  <c r="BM1512" i="14"/>
  <c r="Q1497" i="14"/>
  <c r="Q1510" i="14"/>
  <c r="BM1463" i="14"/>
  <c r="BA1463" i="14"/>
  <c r="E1573" i="14"/>
  <c r="R1537" i="14"/>
  <c r="W1489" i="14"/>
  <c r="AZ1608" i="14"/>
  <c r="T1503" i="14"/>
  <c r="I1503" i="14"/>
  <c r="T1524" i="14"/>
  <c r="W1524" i="14"/>
  <c r="AY1577" i="14"/>
  <c r="J1519" i="14"/>
  <c r="J1603" i="14"/>
  <c r="BA1603" i="14"/>
  <c r="G1625" i="14"/>
  <c r="BG1625" i="14" s="1"/>
  <c r="BB1565" i="14"/>
  <c r="BA1466" i="14"/>
  <c r="BM1505" i="14"/>
  <c r="T1455" i="14"/>
  <c r="R1483" i="14"/>
  <c r="U1559" i="14"/>
  <c r="AZ1500" i="14"/>
  <c r="I1500" i="14"/>
  <c r="G1511" i="14"/>
  <c r="BA1512" i="14"/>
  <c r="BM1573" i="14"/>
  <c r="BB1466" i="14"/>
  <c r="G1466" i="14"/>
  <c r="BG1466" i="14" s="1"/>
  <c r="Q1597" i="14"/>
  <c r="AZ1463" i="14"/>
  <c r="G1573" i="14"/>
  <c r="BG1573" i="14" s="1"/>
  <c r="AY1537" i="14"/>
  <c r="AY1608" i="14"/>
  <c r="R1503" i="14"/>
  <c r="W1503" i="14"/>
  <c r="R1524" i="14"/>
  <c r="Q1524" i="14"/>
  <c r="T1577" i="14"/>
  <c r="W1577" i="14"/>
  <c r="BM1519" i="14"/>
  <c r="BB1603" i="14"/>
  <c r="BM1625" i="14"/>
  <c r="BA1625" i="14"/>
  <c r="AZ1565" i="14"/>
  <c r="U1477" i="14"/>
  <c r="Q1505" i="14"/>
  <c r="I1455" i="14"/>
  <c r="BB1483" i="14"/>
  <c r="I1597" i="14"/>
  <c r="G1559" i="14"/>
  <c r="BG1559" i="14" s="1"/>
  <c r="T1500" i="14"/>
  <c r="BL1524" i="14"/>
  <c r="BL1577" i="14"/>
  <c r="I1577" i="14"/>
  <c r="BL1519" i="14"/>
  <c r="BM1603" i="14"/>
  <c r="AZ1625" i="14"/>
  <c r="Q1625" i="14"/>
  <c r="J1565" i="14"/>
  <c r="G1505" i="14"/>
  <c r="BG1505" i="14" s="1"/>
  <c r="AY1483" i="14"/>
  <c r="Q1451" i="14"/>
  <c r="W1559" i="14"/>
  <c r="J1500" i="14"/>
  <c r="I1511" i="14"/>
  <c r="R1607" i="14"/>
  <c r="Q1537" i="14"/>
  <c r="Q1608" i="14"/>
  <c r="U1503" i="14"/>
  <c r="BB1524" i="14"/>
  <c r="E1577" i="14"/>
  <c r="Q1577" i="14"/>
  <c r="R1519" i="14"/>
  <c r="E1603" i="14"/>
  <c r="U1625" i="14"/>
  <c r="T1565" i="14"/>
  <c r="BL1505" i="14"/>
  <c r="W1505" i="14"/>
  <c r="BA1483" i="14"/>
  <c r="AZ1559" i="14"/>
  <c r="BA1559" i="14"/>
  <c r="R1500" i="14"/>
  <c r="BB1512" i="14"/>
  <c r="BL1480" i="14"/>
  <c r="AZ1503" i="14"/>
  <c r="U1524" i="14"/>
  <c r="BB1577" i="14"/>
  <c r="G1542" i="14"/>
  <c r="BG1542" i="14" s="1"/>
  <c r="BB1519" i="14"/>
  <c r="BL1603" i="14"/>
  <c r="E1625" i="14"/>
  <c r="AY1565" i="14"/>
  <c r="AZ1505" i="14"/>
  <c r="BA1505" i="14"/>
  <c r="G1483" i="14"/>
  <c r="AF1483" i="14" s="1"/>
  <c r="R1559" i="14"/>
  <c r="I1559" i="14"/>
  <c r="E1500" i="14"/>
  <c r="BL1512" i="14"/>
  <c r="Q1453" i="14"/>
  <c r="W1573" i="14"/>
  <c r="E1608" i="14"/>
  <c r="BL1463" i="14"/>
  <c r="BB1607" i="14"/>
  <c r="J1489" i="14"/>
  <c r="U1608" i="14"/>
  <c r="BA1608" i="14"/>
  <c r="J1480" i="14"/>
  <c r="J1503" i="14"/>
  <c r="AZ1524" i="14"/>
  <c r="BL1484" i="14"/>
  <c r="J1577" i="14"/>
  <c r="BM1542" i="14"/>
  <c r="AY1519" i="14"/>
  <c r="AZ1603" i="14"/>
  <c r="J1625" i="14"/>
  <c r="Q1565" i="14"/>
  <c r="T1505" i="14"/>
  <c r="I1505" i="14"/>
  <c r="T1483" i="14"/>
  <c r="BH1483" i="14" s="1"/>
  <c r="Q1483" i="14"/>
  <c r="BM1559" i="14"/>
  <c r="Q1559" i="14"/>
  <c r="BL1500" i="14"/>
  <c r="E1540" i="14"/>
  <c r="R1512" i="14"/>
  <c r="Q1455" i="14"/>
  <c r="J1607" i="14"/>
  <c r="I1608" i="14"/>
  <c r="R1463" i="14"/>
  <c r="BM1607" i="14"/>
  <c r="G1608" i="14"/>
  <c r="BG1608" i="14" s="1"/>
  <c r="J1463" i="14"/>
  <c r="U1607" i="14"/>
  <c r="BB1489" i="14"/>
  <c r="R1608" i="14"/>
  <c r="W1608" i="14"/>
  <c r="Q1480" i="14"/>
  <c r="BB1469" i="14"/>
  <c r="BL1503" i="14"/>
  <c r="E1524" i="14"/>
  <c r="BB1484" i="14"/>
  <c r="R1577" i="14"/>
  <c r="G1446" i="14"/>
  <c r="BG1446" i="14" s="1"/>
  <c r="I1519" i="14"/>
  <c r="I1564" i="14"/>
  <c r="R1603" i="14"/>
  <c r="BB1625" i="14"/>
  <c r="I1565" i="14"/>
  <c r="R1505" i="14"/>
  <c r="AZ1483" i="14"/>
  <c r="I1483" i="14"/>
  <c r="T1559" i="14"/>
  <c r="AY1500" i="14"/>
  <c r="BL1540" i="14"/>
  <c r="E1512" i="14"/>
  <c r="BA1537" i="14"/>
  <c r="BB1503" i="14"/>
  <c r="E1463" i="14"/>
  <c r="T1489" i="14"/>
  <c r="AY1607" i="14"/>
  <c r="T1537" i="14"/>
  <c r="U1489" i="14"/>
  <c r="I1480" i="14"/>
  <c r="E1469" i="14"/>
  <c r="E1484" i="14"/>
  <c r="U1565" i="14"/>
  <c r="J1483" i="14"/>
  <c r="R1453" i="14"/>
  <c r="AZ1512" i="14"/>
  <c r="BA1437" i="14"/>
  <c r="G1437" i="14"/>
  <c r="BG1437" i="14" s="1"/>
  <c r="U1542" i="14"/>
  <c r="I1466" i="14"/>
  <c r="U1497" i="14"/>
  <c r="I1497" i="14"/>
  <c r="G1455" i="14"/>
  <c r="BG1455" i="14" s="1"/>
  <c r="AZ1510" i="14"/>
  <c r="I1510" i="14"/>
  <c r="AY1597" i="14"/>
  <c r="AZ1540" i="14"/>
  <c r="T1453" i="14"/>
  <c r="W1453" i="14"/>
  <c r="AY1511" i="14"/>
  <c r="AZ1573" i="14"/>
  <c r="R1480" i="14"/>
  <c r="BA1480" i="14"/>
  <c r="AZ1469" i="14"/>
  <c r="J1542" i="14"/>
  <c r="BL1466" i="14"/>
  <c r="W1466" i="14"/>
  <c r="J1497" i="14"/>
  <c r="U1455" i="14"/>
  <c r="BA1455" i="14"/>
  <c r="E1510" i="14"/>
  <c r="T1597" i="14"/>
  <c r="G1597" i="14"/>
  <c r="BG1597" i="14" s="1"/>
  <c r="J1540" i="14"/>
  <c r="J1453" i="14"/>
  <c r="T1511" i="14"/>
  <c r="BA1511" i="14"/>
  <c r="J1573" i="14"/>
  <c r="T1480" i="14"/>
  <c r="BL1469" i="14"/>
  <c r="BL1542" i="14"/>
  <c r="BM1466" i="14"/>
  <c r="R1497" i="14"/>
  <c r="BB1455" i="14"/>
  <c r="W1455" i="14"/>
  <c r="BB1510" i="14"/>
  <c r="BB1597" i="14"/>
  <c r="BA1597" i="14"/>
  <c r="U1540" i="14"/>
  <c r="BB1453" i="14"/>
  <c r="E1511" i="14"/>
  <c r="W1511" i="14"/>
  <c r="AY1573" i="14"/>
  <c r="BM1480" i="14"/>
  <c r="U1469" i="14"/>
  <c r="AY1542" i="14"/>
  <c r="J1466" i="14"/>
  <c r="BB1497" i="14"/>
  <c r="BM1455" i="14"/>
  <c r="BM1510" i="14"/>
  <c r="AZ1597" i="14"/>
  <c r="W1597" i="14"/>
  <c r="R1540" i="14"/>
  <c r="AZ1453" i="14"/>
  <c r="BB1511" i="14"/>
  <c r="Q1511" i="14"/>
  <c r="U1480" i="14"/>
  <c r="AY1469" i="14"/>
  <c r="Q1542" i="14"/>
  <c r="AZ1466" i="14"/>
  <c r="AZ1497" i="14"/>
  <c r="BL1455" i="14"/>
  <c r="R1510" i="14"/>
  <c r="R1597" i="14"/>
  <c r="G1540" i="14"/>
  <c r="AY1453" i="14"/>
  <c r="BL1511" i="14"/>
  <c r="R1437" i="14"/>
  <c r="I1469" i="14"/>
  <c r="R1542" i="14"/>
  <c r="W1542" i="14"/>
  <c r="BH1542" i="14" s="1"/>
  <c r="E1466" i="14"/>
  <c r="T1497" i="14"/>
  <c r="BH1497" i="14" s="1"/>
  <c r="AZ1455" i="14"/>
  <c r="U1510" i="14"/>
  <c r="BL1597" i="14"/>
  <c r="AY1540" i="14"/>
  <c r="E1453" i="14"/>
  <c r="J1511" i="14"/>
  <c r="T1573" i="14"/>
  <c r="BA1573" i="14"/>
  <c r="BB1480" i="14"/>
  <c r="T1437" i="14"/>
  <c r="Q1469" i="14"/>
  <c r="E1542" i="14"/>
  <c r="BA1542" i="14"/>
  <c r="U1466" i="14"/>
  <c r="AY1497" i="14"/>
  <c r="J1455" i="14"/>
  <c r="AY1510" i="14"/>
  <c r="J1597" i="14"/>
  <c r="Q1540" i="14"/>
  <c r="BL1453" i="14"/>
  <c r="R1511" i="14"/>
  <c r="AZ1480" i="14"/>
  <c r="R1573" i="14"/>
  <c r="I1573" i="14"/>
  <c r="E1480" i="14"/>
  <c r="AZ1437" i="14"/>
  <c r="BM1469" i="14"/>
  <c r="G1469" i="14"/>
  <c r="BB1542" i="14"/>
  <c r="I1542" i="14"/>
  <c r="R1466" i="14"/>
  <c r="G1497" i="14"/>
  <c r="AF1497" i="14" s="1"/>
  <c r="R1455" i="14"/>
  <c r="G1510" i="14"/>
  <c r="BG1510" i="14" s="1"/>
  <c r="U1597" i="14"/>
  <c r="T1540" i="14"/>
  <c r="W1540" i="14"/>
  <c r="U1453" i="14"/>
  <c r="U1511" i="14"/>
  <c r="BB1573" i="14"/>
  <c r="Q1573" i="14"/>
  <c r="G1480" i="14"/>
  <c r="BM1437" i="14"/>
  <c r="R1469" i="14"/>
  <c r="W1469" i="14"/>
  <c r="AZ1542" i="14"/>
  <c r="AY1466" i="14"/>
  <c r="BA1497" i="14"/>
  <c r="E1455" i="14"/>
  <c r="BA1510" i="14"/>
  <c r="E1597" i="14"/>
  <c r="BB1540" i="14"/>
  <c r="BA1540" i="14"/>
  <c r="BA1453" i="14"/>
  <c r="AZ1511" i="14"/>
  <c r="I1437" i="14"/>
  <c r="BB1437" i="14"/>
  <c r="J1469" i="14"/>
  <c r="E1497" i="14"/>
  <c r="J1510" i="14"/>
  <c r="BM1540" i="14"/>
  <c r="R1546" i="14"/>
  <c r="BL1437" i="14"/>
  <c r="E1437" i="14"/>
  <c r="AY1437" i="14"/>
  <c r="BA1575" i="14"/>
  <c r="Q1437" i="14"/>
  <c r="U1437" i="14"/>
  <c r="W1437" i="14"/>
  <c r="BM1581" i="14"/>
  <c r="BL1546" i="14"/>
  <c r="T1581" i="14"/>
  <c r="AZ1433" i="14"/>
  <c r="U1433" i="14"/>
  <c r="BM1433" i="14"/>
  <c r="AY1433" i="14"/>
  <c r="G1433" i="14"/>
  <c r="BG1433" i="14" s="1"/>
  <c r="I1433" i="14"/>
  <c r="BA1465" i="14"/>
  <c r="BA1602" i="14"/>
  <c r="T1433" i="14"/>
  <c r="W1433" i="14"/>
  <c r="E1433" i="14"/>
  <c r="BA1433" i="14"/>
  <c r="BB1433" i="14"/>
  <c r="Q1433" i="14"/>
  <c r="BL1433" i="14"/>
  <c r="G1534" i="14"/>
  <c r="BG1534" i="14" s="1"/>
  <c r="J1433" i="14"/>
  <c r="AZ1602" i="14"/>
  <c r="J1462" i="14"/>
  <c r="R1478" i="14"/>
  <c r="BA1478" i="14"/>
  <c r="BB1462" i="14"/>
  <c r="J1478" i="14"/>
  <c r="W1478" i="14"/>
  <c r="AY1462" i="14"/>
  <c r="U1478" i="14"/>
  <c r="G1462" i="14"/>
  <c r="BG1462" i="14" s="1"/>
  <c r="E1478" i="14"/>
  <c r="T1462" i="14"/>
  <c r="W1462" i="14"/>
  <c r="BL1478" i="14"/>
  <c r="R1462" i="14"/>
  <c r="BA1462" i="14"/>
  <c r="AZ1478" i="14"/>
  <c r="AZ1462" i="14"/>
  <c r="BB1628" i="14"/>
  <c r="W1576" i="14"/>
  <c r="AF1576" i="14" s="1"/>
  <c r="W1527" i="14"/>
  <c r="BL1449" i="14"/>
  <c r="AZ1467" i="14"/>
  <c r="BM1499" i="14"/>
  <c r="E1628" i="14"/>
  <c r="W1628" i="14"/>
  <c r="AF1628" i="14" s="1"/>
  <c r="J1601" i="14"/>
  <c r="E1449" i="14"/>
  <c r="BA1628" i="14"/>
  <c r="T1461" i="14"/>
  <c r="AZ1527" i="14"/>
  <c r="I1527" i="14"/>
  <c r="BB1449" i="14"/>
  <c r="BA1467" i="14"/>
  <c r="AY1589" i="14"/>
  <c r="BL1448" i="14"/>
  <c r="U1628" i="14"/>
  <c r="I1628" i="14"/>
  <c r="AZ1496" i="14"/>
  <c r="W1496" i="14"/>
  <c r="BB1601" i="14"/>
  <c r="AZ1601" i="14"/>
  <c r="BM1527" i="14"/>
  <c r="Q1527" i="14"/>
  <c r="AZ1449" i="14"/>
  <c r="Q1589" i="14"/>
  <c r="R1448" i="14"/>
  <c r="BM1628" i="14"/>
  <c r="E1601" i="14"/>
  <c r="U1461" i="14"/>
  <c r="BL1527" i="14"/>
  <c r="AY1449" i="14"/>
  <c r="BB1448" i="14"/>
  <c r="J1628" i="14"/>
  <c r="BM1496" i="14"/>
  <c r="G1601" i="14"/>
  <c r="U1527" i="14"/>
  <c r="G1449" i="14"/>
  <c r="BG1449" i="14" s="1"/>
  <c r="I1448" i="14"/>
  <c r="T1628" i="14"/>
  <c r="BB1496" i="14"/>
  <c r="AY1601" i="14"/>
  <c r="E1461" i="14"/>
  <c r="W1461" i="14"/>
  <c r="AF1461" i="14" s="1"/>
  <c r="BB1527" i="14"/>
  <c r="Q1449" i="14"/>
  <c r="BL1628" i="14"/>
  <c r="J1496" i="14"/>
  <c r="W1601" i="14"/>
  <c r="E1527" i="14"/>
  <c r="T1449" i="14"/>
  <c r="W1449" i="14"/>
  <c r="BB1590" i="14"/>
  <c r="AZ1628" i="14"/>
  <c r="E1496" i="14"/>
  <c r="T1601" i="14"/>
  <c r="BA1601" i="14"/>
  <c r="R1527" i="14"/>
  <c r="R1449" i="14"/>
  <c r="BA1449" i="14"/>
  <c r="E1590" i="14"/>
  <c r="R1628" i="14"/>
  <c r="U1601" i="14"/>
  <c r="Q1601" i="14"/>
  <c r="T1617" i="14"/>
  <c r="R1576" i="14"/>
  <c r="J1527" i="14"/>
  <c r="U1449" i="14"/>
  <c r="I1449" i="14"/>
  <c r="BL1590" i="14"/>
  <c r="AY1628" i="14"/>
  <c r="BL1496" i="14"/>
  <c r="BL1601" i="14"/>
  <c r="I1601" i="14"/>
  <c r="I1617" i="14"/>
  <c r="T1576" i="14"/>
  <c r="AY1527" i="14"/>
  <c r="BM1449" i="14"/>
  <c r="BB1499" i="14"/>
  <c r="Q1628" i="14"/>
  <c r="BM1601" i="14"/>
  <c r="W1617" i="14"/>
  <c r="BM1576" i="14"/>
  <c r="BL1499" i="14"/>
  <c r="BB1501" i="14"/>
  <c r="U1526" i="14"/>
  <c r="BL1434" i="14"/>
  <c r="BL1548" i="14"/>
  <c r="AY1538" i="14"/>
  <c r="BM1518" i="14"/>
  <c r="Q1605" i="14"/>
  <c r="E1548" i="14"/>
  <c r="U1518" i="14"/>
  <c r="E1501" i="14"/>
  <c r="G1526" i="14"/>
  <c r="BG1526" i="14" s="1"/>
  <c r="BB1434" i="14"/>
  <c r="G1548" i="14"/>
  <c r="BG1548" i="14" s="1"/>
  <c r="BA1538" i="14"/>
  <c r="AZ1518" i="14"/>
  <c r="J1501" i="14"/>
  <c r="BA1526" i="14"/>
  <c r="T1434" i="14"/>
  <c r="BA1548" i="14"/>
  <c r="W1518" i="14"/>
  <c r="E1535" i="14"/>
  <c r="U1501" i="14"/>
  <c r="W1526" i="14"/>
  <c r="E1434" i="14"/>
  <c r="Q1548" i="14"/>
  <c r="BA1518" i="14"/>
  <c r="J1535" i="14"/>
  <c r="T1561" i="14"/>
  <c r="AY1526" i="14"/>
  <c r="U1434" i="14"/>
  <c r="G1501" i="14"/>
  <c r="BG1501" i="14" s="1"/>
  <c r="T1526" i="14"/>
  <c r="I1526" i="14"/>
  <c r="AY1434" i="14"/>
  <c r="I1548" i="14"/>
  <c r="I1561" i="14"/>
  <c r="AY1501" i="14"/>
  <c r="AZ1526" i="14"/>
  <c r="Q1434" i="14"/>
  <c r="T1538" i="14"/>
  <c r="R1550" i="14"/>
  <c r="Q1561" i="14"/>
  <c r="Q1538" i="14"/>
  <c r="BA1501" i="14"/>
  <c r="BM1526" i="14"/>
  <c r="W1434" i="14"/>
  <c r="T1548" i="14"/>
  <c r="BH1548" i="14" s="1"/>
  <c r="U1538" i="14"/>
  <c r="AZ1550" i="14"/>
  <c r="R1501" i="14"/>
  <c r="T1501" i="14"/>
  <c r="W1501" i="14"/>
  <c r="R1526" i="14"/>
  <c r="BA1434" i="14"/>
  <c r="AZ1548" i="14"/>
  <c r="R1538" i="14"/>
  <c r="BA1550" i="14"/>
  <c r="J1630" i="14"/>
  <c r="AZ1501" i="14"/>
  <c r="I1501" i="14"/>
  <c r="BL1526" i="14"/>
  <c r="I1434" i="14"/>
  <c r="BM1548" i="14"/>
  <c r="BL1538" i="14"/>
  <c r="BL1605" i="14"/>
  <c r="I1550" i="14"/>
  <c r="AZ1630" i="14"/>
  <c r="BM1501" i="14"/>
  <c r="BB1526" i="14"/>
  <c r="R1434" i="14"/>
  <c r="J1548" i="14"/>
  <c r="BB1538" i="14"/>
  <c r="AZ1605" i="14"/>
  <c r="T1607" i="14"/>
  <c r="W1607" i="14"/>
  <c r="W1537" i="14"/>
  <c r="E1489" i="14"/>
  <c r="T1484" i="14"/>
  <c r="J1434" i="14"/>
  <c r="BB1548" i="14"/>
  <c r="T1564" i="14"/>
  <c r="BM1538" i="14"/>
  <c r="BL1518" i="14"/>
  <c r="I1518" i="14"/>
  <c r="BM1605" i="14"/>
  <c r="AZ1535" i="14"/>
  <c r="U1550" i="14"/>
  <c r="Q1550" i="14"/>
  <c r="BL1561" i="14"/>
  <c r="BA1561" i="14"/>
  <c r="BL1630" i="14"/>
  <c r="I1484" i="14"/>
  <c r="BL1564" i="14"/>
  <c r="E1518" i="14"/>
  <c r="BB1605" i="14"/>
  <c r="U1535" i="14"/>
  <c r="J1550" i="14"/>
  <c r="J1561" i="14"/>
  <c r="W1561" i="14"/>
  <c r="AY1630" i="14"/>
  <c r="AZ1607" i="14"/>
  <c r="Q1607" i="14"/>
  <c r="U1537" i="14"/>
  <c r="I1537" i="14"/>
  <c r="AY1489" i="14"/>
  <c r="Q1484" i="14"/>
  <c r="E1526" i="14"/>
  <c r="G1434" i="14"/>
  <c r="BG1434" i="14" s="1"/>
  <c r="U1548" i="14"/>
  <c r="R1564" i="14"/>
  <c r="E1538" i="14"/>
  <c r="BB1518" i="14"/>
  <c r="AY1605" i="14"/>
  <c r="BB1535" i="14"/>
  <c r="BM1550" i="14"/>
  <c r="BB1561" i="14"/>
  <c r="Q1630" i="14"/>
  <c r="G1484" i="14"/>
  <c r="R1446" i="14"/>
  <c r="U1564" i="14"/>
  <c r="G1605" i="14"/>
  <c r="BG1605" i="14" s="1"/>
  <c r="BB1444" i="14"/>
  <c r="AY1535" i="14"/>
  <c r="BL1550" i="14"/>
  <c r="BM1561" i="14"/>
  <c r="J1620" i="14"/>
  <c r="BA1630" i="14"/>
  <c r="BA1484" i="14"/>
  <c r="U1446" i="14"/>
  <c r="BB1564" i="14"/>
  <c r="T1477" i="14"/>
  <c r="J1518" i="14"/>
  <c r="BA1605" i="14"/>
  <c r="T1569" i="14"/>
  <c r="BM1444" i="14"/>
  <c r="BA1535" i="14"/>
  <c r="T1550" i="14"/>
  <c r="BH1550" i="14" s="1"/>
  <c r="AZ1561" i="14"/>
  <c r="AY1620" i="14"/>
  <c r="E1607" i="14"/>
  <c r="BB1537" i="14"/>
  <c r="BM1489" i="14"/>
  <c r="I1489" i="14"/>
  <c r="BM1484" i="14"/>
  <c r="W1484" i="14"/>
  <c r="T1446" i="14"/>
  <c r="G1564" i="14"/>
  <c r="E1477" i="14"/>
  <c r="R1518" i="14"/>
  <c r="T1605" i="14"/>
  <c r="W1605" i="14"/>
  <c r="BM1569" i="14"/>
  <c r="J1444" i="14"/>
  <c r="G1535" i="14"/>
  <c r="BG1535" i="14" s="1"/>
  <c r="E1550" i="14"/>
  <c r="U1561" i="14"/>
  <c r="Q1620" i="14"/>
  <c r="Q1512" i="14"/>
  <c r="J1569" i="14"/>
  <c r="T1535" i="14"/>
  <c r="Q1535" i="14"/>
  <c r="BB1550" i="14"/>
  <c r="T1451" i="14"/>
  <c r="R1561" i="14"/>
  <c r="G1620" i="14"/>
  <c r="BG1620" i="14" s="1"/>
  <c r="T1512" i="14"/>
  <c r="I1512" i="14"/>
  <c r="BL1537" i="14"/>
  <c r="BL1489" i="14"/>
  <c r="R1484" i="14"/>
  <c r="I1446" i="14"/>
  <c r="AY1548" i="14"/>
  <c r="AZ1538" i="14"/>
  <c r="W1538" i="14"/>
  <c r="BL1477" i="14"/>
  <c r="AY1518" i="14"/>
  <c r="R1605" i="14"/>
  <c r="I1605" i="14"/>
  <c r="AY1569" i="14"/>
  <c r="BM1535" i="14"/>
  <c r="I1535" i="14"/>
  <c r="G1550" i="14"/>
  <c r="AF1550" i="14" s="1"/>
  <c r="E1451" i="14"/>
  <c r="E1561" i="14"/>
  <c r="BM1630" i="14"/>
  <c r="U1512" i="14"/>
  <c r="W1512" i="14"/>
  <c r="AZ1484" i="14"/>
  <c r="Q1446" i="14"/>
  <c r="J1538" i="14"/>
  <c r="W1477" i="14"/>
  <c r="Q1518" i="14"/>
  <c r="U1605" i="14"/>
  <c r="W1569" i="14"/>
  <c r="BL1535" i="14"/>
  <c r="W1535" i="14"/>
  <c r="AY1550" i="14"/>
  <c r="I1451" i="14"/>
  <c r="G1561" i="14"/>
  <c r="E1630" i="14"/>
  <c r="BA1477" i="14"/>
  <c r="W1451" i="14"/>
  <c r="AF1451" i="14" s="1"/>
  <c r="R1630" i="14"/>
  <c r="T1541" i="14"/>
  <c r="BB1556" i="14"/>
  <c r="U1541" i="14"/>
  <c r="BM1556" i="14"/>
  <c r="E1459" i="14"/>
  <c r="E1604" i="14"/>
  <c r="BB1541" i="14"/>
  <c r="AZ1460" i="14"/>
  <c r="R1613" i="14"/>
  <c r="BB1509" i="14"/>
  <c r="BA1541" i="14"/>
  <c r="E1460" i="14"/>
  <c r="BL1629" i="14"/>
  <c r="W1541" i="14"/>
  <c r="AY1545" i="14"/>
  <c r="Q1509" i="14"/>
  <c r="T1470" i="14"/>
  <c r="BB1495" i="14"/>
  <c r="U1551" i="14"/>
  <c r="E1627" i="14"/>
  <c r="U1613" i="14"/>
  <c r="AZ1613" i="14"/>
  <c r="AZ1470" i="14"/>
  <c r="I1609" i="14"/>
  <c r="T1588" i="14"/>
  <c r="J1627" i="14"/>
  <c r="AY1613" i="14"/>
  <c r="I1470" i="14"/>
  <c r="BM1575" i="14"/>
  <c r="BB1588" i="14"/>
  <c r="AY1457" i="14"/>
  <c r="W1627" i="14"/>
  <c r="AF1627" i="14" s="1"/>
  <c r="BB1613" i="14"/>
  <c r="J1575" i="14"/>
  <c r="R1539" i="14"/>
  <c r="W1588" i="14"/>
  <c r="T1595" i="14"/>
  <c r="G1457" i="14"/>
  <c r="BG1457" i="14" s="1"/>
  <c r="Q1627" i="14"/>
  <c r="BA1613" i="14"/>
  <c r="W1470" i="14"/>
  <c r="Q1613" i="14"/>
  <c r="E1575" i="14"/>
  <c r="G1588" i="14"/>
  <c r="BG1588" i="14" s="1"/>
  <c r="W1595" i="14"/>
  <c r="AF1595" i="14" s="1"/>
  <c r="AY1487" i="14"/>
  <c r="BA1604" i="14"/>
  <c r="BB1470" i="14"/>
  <c r="T1604" i="14"/>
  <c r="BH1604" i="14" s="1"/>
  <c r="I1604" i="14"/>
  <c r="J1613" i="14"/>
  <c r="BM1509" i="14"/>
  <c r="I1509" i="14"/>
  <c r="AY1470" i="14"/>
  <c r="G1609" i="14"/>
  <c r="BL1575" i="14"/>
  <c r="BM1539" i="14"/>
  <c r="Q1541" i="14"/>
  <c r="J1446" i="14"/>
  <c r="BA1564" i="14"/>
  <c r="BL1495" i="14"/>
  <c r="BL1588" i="14"/>
  <c r="BA1588" i="14"/>
  <c r="J1545" i="14"/>
  <c r="BL1556" i="14"/>
  <c r="I1477" i="14"/>
  <c r="I1595" i="14"/>
  <c r="BB1534" i="14"/>
  <c r="J1460" i="14"/>
  <c r="Q1460" i="14"/>
  <c r="BL1569" i="14"/>
  <c r="BM1629" i="14"/>
  <c r="Q1629" i="14"/>
  <c r="U1457" i="14"/>
  <c r="BL1444" i="14"/>
  <c r="Q1444" i="14"/>
  <c r="J1546" i="14"/>
  <c r="AY1451" i="14"/>
  <c r="BL1459" i="14"/>
  <c r="BA1627" i="14"/>
  <c r="BB1487" i="14"/>
  <c r="U1581" i="14"/>
  <c r="BM1620" i="14"/>
  <c r="BM1459" i="14"/>
  <c r="BM1604" i="14"/>
  <c r="T1613" i="14"/>
  <c r="W1613" i="14"/>
  <c r="AF1613" i="14" s="1"/>
  <c r="J1509" i="14"/>
  <c r="BL1470" i="14"/>
  <c r="BA1470" i="14"/>
  <c r="BL1609" i="14"/>
  <c r="W1609" i="14"/>
  <c r="U1484" i="14"/>
  <c r="U1575" i="14"/>
  <c r="AZ1539" i="14"/>
  <c r="BM1541" i="14"/>
  <c r="I1541" i="14"/>
  <c r="BB1446" i="14"/>
  <c r="AZ1564" i="14"/>
  <c r="W1564" i="14"/>
  <c r="AZ1495" i="14"/>
  <c r="J1588" i="14"/>
  <c r="I1545" i="14"/>
  <c r="J1556" i="14"/>
  <c r="J1477" i="14"/>
  <c r="Q1477" i="14"/>
  <c r="BL1595" i="14"/>
  <c r="Q1595" i="14"/>
  <c r="I1534" i="14"/>
  <c r="BM1460" i="14"/>
  <c r="R1569" i="14"/>
  <c r="E1629" i="14"/>
  <c r="I1457" i="14"/>
  <c r="E1444" i="14"/>
  <c r="BM1546" i="14"/>
  <c r="AZ1451" i="14"/>
  <c r="BA1451" i="14"/>
  <c r="Q1465" i="14"/>
  <c r="J1602" i="14"/>
  <c r="W1602" i="14"/>
  <c r="J1459" i="14"/>
  <c r="U1627" i="14"/>
  <c r="I1627" i="14"/>
  <c r="BA1487" i="14"/>
  <c r="AZ1581" i="14"/>
  <c r="I1620" i="14"/>
  <c r="E1495" i="14"/>
  <c r="AY1534" i="14"/>
  <c r="AZ1629" i="14"/>
  <c r="BL1509" i="14"/>
  <c r="Q1470" i="14"/>
  <c r="Q1609" i="14"/>
  <c r="J1495" i="14"/>
  <c r="R1588" i="14"/>
  <c r="BA1545" i="14"/>
  <c r="AY1556" i="14"/>
  <c r="BB1595" i="14"/>
  <c r="T1534" i="14"/>
  <c r="W1534" i="14"/>
  <c r="R1460" i="14"/>
  <c r="BB1629" i="14"/>
  <c r="BB1457" i="14"/>
  <c r="BA1457" i="14"/>
  <c r="U1546" i="14"/>
  <c r="G1459" i="14"/>
  <c r="BG1459" i="14" s="1"/>
  <c r="BL1627" i="14"/>
  <c r="AZ1487" i="14"/>
  <c r="G1487" i="14"/>
  <c r="BG1487" i="14" s="1"/>
  <c r="AY1581" i="14"/>
  <c r="T1609" i="14"/>
  <c r="AZ1595" i="14"/>
  <c r="BL1604" i="14"/>
  <c r="U1470" i="14"/>
  <c r="E1609" i="14"/>
  <c r="G1575" i="14"/>
  <c r="G1539" i="14"/>
  <c r="BG1539" i="14" s="1"/>
  <c r="J1541" i="14"/>
  <c r="T1545" i="14"/>
  <c r="BB1604" i="14"/>
  <c r="BM1613" i="14"/>
  <c r="I1613" i="14"/>
  <c r="E1509" i="14"/>
  <c r="R1470" i="14"/>
  <c r="J1609" i="14"/>
  <c r="AY1575" i="14"/>
  <c r="AY1539" i="14"/>
  <c r="AZ1541" i="14"/>
  <c r="AY1446" i="14"/>
  <c r="E1564" i="14"/>
  <c r="U1495" i="14"/>
  <c r="U1588" i="14"/>
  <c r="BL1545" i="14"/>
  <c r="G1545" i="14"/>
  <c r="BG1545" i="14" s="1"/>
  <c r="G1556" i="14"/>
  <c r="BG1556" i="14" s="1"/>
  <c r="R1477" i="14"/>
  <c r="J1595" i="14"/>
  <c r="BM1534" i="14"/>
  <c r="BA1534" i="14"/>
  <c r="BL1460" i="14"/>
  <c r="G1569" i="14"/>
  <c r="U1629" i="14"/>
  <c r="AZ1457" i="14"/>
  <c r="W1457" i="14"/>
  <c r="R1444" i="14"/>
  <c r="G1546" i="14"/>
  <c r="BG1546" i="14" s="1"/>
  <c r="R1451" i="14"/>
  <c r="R1602" i="14"/>
  <c r="G1533" i="14"/>
  <c r="BG1533" i="14" s="1"/>
  <c r="AY1459" i="14"/>
  <c r="R1627" i="14"/>
  <c r="T1487" i="14"/>
  <c r="W1487" i="14"/>
  <c r="I1581" i="14"/>
  <c r="BB1620" i="14"/>
  <c r="W1620" i="14"/>
  <c r="BH1620" i="14" s="1"/>
  <c r="BA1595" i="14"/>
  <c r="Q1575" i="14"/>
  <c r="I1539" i="14"/>
  <c r="R1541" i="14"/>
  <c r="G1495" i="14"/>
  <c r="BG1495" i="14" s="1"/>
  <c r="E1588" i="14"/>
  <c r="R1545" i="14"/>
  <c r="W1545" i="14"/>
  <c r="Q1556" i="14"/>
  <c r="AZ1477" i="14"/>
  <c r="R1595" i="14"/>
  <c r="U1534" i="14"/>
  <c r="Q1534" i="14"/>
  <c r="U1460" i="14"/>
  <c r="I1569" i="14"/>
  <c r="R1629" i="14"/>
  <c r="T1457" i="14"/>
  <c r="Q1457" i="14"/>
  <c r="U1444" i="14"/>
  <c r="AY1546" i="14"/>
  <c r="BM1451" i="14"/>
  <c r="Q1533" i="14"/>
  <c r="W1459" i="14"/>
  <c r="AZ1627" i="14"/>
  <c r="BL1487" i="14"/>
  <c r="Q1487" i="14"/>
  <c r="G1581" i="14"/>
  <c r="BG1581" i="14" s="1"/>
  <c r="AZ1620" i="14"/>
  <c r="BA1620" i="14"/>
  <c r="Q1545" i="14"/>
  <c r="I1487" i="14"/>
  <c r="R1509" i="14"/>
  <c r="BM1470" i="14"/>
  <c r="U1609" i="14"/>
  <c r="T1575" i="14"/>
  <c r="I1575" i="14"/>
  <c r="T1539" i="14"/>
  <c r="W1539" i="14"/>
  <c r="BL1541" i="14"/>
  <c r="BL1446" i="14"/>
  <c r="BA1446" i="14"/>
  <c r="J1564" i="14"/>
  <c r="AY1495" i="14"/>
  <c r="AZ1588" i="14"/>
  <c r="AZ1545" i="14"/>
  <c r="T1556" i="14"/>
  <c r="W1556" i="14"/>
  <c r="BM1477" i="14"/>
  <c r="E1595" i="14"/>
  <c r="AZ1534" i="14"/>
  <c r="G1460" i="14"/>
  <c r="BG1460" i="14" s="1"/>
  <c r="U1569" i="14"/>
  <c r="Q1569" i="14"/>
  <c r="AY1629" i="14"/>
  <c r="J1457" i="14"/>
  <c r="AY1444" i="14"/>
  <c r="I1546" i="14"/>
  <c r="BL1451" i="14"/>
  <c r="BM1602" i="14"/>
  <c r="T1459" i="14"/>
  <c r="BA1459" i="14"/>
  <c r="BB1627" i="14"/>
  <c r="R1487" i="14"/>
  <c r="J1581" i="14"/>
  <c r="W1581" i="14"/>
  <c r="E1620" i="14"/>
  <c r="T1630" i="14"/>
  <c r="BH1630" i="14" s="1"/>
  <c r="G1630" i="14"/>
  <c r="BG1630" i="14" s="1"/>
  <c r="BA1609" i="14"/>
  <c r="U1539" i="14"/>
  <c r="R1604" i="14"/>
  <c r="U1509" i="14"/>
  <c r="J1470" i="14"/>
  <c r="R1609" i="14"/>
  <c r="G1604" i="14"/>
  <c r="BG1604" i="14" s="1"/>
  <c r="BL1613" i="14"/>
  <c r="AY1604" i="14"/>
  <c r="E1613" i="14"/>
  <c r="G1509" i="14"/>
  <c r="AF1509" i="14" s="1"/>
  <c r="E1470" i="14"/>
  <c r="BM1609" i="14"/>
  <c r="BB1575" i="14"/>
  <c r="W1575" i="14"/>
  <c r="J1539" i="14"/>
  <c r="BA1539" i="14"/>
  <c r="E1541" i="14"/>
  <c r="E1446" i="14"/>
  <c r="W1446" i="14"/>
  <c r="BM1564" i="14"/>
  <c r="I1495" i="14"/>
  <c r="BM1588" i="14"/>
  <c r="BB1545" i="14"/>
  <c r="E1556" i="14"/>
  <c r="BA1556" i="14"/>
  <c r="BB1477" i="14"/>
  <c r="BM1595" i="14"/>
  <c r="J1534" i="14"/>
  <c r="AY1460" i="14"/>
  <c r="BB1569" i="14"/>
  <c r="BA1569" i="14"/>
  <c r="I1629" i="14"/>
  <c r="E1457" i="14"/>
  <c r="G1444" i="14"/>
  <c r="BG1444" i="14" s="1"/>
  <c r="T1546" i="14"/>
  <c r="BA1546" i="14"/>
  <c r="BB1451" i="14"/>
  <c r="BL1602" i="14"/>
  <c r="BB1459" i="14"/>
  <c r="Q1459" i="14"/>
  <c r="BM1627" i="14"/>
  <c r="J1487" i="14"/>
  <c r="BL1581" i="14"/>
  <c r="BA1581" i="14"/>
  <c r="BL1620" i="14"/>
  <c r="BB1630" i="14"/>
  <c r="I1630" i="14"/>
  <c r="Q1604" i="14"/>
  <c r="BB1609" i="14"/>
  <c r="E1539" i="14"/>
  <c r="Q1539" i="14"/>
  <c r="T1495" i="14"/>
  <c r="W1495" i="14"/>
  <c r="AY1588" i="14"/>
  <c r="E1545" i="14"/>
  <c r="AZ1556" i="14"/>
  <c r="I1556" i="14"/>
  <c r="U1595" i="14"/>
  <c r="E1534" i="14"/>
  <c r="W1460" i="14"/>
  <c r="W1629" i="14"/>
  <c r="R1457" i="14"/>
  <c r="I1444" i="14"/>
  <c r="BB1546" i="14"/>
  <c r="W1546" i="14"/>
  <c r="J1451" i="14"/>
  <c r="U1459" i="14"/>
  <c r="I1459" i="14"/>
  <c r="T1627" i="14"/>
  <c r="U1487" i="14"/>
  <c r="R1581" i="14"/>
  <c r="Q1581" i="14"/>
  <c r="R1620" i="14"/>
  <c r="U1630" i="14"/>
  <c r="AZ1575" i="14"/>
  <c r="BB1539" i="14"/>
  <c r="G1541" i="14"/>
  <c r="BG1541" i="14" s="1"/>
  <c r="BM1446" i="14"/>
  <c r="AY1564" i="14"/>
  <c r="R1495" i="14"/>
  <c r="BA1495" i="14"/>
  <c r="I1588" i="14"/>
  <c r="U1545" i="14"/>
  <c r="R1556" i="14"/>
  <c r="G1477" i="14"/>
  <c r="BG1477" i="14" s="1"/>
  <c r="AY1595" i="14"/>
  <c r="BL1534" i="14"/>
  <c r="T1460" i="14"/>
  <c r="BA1460" i="14"/>
  <c r="E1569" i="14"/>
  <c r="T1629" i="14"/>
  <c r="G1629" i="14"/>
  <c r="BG1629" i="14" s="1"/>
  <c r="BM1457" i="14"/>
  <c r="T1444" i="14"/>
  <c r="W1444" i="14"/>
  <c r="AZ1546" i="14"/>
  <c r="Q1546" i="14"/>
  <c r="U1451" i="14"/>
  <c r="AZ1459" i="14"/>
  <c r="AY1627" i="14"/>
  <c r="E1487" i="14"/>
  <c r="BB1581" i="14"/>
  <c r="U1620" i="14"/>
  <c r="J1604" i="14"/>
  <c r="AZ1509" i="14"/>
  <c r="AY1509" i="14"/>
  <c r="U1604" i="14"/>
  <c r="BA1509" i="14"/>
  <c r="AZ1609" i="14"/>
  <c r="AZ1604" i="14"/>
  <c r="T1509" i="14"/>
  <c r="BH1509" i="14" s="1"/>
  <c r="BM1495" i="14"/>
  <c r="BB1460" i="14"/>
  <c r="J1629" i="14"/>
  <c r="AZ1444" i="14"/>
  <c r="R1579" i="14"/>
  <c r="BA1532" i="14"/>
  <c r="I1579" i="14"/>
  <c r="BA1551" i="14"/>
  <c r="BA1580" i="14"/>
  <c r="BM1623" i="14"/>
  <c r="Q1504" i="14"/>
  <c r="AZ1621" i="14"/>
  <c r="I1621" i="14"/>
  <c r="G1532" i="14"/>
  <c r="BG1532" i="14" s="1"/>
  <c r="Q1579" i="14"/>
  <c r="W1551" i="14"/>
  <c r="AF1551" i="14" s="1"/>
  <c r="W1580" i="14"/>
  <c r="G1623" i="14"/>
  <c r="BG1623" i="14" s="1"/>
  <c r="BB1621" i="14"/>
  <c r="Q1621" i="14"/>
  <c r="G1566" i="14"/>
  <c r="J1621" i="14"/>
  <c r="AY1566" i="14"/>
  <c r="T1621" i="14"/>
  <c r="E1621" i="14"/>
  <c r="U1587" i="14"/>
  <c r="I1504" i="14"/>
  <c r="BL1621" i="14"/>
  <c r="U1471" i="14"/>
  <c r="T1587" i="14"/>
  <c r="G1621" i="14"/>
  <c r="BM1621" i="14"/>
  <c r="AZ1471" i="14"/>
  <c r="BB1532" i="14"/>
  <c r="U1621" i="14"/>
  <c r="R1621" i="14"/>
  <c r="AY1621" i="14"/>
  <c r="E1532" i="14"/>
  <c r="BB1458" i="14"/>
  <c r="J1504" i="14"/>
  <c r="J1532" i="14"/>
  <c r="BB1579" i="14"/>
  <c r="BB1551" i="14"/>
  <c r="T1580" i="14"/>
  <c r="R1458" i="14"/>
  <c r="AZ1504" i="14"/>
  <c r="AZ1612" i="14"/>
  <c r="BM1599" i="14"/>
  <c r="Q1599" i="14"/>
  <c r="U1584" i="14"/>
  <c r="W1584" i="14"/>
  <c r="AF1584" i="14" s="1"/>
  <c r="BM1442" i="14"/>
  <c r="W1442" i="14"/>
  <c r="J1599" i="14"/>
  <c r="BB1442" i="14"/>
  <c r="AY1626" i="14"/>
  <c r="T1432" i="14"/>
  <c r="BA1432" i="14"/>
  <c r="BL1532" i="14"/>
  <c r="W1532" i="14"/>
  <c r="U1443" i="14"/>
  <c r="BL1471" i="14"/>
  <c r="AZ1594" i="14"/>
  <c r="BL1522" i="14"/>
  <c r="AZ1579" i="14"/>
  <c r="T1586" i="14"/>
  <c r="BA1586" i="14"/>
  <c r="I1566" i="14"/>
  <c r="J1551" i="14"/>
  <c r="I1551" i="14"/>
  <c r="BA1492" i="14"/>
  <c r="U1580" i="14"/>
  <c r="I1580" i="14"/>
  <c r="AZ1587" i="14"/>
  <c r="E1612" i="14"/>
  <c r="AY1623" i="14"/>
  <c r="U1599" i="14"/>
  <c r="R1584" i="14"/>
  <c r="J1458" i="14"/>
  <c r="U1442" i="14"/>
  <c r="R1504" i="14"/>
  <c r="Q1626" i="14"/>
  <c r="AZ1432" i="14"/>
  <c r="W1432" i="14"/>
  <c r="AZ1532" i="14"/>
  <c r="AY1443" i="14"/>
  <c r="E1471" i="14"/>
  <c r="R1594" i="14"/>
  <c r="T1522" i="14"/>
  <c r="BL1579" i="14"/>
  <c r="BL1586" i="14"/>
  <c r="Q1586" i="14"/>
  <c r="T1566" i="14"/>
  <c r="W1566" i="14"/>
  <c r="BL1551" i="14"/>
  <c r="T1492" i="14"/>
  <c r="W1492" i="14"/>
  <c r="E1580" i="14"/>
  <c r="AY1587" i="14"/>
  <c r="BL1612" i="14"/>
  <c r="I1623" i="14"/>
  <c r="AZ1599" i="14"/>
  <c r="BB1584" i="14"/>
  <c r="BL1458" i="14"/>
  <c r="BL1442" i="14"/>
  <c r="BL1504" i="14"/>
  <c r="R1626" i="14"/>
  <c r="W1626" i="14"/>
  <c r="BL1432" i="14"/>
  <c r="Q1432" i="14"/>
  <c r="T1532" i="14"/>
  <c r="G1443" i="14"/>
  <c r="R1471" i="14"/>
  <c r="U1594" i="14"/>
  <c r="BM1522" i="14"/>
  <c r="BM1579" i="14"/>
  <c r="BM1586" i="14"/>
  <c r="I1586" i="14"/>
  <c r="BM1566" i="14"/>
  <c r="BA1566" i="14"/>
  <c r="BM1551" i="14"/>
  <c r="R1492" i="14"/>
  <c r="Q1492" i="14"/>
  <c r="J1580" i="14"/>
  <c r="G1587" i="14"/>
  <c r="BG1587" i="14" s="1"/>
  <c r="J1612" i="14"/>
  <c r="T1623" i="14"/>
  <c r="BA1623" i="14"/>
  <c r="R1599" i="14"/>
  <c r="J1584" i="14"/>
  <c r="G1458" i="14"/>
  <c r="BG1458" i="14" s="1"/>
  <c r="AZ1442" i="14"/>
  <c r="BB1504" i="14"/>
  <c r="BL1626" i="14"/>
  <c r="Q1443" i="14"/>
  <c r="AY1471" i="14"/>
  <c r="BB1594" i="14"/>
  <c r="U1522" i="14"/>
  <c r="J1579" i="14"/>
  <c r="J1586" i="14"/>
  <c r="BB1566" i="14"/>
  <c r="Q1566" i="14"/>
  <c r="T1551" i="14"/>
  <c r="E1492" i="14"/>
  <c r="I1492" i="14"/>
  <c r="BB1580" i="14"/>
  <c r="I1587" i="14"/>
  <c r="U1612" i="14"/>
  <c r="E1623" i="14"/>
  <c r="W1623" i="14"/>
  <c r="BB1599" i="14"/>
  <c r="BM1584" i="14"/>
  <c r="AY1458" i="14"/>
  <c r="R1442" i="14"/>
  <c r="BM1504" i="14"/>
  <c r="U1626" i="14"/>
  <c r="I1626" i="14"/>
  <c r="BB1432" i="14"/>
  <c r="BM1532" i="14"/>
  <c r="T1443" i="14"/>
  <c r="I1443" i="14"/>
  <c r="Q1471" i="14"/>
  <c r="BL1594" i="14"/>
  <c r="AZ1522" i="14"/>
  <c r="U1579" i="14"/>
  <c r="E1586" i="14"/>
  <c r="BL1566" i="14"/>
  <c r="AZ1551" i="14"/>
  <c r="U1492" i="14"/>
  <c r="BL1580" i="14"/>
  <c r="J1587" i="14"/>
  <c r="Q1587" i="14"/>
  <c r="AY1612" i="14"/>
  <c r="AZ1623" i="14"/>
  <c r="Q1623" i="14"/>
  <c r="E1599" i="14"/>
  <c r="BL1584" i="14"/>
  <c r="W1458" i="14"/>
  <c r="J1442" i="14"/>
  <c r="U1504" i="14"/>
  <c r="BB1626" i="14"/>
  <c r="U1432" i="14"/>
  <c r="R1532" i="14"/>
  <c r="BB1443" i="14"/>
  <c r="W1443" i="14"/>
  <c r="G1471" i="14"/>
  <c r="BG1471" i="14" s="1"/>
  <c r="BM1594" i="14"/>
  <c r="J1522" i="14"/>
  <c r="E1579" i="14"/>
  <c r="R1586" i="14"/>
  <c r="R1566" i="14"/>
  <c r="R1551" i="14"/>
  <c r="BM1492" i="14"/>
  <c r="BM1580" i="14"/>
  <c r="BL1587" i="14"/>
  <c r="BA1587" i="14"/>
  <c r="G1612" i="14"/>
  <c r="BG1612" i="14" s="1"/>
  <c r="BL1623" i="14"/>
  <c r="BL1599" i="14"/>
  <c r="AY1584" i="14"/>
  <c r="U1458" i="14"/>
  <c r="BA1458" i="14"/>
  <c r="AY1442" i="14"/>
  <c r="E1504" i="14"/>
  <c r="E1626" i="14"/>
  <c r="BM1432" i="14"/>
  <c r="U1532" i="14"/>
  <c r="BL1443" i="14"/>
  <c r="BA1443" i="14"/>
  <c r="T1471" i="14"/>
  <c r="BA1471" i="14"/>
  <c r="AY1594" i="14"/>
  <c r="AY1522" i="14"/>
  <c r="AY1579" i="14"/>
  <c r="U1586" i="14"/>
  <c r="U1566" i="14"/>
  <c r="E1551" i="14"/>
  <c r="BB1492" i="14"/>
  <c r="AZ1580" i="14"/>
  <c r="BM1587" i="14"/>
  <c r="W1587" i="14"/>
  <c r="W1612" i="14"/>
  <c r="J1623" i="14"/>
  <c r="G1599" i="14"/>
  <c r="BG1599" i="14" s="1"/>
  <c r="Q1584" i="14"/>
  <c r="T1458" i="14"/>
  <c r="I1458" i="14"/>
  <c r="I1442" i="14"/>
  <c r="G1504" i="14"/>
  <c r="BG1504" i="14" s="1"/>
  <c r="E1432" i="14"/>
  <c r="BM1626" i="14"/>
  <c r="R1432" i="14"/>
  <c r="AY1532" i="14"/>
  <c r="AZ1443" i="14"/>
  <c r="BB1471" i="14"/>
  <c r="I1471" i="14"/>
  <c r="I1594" i="14"/>
  <c r="Q1522" i="14"/>
  <c r="G1579" i="14"/>
  <c r="BG1579" i="14" s="1"/>
  <c r="BB1586" i="14"/>
  <c r="J1566" i="14"/>
  <c r="AY1551" i="14"/>
  <c r="AZ1492" i="14"/>
  <c r="G1580" i="14"/>
  <c r="BG1580" i="14" s="1"/>
  <c r="BB1587" i="14"/>
  <c r="T1612" i="14"/>
  <c r="BA1612" i="14"/>
  <c r="R1623" i="14"/>
  <c r="AY1599" i="14"/>
  <c r="I1584" i="14"/>
  <c r="AZ1458" i="14"/>
  <c r="Q1458" i="14"/>
  <c r="Q1442" i="14"/>
  <c r="AY1504" i="14"/>
  <c r="T1626" i="14"/>
  <c r="J1432" i="14"/>
  <c r="I1532" i="14"/>
  <c r="J1443" i="14"/>
  <c r="BM1471" i="14"/>
  <c r="W1471" i="14"/>
  <c r="BA1594" i="14"/>
  <c r="W1522" i="14"/>
  <c r="BA1579" i="14"/>
  <c r="AZ1586" i="14"/>
  <c r="AZ1566" i="14"/>
  <c r="Q1551" i="14"/>
  <c r="BL1492" i="14"/>
  <c r="AY1580" i="14"/>
  <c r="R1587" i="14"/>
  <c r="BM1612" i="14"/>
  <c r="Q1612" i="14"/>
  <c r="U1623" i="14"/>
  <c r="BA1599" i="14"/>
  <c r="T1584" i="14"/>
  <c r="BA1584" i="14"/>
  <c r="BM1458" i="14"/>
  <c r="T1442" i="14"/>
  <c r="G1442" i="14"/>
  <c r="BG1442" i="14" s="1"/>
  <c r="BA1504" i="14"/>
  <c r="I1599" i="14"/>
  <c r="BA1626" i="14"/>
  <c r="T1594" i="14"/>
  <c r="BH1594" i="14" s="1"/>
  <c r="BB1522" i="14"/>
  <c r="T1579" i="14"/>
  <c r="BH1579" i="14" s="1"/>
  <c r="R1612" i="14"/>
  <c r="T1599" i="14"/>
  <c r="BH1599" i="14" s="1"/>
  <c r="E1584" i="14"/>
  <c r="E1442" i="14"/>
  <c r="T1504" i="14"/>
  <c r="BH1504" i="14" s="1"/>
  <c r="BL1611" i="14"/>
  <c r="R1560" i="14"/>
  <c r="BM1560" i="14"/>
  <c r="R1461" i="14"/>
  <c r="BA1461" i="14"/>
  <c r="J1493" i="14"/>
  <c r="AZ1464" i="14"/>
  <c r="J1576" i="14"/>
  <c r="Q1576" i="14"/>
  <c r="U1590" i="14"/>
  <c r="BB1583" i="14"/>
  <c r="I1516" i="14"/>
  <c r="U1467" i="14"/>
  <c r="AY1622" i="14"/>
  <c r="U1589" i="14"/>
  <c r="R1515" i="14"/>
  <c r="W1515" i="14"/>
  <c r="BL1571" i="14"/>
  <c r="R1499" i="14"/>
  <c r="I1611" i="14"/>
  <c r="BL1562" i="14"/>
  <c r="AZ1615" i="14"/>
  <c r="U1448" i="14"/>
  <c r="BA1448" i="14"/>
  <c r="Q1452" i="14"/>
  <c r="I1465" i="14"/>
  <c r="U1533" i="14"/>
  <c r="G1617" i="14"/>
  <c r="BG1617" i="14" s="1"/>
  <c r="G1615" i="14"/>
  <c r="BG1615" i="14" s="1"/>
  <c r="J1560" i="14"/>
  <c r="J1461" i="14"/>
  <c r="AZ1493" i="14"/>
  <c r="E1464" i="14"/>
  <c r="AZ1576" i="14"/>
  <c r="J1438" i="14"/>
  <c r="J1590" i="14"/>
  <c r="U1583" i="14"/>
  <c r="BM1516" i="14"/>
  <c r="W1516" i="14"/>
  <c r="G1467" i="14"/>
  <c r="BG1467" i="14" s="1"/>
  <c r="E1622" i="14"/>
  <c r="W1622" i="14"/>
  <c r="AF1622" i="14" s="1"/>
  <c r="G1589" i="14"/>
  <c r="BG1589" i="14" s="1"/>
  <c r="T1515" i="14"/>
  <c r="AY1571" i="14"/>
  <c r="AZ1499" i="14"/>
  <c r="BM1611" i="14"/>
  <c r="BA1611" i="14"/>
  <c r="G1562" i="14"/>
  <c r="BG1562" i="14" s="1"/>
  <c r="AY1615" i="14"/>
  <c r="AZ1448" i="14"/>
  <c r="R1452" i="14"/>
  <c r="BA1452" i="14"/>
  <c r="U1465" i="14"/>
  <c r="W1465" i="14"/>
  <c r="AY1533" i="14"/>
  <c r="BL1617" i="14"/>
  <c r="BA1617" i="14"/>
  <c r="G1611" i="14"/>
  <c r="R1493" i="14"/>
  <c r="BM1493" i="14"/>
  <c r="AY1560" i="14"/>
  <c r="AZ1461" i="14"/>
  <c r="T1439" i="14"/>
  <c r="G1439" i="14"/>
  <c r="G1493" i="14"/>
  <c r="AY1464" i="14"/>
  <c r="U1576" i="14"/>
  <c r="AZ1438" i="14"/>
  <c r="AY1590" i="14"/>
  <c r="AY1583" i="14"/>
  <c r="BB1516" i="14"/>
  <c r="BM1467" i="14"/>
  <c r="W1467" i="14"/>
  <c r="R1622" i="14"/>
  <c r="BB1589" i="14"/>
  <c r="W1589" i="14"/>
  <c r="BH1589" i="14" s="1"/>
  <c r="BM1515" i="14"/>
  <c r="T1571" i="14"/>
  <c r="BA1571" i="14"/>
  <c r="AY1499" i="14"/>
  <c r="BB1611" i="14"/>
  <c r="BB1562" i="14"/>
  <c r="W1562" i="14"/>
  <c r="T1615" i="14"/>
  <c r="BA1615" i="14"/>
  <c r="BM1448" i="14"/>
  <c r="U1452" i="14"/>
  <c r="J1465" i="14"/>
  <c r="BM1533" i="14"/>
  <c r="BA1533" i="14"/>
  <c r="AZ1617" i="14"/>
  <c r="BB1560" i="14"/>
  <c r="J1464" i="14"/>
  <c r="I1560" i="14"/>
  <c r="BM1461" i="14"/>
  <c r="BL1439" i="14"/>
  <c r="W1439" i="14"/>
  <c r="AY1493" i="14"/>
  <c r="G1464" i="14"/>
  <c r="BG1464" i="14" s="1"/>
  <c r="BL1576" i="14"/>
  <c r="U1438" i="14"/>
  <c r="G1590" i="14"/>
  <c r="BG1590" i="14" s="1"/>
  <c r="G1583" i="14"/>
  <c r="R1516" i="14"/>
  <c r="R1467" i="14"/>
  <c r="Q1467" i="14"/>
  <c r="U1622" i="14"/>
  <c r="R1589" i="14"/>
  <c r="BA1589" i="14"/>
  <c r="BL1515" i="14"/>
  <c r="E1571" i="14"/>
  <c r="I1571" i="14"/>
  <c r="G1499" i="14"/>
  <c r="BG1499" i="14" s="1"/>
  <c r="T1611" i="14"/>
  <c r="R1562" i="14"/>
  <c r="BA1562" i="14"/>
  <c r="BM1615" i="14"/>
  <c r="W1615" i="14"/>
  <c r="T1448" i="14"/>
  <c r="BH1448" i="14" s="1"/>
  <c r="T1452" i="14"/>
  <c r="BL1465" i="14"/>
  <c r="E1533" i="14"/>
  <c r="W1533" i="14"/>
  <c r="U1617" i="14"/>
  <c r="G1571" i="14"/>
  <c r="BG1571" i="14" s="1"/>
  <c r="G1516" i="14"/>
  <c r="BG1516" i="14" s="1"/>
  <c r="AZ1611" i="14"/>
  <c r="W1493" i="14"/>
  <c r="BA1464" i="14"/>
  <c r="BB1576" i="14"/>
  <c r="BL1438" i="14"/>
  <c r="Q1590" i="14"/>
  <c r="Q1583" i="14"/>
  <c r="T1516" i="14"/>
  <c r="J1467" i="14"/>
  <c r="I1467" i="14"/>
  <c r="AZ1622" i="14"/>
  <c r="BM1589" i="14"/>
  <c r="I1589" i="14"/>
  <c r="BB1515" i="14"/>
  <c r="U1571" i="14"/>
  <c r="Q1571" i="14"/>
  <c r="I1499" i="14"/>
  <c r="R1611" i="14"/>
  <c r="U1562" i="14"/>
  <c r="I1562" i="14"/>
  <c r="BL1615" i="14"/>
  <c r="Q1615" i="14"/>
  <c r="J1448" i="14"/>
  <c r="BM1452" i="14"/>
  <c r="AZ1465" i="14"/>
  <c r="AZ1533" i="14"/>
  <c r="I1533" i="14"/>
  <c r="R1617" i="14"/>
  <c r="AY1562" i="14"/>
  <c r="R1464" i="14"/>
  <c r="E1516" i="14"/>
  <c r="W1571" i="14"/>
  <c r="T1493" i="14"/>
  <c r="T1464" i="14"/>
  <c r="W1464" i="14"/>
  <c r="AY1576" i="14"/>
  <c r="AY1438" i="14"/>
  <c r="T1590" i="14"/>
  <c r="I1590" i="14"/>
  <c r="T1583" i="14"/>
  <c r="W1583" i="14"/>
  <c r="AZ1516" i="14"/>
  <c r="BL1467" i="14"/>
  <c r="BB1622" i="14"/>
  <c r="E1589" i="14"/>
  <c r="G1515" i="14"/>
  <c r="AZ1571" i="14"/>
  <c r="T1499" i="14"/>
  <c r="W1499" i="14"/>
  <c r="U1611" i="14"/>
  <c r="BM1562" i="14"/>
  <c r="R1615" i="14"/>
  <c r="G1448" i="14"/>
  <c r="AF1448" i="14" s="1"/>
  <c r="BL1452" i="14"/>
  <c r="E1465" i="14"/>
  <c r="T1533" i="14"/>
  <c r="J1617" i="14"/>
  <c r="G1560" i="14"/>
  <c r="BG1560" i="14" s="1"/>
  <c r="T1560" i="14"/>
  <c r="U1560" i="14"/>
  <c r="W1560" i="14"/>
  <c r="I1461" i="14"/>
  <c r="E1439" i="14"/>
  <c r="BL1493" i="14"/>
  <c r="I1493" i="14"/>
  <c r="BB1464" i="14"/>
  <c r="Q1464" i="14"/>
  <c r="I1576" i="14"/>
  <c r="Q1438" i="14"/>
  <c r="BM1590" i="14"/>
  <c r="W1590" i="14"/>
  <c r="BL1583" i="14"/>
  <c r="BA1583" i="14"/>
  <c r="U1516" i="14"/>
  <c r="BB1467" i="14"/>
  <c r="BM1622" i="14"/>
  <c r="AZ1589" i="14"/>
  <c r="AY1515" i="14"/>
  <c r="R1571" i="14"/>
  <c r="E1499" i="14"/>
  <c r="BA1499" i="14"/>
  <c r="E1611" i="14"/>
  <c r="AZ1562" i="14"/>
  <c r="U1615" i="14"/>
  <c r="AY1448" i="14"/>
  <c r="BB1452" i="14"/>
  <c r="R1465" i="14"/>
  <c r="R1533" i="14"/>
  <c r="BB1617" i="14"/>
  <c r="J1516" i="14"/>
  <c r="W1611" i="14"/>
  <c r="BM1617" i="14"/>
  <c r="AY1461" i="14"/>
  <c r="AZ1560" i="14"/>
  <c r="Q1560" i="14"/>
  <c r="Q1461" i="14"/>
  <c r="BM1439" i="14"/>
  <c r="U1493" i="14"/>
  <c r="Q1493" i="14"/>
  <c r="U1464" i="14"/>
  <c r="I1464" i="14"/>
  <c r="BA1576" i="14"/>
  <c r="G1438" i="14"/>
  <c r="AZ1590" i="14"/>
  <c r="BA1590" i="14"/>
  <c r="E1583" i="14"/>
  <c r="I1583" i="14"/>
  <c r="BL1516" i="14"/>
  <c r="T1467" i="14"/>
  <c r="BL1622" i="14"/>
  <c r="BL1589" i="14"/>
  <c r="I1515" i="14"/>
  <c r="BB1571" i="14"/>
  <c r="J1499" i="14"/>
  <c r="Q1499" i="14"/>
  <c r="J1611" i="14"/>
  <c r="T1562" i="14"/>
  <c r="J1615" i="14"/>
  <c r="Q1448" i="14"/>
  <c r="E1452" i="14"/>
  <c r="BM1465" i="14"/>
  <c r="BB1533" i="14"/>
  <c r="E1617" i="14"/>
  <c r="BA1516" i="14"/>
  <c r="Q1562" i="14"/>
  <c r="I1615" i="14"/>
  <c r="Q1617" i="14"/>
  <c r="BL1461" i="14"/>
  <c r="BA1560" i="14"/>
  <c r="BA1493" i="14"/>
  <c r="BB1461" i="14"/>
  <c r="E1576" i="14"/>
  <c r="BB1438" i="14"/>
  <c r="E1515" i="14"/>
  <c r="E1448" i="14"/>
  <c r="BC1531" i="14"/>
  <c r="H1531" i="14"/>
  <c r="P1531" i="14"/>
  <c r="BG1461" i="14"/>
  <c r="BG1576" i="14"/>
  <c r="BG1613" i="14"/>
  <c r="BG1586" i="14"/>
  <c r="BG1447" i="14"/>
  <c r="BD1531" i="14"/>
  <c r="BG1463" i="14"/>
  <c r="BG1570" i="14"/>
  <c r="BG1616" i="14"/>
  <c r="BG1585" i="14"/>
  <c r="BG1531" i="14"/>
  <c r="AF1531" i="14"/>
  <c r="BG1522" i="14"/>
  <c r="E1631" i="14"/>
  <c r="U1631" i="14"/>
  <c r="W1631" i="14"/>
  <c r="G1631" i="14"/>
  <c r="BA1631" i="14"/>
  <c r="I195" i="7"/>
  <c r="I169" i="7"/>
  <c r="I161" i="7"/>
  <c r="I131" i="7"/>
  <c r="I187" i="7"/>
  <c r="I151" i="7"/>
  <c r="I190" i="7"/>
  <c r="I153" i="7"/>
  <c r="I171" i="7"/>
  <c r="I200" i="7"/>
  <c r="BB1631" i="14"/>
  <c r="I148" i="7"/>
  <c r="I155" i="7"/>
  <c r="I127" i="7"/>
  <c r="I158" i="7"/>
  <c r="I198" i="7"/>
  <c r="I138" i="7"/>
  <c r="I156" i="7"/>
  <c r="I135" i="7"/>
  <c r="I152" i="7"/>
  <c r="I184" i="7"/>
  <c r="I170" i="7"/>
  <c r="I126" i="7"/>
  <c r="I191" i="7"/>
  <c r="I142" i="7"/>
  <c r="I181" i="7"/>
  <c r="BM1631" i="14"/>
  <c r="I175" i="7"/>
  <c r="I165" i="7"/>
  <c r="I183" i="7"/>
  <c r="I182" i="7"/>
  <c r="I136" i="7"/>
  <c r="I172" i="7"/>
  <c r="I140" i="7"/>
  <c r="BL1631" i="14"/>
  <c r="I189" i="7"/>
  <c r="I185" i="7"/>
  <c r="I147" i="7"/>
  <c r="I201" i="7"/>
  <c r="T1631" i="14"/>
  <c r="I197" i="7"/>
  <c r="I157" i="7"/>
  <c r="I199" i="7"/>
  <c r="I149" i="7"/>
  <c r="R1631" i="14"/>
  <c r="I125" i="7"/>
  <c r="I167" i="7"/>
  <c r="I196" i="7"/>
  <c r="I146" i="7"/>
  <c r="I162" i="7"/>
  <c r="I179" i="7"/>
  <c r="I192" i="7"/>
  <c r="I177" i="7"/>
  <c r="I176" i="7"/>
  <c r="Q1631" i="14"/>
  <c r="I164" i="7"/>
  <c r="I143" i="7"/>
  <c r="I163" i="7"/>
  <c r="I166" i="7"/>
  <c r="I186" i="7"/>
  <c r="AY1631" i="14"/>
  <c r="I129" i="7"/>
  <c r="I174" i="7"/>
  <c r="I128" i="7"/>
  <c r="I133" i="7"/>
  <c r="I159" i="7"/>
  <c r="I130" i="7"/>
  <c r="I141" i="7"/>
  <c r="I178" i="7"/>
  <c r="I124" i="7"/>
  <c r="I193" i="7"/>
  <c r="I154" i="7"/>
  <c r="J1631" i="14"/>
  <c r="I150" i="7"/>
  <c r="I134" i="7"/>
  <c r="I188" i="7"/>
  <c r="I137" i="7"/>
  <c r="I132" i="7"/>
  <c r="I168" i="7"/>
  <c r="AZ1631" i="14"/>
  <c r="I194" i="7"/>
  <c r="I180" i="7"/>
  <c r="I139" i="7"/>
  <c r="I144" i="7"/>
  <c r="I145" i="7"/>
  <c r="I173" i="7"/>
  <c r="I1631" i="14"/>
  <c r="I160" i="7"/>
  <c r="BG1474" i="14"/>
  <c r="BG1565" i="14"/>
  <c r="BH1531" i="14"/>
  <c r="BG1549" i="14"/>
  <c r="BG1518" i="14"/>
  <c r="BG1451" i="14"/>
  <c r="BG1551" i="14"/>
  <c r="BG1584" i="14"/>
  <c r="BG1595" i="14"/>
  <c r="BG1628" i="14"/>
  <c r="BG1490" i="14"/>
  <c r="BG1622" i="14"/>
  <c r="BG1627" i="14"/>
  <c r="BG1475" i="14"/>
  <c r="BG1470" i="14"/>
  <c r="BG1453" i="14"/>
  <c r="H1462" i="14" a="1"/>
  <c r="H1440" i="14" a="1"/>
  <c r="P1560" i="14" a="1"/>
  <c r="H1510" i="14" a="1"/>
  <c r="P1597" i="14" a="1"/>
  <c r="H1629" i="14" a="1"/>
  <c r="H1536" i="14" a="1"/>
  <c r="P1443" i="14" a="1"/>
  <c r="P1548" i="14" a="1"/>
  <c r="H1517" i="14" a="1"/>
  <c r="H1431" i="14" a="1"/>
  <c r="H1444" i="14" a="1"/>
  <c r="H1616" i="14" a="1"/>
  <c r="H1448" i="14" a="1"/>
  <c r="P1604" i="14" a="1"/>
  <c r="H1521" i="14" a="1"/>
  <c r="H1436" i="14" a="1"/>
  <c r="P1459" i="14" a="1"/>
  <c r="H1518" i="14" a="1"/>
  <c r="P1551" i="14" a="1"/>
  <c r="P1498" i="14" a="1"/>
  <c r="H1593" i="14" a="1"/>
  <c r="H1527" i="14" a="1"/>
  <c r="P1629" i="14" a="1"/>
  <c r="P1451" i="14" a="1"/>
  <c r="P1578" i="14" a="1"/>
  <c r="P1533" i="14" a="1"/>
  <c r="P1542" i="14" a="1"/>
  <c r="P1553" i="14" a="1"/>
  <c r="H1604" i="14" a="1"/>
  <c r="P1592" i="14" a="1"/>
  <c r="H1483" i="14" a="1"/>
  <c r="P1576" i="14" a="1"/>
  <c r="H1553" i="14" a="1"/>
  <c r="H1618" i="14" a="1"/>
  <c r="P1586" i="14" a="1"/>
  <c r="H1493" i="14" a="1"/>
  <c r="H1487" i="14" a="1"/>
  <c r="P1481" i="14" a="1"/>
  <c r="P1466" i="14" a="1"/>
  <c r="P1474" i="14" a="1"/>
  <c r="H1442" i="14" a="1"/>
  <c r="H1480" i="14" a="1"/>
  <c r="P1447" i="14" a="1"/>
  <c r="H1494" i="14" a="1"/>
  <c r="H1450" i="14" a="1"/>
  <c r="P1434" i="14" a="1"/>
  <c r="P1515" i="14" a="1"/>
  <c r="P1476" i="14" a="1"/>
  <c r="H1526" i="14" a="1"/>
  <c r="H1451" i="14" a="1"/>
  <c r="H1580" i="14" a="1"/>
  <c r="P1456" i="14" a="1"/>
  <c r="H1482" i="14" a="1"/>
  <c r="H1614" i="14" a="1"/>
  <c r="P1457" i="14" a="1"/>
  <c r="P1562" i="14" a="1"/>
  <c r="H1520" i="14" a="1"/>
  <c r="P1478" i="14" a="1"/>
  <c r="P1599" i="14" a="1"/>
  <c r="P1433" i="14" a="1"/>
  <c r="H1478" i="14" a="1"/>
  <c r="P1513" i="14" a="1"/>
  <c r="P1554" i="14" a="1"/>
  <c r="P1555" i="14" a="1"/>
  <c r="P1543" i="14" a="1"/>
  <c r="H1514" i="14" a="1"/>
  <c r="H1505" i="14" a="1"/>
  <c r="H1591" i="14" a="1"/>
  <c r="H1548" i="14" a="1"/>
  <c r="H1537" i="14" a="1"/>
  <c r="P1567" i="14" a="1"/>
  <c r="H1626" i="14" a="1"/>
  <c r="H1525" i="14" a="1"/>
  <c r="H1454" i="14" a="1"/>
  <c r="H1588" i="14" a="1"/>
  <c r="P1445" i="14" a="1"/>
  <c r="H1502" i="14" a="1"/>
  <c r="P1580" i="14" a="1"/>
  <c r="H1560" i="14" a="1"/>
  <c r="P1550" i="14" a="1"/>
  <c r="H1504" i="14" a="1"/>
  <c r="H1472" i="14" a="1"/>
  <c r="H1598" i="14" a="1"/>
  <c r="H1465" i="14" a="1"/>
  <c r="H1592" i="14" a="1"/>
  <c r="P1571" i="14" a="1"/>
  <c r="P1505" i="14" a="1"/>
  <c r="H1488" i="14" a="1"/>
  <c r="P1510" i="14" a="1"/>
  <c r="H1459" i="14" a="1"/>
  <c r="H1586" i="14" a="1"/>
  <c r="P1432" i="14" a="1"/>
  <c r="P1591" i="14" a="1"/>
  <c r="H1558" i="14" a="1"/>
  <c r="H1563" i="14" a="1"/>
  <c r="P1511" i="14" a="1"/>
  <c r="P1501" i="14" a="1"/>
  <c r="H1606" i="14" a="1"/>
  <c r="P1483" i="14" a="1"/>
  <c r="H1464" i="14" a="1"/>
  <c r="H1574" i="14" a="1"/>
  <c r="P1444" i="14" a="1"/>
  <c r="H1511" i="14" a="1"/>
  <c r="H1438" i="14" a="1"/>
  <c r="P1514" i="14" a="1"/>
  <c r="P1572" i="14" a="1"/>
  <c r="P1477" i="14" a="1"/>
  <c r="P1507" i="14" a="1"/>
  <c r="P1569" i="14" a="1"/>
  <c r="P1482" i="14" a="1"/>
  <c r="H1599" i="14" a="1"/>
  <c r="H1501" i="14" a="1"/>
  <c r="P1494" i="14" a="1"/>
  <c r="H1535" i="14" a="1"/>
  <c r="P1596" i="14" a="1"/>
  <c r="P1549" i="14" a="1"/>
  <c r="P1499" i="14" a="1"/>
  <c r="H1601" i="14" a="1"/>
  <c r="H1434" i="14" a="1"/>
  <c r="P1471" i="14" a="1"/>
  <c r="P1500" i="14" a="1"/>
  <c r="P1493" i="14" a="1"/>
  <c r="H1456" i="14" a="1"/>
  <c r="H1452" i="14" a="1"/>
  <c r="H1590" i="14" a="1"/>
  <c r="P1561" i="14" a="1"/>
  <c r="P1538" i="14" a="1"/>
  <c r="H1627" i="14" a="1"/>
  <c r="H1439" i="14" a="1"/>
  <c r="P1611" i="14" a="1"/>
  <c r="H1577" i="14" a="1"/>
  <c r="P1619" i="14" a="1"/>
  <c r="H1575" i="14" a="1"/>
  <c r="H1539" i="14" a="1"/>
  <c r="P1568" i="14" a="1"/>
  <c r="H1534" i="14" a="1"/>
  <c r="H1508" i="14" a="1"/>
  <c r="H1484" i="14" a="1"/>
  <c r="H1461" i="14" a="1"/>
  <c r="H1533" i="14" a="1"/>
  <c r="P1497" i="14" a="1"/>
  <c r="P1552" i="14" a="1"/>
  <c r="H1557" i="14" a="1"/>
  <c r="P1491" i="14" a="1"/>
  <c r="P1455" i="14" a="1"/>
  <c r="P1475" i="14" a="1"/>
  <c r="H1625" i="14" a="1"/>
  <c r="P1487" i="14" a="1"/>
  <c r="P1441" i="14" a="1"/>
  <c r="P1539" i="14" a="1"/>
  <c r="P1486" i="14" a="1"/>
  <c r="H1571" i="14" a="1"/>
  <c r="H1499" i="14" a="1"/>
  <c r="P1577" i="14" a="1"/>
  <c r="H1470" i="14" a="1"/>
  <c r="H1565" i="14" a="1"/>
  <c r="P1594" i="14" a="1"/>
  <c r="H1473" i="14" a="1"/>
  <c r="H1600" i="14" a="1"/>
  <c r="H1503" i="14" a="1"/>
  <c r="P1600" i="14" a="1"/>
  <c r="P1442" i="14" a="1"/>
  <c r="P1470" i="14" a="1"/>
  <c r="P1631" i="14" a="1"/>
  <c r="P1590" i="14" a="1"/>
  <c r="H1477" i="14" a="1"/>
  <c r="P1564" i="14" a="1"/>
  <c r="H1481" i="14" a="1"/>
  <c r="H1466" i="14" a="1"/>
  <c r="H1437" i="14" a="1"/>
  <c r="P1536" i="14" a="1"/>
  <c r="H1516" i="14" a="1"/>
  <c r="P1523" i="14" a="1"/>
  <c r="H1610" i="14" a="1"/>
  <c r="P1537" i="14" a="1"/>
  <c r="H1515" i="14" a="1"/>
  <c r="P1446" i="14" a="1"/>
  <c r="P1488" i="14" a="1"/>
  <c r="P1558" i="14" a="1"/>
  <c r="H1628" i="14" a="1"/>
  <c r="H1506" i="14" a="1"/>
  <c r="P1565" i="14" a="1"/>
  <c r="H1552" i="14" a="1"/>
  <c r="P1435" i="14" a="1"/>
  <c r="P1601" i="14" a="1"/>
  <c r="P1438" i="14" a="1"/>
  <c r="P1587" i="14" a="1"/>
  <c r="P1605" i="14" a="1"/>
  <c r="H1624" i="14" a="1"/>
  <c r="P1615" i="14" a="1"/>
  <c r="P1461" i="14" a="1"/>
  <c r="H1441" i="14" a="1"/>
  <c r="P1589" i="14" a="1"/>
  <c r="P1544" i="14" a="1"/>
  <c r="H1547" i="14" a="1"/>
  <c r="H1530" i="14" a="1"/>
  <c r="H1564" i="14" a="1"/>
  <c r="P1436" i="14" a="1"/>
  <c r="H1519" i="14" a="1"/>
  <c r="H1513" i="14" a="1"/>
  <c r="P1593" i="14" a="1"/>
  <c r="H1445" i="14" a="1"/>
  <c r="H1479" i="14" a="1"/>
  <c r="H1491" i="14" a="1"/>
  <c r="H1523" i="14" a="1"/>
  <c r="H1469" i="14" a="1"/>
  <c r="P1573" i="14" a="1"/>
  <c r="H1562" i="14" a="1"/>
  <c r="P1522" i="14" a="1"/>
  <c r="H1555" i="14" a="1"/>
  <c r="P1546" i="14" a="1"/>
  <c r="P1512" i="14" a="1"/>
  <c r="P1563" i="14" a="1"/>
  <c r="P1519" i="14" a="1"/>
  <c r="P1621" i="14" a="1"/>
  <c r="H1619" i="14" a="1"/>
  <c r="P1595" i="14" a="1"/>
  <c r="P1472" i="14" a="1"/>
  <c r="P1534" i="14" a="1"/>
  <c r="P1458" i="14" a="1"/>
  <c r="P1525" i="14" a="1"/>
  <c r="H1546" i="14" a="1"/>
  <c r="P1524" i="14" a="1"/>
  <c r="P1496" i="14" a="1"/>
  <c r="H1609" i="14" a="1"/>
  <c r="H1630" i="14" a="1"/>
  <c r="H1486" i="14" a="1"/>
  <c r="H1497" i="14" a="1"/>
  <c r="H1529" i="14" a="1"/>
  <c r="P1616" i="14" a="1"/>
  <c r="H1617" i="14" a="1"/>
  <c r="H1569" i="14" a="1"/>
  <c r="P1608" i="14" a="1"/>
  <c r="P1617" i="14" a="1"/>
  <c r="H1475" i="14" a="1"/>
  <c r="P1479" i="14" a="1"/>
  <c r="H1602" i="14" a="1"/>
  <c r="P1540" i="14" a="1"/>
  <c r="H1623" i="14" a="1"/>
  <c r="P1559" i="14" a="1"/>
  <c r="P1526" i="14" a="1"/>
  <c r="H1596" i="14" a="1"/>
  <c r="H1583" i="14" a="1"/>
  <c r="H1572" i="14" a="1"/>
  <c r="H1594" i="14" a="1"/>
  <c r="H1581" i="14" a="1"/>
  <c r="H1554" i="14" a="1"/>
  <c r="P1545" i="14" a="1"/>
  <c r="H1549" i="14" a="1"/>
  <c r="H1570" i="14" a="1"/>
  <c r="H1474" i="14" a="1"/>
  <c r="H1615" i="14" a="1"/>
  <c r="P1468" i="14" a="1"/>
  <c r="H1582" i="14" a="1"/>
  <c r="H1578" i="14" a="1"/>
  <c r="P1630" i="14" a="1"/>
  <c r="P1449" i="14" a="1"/>
  <c r="H1550" i="14" a="1"/>
  <c r="H1489" i="14" a="1"/>
  <c r="P1506" i="14" a="1"/>
  <c r="H1432" i="14" a="1"/>
  <c r="P1627" i="14" a="1"/>
  <c r="H1587" i="14" a="1"/>
  <c r="P1516" i="14" a="1"/>
  <c r="H1589" i="14" a="1"/>
  <c r="H1545" i="14" a="1"/>
  <c r="P1518" i="14" a="1"/>
  <c r="P1448" i="14" a="1"/>
  <c r="H1542" i="14" a="1"/>
  <c r="P1529" i="14" a="1"/>
  <c r="P1613" i="14" a="1"/>
  <c r="H1603" i="14" a="1"/>
  <c r="H1500" i="14" a="1"/>
  <c r="H1463" i="14" a="1"/>
  <c r="P1547" i="14" a="1"/>
  <c r="P1492" i="14" a="1"/>
  <c r="P1464" i="14" a="1"/>
  <c r="P1622" i="14" a="1"/>
  <c r="P1452" i="14" a="1"/>
  <c r="H1620" i="14" a="1"/>
  <c r="P1484" i="14" a="1"/>
  <c r="H1605" i="14" a="1"/>
  <c r="H1496" i="14" a="1"/>
  <c r="P1603" i="14" a="1"/>
  <c r="H1584" i="14" a="1"/>
  <c r="H1556" i="14" a="1"/>
  <c r="P1582" i="14" a="1"/>
  <c r="H1611" i="14" a="1"/>
  <c r="P1570" i="14" a="1"/>
  <c r="P1607" i="14" a="1"/>
  <c r="P1521" i="14" a="1"/>
  <c r="H1467" i="14" a="1"/>
  <c r="P1609" i="14" a="1"/>
  <c r="H1595" i="14" a="1"/>
  <c r="H1540" i="14" a="1"/>
  <c r="H1476" i="14" a="1"/>
  <c r="P1469" i="14" a="1"/>
  <c r="P1598" i="14" a="1"/>
  <c r="P1473" i="14" a="1"/>
  <c r="H1468" i="14" a="1"/>
  <c r="P1612" i="14" a="1"/>
  <c r="P1453" i="14" a="1"/>
  <c r="P1462" i="14" a="1"/>
  <c r="P1623" i="14" a="1"/>
  <c r="P1439" i="14" a="1"/>
  <c r="H1471" i="14" a="1"/>
  <c r="P1581" i="14" a="1"/>
  <c r="P1489" i="14" a="1"/>
  <c r="P1440" i="14" a="1"/>
  <c r="H1597" i="14" a="1"/>
  <c r="H1492" i="14" a="1"/>
  <c r="H1559" i="14" a="1"/>
  <c r="H1573" i="14" a="1"/>
  <c r="P1625" i="14" a="1"/>
  <c r="H1435" i="14" a="1"/>
  <c r="H1512" i="14" a="1"/>
  <c r="P1517" i="14" a="1"/>
  <c r="P1602" i="14" a="1"/>
  <c r="H1495" i="14" a="1"/>
  <c r="H1613" i="14" a="1"/>
  <c r="H1460" i="14" a="1"/>
  <c r="H1608" i="14" a="1"/>
  <c r="H1509" i="14" a="1"/>
  <c r="H1561" i="14" a="1"/>
  <c r="P1583" i="14" a="1"/>
  <c r="P1527" i="14" a="1"/>
  <c r="P1502" i="14" a="1"/>
  <c r="P1585" i="14" a="1"/>
  <c r="P1480" i="14" a="1"/>
  <c r="H1576" i="14" a="1"/>
  <c r="H1538" i="14" a="1"/>
  <c r="P1454" i="14" a="1"/>
  <c r="H1544" i="14" a="1"/>
  <c r="P1614" i="14" a="1"/>
  <c r="P1624" i="14" a="1"/>
  <c r="H1568" i="14" a="1"/>
  <c r="H1612" i="14" a="1"/>
  <c r="H1522" i="14" a="1"/>
  <c r="P1485" i="14" a="1"/>
  <c r="H1566" i="14" a="1"/>
  <c r="H1607" i="14" a="1"/>
  <c r="H1579" i="14" a="1"/>
  <c r="H1585" i="14" a="1"/>
  <c r="P1541" i="14" a="1"/>
  <c r="P1460" i="14" a="1"/>
  <c r="H1433" i="14" a="1"/>
  <c r="P1584" i="14" a="1"/>
  <c r="P1503" i="14" a="1"/>
  <c r="H1457" i="14" a="1"/>
  <c r="H1631" i="14" a="1"/>
  <c r="H1621" i="14" a="1"/>
  <c r="P1504" i="14" a="1"/>
  <c r="H1622" i="14" a="1"/>
  <c r="P1431" i="14" a="1"/>
  <c r="H1485" i="14" a="1"/>
  <c r="P1535" i="14" a="1"/>
  <c r="P1528" i="14" a="1"/>
  <c r="P1450" i="14" a="1"/>
  <c r="H1528" i="14" a="1"/>
  <c r="P1509" i="14" a="1"/>
  <c r="H1447" i="14" a="1"/>
  <c r="H1567" i="14" a="1"/>
  <c r="H1507" i="14" a="1"/>
  <c r="P1606" i="14" a="1"/>
  <c r="P1579" i="14" a="1"/>
  <c r="H1455" i="14" a="1"/>
  <c r="P1626" i="14" a="1"/>
  <c r="P1628" i="14" a="1"/>
  <c r="H1551" i="14" a="1"/>
  <c r="P1467" i="14" a="1"/>
  <c r="P1556" i="14" a="1"/>
  <c r="P1620" i="14" a="1"/>
  <c r="P1574" i="14" a="1"/>
  <c r="H1498" i="14" a="1"/>
  <c r="P1575" i="14" a="1"/>
  <c r="P1557" i="14" a="1"/>
  <c r="P1530" i="14" a="1"/>
  <c r="P1532" i="14" a="1"/>
  <c r="H1458" i="14" a="1"/>
  <c r="P1618" i="14" a="1"/>
  <c r="P1508" i="14" a="1"/>
  <c r="P1490" i="14" a="1"/>
  <c r="H1543" i="14" a="1"/>
  <c r="H1453" i="14" a="1"/>
  <c r="P1495" i="14" a="1"/>
  <c r="H1443" i="14" a="1"/>
  <c r="P1610" i="14" a="1"/>
  <c r="H1449" i="14" a="1"/>
  <c r="P1588" i="14" a="1"/>
  <c r="P1520" i="14" a="1"/>
  <c r="H1541" i="14" a="1"/>
  <c r="P1465" i="14" a="1"/>
  <c r="H1532" i="14" a="1"/>
  <c r="H1524" i="14" a="1"/>
  <c r="P1463" i="14" a="1"/>
  <c r="H1490" i="14" a="1"/>
  <c r="H1446" i="14" a="1"/>
  <c r="P1566" i="14" a="1"/>
  <c r="P1437" i="14" a="1"/>
  <c r="BH1567" i="14" l="1"/>
  <c r="BF1567" i="14" s="1"/>
  <c r="BH1529" i="14"/>
  <c r="AF1529" i="14"/>
  <c r="BC1529" i="14"/>
  <c r="BD1529" i="14"/>
  <c r="BG1529" i="14"/>
  <c r="P1529" i="14"/>
  <c r="BJ1529" i="14" s="1"/>
  <c r="H1529" i="14"/>
  <c r="BI1529" i="14" s="1"/>
  <c r="P1567" i="14"/>
  <c r="BJ1567" i="14" s="1"/>
  <c r="BD1567" i="14"/>
  <c r="BC1454" i="14"/>
  <c r="BC1567" i="14"/>
  <c r="AF1454" i="14"/>
  <c r="AF1486" i="14"/>
  <c r="BC1486" i="14"/>
  <c r="BD1486" i="14"/>
  <c r="BH1486" i="14"/>
  <c r="BF1486" i="14" s="1"/>
  <c r="P1486" i="14"/>
  <c r="AG1486" i="14" s="1"/>
  <c r="H1486" i="14"/>
  <c r="AH1486" i="14" s="1"/>
  <c r="AF1567" i="14"/>
  <c r="BH1454" i="14"/>
  <c r="BF1454" i="14" s="1"/>
  <c r="H1567" i="14"/>
  <c r="AH1567" i="14" s="1"/>
  <c r="BD1454" i="14"/>
  <c r="AZ2" i="7"/>
  <c r="BA2" i="7" s="1" a="1"/>
  <c r="P1454" i="14"/>
  <c r="AG1454" i="14" s="1"/>
  <c r="H1454" i="14"/>
  <c r="BI1454" i="14" s="1"/>
  <c r="AF1538" i="14"/>
  <c r="AF1533" i="14"/>
  <c r="AF1438" i="14"/>
  <c r="P1549" i="14"/>
  <c r="AG1549" i="14" s="1"/>
  <c r="AF1523" i="14"/>
  <c r="BC1523" i="14"/>
  <c r="BH1523" i="14"/>
  <c r="BF1523" i="14" s="1"/>
  <c r="P1523" i="14"/>
  <c r="BJ1523" i="14" s="1"/>
  <c r="BD1523" i="14"/>
  <c r="BH1456" i="14"/>
  <c r="BH1518" i="14"/>
  <c r="BF1518" i="14" s="1"/>
  <c r="AF1485" i="14"/>
  <c r="BH1549" i="14"/>
  <c r="BF1549" i="14" s="1"/>
  <c r="BC1549" i="14"/>
  <c r="BD1549" i="14"/>
  <c r="H1549" i="14"/>
  <c r="AH1549" i="14" s="1"/>
  <c r="BH1598" i="14"/>
  <c r="BF1598" i="14" s="1"/>
  <c r="AF1624" i="14"/>
  <c r="AF1602" i="14"/>
  <c r="H1619" i="14"/>
  <c r="AH1619" i="14" s="1"/>
  <c r="BH1619" i="14"/>
  <c r="BC1598" i="14"/>
  <c r="BH1569" i="14"/>
  <c r="P1598" i="14"/>
  <c r="AG1598" i="14" s="1"/>
  <c r="H1523" i="14"/>
  <c r="BI1523" i="14" s="1"/>
  <c r="AF1619" i="14"/>
  <c r="BD1619" i="14"/>
  <c r="BD1598" i="14"/>
  <c r="AF1598" i="14"/>
  <c r="BH1578" i="14"/>
  <c r="BF1578" i="14" s="1"/>
  <c r="H1598" i="14"/>
  <c r="AH1598" i="14" s="1"/>
  <c r="BC1619" i="14"/>
  <c r="BC1624" i="14"/>
  <c r="BD1624" i="14"/>
  <c r="BG1619" i="14"/>
  <c r="AF1578" i="14"/>
  <c r="BH1624" i="14"/>
  <c r="BF1624" i="14" s="1"/>
  <c r="P1619" i="14"/>
  <c r="BJ1619" i="14" s="1"/>
  <c r="BH1616" i="14"/>
  <c r="BF1616" i="14" s="1"/>
  <c r="AF1450" i="14"/>
  <c r="BH1606" i="14"/>
  <c r="P1624" i="14"/>
  <c r="AG1624" i="14" s="1"/>
  <c r="H1624" i="14"/>
  <c r="AH1624" i="14" s="1"/>
  <c r="BC1506" i="14"/>
  <c r="AF1517" i="14"/>
  <c r="BD1592" i="14"/>
  <c r="BH1575" i="14"/>
  <c r="BD1616" i="14"/>
  <c r="BD1506" i="14"/>
  <c r="BH1517" i="14"/>
  <c r="BF1517" i="14" s="1"/>
  <c r="BH1470" i="14"/>
  <c r="BF1470" i="14" s="1"/>
  <c r="BC1610" i="14"/>
  <c r="BH1592" i="14"/>
  <c r="BF1592" i="14" s="1"/>
  <c r="BH1530" i="14"/>
  <c r="BF1530" i="14" s="1"/>
  <c r="BD1530" i="14"/>
  <c r="AF1557" i="14"/>
  <c r="BC1592" i="14"/>
  <c r="AF1592" i="14"/>
  <c r="AF1616" i="14"/>
  <c r="AF1530" i="14"/>
  <c r="BH1514" i="14"/>
  <c r="BF1514" i="14" s="1"/>
  <c r="AF1606" i="14"/>
  <c r="BC1530" i="14"/>
  <c r="BC1616" i="14"/>
  <c r="BG1606" i="14"/>
  <c r="BH1477" i="14"/>
  <c r="BF1477" i="14" s="1"/>
  <c r="H1530" i="14"/>
  <c r="AH1530" i="14" s="1"/>
  <c r="P1592" i="14"/>
  <c r="BJ1592" i="14" s="1"/>
  <c r="H1592" i="14"/>
  <c r="AH1592" i="14" s="1"/>
  <c r="H1616" i="14"/>
  <c r="AH1616" i="14" s="1"/>
  <c r="P1530" i="14"/>
  <c r="BJ1530" i="14" s="1"/>
  <c r="P1616" i="14"/>
  <c r="BJ1616" i="14" s="1"/>
  <c r="BD1596" i="14"/>
  <c r="BH1596" i="14"/>
  <c r="BD1606" i="14"/>
  <c r="AF1596" i="14"/>
  <c r="BH1445" i="14"/>
  <c r="BF1445" i="14" s="1"/>
  <c r="BD1517" i="14"/>
  <c r="BH1438" i="14"/>
  <c r="BC1502" i="14"/>
  <c r="BD1578" i="14"/>
  <c r="BC1517" i="14"/>
  <c r="BG1596" i="14"/>
  <c r="BD1445" i="14"/>
  <c r="BC1445" i="14"/>
  <c r="BC1553" i="14"/>
  <c r="AF1502" i="14"/>
  <c r="BC1606" i="14"/>
  <c r="H1517" i="14"/>
  <c r="AH1517" i="14" s="1"/>
  <c r="P1517" i="14"/>
  <c r="AG1517" i="14" s="1"/>
  <c r="AF1506" i="14"/>
  <c r="BH1557" i="14"/>
  <c r="BF1557" i="14" s="1"/>
  <c r="BC1596" i="14"/>
  <c r="BH1553" i="14"/>
  <c r="BF1553" i="14" s="1"/>
  <c r="BD1553" i="14"/>
  <c r="AF1553" i="14"/>
  <c r="BC1578" i="14"/>
  <c r="BH1610" i="14"/>
  <c r="BF1610" i="14" s="1"/>
  <c r="H1553" i="14"/>
  <c r="AH1553" i="14" s="1"/>
  <c r="P1596" i="14"/>
  <c r="AG1596" i="14" s="1"/>
  <c r="H1445" i="14"/>
  <c r="AH1445" i="14" s="1"/>
  <c r="P1553" i="14"/>
  <c r="AG1553" i="14" s="1"/>
  <c r="H1506" i="14"/>
  <c r="AH1506" i="14" s="1"/>
  <c r="P1506" i="14"/>
  <c r="BJ1506" i="14" s="1"/>
  <c r="P1606" i="14"/>
  <c r="BJ1606" i="14" s="1"/>
  <c r="P1445" i="14"/>
  <c r="BJ1445" i="14" s="1"/>
  <c r="H1596" i="14"/>
  <c r="AH1596" i="14" s="1"/>
  <c r="H1606" i="14"/>
  <c r="AH1606" i="14" s="1"/>
  <c r="AF1445" i="14"/>
  <c r="BH1506" i="14"/>
  <c r="BF1506" i="14" s="1"/>
  <c r="BH1488" i="14"/>
  <c r="BF1488" i="14" s="1"/>
  <c r="AF1610" i="14"/>
  <c r="BC1593" i="14"/>
  <c r="AF1593" i="14"/>
  <c r="BD1610" i="14"/>
  <c r="BD1488" i="14"/>
  <c r="BH1502" i="14"/>
  <c r="BF1502" i="14" s="1"/>
  <c r="BC1557" i="14"/>
  <c r="BD1557" i="14"/>
  <c r="BC1488" i="14"/>
  <c r="BD1502" i="14"/>
  <c r="BC1514" i="14"/>
  <c r="BD1593" i="14"/>
  <c r="AF1514" i="14"/>
  <c r="BD1514" i="14"/>
  <c r="AF1488" i="14"/>
  <c r="H1502" i="14"/>
  <c r="AH1502" i="14" s="1"/>
  <c r="H1557" i="14"/>
  <c r="AH1557" i="14" s="1"/>
  <c r="H1610" i="14"/>
  <c r="AH1610" i="14" s="1"/>
  <c r="P1578" i="14"/>
  <c r="AG1578" i="14" s="1"/>
  <c r="P1610" i="14"/>
  <c r="AG1610" i="14" s="1"/>
  <c r="P1557" i="14"/>
  <c r="AG1557" i="14" s="1"/>
  <c r="H1593" i="14"/>
  <c r="AH1593" i="14" s="1"/>
  <c r="P1502" i="14"/>
  <c r="BJ1502" i="14" s="1"/>
  <c r="H1578" i="14"/>
  <c r="BI1578" i="14" s="1"/>
  <c r="P1593" i="14"/>
  <c r="AG1593" i="14" s="1"/>
  <c r="BH1593" i="14"/>
  <c r="BF1593" i="14" s="1"/>
  <c r="H1514" i="14"/>
  <c r="BI1514" i="14" s="1"/>
  <c r="H1488" i="14"/>
  <c r="BI1488" i="14" s="1"/>
  <c r="P1514" i="14"/>
  <c r="AG1514" i="14" s="1"/>
  <c r="P1488" i="14"/>
  <c r="BJ1488" i="14" s="1"/>
  <c r="BC1479" i="14"/>
  <c r="BH1535" i="14"/>
  <c r="BF1535" i="14" s="1"/>
  <c r="BG1485" i="14"/>
  <c r="P1536" i="14"/>
  <c r="BJ1536" i="14" s="1"/>
  <c r="BH1475" i="14"/>
  <c r="BF1475" i="14" s="1"/>
  <c r="BC1528" i="14"/>
  <c r="BC1536" i="14"/>
  <c r="BD1536" i="14"/>
  <c r="BD1520" i="14"/>
  <c r="AF1432" i="14"/>
  <c r="AF1591" i="14"/>
  <c r="BH1536" i="14"/>
  <c r="BF1536" i="14" s="1"/>
  <c r="AF1441" i="14"/>
  <c r="H1536" i="14"/>
  <c r="AH1536" i="14" s="1"/>
  <c r="BH1520" i="14"/>
  <c r="BF1520" i="14" s="1"/>
  <c r="BH1528" i="14"/>
  <c r="BF1528" i="14" s="1"/>
  <c r="BC1475" i="14"/>
  <c r="BG1441" i="14"/>
  <c r="AF1528" i="14"/>
  <c r="AF1544" i="14"/>
  <c r="BD1600" i="14"/>
  <c r="BC1520" i="14"/>
  <c r="BH1441" i="14"/>
  <c r="AF1524" i="14"/>
  <c r="BH1600" i="14"/>
  <c r="BD1591" i="14"/>
  <c r="BD1528" i="14"/>
  <c r="AF1520" i="14"/>
  <c r="BH1603" i="14"/>
  <c r="BH1552" i="14"/>
  <c r="BF1552" i="14" s="1"/>
  <c r="AF1547" i="14"/>
  <c r="BH1547" i="14"/>
  <c r="BG1594" i="14"/>
  <c r="BF1594" i="14" s="1"/>
  <c r="BH1570" i="14"/>
  <c r="BF1570" i="14" s="1"/>
  <c r="H1520" i="14"/>
  <c r="BI1520" i="14" s="1"/>
  <c r="H1528" i="14"/>
  <c r="BI1528" i="14" s="1"/>
  <c r="H1475" i="14"/>
  <c r="BI1475" i="14" s="1"/>
  <c r="P1520" i="14"/>
  <c r="BJ1520" i="14" s="1"/>
  <c r="P1528" i="14"/>
  <c r="AG1528" i="14" s="1"/>
  <c r="AF1515" i="14"/>
  <c r="BH1479" i="14"/>
  <c r="BF1479" i="14" s="1"/>
  <c r="AF1603" i="14"/>
  <c r="BC1473" i="14"/>
  <c r="P1591" i="14"/>
  <c r="BJ1591" i="14" s="1"/>
  <c r="BH1544" i="14"/>
  <c r="BF1544" i="14" s="1"/>
  <c r="BD1544" i="14"/>
  <c r="BC1441" i="14"/>
  <c r="AF1500" i="14"/>
  <c r="BH1473" i="14"/>
  <c r="BF1473" i="14" s="1"/>
  <c r="BC1600" i="14"/>
  <c r="BD1441" i="14"/>
  <c r="P1441" i="14"/>
  <c r="BJ1441" i="14" s="1"/>
  <c r="H1441" i="14"/>
  <c r="BI1441" i="14" s="1"/>
  <c r="BH1508" i="14"/>
  <c r="BD1491" i="14"/>
  <c r="AF1614" i="14"/>
  <c r="BG1603" i="14"/>
  <c r="BD1473" i="14"/>
  <c r="AF1600" i="14"/>
  <c r="AF1491" i="14"/>
  <c r="BH1565" i="14"/>
  <c r="BF1565" i="14" s="1"/>
  <c r="BG1600" i="14"/>
  <c r="AF1548" i="14"/>
  <c r="BD1614" i="14"/>
  <c r="BH1614" i="14"/>
  <c r="AF1536" i="14"/>
  <c r="AF1607" i="14"/>
  <c r="BH1463" i="14"/>
  <c r="BF1463" i="14" s="1"/>
  <c r="BC1591" i="14"/>
  <c r="AF1473" i="14"/>
  <c r="BH1591" i="14"/>
  <c r="BF1591" i="14" s="1"/>
  <c r="AF1579" i="14"/>
  <c r="H1525" i="14"/>
  <c r="BI1525" i="14" s="1"/>
  <c r="H1600" i="14"/>
  <c r="BI1600" i="14" s="1"/>
  <c r="H1473" i="14"/>
  <c r="AH1473" i="14" s="1"/>
  <c r="P1600" i="14"/>
  <c r="AG1600" i="14" s="1"/>
  <c r="P1473" i="14"/>
  <c r="BJ1473" i="14" s="1"/>
  <c r="BC1570" i="14"/>
  <c r="BD1570" i="14"/>
  <c r="BC1544" i="14"/>
  <c r="BD1479" i="14"/>
  <c r="BC1508" i="14"/>
  <c r="BC1547" i="14"/>
  <c r="H1544" i="14"/>
  <c r="BI1544" i="14" s="1"/>
  <c r="H1479" i="14"/>
  <c r="BI1479" i="14" s="1"/>
  <c r="P1479" i="14"/>
  <c r="AG1479" i="14" s="1"/>
  <c r="P1614" i="14"/>
  <c r="BJ1614" i="14" s="1"/>
  <c r="P1544" i="14"/>
  <c r="BJ1544" i="14" s="1"/>
  <c r="H1591" i="14"/>
  <c r="AH1591" i="14" s="1"/>
  <c r="AF1508" i="14"/>
  <c r="BH1485" i="14"/>
  <c r="BC1482" i="14"/>
  <c r="BD1494" i="14"/>
  <c r="BC1507" i="14"/>
  <c r="AF1626" i="14"/>
  <c r="BG1614" i="14"/>
  <c r="BH1447" i="14"/>
  <c r="BF1447" i="14" s="1"/>
  <c r="BD1450" i="14"/>
  <c r="BD1525" i="14"/>
  <c r="AF1479" i="14"/>
  <c r="BH1585" i="14"/>
  <c r="BF1585" i="14" s="1"/>
  <c r="BC1450" i="14"/>
  <c r="BG1508" i="14"/>
  <c r="BH1496" i="14"/>
  <c r="P1489" i="14"/>
  <c r="BJ1489" i="14" s="1"/>
  <c r="H1570" i="14"/>
  <c r="AH1570" i="14" s="1"/>
  <c r="P1570" i="14"/>
  <c r="AG1570" i="14" s="1"/>
  <c r="BC1563" i="14"/>
  <c r="BC1468" i="14"/>
  <c r="AF1436" i="14"/>
  <c r="BD1563" i="14"/>
  <c r="BG1547" i="14"/>
  <c r="BH1543" i="14"/>
  <c r="BF1543" i="14" s="1"/>
  <c r="BD1447" i="14"/>
  <c r="BH1494" i="14"/>
  <c r="BF1494" i="14" s="1"/>
  <c r="BD1547" i="14"/>
  <c r="AF1563" i="14"/>
  <c r="AF1543" i="14"/>
  <c r="P1563" i="14"/>
  <c r="BJ1563" i="14" s="1"/>
  <c r="P1507" i="14"/>
  <c r="AG1507" i="14" s="1"/>
  <c r="H1563" i="14"/>
  <c r="AH1563" i="14" s="1"/>
  <c r="AF1527" i="14"/>
  <c r="AF1521" i="14"/>
  <c r="BH1586" i="14"/>
  <c r="BF1586" i="14" s="1"/>
  <c r="BH1563" i="14"/>
  <c r="BF1563" i="14" s="1"/>
  <c r="BG1550" i="14"/>
  <c r="BF1550" i="14" s="1"/>
  <c r="AF1431" i="14"/>
  <c r="AF1476" i="14"/>
  <c r="BD1475" i="14"/>
  <c r="AF1482" i="14"/>
  <c r="AF1494" i="14"/>
  <c r="P1547" i="14"/>
  <c r="BJ1547" i="14" s="1"/>
  <c r="H1547" i="14"/>
  <c r="AH1547" i="14" s="1"/>
  <c r="BH1476" i="14"/>
  <c r="BF1476" i="14" s="1"/>
  <c r="BH1491" i="14"/>
  <c r="BF1491" i="14" s="1"/>
  <c r="BC1552" i="14"/>
  <c r="BD1607" i="14"/>
  <c r="BC1559" i="14"/>
  <c r="BD1440" i="14"/>
  <c r="BC1525" i="14"/>
  <c r="BD1524" i="14"/>
  <c r="BH1618" i="14"/>
  <c r="BF1618" i="14" s="1"/>
  <c r="BD1436" i="14"/>
  <c r="BC1436" i="14"/>
  <c r="BH1482" i="14"/>
  <c r="BF1482" i="14" s="1"/>
  <c r="BC1494" i="14"/>
  <c r="BH1605" i="14"/>
  <c r="BF1605" i="14" s="1"/>
  <c r="AF1559" i="14"/>
  <c r="BH1577" i="14"/>
  <c r="BF1577" i="14" s="1"/>
  <c r="BH1572" i="14"/>
  <c r="BF1572" i="14" s="1"/>
  <c r="BC1585" i="14"/>
  <c r="BH1440" i="14"/>
  <c r="BH1507" i="14"/>
  <c r="BF1507" i="14" s="1"/>
  <c r="P1494" i="14"/>
  <c r="AG1494" i="14" s="1"/>
  <c r="H1494" i="14"/>
  <c r="BI1494" i="14" s="1"/>
  <c r="BH1521" i="14"/>
  <c r="BF1521" i="14" s="1"/>
  <c r="AF1608" i="14"/>
  <c r="AF1437" i="14"/>
  <c r="BC1476" i="14"/>
  <c r="AF1496" i="14"/>
  <c r="BD1482" i="14"/>
  <c r="AF1537" i="14"/>
  <c r="BH1459" i="14"/>
  <c r="BF1459" i="14" s="1"/>
  <c r="AF1457" i="14"/>
  <c r="BC1500" i="14"/>
  <c r="BC1519" i="14"/>
  <c r="BD1462" i="14"/>
  <c r="BH1433" i="14"/>
  <c r="BF1433" i="14" s="1"/>
  <c r="BH1437" i="14"/>
  <c r="BF1437" i="14" s="1"/>
  <c r="AF1489" i="14"/>
  <c r="BH1558" i="14"/>
  <c r="BF1558" i="14" s="1"/>
  <c r="BH1582" i="14"/>
  <c r="BF1582" i="14" s="1"/>
  <c r="BC1485" i="14"/>
  <c r="BH1559" i="14"/>
  <c r="BF1559" i="14" s="1"/>
  <c r="AF1480" i="14"/>
  <c r="BH1450" i="14"/>
  <c r="BF1450" i="14" s="1"/>
  <c r="BD1439" i="14"/>
  <c r="BC1618" i="14"/>
  <c r="AF1518" i="14"/>
  <c r="AF1492" i="14"/>
  <c r="BH1480" i="14"/>
  <c r="AF1466" i="14"/>
  <c r="BD1565" i="14"/>
  <c r="BC1447" i="14"/>
  <c r="BG1496" i="14"/>
  <c r="BH1601" i="14"/>
  <c r="H1482" i="14"/>
  <c r="AH1482" i="14" s="1"/>
  <c r="P1482" i="14"/>
  <c r="BJ1482" i="14" s="1"/>
  <c r="P1475" i="14"/>
  <c r="BJ1475" i="14" s="1"/>
  <c r="BH1469" i="14"/>
  <c r="AF1525" i="14"/>
  <c r="AF1552" i="14"/>
  <c r="BD1485" i="14"/>
  <c r="BD1543" i="14"/>
  <c r="BD1437" i="14"/>
  <c r="BH1481" i="14"/>
  <c r="BF1481" i="14" s="1"/>
  <c r="BC1513" i="14"/>
  <c r="H1468" i="14"/>
  <c r="BI1468" i="14" s="1"/>
  <c r="AF1542" i="14"/>
  <c r="BH1489" i="14"/>
  <c r="BF1489" i="14" s="1"/>
  <c r="BD1466" i="14"/>
  <c r="AF1625" i="14"/>
  <c r="BD1508" i="14"/>
  <c r="BD1521" i="14"/>
  <c r="BD1507" i="14"/>
  <c r="AF1558" i="14"/>
  <c r="AF1510" i="14"/>
  <c r="BD1511" i="14"/>
  <c r="BC1573" i="14"/>
  <c r="BC1558" i="14"/>
  <c r="BD1552" i="14"/>
  <c r="BC1491" i="14"/>
  <c r="BD1476" i="14"/>
  <c r="BD1468" i="14"/>
  <c r="BH1608" i="14"/>
  <c r="BF1608" i="14" s="1"/>
  <c r="BC1597" i="14"/>
  <c r="BD1435" i="14"/>
  <c r="BD1456" i="14"/>
  <c r="BC1554" i="14"/>
  <c r="AF1468" i="14"/>
  <c r="BC1521" i="14"/>
  <c r="AF1597" i="14"/>
  <c r="BD1505" i="14"/>
  <c r="BD1478" i="14"/>
  <c r="BH1472" i="14"/>
  <c r="BC1440" i="14"/>
  <c r="BH1525" i="14"/>
  <c r="BF1525" i="14" s="1"/>
  <c r="BD1558" i="14"/>
  <c r="BH1436" i="14"/>
  <c r="BF1436" i="14" s="1"/>
  <c r="AF1455" i="14"/>
  <c r="BC1543" i="14"/>
  <c r="BC1537" i="14"/>
  <c r="P1552" i="14"/>
  <c r="AG1552" i="14" s="1"/>
  <c r="H1491" i="14"/>
  <c r="BI1491" i="14" s="1"/>
  <c r="P1580" i="14"/>
  <c r="AG1580" i="14" s="1"/>
  <c r="H1507" i="14"/>
  <c r="BI1507" i="14" s="1"/>
  <c r="P1491" i="14"/>
  <c r="BJ1491" i="14" s="1"/>
  <c r="H1521" i="14"/>
  <c r="AH1521" i="14" s="1"/>
  <c r="H1558" i="14"/>
  <c r="BI1558" i="14" s="1"/>
  <c r="H1436" i="14"/>
  <c r="BI1436" i="14" s="1"/>
  <c r="P1543" i="14"/>
  <c r="AG1543" i="14" s="1"/>
  <c r="P1496" i="14"/>
  <c r="AG1496" i="14" s="1"/>
  <c r="H1543" i="14"/>
  <c r="AH1543" i="14" s="1"/>
  <c r="P1521" i="14"/>
  <c r="BJ1521" i="14" s="1"/>
  <c r="P1476" i="14"/>
  <c r="BJ1476" i="14" s="1"/>
  <c r="H1485" i="14"/>
  <c r="AH1485" i="14" s="1"/>
  <c r="P1436" i="14"/>
  <c r="AG1436" i="14" s="1"/>
  <c r="P1558" i="14"/>
  <c r="AG1558" i="14" s="1"/>
  <c r="P1485" i="14"/>
  <c r="AG1485" i="14" s="1"/>
  <c r="H1476" i="14"/>
  <c r="AH1476" i="14" s="1"/>
  <c r="H1552" i="14"/>
  <c r="AH1552" i="14" s="1"/>
  <c r="P1468" i="14"/>
  <c r="BJ1468" i="14" s="1"/>
  <c r="AF1433" i="14"/>
  <c r="BC1566" i="14"/>
  <c r="BC1478" i="14"/>
  <c r="BH1621" i="14"/>
  <c r="AF1507" i="14"/>
  <c r="AF1601" i="14"/>
  <c r="BD1503" i="14"/>
  <c r="BH1513" i="14"/>
  <c r="BF1513" i="14" s="1"/>
  <c r="BG1438" i="14"/>
  <c r="BH1468" i="14"/>
  <c r="BF1468" i="14" s="1"/>
  <c r="BC1542" i="14"/>
  <c r="BC1435" i="14"/>
  <c r="BH1465" i="14"/>
  <c r="BF1465" i="14" s="1"/>
  <c r="BD1603" i="14"/>
  <c r="BG1497" i="14"/>
  <c r="BF1497" i="14" s="1"/>
  <c r="AF1621" i="14"/>
  <c r="BH1532" i="14"/>
  <c r="BF1532" i="14" s="1"/>
  <c r="H1508" i="14"/>
  <c r="BI1508" i="14" s="1"/>
  <c r="P1508" i="14"/>
  <c r="BJ1508" i="14" s="1"/>
  <c r="P1525" i="14"/>
  <c r="BJ1525" i="14" s="1"/>
  <c r="BD1519" i="14"/>
  <c r="BD1498" i="14"/>
  <c r="BC1453" i="14"/>
  <c r="AF1511" i="14"/>
  <c r="BC1472" i="14"/>
  <c r="BD1582" i="14"/>
  <c r="AF1574" i="14"/>
  <c r="BD1481" i="14"/>
  <c r="BC1614" i="14"/>
  <c r="AF1452" i="14"/>
  <c r="AF1440" i="14"/>
  <c r="AF1513" i="14"/>
  <c r="AF1556" i="14"/>
  <c r="BC1605" i="14"/>
  <c r="AF1462" i="14"/>
  <c r="BD1472" i="14"/>
  <c r="AF1503" i="14"/>
  <c r="BC1577" i="14"/>
  <c r="BD1618" i="14"/>
  <c r="BD1588" i="14"/>
  <c r="BC1512" i="14"/>
  <c r="BC1456" i="14"/>
  <c r="AF1498" i="14"/>
  <c r="BG1511" i="14"/>
  <c r="BD1489" i="14"/>
  <c r="BD1483" i="14"/>
  <c r="BD1625" i="14"/>
  <c r="BH1455" i="14"/>
  <c r="BF1455" i="14" s="1"/>
  <c r="BC1555" i="14"/>
  <c r="BD1510" i="14"/>
  <c r="BC1524" i="14"/>
  <c r="BH1574" i="14"/>
  <c r="BF1574" i="14" s="1"/>
  <c r="BH1431" i="14"/>
  <c r="BF1431" i="14" s="1"/>
  <c r="AF1512" i="14"/>
  <c r="AF1446" i="14"/>
  <c r="BH1452" i="14"/>
  <c r="BF1452" i="14" s="1"/>
  <c r="BC1581" i="14"/>
  <c r="BG1440" i="14"/>
  <c r="BC1602" i="14"/>
  <c r="AF1519" i="14"/>
  <c r="BH1584" i="14"/>
  <c r="BF1584" i="14" s="1"/>
  <c r="BD1496" i="14"/>
  <c r="BD1449" i="14"/>
  <c r="BD1513" i="14"/>
  <c r="AF1604" i="14"/>
  <c r="BH1467" i="14"/>
  <c r="BF1467" i="14" s="1"/>
  <c r="AF1569" i="14"/>
  <c r="BC1497" i="14"/>
  <c r="BC1483" i="14"/>
  <c r="BD1463" i="14"/>
  <c r="BD1474" i="14"/>
  <c r="BD1431" i="14"/>
  <c r="BC1474" i="14"/>
  <c r="BH1554" i="14"/>
  <c r="BF1554" i="14" s="1"/>
  <c r="BD1555" i="14"/>
  <c r="BC1481" i="14"/>
  <c r="BH1474" i="14"/>
  <c r="BF1474" i="14" s="1"/>
  <c r="BH1505" i="14"/>
  <c r="BF1505" i="14" s="1"/>
  <c r="BD1568" i="14"/>
  <c r="BC1574" i="14"/>
  <c r="AF1472" i="14"/>
  <c r="BD1554" i="14"/>
  <c r="AF1456" i="14"/>
  <c r="BD1585" i="14"/>
  <c r="BG1480" i="14"/>
  <c r="BH1524" i="14"/>
  <c r="BF1524" i="14" s="1"/>
  <c r="AF1582" i="14"/>
  <c r="BH1597" i="14"/>
  <c r="BF1597" i="14" s="1"/>
  <c r="AF1572" i="14"/>
  <c r="AF1504" i="14"/>
  <c r="AF1581" i="14"/>
  <c r="BH1457" i="14"/>
  <c r="BF1457" i="14" s="1"/>
  <c r="BH1573" i="14"/>
  <c r="BF1573" i="14" s="1"/>
  <c r="BD1559" i="14"/>
  <c r="BC1431" i="14"/>
  <c r="AF1505" i="14"/>
  <c r="BG1456" i="14"/>
  <c r="BC1516" i="14"/>
  <c r="BD1608" i="14"/>
  <c r="AF1554" i="14"/>
  <c r="BC1469" i="14"/>
  <c r="BC1565" i="14"/>
  <c r="BD1577" i="14"/>
  <c r="BC1582" i="14"/>
  <c r="BD1490" i="14"/>
  <c r="BH1490" i="14"/>
  <c r="BF1490" i="14" s="1"/>
  <c r="BH1498" i="14"/>
  <c r="BF1498" i="14" s="1"/>
  <c r="BH1625" i="14"/>
  <c r="BF1625" i="14" s="1"/>
  <c r="BH1540" i="14"/>
  <c r="BD1542" i="14"/>
  <c r="BC1455" i="14"/>
  <c r="BD1597" i="14"/>
  <c r="BH1511" i="14"/>
  <c r="BC1603" i="14"/>
  <c r="BC1568" i="14"/>
  <c r="BC1572" i="14"/>
  <c r="AF1435" i="14"/>
  <c r="BC1503" i="14"/>
  <c r="BD1500" i="14"/>
  <c r="AF1573" i="14"/>
  <c r="BD1497" i="14"/>
  <c r="BC1625" i="14"/>
  <c r="BC1463" i="14"/>
  <c r="BC1505" i="14"/>
  <c r="BC1608" i="14"/>
  <c r="BD1574" i="14"/>
  <c r="BH1555" i="14"/>
  <c r="BF1555" i="14" s="1"/>
  <c r="BC1490" i="14"/>
  <c r="BC1498" i="14"/>
  <c r="BH1527" i="14"/>
  <c r="BF1527" i="14" s="1"/>
  <c r="AF1577" i="14"/>
  <c r="AF1568" i="14"/>
  <c r="BD1453" i="14"/>
  <c r="BD1480" i="14"/>
  <c r="BD1469" i="14"/>
  <c r="BC1492" i="14"/>
  <c r="BD1540" i="14"/>
  <c r="AF1469" i="14"/>
  <c r="H1440" i="14"/>
  <c r="BI1440" i="14" s="1"/>
  <c r="P1498" i="14"/>
  <c r="BJ1498" i="14" s="1"/>
  <c r="H1450" i="14"/>
  <c r="BI1450" i="14" s="1"/>
  <c r="H1498" i="14"/>
  <c r="BI1498" i="14" s="1"/>
  <c r="H1524" i="14"/>
  <c r="BI1524" i="14" s="1"/>
  <c r="H1614" i="14"/>
  <c r="BI1614" i="14" s="1"/>
  <c r="P1450" i="14"/>
  <c r="BJ1450" i="14" s="1"/>
  <c r="P1440" i="14"/>
  <c r="AG1440" i="14" s="1"/>
  <c r="BD1572" i="14"/>
  <c r="AF1555" i="14"/>
  <c r="BH1435" i="14"/>
  <c r="BF1435" i="14" s="1"/>
  <c r="BH1439" i="14"/>
  <c r="BH1609" i="14"/>
  <c r="BH1537" i="14"/>
  <c r="BF1537" i="14" s="1"/>
  <c r="BG1472" i="14"/>
  <c r="BC1615" i="14"/>
  <c r="H1585" i="14"/>
  <c r="BI1585" i="14" s="1"/>
  <c r="P1447" i="14"/>
  <c r="BJ1447" i="14" s="1"/>
  <c r="H1447" i="14"/>
  <c r="BI1447" i="14" s="1"/>
  <c r="H1622" i="14"/>
  <c r="AH1622" i="14" s="1"/>
  <c r="P1585" i="14"/>
  <c r="BJ1585" i="14" s="1"/>
  <c r="AF1478" i="14"/>
  <c r="BD1499" i="14"/>
  <c r="BC1510" i="14"/>
  <c r="BG1601" i="14"/>
  <c r="BH1500" i="14"/>
  <c r="BF1500" i="14" s="1"/>
  <c r="AF1481" i="14"/>
  <c r="AF1618" i="14"/>
  <c r="BC1540" i="14"/>
  <c r="AF1540" i="14"/>
  <c r="BH1613" i="14"/>
  <c r="BF1613" i="14" s="1"/>
  <c r="P1439" i="14"/>
  <c r="AG1439" i="14" s="1"/>
  <c r="H1555" i="14"/>
  <c r="AH1555" i="14" s="1"/>
  <c r="P1554" i="14"/>
  <c r="BJ1554" i="14" s="1"/>
  <c r="P1572" i="14"/>
  <c r="BJ1572" i="14" s="1"/>
  <c r="H1439" i="14"/>
  <c r="AH1439" i="14" s="1"/>
  <c r="P1431" i="14"/>
  <c r="BJ1431" i="14" s="1"/>
  <c r="H1472" i="14"/>
  <c r="AH1472" i="14" s="1"/>
  <c r="H1572" i="14"/>
  <c r="AH1572" i="14" s="1"/>
  <c r="P1582" i="14"/>
  <c r="BJ1582" i="14" s="1"/>
  <c r="P1481" i="14"/>
  <c r="AG1481" i="14" s="1"/>
  <c r="H1481" i="14"/>
  <c r="AH1481" i="14" s="1"/>
  <c r="H1574" i="14"/>
  <c r="BI1574" i="14" s="1"/>
  <c r="H1435" i="14"/>
  <c r="AH1435" i="14" s="1"/>
  <c r="H1582" i="14"/>
  <c r="AH1582" i="14" s="1"/>
  <c r="P1435" i="14"/>
  <c r="AG1435" i="14" s="1"/>
  <c r="H1474" i="14"/>
  <c r="BI1474" i="14" s="1"/>
  <c r="H1554" i="14"/>
  <c r="BI1554" i="14" s="1"/>
  <c r="H1452" i="14"/>
  <c r="AH1452" i="14" s="1"/>
  <c r="H1513" i="14"/>
  <c r="BI1513" i="14" s="1"/>
  <c r="P1456" i="14"/>
  <c r="AG1456" i="14" s="1"/>
  <c r="H1490" i="14"/>
  <c r="BI1490" i="14" s="1"/>
  <c r="P1490" i="14"/>
  <c r="AG1490" i="14" s="1"/>
  <c r="H1618" i="14"/>
  <c r="AH1618" i="14" s="1"/>
  <c r="P1555" i="14"/>
  <c r="AG1555" i="14" s="1"/>
  <c r="P1618" i="14"/>
  <c r="AG1618" i="14" s="1"/>
  <c r="H1568" i="14"/>
  <c r="BI1568" i="14" s="1"/>
  <c r="H1456" i="14"/>
  <c r="AH1456" i="14" s="1"/>
  <c r="P1513" i="14"/>
  <c r="BJ1513" i="14" s="1"/>
  <c r="P1472" i="14"/>
  <c r="BJ1472" i="14" s="1"/>
  <c r="P1568" i="14"/>
  <c r="BJ1568" i="14" s="1"/>
  <c r="P1574" i="14"/>
  <c r="AG1574" i="14" s="1"/>
  <c r="H1431" i="14"/>
  <c r="AH1431" i="14" s="1"/>
  <c r="P1474" i="14"/>
  <c r="BJ1474" i="14" s="1"/>
  <c r="AF1564" i="14"/>
  <c r="BC1511" i="14"/>
  <c r="BH1626" i="14"/>
  <c r="BF1626" i="14" s="1"/>
  <c r="BH1453" i="14"/>
  <c r="BF1453" i="14" s="1"/>
  <c r="P1577" i="14"/>
  <c r="BJ1577" i="14" s="1"/>
  <c r="H1505" i="14"/>
  <c r="AH1505" i="14" s="1"/>
  <c r="P1463" i="14"/>
  <c r="AG1463" i="14" s="1"/>
  <c r="P1500" i="14"/>
  <c r="BJ1500" i="14" s="1"/>
  <c r="P1625" i="14"/>
  <c r="BJ1625" i="14" s="1"/>
  <c r="P1505" i="14"/>
  <c r="AG1505" i="14" s="1"/>
  <c r="P1503" i="14"/>
  <c r="BJ1503" i="14" s="1"/>
  <c r="H1608" i="14"/>
  <c r="BI1608" i="14" s="1"/>
  <c r="P1565" i="14"/>
  <c r="AG1565" i="14" s="1"/>
  <c r="H1480" i="14"/>
  <c r="AH1480" i="14" s="1"/>
  <c r="H1483" i="14"/>
  <c r="AH1483" i="14" s="1"/>
  <c r="H1625" i="14"/>
  <c r="AH1625" i="14" s="1"/>
  <c r="P1608" i="14"/>
  <c r="AG1608" i="14" s="1"/>
  <c r="H1503" i="14"/>
  <c r="AH1503" i="14" s="1"/>
  <c r="H1500" i="14"/>
  <c r="BI1500" i="14" s="1"/>
  <c r="P1537" i="14"/>
  <c r="AG1537" i="14" s="1"/>
  <c r="H1577" i="14"/>
  <c r="BI1577" i="14" s="1"/>
  <c r="H1565" i="14"/>
  <c r="AH1565" i="14" s="1"/>
  <c r="P1603" i="14"/>
  <c r="AG1603" i="14" s="1"/>
  <c r="P1453" i="14"/>
  <c r="AG1453" i="14" s="1"/>
  <c r="P1559" i="14"/>
  <c r="AG1559" i="14" s="1"/>
  <c r="H1519" i="14"/>
  <c r="BI1519" i="14" s="1"/>
  <c r="H1463" i="14"/>
  <c r="BI1463" i="14" s="1"/>
  <c r="P1483" i="14"/>
  <c r="BJ1483" i="14" s="1"/>
  <c r="H1559" i="14"/>
  <c r="AH1559" i="14" s="1"/>
  <c r="P1519" i="14"/>
  <c r="AG1519" i="14" s="1"/>
  <c r="P1524" i="14"/>
  <c r="AG1524" i="14" s="1"/>
  <c r="H1603" i="14"/>
  <c r="BI1603" i="14" s="1"/>
  <c r="H1607" i="14"/>
  <c r="AH1607" i="14" s="1"/>
  <c r="BC1467" i="14"/>
  <c r="BH1539" i="14"/>
  <c r="BF1539" i="14" s="1"/>
  <c r="BH1501" i="14"/>
  <c r="BF1501" i="14" s="1"/>
  <c r="BH1449" i="14"/>
  <c r="BF1449" i="14" s="1"/>
  <c r="BG1448" i="14"/>
  <c r="BF1448" i="14" s="1"/>
  <c r="BG1564" i="14"/>
  <c r="BH1503" i="14"/>
  <c r="BF1503" i="14" s="1"/>
  <c r="BH1466" i="14"/>
  <c r="BF1466" i="14" s="1"/>
  <c r="AF1458" i="14"/>
  <c r="BG1483" i="14"/>
  <c r="BF1483" i="14" s="1"/>
  <c r="BH1607" i="14"/>
  <c r="BF1607" i="14" s="1"/>
  <c r="BD1605" i="14"/>
  <c r="BG1540" i="14"/>
  <c r="BG1469" i="14"/>
  <c r="BH1562" i="14"/>
  <c r="BF1562" i="14" s="1"/>
  <c r="AF1561" i="14"/>
  <c r="BD1573" i="14"/>
  <c r="BH1492" i="14"/>
  <c r="BF1492" i="14" s="1"/>
  <c r="BD1459" i="14"/>
  <c r="AF1534" i="14"/>
  <c r="BD1512" i="14"/>
  <c r="BH1484" i="14"/>
  <c r="BC1449" i="14"/>
  <c r="BC1437" i="14"/>
  <c r="BC1480" i="14"/>
  <c r="BC1466" i="14"/>
  <c r="BD1455" i="14"/>
  <c r="BH1516" i="14"/>
  <c r="BF1516" i="14" s="1"/>
  <c r="BC1457" i="14"/>
  <c r="BH1561" i="14"/>
  <c r="BD1590" i="14"/>
  <c r="BD1602" i="14"/>
  <c r="H1437" i="14"/>
  <c r="AH1437" i="14" s="1"/>
  <c r="H1542" i="14"/>
  <c r="BI1542" i="14" s="1"/>
  <c r="H1597" i="14"/>
  <c r="AH1597" i="14" s="1"/>
  <c r="H1511" i="14"/>
  <c r="BI1511" i="14" s="1"/>
  <c r="P1573" i="14"/>
  <c r="AG1573" i="14" s="1"/>
  <c r="P1497" i="14"/>
  <c r="AG1497" i="14" s="1"/>
  <c r="H1455" i="14"/>
  <c r="AH1455" i="14" s="1"/>
  <c r="H1510" i="14"/>
  <c r="AH1510" i="14" s="1"/>
  <c r="P1597" i="14"/>
  <c r="AG1597" i="14" s="1"/>
  <c r="P1510" i="14"/>
  <c r="AG1510" i="14" s="1"/>
  <c r="P1466" i="14"/>
  <c r="AG1466" i="14" s="1"/>
  <c r="H1497" i="14"/>
  <c r="BI1497" i="14" s="1"/>
  <c r="H1573" i="14"/>
  <c r="BI1573" i="14" s="1"/>
  <c r="H1453" i="14"/>
  <c r="AH1453" i="14" s="1"/>
  <c r="P1511" i="14"/>
  <c r="AG1511" i="14" s="1"/>
  <c r="P1469" i="14"/>
  <c r="BJ1469" i="14" s="1"/>
  <c r="H1540" i="14"/>
  <c r="BI1540" i="14" s="1"/>
  <c r="P1480" i="14"/>
  <c r="BJ1480" i="14" s="1"/>
  <c r="H1466" i="14"/>
  <c r="AH1466" i="14" s="1"/>
  <c r="H1469" i="14"/>
  <c r="AH1469" i="14" s="1"/>
  <c r="P1540" i="14"/>
  <c r="BJ1540" i="14" s="1"/>
  <c r="P1542" i="14"/>
  <c r="AG1542" i="14" s="1"/>
  <c r="P1455" i="14"/>
  <c r="BJ1455" i="14" s="1"/>
  <c r="AF1605" i="14"/>
  <c r="BC1561" i="14"/>
  <c r="BH1628" i="14"/>
  <c r="BF1628" i="14" s="1"/>
  <c r="BH1446" i="14"/>
  <c r="BF1446" i="14" s="1"/>
  <c r="AF1453" i="14"/>
  <c r="BC1545" i="14"/>
  <c r="BC1569" i="14"/>
  <c r="BC1550" i="14"/>
  <c r="BC1496" i="14"/>
  <c r="BC1527" i="14"/>
  <c r="BD1433" i="14"/>
  <c r="BG1561" i="14"/>
  <c r="BH1611" i="14"/>
  <c r="BH1512" i="14"/>
  <c r="BF1512" i="14" s="1"/>
  <c r="AF1484" i="14"/>
  <c r="BC1518" i="14"/>
  <c r="BC1538" i="14"/>
  <c r="BH1434" i="14"/>
  <c r="BF1434" i="14" s="1"/>
  <c r="BH1617" i="14"/>
  <c r="BF1617" i="14" s="1"/>
  <c r="BH1461" i="14"/>
  <c r="BF1461" i="14" s="1"/>
  <c r="BC1462" i="14"/>
  <c r="BC1433" i="14"/>
  <c r="P1437" i="14"/>
  <c r="BJ1437" i="14" s="1"/>
  <c r="BD1465" i="14"/>
  <c r="BH1581" i="14"/>
  <c r="BF1581" i="14" s="1"/>
  <c r="BD1589" i="14"/>
  <c r="BD1467" i="14"/>
  <c r="BG1569" i="14"/>
  <c r="BD1612" i="14"/>
  <c r="BD1621" i="14"/>
  <c r="BC1560" i="14"/>
  <c r="BC1590" i="14"/>
  <c r="AF1439" i="14"/>
  <c r="AF1442" i="14"/>
  <c r="BH1462" i="14"/>
  <c r="BF1462" i="14" s="1"/>
  <c r="H1433" i="14"/>
  <c r="BI1433" i="14" s="1"/>
  <c r="P1433" i="14"/>
  <c r="AG1433" i="14" s="1"/>
  <c r="BG1484" i="14"/>
  <c r="BD1444" i="14"/>
  <c r="BH1478" i="14"/>
  <c r="BF1478" i="14" s="1"/>
  <c r="AF1526" i="14"/>
  <c r="BC1612" i="14"/>
  <c r="AF1612" i="14"/>
  <c r="BH1627" i="14"/>
  <c r="BF1627" i="14" s="1"/>
  <c r="BH1451" i="14"/>
  <c r="BF1451" i="14" s="1"/>
  <c r="AF1587" i="14"/>
  <c r="BC1551" i="14"/>
  <c r="BC1432" i="14"/>
  <c r="BD1626" i="14"/>
  <c r="BC1532" i="14"/>
  <c r="AF1495" i="14"/>
  <c r="BC1627" i="14"/>
  <c r="BD1627" i="14"/>
  <c r="BH1538" i="14"/>
  <c r="BF1538" i="14" s="1"/>
  <c r="BD1548" i="14"/>
  <c r="BH1576" i="14"/>
  <c r="BF1576" i="14" s="1"/>
  <c r="BC1628" i="14"/>
  <c r="AF1617" i="14"/>
  <c r="AF1467" i="14"/>
  <c r="H1478" i="14"/>
  <c r="BI1478" i="14" s="1"/>
  <c r="P1462" i="14"/>
  <c r="BJ1462" i="14" s="1"/>
  <c r="P1478" i="14"/>
  <c r="BJ1478" i="14" s="1"/>
  <c r="H1462" i="14"/>
  <c r="AH1462" i="14" s="1"/>
  <c r="AF1470" i="14"/>
  <c r="AF1532" i="14"/>
  <c r="AF1501" i="14"/>
  <c r="AF1449" i="14"/>
  <c r="AF1541" i="14"/>
  <c r="BD1611" i="14"/>
  <c r="BC1499" i="14"/>
  <c r="BD1504" i="14"/>
  <c r="BC1504" i="14"/>
  <c r="BD1556" i="14"/>
  <c r="BD1539" i="14"/>
  <c r="BH1556" i="14"/>
  <c r="BF1556" i="14" s="1"/>
  <c r="BC1477" i="14"/>
  <c r="BH1541" i="14"/>
  <c r="BF1541" i="14" s="1"/>
  <c r="AF1535" i="14"/>
  <c r="AF1546" i="14"/>
  <c r="AF1583" i="14"/>
  <c r="BD1580" i="14"/>
  <c r="BH1460" i="14"/>
  <c r="BF1460" i="14" s="1"/>
  <c r="BD1546" i="14"/>
  <c r="BC1556" i="14"/>
  <c r="BC1451" i="14"/>
  <c r="AF1487" i="14"/>
  <c r="BC1584" i="14"/>
  <c r="BC1621" i="14"/>
  <c r="BH1546" i="14"/>
  <c r="BF1546" i="14" s="1"/>
  <c r="BC1495" i="14"/>
  <c r="BD1477" i="14"/>
  <c r="BC1489" i="14"/>
  <c r="BH1564" i="14"/>
  <c r="BD1526" i="14"/>
  <c r="BD1550" i="14"/>
  <c r="BD1518" i="14"/>
  <c r="BC1601" i="14"/>
  <c r="BD1601" i="14"/>
  <c r="BD1527" i="14"/>
  <c r="BD1448" i="14"/>
  <c r="BD1628" i="14"/>
  <c r="AF1562" i="14"/>
  <c r="BC1443" i="14"/>
  <c r="BC1630" i="14"/>
  <c r="BC1607" i="14"/>
  <c r="BC1501" i="14"/>
  <c r="BD1501" i="14"/>
  <c r="P1449" i="14"/>
  <c r="AG1449" i="14" s="1"/>
  <c r="P1628" i="14"/>
  <c r="BJ1628" i="14" s="1"/>
  <c r="H1449" i="14"/>
  <c r="AH1449" i="14" s="1"/>
  <c r="H1628" i="14"/>
  <c r="BI1628" i="14" s="1"/>
  <c r="P1601" i="14"/>
  <c r="AG1601" i="14" s="1"/>
  <c r="H1601" i="14"/>
  <c r="BI1601" i="14" s="1"/>
  <c r="H1496" i="14"/>
  <c r="AH1496" i="14" s="1"/>
  <c r="P1527" i="14"/>
  <c r="AG1527" i="14" s="1"/>
  <c r="H1527" i="14"/>
  <c r="AH1527" i="14" s="1"/>
  <c r="AF1620" i="14"/>
  <c r="BC1626" i="14"/>
  <c r="BH1545" i="14"/>
  <c r="BF1545" i="14" s="1"/>
  <c r="AF1575" i="14"/>
  <c r="BC1575" i="14"/>
  <c r="BD1613" i="14"/>
  <c r="BD1484" i="14"/>
  <c r="BC1548" i="14"/>
  <c r="AF1459" i="14"/>
  <c r="BC1535" i="14"/>
  <c r="BD1535" i="14"/>
  <c r="BD1538" i="14"/>
  <c r="BC1434" i="14"/>
  <c r="BD1434" i="14"/>
  <c r="BC1446" i="14"/>
  <c r="AF1588" i="14"/>
  <c r="BC1526" i="14"/>
  <c r="BH1526" i="14"/>
  <c r="BF1526" i="14" s="1"/>
  <c r="BH1522" i="14"/>
  <c r="BF1522" i="14" s="1"/>
  <c r="AF1629" i="14"/>
  <c r="BD1451" i="14"/>
  <c r="BC1564" i="14"/>
  <c r="BC1604" i="14"/>
  <c r="BH1595" i="14"/>
  <c r="BF1595" i="14" s="1"/>
  <c r="BD1537" i="14"/>
  <c r="BD1561" i="14"/>
  <c r="BC1484" i="14"/>
  <c r="BC1629" i="14"/>
  <c r="BD1470" i="14"/>
  <c r="BG1439" i="14"/>
  <c r="BD1615" i="14"/>
  <c r="BC1589" i="14"/>
  <c r="BH1580" i="14"/>
  <c r="BF1580" i="14" s="1"/>
  <c r="BD1630" i="14"/>
  <c r="BH1533" i="14"/>
  <c r="BF1533" i="14" s="1"/>
  <c r="BD1446" i="14"/>
  <c r="BG1515" i="14"/>
  <c r="BH1442" i="14"/>
  <c r="BF1442" i="14" s="1"/>
  <c r="H1548" i="14"/>
  <c r="AH1548" i="14" s="1"/>
  <c r="H1501" i="14"/>
  <c r="AH1501" i="14" s="1"/>
  <c r="H1526" i="14"/>
  <c r="AH1526" i="14" s="1"/>
  <c r="P1538" i="14"/>
  <c r="BJ1538" i="14" s="1"/>
  <c r="P1526" i="14"/>
  <c r="BJ1526" i="14" s="1"/>
  <c r="P1434" i="14"/>
  <c r="AG1434" i="14" s="1"/>
  <c r="P1501" i="14"/>
  <c r="AG1501" i="14" s="1"/>
  <c r="P1548" i="14"/>
  <c r="BJ1548" i="14" s="1"/>
  <c r="AF1566" i="14"/>
  <c r="BD1564" i="14"/>
  <c r="AF1434" i="14"/>
  <c r="BC1464" i="14"/>
  <c r="BH1590" i="14"/>
  <c r="BF1590" i="14" s="1"/>
  <c r="BC1571" i="14"/>
  <c r="AF1493" i="14"/>
  <c r="BH1458" i="14"/>
  <c r="BF1458" i="14" s="1"/>
  <c r="BH1587" i="14"/>
  <c r="BF1587" i="14" s="1"/>
  <c r="BD1495" i="14"/>
  <c r="BD1515" i="14"/>
  <c r="BC1580" i="14"/>
  <c r="BC1587" i="14"/>
  <c r="BH1629" i="14"/>
  <c r="BF1629" i="14" s="1"/>
  <c r="AF1477" i="14"/>
  <c r="AF1522" i="14"/>
  <c r="H1535" i="14"/>
  <c r="AH1535" i="14" s="1"/>
  <c r="H1550" i="14"/>
  <c r="BI1550" i="14" s="1"/>
  <c r="P1518" i="14"/>
  <c r="BJ1518" i="14" s="1"/>
  <c r="H1518" i="14"/>
  <c r="AH1518" i="14" s="1"/>
  <c r="H1512" i="14"/>
  <c r="BI1512" i="14" s="1"/>
  <c r="H1489" i="14"/>
  <c r="AH1489" i="14" s="1"/>
  <c r="H1538" i="14"/>
  <c r="AH1538" i="14" s="1"/>
  <c r="H1605" i="14"/>
  <c r="AH1605" i="14" s="1"/>
  <c r="P1484" i="14"/>
  <c r="BJ1484" i="14" s="1"/>
  <c r="P1446" i="14"/>
  <c r="AG1446" i="14" s="1"/>
  <c r="P1605" i="14"/>
  <c r="BJ1605" i="14" s="1"/>
  <c r="P1630" i="14"/>
  <c r="BJ1630" i="14" s="1"/>
  <c r="P1561" i="14"/>
  <c r="BJ1561" i="14" s="1"/>
  <c r="H1537" i="14"/>
  <c r="AH1537" i="14" s="1"/>
  <c r="H1484" i="14"/>
  <c r="AH1484" i="14" s="1"/>
  <c r="H1434" i="14"/>
  <c r="BI1434" i="14" s="1"/>
  <c r="P1607" i="14"/>
  <c r="AG1607" i="14" s="1"/>
  <c r="P1535" i="14"/>
  <c r="BJ1535" i="14" s="1"/>
  <c r="P1550" i="14"/>
  <c r="AG1550" i="14" s="1"/>
  <c r="P1512" i="14"/>
  <c r="BJ1512" i="14" s="1"/>
  <c r="P1564" i="14"/>
  <c r="BJ1564" i="14" s="1"/>
  <c r="H1561" i="14"/>
  <c r="BI1561" i="14" s="1"/>
  <c r="BC1460" i="14"/>
  <c r="BC1546" i="14"/>
  <c r="BD1460" i="14"/>
  <c r="BC1620" i="14"/>
  <c r="BD1604" i="14"/>
  <c r="BD1541" i="14"/>
  <c r="BC1515" i="14"/>
  <c r="BD1534" i="14"/>
  <c r="BD1575" i="14"/>
  <c r="BD1452" i="14"/>
  <c r="BD1620" i="14"/>
  <c r="BD1629" i="14"/>
  <c r="BD1560" i="14"/>
  <c r="BH1495" i="14"/>
  <c r="BF1495" i="14" s="1"/>
  <c r="BD1545" i="14"/>
  <c r="BH1487" i="14"/>
  <c r="BF1487" i="14" s="1"/>
  <c r="BC1541" i="14"/>
  <c r="BH1602" i="14"/>
  <c r="BF1602" i="14" s="1"/>
  <c r="AF1539" i="14"/>
  <c r="BH1464" i="14"/>
  <c r="BF1464" i="14" s="1"/>
  <c r="BD1571" i="14"/>
  <c r="BD1522" i="14"/>
  <c r="BC1471" i="14"/>
  <c r="BD1586" i="14"/>
  <c r="BC1509" i="14"/>
  <c r="BD1487" i="14"/>
  <c r="BC1609" i="14"/>
  <c r="BD1509" i="14"/>
  <c r="BD1581" i="14"/>
  <c r="BC1487" i="14"/>
  <c r="BC1576" i="14"/>
  <c r="AF1460" i="14"/>
  <c r="BD1587" i="14"/>
  <c r="BH1443" i="14"/>
  <c r="AF1443" i="14"/>
  <c r="BH1588" i="14"/>
  <c r="BF1588" i="14" s="1"/>
  <c r="BC1470" i="14"/>
  <c r="AF1465" i="14"/>
  <c r="BD1492" i="14"/>
  <c r="BD1432" i="14"/>
  <c r="BC1579" i="14"/>
  <c r="BC1452" i="14"/>
  <c r="BG1566" i="14"/>
  <c r="P1613" i="14"/>
  <c r="BJ1613" i="14" s="1"/>
  <c r="BD1471" i="14"/>
  <c r="BC1539" i="14"/>
  <c r="AF1599" i="14"/>
  <c r="BD1617" i="14"/>
  <c r="AF1589" i="14"/>
  <c r="BD1461" i="14"/>
  <c r="BH1471" i="14"/>
  <c r="BF1471" i="14" s="1"/>
  <c r="BD1623" i="14"/>
  <c r="AF1471" i="14"/>
  <c r="BH1623" i="14"/>
  <c r="BF1623" i="14" s="1"/>
  <c r="BD1532" i="14"/>
  <c r="BC1613" i="14"/>
  <c r="BC1459" i="14"/>
  <c r="BC1534" i="14"/>
  <c r="BD1599" i="14"/>
  <c r="BH1444" i="14"/>
  <c r="BF1444" i="14" s="1"/>
  <c r="BD1457" i="14"/>
  <c r="BF1504" i="14"/>
  <c r="BD1551" i="14"/>
  <c r="BD1595" i="14"/>
  <c r="BC1588" i="14"/>
  <c r="AF1630" i="14"/>
  <c r="BD1622" i="14"/>
  <c r="BH1571" i="14"/>
  <c r="BF1571" i="14" s="1"/>
  <c r="AF1516" i="14"/>
  <c r="BD1533" i="14"/>
  <c r="BD1443" i="14"/>
  <c r="BC1623" i="14"/>
  <c r="BC1442" i="14"/>
  <c r="BC1444" i="14"/>
  <c r="BD1569" i="14"/>
  <c r="BC1595" i="14"/>
  <c r="BD1609" i="14"/>
  <c r="AF1609" i="14"/>
  <c r="BC1594" i="14"/>
  <c r="BH1615" i="14"/>
  <c r="BF1615" i="14" s="1"/>
  <c r="AF1545" i="14"/>
  <c r="BG1575" i="14"/>
  <c r="AF1464" i="14"/>
  <c r="H1487" i="14"/>
  <c r="BI1487" i="14" s="1"/>
  <c r="P1627" i="14"/>
  <c r="BJ1627" i="14" s="1"/>
  <c r="H1556" i="14"/>
  <c r="AH1556" i="14" s="1"/>
  <c r="H1495" i="14"/>
  <c r="BI1495" i="14" s="1"/>
  <c r="H1564" i="14"/>
  <c r="AH1564" i="14" s="1"/>
  <c r="P1545" i="14"/>
  <c r="BJ1545" i="14" s="1"/>
  <c r="P1457" i="14"/>
  <c r="AG1457" i="14" s="1"/>
  <c r="H1460" i="14"/>
  <c r="BI1460" i="14" s="1"/>
  <c r="P1495" i="14"/>
  <c r="AG1495" i="14" s="1"/>
  <c r="H1459" i="14"/>
  <c r="BI1459" i="14" s="1"/>
  <c r="H1629" i="14"/>
  <c r="AH1629" i="14" s="1"/>
  <c r="P1569" i="14"/>
  <c r="BJ1569" i="14" s="1"/>
  <c r="H1609" i="14"/>
  <c r="AH1609" i="14" s="1"/>
  <c r="P1477" i="14"/>
  <c r="AG1477" i="14" s="1"/>
  <c r="P1602" i="14"/>
  <c r="BJ1602" i="14" s="1"/>
  <c r="H1545" i="14"/>
  <c r="BI1545" i="14" s="1"/>
  <c r="H1595" i="14"/>
  <c r="BI1595" i="14" s="1"/>
  <c r="H1451" i="14"/>
  <c r="BI1451" i="14" s="1"/>
  <c r="H1569" i="14"/>
  <c r="BI1569" i="14" s="1"/>
  <c r="H1539" i="14"/>
  <c r="BI1539" i="14" s="1"/>
  <c r="P1451" i="14"/>
  <c r="AG1451" i="14" s="1"/>
  <c r="H1620" i="14"/>
  <c r="BI1620" i="14" s="1"/>
  <c r="H1477" i="14"/>
  <c r="AH1477" i="14" s="1"/>
  <c r="P1487" i="14"/>
  <c r="AG1487" i="14" s="1"/>
  <c r="P1575" i="14"/>
  <c r="AG1575" i="14" s="1"/>
  <c r="H1613" i="14"/>
  <c r="BI1613" i="14" s="1"/>
  <c r="H1457" i="14"/>
  <c r="AH1457" i="14" s="1"/>
  <c r="H1509" i="14"/>
  <c r="AH1509" i="14" s="1"/>
  <c r="P1459" i="14"/>
  <c r="BJ1459" i="14" s="1"/>
  <c r="H1470" i="14"/>
  <c r="AH1470" i="14" s="1"/>
  <c r="P1534" i="14"/>
  <c r="BJ1534" i="14" s="1"/>
  <c r="P1444" i="14"/>
  <c r="BJ1444" i="14" s="1"/>
  <c r="H1444" i="14"/>
  <c r="BI1444" i="14" s="1"/>
  <c r="P1539" i="14"/>
  <c r="BJ1539" i="14" s="1"/>
  <c r="H1575" i="14"/>
  <c r="AH1575" i="14" s="1"/>
  <c r="H1627" i="14"/>
  <c r="BI1627" i="14" s="1"/>
  <c r="P1588" i="14"/>
  <c r="BJ1588" i="14" s="1"/>
  <c r="H1604" i="14"/>
  <c r="BI1604" i="14" s="1"/>
  <c r="P1460" i="14"/>
  <c r="BJ1460" i="14" s="1"/>
  <c r="P1546" i="14"/>
  <c r="BJ1546" i="14" s="1"/>
  <c r="P1620" i="14"/>
  <c r="AG1620" i="14" s="1"/>
  <c r="H1581" i="14"/>
  <c r="BI1581" i="14" s="1"/>
  <c r="H1534" i="14"/>
  <c r="BI1534" i="14" s="1"/>
  <c r="H1541" i="14"/>
  <c r="BI1541" i="14" s="1"/>
  <c r="P1629" i="14"/>
  <c r="BJ1629" i="14" s="1"/>
  <c r="P1581" i="14"/>
  <c r="BJ1581" i="14" s="1"/>
  <c r="P1604" i="14"/>
  <c r="AG1604" i="14" s="1"/>
  <c r="H1546" i="14"/>
  <c r="BI1546" i="14" s="1"/>
  <c r="P1556" i="14"/>
  <c r="AG1556" i="14" s="1"/>
  <c r="P1609" i="14"/>
  <c r="BJ1609" i="14" s="1"/>
  <c r="P1595" i="14"/>
  <c r="AG1595" i="14" s="1"/>
  <c r="H1588" i="14"/>
  <c r="BI1588" i="14" s="1"/>
  <c r="P1541" i="14"/>
  <c r="BJ1541" i="14" s="1"/>
  <c r="H1630" i="14"/>
  <c r="AH1630" i="14" s="1"/>
  <c r="P1509" i="14"/>
  <c r="AG1509" i="14" s="1"/>
  <c r="P1470" i="14"/>
  <c r="AG1470" i="14" s="1"/>
  <c r="H1602" i="14"/>
  <c r="BI1602" i="14" s="1"/>
  <c r="H1446" i="14"/>
  <c r="AH1446" i="14" s="1"/>
  <c r="BG1621" i="14"/>
  <c r="BH1622" i="14"/>
  <c r="BF1622" i="14" s="1"/>
  <c r="AF1571" i="14"/>
  <c r="BC1461" i="14"/>
  <c r="BH1493" i="14"/>
  <c r="AF1623" i="14"/>
  <c r="AF1444" i="14"/>
  <c r="AF1590" i="14"/>
  <c r="BH1612" i="14"/>
  <c r="BF1612" i="14" s="1"/>
  <c r="BH1551" i="14"/>
  <c r="BF1551" i="14" s="1"/>
  <c r="BH1534" i="14"/>
  <c r="BF1534" i="14" s="1"/>
  <c r="BG1443" i="14"/>
  <c r="BF1510" i="14"/>
  <c r="AF1580" i="14"/>
  <c r="BG1493" i="14"/>
  <c r="BG1509" i="14"/>
  <c r="BF1509" i="14" s="1"/>
  <c r="BG1609" i="14"/>
  <c r="BD1438" i="14"/>
  <c r="AF1560" i="14"/>
  <c r="AF1499" i="14"/>
  <c r="BC1438" i="14"/>
  <c r="BC1533" i="14"/>
  <c r="BH1515" i="14"/>
  <c r="BC1493" i="14"/>
  <c r="BD1594" i="14"/>
  <c r="BC1599" i="14"/>
  <c r="BC1522" i="14"/>
  <c r="BD1458" i="14"/>
  <c r="BD1584" i="14"/>
  <c r="BD1579" i="14"/>
  <c r="BC1458" i="14"/>
  <c r="BD1566" i="14"/>
  <c r="BD1442" i="14"/>
  <c r="BH1566" i="14"/>
  <c r="H1504" i="14"/>
  <c r="BI1504" i="14" s="1"/>
  <c r="P1579" i="14"/>
  <c r="BJ1579" i="14" s="1"/>
  <c r="H1621" i="14"/>
  <c r="BI1621" i="14" s="1"/>
  <c r="P1621" i="14"/>
  <c r="BJ1621" i="14" s="1"/>
  <c r="BC1465" i="14"/>
  <c r="BC1586" i="14"/>
  <c r="BH1432" i="14"/>
  <c r="BF1432" i="14" s="1"/>
  <c r="H1584" i="14"/>
  <c r="BI1584" i="14" s="1"/>
  <c r="P1522" i="14"/>
  <c r="AG1522" i="14" s="1"/>
  <c r="P1566" i="14"/>
  <c r="AG1566" i="14" s="1"/>
  <c r="H1586" i="14"/>
  <c r="BI1586" i="14" s="1"/>
  <c r="P1626" i="14"/>
  <c r="AG1626" i="14" s="1"/>
  <c r="H1551" i="14"/>
  <c r="AH1551" i="14" s="1"/>
  <c r="P1584" i="14"/>
  <c r="BJ1584" i="14" s="1"/>
  <c r="H1471" i="14"/>
  <c r="AH1471" i="14" s="1"/>
  <c r="H1522" i="14"/>
  <c r="BI1522" i="14" s="1"/>
  <c r="P1586" i="14"/>
  <c r="AG1586" i="14" s="1"/>
  <c r="H1566" i="14"/>
  <c r="AH1566" i="14" s="1"/>
  <c r="H1594" i="14"/>
  <c r="BI1594" i="14" s="1"/>
  <c r="P1612" i="14"/>
  <c r="AG1612" i="14" s="1"/>
  <c r="P1623" i="14"/>
  <c r="AG1623" i="14" s="1"/>
  <c r="H1579" i="14"/>
  <c r="BI1579" i="14" s="1"/>
  <c r="P1471" i="14"/>
  <c r="BJ1471" i="14" s="1"/>
  <c r="H1612" i="14"/>
  <c r="AH1612" i="14" s="1"/>
  <c r="H1532" i="14"/>
  <c r="BI1532" i="14" s="1"/>
  <c r="H1443" i="14"/>
  <c r="AH1443" i="14" s="1"/>
  <c r="H1623" i="14"/>
  <c r="AH1623" i="14" s="1"/>
  <c r="P1504" i="14"/>
  <c r="AG1504" i="14" s="1"/>
  <c r="H1599" i="14"/>
  <c r="BI1599" i="14" s="1"/>
  <c r="H1432" i="14"/>
  <c r="AH1432" i="14" s="1"/>
  <c r="P1587" i="14"/>
  <c r="BJ1587" i="14" s="1"/>
  <c r="P1594" i="14"/>
  <c r="AG1594" i="14" s="1"/>
  <c r="P1532" i="14"/>
  <c r="AG1532" i="14" s="1"/>
  <c r="H1587" i="14"/>
  <c r="BI1587" i="14" s="1"/>
  <c r="P1443" i="14"/>
  <c r="BJ1443" i="14" s="1"/>
  <c r="P1492" i="14"/>
  <c r="AG1492" i="14" s="1"/>
  <c r="P1551" i="14"/>
  <c r="BJ1551" i="14" s="1"/>
  <c r="P1432" i="14"/>
  <c r="BJ1432" i="14" s="1"/>
  <c r="P1442" i="14"/>
  <c r="BJ1442" i="14" s="1"/>
  <c r="H1626" i="14"/>
  <c r="BI1626" i="14" s="1"/>
  <c r="H1492" i="14"/>
  <c r="AH1492" i="14" s="1"/>
  <c r="H1580" i="14"/>
  <c r="BI1580" i="14" s="1"/>
  <c r="P1599" i="14"/>
  <c r="AG1599" i="14" s="1"/>
  <c r="P1458" i="14"/>
  <c r="BJ1458" i="14" s="1"/>
  <c r="H1442" i="14"/>
  <c r="AH1442" i="14" s="1"/>
  <c r="H1458" i="14"/>
  <c r="AH1458" i="14" s="1"/>
  <c r="BH1499" i="14"/>
  <c r="BF1499" i="14" s="1"/>
  <c r="BG1583" i="14"/>
  <c r="BH1560" i="14"/>
  <c r="BF1560" i="14" s="1"/>
  <c r="BD1516" i="14"/>
  <c r="BC1622" i="14"/>
  <c r="BD1493" i="14"/>
  <c r="BH1583" i="14"/>
  <c r="BD1576" i="14"/>
  <c r="BD1562" i="14"/>
  <c r="AF1611" i="14"/>
  <c r="BC1448" i="14"/>
  <c r="BC1617" i="14"/>
  <c r="BC1562" i="14"/>
  <c r="BC1583" i="14"/>
  <c r="BC1611" i="14"/>
  <c r="BD1583" i="14"/>
  <c r="BD1464" i="14"/>
  <c r="BC1439" i="14"/>
  <c r="P1562" i="14"/>
  <c r="BJ1562" i="14" s="1"/>
  <c r="H1464" i="14"/>
  <c r="AH1464" i="14" s="1"/>
  <c r="H1493" i="14"/>
  <c r="AH1493" i="14" s="1"/>
  <c r="H1499" i="14"/>
  <c r="BI1499" i="14" s="1"/>
  <c r="H1516" i="14"/>
  <c r="BI1516" i="14" s="1"/>
  <c r="H1515" i="14"/>
  <c r="BI1515" i="14" s="1"/>
  <c r="P1571" i="14"/>
  <c r="BJ1571" i="14" s="1"/>
  <c r="P1493" i="14"/>
  <c r="AG1493" i="14" s="1"/>
  <c r="P1465" i="14"/>
  <c r="BJ1465" i="14" s="1"/>
  <c r="H1590" i="14"/>
  <c r="AH1590" i="14" s="1"/>
  <c r="H1533" i="14"/>
  <c r="BI1533" i="14" s="1"/>
  <c r="H1461" i="14"/>
  <c r="AH1461" i="14" s="1"/>
  <c r="P1516" i="14"/>
  <c r="AG1516" i="14" s="1"/>
  <c r="P1576" i="14"/>
  <c r="BJ1576" i="14" s="1"/>
  <c r="H1589" i="14"/>
  <c r="AH1589" i="14" s="1"/>
  <c r="H1611" i="14"/>
  <c r="BI1611" i="14" s="1"/>
  <c r="H1438" i="14"/>
  <c r="AH1438" i="14" s="1"/>
  <c r="P1461" i="14"/>
  <c r="BJ1461" i="14" s="1"/>
  <c r="P1448" i="14"/>
  <c r="BJ1448" i="14" s="1"/>
  <c r="H1583" i="14"/>
  <c r="BI1583" i="14" s="1"/>
  <c r="P1560" i="14"/>
  <c r="BJ1560" i="14" s="1"/>
  <c r="H1448" i="14"/>
  <c r="AH1448" i="14" s="1"/>
  <c r="P1533" i="14"/>
  <c r="AG1533" i="14" s="1"/>
  <c r="P1615" i="14"/>
  <c r="AG1615" i="14" s="1"/>
  <c r="H1467" i="14"/>
  <c r="BI1467" i="14" s="1"/>
  <c r="H1571" i="14"/>
  <c r="BI1571" i="14" s="1"/>
  <c r="P1438" i="14"/>
  <c r="AG1438" i="14" s="1"/>
  <c r="H1617" i="14"/>
  <c r="BI1617" i="14" s="1"/>
  <c r="P1515" i="14"/>
  <c r="AG1515" i="14" s="1"/>
  <c r="P1467" i="14"/>
  <c r="BJ1467" i="14" s="1"/>
  <c r="H1576" i="14"/>
  <c r="BI1576" i="14" s="1"/>
  <c r="H1562" i="14"/>
  <c r="AH1562" i="14" s="1"/>
  <c r="P1622" i="14"/>
  <c r="AG1622" i="14" s="1"/>
  <c r="P1617" i="14"/>
  <c r="AG1617" i="14" s="1"/>
  <c r="P1499" i="14"/>
  <c r="AG1499" i="14" s="1"/>
  <c r="P1464" i="14"/>
  <c r="BJ1464" i="14" s="1"/>
  <c r="P1583" i="14"/>
  <c r="BJ1583" i="14" s="1"/>
  <c r="H1465" i="14"/>
  <c r="BI1465" i="14" s="1"/>
  <c r="H1560" i="14"/>
  <c r="AH1560" i="14" s="1"/>
  <c r="H1615" i="14"/>
  <c r="AH1615" i="14" s="1"/>
  <c r="P1611" i="14"/>
  <c r="BJ1611" i="14" s="1"/>
  <c r="P1590" i="14"/>
  <c r="BJ1590" i="14" s="1"/>
  <c r="P1589" i="14"/>
  <c r="BJ1589" i="14" s="1"/>
  <c r="P1452" i="14"/>
  <c r="AG1452" i="14" s="1"/>
  <c r="AF1615" i="14"/>
  <c r="BG1611" i="14"/>
  <c r="BF1620" i="14"/>
  <c r="BF1542" i="14"/>
  <c r="BF1604" i="14"/>
  <c r="BF1579" i="14"/>
  <c r="BE1531" i="14"/>
  <c r="BF1599" i="14"/>
  <c r="BF1519" i="14"/>
  <c r="BC1631" i="14"/>
  <c r="P1631" i="14"/>
  <c r="H1631" i="14"/>
  <c r="BF1589" i="14"/>
  <c r="BF1531" i="14"/>
  <c r="BI1531" i="14"/>
  <c r="AH1531" i="14"/>
  <c r="BD1631" i="14"/>
  <c r="BF1568" i="14"/>
  <c r="AF1631" i="14"/>
  <c r="BG1631" i="14"/>
  <c r="BH1631" i="14"/>
  <c r="AG1531" i="14"/>
  <c r="BJ1531" i="14"/>
  <c r="BF1630" i="14"/>
  <c r="BF1548" i="14"/>
  <c r="BF1529" i="14" l="1"/>
  <c r="AH1529" i="14"/>
  <c r="AJ1529" i="14" s="1"/>
  <c r="Z1529" i="14" s="1"/>
  <c r="AG1529" i="14"/>
  <c r="AI1529" i="14" s="1"/>
  <c r="AA1529" i="14" s="1"/>
  <c r="AD1529" i="14" s="1"/>
  <c r="BE1529" i="14"/>
  <c r="AG1567" i="14"/>
  <c r="AI1567" i="14" s="1"/>
  <c r="AA1567" i="14" s="1"/>
  <c r="AD1567" i="14" s="1"/>
  <c r="BE1454" i="14"/>
  <c r="BE1567" i="14"/>
  <c r="BE1486" i="14"/>
  <c r="BJ1486" i="14"/>
  <c r="BI1486" i="14"/>
  <c r="BI1567" i="14"/>
  <c r="BK1567" i="14" s="1"/>
  <c r="BB2" i="7" a="1"/>
  <c r="BB2" i="7" s="1"/>
  <c r="AH1454" i="14"/>
  <c r="AM1454" i="14" s="1"/>
  <c r="BA2" i="7"/>
  <c r="BJ1454" i="14"/>
  <c r="BK1454" i="14" s="1"/>
  <c r="BE1462" i="14"/>
  <c r="BJ1549" i="14"/>
  <c r="BF1456" i="14"/>
  <c r="BF1480" i="14"/>
  <c r="AG1523" i="14"/>
  <c r="AI1523" i="14" s="1"/>
  <c r="AA1523" i="14" s="1"/>
  <c r="AD1523" i="14" s="1"/>
  <c r="BE1523" i="14"/>
  <c r="BE1568" i="14"/>
  <c r="BI1549" i="14"/>
  <c r="BF1472" i="14"/>
  <c r="BE1466" i="14"/>
  <c r="BI1619" i="14"/>
  <c r="BK1619" i="14" s="1"/>
  <c r="BE1549" i="14"/>
  <c r="BE1481" i="14"/>
  <c r="BF1569" i="14"/>
  <c r="AH1523" i="14"/>
  <c r="AJ1523" i="14" s="1"/>
  <c r="Z1523" i="14" s="1"/>
  <c r="BF1606" i="14"/>
  <c r="BJ1598" i="14"/>
  <c r="BF1619" i="14"/>
  <c r="BE1619" i="14"/>
  <c r="BE1598" i="14"/>
  <c r="BI1624" i="14"/>
  <c r="BI1530" i="14"/>
  <c r="BK1530" i="14" s="1"/>
  <c r="BI1598" i="14"/>
  <c r="BE1624" i="14"/>
  <c r="BJ1624" i="14"/>
  <c r="BE1506" i="14"/>
  <c r="AG1619" i="14"/>
  <c r="AN1619" i="14" s="1"/>
  <c r="BE1592" i="14"/>
  <c r="BF1575" i="14"/>
  <c r="BE1616" i="14"/>
  <c r="BE1610" i="14"/>
  <c r="BE1553" i="14"/>
  <c r="BF1596" i="14"/>
  <c r="BE1517" i="14"/>
  <c r="BE1502" i="14"/>
  <c r="BI1506" i="14"/>
  <c r="BK1506" i="14" s="1"/>
  <c r="AG1592" i="14"/>
  <c r="AN1592" i="14" s="1"/>
  <c r="BI1592" i="14"/>
  <c r="BK1592" i="14" s="1"/>
  <c r="BI1616" i="14"/>
  <c r="BK1616" i="14" s="1"/>
  <c r="AG1616" i="14"/>
  <c r="AL1616" i="14" s="1"/>
  <c r="AG1530" i="14"/>
  <c r="AI1530" i="14" s="1"/>
  <c r="AA1530" i="14" s="1"/>
  <c r="AD1530" i="14" s="1"/>
  <c r="BE1530" i="14"/>
  <c r="BE1514" i="14"/>
  <c r="BE1606" i="14"/>
  <c r="BE1578" i="14"/>
  <c r="BJ1596" i="14"/>
  <c r="BF1438" i="14"/>
  <c r="BE1593" i="14"/>
  <c r="BE1546" i="14"/>
  <c r="BI1517" i="14"/>
  <c r="BI1445" i="14"/>
  <c r="BK1445" i="14" s="1"/>
  <c r="BE1596" i="14"/>
  <c r="BE1445" i="14"/>
  <c r="BE1588" i="14"/>
  <c r="BE1488" i="14"/>
  <c r="BI1553" i="14"/>
  <c r="BJ1553" i="14"/>
  <c r="BJ1517" i="14"/>
  <c r="AH1488" i="14"/>
  <c r="AJ1488" i="14" s="1"/>
  <c r="Z1488" i="14" s="1"/>
  <c r="BI1502" i="14"/>
  <c r="BK1502" i="14" s="1"/>
  <c r="BI1557" i="14"/>
  <c r="AG1506" i="14"/>
  <c r="AI1506" i="14" s="1"/>
  <c r="AA1506" i="14" s="1"/>
  <c r="AD1506" i="14" s="1"/>
  <c r="BE1479" i="14"/>
  <c r="BE1557" i="14"/>
  <c r="AG1445" i="14"/>
  <c r="AL1445" i="14" s="1"/>
  <c r="BJ1578" i="14"/>
  <c r="BK1578" i="14" s="1"/>
  <c r="BJ1514" i="14"/>
  <c r="BK1514" i="14" s="1"/>
  <c r="AG1606" i="14"/>
  <c r="AL1606" i="14" s="1"/>
  <c r="BI1610" i="14"/>
  <c r="BI1596" i="14"/>
  <c r="BJ1557" i="14"/>
  <c r="BI1606" i="14"/>
  <c r="BK1606" i="14" s="1"/>
  <c r="BI1593" i="14"/>
  <c r="AG1536" i="14"/>
  <c r="AL1536" i="14" s="1"/>
  <c r="BJ1610" i="14"/>
  <c r="BE1536" i="14"/>
  <c r="AG1488" i="14"/>
  <c r="AI1488" i="14" s="1"/>
  <c r="AA1488" i="14" s="1"/>
  <c r="AD1488" i="14" s="1"/>
  <c r="BF1485" i="14"/>
  <c r="AH1578" i="14"/>
  <c r="AJ1578" i="14" s="1"/>
  <c r="Z1578" i="14" s="1"/>
  <c r="AG1502" i="14"/>
  <c r="AN1502" i="14" s="1"/>
  <c r="BJ1593" i="14"/>
  <c r="AH1514" i="14"/>
  <c r="AJ1514" i="14" s="1"/>
  <c r="Z1514" i="14" s="1"/>
  <c r="BE1528" i="14"/>
  <c r="BF1540" i="14"/>
  <c r="BJ1528" i="14"/>
  <c r="BK1528" i="14" s="1"/>
  <c r="BE1485" i="14"/>
  <c r="BI1536" i="14"/>
  <c r="BK1536" i="14" s="1"/>
  <c r="BE1591" i="14"/>
  <c r="BE1595" i="14"/>
  <c r="BE1450" i="14"/>
  <c r="BE1520" i="14"/>
  <c r="BE1475" i="14"/>
  <c r="BE1473" i="14"/>
  <c r="BE1441" i="14"/>
  <c r="BF1603" i="14"/>
  <c r="BF1600" i="14"/>
  <c r="BE1600" i="14"/>
  <c r="BF1441" i="14"/>
  <c r="BF1547" i="14"/>
  <c r="AH1528" i="14"/>
  <c r="AJ1528" i="14" s="1"/>
  <c r="Z1528" i="14" s="1"/>
  <c r="BE1547" i="14"/>
  <c r="AH1520" i="14"/>
  <c r="AM1520" i="14" s="1"/>
  <c r="BE1468" i="14"/>
  <c r="BE1465" i="14"/>
  <c r="BE1496" i="14"/>
  <c r="AH1475" i="14"/>
  <c r="AJ1475" i="14" s="1"/>
  <c r="Z1475" i="14" s="1"/>
  <c r="BJ1479" i="14"/>
  <c r="BK1479" i="14" s="1"/>
  <c r="AG1520" i="14"/>
  <c r="AL1520" i="14" s="1"/>
  <c r="AH1600" i="14"/>
  <c r="AK1600" i="14" s="1"/>
  <c r="AH1525" i="14"/>
  <c r="AM1525" i="14" s="1"/>
  <c r="AH1479" i="14"/>
  <c r="AK1479" i="14" s="1"/>
  <c r="BE1614" i="14"/>
  <c r="BE1552" i="14"/>
  <c r="BF1508" i="14"/>
  <c r="AG1591" i="14"/>
  <c r="AN1591" i="14" s="1"/>
  <c r="AH1441" i="14"/>
  <c r="AK1441" i="14" s="1"/>
  <c r="BE1544" i="14"/>
  <c r="BF1614" i="14"/>
  <c r="AG1544" i="14"/>
  <c r="AI1544" i="14" s="1"/>
  <c r="AA1544" i="14" s="1"/>
  <c r="AD1544" i="14" s="1"/>
  <c r="BJ1600" i="14"/>
  <c r="BK1600" i="14" s="1"/>
  <c r="BE1511" i="14"/>
  <c r="AG1441" i="14"/>
  <c r="AL1441" i="14" s="1"/>
  <c r="BE1537" i="14"/>
  <c r="BF1621" i="14"/>
  <c r="BE1491" i="14"/>
  <c r="BI1473" i="14"/>
  <c r="BK1473" i="14" s="1"/>
  <c r="BE1525" i="14"/>
  <c r="BE1570" i="14"/>
  <c r="BJ1570" i="14"/>
  <c r="AG1563" i="14"/>
  <c r="AL1563" i="14" s="1"/>
  <c r="BF1561" i="14"/>
  <c r="BE1436" i="14"/>
  <c r="BE1563" i="14"/>
  <c r="BI1591" i="14"/>
  <c r="BK1591" i="14" s="1"/>
  <c r="AG1614" i="14"/>
  <c r="AL1614" i="14" s="1"/>
  <c r="AG1473" i="14"/>
  <c r="AI1473" i="14" s="1"/>
  <c r="AA1473" i="14" s="1"/>
  <c r="AD1473" i="14" s="1"/>
  <c r="BE1505" i="14"/>
  <c r="AG1489" i="14"/>
  <c r="AN1489" i="14" s="1"/>
  <c r="BE1585" i="14"/>
  <c r="BE1503" i="14"/>
  <c r="BE1440" i="14"/>
  <c r="BE1507" i="14"/>
  <c r="BE1508" i="14"/>
  <c r="BE1497" i="14"/>
  <c r="BI1570" i="14"/>
  <c r="BF1564" i="14"/>
  <c r="BE1474" i="14"/>
  <c r="BE1453" i="14"/>
  <c r="BE1464" i="14"/>
  <c r="BE1494" i="14"/>
  <c r="AH1544" i="14"/>
  <c r="AM1544" i="14" s="1"/>
  <c r="BE1484" i="14"/>
  <c r="BF1496" i="14"/>
  <c r="BE1482" i="14"/>
  <c r="BE1602" i="14"/>
  <c r="BE1524" i="14"/>
  <c r="BE1551" i="14"/>
  <c r="BE1504" i="14"/>
  <c r="BE1625" i="14"/>
  <c r="BE1542" i="14"/>
  <c r="BE1461" i="14"/>
  <c r="BE1433" i="14"/>
  <c r="BE1472" i="14"/>
  <c r="BE1435" i="14"/>
  <c r="BE1574" i="14"/>
  <c r="AH1574" i="14"/>
  <c r="AK1574" i="14" s="1"/>
  <c r="BE1495" i="14"/>
  <c r="BE1622" i="14"/>
  <c r="BE1447" i="14"/>
  <c r="BJ1580" i="14"/>
  <c r="BK1580" i="14" s="1"/>
  <c r="BF1601" i="14"/>
  <c r="BE1467" i="14"/>
  <c r="BJ1607" i="14"/>
  <c r="AH1508" i="14"/>
  <c r="AM1508" i="14" s="1"/>
  <c r="BE1621" i="14"/>
  <c r="BE1559" i="14"/>
  <c r="BF1440" i="14"/>
  <c r="BE1543" i="14"/>
  <c r="BJ1543" i="14"/>
  <c r="AG1450" i="14"/>
  <c r="AN1450" i="14" s="1"/>
  <c r="AG1547" i="14"/>
  <c r="AN1547" i="14" s="1"/>
  <c r="BI1547" i="14"/>
  <c r="BK1547" i="14" s="1"/>
  <c r="BJ1555" i="14"/>
  <c r="BI1563" i="14"/>
  <c r="BK1563" i="14" s="1"/>
  <c r="AH1447" i="14"/>
  <c r="AM1447" i="14" s="1"/>
  <c r="BJ1507" i="14"/>
  <c r="BK1507" i="14" s="1"/>
  <c r="AG1483" i="14"/>
  <c r="AN1483" i="14" s="1"/>
  <c r="BJ1496" i="14"/>
  <c r="BE1478" i="14"/>
  <c r="BE1480" i="14"/>
  <c r="BE1603" i="14"/>
  <c r="BE1566" i="14"/>
  <c r="BE1456" i="14"/>
  <c r="BE1630" i="14"/>
  <c r="BE1452" i="14"/>
  <c r="BE1584" i="14"/>
  <c r="BE1516" i="14"/>
  <c r="BE1607" i="14"/>
  <c r="BE1590" i="14"/>
  <c r="BE1554" i="14"/>
  <c r="BE1463" i="14"/>
  <c r="BE1605" i="14"/>
  <c r="BE1519" i="14"/>
  <c r="BJ1440" i="14"/>
  <c r="BK1440" i="14" s="1"/>
  <c r="AG1455" i="14"/>
  <c r="AN1455" i="14" s="1"/>
  <c r="BF1566" i="14"/>
  <c r="BE1459" i="14"/>
  <c r="BE1476" i="14"/>
  <c r="BE1582" i="14"/>
  <c r="BE1437" i="14"/>
  <c r="BE1510" i="14"/>
  <c r="BE1565" i="14"/>
  <c r="AG1508" i="14"/>
  <c r="AI1508" i="14" s="1"/>
  <c r="AA1508" i="14" s="1"/>
  <c r="AD1508" i="14" s="1"/>
  <c r="BJ1436" i="14"/>
  <c r="BK1436" i="14" s="1"/>
  <c r="BI1482" i="14"/>
  <c r="BK1482" i="14" s="1"/>
  <c r="BE1490" i="14"/>
  <c r="BJ1494" i="14"/>
  <c r="BK1494" i="14" s="1"/>
  <c r="BE1492" i="14"/>
  <c r="BE1431" i="14"/>
  <c r="BI1510" i="14"/>
  <c r="AH1585" i="14"/>
  <c r="AM1585" i="14" s="1"/>
  <c r="AH1558" i="14"/>
  <c r="AM1558" i="14" s="1"/>
  <c r="AH1494" i="14"/>
  <c r="AK1494" i="14" s="1"/>
  <c r="BE1446" i="14"/>
  <c r="BF1469" i="14"/>
  <c r="BE1498" i="14"/>
  <c r="BE1483" i="14"/>
  <c r="BE1489" i="14"/>
  <c r="BE1500" i="14"/>
  <c r="BE1612" i="14"/>
  <c r="BE1538" i="14"/>
  <c r="BE1615" i="14"/>
  <c r="BE1572" i="14"/>
  <c r="BE1555" i="14"/>
  <c r="BE1618" i="14"/>
  <c r="BE1558" i="14"/>
  <c r="AG1525" i="14"/>
  <c r="AL1525" i="14" s="1"/>
  <c r="AG1482" i="14"/>
  <c r="AN1482" i="14" s="1"/>
  <c r="BJ1558" i="14"/>
  <c r="BK1558" i="14" s="1"/>
  <c r="AG1498" i="14"/>
  <c r="AI1498" i="14" s="1"/>
  <c r="AA1498" i="14" s="1"/>
  <c r="AD1498" i="14" s="1"/>
  <c r="BI1565" i="14"/>
  <c r="AH1507" i="14"/>
  <c r="AK1507" i="14" s="1"/>
  <c r="BJ1573" i="14"/>
  <c r="BK1573" i="14" s="1"/>
  <c r="BE1627" i="14"/>
  <c r="BE1581" i="14"/>
  <c r="BE1604" i="14"/>
  <c r="BE1439" i="14"/>
  <c r="AG1491" i="14"/>
  <c r="AN1491" i="14" s="1"/>
  <c r="BE1597" i="14"/>
  <c r="BE1521" i="14"/>
  <c r="BE1580" i="14"/>
  <c r="BI1552" i="14"/>
  <c r="BJ1559" i="14"/>
  <c r="BJ1490" i="14"/>
  <c r="BK1490" i="14" s="1"/>
  <c r="AH1524" i="14"/>
  <c r="AK1524" i="14" s="1"/>
  <c r="BJ1481" i="14"/>
  <c r="BJ1565" i="14"/>
  <c r="BI1469" i="14"/>
  <c r="BK1469" i="14" s="1"/>
  <c r="BE1611" i="14"/>
  <c r="BE1469" i="14"/>
  <c r="BE1569" i="14"/>
  <c r="AG1468" i="14"/>
  <c r="AL1468" i="14" s="1"/>
  <c r="AH1436" i="14"/>
  <c r="AM1436" i="14" s="1"/>
  <c r="BJ1485" i="14"/>
  <c r="AG1475" i="14"/>
  <c r="AL1475" i="14" s="1"/>
  <c r="BJ1515" i="14"/>
  <c r="BK1515" i="14" s="1"/>
  <c r="AH1498" i="14"/>
  <c r="AJ1498" i="14" s="1"/>
  <c r="Z1498" i="14" s="1"/>
  <c r="BI1476" i="14"/>
  <c r="BK1476" i="14" s="1"/>
  <c r="BI1521" i="14"/>
  <c r="BK1521" i="14" s="1"/>
  <c r="BE1513" i="14"/>
  <c r="BI1505" i="14"/>
  <c r="AH1468" i="14"/>
  <c r="AJ1468" i="14" s="1"/>
  <c r="Z1468" i="14" s="1"/>
  <c r="AH1628" i="14"/>
  <c r="AM1628" i="14" s="1"/>
  <c r="AH1491" i="14"/>
  <c r="AK1491" i="14" s="1"/>
  <c r="BI1485" i="14"/>
  <c r="AG1472" i="14"/>
  <c r="AL1472" i="14" s="1"/>
  <c r="BE1573" i="14"/>
  <c r="BE1550" i="14"/>
  <c r="BE1577" i="14"/>
  <c r="BI1622" i="14"/>
  <c r="BI1435" i="14"/>
  <c r="BJ1439" i="14"/>
  <c r="BJ1618" i="14"/>
  <c r="AG1521" i="14"/>
  <c r="AL1521" i="14" s="1"/>
  <c r="BI1559" i="14"/>
  <c r="BJ1552" i="14"/>
  <c r="AG1476" i="14"/>
  <c r="AL1476" i="14" s="1"/>
  <c r="BI1555" i="14"/>
  <c r="AG1577" i="14"/>
  <c r="AN1577" i="14" s="1"/>
  <c r="AG1585" i="14"/>
  <c r="AI1585" i="14" s="1"/>
  <c r="AA1585" i="14" s="1"/>
  <c r="AD1585" i="14" s="1"/>
  <c r="AH1568" i="14"/>
  <c r="AJ1568" i="14" s="1"/>
  <c r="Z1568" i="14" s="1"/>
  <c r="BI1582" i="14"/>
  <c r="BK1582" i="14" s="1"/>
  <c r="AH1497" i="14"/>
  <c r="AM1497" i="14" s="1"/>
  <c r="BI1543" i="14"/>
  <c r="BE1532" i="14"/>
  <c r="BE1499" i="14"/>
  <c r="BE1540" i="14"/>
  <c r="BE1608" i="14"/>
  <c r="BF1511" i="14"/>
  <c r="AH1573" i="14"/>
  <c r="AK1573" i="14" s="1"/>
  <c r="BJ1519" i="14"/>
  <c r="BK1519" i="14" s="1"/>
  <c r="BI1456" i="14"/>
  <c r="BJ1435" i="14"/>
  <c r="AG1554" i="14"/>
  <c r="AN1554" i="14" s="1"/>
  <c r="BI1503" i="14"/>
  <c r="BK1503" i="14" s="1"/>
  <c r="BJ1608" i="14"/>
  <c r="BK1608" i="14" s="1"/>
  <c r="BJ1509" i="14"/>
  <c r="BE1444" i="14"/>
  <c r="BE1556" i="14"/>
  <c r="BE1512" i="14"/>
  <c r="BF1611" i="14"/>
  <c r="BE1539" i="14"/>
  <c r="BE1442" i="14"/>
  <c r="BE1613" i="14"/>
  <c r="BE1455" i="14"/>
  <c r="BI1453" i="14"/>
  <c r="BE1458" i="14"/>
  <c r="BE1579" i="14"/>
  <c r="BE1487" i="14"/>
  <c r="AG1513" i="14"/>
  <c r="AI1513" i="14" s="1"/>
  <c r="AA1513" i="14" s="1"/>
  <c r="AD1513" i="14" s="1"/>
  <c r="AH1542" i="14"/>
  <c r="AM1542" i="14" s="1"/>
  <c r="BE1432" i="14"/>
  <c r="BE1518" i="14"/>
  <c r="BE1449" i="14"/>
  <c r="BJ1463" i="14"/>
  <c r="BK1463" i="14" s="1"/>
  <c r="AH1474" i="14"/>
  <c r="AK1474" i="14" s="1"/>
  <c r="AH1500" i="14"/>
  <c r="AK1500" i="14" s="1"/>
  <c r="AG1572" i="14"/>
  <c r="AI1572" i="14" s="1"/>
  <c r="AA1572" i="14" s="1"/>
  <c r="AD1572" i="14" s="1"/>
  <c r="BJ1524" i="14"/>
  <c r="BK1524" i="14" s="1"/>
  <c r="BF1609" i="14"/>
  <c r="BE1541" i="14"/>
  <c r="BE1534" i="14"/>
  <c r="BE1448" i="14"/>
  <c r="AH1581" i="14"/>
  <c r="AM1581" i="14" s="1"/>
  <c r="AH1440" i="14"/>
  <c r="AM1440" i="14" s="1"/>
  <c r="AG1545" i="14"/>
  <c r="AN1545" i="14" s="1"/>
  <c r="BJ1601" i="14"/>
  <c r="BK1601" i="14" s="1"/>
  <c r="AG1500" i="14"/>
  <c r="AN1500" i="14" s="1"/>
  <c r="BE1576" i="14"/>
  <c r="BE1545" i="14"/>
  <c r="BE1628" i="14"/>
  <c r="BE1457" i="14"/>
  <c r="BE1515" i="14"/>
  <c r="BE1535" i="14"/>
  <c r="AH1614" i="14"/>
  <c r="AK1614" i="14" s="1"/>
  <c r="AH1450" i="14"/>
  <c r="AM1450" i="14" s="1"/>
  <c r="BJ1501" i="14"/>
  <c r="BI1431" i="14"/>
  <c r="BK1431" i="14" s="1"/>
  <c r="BI1481" i="14"/>
  <c r="AG1447" i="14"/>
  <c r="AL1447" i="14" s="1"/>
  <c r="BI1618" i="14"/>
  <c r="BE1527" i="14"/>
  <c r="BE1589" i="14"/>
  <c r="BF1439" i="14"/>
  <c r="BI1439" i="14"/>
  <c r="BJ1511" i="14"/>
  <c r="BK1511" i="14" s="1"/>
  <c r="BJ1537" i="14"/>
  <c r="AG1518" i="14"/>
  <c r="AN1518" i="14" s="1"/>
  <c r="BE1561" i="14"/>
  <c r="BI1437" i="14"/>
  <c r="BK1437" i="14" s="1"/>
  <c r="BI1564" i="14"/>
  <c r="BK1564" i="14" s="1"/>
  <c r="AH1554" i="14"/>
  <c r="AK1554" i="14" s="1"/>
  <c r="AG1538" i="14"/>
  <c r="AN1538" i="14" s="1"/>
  <c r="BI1597" i="14"/>
  <c r="BI1484" i="14"/>
  <c r="BK1484" i="14" s="1"/>
  <c r="BI1462" i="14"/>
  <c r="BK1462" i="14" s="1"/>
  <c r="BE1477" i="14"/>
  <c r="BE1548" i="14"/>
  <c r="AH1603" i="14"/>
  <c r="AK1603" i="14" s="1"/>
  <c r="AG1459" i="14"/>
  <c r="AL1459" i="14" s="1"/>
  <c r="BJ1599" i="14"/>
  <c r="BK1599" i="14" s="1"/>
  <c r="BI1496" i="14"/>
  <c r="BI1572" i="14"/>
  <c r="BK1572" i="14" s="1"/>
  <c r="BJ1456" i="14"/>
  <c r="AG1503" i="14"/>
  <c r="AL1503" i="14" s="1"/>
  <c r="BJ1603" i="14"/>
  <c r="BK1603" i="14" s="1"/>
  <c r="AH1516" i="14"/>
  <c r="AM1516" i="14" s="1"/>
  <c r="AG1526" i="14"/>
  <c r="AN1526" i="14" s="1"/>
  <c r="BI1452" i="14"/>
  <c r="AH1434" i="14"/>
  <c r="AM1434" i="14" s="1"/>
  <c r="AH1511" i="14"/>
  <c r="AM1511" i="14" s="1"/>
  <c r="AG1431" i="14"/>
  <c r="AL1431" i="14" s="1"/>
  <c r="BI1518" i="14"/>
  <c r="BK1518" i="14" s="1"/>
  <c r="BI1472" i="14"/>
  <c r="BK1472" i="14" s="1"/>
  <c r="BI1607" i="14"/>
  <c r="AH1512" i="14"/>
  <c r="AM1512" i="14" s="1"/>
  <c r="AH1601" i="14"/>
  <c r="AM1601" i="14" s="1"/>
  <c r="AG1611" i="14"/>
  <c r="AL1611" i="14" s="1"/>
  <c r="AG1625" i="14"/>
  <c r="AN1625" i="14" s="1"/>
  <c r="BJ1574" i="14"/>
  <c r="BK1574" i="14" s="1"/>
  <c r="BJ1532" i="14"/>
  <c r="BK1532" i="14" s="1"/>
  <c r="AH1513" i="14"/>
  <c r="AM1513" i="14" s="1"/>
  <c r="AG1469" i="14"/>
  <c r="AN1469" i="14" s="1"/>
  <c r="AG1568" i="14"/>
  <c r="AL1568" i="14" s="1"/>
  <c r="AH1617" i="14"/>
  <c r="AK1617" i="14" s="1"/>
  <c r="BJ1505" i="14"/>
  <c r="BJ1434" i="14"/>
  <c r="BK1434" i="14" s="1"/>
  <c r="AH1540" i="14"/>
  <c r="AM1540" i="14" s="1"/>
  <c r="AH1577" i="14"/>
  <c r="AM1577" i="14" s="1"/>
  <c r="BJ1522" i="14"/>
  <c r="BK1522" i="14" s="1"/>
  <c r="AH1569" i="14"/>
  <c r="AM1569" i="14" s="1"/>
  <c r="BI1470" i="14"/>
  <c r="BI1466" i="14"/>
  <c r="BJ1453" i="14"/>
  <c r="AG1582" i="14"/>
  <c r="AN1582" i="14" s="1"/>
  <c r="AG1474" i="14"/>
  <c r="AN1474" i="14" s="1"/>
  <c r="BE1443" i="14"/>
  <c r="AH1490" i="14"/>
  <c r="AK1490" i="14" s="1"/>
  <c r="BE1526" i="14"/>
  <c r="BJ1527" i="14"/>
  <c r="BI1455" i="14"/>
  <c r="BK1455" i="14" s="1"/>
  <c r="AH1608" i="14"/>
  <c r="AM1608" i="14" s="1"/>
  <c r="AH1463" i="14"/>
  <c r="AJ1463" i="14" s="1"/>
  <c r="Z1463" i="14" s="1"/>
  <c r="BI1483" i="14"/>
  <c r="BK1483" i="14" s="1"/>
  <c r="AG1437" i="14"/>
  <c r="AN1437" i="14" s="1"/>
  <c r="AH1519" i="14"/>
  <c r="AK1519" i="14" s="1"/>
  <c r="BJ1466" i="14"/>
  <c r="BJ1597" i="14"/>
  <c r="BJ1510" i="14"/>
  <c r="BI1480" i="14"/>
  <c r="BK1480" i="14" s="1"/>
  <c r="BJ1542" i="14"/>
  <c r="BK1542" i="14" s="1"/>
  <c r="AG1540" i="14"/>
  <c r="AI1540" i="14" s="1"/>
  <c r="AA1540" i="14" s="1"/>
  <c r="AD1540" i="14" s="1"/>
  <c r="BI1625" i="14"/>
  <c r="BK1625" i="14" s="1"/>
  <c r="BE1601" i="14"/>
  <c r="BF1484" i="14"/>
  <c r="BI1489" i="14"/>
  <c r="BK1489" i="14" s="1"/>
  <c r="BJ1497" i="14"/>
  <c r="BK1497" i="14" s="1"/>
  <c r="AG1535" i="14"/>
  <c r="AN1535" i="14" s="1"/>
  <c r="AH1539" i="14"/>
  <c r="AM1539" i="14" s="1"/>
  <c r="AH1515" i="14"/>
  <c r="AK1515" i="14" s="1"/>
  <c r="AH1541" i="14"/>
  <c r="AM1541" i="14" s="1"/>
  <c r="AG1444" i="14"/>
  <c r="AI1444" i="14" s="1"/>
  <c r="AA1444" i="14" s="1"/>
  <c r="AD1444" i="14" s="1"/>
  <c r="BI1458" i="14"/>
  <c r="BK1458" i="14" s="1"/>
  <c r="AG1480" i="14"/>
  <c r="AL1480" i="14" s="1"/>
  <c r="AH1587" i="14"/>
  <c r="AK1587" i="14" s="1"/>
  <c r="AH1460" i="14"/>
  <c r="AJ1460" i="14" s="1"/>
  <c r="Z1460" i="14" s="1"/>
  <c r="BJ1470" i="14"/>
  <c r="BF1493" i="14"/>
  <c r="BE1594" i="14"/>
  <c r="BE1560" i="14"/>
  <c r="BE1564" i="14"/>
  <c r="BE1623" i="14"/>
  <c r="BE1571" i="14"/>
  <c r="BE1575" i="14"/>
  <c r="BE1451" i="14"/>
  <c r="BI1527" i="14"/>
  <c r="AH1459" i="14"/>
  <c r="AK1459" i="14" s="1"/>
  <c r="BI1605" i="14"/>
  <c r="BK1605" i="14" s="1"/>
  <c r="AG1629" i="14"/>
  <c r="AN1629" i="14" s="1"/>
  <c r="AG1613" i="14"/>
  <c r="AN1613" i="14" s="1"/>
  <c r="BE1470" i="14"/>
  <c r="BF1443" i="14"/>
  <c r="BE1501" i="14"/>
  <c r="AH1433" i="14"/>
  <c r="AK1433" i="14" s="1"/>
  <c r="BJ1449" i="14"/>
  <c r="BI1548" i="14"/>
  <c r="BK1548" i="14" s="1"/>
  <c r="BJ1615" i="14"/>
  <c r="AH1478" i="14"/>
  <c r="AM1478" i="14" s="1"/>
  <c r="AH1580" i="14"/>
  <c r="AM1580" i="14" s="1"/>
  <c r="AH1495" i="14"/>
  <c r="AM1495" i="14" s="1"/>
  <c r="BI1566" i="14"/>
  <c r="AH1588" i="14"/>
  <c r="AM1588" i="14" s="1"/>
  <c r="AH1545" i="14"/>
  <c r="AK1545" i="14" s="1"/>
  <c r="BI1464" i="14"/>
  <c r="BK1464" i="14" s="1"/>
  <c r="BJ1433" i="14"/>
  <c r="BK1433" i="14" s="1"/>
  <c r="AH1571" i="14"/>
  <c r="AM1571" i="14" s="1"/>
  <c r="BI1449" i="14"/>
  <c r="AH1465" i="14"/>
  <c r="AK1465" i="14" s="1"/>
  <c r="AG1478" i="14"/>
  <c r="AN1478" i="14" s="1"/>
  <c r="AH1550" i="14"/>
  <c r="AJ1550" i="14" s="1"/>
  <c r="Z1550" i="14" s="1"/>
  <c r="AG1590" i="14"/>
  <c r="AI1590" i="14" s="1"/>
  <c r="AA1590" i="14" s="1"/>
  <c r="AD1590" i="14" s="1"/>
  <c r="AG1462" i="14"/>
  <c r="AL1462" i="14" s="1"/>
  <c r="AG1628" i="14"/>
  <c r="AI1628" i="14" s="1"/>
  <c r="AA1628" i="14" s="1"/>
  <c r="AD1628" i="14" s="1"/>
  <c r="BJ1516" i="14"/>
  <c r="BK1516" i="14" s="1"/>
  <c r="BE1629" i="14"/>
  <c r="BE1626" i="14"/>
  <c r="AH1599" i="14"/>
  <c r="AM1599" i="14" s="1"/>
  <c r="BE1471" i="14"/>
  <c r="BJ1595" i="14"/>
  <c r="BK1595" i="14" s="1"/>
  <c r="AG1512" i="14"/>
  <c r="AL1512" i="14" s="1"/>
  <c r="BF1515" i="14"/>
  <c r="BE1434" i="14"/>
  <c r="BE1583" i="14"/>
  <c r="BE1587" i="14"/>
  <c r="BF1583" i="14"/>
  <c r="BE1620" i="14"/>
  <c r="BI1556" i="14"/>
  <c r="BI1461" i="14"/>
  <c r="BK1461" i="14" s="1"/>
  <c r="AH1522" i="14"/>
  <c r="AJ1522" i="14" s="1"/>
  <c r="Z1522" i="14" s="1"/>
  <c r="AG1561" i="14"/>
  <c r="AI1561" i="14" s="1"/>
  <c r="AA1561" i="14" s="1"/>
  <c r="AD1561" i="14" s="1"/>
  <c r="AG1460" i="14"/>
  <c r="AI1460" i="14" s="1"/>
  <c r="AA1460" i="14" s="1"/>
  <c r="AD1460" i="14" s="1"/>
  <c r="BJ1504" i="14"/>
  <c r="BK1504" i="14" s="1"/>
  <c r="AG1602" i="14"/>
  <c r="AL1602" i="14" s="1"/>
  <c r="BI1535" i="14"/>
  <c r="BK1535" i="14" s="1"/>
  <c r="BI1501" i="14"/>
  <c r="AH1626" i="14"/>
  <c r="AM1626" i="14" s="1"/>
  <c r="BI1457" i="14"/>
  <c r="AG1464" i="14"/>
  <c r="AI1464" i="14" s="1"/>
  <c r="AA1464" i="14" s="1"/>
  <c r="AD1464" i="14" s="1"/>
  <c r="BI1526" i="14"/>
  <c r="BK1526" i="14" s="1"/>
  <c r="AG1562" i="14"/>
  <c r="AL1562" i="14" s="1"/>
  <c r="BE1509" i="14"/>
  <c r="BE1460" i="14"/>
  <c r="AG1546" i="14"/>
  <c r="AN1546" i="14" s="1"/>
  <c r="BI1537" i="14"/>
  <c r="BI1492" i="14"/>
  <c r="BJ1586" i="14"/>
  <c r="BK1586" i="14" s="1"/>
  <c r="BI1509" i="14"/>
  <c r="AG1583" i="14"/>
  <c r="AL1583" i="14" s="1"/>
  <c r="AH1467" i="14"/>
  <c r="AK1467" i="14" s="1"/>
  <c r="BE1438" i="14"/>
  <c r="BE1609" i="14"/>
  <c r="BI1538" i="14"/>
  <c r="BK1538" i="14" s="1"/>
  <c r="AG1564" i="14"/>
  <c r="AI1564" i="14" s="1"/>
  <c r="AA1564" i="14" s="1"/>
  <c r="AD1564" i="14" s="1"/>
  <c r="AG1548" i="14"/>
  <c r="AL1548" i="14" s="1"/>
  <c r="AG1467" i="14"/>
  <c r="AI1467" i="14" s="1"/>
  <c r="AA1467" i="14" s="1"/>
  <c r="AD1467" i="14" s="1"/>
  <c r="AG1461" i="14"/>
  <c r="AL1461" i="14" s="1"/>
  <c r="AH1579" i="14"/>
  <c r="AK1579" i="14" s="1"/>
  <c r="BJ1566" i="14"/>
  <c r="BJ1550" i="14"/>
  <c r="BK1550" i="14" s="1"/>
  <c r="AH1602" i="14"/>
  <c r="AK1602" i="14" s="1"/>
  <c r="BJ1495" i="14"/>
  <c r="BK1495" i="14" s="1"/>
  <c r="BJ1451" i="14"/>
  <c r="BK1451" i="14" s="1"/>
  <c r="AH1444" i="14"/>
  <c r="AM1444" i="14" s="1"/>
  <c r="AG1484" i="14"/>
  <c r="AI1484" i="14" s="1"/>
  <c r="AA1484" i="14" s="1"/>
  <c r="AD1484" i="14" s="1"/>
  <c r="BE1586" i="14"/>
  <c r="BI1623" i="14"/>
  <c r="AG1621" i="14"/>
  <c r="AL1621" i="14" s="1"/>
  <c r="BI1471" i="14"/>
  <c r="BK1471" i="14" s="1"/>
  <c r="AG1627" i="14"/>
  <c r="AN1627" i="14" s="1"/>
  <c r="AG1630" i="14"/>
  <c r="AL1630" i="14" s="1"/>
  <c r="BJ1499" i="14"/>
  <c r="BK1499" i="14" s="1"/>
  <c r="AH1613" i="14"/>
  <c r="AK1613" i="14" s="1"/>
  <c r="BJ1533" i="14"/>
  <c r="BK1533" i="14" s="1"/>
  <c r="AH1604" i="14"/>
  <c r="AM1604" i="14" s="1"/>
  <c r="AH1533" i="14"/>
  <c r="AM1533" i="14" s="1"/>
  <c r="AG1609" i="14"/>
  <c r="AI1609" i="14" s="1"/>
  <c r="AA1609" i="14" s="1"/>
  <c r="AD1609" i="14" s="1"/>
  <c r="AH1561" i="14"/>
  <c r="AK1561" i="14" s="1"/>
  <c r="BJ1446" i="14"/>
  <c r="BI1443" i="14"/>
  <c r="BK1443" i="14" s="1"/>
  <c r="BE1599" i="14"/>
  <c r="BE1533" i="14"/>
  <c r="AG1605" i="14"/>
  <c r="AI1605" i="14" s="1"/>
  <c r="AA1605" i="14" s="1"/>
  <c r="AD1605" i="14" s="1"/>
  <c r="AG1432" i="14"/>
  <c r="AL1432" i="14" s="1"/>
  <c r="BJ1556" i="14"/>
  <c r="BJ1575" i="14"/>
  <c r="AH1621" i="14"/>
  <c r="AK1621" i="14" s="1"/>
  <c r="BJ1477" i="14"/>
  <c r="AG1442" i="14"/>
  <c r="AL1442" i="14" s="1"/>
  <c r="BI1448" i="14"/>
  <c r="BK1448" i="14" s="1"/>
  <c r="BI1609" i="14"/>
  <c r="BK1609" i="14" s="1"/>
  <c r="AH1546" i="14"/>
  <c r="AK1546" i="14" s="1"/>
  <c r="BI1590" i="14"/>
  <c r="BK1590" i="14" s="1"/>
  <c r="AG1588" i="14"/>
  <c r="AN1588" i="14" s="1"/>
  <c r="AH1620" i="14"/>
  <c r="AK1620" i="14" s="1"/>
  <c r="BE1617" i="14"/>
  <c r="AG1581" i="14"/>
  <c r="AN1581" i="14" s="1"/>
  <c r="AG1584" i="14"/>
  <c r="AN1584" i="14" s="1"/>
  <c r="BE1562" i="14"/>
  <c r="BJ1617" i="14"/>
  <c r="BK1617" i="14" s="1"/>
  <c r="AH1487" i="14"/>
  <c r="AJ1487" i="14" s="1"/>
  <c r="Z1487" i="14" s="1"/>
  <c r="AG1589" i="14"/>
  <c r="AI1589" i="14" s="1"/>
  <c r="AA1589" i="14" s="1"/>
  <c r="AD1589" i="14" s="1"/>
  <c r="BE1522" i="14"/>
  <c r="BI1615" i="14"/>
  <c r="AH1534" i="14"/>
  <c r="AJ1534" i="14" s="1"/>
  <c r="Z1534" i="14" s="1"/>
  <c r="AH1499" i="14"/>
  <c r="AK1499" i="14" s="1"/>
  <c r="AG1534" i="14"/>
  <c r="AN1534" i="14" s="1"/>
  <c r="AH1584" i="14"/>
  <c r="AM1584" i="14" s="1"/>
  <c r="AG1458" i="14"/>
  <c r="AN1458" i="14" s="1"/>
  <c r="BJ1594" i="14"/>
  <c r="BK1594" i="14" s="1"/>
  <c r="AH1611" i="14"/>
  <c r="AM1611" i="14" s="1"/>
  <c r="BJ1612" i="14"/>
  <c r="BJ1457" i="14"/>
  <c r="BI1589" i="14"/>
  <c r="BK1589" i="14" s="1"/>
  <c r="AG1576" i="14"/>
  <c r="AN1576" i="14" s="1"/>
  <c r="BI1560" i="14"/>
  <c r="BK1560" i="14" s="1"/>
  <c r="AH1451" i="14"/>
  <c r="AK1451" i="14" s="1"/>
  <c r="BI1630" i="14"/>
  <c r="BK1630" i="14" s="1"/>
  <c r="BJ1438" i="14"/>
  <c r="BI1432" i="14"/>
  <c r="BK1432" i="14" s="1"/>
  <c r="AH1594" i="14"/>
  <c r="AJ1594" i="14" s="1"/>
  <c r="Z1594" i="14" s="1"/>
  <c r="BJ1620" i="14"/>
  <c r="BK1620" i="14" s="1"/>
  <c r="AH1595" i="14"/>
  <c r="AK1595" i="14" s="1"/>
  <c r="AG1587" i="14"/>
  <c r="AL1587" i="14" s="1"/>
  <c r="BE1493" i="14"/>
  <c r="BI1493" i="14"/>
  <c r="AG1541" i="14"/>
  <c r="AN1541" i="14" s="1"/>
  <c r="BI1612" i="14"/>
  <c r="AH1583" i="14"/>
  <c r="AK1583" i="14" s="1"/>
  <c r="BJ1623" i="14"/>
  <c r="BI1446" i="14"/>
  <c r="BI1562" i="14"/>
  <c r="BK1562" i="14" s="1"/>
  <c r="AG1539" i="14"/>
  <c r="AI1539" i="14" s="1"/>
  <c r="AA1539" i="14" s="1"/>
  <c r="AD1539" i="14" s="1"/>
  <c r="BI1442" i="14"/>
  <c r="BK1442" i="14" s="1"/>
  <c r="BI1438" i="14"/>
  <c r="BJ1604" i="14"/>
  <c r="BK1604" i="14" s="1"/>
  <c r="AH1504" i="14"/>
  <c r="AM1504" i="14" s="1"/>
  <c r="BJ1626" i="14"/>
  <c r="BK1626" i="14" s="1"/>
  <c r="BI1477" i="14"/>
  <c r="BI1575" i="14"/>
  <c r="BI1629" i="14"/>
  <c r="BK1629" i="14" s="1"/>
  <c r="BJ1492" i="14"/>
  <c r="BJ1493" i="14"/>
  <c r="BJ1452" i="14"/>
  <c r="AG1560" i="14"/>
  <c r="AN1560" i="14" s="1"/>
  <c r="BI1551" i="14"/>
  <c r="BK1551" i="14" s="1"/>
  <c r="AH1627" i="14"/>
  <c r="AK1627" i="14" s="1"/>
  <c r="AH1532" i="14"/>
  <c r="AM1532" i="14" s="1"/>
  <c r="BJ1622" i="14"/>
  <c r="AG1465" i="14"/>
  <c r="AN1465" i="14" s="1"/>
  <c r="AG1551" i="14"/>
  <c r="AN1551" i="14" s="1"/>
  <c r="AG1579" i="14"/>
  <c r="AL1579" i="14" s="1"/>
  <c r="BJ1487" i="14"/>
  <c r="BK1487" i="14" s="1"/>
  <c r="AG1569" i="14"/>
  <c r="AN1569" i="14" s="1"/>
  <c r="AH1586" i="14"/>
  <c r="AK1586" i="14" s="1"/>
  <c r="AG1443" i="14"/>
  <c r="AL1443" i="14" s="1"/>
  <c r="AG1471" i="14"/>
  <c r="AI1471" i="14" s="1"/>
  <c r="AA1471" i="14" s="1"/>
  <c r="AD1471" i="14" s="1"/>
  <c r="AH1576" i="14"/>
  <c r="AM1576" i="14" s="1"/>
  <c r="AG1448" i="14"/>
  <c r="AL1448" i="14" s="1"/>
  <c r="AG1571" i="14"/>
  <c r="AI1571" i="14" s="1"/>
  <c r="AA1571" i="14" s="1"/>
  <c r="AD1571" i="14" s="1"/>
  <c r="BK1621" i="14"/>
  <c r="BK1512" i="14"/>
  <c r="BK1561" i="14"/>
  <c r="BK1534" i="14"/>
  <c r="BK1628" i="14"/>
  <c r="BK1614" i="14"/>
  <c r="BK1569" i="14"/>
  <c r="BK1583" i="14"/>
  <c r="BE1631" i="14"/>
  <c r="BK1613" i="14"/>
  <c r="BK1627" i="14"/>
  <c r="BK1513" i="14"/>
  <c r="BK1576" i="14"/>
  <c r="BK1478" i="14"/>
  <c r="BK1571" i="14"/>
  <c r="BK1523" i="14"/>
  <c r="BK1475" i="14"/>
  <c r="BK1508" i="14"/>
  <c r="BK1474" i="14"/>
  <c r="BK1544" i="14"/>
  <c r="BK1498" i="14"/>
  <c r="BK1465" i="14"/>
  <c r="BK1546" i="14"/>
  <c r="BK1581" i="14"/>
  <c r="BK1520" i="14"/>
  <c r="BK1568" i="14"/>
  <c r="AM1521" i="14"/>
  <c r="AK1521" i="14"/>
  <c r="AJ1521" i="14"/>
  <c r="Z1521" i="14" s="1"/>
  <c r="AI1557" i="14"/>
  <c r="AA1557" i="14" s="1"/>
  <c r="AD1557" i="14" s="1"/>
  <c r="AN1557" i="14"/>
  <c r="AL1557" i="14"/>
  <c r="AK1461" i="14"/>
  <c r="AM1461" i="14"/>
  <c r="AJ1461" i="14"/>
  <c r="Z1461" i="14" s="1"/>
  <c r="AN1446" i="14"/>
  <c r="AI1446" i="14"/>
  <c r="AA1446" i="14" s="1"/>
  <c r="AD1446" i="14" s="1"/>
  <c r="AL1446" i="14"/>
  <c r="AI1601" i="14"/>
  <c r="AA1601" i="14" s="1"/>
  <c r="AD1601" i="14" s="1"/>
  <c r="AN1601" i="14"/>
  <c r="AL1601" i="14"/>
  <c r="AM1591" i="14"/>
  <c r="AK1591" i="14"/>
  <c r="AJ1591" i="14"/>
  <c r="Z1591" i="14" s="1"/>
  <c r="AM1453" i="14"/>
  <c r="AK1453" i="14"/>
  <c r="AJ1453" i="14"/>
  <c r="Z1453" i="14" s="1"/>
  <c r="AM1566" i="14"/>
  <c r="AJ1566" i="14"/>
  <c r="Z1566" i="14" s="1"/>
  <c r="AK1566" i="14"/>
  <c r="AK1538" i="14"/>
  <c r="AM1538" i="14"/>
  <c r="AJ1538" i="14"/>
  <c r="Z1538" i="14" s="1"/>
  <c r="AK1615" i="14"/>
  <c r="AM1615" i="14"/>
  <c r="AJ1615" i="14"/>
  <c r="Z1615" i="14" s="1"/>
  <c r="BK1459" i="14"/>
  <c r="AK1612" i="14"/>
  <c r="AM1612" i="14"/>
  <c r="AJ1612" i="14"/>
  <c r="Z1612" i="14" s="1"/>
  <c r="AN1440" i="14"/>
  <c r="AL1440" i="14"/>
  <c r="AI1440" i="14"/>
  <c r="AA1440" i="14" s="1"/>
  <c r="AD1440" i="14" s="1"/>
  <c r="AM1592" i="14"/>
  <c r="AK1592" i="14"/>
  <c r="AJ1592" i="14"/>
  <c r="Z1592" i="14" s="1"/>
  <c r="AK1618" i="14"/>
  <c r="AM1618" i="14"/>
  <c r="AJ1618" i="14"/>
  <c r="Z1618" i="14" s="1"/>
  <c r="AN1451" i="14"/>
  <c r="AI1451" i="14"/>
  <c r="AA1451" i="14" s="1"/>
  <c r="AD1451" i="14" s="1"/>
  <c r="AL1451" i="14"/>
  <c r="AI1509" i="14"/>
  <c r="AA1509" i="14" s="1"/>
  <c r="AD1509" i="14" s="1"/>
  <c r="AN1509" i="14"/>
  <c r="AL1509" i="14"/>
  <c r="AL1565" i="14"/>
  <c r="AI1565" i="14"/>
  <c r="AA1565" i="14" s="1"/>
  <c r="AD1565" i="14" s="1"/>
  <c r="AN1565" i="14"/>
  <c r="AM1442" i="14"/>
  <c r="AK1442" i="14"/>
  <c r="AJ1442" i="14"/>
  <c r="Z1442" i="14" s="1"/>
  <c r="BK1447" i="14"/>
  <c r="AK1438" i="14"/>
  <c r="AM1438" i="14"/>
  <c r="AJ1438" i="14"/>
  <c r="Z1438" i="14" s="1"/>
  <c r="AN1600" i="14"/>
  <c r="AL1600" i="14"/>
  <c r="AI1600" i="14"/>
  <c r="AA1600" i="14" s="1"/>
  <c r="AD1600" i="14" s="1"/>
  <c r="AK1563" i="14"/>
  <c r="AM1563" i="14"/>
  <c r="AJ1563" i="14"/>
  <c r="Z1563" i="14" s="1"/>
  <c r="AN1574" i="14"/>
  <c r="AI1574" i="14"/>
  <c r="AA1574" i="14" s="1"/>
  <c r="AD1574" i="14" s="1"/>
  <c r="AL1574" i="14"/>
  <c r="AN1466" i="14"/>
  <c r="AI1466" i="14"/>
  <c r="AA1466" i="14" s="1"/>
  <c r="AD1466" i="14" s="1"/>
  <c r="AL1466" i="14"/>
  <c r="BK1584" i="14"/>
  <c r="AK1630" i="14"/>
  <c r="AM1630" i="14"/>
  <c r="AJ1630" i="14"/>
  <c r="Z1630" i="14" s="1"/>
  <c r="AM1482" i="14"/>
  <c r="AK1482" i="14"/>
  <c r="AJ1482" i="14"/>
  <c r="Z1482" i="14" s="1"/>
  <c r="AK1625" i="14"/>
  <c r="AM1625" i="14"/>
  <c r="AJ1625" i="14"/>
  <c r="Z1625" i="14" s="1"/>
  <c r="AK1462" i="14"/>
  <c r="AM1462" i="14"/>
  <c r="AJ1462" i="14"/>
  <c r="Z1462" i="14" s="1"/>
  <c r="AJ1629" i="14"/>
  <c r="Z1629" i="14" s="1"/>
  <c r="AK1629" i="14"/>
  <c r="AM1629" i="14"/>
  <c r="AK1582" i="14"/>
  <c r="AM1582" i="14"/>
  <c r="AJ1582" i="14"/>
  <c r="Z1582" i="14" s="1"/>
  <c r="AL1511" i="14"/>
  <c r="AI1511" i="14"/>
  <c r="AA1511" i="14" s="1"/>
  <c r="AD1511" i="14" s="1"/>
  <c r="AN1511" i="14"/>
  <c r="AI1620" i="14"/>
  <c r="AA1620" i="14" s="1"/>
  <c r="AD1620" i="14" s="1"/>
  <c r="AN1620" i="14"/>
  <c r="AL1620" i="14"/>
  <c r="AI1456" i="14"/>
  <c r="AA1456" i="14" s="1"/>
  <c r="AD1456" i="14" s="1"/>
  <c r="AL1456" i="14"/>
  <c r="AN1456" i="14"/>
  <c r="AM1526" i="14"/>
  <c r="AK1526" i="14"/>
  <c r="AJ1526" i="14"/>
  <c r="Z1526" i="14" s="1"/>
  <c r="BK1488" i="14"/>
  <c r="AL1558" i="14"/>
  <c r="AI1558" i="14"/>
  <c r="AA1558" i="14" s="1"/>
  <c r="AD1558" i="14" s="1"/>
  <c r="AN1558" i="14"/>
  <c r="BK1545" i="14"/>
  <c r="AK1547" i="14"/>
  <c r="AM1547" i="14"/>
  <c r="AJ1547" i="14"/>
  <c r="Z1547" i="14" s="1"/>
  <c r="AM1624" i="14"/>
  <c r="AK1624" i="14"/>
  <c r="AJ1624" i="14"/>
  <c r="Z1624" i="14" s="1"/>
  <c r="AK1530" i="14"/>
  <c r="AM1530" i="14"/>
  <c r="AJ1530" i="14"/>
  <c r="Z1530" i="14" s="1"/>
  <c r="AN1453" i="14"/>
  <c r="AL1453" i="14"/>
  <c r="AI1453" i="14"/>
  <c r="AA1453" i="14" s="1"/>
  <c r="AD1453" i="14" s="1"/>
  <c r="AK1559" i="14"/>
  <c r="AM1559" i="14"/>
  <c r="AJ1559" i="14"/>
  <c r="Z1559" i="14" s="1"/>
  <c r="AM1481" i="14"/>
  <c r="AK1481" i="14"/>
  <c r="AJ1481" i="14"/>
  <c r="Z1481" i="14" s="1"/>
  <c r="AI1504" i="14"/>
  <c r="AA1504" i="14" s="1"/>
  <c r="AD1504" i="14" s="1"/>
  <c r="AN1504" i="14"/>
  <c r="AL1504" i="14"/>
  <c r="AK1562" i="14"/>
  <c r="AM1562" i="14"/>
  <c r="AJ1562" i="14"/>
  <c r="Z1562" i="14" s="1"/>
  <c r="AM1622" i="14"/>
  <c r="AK1622" i="14"/>
  <c r="AJ1622" i="14"/>
  <c r="Z1622" i="14" s="1"/>
  <c r="AI1559" i="14"/>
  <c r="AA1559" i="14" s="1"/>
  <c r="AD1559" i="14" s="1"/>
  <c r="AN1559" i="14"/>
  <c r="AL1559" i="14"/>
  <c r="AN1522" i="14"/>
  <c r="AI1522" i="14"/>
  <c r="AA1522" i="14" s="1"/>
  <c r="AD1522" i="14" s="1"/>
  <c r="AL1522" i="14"/>
  <c r="AI1596" i="14"/>
  <c r="AA1596" i="14" s="1"/>
  <c r="AD1596" i="14" s="1"/>
  <c r="AL1596" i="14"/>
  <c r="AN1596" i="14"/>
  <c r="AL1496" i="14"/>
  <c r="AN1496" i="14"/>
  <c r="AI1496" i="14"/>
  <c r="AA1496" i="14" s="1"/>
  <c r="AD1496" i="14" s="1"/>
  <c r="AM1596" i="14"/>
  <c r="AK1596" i="14"/>
  <c r="AJ1596" i="14"/>
  <c r="Z1596" i="14" s="1"/>
  <c r="BK1491" i="14"/>
  <c r="AI1481" i="14"/>
  <c r="AA1481" i="14" s="1"/>
  <c r="AD1481" i="14" s="1"/>
  <c r="AN1481" i="14"/>
  <c r="AL1481" i="14"/>
  <c r="BK1540" i="14"/>
  <c r="BK1529" i="14"/>
  <c r="BK1450" i="14"/>
  <c r="AK1469" i="14"/>
  <c r="AJ1469" i="14"/>
  <c r="Z1469" i="14" s="1"/>
  <c r="AM1469" i="14"/>
  <c r="AI1586" i="14"/>
  <c r="AA1586" i="14" s="1"/>
  <c r="AD1586" i="14" s="1"/>
  <c r="AL1586" i="14"/>
  <c r="AN1586" i="14"/>
  <c r="AN1477" i="14"/>
  <c r="AL1477" i="14"/>
  <c r="AI1477" i="14"/>
  <c r="AA1477" i="14" s="1"/>
  <c r="AD1477" i="14" s="1"/>
  <c r="AK1458" i="14"/>
  <c r="AM1458" i="14"/>
  <c r="AJ1458" i="14"/>
  <c r="Z1458" i="14" s="1"/>
  <c r="AI1433" i="14"/>
  <c r="AA1433" i="14" s="1"/>
  <c r="AD1433" i="14" s="1"/>
  <c r="AL1433" i="14"/>
  <c r="AN1433" i="14"/>
  <c r="AK1564" i="14"/>
  <c r="AM1564" i="14"/>
  <c r="AJ1564" i="14"/>
  <c r="Z1564" i="14" s="1"/>
  <c r="AN1593" i="14"/>
  <c r="AI1593" i="14"/>
  <c r="AA1593" i="14" s="1"/>
  <c r="AD1593" i="14" s="1"/>
  <c r="AL1593" i="14"/>
  <c r="AK1470" i="14"/>
  <c r="AM1470" i="14"/>
  <c r="AJ1470" i="14"/>
  <c r="Z1470" i="14" s="1"/>
  <c r="AK1536" i="14"/>
  <c r="AM1536" i="14"/>
  <c r="AJ1536" i="14"/>
  <c r="Z1536" i="14" s="1"/>
  <c r="AK1560" i="14"/>
  <c r="AM1560" i="14"/>
  <c r="AJ1560" i="14"/>
  <c r="Z1560" i="14" s="1"/>
  <c r="AL1438" i="14"/>
  <c r="AN1438" i="14"/>
  <c r="AI1438" i="14"/>
  <c r="AA1438" i="14" s="1"/>
  <c r="AD1438" i="14" s="1"/>
  <c r="AL1499" i="14"/>
  <c r="AI1499" i="14"/>
  <c r="AA1499" i="14" s="1"/>
  <c r="AD1499" i="14" s="1"/>
  <c r="AN1499" i="14"/>
  <c r="AK1464" i="14"/>
  <c r="AM1464" i="14"/>
  <c r="AJ1464" i="14"/>
  <c r="Z1464" i="14" s="1"/>
  <c r="AL1573" i="14"/>
  <c r="AI1573" i="14"/>
  <c r="AA1573" i="14" s="1"/>
  <c r="AD1573" i="14" s="1"/>
  <c r="AN1573" i="14"/>
  <c r="AK1503" i="14"/>
  <c r="AM1503" i="14"/>
  <c r="AJ1503" i="14"/>
  <c r="Z1503" i="14" s="1"/>
  <c r="AI1492" i="14"/>
  <c r="AA1492" i="14" s="1"/>
  <c r="AD1492" i="14" s="1"/>
  <c r="AN1492" i="14"/>
  <c r="AL1492" i="14"/>
  <c r="AM1477" i="14"/>
  <c r="AK1477" i="14"/>
  <c r="AJ1477" i="14"/>
  <c r="Z1477" i="14" s="1"/>
  <c r="AK1435" i="14"/>
  <c r="AM1435" i="14"/>
  <c r="AJ1435" i="14"/>
  <c r="Z1435" i="14" s="1"/>
  <c r="AK1616" i="14"/>
  <c r="AM1616" i="14"/>
  <c r="AJ1616" i="14"/>
  <c r="Z1616" i="14" s="1"/>
  <c r="AM1555" i="14"/>
  <c r="AJ1555" i="14"/>
  <c r="Z1555" i="14" s="1"/>
  <c r="AK1555" i="14"/>
  <c r="AK1439" i="14"/>
  <c r="AM1439" i="14"/>
  <c r="AJ1439" i="14"/>
  <c r="Z1439" i="14" s="1"/>
  <c r="AM1537" i="14"/>
  <c r="AK1537" i="14"/>
  <c r="AJ1537" i="14"/>
  <c r="Z1537" i="14" s="1"/>
  <c r="AI1449" i="14"/>
  <c r="AA1449" i="14" s="1"/>
  <c r="AD1449" i="14" s="1"/>
  <c r="AN1449" i="14"/>
  <c r="AL1449" i="14"/>
  <c r="AN1556" i="14"/>
  <c r="AI1556" i="14"/>
  <c r="AA1556" i="14" s="1"/>
  <c r="AD1556" i="14" s="1"/>
  <c r="AL1556" i="14"/>
  <c r="AK1431" i="14"/>
  <c r="AM1431" i="14"/>
  <c r="AJ1431" i="14"/>
  <c r="Z1431" i="14" s="1"/>
  <c r="AL1607" i="14"/>
  <c r="AI1607" i="14"/>
  <c r="AA1607" i="14" s="1"/>
  <c r="AD1607" i="14" s="1"/>
  <c r="AN1607" i="14"/>
  <c r="AK1509" i="14"/>
  <c r="AM1509" i="14"/>
  <c r="AJ1509" i="14"/>
  <c r="Z1509" i="14" s="1"/>
  <c r="BK1525" i="14"/>
  <c r="AL1510" i="14"/>
  <c r="AI1510" i="14"/>
  <c r="AA1510" i="14" s="1"/>
  <c r="AD1510" i="14" s="1"/>
  <c r="AN1510" i="14"/>
  <c r="AI1528" i="14"/>
  <c r="AA1528" i="14" s="1"/>
  <c r="AD1528" i="14" s="1"/>
  <c r="AL1528" i="14"/>
  <c r="AN1528" i="14"/>
  <c r="AI1497" i="14"/>
  <c r="AA1497" i="14" s="1"/>
  <c r="AD1497" i="14" s="1"/>
  <c r="AL1497" i="14"/>
  <c r="AN1497" i="14"/>
  <c r="AM1552" i="14"/>
  <c r="AK1552" i="14"/>
  <c r="AJ1552" i="14"/>
  <c r="Z1552" i="14" s="1"/>
  <c r="AK1466" i="14"/>
  <c r="AM1466" i="14"/>
  <c r="AJ1466" i="14"/>
  <c r="Z1466" i="14" s="1"/>
  <c r="AM1590" i="14"/>
  <c r="AK1590" i="14"/>
  <c r="AJ1590" i="14"/>
  <c r="Z1590" i="14" s="1"/>
  <c r="AJ1527" i="14"/>
  <c r="Z1527" i="14" s="1"/>
  <c r="AK1527" i="14"/>
  <c r="AM1527" i="14"/>
  <c r="AL1454" i="14"/>
  <c r="AI1454" i="14"/>
  <c r="AA1454" i="14" s="1"/>
  <c r="AD1454" i="14" s="1"/>
  <c r="AN1454" i="14"/>
  <c r="AN1486" i="14"/>
  <c r="AI1486" i="14"/>
  <c r="AA1486" i="14" s="1"/>
  <c r="AD1486" i="14" s="1"/>
  <c r="AL1486" i="14"/>
  <c r="AK1480" i="14"/>
  <c r="AM1480" i="14"/>
  <c r="AJ1480" i="14"/>
  <c r="Z1480" i="14" s="1"/>
  <c r="AK1597" i="14"/>
  <c r="AM1597" i="14"/>
  <c r="AJ1597" i="14"/>
  <c r="Z1597" i="14" s="1"/>
  <c r="AM1556" i="14"/>
  <c r="AK1556" i="14"/>
  <c r="AJ1556" i="14"/>
  <c r="Z1556" i="14" s="1"/>
  <c r="AI1580" i="14"/>
  <c r="AA1580" i="14" s="1"/>
  <c r="AD1580" i="14" s="1"/>
  <c r="AL1580" i="14"/>
  <c r="AN1580" i="14"/>
  <c r="AK1443" i="14"/>
  <c r="AM1443" i="14"/>
  <c r="AJ1443" i="14"/>
  <c r="Z1443" i="14" s="1"/>
  <c r="BK1585" i="14"/>
  <c r="AN1435" i="14"/>
  <c r="AI1435" i="14"/>
  <c r="AA1435" i="14" s="1"/>
  <c r="AD1435" i="14" s="1"/>
  <c r="AL1435" i="14"/>
  <c r="AN1494" i="14"/>
  <c r="AL1494" i="14"/>
  <c r="AI1494" i="14"/>
  <c r="AA1494" i="14" s="1"/>
  <c r="AD1494" i="14" s="1"/>
  <c r="AI1578" i="14"/>
  <c r="AA1578" i="14" s="1"/>
  <c r="AD1578" i="14" s="1"/>
  <c r="AN1578" i="14"/>
  <c r="AL1578" i="14"/>
  <c r="AI1470" i="14"/>
  <c r="AA1470" i="14" s="1"/>
  <c r="AD1470" i="14" s="1"/>
  <c r="AL1470" i="14"/>
  <c r="AN1470" i="14"/>
  <c r="AN1598" i="14"/>
  <c r="AL1598" i="14"/>
  <c r="AI1598" i="14"/>
  <c r="AA1598" i="14" s="1"/>
  <c r="AD1598" i="14" s="1"/>
  <c r="AK1486" i="14"/>
  <c r="AM1486" i="14"/>
  <c r="AJ1486" i="14"/>
  <c r="Z1486" i="14" s="1"/>
  <c r="AM1471" i="14"/>
  <c r="AK1471" i="14"/>
  <c r="AJ1471" i="14"/>
  <c r="Z1471" i="14" s="1"/>
  <c r="AI1610" i="14"/>
  <c r="AA1610" i="14" s="1"/>
  <c r="AD1610" i="14" s="1"/>
  <c r="AN1610" i="14"/>
  <c r="AL1610" i="14"/>
  <c r="AN1517" i="14"/>
  <c r="AL1517" i="14"/>
  <c r="AI1517" i="14"/>
  <c r="AA1517" i="14" s="1"/>
  <c r="AD1517" i="14" s="1"/>
  <c r="AM1553" i="14"/>
  <c r="AK1553" i="14"/>
  <c r="AJ1553" i="14"/>
  <c r="Z1553" i="14" s="1"/>
  <c r="AN1566" i="14"/>
  <c r="AI1566" i="14"/>
  <c r="AA1566" i="14" s="1"/>
  <c r="AD1566" i="14" s="1"/>
  <c r="AL1566" i="14"/>
  <c r="BK1587" i="14"/>
  <c r="AN1515" i="14"/>
  <c r="AI1515" i="14"/>
  <c r="AA1515" i="14" s="1"/>
  <c r="AD1515" i="14" s="1"/>
  <c r="AL1515" i="14"/>
  <c r="AK1457" i="14"/>
  <c r="AM1457" i="14"/>
  <c r="AJ1457" i="14"/>
  <c r="Z1457" i="14" s="1"/>
  <c r="AI1439" i="14"/>
  <c r="AA1439" i="14" s="1"/>
  <c r="AD1439" i="14" s="1"/>
  <c r="AN1439" i="14"/>
  <c r="AL1439" i="14"/>
  <c r="AL1533" i="14"/>
  <c r="AI1533" i="14"/>
  <c r="AA1533" i="14" s="1"/>
  <c r="AD1533" i="14" s="1"/>
  <c r="AN1533" i="14"/>
  <c r="AL1514" i="14"/>
  <c r="AN1514" i="14"/>
  <c r="AI1514" i="14"/>
  <c r="AA1514" i="14" s="1"/>
  <c r="AD1514" i="14" s="1"/>
  <c r="AI1594" i="14"/>
  <c r="AA1594" i="14" s="1"/>
  <c r="AD1594" i="14" s="1"/>
  <c r="AN1594" i="14"/>
  <c r="AL1594" i="14"/>
  <c r="BK1541" i="14"/>
  <c r="BK1554" i="14"/>
  <c r="BK1611" i="14"/>
  <c r="AI1597" i="14"/>
  <c r="AA1597" i="14" s="1"/>
  <c r="AD1597" i="14" s="1"/>
  <c r="AN1597" i="14"/>
  <c r="AL1597" i="14"/>
  <c r="AK1607" i="14"/>
  <c r="AM1607" i="14"/>
  <c r="AJ1607" i="14"/>
  <c r="Z1607" i="14" s="1"/>
  <c r="AL1487" i="14"/>
  <c r="AN1487" i="14"/>
  <c r="AI1487" i="14"/>
  <c r="AA1487" i="14" s="1"/>
  <c r="AD1487" i="14" s="1"/>
  <c r="BK1539" i="14"/>
  <c r="AI1537" i="14"/>
  <c r="AA1537" i="14" s="1"/>
  <c r="AD1537" i="14" s="1"/>
  <c r="AL1537" i="14"/>
  <c r="AN1537" i="14"/>
  <c r="AK1610" i="14"/>
  <c r="AM1610" i="14"/>
  <c r="AJ1610" i="14"/>
  <c r="Z1610" i="14" s="1"/>
  <c r="AK1548" i="14"/>
  <c r="AM1548" i="14"/>
  <c r="AJ1548" i="14"/>
  <c r="Z1548" i="14" s="1"/>
  <c r="AK1551" i="14"/>
  <c r="AM1551" i="14"/>
  <c r="AJ1551" i="14"/>
  <c r="Z1551" i="14" s="1"/>
  <c r="AI1622" i="14"/>
  <c r="AA1622" i="14" s="1"/>
  <c r="AD1622" i="14" s="1"/>
  <c r="AN1622" i="14"/>
  <c r="AL1622" i="14"/>
  <c r="AN1524" i="14"/>
  <c r="AI1524" i="14"/>
  <c r="AA1524" i="14" s="1"/>
  <c r="AD1524" i="14" s="1"/>
  <c r="AL1524" i="14"/>
  <c r="AL1507" i="14"/>
  <c r="AI1507" i="14"/>
  <c r="AA1507" i="14" s="1"/>
  <c r="AD1507" i="14" s="1"/>
  <c r="AN1507" i="14"/>
  <c r="AL1575" i="14"/>
  <c r="AN1575" i="14"/>
  <c r="AI1575" i="14"/>
  <c r="AA1575" i="14" s="1"/>
  <c r="AD1575" i="14" s="1"/>
  <c r="AM1565" i="14"/>
  <c r="AK1565" i="14"/>
  <c r="AJ1565" i="14"/>
  <c r="Z1565" i="14" s="1"/>
  <c r="AK1619" i="14"/>
  <c r="AM1619" i="14"/>
  <c r="AJ1619" i="14"/>
  <c r="Z1619" i="14" s="1"/>
  <c r="AK1448" i="14"/>
  <c r="AM1448" i="14"/>
  <c r="AJ1448" i="14"/>
  <c r="Z1448" i="14" s="1"/>
  <c r="AK1606" i="14"/>
  <c r="AM1606" i="14"/>
  <c r="AJ1606" i="14"/>
  <c r="Z1606" i="14" s="1"/>
  <c r="AM1605" i="14"/>
  <c r="AK1605" i="14"/>
  <c r="AJ1605" i="14"/>
  <c r="Z1605" i="14" s="1"/>
  <c r="AN1527" i="14"/>
  <c r="AL1527" i="14"/>
  <c r="AI1527" i="14"/>
  <c r="AA1527" i="14" s="1"/>
  <c r="AD1527" i="14" s="1"/>
  <c r="AK1501" i="14"/>
  <c r="AM1501" i="14"/>
  <c r="AJ1501" i="14"/>
  <c r="Z1501" i="14" s="1"/>
  <c r="AK1510" i="14"/>
  <c r="AM1510" i="14"/>
  <c r="AJ1510" i="14"/>
  <c r="Z1510" i="14" s="1"/>
  <c r="AK1493" i="14"/>
  <c r="AM1493" i="14"/>
  <c r="AJ1493" i="14"/>
  <c r="Z1493" i="14" s="1"/>
  <c r="AM1485" i="14"/>
  <c r="AJ1485" i="14"/>
  <c r="Z1485" i="14" s="1"/>
  <c r="AK1485" i="14"/>
  <c r="AK1567" i="14"/>
  <c r="AM1567" i="14"/>
  <c r="AJ1567" i="14"/>
  <c r="Z1567" i="14" s="1"/>
  <c r="AK1517" i="14"/>
  <c r="AM1517" i="14"/>
  <c r="AJ1517" i="14"/>
  <c r="Z1517" i="14" s="1"/>
  <c r="AK1589" i="14"/>
  <c r="AM1589" i="14"/>
  <c r="AJ1589" i="14"/>
  <c r="Z1589" i="14" s="1"/>
  <c r="AM1531" i="14"/>
  <c r="AK1531" i="14"/>
  <c r="AJ1531" i="14"/>
  <c r="Z1531" i="14" s="1"/>
  <c r="BK1588" i="14"/>
  <c r="AI1623" i="14"/>
  <c r="AA1623" i="14" s="1"/>
  <c r="AD1623" i="14" s="1"/>
  <c r="AN1623" i="14"/>
  <c r="AL1623" i="14"/>
  <c r="AN1604" i="14"/>
  <c r="AI1604" i="14"/>
  <c r="AA1604" i="14" s="1"/>
  <c r="AD1604" i="14" s="1"/>
  <c r="AL1604" i="14"/>
  <c r="AI1603" i="14"/>
  <c r="AA1603" i="14" s="1"/>
  <c r="AD1603" i="14" s="1"/>
  <c r="AN1603" i="14"/>
  <c r="AL1603" i="14"/>
  <c r="AN1457" i="14"/>
  <c r="AI1457" i="14"/>
  <c r="AA1457" i="14" s="1"/>
  <c r="AD1457" i="14" s="1"/>
  <c r="AL1457" i="14"/>
  <c r="BK1444" i="14"/>
  <c r="AM1446" i="14"/>
  <c r="AK1446" i="14"/>
  <c r="AJ1446" i="14"/>
  <c r="Z1446" i="14" s="1"/>
  <c r="AL1618" i="14"/>
  <c r="AI1618" i="14"/>
  <c r="AA1618" i="14" s="1"/>
  <c r="AD1618" i="14" s="1"/>
  <c r="AN1618" i="14"/>
  <c r="AL1615" i="14"/>
  <c r="AI1615" i="14"/>
  <c r="AA1615" i="14" s="1"/>
  <c r="AD1615" i="14" s="1"/>
  <c r="AN1615" i="14"/>
  <c r="AM1518" i="14"/>
  <c r="AK1518" i="14"/>
  <c r="AJ1518" i="14"/>
  <c r="Z1518" i="14" s="1"/>
  <c r="AK1535" i="14"/>
  <c r="AM1535" i="14"/>
  <c r="AJ1535" i="14"/>
  <c r="Z1535" i="14" s="1"/>
  <c r="AK1496" i="14"/>
  <c r="AM1496" i="14"/>
  <c r="AJ1496" i="14"/>
  <c r="Z1496" i="14" s="1"/>
  <c r="BK1467" i="14"/>
  <c r="AL1516" i="14"/>
  <c r="AI1516" i="14"/>
  <c r="AA1516" i="14" s="1"/>
  <c r="AD1516" i="14" s="1"/>
  <c r="AN1516" i="14"/>
  <c r="AK1456" i="14"/>
  <c r="AM1456" i="14"/>
  <c r="AJ1456" i="14"/>
  <c r="Z1456" i="14" s="1"/>
  <c r="AK1505" i="14"/>
  <c r="AM1505" i="14"/>
  <c r="AJ1505" i="14"/>
  <c r="Z1505" i="14" s="1"/>
  <c r="BK1460" i="14"/>
  <c r="AM1575" i="14"/>
  <c r="AK1575" i="14"/>
  <c r="AJ1575" i="14"/>
  <c r="Z1575" i="14" s="1"/>
  <c r="AK1445" i="14"/>
  <c r="AM1445" i="14"/>
  <c r="AJ1445" i="14"/>
  <c r="Z1445" i="14" s="1"/>
  <c r="AK1455" i="14"/>
  <c r="AM1455" i="14"/>
  <c r="AJ1455" i="14"/>
  <c r="Z1455" i="14" s="1"/>
  <c r="AM1432" i="14"/>
  <c r="AK1432" i="14"/>
  <c r="AJ1432" i="14"/>
  <c r="Z1432" i="14" s="1"/>
  <c r="AM1473" i="14"/>
  <c r="AK1473" i="14"/>
  <c r="AJ1473" i="14"/>
  <c r="Z1473" i="14" s="1"/>
  <c r="AL1570" i="14"/>
  <c r="AN1570" i="14"/>
  <c r="AI1570" i="14"/>
  <c r="AA1570" i="14" s="1"/>
  <c r="AD1570" i="14" s="1"/>
  <c r="AL1532" i="14"/>
  <c r="AI1532" i="14"/>
  <c r="AA1532" i="14" s="1"/>
  <c r="AD1532" i="14" s="1"/>
  <c r="AN1532" i="14"/>
  <c r="AL1543" i="14"/>
  <c r="AN1543" i="14"/>
  <c r="AI1543" i="14"/>
  <c r="AA1543" i="14" s="1"/>
  <c r="AD1543" i="14" s="1"/>
  <c r="AI1505" i="14"/>
  <c r="AA1505" i="14" s="1"/>
  <c r="AD1505" i="14" s="1"/>
  <c r="AN1505" i="14"/>
  <c r="AL1505" i="14"/>
  <c r="AK1484" i="14"/>
  <c r="AM1484" i="14"/>
  <c r="AJ1484" i="14"/>
  <c r="Z1484" i="14" s="1"/>
  <c r="AN1553" i="14"/>
  <c r="AI1553" i="14"/>
  <c r="AA1553" i="14" s="1"/>
  <c r="AD1553" i="14" s="1"/>
  <c r="AL1553" i="14"/>
  <c r="AN1624" i="14"/>
  <c r="AI1624" i="14"/>
  <c r="AA1624" i="14" s="1"/>
  <c r="AD1624" i="14" s="1"/>
  <c r="AL1624" i="14"/>
  <c r="BK1441" i="14"/>
  <c r="BK1531" i="14"/>
  <c r="AJ1557" i="14"/>
  <c r="Z1557" i="14" s="1"/>
  <c r="AM1557" i="14"/>
  <c r="AK1557" i="14"/>
  <c r="AN1542" i="14"/>
  <c r="AL1542" i="14"/>
  <c r="AI1542" i="14"/>
  <c r="AA1542" i="14" s="1"/>
  <c r="AD1542" i="14" s="1"/>
  <c r="AM1492" i="14"/>
  <c r="AK1492" i="14"/>
  <c r="AJ1492" i="14"/>
  <c r="Z1492" i="14" s="1"/>
  <c r="AN1552" i="14"/>
  <c r="AI1552" i="14"/>
  <c r="AA1552" i="14" s="1"/>
  <c r="AD1552" i="14" s="1"/>
  <c r="AL1552" i="14"/>
  <c r="AK1549" i="14"/>
  <c r="AM1549" i="14"/>
  <c r="AJ1549" i="14"/>
  <c r="Z1549" i="14" s="1"/>
  <c r="AM1472" i="14"/>
  <c r="AK1472" i="14"/>
  <c r="AJ1472" i="14"/>
  <c r="Z1472" i="14" s="1"/>
  <c r="AI1519" i="14"/>
  <c r="AA1519" i="14" s="1"/>
  <c r="AD1519" i="14" s="1"/>
  <c r="AL1519" i="14"/>
  <c r="AN1519" i="14"/>
  <c r="AM1483" i="14"/>
  <c r="AK1483" i="14"/>
  <c r="AJ1483" i="14"/>
  <c r="Z1483" i="14" s="1"/>
  <c r="AI1608" i="14"/>
  <c r="AA1608" i="14" s="1"/>
  <c r="AD1608" i="14" s="1"/>
  <c r="AN1608" i="14"/>
  <c r="AL1608" i="14"/>
  <c r="AM1506" i="14"/>
  <c r="AK1506" i="14"/>
  <c r="AJ1506" i="14"/>
  <c r="Z1506" i="14" s="1"/>
  <c r="AK1449" i="14"/>
  <c r="AM1449" i="14"/>
  <c r="AJ1449" i="14"/>
  <c r="Z1449" i="14" s="1"/>
  <c r="AL1490" i="14"/>
  <c r="AI1490" i="14"/>
  <c r="AA1490" i="14" s="1"/>
  <c r="AD1490" i="14" s="1"/>
  <c r="AN1490" i="14"/>
  <c r="AI1501" i="14"/>
  <c r="AA1501" i="14" s="1"/>
  <c r="AD1501" i="14" s="1"/>
  <c r="AL1501" i="14"/>
  <c r="AN1501" i="14"/>
  <c r="AL1555" i="14"/>
  <c r="AN1555" i="14"/>
  <c r="AI1555" i="14"/>
  <c r="AA1555" i="14" s="1"/>
  <c r="AD1555" i="14" s="1"/>
  <c r="AN1436" i="14"/>
  <c r="AI1436" i="14"/>
  <c r="AA1436" i="14" s="1"/>
  <c r="AD1436" i="14" s="1"/>
  <c r="AL1436" i="14"/>
  <c r="AK1609" i="14"/>
  <c r="AM1609" i="14"/>
  <c r="AJ1609" i="14"/>
  <c r="Z1609" i="14" s="1"/>
  <c r="AK1570" i="14"/>
  <c r="AM1570" i="14"/>
  <c r="AJ1570" i="14"/>
  <c r="Z1570" i="14" s="1"/>
  <c r="BK1500" i="14"/>
  <c r="AK1476" i="14"/>
  <c r="AM1476" i="14"/>
  <c r="AJ1476" i="14"/>
  <c r="Z1476" i="14" s="1"/>
  <c r="BK1602" i="14"/>
  <c r="BK1468" i="14"/>
  <c r="AL1550" i="14"/>
  <c r="AI1550" i="14"/>
  <c r="AA1550" i="14" s="1"/>
  <c r="AD1550" i="14" s="1"/>
  <c r="AN1550" i="14"/>
  <c r="AN1434" i="14"/>
  <c r="AL1434" i="14"/>
  <c r="AI1434" i="14"/>
  <c r="AA1434" i="14" s="1"/>
  <c r="AD1434" i="14" s="1"/>
  <c r="BK1579" i="14"/>
  <c r="AI1495" i="14"/>
  <c r="AA1495" i="14" s="1"/>
  <c r="AD1495" i="14" s="1"/>
  <c r="AL1495" i="14"/>
  <c r="AN1495" i="14"/>
  <c r="AH1631" i="14"/>
  <c r="BI1631" i="14"/>
  <c r="AL1599" i="14"/>
  <c r="AN1599" i="14"/>
  <c r="AI1599" i="14"/>
  <c r="AA1599" i="14" s="1"/>
  <c r="AD1599" i="14" s="1"/>
  <c r="AM1543" i="14"/>
  <c r="AK1543" i="14"/>
  <c r="AJ1543" i="14"/>
  <c r="Z1543" i="14" s="1"/>
  <c r="AN1452" i="14"/>
  <c r="AL1452" i="14"/>
  <c r="AI1452" i="14"/>
  <c r="AA1452" i="14" s="1"/>
  <c r="AD1452" i="14" s="1"/>
  <c r="AK1437" i="14"/>
  <c r="AM1437" i="14"/>
  <c r="AJ1437" i="14"/>
  <c r="Z1437" i="14" s="1"/>
  <c r="AI1463" i="14"/>
  <c r="AA1463" i="14" s="1"/>
  <c r="AD1463" i="14" s="1"/>
  <c r="AL1463" i="14"/>
  <c r="AN1463" i="14"/>
  <c r="AK1572" i="14"/>
  <c r="AM1572" i="14"/>
  <c r="AJ1572" i="14"/>
  <c r="Z1572" i="14" s="1"/>
  <c r="AN1531" i="14"/>
  <c r="AI1531" i="14"/>
  <c r="AA1531" i="14" s="1"/>
  <c r="AD1531" i="14" s="1"/>
  <c r="AL1531" i="14"/>
  <c r="AJ1593" i="14"/>
  <c r="Z1593" i="14" s="1"/>
  <c r="AM1593" i="14"/>
  <c r="AK1593" i="14"/>
  <c r="AN1612" i="14"/>
  <c r="AI1612" i="14"/>
  <c r="AA1612" i="14" s="1"/>
  <c r="AD1612" i="14" s="1"/>
  <c r="AL1612" i="14"/>
  <c r="AK1623" i="14"/>
  <c r="AM1623" i="14"/>
  <c r="AJ1623" i="14"/>
  <c r="Z1623" i="14" s="1"/>
  <c r="AN1493" i="14"/>
  <c r="AI1493" i="14"/>
  <c r="AA1493" i="14" s="1"/>
  <c r="AD1493" i="14" s="1"/>
  <c r="AL1493" i="14"/>
  <c r="AM1489" i="14"/>
  <c r="AJ1489" i="14"/>
  <c r="Z1489" i="14" s="1"/>
  <c r="AK1489" i="14"/>
  <c r="BF1631" i="14"/>
  <c r="AK1598" i="14"/>
  <c r="AM1598" i="14"/>
  <c r="AJ1598" i="14"/>
  <c r="Z1598" i="14" s="1"/>
  <c r="AL1617" i="14"/>
  <c r="AI1617" i="14"/>
  <c r="AA1617" i="14" s="1"/>
  <c r="AD1617" i="14" s="1"/>
  <c r="AN1617" i="14"/>
  <c r="AI1485" i="14"/>
  <c r="AA1485" i="14" s="1"/>
  <c r="AD1485" i="14" s="1"/>
  <c r="AL1485" i="14"/>
  <c r="AN1485" i="14"/>
  <c r="BK1577" i="14"/>
  <c r="AK1452" i="14"/>
  <c r="AM1452" i="14"/>
  <c r="AJ1452" i="14"/>
  <c r="Z1452" i="14" s="1"/>
  <c r="AM1502" i="14"/>
  <c r="AK1502" i="14"/>
  <c r="AJ1502" i="14"/>
  <c r="Z1502" i="14" s="1"/>
  <c r="AN1595" i="14"/>
  <c r="AL1595" i="14"/>
  <c r="AI1595" i="14"/>
  <c r="AA1595" i="14" s="1"/>
  <c r="AD1595" i="14" s="1"/>
  <c r="AN1626" i="14"/>
  <c r="AL1626" i="14"/>
  <c r="AI1626" i="14"/>
  <c r="AA1626" i="14" s="1"/>
  <c r="AD1626" i="14" s="1"/>
  <c r="AN1549" i="14"/>
  <c r="AL1549" i="14"/>
  <c r="AI1549" i="14"/>
  <c r="AA1549" i="14" s="1"/>
  <c r="AD1549" i="14" s="1"/>
  <c r="AL1479" i="14"/>
  <c r="AN1479" i="14"/>
  <c r="AI1479" i="14"/>
  <c r="AA1479" i="14" s="1"/>
  <c r="AD1479" i="14" s="1"/>
  <c r="AG1631" i="14"/>
  <c r="BJ1631" i="14"/>
  <c r="AK1529" i="14" l="1"/>
  <c r="AN1529" i="14"/>
  <c r="AM1529" i="14"/>
  <c r="AL1529" i="14"/>
  <c r="AN1567" i="14"/>
  <c r="AL1567" i="14"/>
  <c r="BK1486" i="14"/>
  <c r="AK1454" i="14"/>
  <c r="AO1454" i="14" s="1"/>
  <c r="AJ1454" i="14"/>
  <c r="Z1454" i="14" s="1"/>
  <c r="AE1454" i="14" s="1"/>
  <c r="A3" i="7" a="1"/>
  <c r="BK1549" i="14"/>
  <c r="AN1523" i="14"/>
  <c r="AL1523" i="14"/>
  <c r="AM1523" i="14"/>
  <c r="AK1523" i="14"/>
  <c r="BK1624" i="14"/>
  <c r="BK1598" i="14"/>
  <c r="AI1619" i="14"/>
  <c r="AA1619" i="14" s="1"/>
  <c r="AD1619" i="14" s="1"/>
  <c r="AL1619" i="14"/>
  <c r="AP1619" i="14" s="1"/>
  <c r="AI1616" i="14"/>
  <c r="AA1616" i="14" s="1"/>
  <c r="AD1616" i="14" s="1"/>
  <c r="AI1592" i="14"/>
  <c r="AA1592" i="14" s="1"/>
  <c r="AD1592" i="14" s="1"/>
  <c r="AL1592" i="14"/>
  <c r="AP1592" i="14" s="1"/>
  <c r="AN1616" i="14"/>
  <c r="AP1616" i="14" s="1"/>
  <c r="AN1530" i="14"/>
  <c r="AL1530" i="14"/>
  <c r="BK1596" i="14"/>
  <c r="AN1506" i="14"/>
  <c r="BK1553" i="14"/>
  <c r="BK1517" i="14"/>
  <c r="AM1488" i="14"/>
  <c r="AK1488" i="14"/>
  <c r="AI1536" i="14"/>
  <c r="AA1536" i="14" s="1"/>
  <c r="AD1536" i="14" s="1"/>
  <c r="AL1506" i="14"/>
  <c r="AI1445" i="14"/>
  <c r="AA1445" i="14" s="1"/>
  <c r="AD1445" i="14" s="1"/>
  <c r="AN1606" i="14"/>
  <c r="AP1606" i="14" s="1"/>
  <c r="AI1606" i="14"/>
  <c r="AA1606" i="14" s="1"/>
  <c r="AD1606" i="14" s="1"/>
  <c r="AN1445" i="14"/>
  <c r="AP1445" i="14" s="1"/>
  <c r="BK1557" i="14"/>
  <c r="BK1610" i="14"/>
  <c r="BK1593" i="14"/>
  <c r="AN1536" i="14"/>
  <c r="AP1536" i="14" s="1"/>
  <c r="AL1488" i="14"/>
  <c r="AN1488" i="14"/>
  <c r="AI1502" i="14"/>
  <c r="AA1502" i="14" s="1"/>
  <c r="AD1502" i="14" s="1"/>
  <c r="AL1502" i="14"/>
  <c r="AP1502" i="14" s="1"/>
  <c r="AK1578" i="14"/>
  <c r="AK1514" i="14"/>
  <c r="AM1514" i="14"/>
  <c r="AM1578" i="14"/>
  <c r="AK1528" i="14"/>
  <c r="AM1528" i="14"/>
  <c r="AI1563" i="14"/>
  <c r="AA1563" i="14" s="1"/>
  <c r="AD1563" i="14" s="1"/>
  <c r="AM1475" i="14"/>
  <c r="AL1544" i="14"/>
  <c r="AK1475" i="14"/>
  <c r="AJ1441" i="14"/>
  <c r="Z1441" i="14" s="1"/>
  <c r="AE1441" i="14" s="1"/>
  <c r="AN1544" i="14"/>
  <c r="AM1441" i="14"/>
  <c r="AO1441" i="14" s="1"/>
  <c r="AJ1600" i="14"/>
  <c r="Z1600" i="14" s="1"/>
  <c r="AB1600" i="14" s="1"/>
  <c r="AM1600" i="14"/>
  <c r="AO1600" i="14" s="1"/>
  <c r="AN1520" i="14"/>
  <c r="AP1520" i="14" s="1"/>
  <c r="AI1520" i="14"/>
  <c r="AA1520" i="14" s="1"/>
  <c r="AD1520" i="14" s="1"/>
  <c r="AJ1520" i="14"/>
  <c r="Z1520" i="14" s="1"/>
  <c r="AE1520" i="14" s="1"/>
  <c r="AK1520" i="14"/>
  <c r="AO1520" i="14" s="1"/>
  <c r="AJ1525" i="14"/>
  <c r="Z1525" i="14" s="1"/>
  <c r="AE1525" i="14" s="1"/>
  <c r="AK1525" i="14"/>
  <c r="AO1525" i="14" s="1"/>
  <c r="AJ1479" i="14"/>
  <c r="Z1479" i="14" s="1"/>
  <c r="AB1479" i="14" s="1"/>
  <c r="AM1479" i="14"/>
  <c r="AO1479" i="14" s="1"/>
  <c r="AL1591" i="14"/>
  <c r="AP1591" i="14" s="1"/>
  <c r="AI1591" i="14"/>
  <c r="AA1591" i="14" s="1"/>
  <c r="AD1591" i="14" s="1"/>
  <c r="AN1441" i="14"/>
  <c r="AP1441" i="14" s="1"/>
  <c r="AI1441" i="14"/>
  <c r="AA1441" i="14" s="1"/>
  <c r="AD1441" i="14" s="1"/>
  <c r="AL1473" i="14"/>
  <c r="AN1473" i="14"/>
  <c r="AI1489" i="14"/>
  <c r="AA1489" i="14" s="1"/>
  <c r="AD1489" i="14" s="1"/>
  <c r="AL1489" i="14"/>
  <c r="AP1489" i="14" s="1"/>
  <c r="AI1614" i="14"/>
  <c r="AA1614" i="14" s="1"/>
  <c r="AD1614" i="14" s="1"/>
  <c r="AN1614" i="14"/>
  <c r="AP1614" i="14" s="1"/>
  <c r="AN1563" i="14"/>
  <c r="AP1563" i="14" s="1"/>
  <c r="BK1570" i="14"/>
  <c r="AN1525" i="14"/>
  <c r="AP1525" i="14" s="1"/>
  <c r="AI1525" i="14"/>
  <c r="AA1525" i="14" s="1"/>
  <c r="AD1525" i="14" s="1"/>
  <c r="AN1508" i="14"/>
  <c r="AJ1508" i="14"/>
  <c r="Z1508" i="14" s="1"/>
  <c r="AE1508" i="14" s="1"/>
  <c r="AL1508" i="14"/>
  <c r="AK1508" i="14"/>
  <c r="AO1508" i="14" s="1"/>
  <c r="AM1574" i="14"/>
  <c r="AO1574" i="14" s="1"/>
  <c r="AJ1544" i="14"/>
  <c r="Z1544" i="14" s="1"/>
  <c r="AE1544" i="14" s="1"/>
  <c r="AK1544" i="14"/>
  <c r="AO1544" i="14" s="1"/>
  <c r="AI1483" i="14"/>
  <c r="AA1483" i="14" s="1"/>
  <c r="AD1483" i="14" s="1"/>
  <c r="AJ1574" i="14"/>
  <c r="Z1574" i="14" s="1"/>
  <c r="AB1574" i="14" s="1"/>
  <c r="AI1450" i="14"/>
  <c r="AA1450" i="14" s="1"/>
  <c r="AD1450" i="14" s="1"/>
  <c r="AL1450" i="14"/>
  <c r="AP1450" i="14" s="1"/>
  <c r="BK1555" i="14"/>
  <c r="AL1483" i="14"/>
  <c r="AP1483" i="14" s="1"/>
  <c r="BK1607" i="14"/>
  <c r="BK1481" i="14"/>
  <c r="AJ1585" i="14"/>
  <c r="Z1585" i="14" s="1"/>
  <c r="AB1585" i="14" s="1"/>
  <c r="AK1585" i="14"/>
  <c r="AO1585" i="14" s="1"/>
  <c r="AJ1447" i="14"/>
  <c r="Z1447" i="14" s="1"/>
  <c r="AE1447" i="14" s="1"/>
  <c r="BK1510" i="14"/>
  <c r="AK1447" i="14"/>
  <c r="AO1447" i="14" s="1"/>
  <c r="AI1547" i="14"/>
  <c r="AA1547" i="14" s="1"/>
  <c r="AD1547" i="14" s="1"/>
  <c r="AL1547" i="14"/>
  <c r="AP1547" i="14" s="1"/>
  <c r="BK1543" i="14"/>
  <c r="AJ1507" i="14"/>
  <c r="Z1507" i="14" s="1"/>
  <c r="AB1507" i="14" s="1"/>
  <c r="AM1507" i="14"/>
  <c r="AO1507" i="14" s="1"/>
  <c r="AI1482" i="14"/>
  <c r="AA1482" i="14" s="1"/>
  <c r="AD1482" i="14" s="1"/>
  <c r="AL1482" i="14"/>
  <c r="AP1482" i="14" s="1"/>
  <c r="BK1496" i="14"/>
  <c r="AJ1558" i="14"/>
  <c r="Z1558" i="14" s="1"/>
  <c r="AB1558" i="14" s="1"/>
  <c r="AK1558" i="14"/>
  <c r="AO1558" i="14" s="1"/>
  <c r="AI1468" i="14"/>
  <c r="AA1468" i="14" s="1"/>
  <c r="AD1468" i="14" s="1"/>
  <c r="AI1472" i="14"/>
  <c r="AA1472" i="14" s="1"/>
  <c r="AD1472" i="14" s="1"/>
  <c r="BK1552" i="14"/>
  <c r="AL1498" i="14"/>
  <c r="AL1455" i="14"/>
  <c r="AP1455" i="14" s="1"/>
  <c r="AN1498" i="14"/>
  <c r="AI1455" i="14"/>
  <c r="AA1455" i="14" s="1"/>
  <c r="AD1455" i="14" s="1"/>
  <c r="AJ1494" i="14"/>
  <c r="Z1494" i="14" s="1"/>
  <c r="AE1494" i="14" s="1"/>
  <c r="AM1494" i="14"/>
  <c r="AO1494" i="14" s="1"/>
  <c r="BK1565" i="14"/>
  <c r="AM1498" i="14"/>
  <c r="AL1491" i="14"/>
  <c r="AP1491" i="14" s="1"/>
  <c r="AI1491" i="14"/>
  <c r="AA1491" i="14" s="1"/>
  <c r="AD1491" i="14" s="1"/>
  <c r="AM1468" i="14"/>
  <c r="BK1559" i="14"/>
  <c r="AK1498" i="14"/>
  <c r="AJ1524" i="14"/>
  <c r="Z1524" i="14" s="1"/>
  <c r="AB1524" i="14" s="1"/>
  <c r="AM1524" i="14"/>
  <c r="AO1524" i="14" s="1"/>
  <c r="AJ1436" i="14"/>
  <c r="Z1436" i="14" s="1"/>
  <c r="AE1436" i="14" s="1"/>
  <c r="AK1436" i="14"/>
  <c r="AO1436" i="14" s="1"/>
  <c r="AN1431" i="14"/>
  <c r="AP1431" i="14" s="1"/>
  <c r="AN1468" i="14"/>
  <c r="AP1468" i="14" s="1"/>
  <c r="AK1468" i="14"/>
  <c r="AN1521" i="14"/>
  <c r="AP1521" i="14" s="1"/>
  <c r="AI1521" i="14"/>
  <c r="AA1521" i="14" s="1"/>
  <c r="AD1521" i="14" s="1"/>
  <c r="AI1475" i="14"/>
  <c r="AA1475" i="14" s="1"/>
  <c r="AD1475" i="14" s="1"/>
  <c r="AN1475" i="14"/>
  <c r="AP1475" i="14" s="1"/>
  <c r="AL1572" i="14"/>
  <c r="BK1485" i="14"/>
  <c r="BK1618" i="14"/>
  <c r="BK1505" i="14"/>
  <c r="AI1518" i="14"/>
  <c r="AA1518" i="14" s="1"/>
  <c r="AD1518" i="14" s="1"/>
  <c r="AJ1491" i="14"/>
  <c r="Z1491" i="14" s="1"/>
  <c r="AE1491" i="14" s="1"/>
  <c r="AM1491" i="14"/>
  <c r="AO1491" i="14" s="1"/>
  <c r="AJ1581" i="14"/>
  <c r="Z1581" i="14" s="1"/>
  <c r="AE1581" i="14" s="1"/>
  <c r="AJ1628" i="14"/>
  <c r="Z1628" i="14" s="1"/>
  <c r="AE1628" i="14" s="1"/>
  <c r="AJ1542" i="14"/>
  <c r="Z1542" i="14" s="1"/>
  <c r="AB1542" i="14" s="1"/>
  <c r="AK1628" i="14"/>
  <c r="AO1628" i="14" s="1"/>
  <c r="AK1542" i="14"/>
  <c r="AO1542" i="14" s="1"/>
  <c r="AN1447" i="14"/>
  <c r="AP1447" i="14" s="1"/>
  <c r="AN1585" i="14"/>
  <c r="AI1500" i="14"/>
  <c r="AA1500" i="14" s="1"/>
  <c r="AD1500" i="14" s="1"/>
  <c r="BK1456" i="14"/>
  <c r="AL1585" i="14"/>
  <c r="BK1527" i="14"/>
  <c r="AL1500" i="14"/>
  <c r="AP1500" i="14" s="1"/>
  <c r="AJ1474" i="14"/>
  <c r="Z1474" i="14" s="1"/>
  <c r="AE1474" i="14" s="1"/>
  <c r="BK1435" i="14"/>
  <c r="AM1474" i="14"/>
  <c r="AO1474" i="14" s="1"/>
  <c r="AN1472" i="14"/>
  <c r="AP1472" i="14" s="1"/>
  <c r="BK1439" i="14"/>
  <c r="AN1572" i="14"/>
  <c r="AI1554" i="14"/>
  <c r="AA1554" i="14" s="1"/>
  <c r="AD1554" i="14" s="1"/>
  <c r="AK1568" i="14"/>
  <c r="AL1554" i="14"/>
  <c r="AP1554" i="14" s="1"/>
  <c r="AM1568" i="14"/>
  <c r="BK1622" i="14"/>
  <c r="AM1500" i="14"/>
  <c r="AO1500" i="14" s="1"/>
  <c r="AN1476" i="14"/>
  <c r="AP1476" i="14" s="1"/>
  <c r="BK1449" i="14"/>
  <c r="AI1476" i="14"/>
  <c r="AA1476" i="14" s="1"/>
  <c r="AD1476" i="14" s="1"/>
  <c r="AJ1573" i="14"/>
  <c r="Z1573" i="14" s="1"/>
  <c r="AB1573" i="14" s="1"/>
  <c r="AL1545" i="14"/>
  <c r="AP1545" i="14" s="1"/>
  <c r="AM1573" i="14"/>
  <c r="AO1573" i="14" s="1"/>
  <c r="AI1545" i="14"/>
  <c r="AA1545" i="14" s="1"/>
  <c r="AD1545" i="14" s="1"/>
  <c r="AJ1500" i="14"/>
  <c r="Z1500" i="14" s="1"/>
  <c r="AE1500" i="14" s="1"/>
  <c r="AI1577" i="14"/>
  <c r="AA1577" i="14" s="1"/>
  <c r="AD1577" i="14" s="1"/>
  <c r="AL1577" i="14"/>
  <c r="AP1577" i="14" s="1"/>
  <c r="BK1509" i="14"/>
  <c r="AN1513" i="14"/>
  <c r="AL1513" i="14"/>
  <c r="AJ1497" i="14"/>
  <c r="Z1497" i="14" s="1"/>
  <c r="AE1497" i="14" s="1"/>
  <c r="AK1497" i="14"/>
  <c r="AO1497" i="14" s="1"/>
  <c r="AK1434" i="14"/>
  <c r="AO1434" i="14" s="1"/>
  <c r="AI1579" i="14"/>
  <c r="AA1579" i="14" s="1"/>
  <c r="AD1579" i="14" s="1"/>
  <c r="AL1474" i="14"/>
  <c r="AP1474" i="14" s="1"/>
  <c r="AL1518" i="14"/>
  <c r="AP1518" i="14" s="1"/>
  <c r="AJ1450" i="14"/>
  <c r="Z1450" i="14" s="1"/>
  <c r="AK1450" i="14"/>
  <c r="AO1450" i="14" s="1"/>
  <c r="AI1568" i="14"/>
  <c r="AA1568" i="14" s="1"/>
  <c r="AD1568" i="14" s="1"/>
  <c r="AJ1515" i="14"/>
  <c r="Z1515" i="14" s="1"/>
  <c r="AB1515" i="14" s="1"/>
  <c r="AK1581" i="14"/>
  <c r="AO1581" i="14" s="1"/>
  <c r="AI1431" i="14"/>
  <c r="AA1431" i="14" s="1"/>
  <c r="AD1431" i="14" s="1"/>
  <c r="AI1459" i="14"/>
  <c r="AA1459" i="14" s="1"/>
  <c r="AD1459" i="14" s="1"/>
  <c r="AM1515" i="14"/>
  <c r="AO1515" i="14" s="1"/>
  <c r="AN1459" i="14"/>
  <c r="AP1459" i="14" s="1"/>
  <c r="BK1452" i="14"/>
  <c r="BK1453" i="14"/>
  <c r="AL1526" i="14"/>
  <c r="AP1526" i="14" s="1"/>
  <c r="AI1526" i="14"/>
  <c r="AA1526" i="14" s="1"/>
  <c r="AD1526" i="14" s="1"/>
  <c r="BK1466" i="14"/>
  <c r="AN1579" i="14"/>
  <c r="AP1579" i="14" s="1"/>
  <c r="AN1621" i="14"/>
  <c r="AP1621" i="14" s="1"/>
  <c r="AM1617" i="14"/>
  <c r="AO1617" i="14" s="1"/>
  <c r="AK1440" i="14"/>
  <c r="AO1440" i="14" s="1"/>
  <c r="AJ1440" i="14"/>
  <c r="Z1440" i="14" s="1"/>
  <c r="AB1440" i="14" s="1"/>
  <c r="AL1467" i="14"/>
  <c r="AK1577" i="14"/>
  <c r="AO1577" i="14" s="1"/>
  <c r="AL1538" i="14"/>
  <c r="AP1538" i="14" s="1"/>
  <c r="AI1538" i="14"/>
  <c r="AA1538" i="14" s="1"/>
  <c r="AD1538" i="14" s="1"/>
  <c r="BK1597" i="14"/>
  <c r="AN1503" i="14"/>
  <c r="AP1503" i="14" s="1"/>
  <c r="AI1582" i="14"/>
  <c r="AA1582" i="14" s="1"/>
  <c r="AD1582" i="14" s="1"/>
  <c r="AJ1511" i="14"/>
  <c r="Z1511" i="14" s="1"/>
  <c r="AE1511" i="14" s="1"/>
  <c r="AL1582" i="14"/>
  <c r="AP1582" i="14" s="1"/>
  <c r="AJ1614" i="14"/>
  <c r="Z1614" i="14" s="1"/>
  <c r="AE1614" i="14" s="1"/>
  <c r="AK1511" i="14"/>
  <c r="AO1511" i="14" s="1"/>
  <c r="AM1614" i="14"/>
  <c r="AO1614" i="14" s="1"/>
  <c r="AI1469" i="14"/>
  <c r="AA1469" i="14" s="1"/>
  <c r="AD1469" i="14" s="1"/>
  <c r="AJ1539" i="14"/>
  <c r="Z1539" i="14" s="1"/>
  <c r="AE1539" i="14" s="1"/>
  <c r="AL1469" i="14"/>
  <c r="AP1469" i="14" s="1"/>
  <c r="AK1539" i="14"/>
  <c r="AO1539" i="14" s="1"/>
  <c r="AJ1603" i="14"/>
  <c r="Z1603" i="14" s="1"/>
  <c r="AB1603" i="14" s="1"/>
  <c r="AL1460" i="14"/>
  <c r="AN1467" i="14"/>
  <c r="AK1541" i="14"/>
  <c r="AO1541" i="14" s="1"/>
  <c r="AJ1433" i="14"/>
  <c r="Z1433" i="14" s="1"/>
  <c r="AB1433" i="14" s="1"/>
  <c r="AN1460" i="14"/>
  <c r="AI1474" i="14"/>
  <c r="AA1474" i="14" s="1"/>
  <c r="AD1474" i="14" s="1"/>
  <c r="AJ1541" i="14"/>
  <c r="Z1541" i="14" s="1"/>
  <c r="AE1541" i="14" s="1"/>
  <c r="AM1433" i="14"/>
  <c r="AO1433" i="14" s="1"/>
  <c r="AN1568" i="14"/>
  <c r="AP1568" i="14" s="1"/>
  <c r="AI1546" i="14"/>
  <c r="AA1546" i="14" s="1"/>
  <c r="AD1546" i="14" s="1"/>
  <c r="AL1546" i="14"/>
  <c r="AP1546" i="14" s="1"/>
  <c r="AI1621" i="14"/>
  <c r="AA1621" i="14" s="1"/>
  <c r="AD1621" i="14" s="1"/>
  <c r="AJ1617" i="14"/>
  <c r="Z1617" i="14" s="1"/>
  <c r="AE1617" i="14" s="1"/>
  <c r="BK1501" i="14"/>
  <c r="AI1447" i="14"/>
  <c r="AA1447" i="14" s="1"/>
  <c r="AD1447" i="14" s="1"/>
  <c r="AJ1540" i="14"/>
  <c r="Z1540" i="14" s="1"/>
  <c r="AB1540" i="14" s="1"/>
  <c r="AK1540" i="14"/>
  <c r="AO1540" i="14" s="1"/>
  <c r="AJ1554" i="14"/>
  <c r="Z1554" i="14" s="1"/>
  <c r="AM1554" i="14"/>
  <c r="AO1554" i="14" s="1"/>
  <c r="AJ1434" i="14"/>
  <c r="Z1434" i="14" s="1"/>
  <c r="AB1434" i="14" s="1"/>
  <c r="BK1470" i="14"/>
  <c r="AM1603" i="14"/>
  <c r="AO1603" i="14" s="1"/>
  <c r="AM1519" i="14"/>
  <c r="AO1519" i="14" s="1"/>
  <c r="AJ1519" i="14"/>
  <c r="Z1519" i="14" s="1"/>
  <c r="AE1519" i="14" s="1"/>
  <c r="AI1535" i="14"/>
  <c r="AA1535" i="14" s="1"/>
  <c r="AD1535" i="14" s="1"/>
  <c r="AL1535" i="14"/>
  <c r="AP1535" i="14" s="1"/>
  <c r="BK1537" i="14"/>
  <c r="AJ1513" i="14"/>
  <c r="Z1513" i="14" s="1"/>
  <c r="AB1513" i="14" s="1"/>
  <c r="AK1513" i="14"/>
  <c r="AO1513" i="14" s="1"/>
  <c r="AM1490" i="14"/>
  <c r="AO1490" i="14" s="1"/>
  <c r="AJ1490" i="14"/>
  <c r="Z1490" i="14" s="1"/>
  <c r="AE1490" i="14" s="1"/>
  <c r="AI1503" i="14"/>
  <c r="AA1503" i="14" s="1"/>
  <c r="AD1503" i="14" s="1"/>
  <c r="AN1628" i="14"/>
  <c r="AL1625" i="14"/>
  <c r="AP1625" i="14" s="1"/>
  <c r="AJ1569" i="14"/>
  <c r="Z1569" i="14" s="1"/>
  <c r="AE1569" i="14" s="1"/>
  <c r="AI1625" i="14"/>
  <c r="AA1625" i="14" s="1"/>
  <c r="AD1625" i="14" s="1"/>
  <c r="AK1569" i="14"/>
  <c r="AO1569" i="14" s="1"/>
  <c r="AJ1516" i="14"/>
  <c r="Z1516" i="14" s="1"/>
  <c r="AB1516" i="14" s="1"/>
  <c r="AK1516" i="14"/>
  <c r="AO1516" i="14" s="1"/>
  <c r="AJ1601" i="14"/>
  <c r="Z1601" i="14" s="1"/>
  <c r="AB1601" i="14" s="1"/>
  <c r="AL1629" i="14"/>
  <c r="AP1629" i="14" s="1"/>
  <c r="AK1601" i="14"/>
  <c r="AO1601" i="14" s="1"/>
  <c r="AI1629" i="14"/>
  <c r="AA1629" i="14" s="1"/>
  <c r="AD1629" i="14" s="1"/>
  <c r="AJ1577" i="14"/>
  <c r="Z1577" i="14" s="1"/>
  <c r="AJ1512" i="14"/>
  <c r="Z1512" i="14" s="1"/>
  <c r="AE1512" i="14" s="1"/>
  <c r="AK1460" i="14"/>
  <c r="AK1512" i="14"/>
  <c r="AO1512" i="14" s="1"/>
  <c r="AM1460" i="14"/>
  <c r="AN1611" i="14"/>
  <c r="AP1611" i="14" s="1"/>
  <c r="AI1611" i="14"/>
  <c r="AA1611" i="14" s="1"/>
  <c r="AD1611" i="14" s="1"/>
  <c r="AJ1608" i="14"/>
  <c r="Z1608" i="14" s="1"/>
  <c r="AE1608" i="14" s="1"/>
  <c r="AK1608" i="14"/>
  <c r="AO1608" i="14" s="1"/>
  <c r="AM1463" i="14"/>
  <c r="AL1613" i="14"/>
  <c r="AP1613" i="14" s="1"/>
  <c r="AI1613" i="14"/>
  <c r="AA1613" i="14" s="1"/>
  <c r="AD1613" i="14" s="1"/>
  <c r="AK1463" i="14"/>
  <c r="AL1437" i="14"/>
  <c r="AP1437" i="14" s="1"/>
  <c r="AI1437" i="14"/>
  <c r="AA1437" i="14" s="1"/>
  <c r="AD1437" i="14" s="1"/>
  <c r="AJ1587" i="14"/>
  <c r="Z1587" i="14" s="1"/>
  <c r="AE1587" i="14" s="1"/>
  <c r="AM1587" i="14"/>
  <c r="AO1587" i="14" s="1"/>
  <c r="AL1540" i="14"/>
  <c r="AJ1459" i="14"/>
  <c r="Z1459" i="14" s="1"/>
  <c r="AN1444" i="14"/>
  <c r="AN1540" i="14"/>
  <c r="AM1459" i="14"/>
  <c r="AO1459" i="14" s="1"/>
  <c r="AL1444" i="14"/>
  <c r="AI1480" i="14"/>
  <c r="AA1480" i="14" s="1"/>
  <c r="AD1480" i="14" s="1"/>
  <c r="AN1480" i="14"/>
  <c r="AP1480" i="14" s="1"/>
  <c r="AL1605" i="14"/>
  <c r="AI1512" i="14"/>
  <c r="AA1512" i="14" s="1"/>
  <c r="AD1512" i="14" s="1"/>
  <c r="AJ1465" i="14"/>
  <c r="Z1465" i="14" s="1"/>
  <c r="AE1465" i="14" s="1"/>
  <c r="AM1465" i="14"/>
  <c r="AO1465" i="14" s="1"/>
  <c r="AM1546" i="14"/>
  <c r="AO1546" i="14" s="1"/>
  <c r="AN1512" i="14"/>
  <c r="AP1512" i="14" s="1"/>
  <c r="AJ1580" i="14"/>
  <c r="Z1580" i="14" s="1"/>
  <c r="AB1580" i="14" s="1"/>
  <c r="AK1580" i="14"/>
  <c r="AO1580" i="14" s="1"/>
  <c r="AJ1495" i="14"/>
  <c r="Z1495" i="14" s="1"/>
  <c r="AE1495" i="14" s="1"/>
  <c r="AI1630" i="14"/>
  <c r="AA1630" i="14" s="1"/>
  <c r="AD1630" i="14" s="1"/>
  <c r="AJ1620" i="14"/>
  <c r="Z1620" i="14" s="1"/>
  <c r="AB1620" i="14" s="1"/>
  <c r="AK1495" i="14"/>
  <c r="AO1495" i="14" s="1"/>
  <c r="AN1630" i="14"/>
  <c r="AP1630" i="14" s="1"/>
  <c r="AM1620" i="14"/>
  <c r="AO1620" i="14" s="1"/>
  <c r="AL1534" i="14"/>
  <c r="AP1534" i="14" s="1"/>
  <c r="AI1534" i="14"/>
  <c r="AA1534" i="14" s="1"/>
  <c r="AD1534" i="14" s="1"/>
  <c r="AJ1478" i="14"/>
  <c r="Z1478" i="14" s="1"/>
  <c r="AE1478" i="14" s="1"/>
  <c r="AL1590" i="14"/>
  <c r="AK1478" i="14"/>
  <c r="AO1478" i="14" s="1"/>
  <c r="AN1605" i="14"/>
  <c r="AN1590" i="14"/>
  <c r="AL1628" i="14"/>
  <c r="BK1566" i="14"/>
  <c r="BK1615" i="14"/>
  <c r="AK1444" i="14"/>
  <c r="AO1444" i="14" s="1"/>
  <c r="AN1462" i="14"/>
  <c r="AP1462" i="14" s="1"/>
  <c r="AI1462" i="14"/>
  <c r="AA1462" i="14" s="1"/>
  <c r="AD1462" i="14" s="1"/>
  <c r="AK1532" i="14"/>
  <c r="AO1532" i="14" s="1"/>
  <c r="BK1446" i="14"/>
  <c r="AI1551" i="14"/>
  <c r="AA1551" i="14" s="1"/>
  <c r="AD1551" i="14" s="1"/>
  <c r="AL1464" i="14"/>
  <c r="AJ1444" i="14"/>
  <c r="Z1444" i="14" s="1"/>
  <c r="AB1444" i="14" s="1"/>
  <c r="AJ1545" i="14"/>
  <c r="Z1545" i="14" s="1"/>
  <c r="AE1545" i="14" s="1"/>
  <c r="AJ1588" i="14"/>
  <c r="Z1588" i="14" s="1"/>
  <c r="AE1588" i="14" s="1"/>
  <c r="AK1588" i="14"/>
  <c r="AO1588" i="14" s="1"/>
  <c r="AM1545" i="14"/>
  <c r="AO1545" i="14" s="1"/>
  <c r="AI1548" i="14"/>
  <c r="AA1548" i="14" s="1"/>
  <c r="AD1548" i="14" s="1"/>
  <c r="AN1548" i="14"/>
  <c r="AP1548" i="14" s="1"/>
  <c r="AI1576" i="14"/>
  <c r="AA1576" i="14" s="1"/>
  <c r="AD1576" i="14" s="1"/>
  <c r="AJ1599" i="14"/>
  <c r="Z1599" i="14" s="1"/>
  <c r="AB1599" i="14" s="1"/>
  <c r="BK1623" i="14"/>
  <c r="AK1599" i="14"/>
  <c r="AO1599" i="14" s="1"/>
  <c r="AK1571" i="14"/>
  <c r="AO1571" i="14" s="1"/>
  <c r="AN1564" i="14"/>
  <c r="AJ1571" i="14"/>
  <c r="Z1571" i="14" s="1"/>
  <c r="AE1571" i="14" s="1"/>
  <c r="AK1550" i="14"/>
  <c r="AM1550" i="14"/>
  <c r="AL1478" i="14"/>
  <c r="AP1478" i="14" s="1"/>
  <c r="AI1478" i="14"/>
  <c r="AA1478" i="14" s="1"/>
  <c r="AD1478" i="14" s="1"/>
  <c r="AL1588" i="14"/>
  <c r="AP1588" i="14" s="1"/>
  <c r="AN1432" i="14"/>
  <c r="AP1432" i="14" s="1"/>
  <c r="AI1432" i="14"/>
  <c r="AA1432" i="14" s="1"/>
  <c r="AD1432" i="14" s="1"/>
  <c r="AK1584" i="14"/>
  <c r="AO1584" i="14" s="1"/>
  <c r="AI1443" i="14"/>
  <c r="AA1443" i="14" s="1"/>
  <c r="AD1443" i="14" s="1"/>
  <c r="AN1443" i="14"/>
  <c r="AP1443" i="14" s="1"/>
  <c r="AJ1584" i="14"/>
  <c r="Z1584" i="14" s="1"/>
  <c r="AE1584" i="14" s="1"/>
  <c r="AK1522" i="14"/>
  <c r="AM1522" i="14"/>
  <c r="AL1564" i="14"/>
  <c r="AL1561" i="14"/>
  <c r="AN1561" i="14"/>
  <c r="AN1464" i="14"/>
  <c r="BK1556" i="14"/>
  <c r="AN1484" i="14"/>
  <c r="AJ1561" i="14"/>
  <c r="Z1561" i="14" s="1"/>
  <c r="AB1561" i="14" s="1"/>
  <c r="AJ1583" i="14"/>
  <c r="Z1583" i="14" s="1"/>
  <c r="AE1583" i="14" s="1"/>
  <c r="AM1583" i="14"/>
  <c r="AO1583" i="14" s="1"/>
  <c r="AI1461" i="14"/>
  <c r="AA1461" i="14" s="1"/>
  <c r="AD1461" i="14" s="1"/>
  <c r="AM1451" i="14"/>
  <c r="AO1451" i="14" s="1"/>
  <c r="AK1534" i="14"/>
  <c r="AN1461" i="14"/>
  <c r="AP1461" i="14" s="1"/>
  <c r="AI1602" i="14"/>
  <c r="AA1602" i="14" s="1"/>
  <c r="AD1602" i="14" s="1"/>
  <c r="AJ1451" i="14"/>
  <c r="Z1451" i="14" s="1"/>
  <c r="AE1451" i="14" s="1"/>
  <c r="AM1534" i="14"/>
  <c r="AN1602" i="14"/>
  <c r="AP1602" i="14" s="1"/>
  <c r="AI1627" i="14"/>
  <c r="AA1627" i="14" s="1"/>
  <c r="AD1627" i="14" s="1"/>
  <c r="BK1492" i="14"/>
  <c r="AL1484" i="14"/>
  <c r="AN1562" i="14"/>
  <c r="AP1562" i="14" s="1"/>
  <c r="AI1562" i="14"/>
  <c r="AA1562" i="14" s="1"/>
  <c r="AD1562" i="14" s="1"/>
  <c r="AL1627" i="14"/>
  <c r="AP1627" i="14" s="1"/>
  <c r="AJ1579" i="14"/>
  <c r="Z1579" i="14" s="1"/>
  <c r="AE1579" i="14" s="1"/>
  <c r="AJ1499" i="14"/>
  <c r="Z1499" i="14" s="1"/>
  <c r="AE1499" i="14" s="1"/>
  <c r="AM1579" i="14"/>
  <c r="AO1579" i="14" s="1"/>
  <c r="AM1499" i="14"/>
  <c r="AO1499" i="14" s="1"/>
  <c r="AI1588" i="14"/>
  <c r="AA1588" i="14" s="1"/>
  <c r="AD1588" i="14" s="1"/>
  <c r="AM1594" i="14"/>
  <c r="AJ1626" i="14"/>
  <c r="Z1626" i="14" s="1"/>
  <c r="AB1626" i="14" s="1"/>
  <c r="AK1594" i="14"/>
  <c r="AK1626" i="14"/>
  <c r="AO1626" i="14" s="1"/>
  <c r="AI1458" i="14"/>
  <c r="AA1458" i="14" s="1"/>
  <c r="AD1458" i="14" s="1"/>
  <c r="AL1458" i="14"/>
  <c r="AP1458" i="14" s="1"/>
  <c r="BK1457" i="14"/>
  <c r="BK1438" i="14"/>
  <c r="AI1560" i="14"/>
  <c r="AA1560" i="14" s="1"/>
  <c r="AD1560" i="14" s="1"/>
  <c r="AL1539" i="14"/>
  <c r="AL1560" i="14"/>
  <c r="AP1560" i="14" s="1"/>
  <c r="AN1539" i="14"/>
  <c r="AJ1467" i="14"/>
  <c r="Z1467" i="14" s="1"/>
  <c r="AB1467" i="14" s="1"/>
  <c r="AJ1613" i="14"/>
  <c r="Z1613" i="14" s="1"/>
  <c r="AM1467" i="14"/>
  <c r="AO1467" i="14" s="1"/>
  <c r="AM1613" i="14"/>
  <c r="AO1613" i="14" s="1"/>
  <c r="AL1581" i="14"/>
  <c r="AP1581" i="14" s="1"/>
  <c r="AN1583" i="14"/>
  <c r="AP1583" i="14" s="1"/>
  <c r="AJ1602" i="14"/>
  <c r="Z1602" i="14" s="1"/>
  <c r="AE1602" i="14" s="1"/>
  <c r="AI1581" i="14"/>
  <c r="AA1581" i="14" s="1"/>
  <c r="AD1581" i="14" s="1"/>
  <c r="AI1583" i="14"/>
  <c r="AA1583" i="14" s="1"/>
  <c r="AD1583" i="14" s="1"/>
  <c r="AM1602" i="14"/>
  <c r="AO1602" i="14" s="1"/>
  <c r="AL1584" i="14"/>
  <c r="AP1584" i="14" s="1"/>
  <c r="AJ1604" i="14"/>
  <c r="Z1604" i="14" s="1"/>
  <c r="AE1604" i="14" s="1"/>
  <c r="AI1584" i="14"/>
  <c r="AA1584" i="14" s="1"/>
  <c r="AD1584" i="14" s="1"/>
  <c r="AK1604" i="14"/>
  <c r="AO1604" i="14" s="1"/>
  <c r="AJ1621" i="14"/>
  <c r="Z1621" i="14" s="1"/>
  <c r="AM1621" i="14"/>
  <c r="AO1621" i="14" s="1"/>
  <c r="BK1575" i="14"/>
  <c r="AJ1533" i="14"/>
  <c r="Z1533" i="14" s="1"/>
  <c r="AE1533" i="14" s="1"/>
  <c r="AK1533" i="14"/>
  <c r="AO1533" i="14" s="1"/>
  <c r="BK1493" i="14"/>
  <c r="AN1609" i="14"/>
  <c r="AL1609" i="14"/>
  <c r="AN1571" i="14"/>
  <c r="BK1477" i="14"/>
  <c r="AM1561" i="14"/>
  <c r="AO1561" i="14" s="1"/>
  <c r="AL1551" i="14"/>
  <c r="AP1551" i="14" s="1"/>
  <c r="AJ1546" i="14"/>
  <c r="Z1546" i="14" s="1"/>
  <c r="AK1487" i="14"/>
  <c r="AM1487" i="14"/>
  <c r="AL1571" i="14"/>
  <c r="AJ1504" i="14"/>
  <c r="Z1504" i="14" s="1"/>
  <c r="AB1504" i="14" s="1"/>
  <c r="AK1504" i="14"/>
  <c r="AO1504" i="14" s="1"/>
  <c r="AN1589" i="14"/>
  <c r="AN1442" i="14"/>
  <c r="AP1442" i="14" s="1"/>
  <c r="AL1589" i="14"/>
  <c r="AI1442" i="14"/>
  <c r="AA1442" i="14" s="1"/>
  <c r="AD1442" i="14" s="1"/>
  <c r="AJ1532" i="14"/>
  <c r="Z1532" i="14" s="1"/>
  <c r="AB1532" i="14" s="1"/>
  <c r="AL1471" i="14"/>
  <c r="BK1612" i="14"/>
  <c r="AK1611" i="14"/>
  <c r="AO1611" i="14" s="1"/>
  <c r="AM1595" i="14"/>
  <c r="AO1595" i="14" s="1"/>
  <c r="AJ1611" i="14"/>
  <c r="Z1611" i="14" s="1"/>
  <c r="AL1576" i="14"/>
  <c r="AP1576" i="14" s="1"/>
  <c r="AL1541" i="14"/>
  <c r="AP1541" i="14" s="1"/>
  <c r="AI1541" i="14"/>
  <c r="AA1541" i="14" s="1"/>
  <c r="AD1541" i="14" s="1"/>
  <c r="AI1465" i="14"/>
  <c r="AA1465" i="14" s="1"/>
  <c r="AD1465" i="14" s="1"/>
  <c r="AL1465" i="14"/>
  <c r="AP1465" i="14" s="1"/>
  <c r="AI1587" i="14"/>
  <c r="AA1587" i="14" s="1"/>
  <c r="AD1587" i="14" s="1"/>
  <c r="AJ1595" i="14"/>
  <c r="Z1595" i="14" s="1"/>
  <c r="AE1595" i="14" s="1"/>
  <c r="AN1587" i="14"/>
  <c r="AP1587" i="14" s="1"/>
  <c r="AI1448" i="14"/>
  <c r="AA1448" i="14" s="1"/>
  <c r="AD1448" i="14" s="1"/>
  <c r="AN1448" i="14"/>
  <c r="AP1448" i="14" s="1"/>
  <c r="AJ1627" i="14"/>
  <c r="Z1627" i="14" s="1"/>
  <c r="AM1627" i="14"/>
  <c r="AO1627" i="14" s="1"/>
  <c r="AK1576" i="14"/>
  <c r="AO1576" i="14" s="1"/>
  <c r="AJ1576" i="14"/>
  <c r="Z1576" i="14" s="1"/>
  <c r="AI1569" i="14"/>
  <c r="AA1569" i="14" s="1"/>
  <c r="AD1569" i="14" s="1"/>
  <c r="AL1569" i="14"/>
  <c r="AP1569" i="14" s="1"/>
  <c r="AJ1586" i="14"/>
  <c r="Z1586" i="14" s="1"/>
  <c r="AB1586" i="14" s="1"/>
  <c r="AM1586" i="14"/>
  <c r="AO1586" i="14" s="1"/>
  <c r="AN1471" i="14"/>
  <c r="AP1522" i="14"/>
  <c r="AS1522" i="14" s="1"/>
  <c r="AO1610" i="14"/>
  <c r="AO1435" i="14"/>
  <c r="AO1485" i="14"/>
  <c r="AO1502" i="14"/>
  <c r="AO1506" i="14"/>
  <c r="AO1492" i="14"/>
  <c r="AO1473" i="14"/>
  <c r="AO1575" i="14"/>
  <c r="AO1446" i="14"/>
  <c r="AP1527" i="14"/>
  <c r="AS1527" i="14" s="1"/>
  <c r="AP1607" i="14"/>
  <c r="AS1607" i="14" s="1"/>
  <c r="AO1538" i="14"/>
  <c r="AO1526" i="14"/>
  <c r="AO1560" i="14"/>
  <c r="AO1470" i="14"/>
  <c r="AP1451" i="14"/>
  <c r="AS1451" i="14" s="1"/>
  <c r="AP1505" i="14"/>
  <c r="AS1505" i="14" s="1"/>
  <c r="AP1622" i="14"/>
  <c r="AS1622" i="14" s="1"/>
  <c r="AP1620" i="14"/>
  <c r="AS1620" i="14" s="1"/>
  <c r="AO1462" i="14"/>
  <c r="AO1461" i="14"/>
  <c r="AP1601" i="14"/>
  <c r="AS1601" i="14" s="1"/>
  <c r="AP1486" i="14"/>
  <c r="AS1486" i="14" s="1"/>
  <c r="AP1552" i="14"/>
  <c r="AS1552" i="14" s="1"/>
  <c r="AP1457" i="14"/>
  <c r="AS1457" i="14" s="1"/>
  <c r="AP1466" i="14"/>
  <c r="AS1466" i="14" s="1"/>
  <c r="AP1612" i="14"/>
  <c r="AS1612" i="14" s="1"/>
  <c r="AP1593" i="14"/>
  <c r="AS1593" i="14" s="1"/>
  <c r="AP1496" i="14"/>
  <c r="AS1496" i="14" s="1"/>
  <c r="AO1521" i="14"/>
  <c r="AP1533" i="14"/>
  <c r="AS1533" i="14" s="1"/>
  <c r="AP1517" i="14"/>
  <c r="AS1517" i="14" s="1"/>
  <c r="AP1504" i="14"/>
  <c r="AS1504" i="14" s="1"/>
  <c r="AP1617" i="14"/>
  <c r="AS1617" i="14" s="1"/>
  <c r="AP1599" i="14"/>
  <c r="AS1599" i="14" s="1"/>
  <c r="AP1555" i="14"/>
  <c r="AS1555" i="14" s="1"/>
  <c r="AO1510" i="14"/>
  <c r="AP1575" i="14"/>
  <c r="AS1575" i="14" s="1"/>
  <c r="AO1597" i="14"/>
  <c r="AP1528" i="14"/>
  <c r="AS1528" i="14" s="1"/>
  <c r="AO1609" i="14"/>
  <c r="AO1484" i="14"/>
  <c r="AO1456" i="14"/>
  <c r="AO1535" i="14"/>
  <c r="AP1580" i="14"/>
  <c r="AS1580" i="14" s="1"/>
  <c r="AP1497" i="14"/>
  <c r="AS1497" i="14" s="1"/>
  <c r="AO1509" i="14"/>
  <c r="AO1616" i="14"/>
  <c r="AO1503" i="14"/>
  <c r="AO1464" i="14"/>
  <c r="AO1547" i="14"/>
  <c r="AO1629" i="14"/>
  <c r="AP1510" i="14"/>
  <c r="AS1510" i="14" s="1"/>
  <c r="AP1565" i="14"/>
  <c r="AS1565" i="14" s="1"/>
  <c r="AP1463" i="14"/>
  <c r="AS1463" i="14" s="1"/>
  <c r="AP1495" i="14"/>
  <c r="AS1495" i="14" s="1"/>
  <c r="AO1549" i="14"/>
  <c r="AP1543" i="14"/>
  <c r="AS1543" i="14" s="1"/>
  <c r="AO1505" i="14"/>
  <c r="AP1537" i="14"/>
  <c r="AS1537" i="14" s="1"/>
  <c r="AO1607" i="14"/>
  <c r="AO1598" i="14"/>
  <c r="AO1449" i="14"/>
  <c r="AP1608" i="14"/>
  <c r="AS1608" i="14" s="1"/>
  <c r="AO1445" i="14"/>
  <c r="AP1603" i="14"/>
  <c r="AS1603" i="14" s="1"/>
  <c r="AO1531" i="14"/>
  <c r="AO1589" i="14"/>
  <c r="AO1501" i="14"/>
  <c r="AO1606" i="14"/>
  <c r="AO1565" i="14"/>
  <c r="AP1594" i="14"/>
  <c r="AS1594" i="14" s="1"/>
  <c r="AO1457" i="14"/>
  <c r="AO1443" i="14"/>
  <c r="AO1481" i="14"/>
  <c r="AP1453" i="14"/>
  <c r="AS1453" i="14" s="1"/>
  <c r="AO1582" i="14"/>
  <c r="AO1612" i="14"/>
  <c r="AO1563" i="14"/>
  <c r="AP1553" i="14"/>
  <c r="AS1553" i="14" s="1"/>
  <c r="AP1624" i="14"/>
  <c r="AS1624" i="14" s="1"/>
  <c r="AP1435" i="14"/>
  <c r="AS1435" i="14" s="1"/>
  <c r="AP1440" i="14"/>
  <c r="AS1440" i="14" s="1"/>
  <c r="AO1466" i="14"/>
  <c r="AO1552" i="14"/>
  <c r="AP1477" i="14"/>
  <c r="AS1477" i="14" s="1"/>
  <c r="AO1548" i="14"/>
  <c r="AP1604" i="14"/>
  <c r="AS1604" i="14" s="1"/>
  <c r="AP1515" i="14"/>
  <c r="AS1515" i="14" s="1"/>
  <c r="AO1559" i="14"/>
  <c r="AO1453" i="14"/>
  <c r="AO1437" i="14"/>
  <c r="AO1476" i="14"/>
  <c r="AO1557" i="14"/>
  <c r="AP1570" i="14"/>
  <c r="AS1570" i="14" s="1"/>
  <c r="AO1455" i="14"/>
  <c r="AO1496" i="14"/>
  <c r="AO1567" i="14"/>
  <c r="AP1439" i="14"/>
  <c r="AS1439" i="14" s="1"/>
  <c r="AO1480" i="14"/>
  <c r="AO1590" i="14"/>
  <c r="AO1477" i="14"/>
  <c r="AO1591" i="14"/>
  <c r="AP1549" i="14"/>
  <c r="AS1549" i="14" s="1"/>
  <c r="AP1454" i="14"/>
  <c r="AS1454" i="14" s="1"/>
  <c r="AP1556" i="14"/>
  <c r="AS1556" i="14" s="1"/>
  <c r="AO1555" i="14"/>
  <c r="AP1532" i="14"/>
  <c r="AS1532" i="14" s="1"/>
  <c r="AP1470" i="14"/>
  <c r="AS1470" i="14" s="1"/>
  <c r="AP1586" i="14"/>
  <c r="AS1586" i="14" s="1"/>
  <c r="AO1615" i="14"/>
  <c r="AN1631" i="14"/>
  <c r="AI1631" i="14"/>
  <c r="AA1631" i="14" s="1"/>
  <c r="AD1631" i="14" s="1"/>
  <c r="AL1631" i="14"/>
  <c r="AK1631" i="14"/>
  <c r="AM1631" i="14"/>
  <c r="AJ1631" i="14"/>
  <c r="Z1631" i="14" s="1"/>
  <c r="AB1505" i="14"/>
  <c r="AE1505" i="14"/>
  <c r="AE1521" i="14"/>
  <c r="AP1595" i="14"/>
  <c r="AS1595" i="14" s="1"/>
  <c r="AE1489" i="14"/>
  <c r="AO1543" i="14"/>
  <c r="AE1557" i="14"/>
  <c r="AB1557" i="14"/>
  <c r="AE1531" i="14"/>
  <c r="AB1531" i="14"/>
  <c r="AO1605" i="14"/>
  <c r="AE1565" i="14"/>
  <c r="AB1565" i="14"/>
  <c r="AE1551" i="14"/>
  <c r="AE1552" i="14"/>
  <c r="AB1552" i="14"/>
  <c r="AE1536" i="14"/>
  <c r="AB1564" i="14"/>
  <c r="AE1564" i="14"/>
  <c r="AO1622" i="14"/>
  <c r="AE1481" i="14"/>
  <c r="AB1481" i="14"/>
  <c r="AO1624" i="14"/>
  <c r="AP1558" i="14"/>
  <c r="AS1558" i="14" s="1"/>
  <c r="AO1630" i="14"/>
  <c r="AB1618" i="14"/>
  <c r="AE1618" i="14"/>
  <c r="AP1557" i="14"/>
  <c r="AS1557" i="14" s="1"/>
  <c r="AP1485" i="14"/>
  <c r="AS1485" i="14" s="1"/>
  <c r="AE1598" i="14"/>
  <c r="AB1598" i="14"/>
  <c r="AO1489" i="14"/>
  <c r="AP1436" i="14"/>
  <c r="AS1436" i="14" s="1"/>
  <c r="AP1490" i="14"/>
  <c r="AS1490" i="14" s="1"/>
  <c r="AE1449" i="14"/>
  <c r="AB1449" i="14"/>
  <c r="AP1519" i="14"/>
  <c r="AS1519" i="14" s="1"/>
  <c r="AE1445" i="14"/>
  <c r="AP1618" i="14"/>
  <c r="AS1618" i="14" s="1"/>
  <c r="AB1589" i="14"/>
  <c r="AE1589" i="14"/>
  <c r="AE1501" i="14"/>
  <c r="AB1501" i="14"/>
  <c r="AE1606" i="14"/>
  <c r="AE1460" i="14"/>
  <c r="AB1460" i="14"/>
  <c r="AO1551" i="14"/>
  <c r="AB1457" i="14"/>
  <c r="AE1457" i="14"/>
  <c r="AO1553" i="14"/>
  <c r="AP1610" i="14"/>
  <c r="AS1610" i="14" s="1"/>
  <c r="AP1578" i="14"/>
  <c r="AS1578" i="14" s="1"/>
  <c r="AE1443" i="14"/>
  <c r="AO1556" i="14"/>
  <c r="AE1466" i="14"/>
  <c r="AB1466" i="14"/>
  <c r="AE1555" i="14"/>
  <c r="AB1555" i="14"/>
  <c r="AP1492" i="14"/>
  <c r="AS1492" i="14" s="1"/>
  <c r="AP1438" i="14"/>
  <c r="AS1438" i="14" s="1"/>
  <c r="AO1536" i="14"/>
  <c r="AO1564" i="14"/>
  <c r="AP1596" i="14"/>
  <c r="AS1596" i="14" s="1"/>
  <c r="AE1529" i="14"/>
  <c r="AB1529" i="14"/>
  <c r="AE1582" i="14"/>
  <c r="AO1618" i="14"/>
  <c r="AE1612" i="14"/>
  <c r="AB1612" i="14"/>
  <c r="AB1615" i="14"/>
  <c r="AE1615" i="14"/>
  <c r="AE1549" i="14"/>
  <c r="AB1549" i="14"/>
  <c r="AE1468" i="14"/>
  <c r="AB1609" i="14"/>
  <c r="AE1609" i="14"/>
  <c r="AE1484" i="14"/>
  <c r="AB1484" i="14"/>
  <c r="AE1456" i="14"/>
  <c r="AB1456" i="14"/>
  <c r="AE1535" i="14"/>
  <c r="AE1548" i="14"/>
  <c r="AE1471" i="14"/>
  <c r="AB1471" i="14"/>
  <c r="AE1509" i="14"/>
  <c r="AB1509" i="14"/>
  <c r="AE1616" i="14"/>
  <c r="AE1503" i="14"/>
  <c r="AB1464" i="14"/>
  <c r="AE1464" i="14"/>
  <c r="AB1578" i="14"/>
  <c r="AE1578" i="14"/>
  <c r="AB1523" i="14"/>
  <c r="AE1523" i="14"/>
  <c r="AE1547" i="14"/>
  <c r="AP1600" i="14"/>
  <c r="AS1600" i="14" s="1"/>
  <c r="AP1509" i="14"/>
  <c r="AS1509" i="14" s="1"/>
  <c r="AE1592" i="14"/>
  <c r="AE1566" i="14"/>
  <c r="AB1566" i="14"/>
  <c r="AE1553" i="14"/>
  <c r="AB1553" i="14"/>
  <c r="AE1485" i="14"/>
  <c r="AB1485" i="14"/>
  <c r="AP1452" i="14"/>
  <c r="AS1452" i="14" s="1"/>
  <c r="AE1463" i="14"/>
  <c r="AB1463" i="14"/>
  <c r="AO1593" i="14"/>
  <c r="AE1506" i="14"/>
  <c r="AB1506" i="14"/>
  <c r="AE1492" i="14"/>
  <c r="AB1492" i="14"/>
  <c r="AE1473" i="14"/>
  <c r="AB1473" i="14"/>
  <c r="AE1575" i="14"/>
  <c r="AB1575" i="14"/>
  <c r="AB1446" i="14"/>
  <c r="AE1446" i="14"/>
  <c r="AB1517" i="14"/>
  <c r="AE1517" i="14"/>
  <c r="AB1493" i="14"/>
  <c r="AE1493" i="14"/>
  <c r="AE1448" i="14"/>
  <c r="AE1619" i="14"/>
  <c r="AP1597" i="14"/>
  <c r="AS1597" i="14" s="1"/>
  <c r="AE1594" i="14"/>
  <c r="AB1594" i="14"/>
  <c r="AP1449" i="14"/>
  <c r="AS1449" i="14" s="1"/>
  <c r="AE1562" i="14"/>
  <c r="AE1530" i="14"/>
  <c r="AB1530" i="14"/>
  <c r="AE1526" i="14"/>
  <c r="AP1511" i="14"/>
  <c r="AS1511" i="14" s="1"/>
  <c r="AE1625" i="14"/>
  <c r="AE1438" i="14"/>
  <c r="AB1438" i="14"/>
  <c r="AO1566" i="14"/>
  <c r="AB1522" i="14"/>
  <c r="AE1522" i="14"/>
  <c r="AE1550" i="14"/>
  <c r="AB1550" i="14"/>
  <c r="AE1502" i="14"/>
  <c r="AP1493" i="14"/>
  <c r="AS1493" i="14" s="1"/>
  <c r="AB1593" i="14"/>
  <c r="AE1593" i="14"/>
  <c r="AE1570" i="14"/>
  <c r="AB1570" i="14"/>
  <c r="AO1517" i="14"/>
  <c r="AO1493" i="14"/>
  <c r="AO1448" i="14"/>
  <c r="AO1619" i="14"/>
  <c r="AP1507" i="14"/>
  <c r="AS1507" i="14" s="1"/>
  <c r="AP1514" i="14"/>
  <c r="AS1514" i="14" s="1"/>
  <c r="AO1471" i="14"/>
  <c r="AP1598" i="14"/>
  <c r="AS1598" i="14" s="1"/>
  <c r="AP1494" i="14"/>
  <c r="AS1494" i="14" s="1"/>
  <c r="AO1527" i="14"/>
  <c r="AO1562" i="14"/>
  <c r="AO1530" i="14"/>
  <c r="AO1625" i="14"/>
  <c r="AO1438" i="14"/>
  <c r="AO1592" i="14"/>
  <c r="AE1475" i="14"/>
  <c r="AP1446" i="14"/>
  <c r="AS1446" i="14" s="1"/>
  <c r="AE1630" i="14"/>
  <c r="AP1479" i="14"/>
  <c r="AS1479" i="14" s="1"/>
  <c r="AO1570" i="14"/>
  <c r="AP1516" i="14"/>
  <c r="AS1516" i="14" s="1"/>
  <c r="AE1518" i="14"/>
  <c r="AB1610" i="14"/>
  <c r="AE1610" i="14"/>
  <c r="AE1537" i="14"/>
  <c r="AB1537" i="14"/>
  <c r="AE1435" i="14"/>
  <c r="AB1435" i="14"/>
  <c r="AP1573" i="14"/>
  <c r="AS1573" i="14" s="1"/>
  <c r="AE1560" i="14"/>
  <c r="AB1470" i="14"/>
  <c r="AE1470" i="14"/>
  <c r="AP1433" i="14"/>
  <c r="AS1433" i="14" s="1"/>
  <c r="AO1469" i="14"/>
  <c r="AE1534" i="14"/>
  <c r="AB1559" i="14"/>
  <c r="AE1559" i="14"/>
  <c r="AE1629" i="14"/>
  <c r="AB1488" i="14"/>
  <c r="AE1488" i="14"/>
  <c r="AB1453" i="14"/>
  <c r="AE1453" i="14"/>
  <c r="AE1556" i="14"/>
  <c r="AB1556" i="14"/>
  <c r="AE1483" i="14"/>
  <c r="AE1432" i="14"/>
  <c r="AB1510" i="14"/>
  <c r="AE1510" i="14"/>
  <c r="AE1528" i="14"/>
  <c r="AB1528" i="14"/>
  <c r="AB1597" i="14"/>
  <c r="AE1597" i="14"/>
  <c r="AB1527" i="14"/>
  <c r="AE1527" i="14"/>
  <c r="AE1469" i="14"/>
  <c r="AE1596" i="14"/>
  <c r="AB1596" i="14"/>
  <c r="AP1456" i="14"/>
  <c r="AS1456" i="14" s="1"/>
  <c r="AE1498" i="14"/>
  <c r="AB1498" i="14"/>
  <c r="AE1482" i="14"/>
  <c r="AB1607" i="14"/>
  <c r="AE1607" i="14"/>
  <c r="AP1626" i="14"/>
  <c r="AS1626" i="14" s="1"/>
  <c r="AO1518" i="14"/>
  <c r="AP1623" i="14"/>
  <c r="AS1623" i="14" s="1"/>
  <c r="AO1537" i="14"/>
  <c r="AP1559" i="14"/>
  <c r="AS1559" i="14" s="1"/>
  <c r="AE1442" i="14"/>
  <c r="AE1538" i="14"/>
  <c r="AE1472" i="14"/>
  <c r="AP1531" i="14"/>
  <c r="AS1531" i="14" s="1"/>
  <c r="AE1452" i="14"/>
  <c r="AB1452" i="14"/>
  <c r="AE1623" i="14"/>
  <c r="AB1623" i="14"/>
  <c r="AE1572" i="14"/>
  <c r="AB1572" i="14"/>
  <c r="AP1434" i="14"/>
  <c r="AO1483" i="14"/>
  <c r="AO1472" i="14"/>
  <c r="AP1542" i="14"/>
  <c r="AS1542" i="14" s="1"/>
  <c r="AO1432" i="14"/>
  <c r="AP1615" i="14"/>
  <c r="AS1615" i="14" s="1"/>
  <c r="AP1487" i="14"/>
  <c r="AS1487" i="14" s="1"/>
  <c r="AB1486" i="14"/>
  <c r="AE1486" i="14"/>
  <c r="AB1590" i="14"/>
  <c r="AE1590" i="14"/>
  <c r="AE1431" i="14"/>
  <c r="AE1439" i="14"/>
  <c r="AB1439" i="14"/>
  <c r="AE1477" i="14"/>
  <c r="AB1477" i="14"/>
  <c r="AP1499" i="14"/>
  <c r="AS1499" i="14" s="1"/>
  <c r="AE1458" i="14"/>
  <c r="AP1481" i="14"/>
  <c r="AS1481" i="14" s="1"/>
  <c r="AO1596" i="14"/>
  <c r="AO1482" i="14"/>
  <c r="AP1574" i="14"/>
  <c r="AS1574" i="14" s="1"/>
  <c r="AE1591" i="14"/>
  <c r="AE1568" i="14"/>
  <c r="AO1452" i="14"/>
  <c r="AO1623" i="14"/>
  <c r="AO1572" i="14"/>
  <c r="AE1437" i="14"/>
  <c r="AB1543" i="14"/>
  <c r="AE1543" i="14"/>
  <c r="BK1631" i="14"/>
  <c r="AP1550" i="14"/>
  <c r="AS1550" i="14" s="1"/>
  <c r="AE1476" i="14"/>
  <c r="AP1501" i="14"/>
  <c r="AS1501" i="14" s="1"/>
  <c r="AE1455" i="14"/>
  <c r="AB1496" i="14"/>
  <c r="AE1496" i="14"/>
  <c r="AE1567" i="14"/>
  <c r="AB1567" i="14"/>
  <c r="AE1605" i="14"/>
  <c r="AB1605" i="14"/>
  <c r="AB1514" i="14"/>
  <c r="AE1514" i="14"/>
  <c r="AP1524" i="14"/>
  <c r="AS1524" i="14" s="1"/>
  <c r="AP1566" i="14"/>
  <c r="AS1566" i="14" s="1"/>
  <c r="AO1486" i="14"/>
  <c r="AB1487" i="14"/>
  <c r="AE1487" i="14"/>
  <c r="AE1480" i="14"/>
  <c r="AO1431" i="14"/>
  <c r="AO1439" i="14"/>
  <c r="AO1458" i="14"/>
  <c r="AE1622" i="14"/>
  <c r="AB1622" i="14"/>
  <c r="AB1624" i="14"/>
  <c r="AE1624" i="14"/>
  <c r="AE1462" i="14"/>
  <c r="AE1563" i="14"/>
  <c r="AO1442" i="14"/>
  <c r="AE1461" i="14"/>
  <c r="M44" i="7" l="1"/>
  <c r="L50" i="7"/>
  <c r="L46" i="7"/>
  <c r="M50" i="7"/>
  <c r="L59" i="7"/>
  <c r="S52" i="7"/>
  <c r="R61" i="7"/>
  <c r="O47" i="7"/>
  <c r="O45" i="7"/>
  <c r="P54" i="7"/>
  <c r="L56" i="7"/>
  <c r="M48" i="7"/>
  <c r="L52" i="7"/>
  <c r="S57" i="7"/>
  <c r="S48" i="7"/>
  <c r="S54" i="7"/>
  <c r="S49" i="7"/>
  <c r="P60" i="7"/>
  <c r="P50" i="7"/>
  <c r="O52" i="7"/>
  <c r="O56" i="7"/>
  <c r="O49" i="7"/>
  <c r="O48" i="7"/>
  <c r="O54" i="7"/>
  <c r="S44" i="7"/>
  <c r="L53" i="7"/>
  <c r="M51" i="7"/>
  <c r="M46" i="7"/>
  <c r="L54" i="7"/>
  <c r="S47" i="7"/>
  <c r="R55" i="7"/>
  <c r="O44" i="7"/>
  <c r="R54" i="7"/>
  <c r="P44" i="7"/>
  <c r="P56" i="7"/>
  <c r="O51" i="7"/>
  <c r="M56" i="7"/>
  <c r="L48" i="7"/>
  <c r="M60" i="7"/>
  <c r="L58" i="7"/>
  <c r="R58" i="7"/>
  <c r="S60" i="7"/>
  <c r="S45" i="7"/>
  <c r="P51" i="7"/>
  <c r="O61" i="7"/>
  <c r="P61" i="7"/>
  <c r="P47" i="7"/>
  <c r="O59" i="7"/>
  <c r="P46" i="7"/>
  <c r="M52" i="7"/>
  <c r="S59" i="7"/>
  <c r="R59" i="7"/>
  <c r="S50" i="7"/>
  <c r="P57" i="7"/>
  <c r="O60" i="7"/>
  <c r="R46" i="7"/>
  <c r="P59" i="7"/>
  <c r="P53" i="7"/>
  <c r="R48" i="7"/>
  <c r="O55" i="7"/>
  <c r="L49" i="7"/>
  <c r="L60" i="7"/>
  <c r="M54" i="7"/>
  <c r="L45" i="7"/>
  <c r="M59" i="7"/>
  <c r="S53" i="7"/>
  <c r="R50" i="7"/>
  <c r="R56" i="7"/>
  <c r="S55" i="7"/>
  <c r="S56" i="7"/>
  <c r="P45" i="7"/>
  <c r="P58" i="7"/>
  <c r="S46" i="7"/>
  <c r="R52" i="7"/>
  <c r="O58" i="7"/>
  <c r="S51" i="7"/>
  <c r="L55" i="7"/>
  <c r="M58" i="7"/>
  <c r="R49" i="7"/>
  <c r="R51" i="7"/>
  <c r="P48" i="7"/>
  <c r="M47" i="7"/>
  <c r="L61" i="7"/>
  <c r="M61" i="7"/>
  <c r="M55" i="7"/>
  <c r="R44" i="7"/>
  <c r="R47" i="7"/>
  <c r="O46" i="7"/>
  <c r="M45" i="7"/>
  <c r="L51" i="7"/>
  <c r="M53" i="7"/>
  <c r="S58" i="7"/>
  <c r="S61" i="7"/>
  <c r="P52" i="7"/>
  <c r="O50" i="7"/>
  <c r="M49" i="7"/>
  <c r="L57" i="7"/>
  <c r="R45" i="7"/>
  <c r="P55" i="7"/>
  <c r="L44" i="7"/>
  <c r="R57" i="7"/>
  <c r="L47" i="7"/>
  <c r="R53" i="7"/>
  <c r="R60" i="7"/>
  <c r="O53" i="7"/>
  <c r="O57" i="7"/>
  <c r="P49" i="7"/>
  <c r="M57" i="7"/>
  <c r="L23" i="7"/>
  <c r="L17" i="7"/>
  <c r="L37" i="7"/>
  <c r="L27" i="7"/>
  <c r="L8" i="7"/>
  <c r="L33" i="7"/>
  <c r="L19" i="7"/>
  <c r="M23" i="7"/>
  <c r="M28" i="7"/>
  <c r="L13" i="7"/>
  <c r="L9" i="7"/>
  <c r="L39" i="7"/>
  <c r="L5" i="7"/>
  <c r="M32" i="7"/>
  <c r="M10" i="7"/>
  <c r="L34" i="7"/>
  <c r="L28" i="7"/>
  <c r="M5" i="7"/>
  <c r="M30" i="7"/>
  <c r="M29" i="7"/>
  <c r="L12" i="7"/>
  <c r="M42" i="7"/>
  <c r="L32" i="7"/>
  <c r="M17" i="7"/>
  <c r="L22" i="7"/>
  <c r="M11" i="7"/>
  <c r="M38" i="7"/>
  <c r="L10" i="7"/>
  <c r="M19" i="7"/>
  <c r="L20" i="7"/>
  <c r="L11" i="7"/>
  <c r="L41" i="7"/>
  <c r="M6" i="7"/>
  <c r="M33" i="7"/>
  <c r="M37" i="7"/>
  <c r="M36" i="7"/>
  <c r="L16" i="7"/>
  <c r="M35" i="7"/>
  <c r="L7" i="7"/>
  <c r="M4" i="7"/>
  <c r="M24" i="7"/>
  <c r="M40" i="7"/>
  <c r="M26" i="7"/>
  <c r="L35" i="7"/>
  <c r="M12" i="7"/>
  <c r="M18" i="7"/>
  <c r="L29" i="7"/>
  <c r="L15" i="7"/>
  <c r="M13" i="7"/>
  <c r="M14" i="7"/>
  <c r="L26" i="7"/>
  <c r="M20" i="7"/>
  <c r="L42" i="7"/>
  <c r="L14" i="7"/>
  <c r="L6" i="7"/>
  <c r="L25" i="7"/>
  <c r="L43" i="7"/>
  <c r="L36" i="7"/>
  <c r="M9" i="7"/>
  <c r="M39" i="7"/>
  <c r="M27" i="7"/>
  <c r="L21" i="7"/>
  <c r="L24" i="7"/>
  <c r="M41" i="7"/>
  <c r="L4" i="7"/>
  <c r="M15" i="7"/>
  <c r="M7" i="7"/>
  <c r="M34" i="7"/>
  <c r="M22" i="7"/>
  <c r="M8" i="7"/>
  <c r="M31" i="7"/>
  <c r="L40" i="7"/>
  <c r="L31" i="7"/>
  <c r="L38" i="7"/>
  <c r="L30" i="7"/>
  <c r="M21" i="7"/>
  <c r="M25" i="7"/>
  <c r="L18" i="7"/>
  <c r="M16" i="7"/>
  <c r="M43" i="7"/>
  <c r="R23" i="7"/>
  <c r="S23" i="7"/>
  <c r="R12" i="7"/>
  <c r="S12" i="7"/>
  <c r="S19" i="7"/>
  <c r="S31" i="7"/>
  <c r="S30" i="7"/>
  <c r="R15" i="7"/>
  <c r="R18" i="7"/>
  <c r="R32" i="7"/>
  <c r="S15" i="7"/>
  <c r="S18" i="7"/>
  <c r="S32" i="7"/>
  <c r="R37" i="7"/>
  <c r="R28" i="7"/>
  <c r="R20" i="7"/>
  <c r="R8" i="7"/>
  <c r="S37" i="7"/>
  <c r="S28" i="7"/>
  <c r="S20" i="7"/>
  <c r="S8" i="7"/>
  <c r="R22" i="7"/>
  <c r="R11" i="7"/>
  <c r="R26" i="7"/>
  <c r="S22" i="7"/>
  <c r="S11" i="7"/>
  <c r="S26" i="7"/>
  <c r="R5" i="7"/>
  <c r="R10" i="7"/>
  <c r="R21" i="7"/>
  <c r="S5" i="7"/>
  <c r="S10" i="7"/>
  <c r="S21" i="7"/>
  <c r="R6" i="7"/>
  <c r="R16" i="7"/>
  <c r="R25" i="7"/>
  <c r="S6" i="7"/>
  <c r="S16" i="7"/>
  <c r="S25" i="7"/>
  <c r="R19" i="7"/>
  <c r="R31" i="7"/>
  <c r="R30" i="7"/>
  <c r="R36" i="7"/>
  <c r="R35" i="7"/>
  <c r="S36" i="7"/>
  <c r="S35" i="7"/>
  <c r="R34" i="7"/>
  <c r="R27" i="7"/>
  <c r="R38" i="7"/>
  <c r="S34" i="7"/>
  <c r="S27" i="7"/>
  <c r="S38" i="7"/>
  <c r="R43" i="7"/>
  <c r="R39" i="7"/>
  <c r="R40" i="7"/>
  <c r="S43" i="7"/>
  <c r="S39" i="7"/>
  <c r="S40" i="7"/>
  <c r="R14" i="7"/>
  <c r="R9" i="7"/>
  <c r="R17" i="7"/>
  <c r="S14" i="7"/>
  <c r="S9" i="7"/>
  <c r="S17" i="7"/>
  <c r="R24" i="7"/>
  <c r="R13" i="7"/>
  <c r="R4" i="7"/>
  <c r="R29" i="7"/>
  <c r="S24" i="7"/>
  <c r="S13" i="7"/>
  <c r="S4" i="7"/>
  <c r="S29" i="7"/>
  <c r="R42" i="7"/>
  <c r="R7" i="7"/>
  <c r="R33" i="7"/>
  <c r="R41" i="7"/>
  <c r="S42" i="7"/>
  <c r="S7" i="7"/>
  <c r="S33" i="7"/>
  <c r="S41" i="7"/>
  <c r="O41" i="7"/>
  <c r="P28" i="7"/>
  <c r="P10" i="7"/>
  <c r="O5" i="7"/>
  <c r="P40" i="7"/>
  <c r="O19" i="7"/>
  <c r="P32" i="7"/>
  <c r="P5" i="7"/>
  <c r="O32" i="7"/>
  <c r="P4" i="7"/>
  <c r="O37" i="7"/>
  <c r="O23" i="7"/>
  <c r="O7" i="7"/>
  <c r="P37" i="7"/>
  <c r="P23" i="7"/>
  <c r="P36" i="7"/>
  <c r="O35" i="7"/>
  <c r="P12" i="7"/>
  <c r="P38" i="7"/>
  <c r="O10" i="7"/>
  <c r="O26" i="7"/>
  <c r="P19" i="7"/>
  <c r="O43" i="7"/>
  <c r="O8" i="7"/>
  <c r="P24" i="7"/>
  <c r="P39" i="7"/>
  <c r="O42" i="7"/>
  <c r="O33" i="7"/>
  <c r="P16" i="7"/>
  <c r="O39" i="7"/>
  <c r="O17" i="7"/>
  <c r="P25" i="7"/>
  <c r="O27" i="7"/>
  <c r="P27" i="7"/>
  <c r="O13" i="7"/>
  <c r="P13" i="7"/>
  <c r="O28" i="7"/>
  <c r="O9" i="7"/>
  <c r="O36" i="7"/>
  <c r="P31" i="7"/>
  <c r="P8" i="7"/>
  <c r="O4" i="7"/>
  <c r="P42" i="7"/>
  <c r="O12" i="7"/>
  <c r="P22" i="7"/>
  <c r="P34" i="7"/>
  <c r="O29" i="7"/>
  <c r="P17" i="7"/>
  <c r="P41" i="7"/>
  <c r="P33" i="7"/>
  <c r="P7" i="7"/>
  <c r="O30" i="7"/>
  <c r="P6" i="7"/>
  <c r="P15" i="7"/>
  <c r="P21" i="7"/>
  <c r="O20" i="7"/>
  <c r="P35" i="7"/>
  <c r="P26" i="7"/>
  <c r="O22" i="7"/>
  <c r="P29" i="7"/>
  <c r="O24" i="7"/>
  <c r="O6" i="7"/>
  <c r="P18" i="7"/>
  <c r="O11" i="7"/>
  <c r="O14" i="7"/>
  <c r="P9" i="7"/>
  <c r="O25" i="7"/>
  <c r="O21" i="7"/>
  <c r="P30" i="7"/>
  <c r="P14" i="7"/>
  <c r="O31" i="7"/>
  <c r="O18" i="7"/>
  <c r="O16" i="7"/>
  <c r="P20" i="7"/>
  <c r="O38" i="7"/>
  <c r="O15" i="7"/>
  <c r="O40" i="7"/>
  <c r="P11" i="7"/>
  <c r="P43" i="7"/>
  <c r="O34" i="7"/>
  <c r="N55" i="7"/>
  <c r="N67" i="7"/>
  <c r="N79" i="7"/>
  <c r="N91" i="7"/>
  <c r="N103" i="7"/>
  <c r="N90" i="7"/>
  <c r="N44" i="7"/>
  <c r="N56" i="7"/>
  <c r="N68" i="7"/>
  <c r="N80" i="7"/>
  <c r="N92" i="7"/>
  <c r="N54" i="7"/>
  <c r="N45" i="7"/>
  <c r="N57" i="7"/>
  <c r="N69" i="7"/>
  <c r="N81" i="7"/>
  <c r="N93" i="7"/>
  <c r="N46" i="7"/>
  <c r="N58" i="7"/>
  <c r="N70" i="7"/>
  <c r="N82" i="7"/>
  <c r="N94" i="7"/>
  <c r="N47" i="7"/>
  <c r="N59" i="7"/>
  <c r="N71" i="7"/>
  <c r="N83" i="7"/>
  <c r="N95" i="7"/>
  <c r="N99" i="7"/>
  <c r="N102" i="7"/>
  <c r="N48" i="7"/>
  <c r="N60" i="7"/>
  <c r="N72" i="7"/>
  <c r="N84" i="7"/>
  <c r="N96" i="7"/>
  <c r="N75" i="7"/>
  <c r="N66" i="7"/>
  <c r="N49" i="7"/>
  <c r="N61" i="7"/>
  <c r="N73" i="7"/>
  <c r="N85" i="7"/>
  <c r="N97" i="7"/>
  <c r="N87" i="7"/>
  <c r="N78" i="7"/>
  <c r="N50" i="7"/>
  <c r="N62" i="7"/>
  <c r="N74" i="7"/>
  <c r="N86" i="7"/>
  <c r="N98" i="7"/>
  <c r="N51" i="7"/>
  <c r="N63" i="7"/>
  <c r="N52" i="7"/>
  <c r="N64" i="7"/>
  <c r="N76" i="7"/>
  <c r="N88" i="7"/>
  <c r="N100" i="7"/>
  <c r="N53" i="7"/>
  <c r="N65" i="7"/>
  <c r="N77" i="7"/>
  <c r="N89" i="7"/>
  <c r="N101" i="7"/>
  <c r="N6" i="7"/>
  <c r="N18" i="7"/>
  <c r="N30" i="7"/>
  <c r="N42" i="7"/>
  <c r="N21" i="7"/>
  <c r="N13" i="7"/>
  <c r="N28" i="7"/>
  <c r="N7" i="7"/>
  <c r="N19" i="7"/>
  <c r="N31" i="7"/>
  <c r="N43" i="7"/>
  <c r="N32" i="7"/>
  <c r="N9" i="7"/>
  <c r="N33" i="7"/>
  <c r="N25" i="7"/>
  <c r="N38" i="7"/>
  <c r="N5" i="7"/>
  <c r="N41" i="7"/>
  <c r="N8" i="7"/>
  <c r="N20" i="7"/>
  <c r="N4" i="7"/>
  <c r="N10" i="7"/>
  <c r="N22" i="7"/>
  <c r="N34" i="7"/>
  <c r="N11" i="7"/>
  <c r="N23" i="7"/>
  <c r="N35" i="7"/>
  <c r="N14" i="7"/>
  <c r="N40" i="7"/>
  <c r="N12" i="7"/>
  <c r="N24" i="7"/>
  <c r="N36" i="7"/>
  <c r="N26" i="7"/>
  <c r="N37" i="7"/>
  <c r="N17" i="7"/>
  <c r="N15" i="7"/>
  <c r="N27" i="7"/>
  <c r="N39" i="7"/>
  <c r="N16" i="7"/>
  <c r="N29" i="7"/>
  <c r="T82" i="7"/>
  <c r="T94" i="7"/>
  <c r="T106" i="7"/>
  <c r="T118" i="7"/>
  <c r="T90" i="7"/>
  <c r="T93" i="7"/>
  <c r="T83" i="7"/>
  <c r="T95" i="7"/>
  <c r="T107" i="7"/>
  <c r="T119" i="7"/>
  <c r="T84" i="7"/>
  <c r="T96" i="7"/>
  <c r="T108" i="7"/>
  <c r="T120" i="7"/>
  <c r="T110" i="7"/>
  <c r="T111" i="7"/>
  <c r="T100" i="7"/>
  <c r="T101" i="7"/>
  <c r="T102" i="7"/>
  <c r="T115" i="7"/>
  <c r="T116" i="7"/>
  <c r="T117" i="7"/>
  <c r="T85" i="7"/>
  <c r="T97" i="7"/>
  <c r="T109" i="7"/>
  <c r="T121" i="7"/>
  <c r="T122" i="7"/>
  <c r="T99" i="7"/>
  <c r="T123" i="7"/>
  <c r="T112" i="7"/>
  <c r="T89" i="7"/>
  <c r="T86" i="7"/>
  <c r="T98" i="7"/>
  <c r="T88" i="7"/>
  <c r="T113" i="7"/>
  <c r="T114" i="7"/>
  <c r="T87" i="7"/>
  <c r="T105" i="7"/>
  <c r="T104" i="7"/>
  <c r="T91" i="7"/>
  <c r="T103" i="7"/>
  <c r="T92" i="7"/>
  <c r="T53" i="7"/>
  <c r="T65" i="7"/>
  <c r="T77" i="7"/>
  <c r="T54" i="7"/>
  <c r="T66" i="7"/>
  <c r="T78" i="7"/>
  <c r="T55" i="7"/>
  <c r="T67" i="7"/>
  <c r="T79" i="7"/>
  <c r="T44" i="7"/>
  <c r="T56" i="7"/>
  <c r="T68" i="7"/>
  <c r="T80" i="7"/>
  <c r="T45" i="7"/>
  <c r="T57" i="7"/>
  <c r="T69" i="7"/>
  <c r="T81" i="7"/>
  <c r="T76" i="7"/>
  <c r="T46" i="7"/>
  <c r="T58" i="7"/>
  <c r="T70" i="7"/>
  <c r="T73" i="7"/>
  <c r="T52" i="7"/>
  <c r="T47" i="7"/>
  <c r="T59" i="7"/>
  <c r="T71" i="7"/>
  <c r="T61" i="7"/>
  <c r="T48" i="7"/>
  <c r="T60" i="7"/>
  <c r="T72" i="7"/>
  <c r="T49" i="7"/>
  <c r="T50" i="7"/>
  <c r="T62" i="7"/>
  <c r="T74" i="7"/>
  <c r="T51" i="7"/>
  <c r="T63" i="7"/>
  <c r="T75" i="7"/>
  <c r="T64" i="7"/>
  <c r="T5" i="7"/>
  <c r="T17" i="7"/>
  <c r="T29" i="7"/>
  <c r="T41" i="7"/>
  <c r="T6" i="7"/>
  <c r="T18" i="7"/>
  <c r="T30" i="7"/>
  <c r="T42" i="7"/>
  <c r="T7" i="7"/>
  <c r="T19" i="7"/>
  <c r="T31" i="7"/>
  <c r="T43" i="7"/>
  <c r="T12" i="7"/>
  <c r="T24" i="7"/>
  <c r="T36" i="7"/>
  <c r="T13" i="7"/>
  <c r="T25" i="7"/>
  <c r="T37" i="7"/>
  <c r="T15" i="7"/>
  <c r="T27" i="7"/>
  <c r="T39" i="7"/>
  <c r="T4" i="7"/>
  <c r="T16" i="7"/>
  <c r="T28" i="7"/>
  <c r="T40" i="7"/>
  <c r="T8" i="7"/>
  <c r="T34" i="7"/>
  <c r="T9" i="7"/>
  <c r="T35" i="7"/>
  <c r="T10" i="7"/>
  <c r="T38" i="7"/>
  <c r="T11" i="7"/>
  <c r="T14" i="7"/>
  <c r="T20" i="7"/>
  <c r="T21" i="7"/>
  <c r="T22" i="7"/>
  <c r="T23" i="7"/>
  <c r="T26" i="7"/>
  <c r="T32" i="7"/>
  <c r="T33" i="7"/>
  <c r="Q123" i="7"/>
  <c r="C123" i="7"/>
  <c r="J123" i="7"/>
  <c r="B123" i="7"/>
  <c r="D123" i="7"/>
  <c r="E123" i="7"/>
  <c r="F123" i="7"/>
  <c r="G123" i="7"/>
  <c r="H123" i="7"/>
  <c r="I123" i="7"/>
  <c r="B121" i="7"/>
  <c r="B119" i="7"/>
  <c r="B116" i="7"/>
  <c r="B106" i="7"/>
  <c r="B117" i="7"/>
  <c r="B104" i="7"/>
  <c r="B111" i="7"/>
  <c r="B118" i="7"/>
  <c r="B120" i="7"/>
  <c r="B112" i="7"/>
  <c r="B122" i="7"/>
  <c r="B113" i="7"/>
  <c r="B107" i="7"/>
  <c r="B110" i="7"/>
  <c r="B115" i="7"/>
  <c r="B109" i="7"/>
  <c r="B105" i="7"/>
  <c r="B108" i="7"/>
  <c r="B114" i="7"/>
  <c r="D117" i="7"/>
  <c r="D113" i="7"/>
  <c r="D118" i="7"/>
  <c r="D112" i="7"/>
  <c r="D108" i="7"/>
  <c r="D115" i="7"/>
  <c r="D107" i="7"/>
  <c r="D116" i="7"/>
  <c r="D109" i="7"/>
  <c r="D105" i="7"/>
  <c r="D104" i="7"/>
  <c r="D119" i="7"/>
  <c r="D120" i="7"/>
  <c r="D111" i="7"/>
  <c r="D106" i="7"/>
  <c r="D110" i="7"/>
  <c r="D114" i="7"/>
  <c r="D121" i="7"/>
  <c r="D122" i="7"/>
  <c r="E120" i="7"/>
  <c r="E106" i="7"/>
  <c r="E109" i="7"/>
  <c r="E113" i="7"/>
  <c r="E115" i="7"/>
  <c r="E110" i="7"/>
  <c r="E111" i="7"/>
  <c r="E107" i="7"/>
  <c r="E104" i="7"/>
  <c r="E108" i="7"/>
  <c r="E122" i="7"/>
  <c r="E117" i="7"/>
  <c r="E112" i="7"/>
  <c r="E105" i="7"/>
  <c r="E116" i="7"/>
  <c r="E118" i="7"/>
  <c r="E114" i="7"/>
  <c r="E119" i="7"/>
  <c r="E121" i="7"/>
  <c r="F115" i="7"/>
  <c r="F112" i="7"/>
  <c r="F111" i="7"/>
  <c r="F104" i="7"/>
  <c r="F120" i="7"/>
  <c r="F107" i="7"/>
  <c r="F109" i="7"/>
  <c r="F105" i="7"/>
  <c r="F122" i="7"/>
  <c r="F118" i="7"/>
  <c r="F121" i="7"/>
  <c r="F110" i="7"/>
  <c r="F119" i="7"/>
  <c r="F113" i="7"/>
  <c r="F116" i="7"/>
  <c r="F108" i="7"/>
  <c r="F117" i="7"/>
  <c r="F114" i="7"/>
  <c r="F106" i="7"/>
  <c r="G105" i="7"/>
  <c r="G112" i="7"/>
  <c r="G108" i="7"/>
  <c r="G109" i="7"/>
  <c r="G113" i="7"/>
  <c r="G115" i="7"/>
  <c r="G116" i="7"/>
  <c r="G110" i="7"/>
  <c r="G111" i="7"/>
  <c r="G119" i="7"/>
  <c r="G120" i="7"/>
  <c r="G118" i="7"/>
  <c r="G104" i="7"/>
  <c r="G114" i="7"/>
  <c r="G121" i="7"/>
  <c r="G117" i="7"/>
  <c r="G107" i="7"/>
  <c r="G106" i="7"/>
  <c r="G122" i="7"/>
  <c r="H107" i="7"/>
  <c r="H106" i="7"/>
  <c r="H119" i="7"/>
  <c r="H116" i="7"/>
  <c r="H114" i="7"/>
  <c r="H113" i="7"/>
  <c r="H120" i="7"/>
  <c r="H112" i="7"/>
  <c r="H104" i="7"/>
  <c r="H108" i="7"/>
  <c r="H117" i="7"/>
  <c r="H115" i="7"/>
  <c r="H122" i="7"/>
  <c r="H110" i="7"/>
  <c r="H118" i="7"/>
  <c r="H111" i="7"/>
  <c r="H105" i="7"/>
  <c r="H109" i="7"/>
  <c r="H121" i="7"/>
  <c r="I112" i="7"/>
  <c r="I106" i="7"/>
  <c r="I104" i="7"/>
  <c r="I111" i="7"/>
  <c r="I115" i="7"/>
  <c r="I121" i="7"/>
  <c r="I109" i="7"/>
  <c r="I107" i="7"/>
  <c r="I116" i="7"/>
  <c r="I122" i="7"/>
  <c r="I117" i="7"/>
  <c r="I119" i="7"/>
  <c r="I120" i="7"/>
  <c r="I110" i="7"/>
  <c r="I108" i="7"/>
  <c r="I114" i="7"/>
  <c r="I113" i="7"/>
  <c r="I105" i="7"/>
  <c r="I118" i="7"/>
  <c r="I101" i="7"/>
  <c r="J97" i="7"/>
  <c r="B103" i="7"/>
  <c r="E99" i="7"/>
  <c r="F101" i="7"/>
  <c r="H96" i="7"/>
  <c r="J101" i="7"/>
  <c r="B98" i="7"/>
  <c r="E100" i="7"/>
  <c r="F96" i="7"/>
  <c r="H103" i="7"/>
  <c r="I103" i="7"/>
  <c r="B100" i="7"/>
  <c r="C100" i="7"/>
  <c r="J100" i="7"/>
  <c r="D99" i="7"/>
  <c r="E101" i="7"/>
  <c r="G100" i="7"/>
  <c r="H99" i="7"/>
  <c r="C102" i="7"/>
  <c r="D98" i="7"/>
  <c r="E98" i="7"/>
  <c r="G103" i="7"/>
  <c r="H102" i="7"/>
  <c r="E103" i="7"/>
  <c r="J98" i="7"/>
  <c r="C101" i="7"/>
  <c r="J102" i="7"/>
  <c r="D100" i="7"/>
  <c r="E97" i="7"/>
  <c r="G96" i="7"/>
  <c r="H97" i="7"/>
  <c r="I97" i="7"/>
  <c r="D103" i="7"/>
  <c r="F103" i="7"/>
  <c r="I102" i="7"/>
  <c r="C97" i="7"/>
  <c r="J99" i="7"/>
  <c r="D101" i="7"/>
  <c r="E96" i="7"/>
  <c r="G97" i="7"/>
  <c r="H100" i="7"/>
  <c r="C98" i="7"/>
  <c r="F99" i="7"/>
  <c r="B102" i="7"/>
  <c r="I99" i="7"/>
  <c r="C96" i="7"/>
  <c r="B96" i="7"/>
  <c r="D96" i="7"/>
  <c r="F97" i="7"/>
  <c r="G98" i="7"/>
  <c r="B101" i="7"/>
  <c r="G99" i="7"/>
  <c r="I96" i="7"/>
  <c r="C99" i="7"/>
  <c r="D102" i="7"/>
  <c r="G102" i="7"/>
  <c r="C103" i="7"/>
  <c r="G101" i="7"/>
  <c r="F102" i="7"/>
  <c r="J96" i="7"/>
  <c r="H101" i="7"/>
  <c r="B97" i="7"/>
  <c r="F100" i="7"/>
  <c r="D97" i="7"/>
  <c r="I100" i="7"/>
  <c r="I98" i="7"/>
  <c r="J103" i="7"/>
  <c r="B99" i="7"/>
  <c r="E102" i="7"/>
  <c r="F98" i="7"/>
  <c r="H98" i="7"/>
  <c r="Q97" i="7"/>
  <c r="Q109" i="7"/>
  <c r="Q121" i="7"/>
  <c r="Q99" i="7"/>
  <c r="Q111" i="7"/>
  <c r="Q100" i="7"/>
  <c r="Q112" i="7"/>
  <c r="Q101" i="7"/>
  <c r="Q107" i="7"/>
  <c r="Q120" i="7"/>
  <c r="Q98" i="7"/>
  <c r="Q113" i="7"/>
  <c r="Q122" i="7"/>
  <c r="Q102" i="7"/>
  <c r="Q114" i="7"/>
  <c r="Q108" i="7"/>
  <c r="Q103" i="7"/>
  <c r="Q115" i="7"/>
  <c r="Q105" i="7"/>
  <c r="Q104" i="7"/>
  <c r="Q116" i="7"/>
  <c r="Q117" i="7"/>
  <c r="Q96" i="7"/>
  <c r="Q106" i="7"/>
  <c r="Q118" i="7"/>
  <c r="Q119" i="7"/>
  <c r="Q110" i="7"/>
  <c r="C112" i="7"/>
  <c r="C104" i="7"/>
  <c r="C109" i="7"/>
  <c r="C116" i="7"/>
  <c r="C121" i="7"/>
  <c r="C115" i="7"/>
  <c r="C108" i="7"/>
  <c r="C119" i="7"/>
  <c r="C113" i="7"/>
  <c r="C120" i="7"/>
  <c r="C105" i="7"/>
  <c r="C118" i="7"/>
  <c r="C114" i="7"/>
  <c r="C122" i="7"/>
  <c r="C106" i="7"/>
  <c r="C107" i="7"/>
  <c r="C110" i="7"/>
  <c r="C111" i="7"/>
  <c r="C117" i="7"/>
  <c r="J109" i="7"/>
  <c r="J119" i="7"/>
  <c r="J105" i="7"/>
  <c r="J116" i="7"/>
  <c r="J120" i="7"/>
  <c r="J108" i="7"/>
  <c r="J107" i="7"/>
  <c r="J104" i="7"/>
  <c r="J121" i="7"/>
  <c r="J112" i="7"/>
  <c r="J118" i="7"/>
  <c r="J117" i="7"/>
  <c r="J113" i="7"/>
  <c r="J110" i="7"/>
  <c r="J122" i="7"/>
  <c r="J115" i="7"/>
  <c r="J111" i="7"/>
  <c r="J114" i="7"/>
  <c r="J106" i="7"/>
  <c r="Q88" i="7"/>
  <c r="Q94" i="7"/>
  <c r="Q89" i="7"/>
  <c r="Q90" i="7"/>
  <c r="Q91" i="7"/>
  <c r="Q95" i="7"/>
  <c r="Q92" i="7"/>
  <c r="Q93" i="7"/>
  <c r="I89" i="7"/>
  <c r="D94" i="7"/>
  <c r="E89" i="7"/>
  <c r="F95" i="7"/>
  <c r="H94" i="7"/>
  <c r="H89" i="7"/>
  <c r="I92" i="7"/>
  <c r="J88" i="7"/>
  <c r="J92" i="7"/>
  <c r="D91" i="7"/>
  <c r="B90" i="7"/>
  <c r="G95" i="7"/>
  <c r="I93" i="7"/>
  <c r="E93" i="7"/>
  <c r="G93" i="7"/>
  <c r="G89" i="7"/>
  <c r="C95" i="7"/>
  <c r="I91" i="7"/>
  <c r="C89" i="7"/>
  <c r="B88" i="7"/>
  <c r="D95" i="7"/>
  <c r="E88" i="7"/>
  <c r="E91" i="7"/>
  <c r="F90" i="7"/>
  <c r="H88" i="7"/>
  <c r="H91" i="7"/>
  <c r="G88" i="7"/>
  <c r="H90" i="7"/>
  <c r="F89" i="7"/>
  <c r="D88" i="7"/>
  <c r="I88" i="7"/>
  <c r="J95" i="7"/>
  <c r="B89" i="7"/>
  <c r="E92" i="7"/>
  <c r="E95" i="7"/>
  <c r="F92" i="7"/>
  <c r="D90" i="7"/>
  <c r="G94" i="7"/>
  <c r="C90" i="7"/>
  <c r="J94" i="7"/>
  <c r="B91" i="7"/>
  <c r="E90" i="7"/>
  <c r="F88" i="7"/>
  <c r="G92" i="7"/>
  <c r="H92" i="7"/>
  <c r="I90" i="7"/>
  <c r="F94" i="7"/>
  <c r="I94" i="7"/>
  <c r="C93" i="7"/>
  <c r="I95" i="7"/>
  <c r="B94" i="7"/>
  <c r="B95" i="7"/>
  <c r="H95" i="7"/>
  <c r="C94" i="7"/>
  <c r="J91" i="7"/>
  <c r="B93" i="7"/>
  <c r="D93" i="7"/>
  <c r="E94" i="7"/>
  <c r="J93" i="7"/>
  <c r="G91" i="7"/>
  <c r="J89" i="7"/>
  <c r="D89" i="7"/>
  <c r="F93" i="7"/>
  <c r="H93" i="7"/>
  <c r="C91" i="7"/>
  <c r="F91" i="7"/>
  <c r="G90" i="7"/>
  <c r="C88" i="7"/>
  <c r="C92" i="7"/>
  <c r="J90" i="7"/>
  <c r="B92" i="7"/>
  <c r="D92" i="7"/>
  <c r="Q82" i="7"/>
  <c r="Q83" i="7"/>
  <c r="Q84" i="7"/>
  <c r="Q85" i="7"/>
  <c r="Q86" i="7"/>
  <c r="Q87" i="7"/>
  <c r="D87" i="7"/>
  <c r="E85" i="7"/>
  <c r="F87" i="7"/>
  <c r="H83" i="7"/>
  <c r="I82" i="7"/>
  <c r="B85" i="7"/>
  <c r="G85" i="7"/>
  <c r="H87" i="7"/>
  <c r="D82" i="7"/>
  <c r="D83" i="7"/>
  <c r="E83" i="7"/>
  <c r="I86" i="7"/>
  <c r="J86" i="7"/>
  <c r="E87" i="7"/>
  <c r="C84" i="7"/>
  <c r="C85" i="7"/>
  <c r="G86" i="7"/>
  <c r="H86" i="7"/>
  <c r="E82" i="7"/>
  <c r="J84" i="7"/>
  <c r="E84" i="7"/>
  <c r="F86" i="7"/>
  <c r="C83" i="7"/>
  <c r="E86" i="7"/>
  <c r="G87" i="7"/>
  <c r="C82" i="7"/>
  <c r="B86" i="7"/>
  <c r="B87" i="7"/>
  <c r="D86" i="7"/>
  <c r="F82" i="7"/>
  <c r="J83" i="7"/>
  <c r="I85" i="7"/>
  <c r="D85" i="7"/>
  <c r="G84" i="7"/>
  <c r="F83" i="7"/>
  <c r="J82" i="7"/>
  <c r="H82" i="7"/>
  <c r="I84" i="7"/>
  <c r="C87" i="7"/>
  <c r="J85" i="7"/>
  <c r="F85" i="7"/>
  <c r="G83" i="7"/>
  <c r="B83" i="7"/>
  <c r="F84" i="7"/>
  <c r="H85" i="7"/>
  <c r="I87" i="7"/>
  <c r="C86" i="7"/>
  <c r="J87" i="7"/>
  <c r="B84" i="7"/>
  <c r="D84" i="7"/>
  <c r="H84" i="7"/>
  <c r="G82" i="7"/>
  <c r="B82" i="7"/>
  <c r="AO1529" i="14"/>
  <c r="AR1529" i="14" s="1"/>
  <c r="AP1529" i="14"/>
  <c r="AS1529" i="14" s="1"/>
  <c r="AP1567" i="14"/>
  <c r="AS1567" i="14" s="1"/>
  <c r="AB1454" i="14"/>
  <c r="Q44" i="7"/>
  <c r="Q56" i="7"/>
  <c r="Q68" i="7"/>
  <c r="Q80" i="7"/>
  <c r="Q52" i="7"/>
  <c r="Q45" i="7"/>
  <c r="Q57" i="7"/>
  <c r="Q69" i="7"/>
  <c r="Q81" i="7"/>
  <c r="Q75" i="7"/>
  <c r="Q77" i="7"/>
  <c r="Q78" i="7"/>
  <c r="Q55" i="7"/>
  <c r="Q46" i="7"/>
  <c r="Q58" i="7"/>
  <c r="Q70" i="7"/>
  <c r="Q64" i="7"/>
  <c r="Q54" i="7"/>
  <c r="Q79" i="7"/>
  <c r="Q47" i="7"/>
  <c r="Q59" i="7"/>
  <c r="Q71" i="7"/>
  <c r="Q53" i="7"/>
  <c r="Q67" i="7"/>
  <c r="Q48" i="7"/>
  <c r="Q60" i="7"/>
  <c r="Q72" i="7"/>
  <c r="Q63" i="7"/>
  <c r="Q49" i="7"/>
  <c r="Q61" i="7"/>
  <c r="Q73" i="7"/>
  <c r="Q51" i="7"/>
  <c r="Q76" i="7"/>
  <c r="Q66" i="7"/>
  <c r="Q50" i="7"/>
  <c r="Q62" i="7"/>
  <c r="Q74" i="7"/>
  <c r="Q65" i="7"/>
  <c r="B80" i="7"/>
  <c r="F79" i="7"/>
  <c r="J76" i="7"/>
  <c r="G77" i="7"/>
  <c r="D81" i="7"/>
  <c r="C78" i="7"/>
  <c r="B81" i="7"/>
  <c r="F78" i="7"/>
  <c r="J77" i="7"/>
  <c r="G76" i="7"/>
  <c r="J81" i="7"/>
  <c r="G81" i="7"/>
  <c r="D79" i="7"/>
  <c r="G79" i="7"/>
  <c r="B78" i="7"/>
  <c r="F80" i="7"/>
  <c r="C76" i="7"/>
  <c r="H77" i="7"/>
  <c r="B76" i="7"/>
  <c r="D80" i="7"/>
  <c r="H81" i="7"/>
  <c r="B79" i="7"/>
  <c r="F81" i="7"/>
  <c r="C77" i="7"/>
  <c r="H76" i="7"/>
  <c r="C81" i="7"/>
  <c r="G78" i="7"/>
  <c r="B77" i="7"/>
  <c r="C79" i="7"/>
  <c r="F76" i="7"/>
  <c r="G80" i="7"/>
  <c r="E77" i="7"/>
  <c r="J79" i="7"/>
  <c r="D78" i="7"/>
  <c r="D76" i="7"/>
  <c r="H79" i="7"/>
  <c r="D77" i="7"/>
  <c r="H80" i="7"/>
  <c r="J80" i="7"/>
  <c r="E79" i="7"/>
  <c r="F77" i="7"/>
  <c r="C80" i="7"/>
  <c r="J78" i="7"/>
  <c r="E80" i="7"/>
  <c r="H78" i="7"/>
  <c r="E76" i="7"/>
  <c r="E78" i="7"/>
  <c r="E81" i="7"/>
  <c r="Q4" i="7"/>
  <c r="Q16" i="7"/>
  <c r="Q28" i="7"/>
  <c r="Q40" i="7"/>
  <c r="Q5" i="7"/>
  <c r="Q17" i="7"/>
  <c r="Q29" i="7"/>
  <c r="Q41" i="7"/>
  <c r="Q6" i="7"/>
  <c r="Q18" i="7"/>
  <c r="Q30" i="7"/>
  <c r="Q42" i="7"/>
  <c r="Q7" i="7"/>
  <c r="Q19" i="7"/>
  <c r="Q31" i="7"/>
  <c r="Q43" i="7"/>
  <c r="Q38" i="7"/>
  <c r="Q15" i="7"/>
  <c r="Q8" i="7"/>
  <c r="Q20" i="7"/>
  <c r="Q32" i="7"/>
  <c r="Q26" i="7"/>
  <c r="Q39" i="7"/>
  <c r="Q9" i="7"/>
  <c r="Q21" i="7"/>
  <c r="Q33" i="7"/>
  <c r="Q10" i="7"/>
  <c r="Q22" i="7"/>
  <c r="Q34" i="7"/>
  <c r="Q11" i="7"/>
  <c r="Q23" i="7"/>
  <c r="Q35" i="7"/>
  <c r="Q12" i="7"/>
  <c r="Q24" i="7"/>
  <c r="Q36" i="7"/>
  <c r="Q14" i="7"/>
  <c r="Q27" i="7"/>
  <c r="Q13" i="7"/>
  <c r="Q25" i="7"/>
  <c r="Q37" i="7"/>
  <c r="H4" i="7"/>
  <c r="H5" i="7"/>
  <c r="H6" i="7"/>
  <c r="H7" i="7"/>
  <c r="H8" i="7"/>
  <c r="H9" i="7"/>
  <c r="A3" i="7"/>
  <c r="C56" i="7"/>
  <c r="C45" i="7"/>
  <c r="J53" i="7"/>
  <c r="J68" i="7"/>
  <c r="C60" i="7"/>
  <c r="B50" i="7"/>
  <c r="B69" i="7"/>
  <c r="D69" i="7"/>
  <c r="D58" i="7"/>
  <c r="E64" i="7"/>
  <c r="E53" i="7"/>
  <c r="E50" i="7"/>
  <c r="F54" i="7"/>
  <c r="F67" i="7"/>
  <c r="F59" i="7"/>
  <c r="G73" i="7"/>
  <c r="G58" i="7"/>
  <c r="H62" i="7"/>
  <c r="H49" i="7"/>
  <c r="C50" i="7"/>
  <c r="B49" i="7"/>
  <c r="G64" i="7"/>
  <c r="H75" i="7"/>
  <c r="H68" i="7"/>
  <c r="B68" i="7"/>
  <c r="E58" i="7"/>
  <c r="G46" i="7"/>
  <c r="D59" i="7"/>
  <c r="F56" i="7"/>
  <c r="G51" i="7"/>
  <c r="C68" i="7"/>
  <c r="C57" i="7"/>
  <c r="C54" i="7"/>
  <c r="J59" i="7"/>
  <c r="C62" i="7"/>
  <c r="C74" i="7"/>
  <c r="B67" i="7"/>
  <c r="B74" i="7"/>
  <c r="D62" i="7"/>
  <c r="D55" i="7"/>
  <c r="D45" i="7"/>
  <c r="E63" i="7"/>
  <c r="E74" i="7"/>
  <c r="E52" i="7"/>
  <c r="F64" i="7"/>
  <c r="F62" i="7"/>
  <c r="G67" i="7"/>
  <c r="G74" i="7"/>
  <c r="G59" i="7"/>
  <c r="H54" i="7"/>
  <c r="H57" i="7"/>
  <c r="H58" i="7"/>
  <c r="J73" i="7"/>
  <c r="J58" i="7"/>
  <c r="J61" i="7"/>
  <c r="J46" i="7"/>
  <c r="C72" i="7"/>
  <c r="B61" i="7"/>
  <c r="B48" i="7"/>
  <c r="D49" i="7"/>
  <c r="E65" i="7"/>
  <c r="E67" i="7"/>
  <c r="F57" i="7"/>
  <c r="F61" i="7"/>
  <c r="G68" i="7"/>
  <c r="C48" i="7"/>
  <c r="J45" i="7"/>
  <c r="J44" i="7"/>
  <c r="C65" i="7"/>
  <c r="J64" i="7"/>
  <c r="J71" i="7"/>
  <c r="B56" i="7"/>
  <c r="B60" i="7"/>
  <c r="D56" i="7"/>
  <c r="E59" i="7"/>
  <c r="F50" i="7"/>
  <c r="G61" i="7"/>
  <c r="H45" i="7"/>
  <c r="D44" i="7"/>
  <c r="F52" i="7"/>
  <c r="H48" i="7"/>
  <c r="C49" i="7"/>
  <c r="C44" i="7"/>
  <c r="D75" i="7"/>
  <c r="D47" i="7"/>
  <c r="H74" i="7"/>
  <c r="J57" i="7"/>
  <c r="C69" i="7"/>
  <c r="B72" i="7"/>
  <c r="D51" i="7"/>
  <c r="J50" i="7"/>
  <c r="B75" i="7"/>
  <c r="F74" i="7"/>
  <c r="H50" i="7"/>
  <c r="J51" i="7"/>
  <c r="J56" i="7"/>
  <c r="J75" i="7"/>
  <c r="C46" i="7"/>
  <c r="J69" i="7"/>
  <c r="C75" i="7"/>
  <c r="B57" i="7"/>
  <c r="B47" i="7"/>
  <c r="B73" i="7"/>
  <c r="D54" i="7"/>
  <c r="D68" i="7"/>
  <c r="E61" i="7"/>
  <c r="E54" i="7"/>
  <c r="E45" i="7"/>
  <c r="F51" i="7"/>
  <c r="F66" i="7"/>
  <c r="F72" i="7"/>
  <c r="G44" i="7"/>
  <c r="G65" i="7"/>
  <c r="G63" i="7"/>
  <c r="H61" i="7"/>
  <c r="H64" i="7"/>
  <c r="H63" i="7"/>
  <c r="J67" i="7"/>
  <c r="B66" i="7"/>
  <c r="D67" i="7"/>
  <c r="D74" i="7"/>
  <c r="E55" i="7"/>
  <c r="F68" i="7"/>
  <c r="F47" i="7"/>
  <c r="G57" i="7"/>
  <c r="H66" i="7"/>
  <c r="E56" i="7"/>
  <c r="F48" i="7"/>
  <c r="G66" i="7"/>
  <c r="C73" i="7"/>
  <c r="B55" i="7"/>
  <c r="E72" i="7"/>
  <c r="F60" i="7"/>
  <c r="H44" i="7"/>
  <c r="J62" i="7"/>
  <c r="J66" i="7"/>
  <c r="C63" i="7"/>
  <c r="C67" i="7"/>
  <c r="J48" i="7"/>
  <c r="C51" i="7"/>
  <c r="B54" i="7"/>
  <c r="B45" i="7"/>
  <c r="B58" i="7"/>
  <c r="D70" i="7"/>
  <c r="D46" i="7"/>
  <c r="E57" i="7"/>
  <c r="E73" i="7"/>
  <c r="E47" i="7"/>
  <c r="F69" i="7"/>
  <c r="G72" i="7"/>
  <c r="G52" i="7"/>
  <c r="G69" i="7"/>
  <c r="H55" i="7"/>
  <c r="H47" i="7"/>
  <c r="H73" i="7"/>
  <c r="C61" i="7"/>
  <c r="J54" i="7"/>
  <c r="C47" i="7"/>
  <c r="J60" i="7"/>
  <c r="C64" i="7"/>
  <c r="B70" i="7"/>
  <c r="D73" i="7"/>
  <c r="E68" i="7"/>
  <c r="E48" i="7"/>
  <c r="F44" i="7"/>
  <c r="G54" i="7"/>
  <c r="G50" i="7"/>
  <c r="H65" i="7"/>
  <c r="G45" i="7"/>
  <c r="J49" i="7"/>
  <c r="B51" i="7"/>
  <c r="E44" i="7"/>
  <c r="F55" i="7"/>
  <c r="G71" i="7"/>
  <c r="H52" i="7"/>
  <c r="C59" i="7"/>
  <c r="J72" i="7"/>
  <c r="J52" i="7"/>
  <c r="J55" i="7"/>
  <c r="J63" i="7"/>
  <c r="B62" i="7"/>
  <c r="B71" i="7"/>
  <c r="D65" i="7"/>
  <c r="D52" i="7"/>
  <c r="D64" i="7"/>
  <c r="E60" i="7"/>
  <c r="E71" i="7"/>
  <c r="E70" i="7"/>
  <c r="F63" i="7"/>
  <c r="F65" i="7"/>
  <c r="F73" i="7"/>
  <c r="G60" i="7"/>
  <c r="G75" i="7"/>
  <c r="G53" i="7"/>
  <c r="H46" i="7"/>
  <c r="H71" i="7"/>
  <c r="H53" i="7"/>
  <c r="J47" i="7"/>
  <c r="J65" i="7"/>
  <c r="C71" i="7"/>
  <c r="B52" i="7"/>
  <c r="B44" i="7"/>
  <c r="D60" i="7"/>
  <c r="D48" i="7"/>
  <c r="E66" i="7"/>
  <c r="F46" i="7"/>
  <c r="G56" i="7"/>
  <c r="J70" i="7"/>
  <c r="D61" i="7"/>
  <c r="E49" i="7"/>
  <c r="G48" i="7"/>
  <c r="C52" i="7"/>
  <c r="J74" i="7"/>
  <c r="B64" i="7"/>
  <c r="D71" i="7"/>
  <c r="E75" i="7"/>
  <c r="F49" i="7"/>
  <c r="H59" i="7"/>
  <c r="C70" i="7"/>
  <c r="B46" i="7"/>
  <c r="D57" i="7"/>
  <c r="F45" i="7"/>
  <c r="H51" i="7"/>
  <c r="C55" i="7"/>
  <c r="D63" i="7"/>
  <c r="G47" i="7"/>
  <c r="C58" i="7"/>
  <c r="C53" i="7"/>
  <c r="B59" i="7"/>
  <c r="B65" i="7"/>
  <c r="B53" i="7"/>
  <c r="D72" i="7"/>
  <c r="D66" i="7"/>
  <c r="D50" i="7"/>
  <c r="E46" i="7"/>
  <c r="E51" i="7"/>
  <c r="E69" i="7"/>
  <c r="F70" i="7"/>
  <c r="F58" i="7"/>
  <c r="F53" i="7"/>
  <c r="G49" i="7"/>
  <c r="G55" i="7"/>
  <c r="H72" i="7"/>
  <c r="H67" i="7"/>
  <c r="H60" i="7"/>
  <c r="H56" i="7"/>
  <c r="H70" i="7"/>
  <c r="D53" i="7"/>
  <c r="F75" i="7"/>
  <c r="G62" i="7"/>
  <c r="H69" i="7"/>
  <c r="C66" i="7"/>
  <c r="B63" i="7"/>
  <c r="E62" i="7"/>
  <c r="F71" i="7"/>
  <c r="G70" i="7"/>
  <c r="F40" i="7"/>
  <c r="J34" i="7"/>
  <c r="G4" i="7"/>
  <c r="B39" i="7"/>
  <c r="G22" i="7"/>
  <c r="D36" i="7"/>
  <c r="E30" i="7"/>
  <c r="J15" i="7"/>
  <c r="F13" i="7"/>
  <c r="J29" i="7"/>
  <c r="F30" i="7"/>
  <c r="B17" i="7"/>
  <c r="H34" i="7"/>
  <c r="D16" i="7"/>
  <c r="C13" i="7"/>
  <c r="E13" i="7"/>
  <c r="J14" i="7"/>
  <c r="F33" i="7"/>
  <c r="B7" i="7"/>
  <c r="H16" i="7"/>
  <c r="D24" i="7"/>
  <c r="B36" i="7"/>
  <c r="E18" i="7"/>
  <c r="J38" i="7"/>
  <c r="F32" i="7"/>
  <c r="B30" i="7"/>
  <c r="G10" i="7"/>
  <c r="B35" i="7"/>
  <c r="H15" i="7"/>
  <c r="D12" i="7"/>
  <c r="J4" i="7"/>
  <c r="E4" i="7"/>
  <c r="J22" i="7"/>
  <c r="F5" i="7"/>
  <c r="B18" i="7"/>
  <c r="G5" i="7"/>
  <c r="D17" i="7"/>
  <c r="E11" i="7"/>
  <c r="C4" i="7"/>
  <c r="F42" i="7"/>
  <c r="G37" i="7"/>
  <c r="D34" i="7"/>
  <c r="H21" i="7"/>
  <c r="B9" i="7"/>
  <c r="E33" i="7"/>
  <c r="C10" i="7"/>
  <c r="F22" i="7"/>
  <c r="C39" i="7"/>
  <c r="G9" i="7"/>
  <c r="B21" i="7"/>
  <c r="H19" i="7"/>
  <c r="D35" i="7"/>
  <c r="C21" i="7"/>
  <c r="E17" i="7"/>
  <c r="J26" i="7"/>
  <c r="F31" i="7"/>
  <c r="J19" i="7"/>
  <c r="G14" i="7"/>
  <c r="B11" i="7"/>
  <c r="H39" i="7"/>
  <c r="E10" i="7"/>
  <c r="J11" i="7"/>
  <c r="F25" i="7"/>
  <c r="J28" i="7"/>
  <c r="G38" i="7"/>
  <c r="B4" i="7"/>
  <c r="G20" i="7"/>
  <c r="C9" i="7"/>
  <c r="H18" i="7"/>
  <c r="E28" i="7"/>
  <c r="C24" i="7"/>
  <c r="F10" i="7"/>
  <c r="J41" i="7"/>
  <c r="F26" i="7"/>
  <c r="B34" i="7"/>
  <c r="G18" i="7"/>
  <c r="D43" i="7"/>
  <c r="H30" i="7"/>
  <c r="E5" i="7"/>
  <c r="F14" i="7"/>
  <c r="C42" i="7"/>
  <c r="G40" i="7"/>
  <c r="B28" i="7"/>
  <c r="H12" i="7"/>
  <c r="D9" i="7"/>
  <c r="C43" i="7"/>
  <c r="E26" i="7"/>
  <c r="G43" i="7"/>
  <c r="B38" i="7"/>
  <c r="G13" i="7"/>
  <c r="H38" i="7"/>
  <c r="D42" i="7"/>
  <c r="C33" i="7"/>
  <c r="E20" i="7"/>
  <c r="C17" i="7"/>
  <c r="F23" i="7"/>
  <c r="B16" i="7"/>
  <c r="G25" i="7"/>
  <c r="B5" i="7"/>
  <c r="H25" i="7"/>
  <c r="D28" i="7"/>
  <c r="J13" i="7"/>
  <c r="E35" i="7"/>
  <c r="C20" i="7"/>
  <c r="F35" i="7"/>
  <c r="B43" i="7"/>
  <c r="H37" i="7"/>
  <c r="D26" i="7"/>
  <c r="E25" i="7"/>
  <c r="C27" i="7"/>
  <c r="F38" i="7"/>
  <c r="B25" i="7"/>
  <c r="G39" i="7"/>
  <c r="H27" i="7"/>
  <c r="H23" i="7"/>
  <c r="D18" i="7"/>
  <c r="J35" i="7"/>
  <c r="E34" i="7"/>
  <c r="C29" i="7"/>
  <c r="F34" i="7"/>
  <c r="G15" i="7"/>
  <c r="B22" i="7"/>
  <c r="H31" i="7"/>
  <c r="D32" i="7"/>
  <c r="J10" i="7"/>
  <c r="E23" i="7"/>
  <c r="C12" i="7"/>
  <c r="F9" i="7"/>
  <c r="J30" i="7"/>
  <c r="G31" i="7"/>
  <c r="D5" i="7"/>
  <c r="H14" i="7"/>
  <c r="E42" i="7"/>
  <c r="C41" i="7"/>
  <c r="F17" i="7"/>
  <c r="C37" i="7"/>
  <c r="F15" i="7"/>
  <c r="G41" i="7"/>
  <c r="G16" i="7"/>
  <c r="D7" i="7"/>
  <c r="H41" i="7"/>
  <c r="E41" i="7"/>
  <c r="J8" i="7"/>
  <c r="F39" i="7"/>
  <c r="J16" i="7"/>
  <c r="F41" i="7"/>
  <c r="B12" i="7"/>
  <c r="G11" i="7"/>
  <c r="D21" i="7"/>
  <c r="H28" i="7"/>
  <c r="E36" i="7"/>
  <c r="C6" i="7"/>
  <c r="F36" i="7"/>
  <c r="J31" i="7"/>
  <c r="G27" i="7"/>
  <c r="B32" i="7"/>
  <c r="H10" i="7"/>
  <c r="E19" i="7"/>
  <c r="C18" i="7"/>
  <c r="F37" i="7"/>
  <c r="C7" i="7"/>
  <c r="F7" i="7"/>
  <c r="G24" i="7"/>
  <c r="G29" i="7"/>
  <c r="D11" i="7"/>
  <c r="D41" i="7"/>
  <c r="C11" i="7"/>
  <c r="E38" i="7"/>
  <c r="J39" i="7"/>
  <c r="F21" i="7"/>
  <c r="B24" i="7"/>
  <c r="G30" i="7"/>
  <c r="B41" i="7"/>
  <c r="H32" i="7"/>
  <c r="D37" i="7"/>
  <c r="J27" i="7"/>
  <c r="E24" i="7"/>
  <c r="J12" i="7"/>
  <c r="G6" i="7"/>
  <c r="B6" i="7"/>
  <c r="H43" i="7"/>
  <c r="D27" i="7"/>
  <c r="C31" i="7"/>
  <c r="E43" i="7"/>
  <c r="J43" i="7"/>
  <c r="F24" i="7"/>
  <c r="D33" i="7"/>
  <c r="G42" i="7"/>
  <c r="B33" i="7"/>
  <c r="H29" i="7"/>
  <c r="D38" i="7"/>
  <c r="E22" i="7"/>
  <c r="C34" i="7"/>
  <c r="F4" i="7"/>
  <c r="G8" i="7"/>
  <c r="B20" i="7"/>
  <c r="H40" i="7"/>
  <c r="D39" i="7"/>
  <c r="J23" i="7"/>
  <c r="E31" i="7"/>
  <c r="C38" i="7"/>
  <c r="F6" i="7"/>
  <c r="B31" i="7"/>
  <c r="H22" i="7"/>
  <c r="D14" i="7"/>
  <c r="J5" i="7"/>
  <c r="E29" i="7"/>
  <c r="J25" i="7"/>
  <c r="E9" i="7"/>
  <c r="D8" i="7"/>
  <c r="G35" i="7"/>
  <c r="B15" i="7"/>
  <c r="G23" i="7"/>
  <c r="D22" i="7"/>
  <c r="H33" i="7"/>
  <c r="E7" i="7"/>
  <c r="J9" i="7"/>
  <c r="F12" i="7"/>
  <c r="J17" i="7"/>
  <c r="F43" i="7"/>
  <c r="B29" i="7"/>
  <c r="G12" i="7"/>
  <c r="D6" i="7"/>
  <c r="H20" i="7"/>
  <c r="E16" i="7"/>
  <c r="C26" i="7"/>
  <c r="F28" i="7"/>
  <c r="C14" i="7"/>
  <c r="G32" i="7"/>
  <c r="D10" i="7"/>
  <c r="H24" i="7"/>
  <c r="E21" i="7"/>
  <c r="J42" i="7"/>
  <c r="D15" i="7"/>
  <c r="D4" i="7"/>
  <c r="F11" i="7"/>
  <c r="B40" i="7"/>
  <c r="G36" i="7"/>
  <c r="D23" i="7"/>
  <c r="H42" i="7"/>
  <c r="D40" i="7"/>
  <c r="C19" i="7"/>
  <c r="E8" i="7"/>
  <c r="J6" i="7"/>
  <c r="F8" i="7"/>
  <c r="B14" i="7"/>
  <c r="G7" i="7"/>
  <c r="B10" i="7"/>
  <c r="H11" i="7"/>
  <c r="E40" i="7"/>
  <c r="C8" i="7"/>
  <c r="F20" i="7"/>
  <c r="C30" i="7"/>
  <c r="G19" i="7"/>
  <c r="B23" i="7"/>
  <c r="H26" i="7"/>
  <c r="E6" i="7"/>
  <c r="J36" i="7"/>
  <c r="D20" i="7"/>
  <c r="B8" i="7"/>
  <c r="F27" i="7"/>
  <c r="J7" i="7"/>
  <c r="G28" i="7"/>
  <c r="B27" i="7"/>
  <c r="D19" i="7"/>
  <c r="C32" i="7"/>
  <c r="E15" i="7"/>
  <c r="C5" i="7"/>
  <c r="F29" i="7"/>
  <c r="C16" i="7"/>
  <c r="G34" i="7"/>
  <c r="B42" i="7"/>
  <c r="H17" i="7"/>
  <c r="D29" i="7"/>
  <c r="J21" i="7"/>
  <c r="E12" i="7"/>
  <c r="C25" i="7"/>
  <c r="G17" i="7"/>
  <c r="B26" i="7"/>
  <c r="H36" i="7"/>
  <c r="D30" i="7"/>
  <c r="J37" i="7"/>
  <c r="B19" i="7"/>
  <c r="G21" i="7"/>
  <c r="D13" i="7"/>
  <c r="G26" i="7"/>
  <c r="B37" i="7"/>
  <c r="C35" i="7"/>
  <c r="E32" i="7"/>
  <c r="C40" i="7"/>
  <c r="F19" i="7"/>
  <c r="B13" i="7"/>
  <c r="J40" i="7"/>
  <c r="F18" i="7"/>
  <c r="J18" i="7"/>
  <c r="E39" i="7"/>
  <c r="C28" i="7"/>
  <c r="F16" i="7"/>
  <c r="J33" i="7"/>
  <c r="H35" i="7"/>
  <c r="D25" i="7"/>
  <c r="J24" i="7"/>
  <c r="E37" i="7"/>
  <c r="C23" i="7"/>
  <c r="C22" i="7"/>
  <c r="E14" i="7"/>
  <c r="J20" i="7"/>
  <c r="G33" i="7"/>
  <c r="D31" i="7"/>
  <c r="H13" i="7"/>
  <c r="E27" i="7"/>
  <c r="C15" i="7"/>
  <c r="J32" i="7"/>
  <c r="C36" i="7"/>
  <c r="AP1523" i="14"/>
  <c r="AS1523" i="14" s="1"/>
  <c r="AO1523" i="14"/>
  <c r="AR1523" i="14" s="1"/>
  <c r="AS1619" i="14"/>
  <c r="AB1592" i="14"/>
  <c r="AS1592" i="14"/>
  <c r="AB1619" i="14"/>
  <c r="AB1616" i="14"/>
  <c r="AS1616" i="14"/>
  <c r="AO1488" i="14"/>
  <c r="AR1488" i="14" s="1"/>
  <c r="AP1530" i="14"/>
  <c r="AS1530" i="14" s="1"/>
  <c r="AP1506" i="14"/>
  <c r="AS1506" i="14" s="1"/>
  <c r="AS1445" i="14"/>
  <c r="AB1536" i="14"/>
  <c r="AB1445" i="14"/>
  <c r="AB1606" i="14"/>
  <c r="AS1606" i="14"/>
  <c r="AS1536" i="14"/>
  <c r="AS1472" i="14"/>
  <c r="AP1488" i="14"/>
  <c r="AS1488" i="14" s="1"/>
  <c r="AS1502" i="14"/>
  <c r="AB1502" i="14"/>
  <c r="AO1578" i="14"/>
  <c r="AQ1578" i="14" s="1"/>
  <c r="AO1514" i="14"/>
  <c r="AQ1514" i="14" s="1"/>
  <c r="AO1528" i="14"/>
  <c r="AQ1528" i="14" s="1"/>
  <c r="AB1563" i="14"/>
  <c r="AO1475" i="14"/>
  <c r="AQ1475" i="14" s="1"/>
  <c r="AS1563" i="14"/>
  <c r="AS1483" i="14"/>
  <c r="AS1520" i="14"/>
  <c r="AS1448" i="14"/>
  <c r="AS1581" i="14"/>
  <c r="AS1554" i="14"/>
  <c r="AS1521" i="14"/>
  <c r="AS1535" i="14"/>
  <c r="AS1512" i="14"/>
  <c r="AS1491" i="14"/>
  <c r="AS1579" i="14"/>
  <c r="AS1630" i="14"/>
  <c r="AS1437" i="14"/>
  <c r="AS1441" i="14"/>
  <c r="AS1489" i="14"/>
  <c r="AS1465" i="14"/>
  <c r="AS1560" i="14"/>
  <c r="AS1583" i="14"/>
  <c r="AS1602" i="14"/>
  <c r="AS1587" i="14"/>
  <c r="AS1526" i="14"/>
  <c r="AS1584" i="14"/>
  <c r="AS1576" i="14"/>
  <c r="AS1468" i="14"/>
  <c r="AS1562" i="14"/>
  <c r="AS1551" i="14"/>
  <c r="AS1518" i="14"/>
  <c r="AS1548" i="14"/>
  <c r="AS1469" i="14"/>
  <c r="AS1568" i="14"/>
  <c r="AS1459" i="14"/>
  <c r="AS1614" i="14"/>
  <c r="AS1461" i="14"/>
  <c r="AS1458" i="14"/>
  <c r="AS1582" i="14"/>
  <c r="AS1621" i="14"/>
  <c r="AS1431" i="14"/>
  <c r="AS1482" i="14"/>
  <c r="AS1443" i="14"/>
  <c r="AS1577" i="14"/>
  <c r="AS1611" i="14"/>
  <c r="AS1503" i="14"/>
  <c r="AS1455" i="14"/>
  <c r="AS1525" i="14"/>
  <c r="AS1591" i="14"/>
  <c r="AS1432" i="14"/>
  <c r="AS1534" i="14"/>
  <c r="AS1546" i="14"/>
  <c r="AS1474" i="14"/>
  <c r="AS1447" i="14"/>
  <c r="AS1547" i="14"/>
  <c r="AS1588" i="14"/>
  <c r="AS1462" i="14"/>
  <c r="AS1625" i="14"/>
  <c r="AS1545" i="14"/>
  <c r="AS1475" i="14"/>
  <c r="AS1569" i="14"/>
  <c r="AS1442" i="14"/>
  <c r="AS1478" i="14"/>
  <c r="AS1480" i="14"/>
  <c r="AS1541" i="14"/>
  <c r="AS1613" i="14"/>
  <c r="AS1476" i="14"/>
  <c r="AS1627" i="14"/>
  <c r="AS1629" i="14"/>
  <c r="AS1500" i="14"/>
  <c r="AP1544" i="14"/>
  <c r="AS1544" i="14" s="1"/>
  <c r="AE1600" i="14"/>
  <c r="AR1600" i="14" s="1"/>
  <c r="BN1600" i="14" s="1"/>
  <c r="AB1520" i="14"/>
  <c r="AE1479" i="14"/>
  <c r="AR1479" i="14" s="1"/>
  <c r="BN1479" i="14" s="1"/>
  <c r="AB1591" i="14"/>
  <c r="AP1508" i="14"/>
  <c r="AS1508" i="14" s="1"/>
  <c r="AB1489" i="14"/>
  <c r="AP1473" i="14"/>
  <c r="AS1473" i="14" s="1"/>
  <c r="AB1441" i="14"/>
  <c r="AE1507" i="14"/>
  <c r="AC1507" i="14" s="1"/>
  <c r="AB1525" i="14"/>
  <c r="AB1508" i="14"/>
  <c r="AB1544" i="14"/>
  <c r="AE1585" i="14"/>
  <c r="AC1585" i="14" s="1"/>
  <c r="AP1572" i="14"/>
  <c r="AS1572" i="14" s="1"/>
  <c r="AB1483" i="14"/>
  <c r="AE1574" i="14"/>
  <c r="AC1574" i="14" s="1"/>
  <c r="AE1524" i="14"/>
  <c r="AC1524" i="14" s="1"/>
  <c r="AB1450" i="14"/>
  <c r="AB1482" i="14"/>
  <c r="AB1547" i="14"/>
  <c r="AB1455" i="14"/>
  <c r="AE1573" i="14"/>
  <c r="AC1573" i="14" s="1"/>
  <c r="AB1468" i="14"/>
  <c r="AB1472" i="14"/>
  <c r="AE1558" i="14"/>
  <c r="AC1558" i="14" s="1"/>
  <c r="AB1521" i="14"/>
  <c r="AP1498" i="14"/>
  <c r="AS1498" i="14" s="1"/>
  <c r="AB1494" i="14"/>
  <c r="AB1475" i="14"/>
  <c r="AO1498" i="14"/>
  <c r="AR1498" i="14" s="1"/>
  <c r="AB1436" i="14"/>
  <c r="AO1468" i="14"/>
  <c r="AR1468" i="14" s="1"/>
  <c r="AO1568" i="14"/>
  <c r="AQ1568" i="14" s="1"/>
  <c r="AB1518" i="14"/>
  <c r="AB1491" i="14"/>
  <c r="AE1542" i="14"/>
  <c r="AC1542" i="14" s="1"/>
  <c r="AB1497" i="14"/>
  <c r="AB1459" i="14"/>
  <c r="AB1476" i="14"/>
  <c r="AB1628" i="14"/>
  <c r="AP1585" i="14"/>
  <c r="AS1585" i="14" s="1"/>
  <c r="AB1554" i="14"/>
  <c r="AE1450" i="14"/>
  <c r="AC1450" i="14" s="1"/>
  <c r="AE1540" i="14"/>
  <c r="AC1540" i="14" s="1"/>
  <c r="AE1433" i="14"/>
  <c r="AC1433" i="14" s="1"/>
  <c r="AB1500" i="14"/>
  <c r="AP1513" i="14"/>
  <c r="AS1513" i="14" s="1"/>
  <c r="AB1437" i="14"/>
  <c r="AB1546" i="14"/>
  <c r="AB1577" i="14"/>
  <c r="AE1434" i="14"/>
  <c r="AC1434" i="14" s="1"/>
  <c r="AB1568" i="14"/>
  <c r="AB1608" i="14"/>
  <c r="AB1526" i="14"/>
  <c r="AB1535" i="14"/>
  <c r="AB1511" i="14"/>
  <c r="AB1617" i="14"/>
  <c r="AE1513" i="14"/>
  <c r="AC1513" i="14" s="1"/>
  <c r="AE1515" i="14"/>
  <c r="AC1515" i="14" s="1"/>
  <c r="AE1444" i="14"/>
  <c r="AC1444" i="14" s="1"/>
  <c r="AB1431" i="14"/>
  <c r="AB1512" i="14"/>
  <c r="AB1503" i="14"/>
  <c r="AE1440" i="14"/>
  <c r="AC1440" i="14" s="1"/>
  <c r="AP1628" i="14"/>
  <c r="AS1628" i="14" s="1"/>
  <c r="AB1539" i="14"/>
  <c r="AB1538" i="14"/>
  <c r="AP1467" i="14"/>
  <c r="AS1467" i="14" s="1"/>
  <c r="AO1460" i="14"/>
  <c r="AR1460" i="14" s="1"/>
  <c r="AB1582" i="14"/>
  <c r="AP1460" i="14"/>
  <c r="AS1460" i="14" s="1"/>
  <c r="AB1447" i="14"/>
  <c r="AB1614" i="14"/>
  <c r="AB1474" i="14"/>
  <c r="AE1554" i="14"/>
  <c r="AC1554" i="14" s="1"/>
  <c r="AE1577" i="14"/>
  <c r="AC1577" i="14" s="1"/>
  <c r="AE1580" i="14"/>
  <c r="AC1580" i="14" s="1"/>
  <c r="AB1469" i="14"/>
  <c r="AB1519" i="14"/>
  <c r="AB1534" i="14"/>
  <c r="AB1621" i="14"/>
  <c r="AE1603" i="14"/>
  <c r="AC1603" i="14" s="1"/>
  <c r="AB1625" i="14"/>
  <c r="AE1516" i="14"/>
  <c r="AC1516" i="14" s="1"/>
  <c r="AE1459" i="14"/>
  <c r="AC1459" i="14" s="1"/>
  <c r="AB1611" i="14"/>
  <c r="AB1490" i="14"/>
  <c r="AE1601" i="14"/>
  <c r="AC1601" i="14" s="1"/>
  <c r="AP1444" i="14"/>
  <c r="AS1444" i="14" s="1"/>
  <c r="AB1495" i="14"/>
  <c r="AB1629" i="14"/>
  <c r="AB1480" i="14"/>
  <c r="AO1463" i="14"/>
  <c r="AQ1463" i="14" s="1"/>
  <c r="AP1540" i="14"/>
  <c r="AS1540" i="14" s="1"/>
  <c r="AB1613" i="14"/>
  <c r="AP1605" i="14"/>
  <c r="AS1605" i="14" s="1"/>
  <c r="AB1579" i="14"/>
  <c r="AB1630" i="14"/>
  <c r="AE1620" i="14"/>
  <c r="AC1620" i="14" s="1"/>
  <c r="AB1548" i="14"/>
  <c r="AP1590" i="14"/>
  <c r="AS1590" i="14" s="1"/>
  <c r="AB1462" i="14"/>
  <c r="AB1551" i="14"/>
  <c r="AB1443" i="14"/>
  <c r="AO1522" i="14"/>
  <c r="AQ1522" i="14" s="1"/>
  <c r="AB1571" i="14"/>
  <c r="AB1545" i="14"/>
  <c r="AP1564" i="14"/>
  <c r="AS1564" i="14" s="1"/>
  <c r="AO1550" i="14"/>
  <c r="AR1550" i="14" s="1"/>
  <c r="BN1550" i="14" s="1"/>
  <c r="AB1499" i="14"/>
  <c r="AB1541" i="14"/>
  <c r="AB1560" i="14"/>
  <c r="AB1581" i="14"/>
  <c r="AO1534" i="14"/>
  <c r="AR1534" i="14" s="1"/>
  <c r="AP1464" i="14"/>
  <c r="AS1464" i="14" s="1"/>
  <c r="AE1599" i="14"/>
  <c r="AC1599" i="14" s="1"/>
  <c r="AP1561" i="14"/>
  <c r="AS1561" i="14" s="1"/>
  <c r="AB1576" i="14"/>
  <c r="AP1484" i="14"/>
  <c r="AS1484" i="14" s="1"/>
  <c r="AE1561" i="14"/>
  <c r="AC1561" i="14" s="1"/>
  <c r="AB1432" i="14"/>
  <c r="AE1621" i="14"/>
  <c r="AC1621" i="14" s="1"/>
  <c r="AB1478" i="14"/>
  <c r="AB1461" i="14"/>
  <c r="AB1562" i="14"/>
  <c r="AP1539" i="14"/>
  <c r="AS1539" i="14" s="1"/>
  <c r="AB1451" i="14"/>
  <c r="AB1583" i="14"/>
  <c r="AE1613" i="14"/>
  <c r="AC1613" i="14" s="1"/>
  <c r="AB1627" i="14"/>
  <c r="AE1546" i="14"/>
  <c r="AC1546" i="14" s="1"/>
  <c r="AO1594" i="14"/>
  <c r="AR1594" i="14" s="1"/>
  <c r="BN1594" i="14" s="1"/>
  <c r="AE1532" i="14"/>
  <c r="AC1532" i="14" s="1"/>
  <c r="AB1588" i="14"/>
  <c r="AE1467" i="14"/>
  <c r="AC1467" i="14" s="1"/>
  <c r="AB1595" i="14"/>
  <c r="AB1584" i="14"/>
  <c r="AE1626" i="14"/>
  <c r="AC1626" i="14" s="1"/>
  <c r="AB1604" i="14"/>
  <c r="AB1458" i="14"/>
  <c r="AP1609" i="14"/>
  <c r="AS1609" i="14" s="1"/>
  <c r="AP1571" i="14"/>
  <c r="AS1571" i="14" s="1"/>
  <c r="AB1533" i="14"/>
  <c r="AB1602" i="14"/>
  <c r="AR1443" i="14"/>
  <c r="AR1549" i="14"/>
  <c r="BN1549" i="14" s="1"/>
  <c r="AE1576" i="14"/>
  <c r="AC1576" i="14" s="1"/>
  <c r="AR1505" i="14"/>
  <c r="BN1505" i="14" s="1"/>
  <c r="AB1569" i="14"/>
  <c r="AO1487" i="14"/>
  <c r="AQ1487" i="14" s="1"/>
  <c r="AP1589" i="14"/>
  <c r="AS1589" i="14" s="1"/>
  <c r="AE1611" i="14"/>
  <c r="AC1611" i="14" s="1"/>
  <c r="AE1504" i="14"/>
  <c r="AC1504" i="14" s="1"/>
  <c r="AR1436" i="14"/>
  <c r="BN1436" i="14" s="1"/>
  <c r="AE1586" i="14"/>
  <c r="AC1586" i="14" s="1"/>
  <c r="AB1587" i="14"/>
  <c r="AB1442" i="14"/>
  <c r="AB1465" i="14"/>
  <c r="AB1448" i="14"/>
  <c r="AR1547" i="14"/>
  <c r="AP1471" i="14"/>
  <c r="AS1471" i="14" s="1"/>
  <c r="AR1538" i="14"/>
  <c r="AE1627" i="14"/>
  <c r="AC1627" i="14" s="1"/>
  <c r="AR1512" i="14"/>
  <c r="AQ1450" i="14"/>
  <c r="AR1597" i="14"/>
  <c r="BN1597" i="14" s="1"/>
  <c r="AR1591" i="14"/>
  <c r="AR1535" i="14"/>
  <c r="AQ1434" i="14"/>
  <c r="AR1531" i="14"/>
  <c r="BN1531" i="14" s="1"/>
  <c r="AR1462" i="14"/>
  <c r="AR1506" i="14"/>
  <c r="AQ1520" i="14"/>
  <c r="AQ1458" i="14"/>
  <c r="AQ1491" i="14"/>
  <c r="AQ1538" i="14"/>
  <c r="AR1461" i="14"/>
  <c r="AR1491" i="14"/>
  <c r="AR1477" i="14"/>
  <c r="BN1477" i="14" s="1"/>
  <c r="AR1543" i="14"/>
  <c r="BN1543" i="14" s="1"/>
  <c r="AR1609" i="14"/>
  <c r="AR1495" i="14"/>
  <c r="BN1495" i="14" s="1"/>
  <c r="AR1437" i="14"/>
  <c r="AR1606" i="14"/>
  <c r="AR1555" i="14"/>
  <c r="BN1555" i="14" s="1"/>
  <c r="AR1539" i="14"/>
  <c r="AR1445" i="14"/>
  <c r="AR1607" i="14"/>
  <c r="BN1607" i="14" s="1"/>
  <c r="AR1492" i="14"/>
  <c r="BN1492" i="14" s="1"/>
  <c r="AR1496" i="14"/>
  <c r="BN1496" i="14" s="1"/>
  <c r="AR1456" i="14"/>
  <c r="BN1456" i="14" s="1"/>
  <c r="AR1624" i="14"/>
  <c r="BN1624" i="14" s="1"/>
  <c r="AR1579" i="14"/>
  <c r="AR1481" i="14"/>
  <c r="BN1481" i="14" s="1"/>
  <c r="AR1587" i="14"/>
  <c r="AR1615" i="14"/>
  <c r="BN1615" i="14" s="1"/>
  <c r="AR1435" i="14"/>
  <c r="BN1435" i="14" s="1"/>
  <c r="AR1593" i="14"/>
  <c r="BN1593" i="14" s="1"/>
  <c r="AR1446" i="14"/>
  <c r="BN1446" i="14" s="1"/>
  <c r="AR1480" i="14"/>
  <c r="AR1560" i="14"/>
  <c r="AR1589" i="14"/>
  <c r="AR1501" i="14"/>
  <c r="BN1501" i="14" s="1"/>
  <c r="AR1553" i="14"/>
  <c r="BN1553" i="14" s="1"/>
  <c r="AR1604" i="14"/>
  <c r="BN1604" i="14" s="1"/>
  <c r="AR1630" i="14"/>
  <c r="AR1545" i="14"/>
  <c r="AS1434" i="14"/>
  <c r="AR1469" i="14"/>
  <c r="AR1454" i="14"/>
  <c r="BN1454" i="14" s="1"/>
  <c r="AR1557" i="14"/>
  <c r="BN1557" i="14" s="1"/>
  <c r="AR1628" i="14"/>
  <c r="AR1490" i="14"/>
  <c r="BN1490" i="14" s="1"/>
  <c r="AR1610" i="14"/>
  <c r="BN1610" i="14" s="1"/>
  <c r="AR1612" i="14"/>
  <c r="BN1612" i="14" s="1"/>
  <c r="AR1485" i="14"/>
  <c r="BN1485" i="14" s="1"/>
  <c r="AR1509" i="14"/>
  <c r="BN1509" i="14" s="1"/>
  <c r="AR1552" i="14"/>
  <c r="BN1552" i="14" s="1"/>
  <c r="AR1602" i="14"/>
  <c r="AR1510" i="14"/>
  <c r="BN1510" i="14" s="1"/>
  <c r="AR1453" i="14"/>
  <c r="BN1453" i="14" s="1"/>
  <c r="AR1582" i="14"/>
  <c r="AR1559" i="14"/>
  <c r="BN1559" i="14" s="1"/>
  <c r="AR1533" i="14"/>
  <c r="BN1533" i="14" s="1"/>
  <c r="AR1567" i="14"/>
  <c r="AR1464" i="14"/>
  <c r="AR1565" i="14"/>
  <c r="BN1565" i="14" s="1"/>
  <c r="AR1451" i="14"/>
  <c r="BN1451" i="14" s="1"/>
  <c r="AR1583" i="14"/>
  <c r="AR1457" i="14"/>
  <c r="BN1457" i="14" s="1"/>
  <c r="AR1494" i="14"/>
  <c r="BN1494" i="14" s="1"/>
  <c r="AR1499" i="14"/>
  <c r="BN1499" i="14" s="1"/>
  <c r="AR1629" i="14"/>
  <c r="AR1526" i="14"/>
  <c r="AR1575" i="14"/>
  <c r="BN1575" i="14" s="1"/>
  <c r="AR1503" i="14"/>
  <c r="AR1484" i="14"/>
  <c r="AR1519" i="14"/>
  <c r="BN1519" i="14" s="1"/>
  <c r="AR1470" i="14"/>
  <c r="BN1470" i="14" s="1"/>
  <c r="AR1502" i="14"/>
  <c r="AR1508" i="14"/>
  <c r="AR1466" i="14"/>
  <c r="BN1466" i="14" s="1"/>
  <c r="AR1598" i="14"/>
  <c r="BN1598" i="14" s="1"/>
  <c r="AR1449" i="14"/>
  <c r="BN1449" i="14" s="1"/>
  <c r="AR1563" i="14"/>
  <c r="AR1590" i="14"/>
  <c r="AR1473" i="14"/>
  <c r="AR1622" i="14"/>
  <c r="BN1622" i="14" s="1"/>
  <c r="AR1605" i="14"/>
  <c r="AR1455" i="14"/>
  <c r="AR1476" i="14"/>
  <c r="AR1527" i="14"/>
  <c r="BN1527" i="14" s="1"/>
  <c r="AR1616" i="14"/>
  <c r="AR1500" i="14"/>
  <c r="AR1489" i="14"/>
  <c r="AR1551" i="14"/>
  <c r="AR1493" i="14"/>
  <c r="BN1493" i="14" s="1"/>
  <c r="AR1511" i="14"/>
  <c r="BN1511" i="14" s="1"/>
  <c r="AR1517" i="14"/>
  <c r="BN1517" i="14" s="1"/>
  <c r="AR1458" i="14"/>
  <c r="AR1625" i="14"/>
  <c r="AR1486" i="14"/>
  <c r="BN1486" i="14" s="1"/>
  <c r="AS1538" i="14"/>
  <c r="AR1572" i="14"/>
  <c r="AR1537" i="14"/>
  <c r="BN1537" i="14" s="1"/>
  <c r="AR1608" i="14"/>
  <c r="BN1608" i="14" s="1"/>
  <c r="AR1521" i="14"/>
  <c r="AR1482" i="14"/>
  <c r="AR1619" i="14"/>
  <c r="AR1623" i="14"/>
  <c r="BN1623" i="14" s="1"/>
  <c r="AR1472" i="14"/>
  <c r="AR1617" i="14"/>
  <c r="BN1617" i="14" s="1"/>
  <c r="AR1432" i="14"/>
  <c r="AR1581" i="14"/>
  <c r="AR1584" i="14"/>
  <c r="AR1569" i="14"/>
  <c r="AR1518" i="14"/>
  <c r="AR1564" i="14"/>
  <c r="AR1439" i="14"/>
  <c r="BN1439" i="14" s="1"/>
  <c r="AR1525" i="14"/>
  <c r="AR1530" i="14"/>
  <c r="AR1448" i="14"/>
  <c r="AR1571" i="14"/>
  <c r="AR1544" i="14"/>
  <c r="AR1588" i="14"/>
  <c r="AR1465" i="14"/>
  <c r="AR1452" i="14"/>
  <c r="BN1452" i="14" s="1"/>
  <c r="AR1483" i="14"/>
  <c r="AR1556" i="14"/>
  <c r="BN1556" i="14" s="1"/>
  <c r="AR1570" i="14"/>
  <c r="BN1570" i="14" s="1"/>
  <c r="AR1471" i="14"/>
  <c r="AR1447" i="14"/>
  <c r="AR1536" i="14"/>
  <c r="AR1431" i="14"/>
  <c r="AS1450" i="14"/>
  <c r="AR1541" i="14"/>
  <c r="AR1566" i="14"/>
  <c r="BN1566" i="14" s="1"/>
  <c r="AR1614" i="14"/>
  <c r="AR1474" i="14"/>
  <c r="AR1596" i="14"/>
  <c r="BN1596" i="14" s="1"/>
  <c r="AR1562" i="14"/>
  <c r="AR1548" i="14"/>
  <c r="AR1618" i="14"/>
  <c r="BN1618" i="14" s="1"/>
  <c r="AR1441" i="14"/>
  <c r="AR1595" i="14"/>
  <c r="BN1595" i="14" s="1"/>
  <c r="AR1442" i="14"/>
  <c r="AR1520" i="14"/>
  <c r="AR1478" i="14"/>
  <c r="AR1438" i="14"/>
  <c r="BN1438" i="14" s="1"/>
  <c r="AR1592" i="14"/>
  <c r="AR1497" i="14"/>
  <c r="BN1497" i="14" s="1"/>
  <c r="AQ1620" i="14"/>
  <c r="AQ1630" i="14"/>
  <c r="AQ1569" i="14"/>
  <c r="AC1474" i="14"/>
  <c r="AQ1474" i="14"/>
  <c r="AQ1535" i="14"/>
  <c r="AQ1555" i="14"/>
  <c r="AQ1604" i="14"/>
  <c r="AQ1492" i="14"/>
  <c r="AQ1512" i="14"/>
  <c r="AQ1532" i="14"/>
  <c r="AQ1515" i="14"/>
  <c r="AQ1451" i="14"/>
  <c r="AC1581" i="14"/>
  <c r="AQ1612" i="14"/>
  <c r="AQ1456" i="14"/>
  <c r="AQ1518" i="14"/>
  <c r="AQ1459" i="14"/>
  <c r="AQ1610" i="14"/>
  <c r="AQ1486" i="14"/>
  <c r="AC1528" i="14"/>
  <c r="AQ1603" i="14"/>
  <c r="AQ1576" i="14"/>
  <c r="AQ1624" i="14"/>
  <c r="AQ1500" i="14"/>
  <c r="AC1589" i="14"/>
  <c r="AQ1557" i="14"/>
  <c r="AQ1505" i="14"/>
  <c r="AQ1552" i="14"/>
  <c r="AQ1457" i="14"/>
  <c r="AQ1616" i="14"/>
  <c r="AQ1485" i="14"/>
  <c r="AQ1613" i="14"/>
  <c r="AQ1554" i="14"/>
  <c r="AQ1577" i="14"/>
  <c r="AC1582" i="14"/>
  <c r="AQ1608" i="14"/>
  <c r="AQ1443" i="14"/>
  <c r="AQ1435" i="14"/>
  <c r="AQ1607" i="14"/>
  <c r="AQ1521" i="14"/>
  <c r="AC1531" i="14"/>
  <c r="AC1443" i="14"/>
  <c r="AQ1548" i="14"/>
  <c r="AQ1618" i="14"/>
  <c r="AQ1545" i="14"/>
  <c r="AQ1563" i="14"/>
  <c r="AQ1623" i="14"/>
  <c r="AC1448" i="14"/>
  <c r="AQ1598" i="14"/>
  <c r="AQ1452" i="14"/>
  <c r="AC1512" i="14"/>
  <c r="AC1451" i="14"/>
  <c r="AQ1560" i="14"/>
  <c r="AQ1509" i="14"/>
  <c r="AQ1446" i="14"/>
  <c r="AC1521" i="14"/>
  <c r="AC1481" i="14"/>
  <c r="AC1544" i="14"/>
  <c r="AQ1581" i="14"/>
  <c r="AQ1591" i="14"/>
  <c r="AQ1601" i="14"/>
  <c r="AQ1602" i="14"/>
  <c r="AQ1526" i="14"/>
  <c r="AQ1525" i="14"/>
  <c r="AQ1476" i="14"/>
  <c r="AQ1470" i="14"/>
  <c r="AC1499" i="14"/>
  <c r="AQ1575" i="14"/>
  <c r="AQ1439" i="14"/>
  <c r="AC1572" i="14"/>
  <c r="AQ1431" i="14"/>
  <c r="AQ1527" i="14"/>
  <c r="AQ1502" i="14"/>
  <c r="AC1466" i="14"/>
  <c r="AQ1549" i="14"/>
  <c r="AC1566" i="14"/>
  <c r="AQ1537" i="14"/>
  <c r="AC1445" i="14"/>
  <c r="AC1552" i="14"/>
  <c r="AQ1438" i="14"/>
  <c r="AQ1504" i="14"/>
  <c r="AQ1622" i="14"/>
  <c r="AQ1433" i="14"/>
  <c r="AQ1617" i="14"/>
  <c r="AQ1531" i="14"/>
  <c r="AC1508" i="14"/>
  <c r="AC1509" i="14"/>
  <c r="AQ1461" i="14"/>
  <c r="AQ1570" i="14"/>
  <c r="AQ1462" i="14"/>
  <c r="AQ1516" i="14"/>
  <c r="AC1489" i="14"/>
  <c r="AQ1553" i="14"/>
  <c r="AC1506" i="14"/>
  <c r="AQ1579" i="14"/>
  <c r="AC1549" i="14"/>
  <c r="AC1505" i="14"/>
  <c r="AC1545" i="14"/>
  <c r="AQ1466" i="14"/>
  <c r="AC1551" i="14"/>
  <c r="AC1606" i="14"/>
  <c r="AQ1478" i="14"/>
  <c r="AC1460" i="14"/>
  <c r="AQ1481" i="14"/>
  <c r="AC1608" i="14"/>
  <c r="AC1484" i="14"/>
  <c r="AQ1629" i="14"/>
  <c r="AC1449" i="14"/>
  <c r="AC1618" i="14"/>
  <c r="AC1598" i="14"/>
  <c r="AQ1627" i="14"/>
  <c r="AQ1596" i="14"/>
  <c r="AQ1482" i="14"/>
  <c r="AQ1547" i="14"/>
  <c r="AC1482" i="14"/>
  <c r="AQ1501" i="14"/>
  <c r="AQ1447" i="14"/>
  <c r="AQ1454" i="14"/>
  <c r="AQ1494" i="14"/>
  <c r="AQ1606" i="14"/>
  <c r="AQ1586" i="14"/>
  <c r="AQ1582" i="14"/>
  <c r="AQ1565" i="14"/>
  <c r="AQ1496" i="14"/>
  <c r="AC1471" i="14"/>
  <c r="AC1523" i="14"/>
  <c r="AQ1497" i="14"/>
  <c r="AQ1556" i="14"/>
  <c r="AQ1559" i="14"/>
  <c r="AQ1479" i="14"/>
  <c r="AQ1584" i="14"/>
  <c r="AC1614" i="14"/>
  <c r="AQ1499" i="14"/>
  <c r="AQ1599" i="14"/>
  <c r="AQ1503" i="14"/>
  <c r="AC1503" i="14"/>
  <c r="AQ1507" i="14"/>
  <c r="AQ1453" i="14"/>
  <c r="AQ1510" i="14"/>
  <c r="AC1539" i="14"/>
  <c r="AC1615" i="14"/>
  <c r="AC1559" i="14"/>
  <c r="AC1592" i="14"/>
  <c r="AQ1440" i="14"/>
  <c r="AQ1480" i="14"/>
  <c r="AQ1455" i="14"/>
  <c r="AC1564" i="14"/>
  <c r="AC1536" i="14"/>
  <c r="AQ1490" i="14"/>
  <c r="AQ1495" i="14"/>
  <c r="AQ1615" i="14"/>
  <c r="AQ1562" i="14"/>
  <c r="AC1437" i="14"/>
  <c r="AC1610" i="14"/>
  <c r="AQ1593" i="14"/>
  <c r="AQ1536" i="14"/>
  <c r="AQ1524" i="14"/>
  <c r="AC1570" i="14"/>
  <c r="AQ1437" i="14"/>
  <c r="AQ1519" i="14"/>
  <c r="AQ1449" i="14"/>
  <c r="AQ1580" i="14"/>
  <c r="AC1591" i="14"/>
  <c r="AQ1597" i="14"/>
  <c r="AC1593" i="14"/>
  <c r="AC1468" i="14"/>
  <c r="AQ1533" i="14"/>
  <c r="AC1530" i="14"/>
  <c r="AQ1517" i="14"/>
  <c r="AC1557" i="14"/>
  <c r="AC1485" i="14"/>
  <c r="AC1565" i="14"/>
  <c r="AQ1587" i="14"/>
  <c r="AQ1543" i="14"/>
  <c r="AQ1600" i="14"/>
  <c r="AQ1445" i="14"/>
  <c r="AQ1625" i="14"/>
  <c r="AQ1611" i="14"/>
  <c r="AQ1595" i="14"/>
  <c r="AC1497" i="14"/>
  <c r="AQ1583" i="14"/>
  <c r="AO1631" i="14"/>
  <c r="AQ1483" i="14"/>
  <c r="AC1441" i="14"/>
  <c r="AC1464" i="14"/>
  <c r="AC1478" i="14"/>
  <c r="AQ1621" i="14"/>
  <c r="AQ1588" i="14"/>
  <c r="AC1435" i="14"/>
  <c r="AQ1432" i="14"/>
  <c r="AC1465" i="14"/>
  <c r="AC1522" i="14"/>
  <c r="AQ1546" i="14"/>
  <c r="AC1520" i="14"/>
  <c r="AQ1493" i="14"/>
  <c r="AC1575" i="14"/>
  <c r="AC1446" i="14"/>
  <c r="AQ1511" i="14"/>
  <c r="AC1630" i="14"/>
  <c r="AC1623" i="14"/>
  <c r="AC1502" i="14"/>
  <c r="AQ1477" i="14"/>
  <c r="AC1462" i="14"/>
  <c r="AC1594" i="14"/>
  <c r="AC1514" i="14"/>
  <c r="AC1463" i="14"/>
  <c r="AQ1465" i="14"/>
  <c r="AC1458" i="14"/>
  <c r="AC1493" i="14"/>
  <c r="AC1454" i="14"/>
  <c r="AC1496" i="14"/>
  <c r="AC1584" i="14"/>
  <c r="AC1432" i="14"/>
  <c r="AC1568" i="14"/>
  <c r="AC1455" i="14"/>
  <c r="AC1595" i="14"/>
  <c r="AC1541" i="14"/>
  <c r="AC1578" i="14"/>
  <c r="AC1533" i="14"/>
  <c r="AC1616" i="14"/>
  <c r="AC1480" i="14"/>
  <c r="AC1535" i="14"/>
  <c r="AC1587" i="14"/>
  <c r="AC1518" i="14"/>
  <c r="AQ1558" i="14"/>
  <c r="AC1483" i="14"/>
  <c r="AC1569" i="14"/>
  <c r="AC1526" i="14"/>
  <c r="AC1488" i="14"/>
  <c r="AC1436" i="14"/>
  <c r="AC1543" i="14"/>
  <c r="AC1511" i="14"/>
  <c r="AC1597" i="14"/>
  <c r="AC1605" i="14"/>
  <c r="AC1447" i="14"/>
  <c r="AC1442" i="14"/>
  <c r="AQ1614" i="14"/>
  <c r="AC1571" i="14"/>
  <c r="AC1562" i="14"/>
  <c r="AC1438" i="14"/>
  <c r="AC1588" i="14"/>
  <c r="AC1498" i="14"/>
  <c r="AC1628" i="14"/>
  <c r="AC1470" i="14"/>
  <c r="AC1604" i="14"/>
  <c r="AC1556" i="14"/>
  <c r="AC1553" i="14"/>
  <c r="AQ1469" i="14"/>
  <c r="AQ1542" i="14"/>
  <c r="AC1579" i="14"/>
  <c r="AC1527" i="14"/>
  <c r="AC1452" i="14"/>
  <c r="AC1461" i="14"/>
  <c r="AC1500" i="14"/>
  <c r="AC1472" i="14"/>
  <c r="AC1487" i="14"/>
  <c r="AC1624" i="14"/>
  <c r="AQ1574" i="14"/>
  <c r="AC1494" i="14"/>
  <c r="AC1548" i="14"/>
  <c r="AQ1551" i="14"/>
  <c r="AC1538" i="14"/>
  <c r="AQ1541" i="14"/>
  <c r="AQ1472" i="14"/>
  <c r="AC1622" i="14"/>
  <c r="AC1583" i="14"/>
  <c r="AQ1573" i="14"/>
  <c r="AC1560" i="14"/>
  <c r="AC1629" i="14"/>
  <c r="AC1619" i="14"/>
  <c r="AC1510" i="14"/>
  <c r="AQ1436" i="14"/>
  <c r="AE1631" i="14"/>
  <c r="AB1631" i="14"/>
  <c r="AC1456" i="14"/>
  <c r="AQ1442" i="14"/>
  <c r="AC1525" i="14"/>
  <c r="AC1469" i="14"/>
  <c r="AC1607" i="14"/>
  <c r="AC1495" i="14"/>
  <c r="AQ1592" i="14"/>
  <c r="AC1517" i="14"/>
  <c r="AC1476" i="14"/>
  <c r="AC1519" i="14"/>
  <c r="AC1550" i="14"/>
  <c r="AC1547" i="14"/>
  <c r="AC1457" i="14"/>
  <c r="AC1453" i="14"/>
  <c r="AC1477" i="14"/>
  <c r="AC1529" i="14"/>
  <c r="AC1617" i="14"/>
  <c r="AC1490" i="14"/>
  <c r="AC1563" i="14"/>
  <c r="AC1567" i="14"/>
  <c r="AQ1619" i="14"/>
  <c r="AQ1626" i="14"/>
  <c r="AC1612" i="14"/>
  <c r="AC1439" i="14"/>
  <c r="AC1491" i="14"/>
  <c r="AQ1448" i="14"/>
  <c r="AC1537" i="14"/>
  <c r="AC1534" i="14"/>
  <c r="AC1590" i="14"/>
  <c r="AQ1441" i="14"/>
  <c r="AC1501" i="14"/>
  <c r="AC1602" i="14"/>
  <c r="AQ1566" i="14"/>
  <c r="AC1431" i="14"/>
  <c r="AC1473" i="14"/>
  <c r="AC1596" i="14"/>
  <c r="AQ1489" i="14"/>
  <c r="AC1609" i="14"/>
  <c r="AC1555" i="14"/>
  <c r="AC1475" i="14"/>
  <c r="AC1625" i="14"/>
  <c r="AC1486" i="14"/>
  <c r="AC1492" i="14"/>
  <c r="AP1631" i="14"/>
  <c r="AS1631" i="14" s="1"/>
  <c r="L3" i="7" l="1"/>
  <c r="M3" i="7"/>
  <c r="R3" i="7"/>
  <c r="S3" i="7"/>
  <c r="O3" i="7"/>
  <c r="P3" i="7"/>
  <c r="N3" i="7"/>
  <c r="T3" i="7"/>
  <c r="K123" i="7"/>
  <c r="K101" i="7"/>
  <c r="K99" i="7"/>
  <c r="K102" i="7"/>
  <c r="K98" i="7"/>
  <c r="K103" i="7"/>
  <c r="K97" i="7"/>
  <c r="K96" i="7"/>
  <c r="K116" i="7"/>
  <c r="K100" i="7"/>
  <c r="K107" i="7"/>
  <c r="K118" i="7"/>
  <c r="K109" i="7"/>
  <c r="K105" i="7"/>
  <c r="K121" i="7"/>
  <c r="K113" i="7"/>
  <c r="K115" i="7"/>
  <c r="K114" i="7"/>
  <c r="K111" i="7"/>
  <c r="K108" i="7"/>
  <c r="K104" i="7"/>
  <c r="K110" i="7"/>
  <c r="K106" i="7"/>
  <c r="K120" i="7"/>
  <c r="K112" i="7"/>
  <c r="K119" i="7"/>
  <c r="K117" i="7"/>
  <c r="K122" i="7"/>
  <c r="K95" i="7"/>
  <c r="K93" i="7"/>
  <c r="K88" i="7"/>
  <c r="K89" i="7"/>
  <c r="K90" i="7"/>
  <c r="K91" i="7"/>
  <c r="K94" i="7"/>
  <c r="K92" i="7"/>
  <c r="K82" i="7"/>
  <c r="K85" i="7"/>
  <c r="K87" i="7"/>
  <c r="K84" i="7"/>
  <c r="K86" i="7"/>
  <c r="AQ1567" i="14"/>
  <c r="AQ1529" i="14"/>
  <c r="BN1529" i="14"/>
  <c r="BN1567" i="14"/>
  <c r="Q3" i="7"/>
  <c r="H3" i="7"/>
  <c r="E3" i="7"/>
  <c r="F3" i="7"/>
  <c r="G3" i="7"/>
  <c r="J3" i="7"/>
  <c r="C3" i="7"/>
  <c r="D3" i="7"/>
  <c r="B3" i="7"/>
  <c r="AR1475" i="14"/>
  <c r="BN1475" i="14" s="1"/>
  <c r="I61" i="7" s="1"/>
  <c r="K61" i="7" s="1"/>
  <c r="AR1528" i="14"/>
  <c r="BN1528" i="14" s="1"/>
  <c r="AR1578" i="14"/>
  <c r="BN1578" i="14" s="1"/>
  <c r="AR1514" i="14"/>
  <c r="BN1514" i="14" s="1"/>
  <c r="BN1523" i="14"/>
  <c r="AQ1523" i="14"/>
  <c r="BN1483" i="14"/>
  <c r="I57" i="7" s="1"/>
  <c r="K57" i="7" s="1"/>
  <c r="BN1592" i="14"/>
  <c r="BN1619" i="14"/>
  <c r="BN1616" i="14"/>
  <c r="AQ1506" i="14"/>
  <c r="BN1506" i="14"/>
  <c r="AQ1530" i="14"/>
  <c r="BN1530" i="14"/>
  <c r="BN1503" i="14"/>
  <c r="BN1488" i="14"/>
  <c r="BN1445" i="14"/>
  <c r="BN1472" i="14"/>
  <c r="BN1536" i="14"/>
  <c r="BN1502" i="14"/>
  <c r="BN1606" i="14"/>
  <c r="AQ1488" i="14"/>
  <c r="BN1520" i="14"/>
  <c r="BN1448" i="14"/>
  <c r="BN1581" i="14"/>
  <c r="BN1563" i="14"/>
  <c r="BN1478" i="14"/>
  <c r="BN1579" i="14"/>
  <c r="AR1574" i="14"/>
  <c r="BN1574" i="14" s="1"/>
  <c r="BN1569" i="14"/>
  <c r="BN1521" i="14"/>
  <c r="I38" i="7" s="1"/>
  <c r="K38" i="7" s="1"/>
  <c r="BN1491" i="14"/>
  <c r="BN1535" i="14"/>
  <c r="BN1551" i="14"/>
  <c r="AR1621" i="14"/>
  <c r="BN1621" i="14" s="1"/>
  <c r="BN1630" i="14"/>
  <c r="BN1512" i="14"/>
  <c r="BN1437" i="14"/>
  <c r="BN1441" i="14"/>
  <c r="I39" i="7" s="1"/>
  <c r="K39" i="7" s="1"/>
  <c r="BN1482" i="14"/>
  <c r="BN1465" i="14"/>
  <c r="I66" i="7" s="1"/>
  <c r="K66" i="7" s="1"/>
  <c r="BN1560" i="14"/>
  <c r="BN1629" i="14"/>
  <c r="BN1489" i="14"/>
  <c r="AR1513" i="14"/>
  <c r="BN1513" i="14" s="1"/>
  <c r="AR1586" i="14"/>
  <c r="BN1586" i="14" s="1"/>
  <c r="AR1467" i="14"/>
  <c r="BN1467" i="14" s="1"/>
  <c r="I65" i="7" s="1"/>
  <c r="K65" i="7" s="1"/>
  <c r="AR1444" i="14"/>
  <c r="BN1444" i="14" s="1"/>
  <c r="BN1584" i="14"/>
  <c r="AR1620" i="14"/>
  <c r="BN1620" i="14" s="1"/>
  <c r="BN1544" i="14"/>
  <c r="BN1602" i="14"/>
  <c r="BN1545" i="14"/>
  <c r="BN1614" i="14"/>
  <c r="BN1526" i="14"/>
  <c r="AR1440" i="14"/>
  <c r="BN1440" i="14" s="1"/>
  <c r="BN1582" i="14"/>
  <c r="BN1591" i="14"/>
  <c r="AR1585" i="14"/>
  <c r="BN1585" i="14" s="1"/>
  <c r="AR1577" i="14"/>
  <c r="BN1577" i="14" s="1"/>
  <c r="BN1500" i="14"/>
  <c r="AR1515" i="14"/>
  <c r="BN1515" i="14" s="1"/>
  <c r="BN1525" i="14"/>
  <c r="I36" i="7" s="1"/>
  <c r="K36" i="7" s="1"/>
  <c r="BN1625" i="14"/>
  <c r="BN1583" i="14"/>
  <c r="AR1601" i="14"/>
  <c r="BN1601" i="14" s="1"/>
  <c r="BN1534" i="14"/>
  <c r="AC1600" i="14"/>
  <c r="BN1468" i="14"/>
  <c r="AR1627" i="14"/>
  <c r="BN1627" i="14" s="1"/>
  <c r="AR1459" i="14"/>
  <c r="BN1459" i="14" s="1"/>
  <c r="I69" i="7" s="1"/>
  <c r="K69" i="7" s="1"/>
  <c r="AC1479" i="14"/>
  <c r="BN1442" i="14"/>
  <c r="AR1546" i="14"/>
  <c r="BN1546" i="14" s="1"/>
  <c r="BN1431" i="14"/>
  <c r="I83" i="7" s="1"/>
  <c r="K83" i="7" s="1"/>
  <c r="BN1432" i="14"/>
  <c r="AR1554" i="14"/>
  <c r="BN1554" i="14" s="1"/>
  <c r="BN1461" i="14"/>
  <c r="AR1626" i="14"/>
  <c r="BN1626" i="14" s="1"/>
  <c r="AR1576" i="14"/>
  <c r="BN1576" i="14" s="1"/>
  <c r="AR1434" i="14"/>
  <c r="BN1434" i="14" s="1"/>
  <c r="BN1562" i="14"/>
  <c r="BN1474" i="14"/>
  <c r="BN1458" i="14"/>
  <c r="BN1476" i="14"/>
  <c r="BN1518" i="14"/>
  <c r="BN1541" i="14"/>
  <c r="AR1599" i="14"/>
  <c r="BN1599" i="14" s="1"/>
  <c r="BN1547" i="14"/>
  <c r="AR1540" i="14"/>
  <c r="BN1540" i="14" s="1"/>
  <c r="BN1443" i="14"/>
  <c r="BN1588" i="14"/>
  <c r="AR1613" i="14"/>
  <c r="BN1613" i="14" s="1"/>
  <c r="AR1573" i="14"/>
  <c r="BN1573" i="14" s="1"/>
  <c r="AR1603" i="14"/>
  <c r="BN1603" i="14" s="1"/>
  <c r="AR1450" i="14"/>
  <c r="BN1450" i="14" s="1"/>
  <c r="AR1558" i="14"/>
  <c r="BN1558" i="14" s="1"/>
  <c r="AR1504" i="14"/>
  <c r="BN1504" i="14" s="1"/>
  <c r="BN1587" i="14"/>
  <c r="BN1548" i="14"/>
  <c r="AR1561" i="14"/>
  <c r="BN1561" i="14" s="1"/>
  <c r="AR1516" i="14"/>
  <c r="BN1516" i="14" s="1"/>
  <c r="BN1447" i="14"/>
  <c r="BN1462" i="14"/>
  <c r="AR1433" i="14"/>
  <c r="BN1433" i="14" s="1"/>
  <c r="BN1455" i="14"/>
  <c r="AQ1544" i="14"/>
  <c r="AR1507" i="14"/>
  <c r="BN1507" i="14" s="1"/>
  <c r="I45" i="7" s="1"/>
  <c r="K45" i="7" s="1"/>
  <c r="AR1542" i="14"/>
  <c r="BN1542" i="14" s="1"/>
  <c r="BN1469" i="14"/>
  <c r="AR1524" i="14"/>
  <c r="BN1524" i="14" s="1"/>
  <c r="AR1580" i="14"/>
  <c r="BN1580" i="14" s="1"/>
  <c r="BN1508" i="14"/>
  <c r="AQ1508" i="14"/>
  <c r="BN1480" i="14"/>
  <c r="AR1611" i="14"/>
  <c r="BN1611" i="14" s="1"/>
  <c r="AR1532" i="14"/>
  <c r="BN1532" i="14" s="1"/>
  <c r="BN1473" i="14"/>
  <c r="I62" i="7" s="1"/>
  <c r="K62" i="7" s="1"/>
  <c r="AQ1473" i="14"/>
  <c r="AQ1572" i="14"/>
  <c r="BN1572" i="14"/>
  <c r="BN1498" i="14"/>
  <c r="AQ1498" i="14"/>
  <c r="AR1568" i="14"/>
  <c r="BN1568" i="14" s="1"/>
  <c r="AQ1468" i="14"/>
  <c r="AQ1585" i="14"/>
  <c r="AQ1513" i="14"/>
  <c r="AQ1628" i="14"/>
  <c r="BN1460" i="14"/>
  <c r="AQ1467" i="14"/>
  <c r="AR1463" i="14"/>
  <c r="BN1463" i="14" s="1"/>
  <c r="I67" i="7" s="1"/>
  <c r="K67" i="7" s="1"/>
  <c r="BN1628" i="14"/>
  <c r="BN1605" i="14"/>
  <c r="AQ1460" i="14"/>
  <c r="AQ1444" i="14"/>
  <c r="AQ1540" i="14"/>
  <c r="AQ1534" i="14"/>
  <c r="AQ1605" i="14"/>
  <c r="AQ1590" i="14"/>
  <c r="AQ1464" i="14"/>
  <c r="BN1590" i="14"/>
  <c r="AQ1539" i="14"/>
  <c r="AR1522" i="14"/>
  <c r="BN1522" i="14" s="1"/>
  <c r="BN1564" i="14"/>
  <c r="AQ1564" i="14"/>
  <c r="AQ1550" i="14"/>
  <c r="BN1484" i="14"/>
  <c r="BN1464" i="14"/>
  <c r="AQ1484" i="14"/>
  <c r="AQ1594" i="14"/>
  <c r="AQ1561" i="14"/>
  <c r="BN1539" i="14"/>
  <c r="I29" i="7" s="1"/>
  <c r="K29" i="7" s="1"/>
  <c r="BN1609" i="14"/>
  <c r="AQ1609" i="14"/>
  <c r="AQ1571" i="14"/>
  <c r="BN1571" i="14"/>
  <c r="I15" i="7" s="1"/>
  <c r="K15" i="7" s="1"/>
  <c r="AR1487" i="14"/>
  <c r="BN1487" i="14" s="1"/>
  <c r="I55" i="7" s="1"/>
  <c r="K55" i="7" s="1"/>
  <c r="BN1589" i="14"/>
  <c r="AQ1589" i="14"/>
  <c r="AQ1471" i="14"/>
  <c r="BN1471" i="14"/>
  <c r="I63" i="7" s="1"/>
  <c r="K63" i="7" s="1"/>
  <c r="BN1538" i="14"/>
  <c r="AR1631" i="14"/>
  <c r="BN1631" i="14" s="1"/>
  <c r="I3" i="7" s="1"/>
  <c r="I56" i="7"/>
  <c r="K56" i="7" s="1"/>
  <c r="I46" i="7"/>
  <c r="K46" i="7" s="1"/>
  <c r="I44" i="7"/>
  <c r="K44" i="7" s="1"/>
  <c r="I50" i="7"/>
  <c r="K50" i="7" s="1"/>
  <c r="I64" i="7"/>
  <c r="K64" i="7" s="1"/>
  <c r="I49" i="7"/>
  <c r="K49" i="7" s="1"/>
  <c r="I74" i="7"/>
  <c r="K74" i="7" s="1"/>
  <c r="I59" i="7"/>
  <c r="K59" i="7" s="1"/>
  <c r="I70" i="7"/>
  <c r="K70" i="7" s="1"/>
  <c r="I81" i="7"/>
  <c r="K81" i="7" s="1"/>
  <c r="I79" i="7"/>
  <c r="K79" i="7" s="1"/>
  <c r="I51" i="7"/>
  <c r="K51" i="7" s="1"/>
  <c r="I54" i="7"/>
  <c r="K54" i="7" s="1"/>
  <c r="I71" i="7"/>
  <c r="K71" i="7" s="1"/>
  <c r="I60" i="7"/>
  <c r="K60" i="7" s="1"/>
  <c r="I80" i="7"/>
  <c r="K80" i="7" s="1"/>
  <c r="I78" i="7"/>
  <c r="K78" i="7" s="1"/>
  <c r="I30" i="7"/>
  <c r="K30" i="7" s="1"/>
  <c r="I16" i="7"/>
  <c r="K16" i="7" s="1"/>
  <c r="I47" i="7"/>
  <c r="K47" i="7" s="1"/>
  <c r="I40" i="7"/>
  <c r="K40" i="7" s="1"/>
  <c r="I53" i="7"/>
  <c r="K53" i="7" s="1"/>
  <c r="I42" i="7"/>
  <c r="K42" i="7" s="1"/>
  <c r="I58" i="7"/>
  <c r="K58" i="7" s="1"/>
  <c r="I48" i="7"/>
  <c r="K48" i="7" s="1"/>
  <c r="I52" i="7"/>
  <c r="K52" i="7" s="1"/>
  <c r="I72" i="7"/>
  <c r="K72" i="7" s="1"/>
  <c r="I77" i="7"/>
  <c r="K77" i="7" s="1"/>
  <c r="I76" i="7"/>
  <c r="K76" i="7" s="1"/>
  <c r="I73" i="7"/>
  <c r="K73" i="7" s="1"/>
  <c r="AQ1631" i="14"/>
  <c r="AC1631" i="14"/>
  <c r="I4" i="7" l="1"/>
  <c r="K4" i="7" s="1"/>
  <c r="I5" i="7"/>
  <c r="I37" i="7"/>
  <c r="K37" i="7" s="1"/>
  <c r="I68" i="7"/>
  <c r="K68" i="7" s="1"/>
  <c r="I75" i="7"/>
  <c r="K75" i="7" s="1"/>
  <c r="I27" i="7"/>
  <c r="K27" i="7" s="1"/>
  <c r="I11" i="7"/>
  <c r="K11" i="7" s="1"/>
  <c r="I19" i="7"/>
  <c r="K19" i="7" s="1"/>
  <c r="I33" i="7"/>
  <c r="K33" i="7" s="1"/>
  <c r="I6" i="7"/>
  <c r="K6" i="7" s="1"/>
  <c r="I17" i="7"/>
  <c r="K17" i="7" s="1"/>
  <c r="I14" i="7"/>
  <c r="K14" i="7" s="1"/>
  <c r="I10" i="7"/>
  <c r="K10" i="7" s="1"/>
  <c r="I23" i="7"/>
  <c r="K23" i="7" s="1"/>
  <c r="I28" i="7"/>
  <c r="K28" i="7" s="1"/>
  <c r="I7" i="7"/>
  <c r="K7" i="7" s="1"/>
  <c r="I32" i="7"/>
  <c r="K32" i="7" s="1"/>
  <c r="I34" i="7"/>
  <c r="K34" i="7" s="1"/>
  <c r="I35" i="7"/>
  <c r="K35" i="7" s="1"/>
  <c r="I18" i="7"/>
  <c r="K18" i="7" s="1"/>
  <c r="I31" i="7"/>
  <c r="K31" i="7" s="1"/>
  <c r="I26" i="7"/>
  <c r="K26" i="7" s="1"/>
  <c r="I9" i="7"/>
  <c r="K9" i="7" s="1"/>
  <c r="I25" i="7"/>
  <c r="K25" i="7" s="1"/>
  <c r="I22" i="7"/>
  <c r="K22" i="7" s="1"/>
  <c r="I24" i="7"/>
  <c r="K24" i="7" s="1"/>
  <c r="I12" i="7"/>
  <c r="K12" i="7" s="1"/>
  <c r="I8" i="7"/>
  <c r="K8" i="7" s="1"/>
  <c r="I13" i="7"/>
  <c r="K13" i="7" s="1"/>
  <c r="I41" i="7"/>
  <c r="K41" i="7" s="1"/>
  <c r="I21" i="7"/>
  <c r="K21" i="7" s="1"/>
  <c r="I20" i="7"/>
  <c r="K20" i="7" s="1"/>
  <c r="I43" i="7"/>
  <c r="K43" i="7" s="1"/>
  <c r="K3" i="7"/>
  <c r="K5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<sst xmlns="http://schemas.openxmlformats.org/spreadsheetml/2006/main" count="567" uniqueCount="100">
  <si>
    <t>LAST</t>
  </si>
  <si>
    <t>Volume</t>
  </si>
  <si>
    <t>Open.Int</t>
  </si>
  <si>
    <t>Exp</t>
  </si>
  <si>
    <t>Strike</t>
  </si>
  <si>
    <t>Call Gex</t>
  </si>
  <si>
    <t>Put Gex</t>
  </si>
  <si>
    <t>Net Gex</t>
  </si>
  <si>
    <t>Net Dex</t>
  </si>
  <si>
    <t>31 OCT 25  (0)  100 (Weeklys)</t>
  </si>
  <si>
    <t>step</t>
  </si>
  <si>
    <t>Column1</t>
  </si>
  <si>
    <t>Column2</t>
  </si>
  <si>
    <t>Open.Int8</t>
  </si>
  <si>
    <t>Volume9</t>
  </si>
  <si>
    <t>Put D1</t>
  </si>
  <si>
    <t>Call D1</t>
  </si>
  <si>
    <t>Put gamma</t>
  </si>
  <si>
    <t>call gamma</t>
  </si>
  <si>
    <t>call d2</t>
  </si>
  <si>
    <t>put d2</t>
  </si>
  <si>
    <t>call N(d1)</t>
  </si>
  <si>
    <t>put N(d1)</t>
  </si>
  <si>
    <t>call vanna</t>
  </si>
  <si>
    <t>put vanna</t>
  </si>
  <si>
    <t>net vanna</t>
  </si>
  <si>
    <t>Column3</t>
  </si>
  <si>
    <t>Column4</t>
  </si>
  <si>
    <t>Column7</t>
  </si>
  <si>
    <t>Column9</t>
  </si>
  <si>
    <t>Column15</t>
  </si>
  <si>
    <t>Column16</t>
  </si>
  <si>
    <t>ASKP</t>
  </si>
  <si>
    <t>ASKC</t>
  </si>
  <si>
    <t>BIDC</t>
  </si>
  <si>
    <t>BIDP</t>
  </si>
  <si>
    <t>DeltaC</t>
  </si>
  <si>
    <t>put delta adj</t>
  </si>
  <si>
    <t>call delta adj</t>
  </si>
  <si>
    <t>DeltaP</t>
  </si>
  <si>
    <t>net delta adj</t>
  </si>
  <si>
    <t>All</t>
  </si>
  <si>
    <t>IV Calc P</t>
  </si>
  <si>
    <t>IV Calc C</t>
  </si>
  <si>
    <t>IV Calc AVG</t>
  </si>
  <si>
    <t>call helper</t>
  </si>
  <si>
    <t>put helper</t>
  </si>
  <si>
    <t>average IV</t>
  </si>
  <si>
    <t>High C</t>
  </si>
  <si>
    <t>Low C</t>
  </si>
  <si>
    <t>High P</t>
  </si>
  <si>
    <t>Low P</t>
  </si>
  <si>
    <t>SgammaC</t>
  </si>
  <si>
    <t>T</t>
  </si>
  <si>
    <t>Ticker</t>
  </si>
  <si>
    <t>Spot</t>
  </si>
  <si>
    <t>Expiry</t>
  </si>
  <si>
    <t>P delta adj vanna</t>
  </si>
  <si>
    <t>C delta adj vanna</t>
  </si>
  <si>
    <t>SgammaP</t>
  </si>
  <si>
    <t>dadj</t>
  </si>
  <si>
    <t>dadj2</t>
  </si>
  <si>
    <t>Sgammanet</t>
  </si>
  <si>
    <t>strike</t>
  </si>
  <si>
    <t>calls</t>
  </si>
  <si>
    <t>puts</t>
  </si>
  <si>
    <t>IV</t>
  </si>
  <si>
    <t>Column5</t>
  </si>
  <si>
    <t>DEXc</t>
  </si>
  <si>
    <t>DEXp</t>
  </si>
  <si>
    <t>charmc</t>
  </si>
  <si>
    <t>charmp</t>
  </si>
  <si>
    <t>charmnet</t>
  </si>
  <si>
    <t>NetDEX</t>
  </si>
  <si>
    <t>Charmc</t>
  </si>
  <si>
    <t>Charmp</t>
  </si>
  <si>
    <t>Charmnet</t>
  </si>
  <si>
    <t>IV smile</t>
  </si>
  <si>
    <t>gammap</t>
  </si>
  <si>
    <t>gammac</t>
  </si>
  <si>
    <t>Strike check</t>
  </si>
  <si>
    <t>Graphs</t>
  </si>
  <si>
    <t>iv smile2</t>
  </si>
  <si>
    <t>index</t>
  </si>
  <si>
    <t>helper sum</t>
  </si>
  <si>
    <t>Off</t>
  </si>
  <si>
    <t>vanna</t>
  </si>
  <si>
    <t>charm</t>
  </si>
  <si>
    <t>Light Red</t>
  </si>
  <si>
    <t>Desc</t>
  </si>
  <si>
    <t>Asc</t>
  </si>
  <si>
    <t>Teal</t>
  </si>
  <si>
    <t>Gamma</t>
  </si>
  <si>
    <t>Split</t>
  </si>
  <si>
    <t>Charm</t>
  </si>
  <si>
    <t>DESC</t>
  </si>
  <si>
    <t>Vanna</t>
  </si>
  <si>
    <t>Delta-Adj Gamma</t>
  </si>
  <si>
    <t>SPX</t>
  </si>
  <si>
    <t>Daily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</si>
</sst>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F400]h:mm:ss\ AM/PM"/>
    <numFmt numFmtId="165" formatCode="[&gt;=1000]0.0,&quot;K&quot;;[&lt;=-1000]\-0.0,&quot;K&quot;;0"/>
    <numFmt numFmtId="166" formatCode="0.0000000"/>
    <numFmt numFmtId="167" formatCode="0.00000000"/>
    <numFmt numFmtId="168" formatCode="0.0"/>
    <numFmt numFmtId="169" formatCode=";;;"/>
    <numFmt numFmtId="170" formatCode="#,###.00,,,&quot;B&quot;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rial"/>
      <family val="2"/>
    </font>
    <font>
      <b/>
      <sz val="16"/>
      <color theme="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4"/>
      <color rgb="FFFFFFFF"/>
      <name val="Arial"/>
      <family val="2"/>
    </font>
    <font>
      <sz val="14"/>
      <color rgb="FF000000"/>
      <name val="Arial"/>
      <family val="2"/>
    </font>
    <font>
      <b/>
      <sz val="18"/>
      <color rgb="FFFFFFFF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8"/>
      <color rgb="FF000000"/>
      <name val="Aptos Narrow"/>
      <family val="2"/>
    </font>
    <font>
      <sz val="14"/>
      <color theme="0"/>
      <name val="Aptos Narrow"/>
      <family val="2"/>
      <scheme val="minor"/>
    </font>
    <font>
      <b/>
      <sz val="16"/>
      <color rgb="FFFFFFFF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4"/>
      <color rgb="FFFFFFFF"/>
      <name val="Arial"/>
      <family val="2"/>
    </font>
    <font>
      <b/>
      <sz val="14"/>
      <color rgb="FFFFFFFF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B241D"/>
        <bgColor indexed="64"/>
      </patternFill>
    </fill>
    <fill>
      <patternFill patternType="solid">
        <fgColor rgb="FFF8696B"/>
        <bgColor indexed="64"/>
      </patternFill>
    </fill>
    <fill>
      <patternFill patternType="solid">
        <fgColor rgb="FF123D31"/>
        <bgColor indexed="64"/>
      </patternFill>
    </fill>
    <fill>
      <patternFill patternType="solid">
        <fgColor rgb="FF250F10"/>
        <bgColor indexed="64"/>
      </patternFill>
    </fill>
    <fill>
      <patternFill patternType="solid">
        <fgColor rgb="FF4AF6C3"/>
        <bgColor indexed="64"/>
      </patternFill>
    </fill>
    <fill>
      <patternFill patternType="solid">
        <fgColor rgb="FF401B1B"/>
        <bgColor indexed="64"/>
      </patternFill>
    </fill>
    <fill>
      <patternFill patternType="solid">
        <fgColor rgb="FF261010"/>
        <bgColor indexed="64"/>
      </patternFill>
    </fill>
    <fill>
      <patternFill patternType="solid">
        <fgColor rgb="FF6D2E2F"/>
        <bgColor indexed="64"/>
      </patternFill>
    </fill>
    <fill>
      <patternFill patternType="solid">
        <fgColor rgb="FF0E3127"/>
        <bgColor indexed="64"/>
      </patternFill>
    </fill>
    <fill>
      <patternFill patternType="solid">
        <fgColor rgb="FF0E2F25"/>
        <bgColor indexed="64"/>
      </patternFill>
    </fill>
    <fill>
      <patternFill patternType="solid">
        <fgColor rgb="FF0C2920"/>
        <bgColor indexed="64"/>
      </patternFill>
    </fill>
    <fill>
      <patternFill patternType="solid">
        <fgColor rgb="FF3B1919"/>
        <bgColor indexed="64"/>
      </patternFill>
    </fill>
    <fill>
      <patternFill patternType="solid">
        <fgColor rgb="FF3C191A"/>
        <bgColor indexed="64"/>
      </patternFill>
    </fill>
    <fill>
      <patternFill patternType="solid">
        <fgColor rgb="FF11382D"/>
        <bgColor indexed="64"/>
      </patternFill>
    </fill>
    <fill>
      <patternFill patternType="solid">
        <fgColor rgb="FF5F2829"/>
        <bgColor indexed="64"/>
      </patternFill>
    </fill>
    <fill>
      <patternFill patternType="solid">
        <fgColor rgb="FF431C1D"/>
        <bgColor indexed="64"/>
      </patternFill>
    </fill>
    <fill>
      <patternFill patternType="solid">
        <fgColor rgb="FF10382C"/>
        <bgColor indexed="64"/>
      </patternFill>
    </fill>
    <fill>
      <patternFill patternType="solid">
        <fgColor rgb="FF4D2021"/>
        <bgColor indexed="64"/>
      </patternFill>
    </fill>
    <fill>
      <patternFill patternType="solid">
        <fgColor rgb="FF4C2021"/>
        <bgColor indexed="64"/>
      </patternFill>
    </fill>
    <fill>
      <patternFill patternType="solid">
        <fgColor rgb="FF592626"/>
        <bgColor indexed="64"/>
      </patternFill>
    </fill>
    <fill>
      <patternFill patternType="solid">
        <fgColor rgb="FF542324"/>
        <bgColor indexed="64"/>
      </patternFill>
    </fill>
    <fill>
      <patternFill patternType="solid">
        <fgColor rgb="FF2C1213"/>
        <bgColor indexed="64"/>
      </patternFill>
    </fill>
    <fill>
      <patternFill patternType="solid">
        <fgColor rgb="FF632A2A"/>
        <bgColor indexed="64"/>
      </patternFill>
    </fill>
    <fill>
      <patternFill patternType="solid">
        <fgColor rgb="FF431C1C"/>
        <bgColor indexed="64"/>
      </patternFill>
    </fill>
    <fill>
      <patternFill patternType="solid">
        <fgColor rgb="FF753132"/>
        <bgColor indexed="64"/>
      </patternFill>
    </fill>
    <fill>
      <patternFill patternType="solid">
        <fgColor rgb="FF451D1D"/>
        <bgColor indexed="64"/>
      </patternFill>
    </fill>
    <fill>
      <patternFill patternType="solid">
        <fgColor rgb="FF351617"/>
        <bgColor indexed="64"/>
      </patternFill>
    </fill>
    <fill>
      <patternFill patternType="solid">
        <fgColor rgb="FF1A5745"/>
        <bgColor indexed="64"/>
      </patternFill>
    </fill>
    <fill>
      <patternFill patternType="solid">
        <fgColor rgb="FF278469"/>
        <bgColor indexed="64"/>
      </patternFill>
    </fill>
    <fill>
      <patternFill patternType="solid">
        <fgColor rgb="FF3CCAA0"/>
        <bgColor indexed="64"/>
      </patternFill>
    </fill>
    <fill>
      <patternFill patternType="solid">
        <fgColor rgb="FF134234"/>
        <bgColor indexed="64"/>
      </patternFill>
    </fill>
    <fill>
      <patternFill patternType="solid">
        <fgColor rgb="FF30A280"/>
        <bgColor indexed="64"/>
      </patternFill>
    </fill>
    <fill>
      <patternFill patternType="solid">
        <fgColor rgb="FF195342"/>
        <bgColor indexed="64"/>
      </patternFill>
    </fill>
    <fill>
      <patternFill patternType="solid">
        <fgColor rgb="FF1B5B48"/>
        <bgColor indexed="64"/>
      </patternFill>
    </fill>
    <fill>
      <patternFill patternType="solid">
        <fgColor rgb="FF3BC59C"/>
        <bgColor indexed="64"/>
      </patternFill>
    </fill>
    <fill>
      <patternFill patternType="solid">
        <fgColor rgb="FF3AC39B"/>
        <bgColor indexed="64"/>
      </patternFill>
    </fill>
    <fill>
      <patternFill patternType="solid">
        <fgColor rgb="FF1F6852"/>
        <bgColor indexed="64"/>
      </patternFill>
    </fill>
    <fill>
      <patternFill patternType="solid">
        <fgColor rgb="FF0D2E24"/>
        <bgColor indexed="64"/>
      </patternFill>
    </fill>
    <fill>
      <patternFill patternType="solid">
        <fgColor rgb="FF2F9D7C"/>
        <bgColor indexed="64"/>
      </patternFill>
    </fill>
    <fill>
      <patternFill patternType="solid">
        <fgColor rgb="FF1F6752"/>
        <bgColor indexed="64"/>
      </patternFill>
    </fill>
    <fill>
      <patternFill patternType="solid">
        <fgColor rgb="FF632A2B"/>
        <bgColor indexed="64"/>
      </patternFill>
    </fill>
    <fill>
      <patternFill patternType="solid">
        <fgColor rgb="FFF6686A"/>
        <bgColor indexed="64"/>
      </patternFill>
    </fill>
    <fill>
      <patternFill patternType="solid">
        <fgColor rgb="FF47EDBC"/>
        <bgColor indexed="64"/>
      </patternFill>
    </fill>
    <fill>
      <patternFill patternType="solid">
        <fgColor rgb="FF43E1B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2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0" xfId="0" applyFill="1"/>
    <xf numFmtId="0" fontId="5" fillId="3" borderId="0" xfId="0" applyFont="1" applyFill="1"/>
    <xf numFmtId="22" fontId="0" fillId="0" borderId="0" xfId="0" applyNumberFormat="1"/>
    <xf numFmtId="20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0" fillId="2" borderId="0" xfId="0" applyFill="1"/>
    <xf numFmtId="167" fontId="0" fillId="0" borderId="0" xfId="0" applyNumberFormat="1"/>
    <xf numFmtId="168" fontId="0" fillId="0" borderId="0" xfId="0" applyNumberFormat="1"/>
    <xf numFmtId="0" fontId="9" fillId="3" borderId="0" xfId="0" applyFont="1" applyFill="1" applyAlignment="1">
      <alignment horizontal="center"/>
    </xf>
    <xf numFmtId="9" fontId="0" fillId="0" borderId="0" xfId="2" applyFont="1"/>
    <xf numFmtId="9" fontId="0" fillId="0" borderId="0" xfId="0" applyNumberFormat="1"/>
    <xf numFmtId="0" fontId="0" fillId="0" borderId="15" xfId="0" applyBorder="1"/>
    <xf numFmtId="0" fontId="0" fillId="0" borderId="16" xfId="0" applyBorder="1"/>
    <xf numFmtId="0" fontId="0" fillId="2" borderId="15" xfId="0" applyFill="1" applyBorder="1"/>
    <xf numFmtId="22" fontId="0" fillId="2" borderId="0" xfId="0" applyNumberFormat="1" applyFill="1"/>
    <xf numFmtId="1" fontId="0" fillId="2" borderId="0" xfId="0" applyNumberFormat="1" applyFill="1"/>
    <xf numFmtId="167" fontId="0" fillId="2" borderId="0" xfId="0" applyNumberFormat="1" applyFill="1"/>
    <xf numFmtId="0" fontId="0" fillId="3" borderId="5" xfId="0" applyFill="1" applyBorder="1" applyAlignment="1">
      <alignment horizontal="left"/>
    </xf>
    <xf numFmtId="14" fontId="0" fillId="3" borderId="4" xfId="0" applyNumberFormat="1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44" fontId="0" fillId="3" borderId="5" xfId="1" applyFont="1" applyFill="1" applyBorder="1"/>
    <xf numFmtId="0" fontId="0" fillId="3" borderId="4" xfId="0" applyFill="1" applyBorder="1" applyAlignment="1">
      <alignment horizontal="left"/>
    </xf>
    <xf numFmtId="44" fontId="0" fillId="3" borderId="9" xfId="1" applyFont="1" applyFill="1" applyBorder="1"/>
    <xf numFmtId="0" fontId="0" fillId="3" borderId="8" xfId="0" applyFill="1" applyBorder="1" applyAlignment="1">
      <alignment horizontal="left"/>
    </xf>
    <xf numFmtId="14" fontId="0" fillId="3" borderId="5" xfId="0" applyNumberFormat="1" applyFill="1" applyBorder="1" applyAlignment="1">
      <alignment horizontal="left"/>
    </xf>
    <xf numFmtId="44" fontId="3" fillId="3" borderId="9" xfId="0" applyNumberFormat="1" applyFont="1" applyFill="1" applyBorder="1" applyAlignment="1">
      <alignment horizontal="left"/>
    </xf>
    <xf numFmtId="44" fontId="3" fillId="3" borderId="9" xfId="1" applyFont="1" applyFill="1" applyBorder="1"/>
    <xf numFmtId="0" fontId="3" fillId="3" borderId="2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left"/>
    </xf>
    <xf numFmtId="44" fontId="3" fillId="3" borderId="14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44" fontId="3" fillId="3" borderId="5" xfId="1" applyFont="1" applyFill="1" applyBorder="1"/>
    <xf numFmtId="22" fontId="8" fillId="3" borderId="0" xfId="0" applyNumberFormat="1" applyFont="1" applyFill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3" borderId="10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right"/>
    </xf>
    <xf numFmtId="14" fontId="2" fillId="3" borderId="4" xfId="0" applyNumberFormat="1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3" borderId="17" xfId="0" applyFont="1" applyFill="1" applyBorder="1" applyAlignment="1">
      <alignment horizontal="right"/>
    </xf>
    <xf numFmtId="0" fontId="2" fillId="3" borderId="18" xfId="0" applyFont="1" applyFill="1" applyBorder="1" applyAlignment="1">
      <alignment horizontal="right"/>
    </xf>
    <xf numFmtId="0" fontId="0" fillId="2" borderId="19" xfId="0" applyFill="1" applyBorder="1"/>
    <xf numFmtId="0" fontId="0" fillId="2" borderId="20" xfId="0" applyFill="1" applyBorder="1"/>
    <xf numFmtId="9" fontId="0" fillId="2" borderId="20" xfId="2" applyFont="1" applyFill="1" applyBorder="1"/>
    <xf numFmtId="43" fontId="0" fillId="2" borderId="20" xfId="3" applyFont="1" applyFill="1" applyBorder="1"/>
    <xf numFmtId="22" fontId="0" fillId="2" borderId="20" xfId="0" applyNumberFormat="1" applyFill="1" applyBorder="1"/>
    <xf numFmtId="1" fontId="0" fillId="2" borderId="20" xfId="0" applyNumberFormat="1" applyFill="1" applyBorder="1"/>
    <xf numFmtId="0" fontId="0" fillId="0" borderId="20" xfId="0" applyBorder="1"/>
    <xf numFmtId="0" fontId="0" fillId="0" borderId="0" xfId="0" applyAlignment="1">
      <alignment wrapText="1"/>
    </xf>
    <xf numFmtId="0" fontId="9" fillId="3" borderId="0" xfId="0" applyFont="1" applyFill="1" applyAlignment="1">
      <alignment horizontal="left"/>
    </xf>
    <xf numFmtId="0" fontId="12" fillId="3" borderId="2" xfId="0" applyFont="1" applyFill="1" applyBorder="1" applyAlignment="1">
      <alignment horizontal="left"/>
    </xf>
    <xf numFmtId="0" fontId="5" fillId="3" borderId="0" xfId="0" applyFont="1" applyFill="1" applyAlignment="1">
      <alignment wrapText="1"/>
    </xf>
    <xf numFmtId="9" fontId="0" fillId="0" borderId="0" xfId="2" applyFont="1" applyAlignment="1">
      <alignment wrapText="1"/>
    </xf>
    <xf numFmtId="14" fontId="0" fillId="2" borderId="20" xfId="0" applyNumberFormat="1" applyFill="1" applyBorder="1"/>
    <xf numFmtId="14" fontId="3" fillId="3" borderId="21" xfId="0" applyNumberFormat="1" applyFont="1" applyFill="1" applyBorder="1" applyAlignment="1">
      <alignment horizontal="left"/>
    </xf>
    <xf numFmtId="14" fontId="0" fillId="3" borderId="22" xfId="0" applyNumberFormat="1" applyFill="1" applyBorder="1" applyAlignment="1">
      <alignment horizontal="left"/>
    </xf>
    <xf numFmtId="14" fontId="0" fillId="3" borderId="21" xfId="0" applyNumberFormat="1" applyFill="1" applyBorder="1" applyAlignment="1">
      <alignment horizontal="left"/>
    </xf>
    <xf numFmtId="0" fontId="3" fillId="3" borderId="23" xfId="0" applyFont="1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3" borderId="25" xfId="0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165" fontId="10" fillId="4" borderId="0" xfId="0" applyNumberFormat="1" applyFont="1" applyFill="1" applyAlignment="1">
      <alignment horizontal="center"/>
    </xf>
    <xf numFmtId="165" fontId="11" fillId="4" borderId="0" xfId="0" applyNumberFormat="1" applyFont="1" applyFill="1" applyAlignment="1">
      <alignment horizontal="center"/>
    </xf>
    <xf numFmtId="165" fontId="10" fillId="5" borderId="0" xfId="0" applyNumberFormat="1" applyFont="1" applyFill="1" applyAlignment="1">
      <alignment horizontal="center"/>
    </xf>
    <xf numFmtId="43" fontId="0" fillId="0" borderId="0" xfId="3" applyFont="1"/>
    <xf numFmtId="0" fontId="0" fillId="0" borderId="0" xfId="2" applyNumberFormat="1" applyFont="1"/>
    <xf numFmtId="0" fontId="13" fillId="6" borderId="0" xfId="0" applyFont="1" applyFill="1" applyAlignment="1">
      <alignment horizontal="center" vertical="center"/>
    </xf>
    <xf numFmtId="0" fontId="0" fillId="0" borderId="0" xfId="3" applyNumberFormat="1" applyFont="1"/>
    <xf numFmtId="9" fontId="0" fillId="2" borderId="0" xfId="2" applyFont="1" applyFill="1"/>
    <xf numFmtId="167" fontId="0" fillId="0" borderId="26" xfId="0" applyNumberFormat="1" applyBorder="1"/>
    <xf numFmtId="0" fontId="0" fillId="0" borderId="27" xfId="0" applyBorder="1"/>
    <xf numFmtId="9" fontId="0" fillId="0" borderId="27" xfId="2" applyFont="1" applyBorder="1"/>
    <xf numFmtId="14" fontId="0" fillId="0" borderId="27" xfId="0" applyNumberFormat="1" applyBorder="1"/>
    <xf numFmtId="22" fontId="0" fillId="0" borderId="27" xfId="0" applyNumberFormat="1" applyBorder="1"/>
    <xf numFmtId="1" fontId="0" fillId="0" borderId="27" xfId="0" applyNumberFormat="1" applyBorder="1"/>
    <xf numFmtId="0" fontId="0" fillId="0" borderId="27" xfId="2" applyNumberFormat="1" applyFont="1" applyBorder="1"/>
    <xf numFmtId="0" fontId="0" fillId="0" borderId="0" xfId="2" applyNumberFormat="1" applyFont="1" applyAlignment="1">
      <alignment wrapText="1"/>
    </xf>
    <xf numFmtId="0" fontId="0" fillId="2" borderId="0" xfId="2" applyNumberFormat="1" applyFont="1" applyFill="1"/>
    <xf numFmtId="0" fontId="0" fillId="2" borderId="20" xfId="2" applyNumberFormat="1" applyFont="1" applyFill="1" applyBorder="1"/>
    <xf numFmtId="165" fontId="10" fillId="7" borderId="0" xfId="0" applyNumberFormat="1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165" fontId="10" fillId="8" borderId="0" xfId="0" applyNumberFormat="1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169" fontId="0" fillId="3" borderId="0" xfId="0" applyNumberFormat="1" applyFill="1"/>
    <xf numFmtId="165" fontId="16" fillId="3" borderId="30" xfId="3" applyNumberFormat="1" applyFont="1" applyFill="1" applyBorder="1" applyAlignment="1">
      <alignment horizontal="right"/>
    </xf>
    <xf numFmtId="0" fontId="0" fillId="3" borderId="31" xfId="0" applyFill="1" applyBorder="1" applyAlignment="1">
      <alignment horizontal="right"/>
    </xf>
    <xf numFmtId="0" fontId="0" fillId="3" borderId="31" xfId="0" applyFill="1" applyBorder="1" applyAlignment="1">
      <alignment horizontal="left"/>
    </xf>
    <xf numFmtId="0" fontId="0" fillId="3" borderId="32" xfId="0" applyFill="1" applyBorder="1" applyAlignment="1">
      <alignment horizontal="left"/>
    </xf>
    <xf numFmtId="14" fontId="0" fillId="3" borderId="33" xfId="0" applyNumberFormat="1" applyFill="1" applyBorder="1" applyAlignment="1">
      <alignment horizontal="left"/>
    </xf>
    <xf numFmtId="0" fontId="0" fillId="3" borderId="34" xfId="0" applyFill="1" applyBorder="1" applyAlignment="1">
      <alignment horizontal="left"/>
    </xf>
    <xf numFmtId="0" fontId="0" fillId="3" borderId="33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18" xfId="0" applyFill="1" applyBorder="1" applyAlignment="1">
      <alignment horizontal="left"/>
    </xf>
    <xf numFmtId="44" fontId="0" fillId="3" borderId="0" xfId="1" applyFont="1" applyFill="1" applyBorder="1"/>
    <xf numFmtId="0" fontId="0" fillId="3" borderId="35" xfId="0" applyFill="1" applyBorder="1"/>
    <xf numFmtId="0" fontId="0" fillId="3" borderId="36" xfId="0" applyFill="1" applyBorder="1" applyAlignment="1">
      <alignment horizontal="left"/>
    </xf>
    <xf numFmtId="44" fontId="0" fillId="3" borderId="35" xfId="1" applyFont="1" applyFill="1" applyBorder="1"/>
    <xf numFmtId="44" fontId="0" fillId="3" borderId="37" xfId="1" applyFont="1" applyFill="1" applyBorder="1"/>
    <xf numFmtId="0" fontId="7" fillId="3" borderId="38" xfId="0" applyFont="1" applyFill="1" applyBorder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3" fillId="3" borderId="30" xfId="0" applyFont="1" applyFill="1" applyBorder="1" applyAlignment="1">
      <alignment horizontal="center"/>
    </xf>
    <xf numFmtId="14" fontId="3" fillId="3" borderId="30" xfId="0" applyNumberFormat="1" applyFont="1" applyFill="1" applyBorder="1" applyAlignment="1">
      <alignment horizontal="center"/>
    </xf>
    <xf numFmtId="169" fontId="3" fillId="3" borderId="0" xfId="0" applyNumberFormat="1" applyFont="1" applyFill="1" applyAlignment="1">
      <alignment horizontal="center"/>
    </xf>
    <xf numFmtId="0" fontId="7" fillId="3" borderId="39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165" fontId="16" fillId="3" borderId="0" xfId="3" applyNumberFormat="1" applyFont="1" applyFill="1" applyBorder="1" applyAlignment="1">
      <alignment horizontal="right"/>
    </xf>
    <xf numFmtId="0" fontId="7" fillId="3" borderId="0" xfId="0" applyFont="1" applyFill="1" applyAlignment="1">
      <alignment horizontal="center"/>
    </xf>
    <xf numFmtId="0" fontId="0" fillId="3" borderId="41" xfId="0" applyFill="1" applyBorder="1" applyAlignment="1">
      <alignment horizontal="left"/>
    </xf>
    <xf numFmtId="0" fontId="6" fillId="3" borderId="41" xfId="0" applyFont="1" applyFill="1" applyBorder="1" applyAlignment="1">
      <alignment horizontal="left"/>
    </xf>
    <xf numFmtId="0" fontId="7" fillId="3" borderId="42" xfId="0" applyFont="1" applyFill="1" applyBorder="1" applyAlignment="1">
      <alignment horizontal="left"/>
    </xf>
    <xf numFmtId="0" fontId="7" fillId="3" borderId="43" xfId="0" applyFont="1" applyFill="1" applyBorder="1" applyAlignment="1">
      <alignment horizontal="left"/>
    </xf>
    <xf numFmtId="0" fontId="7" fillId="3" borderId="41" xfId="0" applyFont="1" applyFill="1" applyBorder="1" applyAlignment="1">
      <alignment horizontal="left"/>
    </xf>
    <xf numFmtId="0" fontId="7" fillId="3" borderId="44" xfId="0" applyFont="1" applyFill="1" applyBorder="1" applyAlignment="1">
      <alignment horizontal="left"/>
    </xf>
    <xf numFmtId="0" fontId="8" fillId="3" borderId="30" xfId="0" applyFont="1" applyFill="1" applyBorder="1" applyAlignment="1">
      <alignment horizontal="center"/>
    </xf>
    <xf numFmtId="0" fontId="8" fillId="3" borderId="45" xfId="0" applyFont="1" applyFill="1" applyBorder="1" applyAlignment="1">
      <alignment horizontal="center" vertical="center"/>
    </xf>
    <xf numFmtId="169" fontId="0" fillId="3" borderId="46" xfId="0" applyNumberFormat="1" applyFill="1" applyBorder="1" applyAlignment="1">
      <alignment horizontal="left"/>
    </xf>
    <xf numFmtId="169" fontId="18" fillId="3" borderId="46" xfId="0" applyNumberFormat="1" applyFont="1" applyFill="1" applyBorder="1" applyAlignment="1">
      <alignment horizontal="left"/>
    </xf>
    <xf numFmtId="169" fontId="0" fillId="3" borderId="46" xfId="1" applyNumberFormat="1" applyFont="1" applyFill="1" applyBorder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17" fillId="3" borderId="46" xfId="0" applyNumberFormat="1" applyFont="1" applyFill="1" applyBorder="1" applyAlignment="1">
      <alignment horizontal="centerContinuous" vertical="center"/>
    </xf>
    <xf numFmtId="14" fontId="17" fillId="3" borderId="28" xfId="0" applyNumberFormat="1" applyFont="1" applyFill="1" applyBorder="1" applyAlignment="1">
      <alignment horizontal="centerContinuous" vertical="center"/>
    </xf>
    <xf numFmtId="169" fontId="7" fillId="3" borderId="28" xfId="0" applyNumberFormat="1" applyFont="1" applyFill="1" applyBorder="1" applyAlignment="1">
      <alignment horizontal="center"/>
    </xf>
    <xf numFmtId="169" fontId="0" fillId="3" borderId="28" xfId="0" applyNumberFormat="1" applyFill="1" applyBorder="1" applyAlignment="1">
      <alignment horizontal="center"/>
    </xf>
    <xf numFmtId="169" fontId="7" fillId="3" borderId="46" xfId="0" applyNumberFormat="1" applyFont="1" applyFill="1" applyBorder="1" applyAlignment="1">
      <alignment horizontal="center"/>
    </xf>
    <xf numFmtId="169" fontId="3" fillId="3" borderId="46" xfId="0" applyNumberFormat="1" applyFont="1" applyFill="1" applyBorder="1" applyAlignment="1">
      <alignment horizontal="center"/>
    </xf>
    <xf numFmtId="169" fontId="0" fillId="3" borderId="46" xfId="0" applyNumberFormat="1" applyFill="1" applyBorder="1"/>
    <xf numFmtId="169" fontId="0" fillId="3" borderId="28" xfId="0" applyNumberFormat="1" applyFill="1" applyBorder="1"/>
    <xf numFmtId="169" fontId="0" fillId="3" borderId="28" xfId="0" applyNumberFormat="1" applyFill="1" applyBorder="1" applyAlignment="1">
      <alignment horizontal="left"/>
    </xf>
    <xf numFmtId="169" fontId="0" fillId="3" borderId="28" xfId="1" applyNumberFormat="1" applyFont="1" applyFill="1" applyBorder="1"/>
    <xf numFmtId="170" fontId="0" fillId="0" borderId="0" xfId="3" applyNumberFormat="1" applyFont="1"/>
    <xf numFmtId="165" fontId="11" fillId="6" borderId="48" xfId="0" applyNumberFormat="1" applyFont="1" applyFill="1" applyBorder="1" applyAlignment="1">
      <alignment horizontal="center"/>
    </xf>
    <xf numFmtId="0" fontId="19" fillId="3" borderId="0" xfId="0" applyFont="1" applyFill="1"/>
    <xf numFmtId="14" fontId="20" fillId="3" borderId="0" xfId="0" applyNumberFormat="1" applyFont="1" applyFill="1" applyAlignment="1">
      <alignment horizontal="center"/>
    </xf>
    <xf numFmtId="170" fontId="21" fillId="3" borderId="47" xfId="0" applyNumberFormat="1" applyFont="1" applyFill="1" applyBorder="1" applyAlignment="1">
      <alignment horizontal="centerContinuous" vertical="center"/>
    </xf>
    <xf numFmtId="0" fontId="21" fillId="3" borderId="29" xfId="0" applyFont="1" applyFill="1" applyBorder="1" applyAlignment="1">
      <alignment horizontal="centerContinuous" vertical="center"/>
    </xf>
    <xf numFmtId="0" fontId="21" fillId="3" borderId="47" xfId="0" applyFont="1" applyFill="1" applyBorder="1" applyAlignment="1">
      <alignment horizontal="centerContinuous" vertical="center"/>
    </xf>
    <xf numFmtId="165" fontId="11" fillId="9" borderId="48" xfId="0" applyNumberFormat="1" applyFont="1" applyFill="1" applyBorder="1" applyAlignment="1">
      <alignment horizontal="center"/>
    </xf>
    <xf numFmtId="165" fontId="10" fillId="4" borderId="0" xfId="0" applyNumberFormat="1" applyFont="1" applyFill="1" applyBorder="1" applyAlignment="1">
      <alignment horizontal="center"/>
    </xf>
    <xf numFmtId="165" fontId="10" fillId="13" borderId="0" xfId="0" applyNumberFormat="1" applyFont="1" applyFill="1" applyBorder="1" applyAlignment="1">
      <alignment horizontal="center"/>
    </xf>
    <xf numFmtId="165" fontId="10" fillId="14" borderId="0" xfId="0" applyNumberFormat="1" applyFont="1" applyFill="1" applyBorder="1" applyAlignment="1">
      <alignment horizontal="center"/>
    </xf>
    <xf numFmtId="165" fontId="10" fillId="15" borderId="0" xfId="0" applyNumberFormat="1" applyFont="1" applyFill="1" applyBorder="1" applyAlignment="1">
      <alignment horizontal="center"/>
    </xf>
    <xf numFmtId="165" fontId="10" fillId="16" borderId="0" xfId="0" applyNumberFormat="1" applyFont="1" applyFill="1" applyBorder="1" applyAlignment="1">
      <alignment horizontal="center"/>
    </xf>
    <xf numFmtId="165" fontId="10" fillId="17" borderId="0" xfId="0" applyNumberFormat="1" applyFont="1" applyFill="1" applyBorder="1" applyAlignment="1">
      <alignment horizontal="center"/>
    </xf>
    <xf numFmtId="165" fontId="10" fillId="18" borderId="0" xfId="0" applyNumberFormat="1" applyFont="1" applyFill="1" applyBorder="1" applyAlignment="1">
      <alignment horizontal="center"/>
    </xf>
    <xf numFmtId="165" fontId="10" fillId="19" borderId="0" xfId="0" applyNumberFormat="1" applyFont="1" applyFill="1" applyBorder="1" applyAlignment="1">
      <alignment horizontal="center"/>
    </xf>
    <xf numFmtId="165" fontId="10" fillId="20" borderId="0" xfId="0" applyNumberFormat="1" applyFont="1" applyFill="1" applyBorder="1" applyAlignment="1">
      <alignment horizontal="center"/>
    </xf>
    <xf numFmtId="165" fontId="10" fillId="11" borderId="0" xfId="0" applyNumberFormat="1" applyFont="1" applyFill="1" applyBorder="1" applyAlignment="1">
      <alignment horizontal="center"/>
    </xf>
    <xf numFmtId="165" fontId="10" fillId="21" borderId="0" xfId="0" applyNumberFormat="1" applyFont="1" applyFill="1" applyBorder="1" applyAlignment="1">
      <alignment horizontal="center"/>
    </xf>
    <xf numFmtId="165" fontId="10" fillId="22" borderId="0" xfId="0" applyNumberFormat="1" applyFont="1" applyFill="1" applyBorder="1" applyAlignment="1">
      <alignment horizontal="center"/>
    </xf>
    <xf numFmtId="165" fontId="10" fillId="23" borderId="0" xfId="0" applyNumberFormat="1" applyFont="1" applyFill="1" applyBorder="1" applyAlignment="1">
      <alignment horizontal="center"/>
    </xf>
    <xf numFmtId="165" fontId="10" fillId="24" borderId="0" xfId="0" applyNumberFormat="1" applyFont="1" applyFill="1" applyBorder="1" applyAlignment="1">
      <alignment horizontal="center"/>
    </xf>
    <xf numFmtId="165" fontId="10" fillId="25" borderId="0" xfId="0" applyNumberFormat="1" applyFont="1" applyFill="1" applyBorder="1" applyAlignment="1">
      <alignment horizontal="center"/>
    </xf>
    <xf numFmtId="165" fontId="10" fillId="26" borderId="0" xfId="0" applyNumberFormat="1" applyFont="1" applyFill="1" applyBorder="1" applyAlignment="1">
      <alignment horizontal="center"/>
    </xf>
    <xf numFmtId="165" fontId="10" fillId="12" borderId="0" xfId="0" applyNumberFormat="1" applyFont="1" applyFill="1" applyBorder="1" applyAlignment="1">
      <alignment horizontal="center"/>
    </xf>
    <xf numFmtId="165" fontId="10" fillId="27" borderId="0" xfId="0" applyNumberFormat="1" applyFont="1" applyFill="1" applyBorder="1" applyAlignment="1">
      <alignment horizontal="center"/>
    </xf>
    <xf numFmtId="165" fontId="10" fillId="28" borderId="0" xfId="0" applyNumberFormat="1" applyFont="1" applyFill="1" applyBorder="1" applyAlignment="1">
      <alignment horizontal="center"/>
    </xf>
    <xf numFmtId="165" fontId="10" fillId="29" borderId="0" xfId="0" applyNumberFormat="1" applyFont="1" applyFill="1" applyBorder="1" applyAlignment="1">
      <alignment horizontal="center"/>
    </xf>
    <xf numFmtId="165" fontId="10" fillId="30" borderId="0" xfId="0" applyNumberFormat="1" applyFont="1" applyFill="1" applyBorder="1" applyAlignment="1">
      <alignment horizontal="center"/>
    </xf>
    <xf numFmtId="165" fontId="10" fillId="10" borderId="0" xfId="0" applyNumberFormat="1" applyFont="1" applyFill="1" applyBorder="1" applyAlignment="1">
      <alignment horizontal="center"/>
    </xf>
    <xf numFmtId="165" fontId="10" fillId="31" borderId="0" xfId="0" applyNumberFormat="1" applyFont="1" applyFill="1" applyBorder="1" applyAlignment="1">
      <alignment horizontal="center"/>
    </xf>
    <xf numFmtId="165" fontId="10" fillId="32" borderId="0" xfId="0" applyNumberFormat="1" applyFont="1" applyFill="1" applyBorder="1" applyAlignment="1">
      <alignment horizontal="center"/>
    </xf>
    <xf numFmtId="165" fontId="10" fillId="33" borderId="0" xfId="0" applyNumberFormat="1" applyFont="1" applyFill="1" applyBorder="1" applyAlignment="1">
      <alignment horizontal="center"/>
    </xf>
    <xf numFmtId="165" fontId="11" fillId="34" borderId="0" xfId="0" applyNumberFormat="1" applyFont="1" applyFill="1" applyBorder="1" applyAlignment="1">
      <alignment horizontal="center"/>
    </xf>
    <xf numFmtId="165" fontId="10" fillId="35" borderId="0" xfId="0" applyNumberFormat="1" applyFont="1" applyFill="1" applyBorder="1" applyAlignment="1">
      <alignment horizontal="center"/>
    </xf>
    <xf numFmtId="165" fontId="10" fillId="36" borderId="0" xfId="0" applyNumberFormat="1" applyFont="1" applyFill="1" applyBorder="1" applyAlignment="1">
      <alignment horizontal="center"/>
    </xf>
    <xf numFmtId="165" fontId="10" fillId="37" borderId="0" xfId="0" applyNumberFormat="1" applyFont="1" applyFill="1" applyBorder="1" applyAlignment="1">
      <alignment horizontal="center"/>
    </xf>
    <xf numFmtId="165" fontId="10" fillId="38" borderId="0" xfId="0" applyNumberFormat="1" applyFont="1" applyFill="1" applyBorder="1" applyAlignment="1">
      <alignment horizontal="center"/>
    </xf>
    <xf numFmtId="165" fontId="11" fillId="39" borderId="0" xfId="0" applyNumberFormat="1" applyFont="1" applyFill="1" applyBorder="1" applyAlignment="1">
      <alignment horizontal="center"/>
    </xf>
    <xf numFmtId="165" fontId="11" fillId="40" borderId="0" xfId="0" applyNumberFormat="1" applyFont="1" applyFill="1" applyBorder="1" applyAlignment="1">
      <alignment horizontal="center"/>
    </xf>
    <xf numFmtId="165" fontId="10" fillId="41" borderId="0" xfId="0" applyNumberFormat="1" applyFont="1" applyFill="1" applyBorder="1" applyAlignment="1">
      <alignment horizontal="center"/>
    </xf>
    <xf numFmtId="165" fontId="10" fillId="42" borderId="0" xfId="0" applyNumberFormat="1" applyFont="1" applyFill="1" applyBorder="1" applyAlignment="1">
      <alignment horizontal="center"/>
    </xf>
    <xf numFmtId="165" fontId="10" fillId="43" borderId="0" xfId="0" applyNumberFormat="1" applyFont="1" applyFill="1" applyBorder="1" applyAlignment="1">
      <alignment horizontal="center"/>
    </xf>
    <xf numFmtId="165" fontId="10" fillId="44" borderId="0" xfId="0" applyNumberFormat="1" applyFont="1" applyFill="1" applyBorder="1" applyAlignment="1">
      <alignment horizontal="center"/>
    </xf>
    <xf numFmtId="165" fontId="10" fillId="45" borderId="0" xfId="0" applyNumberFormat="1" applyFont="1" applyFill="1" applyBorder="1" applyAlignment="1">
      <alignment horizontal="center"/>
    </xf>
    <xf numFmtId="165" fontId="11" fillId="46" borderId="0" xfId="0" applyNumberFormat="1" applyFont="1" applyFill="1" applyBorder="1" applyAlignment="1">
      <alignment horizontal="center"/>
    </xf>
    <xf numFmtId="165" fontId="11" fillId="47" borderId="0" xfId="0" applyNumberFormat="1" applyFont="1" applyFill="1" applyBorder="1" applyAlignment="1">
      <alignment horizontal="center"/>
    </xf>
    <xf numFmtId="165" fontId="11" fillId="48" borderId="0" xfId="0" applyNumberFormat="1" applyFont="1" applyFill="1" applyBorder="1" applyAlignment="1">
      <alignment horizontal="center"/>
    </xf>
  </cellXfs>
  <cellStyles count="4">
    <cellStyle name="Comma" xfId="3" builtinId="3"/>
    <cellStyle name="Currency" xfId="1" builtinId="4"/>
    <cellStyle name="Normal" xfId="0" builtinId="0"/>
    <cellStyle name="Percent" xfId="2" builtinId="5"/>
  </cellStyles>
  <dxfs count="5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13" formatCode="0%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13" formatCode="0%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2" defaultTableStyle="TableStyleMedium2" defaultPivotStyle="PivotStyleLight16">
    <tableStyle name="Table Style 1" pivot="0" count="0" xr9:uid="{00000000-0011-0000-FFFF-FFFF00000000}"/>
    <tableStyle name="Table Style 2" pivot="0" count="0" xr9:uid="{00000000-0011-0000-FFFF-FFFF01000000}"/>
  </tableStyles>
  <colors>
    <mruColors>
      <color rgb="FFFF433D"/>
      <color rgb="FF9B9B9B"/>
      <color rgb="FF4AF6C3"/>
      <color rgb="FF9537D5"/>
      <color rgb="FF29888C"/>
      <color rgb="FF38B8BE"/>
      <color rgb="FF297C90"/>
      <color rgb="FF441565"/>
      <color rgb="FFF2E722"/>
      <color rgb="FF2F69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os.rtd">
      <tp>
        <v>6913.35</v>
        <stp/>
        <stp>LAST</stp>
        <stp>SPX</stp>
        <tr r="A4" s="14"/>
      </tp>
      <tp>
        <v>0.17</v>
        <stp/>
        <stp>low</stp>
        <stp>.SPXW260123C6995</stp>
        <tr r="AZ190" s="14"/>
      </tp>
      <tp>
        <v>0.22</v>
        <stp/>
        <stp>low</stp>
        <stp>.SPXW260123C6990</stp>
        <tr r="AZ185" s="14"/>
      </tp>
      <tp>
        <v>69.430000000000007</v>
        <stp/>
        <stp>low</stp>
        <stp>.SPXW260123P6995</stp>
        <tr r="BB190" s="14"/>
      </tp>
      <tp>
        <v>59.34</v>
        <stp/>
        <stp>low</stp>
        <stp>.SPXW260123P6990</stp>
        <tr r="BB185" s="14"/>
      </tp>
      <tp>
        <v>0.32</v>
        <stp/>
        <stp>low</stp>
        <stp>.SPXW260123C6985</stp>
        <tr r="AZ180" s="14"/>
      </tp>
      <tp>
        <v>0.4</v>
        <stp/>
        <stp>low</stp>
        <stp>.SPXW260123C6980</stp>
        <tr r="AZ175" s="14"/>
      </tp>
      <tp>
        <v>51</v>
        <stp/>
        <stp>low</stp>
        <stp>.SPXW260123P6985</stp>
        <tr r="BB180" s="14"/>
      </tp>
      <tp>
        <v>46.75</v>
        <stp/>
        <stp>low</stp>
        <stp>.SPXW260123P6980</stp>
        <tr r="BB175" s="14"/>
      </tp>
      <tp>
        <v>5</v>
        <stp/>
        <stp>low</stp>
        <stp>.SPXW260123C6935</stp>
        <tr r="AZ130" s="14"/>
      </tp>
      <tp>
        <v>6.3</v>
        <stp/>
        <stp>low</stp>
        <stp>.SPXW260123C6930</stp>
        <tr r="AZ125" s="14"/>
      </tp>
      <tp>
        <v>16.8</v>
        <stp/>
        <stp>low</stp>
        <stp>.SPXW260123P6935</stp>
        <tr r="BB130" s="14"/>
      </tp>
      <tp>
        <v>14.49</v>
        <stp/>
        <stp>low</stp>
        <stp>.SPXW260123P6930</stp>
        <tr r="BB125" s="14"/>
      </tp>
      <tp>
        <v>8</v>
        <stp/>
        <stp>low</stp>
        <stp>.SPXW260123C6925</stp>
        <tr r="AZ120" s="14"/>
      </tp>
      <tp>
        <v>9.9</v>
        <stp/>
        <stp>low</stp>
        <stp>.SPXW260123C6920</stp>
        <tr r="AZ115" s="14"/>
      </tp>
      <tp>
        <v>12.7</v>
        <stp/>
        <stp>low</stp>
        <stp>.SPXW260123P6925</stp>
        <tr r="BB120" s="14"/>
      </tp>
      <tp>
        <v>11.3</v>
        <stp/>
        <stp>low</stp>
        <stp>.SPXW260123P6920</stp>
        <tr r="BB115" s="14"/>
      </tp>
      <tp>
        <v>11.7</v>
        <stp/>
        <stp>low</stp>
        <stp>.SPXW260123C6915</stp>
        <tr r="AZ110" s="14"/>
      </tp>
      <tp>
        <v>14.4</v>
        <stp/>
        <stp>low</stp>
        <stp>.SPXW260123C6910</stp>
        <tr r="AZ105" s="14"/>
      </tp>
      <tp>
        <v>9.8000000000000007</v>
        <stp/>
        <stp>low</stp>
        <stp>.SPXW260123P6915</stp>
        <tr r="BB110" s="14"/>
      </tp>
      <tp>
        <v>8.4</v>
        <stp/>
        <stp>low</stp>
        <stp>.SPXW260123P6910</stp>
        <tr r="BB105" s="14"/>
      </tp>
      <tp>
        <v>17</v>
        <stp/>
        <stp>low</stp>
        <stp>.SPXW260123C6905</stp>
        <tr r="AZ100" s="14"/>
      </tp>
      <tp>
        <v>19.7</v>
        <stp/>
        <stp>low</stp>
        <stp>.SPXW260123C6900</stp>
        <tr r="AZ95" s="14"/>
      </tp>
      <tp>
        <v>7.6</v>
        <stp/>
        <stp>low</stp>
        <stp>.SPXW260123P6905</stp>
        <tr r="BB100" s="14"/>
      </tp>
      <tp>
        <v>6.5</v>
        <stp/>
        <stp>low</stp>
        <stp>.SPXW260123P6900</stp>
        <tr r="BB95" s="14"/>
      </tp>
      <tp>
        <v>0.55000000000000004</v>
        <stp/>
        <stp>low</stp>
        <stp>.SPXW260123C6975</stp>
        <tr r="AZ170" s="14"/>
      </tp>
      <tp>
        <v>0.75</v>
        <stp/>
        <stp>low</stp>
        <stp>.SPXW260123C6970</stp>
        <tr r="AZ165" s="14"/>
      </tp>
      <tp>
        <v>42.47</v>
        <stp/>
        <stp>low</stp>
        <stp>.SPXW260123P6975</stp>
        <tr r="BB170" s="14"/>
      </tp>
      <tp>
        <v>38</v>
        <stp/>
        <stp>low</stp>
        <stp>.SPXW260123P6970</stp>
        <tr r="BB165" s="14"/>
      </tp>
      <tp>
        <v>1</v>
        <stp/>
        <stp>low</stp>
        <stp>.SPXW260123C6965</stp>
        <tr r="AZ160" s="14"/>
      </tp>
      <tp>
        <v>1.3</v>
        <stp/>
        <stp>low</stp>
        <stp>.SPXW260123C6960</stp>
        <tr r="AZ155" s="14"/>
      </tp>
      <tp>
        <v>36.04</v>
        <stp/>
        <stp>low</stp>
        <stp>.SPXW260123P6965</stp>
        <tr r="BB160" s="14"/>
      </tp>
      <tp>
        <v>30.73</v>
        <stp/>
        <stp>low</stp>
        <stp>.SPXW260123P6960</stp>
        <tr r="BB155" s="14"/>
      </tp>
      <tp>
        <v>1.7</v>
        <stp/>
        <stp>low</stp>
        <stp>.SPXW260123C6955</stp>
        <tr r="AZ150" s="14"/>
      </tp>
      <tp>
        <v>2.25</v>
        <stp/>
        <stp>low</stp>
        <stp>.SPXW260123C6950</stp>
        <tr r="AZ145" s="14"/>
      </tp>
      <tp>
        <v>27.55</v>
        <stp/>
        <stp>low</stp>
        <stp>.SPXW260123P6955</stp>
        <tr r="BB150" s="14"/>
      </tp>
      <tp>
        <v>24.2</v>
        <stp/>
        <stp>low</stp>
        <stp>.SPXW260123P6950</stp>
        <tr r="BB145" s="14"/>
      </tp>
      <tp>
        <v>2.95</v>
        <stp/>
        <stp>low</stp>
        <stp>.SPXW260123C6945</stp>
        <tr r="AZ140" s="14"/>
      </tp>
      <tp>
        <v>3.8</v>
        <stp/>
        <stp>low</stp>
        <stp>.SPXW260123C6940</stp>
        <tr r="AZ135" s="14"/>
      </tp>
      <tp>
        <v>21.5</v>
        <stp/>
        <stp>low</stp>
        <stp>.SPXW260123P6945</stp>
        <tr r="BB140" s="14"/>
      </tp>
      <tp>
        <v>19</v>
        <stp/>
        <stp>low</stp>
        <stp>.SPXW260123P6940</stp>
        <tr r="BB135" s="14"/>
      </tp>
      <tp>
        <v>22.9</v>
        <stp/>
        <stp>low</stp>
        <stp>.SPXW260123C6895</stp>
        <tr r="AZ90" s="14"/>
      </tp>
      <tp>
        <v>25.97</v>
        <stp/>
        <stp>low</stp>
        <stp>.SPXW260123C6890</stp>
        <tr r="AZ85" s="14"/>
      </tp>
      <tp>
        <v>5.78</v>
        <stp/>
        <stp>low</stp>
        <stp>.SPXW260123P6895</stp>
        <tr r="BB90" s="14"/>
      </tp>
      <tp>
        <v>5.08</v>
        <stp/>
        <stp>low</stp>
        <stp>.SPXW260123P6890</stp>
        <tr r="BB85" s="14"/>
      </tp>
      <tp>
        <v>29.37</v>
        <stp/>
        <stp>low</stp>
        <stp>.SPXW260123C6885</stp>
        <tr r="AZ80" s="14"/>
      </tp>
      <tp>
        <v>33.1</v>
        <stp/>
        <stp>low</stp>
        <stp>.SPXW260123C6880</stp>
        <tr r="AZ75" s="14"/>
      </tp>
      <tp>
        <v>4.49</v>
        <stp/>
        <stp>low</stp>
        <stp>.SPXW260123P6885</stp>
        <tr r="BB80" s="14"/>
      </tp>
      <tp>
        <v>4</v>
        <stp/>
        <stp>low</stp>
        <stp>.SPXW260123P6880</stp>
        <tr r="BB75" s="14"/>
      </tp>
      <tp>
        <v>71.13</v>
        <stp/>
        <stp>low</stp>
        <stp>.SPXW260123C6835</stp>
        <tr r="AZ30" s="14"/>
      </tp>
      <tp>
        <v>76</v>
        <stp/>
        <stp>low</stp>
        <stp>.SPXW260123C6830</stp>
        <tr r="AZ25" s="14"/>
      </tp>
      <tp>
        <v>1.4</v>
        <stp/>
        <stp>low</stp>
        <stp>.SPXW260123P6835</stp>
        <tr r="BB30" s="14"/>
      </tp>
      <tp>
        <v>1.25</v>
        <stp/>
        <stp>low</stp>
        <stp>.SPXW260123P6830</stp>
        <tr r="BB25" s="14"/>
      </tp>
      <tp>
        <v>81.98</v>
        <stp/>
        <stp>low</stp>
        <stp>.SPXW260123C6825</stp>
        <tr r="AZ20" s="14"/>
      </tp>
      <tp>
        <v>81.39</v>
        <stp/>
        <stp>low</stp>
        <stp>.SPXW260123C6820</stp>
        <tr r="AZ15" s="14"/>
      </tp>
      <tp>
        <v>1.1499999999999999</v>
        <stp/>
        <stp>low</stp>
        <stp>.SPXW260123P6825</stp>
        <tr r="BB20" s="14"/>
      </tp>
      <tp>
        <v>1.05</v>
        <stp/>
        <stp>low</stp>
        <stp>.SPXW260123P6820</stp>
        <tr r="BB15" s="14"/>
      </tp>
      <tp>
        <v>93.95</v>
        <stp/>
        <stp>low</stp>
        <stp>.SPXW260123C6815</stp>
        <tr r="AZ10" s="14"/>
      </tp>
      <tp>
        <v>0.95</v>
        <stp/>
        <stp>low</stp>
        <stp>.SPXW260123P6815</stp>
        <tr r="BB10" s="14"/>
      </tp>
      <tp>
        <v>36.85</v>
        <stp/>
        <stp>low</stp>
        <stp>.SPXW260123C6875</stp>
        <tr r="AZ70" s="14"/>
      </tp>
      <tp>
        <v>40.97</v>
        <stp/>
        <stp>low</stp>
        <stp>.SPXW260123C6870</stp>
        <tr r="AZ65" s="14"/>
      </tp>
      <tp>
        <v>3.5</v>
        <stp/>
        <stp>low</stp>
        <stp>.SPXW260123P6875</stp>
        <tr r="BB70" s="14"/>
      </tp>
      <tp>
        <v>3.1</v>
        <stp/>
        <stp>low</stp>
        <stp>.SPXW260123P6870</stp>
        <tr r="BB65" s="14"/>
      </tp>
      <tp>
        <v>44.8</v>
        <stp/>
        <stp>low</stp>
        <stp>.SPXW260123C6865</stp>
        <tr r="AZ60" s="14"/>
      </tp>
      <tp>
        <v>50.22</v>
        <stp/>
        <stp>low</stp>
        <stp>.SPXW260123C6860</stp>
        <tr r="AZ55" s="14"/>
      </tp>
      <tp>
        <v>2.8</v>
        <stp/>
        <stp>low</stp>
        <stp>.SPXW260123P6865</stp>
        <tr r="BB60" s="14"/>
      </tp>
      <tp>
        <v>2.5</v>
        <stp/>
        <stp>low</stp>
        <stp>.SPXW260123P6860</stp>
        <tr r="BB55" s="14"/>
      </tp>
      <tp>
        <v>52.99</v>
        <stp/>
        <stp>low</stp>
        <stp>.SPXW260123C6855</stp>
        <tr r="AZ50" s="14"/>
      </tp>
      <tp>
        <v>56.9</v>
        <stp/>
        <stp>low</stp>
        <stp>.SPXW260123C6850</stp>
        <tr r="AZ45" s="14"/>
      </tp>
      <tp>
        <v>2.15</v>
        <stp/>
        <stp>low</stp>
        <stp>.SPXW260123P6855</stp>
        <tr r="BB50" s="14"/>
      </tp>
      <tp>
        <v>1.98</v>
        <stp/>
        <stp>low</stp>
        <stp>.SPXW260123P6850</stp>
        <tr r="BB45" s="14"/>
      </tp>
      <tp>
        <v>61.91</v>
        <stp/>
        <stp>low</stp>
        <stp>.SPXW260123C6845</stp>
        <tr r="AZ40" s="14"/>
      </tp>
      <tp>
        <v>66</v>
        <stp/>
        <stp>low</stp>
        <stp>.SPXW260123C6840</stp>
        <tr r="AZ35" s="14"/>
      </tp>
      <tp>
        <v>1.75</v>
        <stp/>
        <stp>low</stp>
        <stp>.SPXW260123P6845</stp>
        <tr r="BB40" s="14"/>
      </tp>
      <tp>
        <v>1.6</v>
        <stp/>
        <stp>low</stp>
        <stp>.SPXW260123P6840</stp>
        <tr r="BB35" s="14"/>
      </tp>
      <tp>
        <v>0.05</v>
        <stp/>
        <stp>low</stp>
        <stp>.SPXW260123C7015</stp>
        <tr r="AZ210" s="14"/>
      </tp>
      <tp>
        <v>0.05</v>
        <stp/>
        <stp>low</stp>
        <stp>.SPXW260123C7010</stp>
        <tr r="AZ205" s="14"/>
      </tp>
      <tp>
        <v>81.41</v>
        <stp/>
        <stp>low</stp>
        <stp>.SPXW260123P7015</stp>
        <tr r="BB210" s="14"/>
      </tp>
      <tp>
        <v>76.459999999999994</v>
        <stp/>
        <stp>low</stp>
        <stp>.SPXW260123P7010</stp>
        <tr r="BB205" s="14"/>
      </tp>
      <tp>
        <v>0.05</v>
        <stp/>
        <stp>low</stp>
        <stp>.SPXW260123C7005</stp>
        <tr r="AZ200" s="14"/>
      </tp>
      <tp>
        <v>0.1</v>
        <stp/>
        <stp>low</stp>
        <stp>.SPXW260123C7000</stp>
        <tr r="AZ195" s="14"/>
      </tp>
      <tp>
        <v>90</v>
        <stp/>
        <stp>low</stp>
        <stp>.SPXW260123P7005</stp>
        <tr r="BB200" s="14"/>
      </tp>
      <tp>
        <v>65.760000000000005</v>
        <stp/>
        <stp>low</stp>
        <stp>.SPXW260123P7000</stp>
        <tr r="BB195" s="14"/>
      </tp>
      <tp>
        <v>85.22</v>
        <stp/>
        <stp>high</stp>
        <stp>.SPXW260123P6990</stp>
        <tr r="BA185" s="14"/>
      </tp>
      <tp>
        <v>89.3</v>
        <stp/>
        <stp>high</stp>
        <stp>.SPXW260123P6995</stp>
        <tr r="BA190" s="14"/>
      </tp>
      <tp>
        <v>2.8</v>
        <stp/>
        <stp>high</stp>
        <stp>.SPXW260123C6990</stp>
        <tr r="AY185" s="14"/>
      </tp>
      <tp>
        <v>2.2200000000000002</v>
        <stp/>
        <stp>high</stp>
        <stp>.SPXW260123C6995</stp>
        <tr r="AY190" s="14"/>
      </tp>
      <tp>
        <v>82.63</v>
        <stp/>
        <stp>high</stp>
        <stp>.SPXW260123P6980</stp>
        <tr r="BA175" s="14"/>
      </tp>
      <tp>
        <v>87.53</v>
        <stp/>
        <stp>high</stp>
        <stp>.SPXW260123P6985</stp>
        <tr r="BA180" s="14"/>
      </tp>
      <tp>
        <v>4.3</v>
        <stp/>
        <stp>high</stp>
        <stp>.SPXW260123C6980</stp>
        <tr r="AY175" s="14"/>
      </tp>
      <tp>
        <v>3.4</v>
        <stp/>
        <stp>high</stp>
        <stp>.SPXW260123C6985</stp>
        <tr r="AY180" s="14"/>
      </tp>
      <tp>
        <v>73.72</v>
        <stp/>
        <stp>high</stp>
        <stp>.SPXW260123P6970</stp>
        <tr r="BA165" s="14"/>
      </tp>
      <tp>
        <v>76.459999999999994</v>
        <stp/>
        <stp>high</stp>
        <stp>.SPXW260123P6975</stp>
        <tr r="BA170" s="14"/>
      </tp>
      <tp>
        <v>6.5</v>
        <stp/>
        <stp>high</stp>
        <stp>.SPXW260123C6970</stp>
        <tr r="AY165" s="14"/>
      </tp>
      <tp>
        <v>5.2</v>
        <stp/>
        <stp>high</stp>
        <stp>.SPXW260123C6975</stp>
        <tr r="AY170" s="14"/>
      </tp>
      <tp>
        <v>64.84</v>
        <stp/>
        <stp>high</stp>
        <stp>.SPXW260123P6960</stp>
        <tr r="BA155" s="14"/>
      </tp>
      <tp>
        <v>69.73</v>
        <stp/>
        <stp>high</stp>
        <stp>.SPXW260123P6965</stp>
        <tr r="BA160" s="14"/>
      </tp>
      <tp>
        <v>9.4</v>
        <stp/>
        <stp>high</stp>
        <stp>.SPXW260123C6960</stp>
        <tr r="AY155" s="14"/>
      </tp>
      <tp>
        <v>7.66</v>
        <stp/>
        <stp>high</stp>
        <stp>.SPXW260123C6965</stp>
        <tr r="AY160" s="14"/>
      </tp>
      <tp>
        <v>59.5</v>
        <stp/>
        <stp>high</stp>
        <stp>.SPXW260123P6950</stp>
        <tr r="BA145" s="14"/>
      </tp>
      <tp>
        <v>59.86</v>
        <stp/>
        <stp>high</stp>
        <stp>.SPXW260123P6955</stp>
        <tr r="BA150" s="14"/>
      </tp>
      <tp>
        <v>13.1</v>
        <stp/>
        <stp>high</stp>
        <stp>.SPXW260123C6950</stp>
        <tr r="AY145" s="14"/>
      </tp>
      <tp>
        <v>11</v>
        <stp/>
        <stp>high</stp>
        <stp>.SPXW260123C6955</stp>
        <tr r="AY150" s="14"/>
      </tp>
      <tp>
        <v>49.7</v>
        <stp/>
        <stp>high</stp>
        <stp>.SPXW260123P6940</stp>
        <tr r="BA135" s="14"/>
      </tp>
      <tp>
        <v>53.19</v>
        <stp/>
        <stp>high</stp>
        <stp>.SPXW260123P6945</stp>
        <tr r="BA140" s="14"/>
      </tp>
      <tp>
        <v>17.5</v>
        <stp/>
        <stp>high</stp>
        <stp>.SPXW260123C6940</stp>
        <tr r="AY135" s="14"/>
      </tp>
      <tp>
        <v>15.1</v>
        <stp/>
        <stp>high</stp>
        <stp>.SPXW260123C6945</stp>
        <tr r="AY140" s="14"/>
      </tp>
      <tp>
        <v>43</v>
        <stp/>
        <stp>high</stp>
        <stp>.SPXW260123P6930</stp>
        <tr r="BA125" s="14"/>
      </tp>
      <tp>
        <v>46.5</v>
        <stp/>
        <stp>high</stp>
        <stp>.SPXW260123P6935</stp>
        <tr r="BA130" s="14"/>
      </tp>
      <tp>
        <v>23.1</v>
        <stp/>
        <stp>high</stp>
        <stp>.SPXW260123C6930</stp>
        <tr r="AY125" s="14"/>
      </tp>
      <tp>
        <v>20.14</v>
        <stp/>
        <stp>high</stp>
        <stp>.SPXW260123C6935</stp>
        <tr r="AY130" s="14"/>
      </tp>
      <tp>
        <v>36.5</v>
        <stp/>
        <stp>high</stp>
        <stp>.SPXW260123P6920</stp>
        <tr r="BA115" s="14"/>
      </tp>
      <tp>
        <v>40</v>
        <stp/>
        <stp>high</stp>
        <stp>.SPXW260123P6925</stp>
        <tr r="BA120" s="14"/>
      </tp>
      <tp>
        <v>28.54</v>
        <stp/>
        <stp>high</stp>
        <stp>.SPXW260123C6920</stp>
        <tr r="AY115" s="14"/>
      </tp>
      <tp>
        <v>26</v>
        <stp/>
        <stp>high</stp>
        <stp>.SPXW260123C6925</stp>
        <tr r="AY120" s="14"/>
      </tp>
      <tp>
        <v>31.7</v>
        <stp/>
        <stp>high</stp>
        <stp>.SPXW260123P6910</stp>
        <tr r="BA105" s="14"/>
      </tp>
      <tp>
        <v>34.6</v>
        <stp/>
        <stp>high</stp>
        <stp>.SPXW260123P6915</stp>
        <tr r="BA110" s="14"/>
      </tp>
      <tp>
        <v>36.24</v>
        <stp/>
        <stp>high</stp>
        <stp>.SPXW260123C6910</stp>
        <tr r="AY105" s="14"/>
      </tp>
      <tp>
        <v>32.33</v>
        <stp/>
        <stp>high</stp>
        <stp>.SPXW260123C6915</stp>
        <tr r="AY110" s="14"/>
      </tp>
      <tp>
        <v>26.66</v>
        <stp/>
        <stp>high</stp>
        <stp>.SPXW260123P6900</stp>
        <tr r="BA95" s="14"/>
      </tp>
      <tp>
        <v>29.13</v>
        <stp/>
        <stp>high</stp>
        <stp>.SPXW260123P6905</stp>
        <tr r="BA100" s="14"/>
      </tp>
      <tp>
        <v>43.28</v>
        <stp/>
        <stp>high</stp>
        <stp>.SPXW260123C6900</stp>
        <tr r="AY95" s="14"/>
      </tp>
      <tp>
        <v>39.840000000000003</v>
        <stp/>
        <stp>high</stp>
        <stp>.SPXW260123C6905</stp>
        <tr r="AY100" s="14"/>
      </tp>
      <tp>
        <v>0</v>
        <stp/>
        <stp>GAMMA</stp>
        <stp>.SPXW260123P6985</stp>
        <tr r="BL180" s="14"/>
      </tp>
      <tp>
        <v>0</v>
        <stp/>
        <stp>GAMMA</stp>
        <stp>.SPXW260123P6980</stp>
        <tr r="BL175" s="14"/>
      </tp>
      <tp>
        <v>0</v>
        <stp/>
        <stp>GAMMA</stp>
        <stp>.SPXW260123C6985</stp>
        <tr r="BM180" s="14"/>
      </tp>
      <tp>
        <v>0</v>
        <stp/>
        <stp>GAMMA</stp>
        <stp>.SPXW260123C6980</stp>
        <tr r="BM175" s="14"/>
      </tp>
      <tp>
        <v>0</v>
        <stp/>
        <stp>GAMMA</stp>
        <stp>.SPXW260123P6995</stp>
        <tr r="BL190" s="14"/>
      </tp>
      <tp>
        <v>0</v>
        <stp/>
        <stp>GAMMA</stp>
        <stp>.SPXW260123P6990</stp>
        <tr r="BL185" s="14"/>
      </tp>
      <tp>
        <v>0</v>
        <stp/>
        <stp>GAMMA</stp>
        <stp>.SPXW260123C6995</stp>
        <tr r="BM190" s="14"/>
      </tp>
      <tp>
        <v>0</v>
        <stp/>
        <stp>GAMMA</stp>
        <stp>.SPXW260123C6990</stp>
        <tr r="BM185" s="14"/>
      </tp>
      <tp>
        <v>0.01</v>
        <stp/>
        <stp>GAMMA</stp>
        <stp>.SPXW260123P6905</stp>
        <tr r="BL100" s="14"/>
      </tp>
      <tp>
        <v>0.01</v>
        <stp/>
        <stp>GAMMA</stp>
        <stp>.SPXW260123P6900</stp>
        <tr r="BL95" s="14"/>
      </tp>
      <tp>
        <v>0.01</v>
        <stp/>
        <stp>GAMMA</stp>
        <stp>.SPXW260123C6905</stp>
        <tr r="BM100" s="14"/>
      </tp>
      <tp>
        <v>0.01</v>
        <stp/>
        <stp>GAMMA</stp>
        <stp>.SPXW260123C6900</stp>
        <tr r="BM95" s="14"/>
      </tp>
      <tp>
        <v>0.01</v>
        <stp/>
        <stp>GAMMA</stp>
        <stp>.SPXW260123P6915</stp>
        <tr r="BL110" s="14"/>
      </tp>
      <tp>
        <v>0.01</v>
        <stp/>
        <stp>GAMMA</stp>
        <stp>.SPXW260123P6910</stp>
        <tr r="BL105" s="14"/>
      </tp>
      <tp>
        <v>0.01</v>
        <stp/>
        <stp>GAMMA</stp>
        <stp>.SPXW260123C6915</stp>
        <tr r="BM110" s="14"/>
      </tp>
      <tp>
        <v>0.01</v>
        <stp/>
        <stp>GAMMA</stp>
        <stp>.SPXW260123C6910</stp>
        <tr r="BM105" s="14"/>
      </tp>
      <tp>
        <v>0.01</v>
        <stp/>
        <stp>GAMMA</stp>
        <stp>.SPXW260123P6925</stp>
        <tr r="BL120" s="14"/>
      </tp>
      <tp>
        <v>0.01</v>
        <stp/>
        <stp>GAMMA</stp>
        <stp>.SPXW260123P6920</stp>
        <tr r="BL115" s="14"/>
      </tp>
      <tp>
        <v>0.01</v>
        <stp/>
        <stp>GAMMA</stp>
        <stp>.SPXW260123C6925</stp>
        <tr r="BM120" s="14"/>
      </tp>
      <tp>
        <v>0.01</v>
        <stp/>
        <stp>GAMMA</stp>
        <stp>.SPXW260123C6920</stp>
        <tr r="BM115" s="14"/>
      </tp>
      <tp>
        <v>0.01</v>
        <stp/>
        <stp>GAMMA</stp>
        <stp>.SPXW260123P6935</stp>
        <tr r="BL130" s="14"/>
      </tp>
      <tp>
        <v>0.01</v>
        <stp/>
        <stp>GAMMA</stp>
        <stp>.SPXW260123P6930</stp>
        <tr r="BL125" s="14"/>
      </tp>
      <tp>
        <v>0.01</v>
        <stp/>
        <stp>GAMMA</stp>
        <stp>.SPXW260123C6935</stp>
        <tr r="BM130" s="14"/>
      </tp>
      <tp>
        <v>0.01</v>
        <stp/>
        <stp>GAMMA</stp>
        <stp>.SPXW260123C6930</stp>
        <tr r="BM125" s="14"/>
      </tp>
      <tp>
        <v>0.01</v>
        <stp/>
        <stp>GAMMA</stp>
        <stp>.SPXW260123P6945</stp>
        <tr r="BL140" s="14"/>
      </tp>
      <tp>
        <v>0.01</v>
        <stp/>
        <stp>GAMMA</stp>
        <stp>.SPXW260123P6940</stp>
        <tr r="BL135" s="14"/>
      </tp>
      <tp>
        <v>0.01</v>
        <stp/>
        <stp>GAMMA</stp>
        <stp>.SPXW260123C6945</stp>
        <tr r="BM140" s="14"/>
      </tp>
      <tp>
        <v>0.01</v>
        <stp/>
        <stp>GAMMA</stp>
        <stp>.SPXW260123C6940</stp>
        <tr r="BM135" s="14"/>
      </tp>
      <tp>
        <v>0.01</v>
        <stp/>
        <stp>GAMMA</stp>
        <stp>.SPXW260123P6955</stp>
        <tr r="BL150" s="14"/>
      </tp>
      <tp>
        <v>0.01</v>
        <stp/>
        <stp>GAMMA</stp>
        <stp>.SPXW260123P6950</stp>
        <tr r="BL145" s="14"/>
      </tp>
      <tp>
        <v>0.01</v>
        <stp/>
        <stp>GAMMA</stp>
        <stp>.SPXW260123C6955</stp>
        <tr r="BM150" s="14"/>
      </tp>
      <tp>
        <v>0.01</v>
        <stp/>
        <stp>GAMMA</stp>
        <stp>.SPXW260123C6950</stp>
        <tr r="BM145" s="14"/>
      </tp>
      <tp>
        <v>0</v>
        <stp/>
        <stp>GAMMA</stp>
        <stp>.SPXW260123P6965</stp>
        <tr r="BL160" s="14"/>
      </tp>
      <tp>
        <v>0.01</v>
        <stp/>
        <stp>GAMMA</stp>
        <stp>.SPXW260123P6960</stp>
        <tr r="BL155" s="14"/>
      </tp>
      <tp>
        <v>0</v>
        <stp/>
        <stp>GAMMA</stp>
        <stp>.SPXW260123C6965</stp>
        <tr r="BM160" s="14"/>
      </tp>
      <tp>
        <v>0</v>
        <stp/>
        <stp>GAMMA</stp>
        <stp>.SPXW260123C6960</stp>
        <tr r="BM155" s="14"/>
      </tp>
      <tp>
        <v>0</v>
        <stp/>
        <stp>GAMMA</stp>
        <stp>.SPXW260123P6975</stp>
        <tr r="BL170" s="14"/>
      </tp>
      <tp>
        <v>0</v>
        <stp/>
        <stp>GAMMA</stp>
        <stp>.SPXW260123P6970</stp>
        <tr r="BL165" s="14"/>
      </tp>
      <tp>
        <v>0</v>
        <stp/>
        <stp>GAMMA</stp>
        <stp>.SPXW260123C6975</stp>
        <tr r="BM170" s="14"/>
      </tp>
      <tp>
        <v>0</v>
        <stp/>
        <stp>GAMMA</stp>
        <stp>.SPXW260123C6970</stp>
        <tr r="BM165" s="14"/>
      </tp>
      <tp>
        <v>22.22</v>
        <stp/>
        <stp>high</stp>
        <stp>.SPXW260123P6890</stp>
        <tr r="BA85" s="14"/>
      </tp>
      <tp>
        <v>24.32</v>
        <stp/>
        <stp>high</stp>
        <stp>.SPXW260123P6895</stp>
        <tr r="BA90" s="14"/>
      </tp>
      <tp>
        <v>51.43</v>
        <stp/>
        <stp>high</stp>
        <stp>.SPXW260123C6890</stp>
        <tr r="AY85" s="14"/>
      </tp>
      <tp>
        <v>47.18</v>
        <stp/>
        <stp>high</stp>
        <stp>.SPXW260123C6895</stp>
        <tr r="AY90" s="14"/>
      </tp>
      <tp>
        <v>18.5</v>
        <stp/>
        <stp>high</stp>
        <stp>.SPXW260123P6880</stp>
        <tr r="BA75" s="14"/>
      </tp>
      <tp>
        <v>20.100000000000001</v>
        <stp/>
        <stp>high</stp>
        <stp>.SPXW260123P6885</stp>
        <tr r="BA80" s="14"/>
      </tp>
      <tp>
        <v>60.5</v>
        <stp/>
        <stp>high</stp>
        <stp>.SPXW260123C6880</stp>
        <tr r="AY75" s="14"/>
      </tp>
      <tp>
        <v>54.75</v>
        <stp/>
        <stp>high</stp>
        <stp>.SPXW260123C6885</stp>
        <tr r="AY80" s="14"/>
      </tp>
      <tp>
        <v>15.6</v>
        <stp/>
        <stp>high</stp>
        <stp>.SPXW260123P6870</stp>
        <tr r="BA65" s="14"/>
      </tp>
      <tp>
        <v>17.100000000000001</v>
        <stp/>
        <stp>high</stp>
        <stp>.SPXW260123P6875</stp>
        <tr r="BA70" s="14"/>
      </tp>
      <tp>
        <v>68.75</v>
        <stp/>
        <stp>high</stp>
        <stp>.SPXW260123C6870</stp>
        <tr r="AY65" s="14"/>
      </tp>
      <tp>
        <v>64.55</v>
        <stp/>
        <stp>high</stp>
        <stp>.SPXW260123C6875</stp>
        <tr r="AY70" s="14"/>
      </tp>
      <tp>
        <v>12.7</v>
        <stp/>
        <stp>high</stp>
        <stp>.SPXW260123P6860</stp>
        <tr r="BA55" s="14"/>
      </tp>
      <tp>
        <v>13.9</v>
        <stp/>
        <stp>high</stp>
        <stp>.SPXW260123P6865</stp>
        <tr r="BA60" s="14"/>
      </tp>
      <tp>
        <v>77</v>
        <stp/>
        <stp>high</stp>
        <stp>.SPXW260123C6860</stp>
        <tr r="AY55" s="14"/>
      </tp>
      <tp>
        <v>70.38</v>
        <stp/>
        <stp>high</stp>
        <stp>.SPXW260123C6865</stp>
        <tr r="AY60" s="14"/>
      </tp>
      <tp>
        <v>10.75</v>
        <stp/>
        <stp>high</stp>
        <stp>.SPXW260123P6850</stp>
        <tr r="BA45" s="14"/>
      </tp>
      <tp>
        <v>11.4</v>
        <stp/>
        <stp>high</stp>
        <stp>.SPXW260123P6855</stp>
        <tr r="BA50" s="14"/>
      </tp>
      <tp>
        <v>88.47</v>
        <stp/>
        <stp>high</stp>
        <stp>.SPXW260123C6850</stp>
        <tr r="AY45" s="14"/>
      </tp>
      <tp>
        <v>82.28</v>
        <stp/>
        <stp>high</stp>
        <stp>.SPXW260123C6855</stp>
        <tr r="AY50" s="14"/>
      </tp>
      <tp>
        <v>8.8000000000000007</v>
        <stp/>
        <stp>high</stp>
        <stp>.SPXW260123P6840</stp>
        <tr r="BA35" s="14"/>
      </tp>
      <tp>
        <v>9.8000000000000007</v>
        <stp/>
        <stp>high</stp>
        <stp>.SPXW260123P6845</stp>
        <tr r="BA40" s="14"/>
      </tp>
      <tp>
        <v>95.8</v>
        <stp/>
        <stp>high</stp>
        <stp>.SPXW260123C6840</stp>
        <tr r="AY35" s="14"/>
      </tp>
      <tp>
        <v>92</v>
        <stp/>
        <stp>high</stp>
        <stp>.SPXW260123C6845</stp>
        <tr r="AY40" s="14"/>
      </tp>
      <tp>
        <v>7.39</v>
        <stp/>
        <stp>high</stp>
        <stp>.SPXW260123P6830</stp>
        <tr r="BA25" s="14"/>
      </tp>
      <tp>
        <v>8.1999999999999993</v>
        <stp/>
        <stp>high</stp>
        <stp>.SPXW260123P6835</stp>
        <tr r="BA30" s="14"/>
      </tp>
      <tp>
        <v>106.28</v>
        <stp/>
        <stp>high</stp>
        <stp>.SPXW260123C6830</stp>
        <tr r="AY25" s="14"/>
      </tp>
      <tp>
        <v>101.9</v>
        <stp/>
        <stp>high</stp>
        <stp>.SPXW260123C6835</stp>
        <tr r="AY30" s="14"/>
      </tp>
      <tp>
        <v>6.21</v>
        <stp/>
        <stp>high</stp>
        <stp>.SPXW260123P6820</stp>
        <tr r="BA15" s="14"/>
      </tp>
      <tp>
        <v>6.7</v>
        <stp/>
        <stp>high</stp>
        <stp>.SPXW260123P6825</stp>
        <tr r="BA20" s="14"/>
      </tp>
      <tp>
        <v>113.85</v>
        <stp/>
        <stp>high</stp>
        <stp>.SPXW260123C6820</stp>
        <tr r="AY15" s="14"/>
      </tp>
      <tp>
        <v>111.13</v>
        <stp/>
        <stp>high</stp>
        <stp>.SPXW260123C6825</stp>
        <tr r="AY20" s="14"/>
      </tp>
      <tp>
        <v>5.6</v>
        <stp/>
        <stp>high</stp>
        <stp>.SPXW260123P6815</stp>
        <tr r="BA10" s="14"/>
      </tp>
      <tp>
        <v>118.3</v>
        <stp/>
        <stp>high</stp>
        <stp>.SPXW260123C6815</stp>
        <tr r="AY10" s="14"/>
      </tp>
      <tp>
        <v>0.01</v>
        <stp/>
        <stp>GAMMA</stp>
        <stp>.SPXW260123P6885</stp>
        <tr r="BL80" s="14"/>
      </tp>
      <tp>
        <v>0.01</v>
        <stp/>
        <stp>GAMMA</stp>
        <stp>.SPXW260123P6880</stp>
        <tr r="BL75" s="14"/>
      </tp>
      <tp>
        <v>0.01</v>
        <stp/>
        <stp>GAMMA</stp>
        <stp>.SPXW260123C6885</stp>
        <tr r="BM80" s="14"/>
      </tp>
      <tp>
        <v>0.01</v>
        <stp/>
        <stp>GAMMA</stp>
        <stp>.SPXW260123C6880</stp>
        <tr r="BM75" s="14"/>
      </tp>
      <tp>
        <v>0.01</v>
        <stp/>
        <stp>GAMMA</stp>
        <stp>.SPXW260123P6895</stp>
        <tr r="BL90" s="14"/>
      </tp>
      <tp>
        <v>0.01</v>
        <stp/>
        <stp>GAMMA</stp>
        <stp>.SPXW260123P6890</stp>
        <tr r="BL85" s="14"/>
      </tp>
      <tp>
        <v>0.01</v>
        <stp/>
        <stp>GAMMA</stp>
        <stp>.SPXW260123C6895</stp>
        <tr r="BM90" s="14"/>
      </tp>
      <tp>
        <v>0.01</v>
        <stp/>
        <stp>GAMMA</stp>
        <stp>.SPXW260123C6890</stp>
        <tr r="BM85" s="14"/>
      </tp>
      <tp>
        <v>0</v>
        <stp/>
        <stp>GAMMA</stp>
        <stp>.SPXW260123P6815</stp>
        <tr r="BL10" s="14"/>
      </tp>
      <tp>
        <v>0</v>
        <stp/>
        <stp>GAMMA</stp>
        <stp>.SPXW260123C6815</stp>
        <tr r="BM10" s="14"/>
      </tp>
      <tp>
        <v>0</v>
        <stp/>
        <stp>GAMMA</stp>
        <stp>.SPXW260123P6825</stp>
        <tr r="BL20" s="14"/>
      </tp>
      <tp>
        <v>0</v>
        <stp/>
        <stp>GAMMA</stp>
        <stp>.SPXW260123P6820</stp>
        <tr r="BL15" s="14"/>
      </tp>
      <tp>
        <v>0</v>
        <stp/>
        <stp>GAMMA</stp>
        <stp>.SPXW260123C6825</stp>
        <tr r="BM20" s="14"/>
      </tp>
      <tp>
        <v>0</v>
        <stp/>
        <stp>GAMMA</stp>
        <stp>.SPXW260123C6820</stp>
        <tr r="BM15" s="14"/>
      </tp>
      <tp>
        <v>0</v>
        <stp/>
        <stp>GAMMA</stp>
        <stp>.SPXW260123P6835</stp>
        <tr r="BL30" s="14"/>
      </tp>
      <tp>
        <v>0</v>
        <stp/>
        <stp>GAMMA</stp>
        <stp>.SPXW260123P6830</stp>
        <tr r="BL25" s="14"/>
      </tp>
      <tp>
        <v>0</v>
        <stp/>
        <stp>GAMMA</stp>
        <stp>.SPXW260123C6835</stp>
        <tr r="BM30" s="14"/>
      </tp>
      <tp>
        <v>0</v>
        <stp/>
        <stp>GAMMA</stp>
        <stp>.SPXW260123C6830</stp>
        <tr r="BM25" s="14"/>
      </tp>
      <tp>
        <v>0</v>
        <stp/>
        <stp>GAMMA</stp>
        <stp>.SPXW260123P6845</stp>
        <tr r="BL40" s="14"/>
      </tp>
      <tp>
        <v>0</v>
        <stp/>
        <stp>GAMMA</stp>
        <stp>.SPXW260123P6840</stp>
        <tr r="BL35" s="14"/>
      </tp>
      <tp>
        <v>0</v>
        <stp/>
        <stp>GAMMA</stp>
        <stp>.SPXW260123C6845</stp>
        <tr r="BM40" s="14"/>
      </tp>
      <tp>
        <v>0</v>
        <stp/>
        <stp>GAMMA</stp>
        <stp>.SPXW260123C6840</stp>
        <tr r="BM35" s="14"/>
      </tp>
      <tp>
        <v>0</v>
        <stp/>
        <stp>GAMMA</stp>
        <stp>.SPXW260123P6855</stp>
        <tr r="BL50" s="14"/>
      </tp>
      <tp>
        <v>0</v>
        <stp/>
        <stp>GAMMA</stp>
        <stp>.SPXW260123P6850</stp>
        <tr r="BL45" s="14"/>
      </tp>
      <tp>
        <v>0</v>
        <stp/>
        <stp>GAMMA</stp>
        <stp>.SPXW260123C6855</stp>
        <tr r="BM50" s="14"/>
      </tp>
      <tp>
        <v>0</v>
        <stp/>
        <stp>GAMMA</stp>
        <stp>.SPXW260123C6850</stp>
        <tr r="BM45" s="14"/>
      </tp>
      <tp>
        <v>0</v>
        <stp/>
        <stp>GAMMA</stp>
        <stp>.SPXW260123P6865</stp>
        <tr r="BL60" s="14"/>
      </tp>
      <tp>
        <v>0</v>
        <stp/>
        <stp>GAMMA</stp>
        <stp>.SPXW260123P6860</stp>
        <tr r="BL55" s="14"/>
      </tp>
      <tp>
        <v>0</v>
        <stp/>
        <stp>GAMMA</stp>
        <stp>.SPXW260123C6865</stp>
        <tr r="BM60" s="14"/>
      </tp>
      <tp>
        <v>0</v>
        <stp/>
        <stp>GAMMA</stp>
        <stp>.SPXW260123C6860</stp>
        <tr r="BM55" s="14"/>
      </tp>
      <tp>
        <v>0.01</v>
        <stp/>
        <stp>GAMMA</stp>
        <stp>.SPXW260123P6875</stp>
        <tr r="BL70" s="14"/>
      </tp>
      <tp>
        <v>0.01</v>
        <stp/>
        <stp>GAMMA</stp>
        <stp>.SPXW260123P6870</stp>
        <tr r="BL65" s="14"/>
      </tp>
      <tp>
        <v>0.01</v>
        <stp/>
        <stp>GAMMA</stp>
        <stp>.SPXW260123C6875</stp>
        <tr r="BM70" s="14"/>
      </tp>
      <tp>
        <v>0.01</v>
        <stp/>
        <stp>GAMMA</stp>
        <stp>.SPXW260123C6870</stp>
        <tr r="BM65" s="14"/>
      </tp>
      <tp>
        <v>0.1</v>
        <stp/>
        <stp>ASK</stp>
        <stp>.SPXW260123C7015</stp>
        <tr r="J210" s="14"/>
      </tp>
      <tp>
        <v>0.1</v>
        <stp/>
        <stp>ASK</stp>
        <stp>.SPXW260123C7010</stp>
        <tr r="J205" s="14"/>
      </tp>
      <tp>
        <v>108.1</v>
        <stp/>
        <stp>ASK</stp>
        <stp>.SPXW260123P7015</stp>
        <tr r="R210" s="14"/>
      </tp>
      <tp>
        <v>103.2</v>
        <stp/>
        <stp>ASK</stp>
        <stp>.SPXW260123P7010</stp>
        <tr r="R205" s="14"/>
      </tp>
      <tp>
        <v>0.1</v>
        <stp/>
        <stp>ASK</stp>
        <stp>.SPXW260123C7005</stp>
        <tr r="J200" s="14"/>
      </tp>
      <tp>
        <v>0.15</v>
        <stp/>
        <stp>ASK</stp>
        <stp>.SPXW260123C7000</stp>
        <tr r="J195" s="14"/>
      </tp>
      <tp>
        <v>98.3</v>
        <stp/>
        <stp>ASK</stp>
        <stp>.SPXW260123P7005</stp>
        <tr r="R200" s="14"/>
      </tp>
      <tp>
        <v>91.4</v>
        <stp/>
        <stp>ASK</stp>
        <stp>.SPXW260123P7000</stp>
        <tr r="R195" s="14"/>
      </tp>
      <tp>
        <v>112.57</v>
        <stp/>
        <stp>high</stp>
        <stp>.SPXW260123P7010</stp>
        <tr r="BA205" s="14"/>
      </tp>
      <tp>
        <v>99.85</v>
        <stp/>
        <stp>high</stp>
        <stp>.SPXW260123P7015</stp>
        <tr r="BA210" s="14"/>
      </tp>
      <tp>
        <v>1.17</v>
        <stp/>
        <stp>high</stp>
        <stp>.SPXW260123C7010</stp>
        <tr r="AY205" s="14"/>
      </tp>
      <tp>
        <v>0.92</v>
        <stp/>
        <stp>high</stp>
        <stp>.SPXW260123C7015</stp>
        <tr r="AY210" s="14"/>
      </tp>
      <tp>
        <v>102.37</v>
        <stp/>
        <stp>high</stp>
        <stp>.SPXW260123P7000</stp>
        <tr r="BA195" s="14"/>
      </tp>
      <tp>
        <v>104.4</v>
        <stp/>
        <stp>high</stp>
        <stp>.SPXW260123P7005</stp>
        <tr r="BA200" s="14"/>
      </tp>
      <tp>
        <v>1.83</v>
        <stp/>
        <stp>high</stp>
        <stp>.SPXW260123C7000</stp>
        <tr r="AY195" s="14"/>
      </tp>
      <tp>
        <v>1.48</v>
        <stp/>
        <stp>high</stp>
        <stp>.SPXW260123C7005</stp>
        <tr r="AY200" s="14"/>
      </tp>
      <tp>
        <v>0</v>
        <stp/>
        <stp>GAMMA</stp>
        <stp>.SPXW260123P7005</stp>
        <tr r="BL200" s="14"/>
      </tp>
      <tp>
        <v>0</v>
        <stp/>
        <stp>GAMMA</stp>
        <stp>.SPXW260123P7000</stp>
        <tr r="BL195" s="14"/>
      </tp>
      <tp>
        <v>0</v>
        <stp/>
        <stp>GAMMA</stp>
        <stp>.SPXW260123C7005</stp>
        <tr r="BM200" s="14"/>
      </tp>
      <tp>
        <v>0</v>
        <stp/>
        <stp>GAMMA</stp>
        <stp>.SPXW260123C7000</stp>
        <tr r="BM195" s="14"/>
      </tp>
      <tp>
        <v>0</v>
        <stp/>
        <stp>GAMMA</stp>
        <stp>.SPXW260123P7015</stp>
        <tr r="BL210" s="14"/>
      </tp>
      <tp>
        <v>0</v>
        <stp/>
        <stp>GAMMA</stp>
        <stp>.SPXW260123P7010</stp>
        <tr r="BL205" s="14"/>
      </tp>
      <tp>
        <v>0</v>
        <stp/>
        <stp>GAMMA</stp>
        <stp>.SPXW260123C7015</stp>
        <tr r="BM210" s="14"/>
      </tp>
      <tp>
        <v>0</v>
        <stp/>
        <stp>GAMMA</stp>
        <stp>.SPXW260123C7010</stp>
        <tr r="BM205" s="14"/>
      </tp>
      <tp>
        <v>0.75</v>
        <stp/>
        <stp>ASK</stp>
        <stp>.SPXW260123C6975</stp>
        <tr r="J170" s="14"/>
      </tp>
      <tp>
        <v>0.95</v>
        <stp/>
        <stp>ASK</stp>
        <stp>.SPXW260123C6970</stp>
        <tr r="J165" s="14"/>
      </tp>
      <tp>
        <v>66.900000000000006</v>
        <stp/>
        <stp>ASK</stp>
        <stp>.SPXW260123P6975</stp>
        <tr r="R170" s="14"/>
      </tp>
      <tp>
        <v>62.3</v>
        <stp/>
        <stp>ASK</stp>
        <stp>.SPXW260123P6970</stp>
        <tr r="R165" s="14"/>
      </tp>
      <tp>
        <v>1.35</v>
        <stp/>
        <stp>ASK</stp>
        <stp>.SPXW260123C6965</stp>
        <tr r="J160" s="14"/>
      </tp>
      <tp>
        <v>1.8</v>
        <stp/>
        <stp>ASK</stp>
        <stp>.SPXW260123C6960</stp>
        <tr r="J155" s="14"/>
      </tp>
      <tp>
        <v>57.5</v>
        <stp/>
        <stp>ASK</stp>
        <stp>.SPXW260123P6965</stp>
        <tr r="R160" s="14"/>
      </tp>
      <tp>
        <v>53.1</v>
        <stp/>
        <stp>ASK</stp>
        <stp>.SPXW260123P6960</stp>
        <tr r="R155" s="14"/>
      </tp>
      <tp>
        <v>2.35</v>
        <stp/>
        <stp>ASK</stp>
        <stp>.SPXW260123C6955</stp>
        <tr r="J150" s="14"/>
      </tp>
      <tp>
        <v>3.1</v>
        <stp/>
        <stp>ASK</stp>
        <stp>.SPXW260123C6950</stp>
        <tr r="J145" s="14"/>
      </tp>
      <tp>
        <v>48.5</v>
        <stp/>
        <stp>ASK</stp>
        <stp>.SPXW260123P6955</stp>
        <tr r="R150" s="14"/>
      </tp>
      <tp>
        <v>44.2</v>
        <stp/>
        <stp>ASK</stp>
        <stp>.SPXW260123P6950</stp>
        <tr r="R145" s="14"/>
      </tp>
      <tp>
        <v>4.0999999999999996</v>
        <stp/>
        <stp>ASK</stp>
        <stp>.SPXW260123C6945</stp>
        <tr r="J140" s="14"/>
      </tp>
      <tp>
        <v>5.0999999999999996</v>
        <stp/>
        <stp>ASK</stp>
        <stp>.SPXW260123C6940</stp>
        <tr r="J135" s="14"/>
      </tp>
      <tp>
        <v>40.1</v>
        <stp/>
        <stp>ASK</stp>
        <stp>.SPXW260123P6945</stp>
        <tr r="R140" s="14"/>
      </tp>
      <tp>
        <v>36.299999999999997</v>
        <stp/>
        <stp>ASK</stp>
        <stp>.SPXW260123P6940</stp>
        <tr r="R135" s="14"/>
      </tp>
      <tp>
        <v>6.6</v>
        <stp/>
        <stp>ASK</stp>
        <stp>.SPXW260123C6935</stp>
        <tr r="J130" s="14"/>
      </tp>
      <tp>
        <v>8.3000000000000007</v>
        <stp/>
        <stp>ASK</stp>
        <stp>.SPXW260123C6930</stp>
        <tr r="J125" s="14"/>
      </tp>
      <tp>
        <v>32.700000000000003</v>
        <stp/>
        <stp>ASK</stp>
        <stp>.SPXW260123P6935</stp>
        <tr r="R130" s="14"/>
      </tp>
      <tp>
        <v>29.3</v>
        <stp/>
        <stp>ASK</stp>
        <stp>.SPXW260123P6930</stp>
        <tr r="R125" s="14"/>
      </tp>
      <tp>
        <v>10.199999999999999</v>
        <stp/>
        <stp>ASK</stp>
        <stp>.SPXW260123C6925</stp>
        <tr r="J120" s="14"/>
      </tp>
      <tp>
        <v>12.4</v>
        <stp/>
        <stp>ASK</stp>
        <stp>.SPXW260123C6920</stp>
        <tr r="J115" s="14"/>
      </tp>
      <tp>
        <v>26.2</v>
        <stp/>
        <stp>ASK</stp>
        <stp>.SPXW260123P6925</stp>
        <tr r="R120" s="14"/>
      </tp>
      <tp>
        <v>23.4</v>
        <stp/>
        <stp>ASK</stp>
        <stp>.SPXW260123P6920</stp>
        <tr r="R115" s="14"/>
      </tp>
      <tp>
        <v>14.9</v>
        <stp/>
        <stp>ASK</stp>
        <stp>.SPXW260123C6915</stp>
        <tr r="J110" s="14"/>
      </tp>
      <tp>
        <v>17.5</v>
        <stp/>
        <stp>ASK</stp>
        <stp>.SPXW260123C6910</stp>
        <tr r="J105" s="14"/>
      </tp>
      <tp>
        <v>20.8</v>
        <stp/>
        <stp>ASK</stp>
        <stp>.SPXW260123P6915</stp>
        <tr r="R110" s="14"/>
      </tp>
      <tp>
        <v>18.3</v>
        <stp/>
        <stp>ASK</stp>
        <stp>.SPXW260123P6910</stp>
        <tr r="R105" s="14"/>
      </tp>
      <tp>
        <v>20.399999999999999</v>
        <stp/>
        <stp>ASK</stp>
        <stp>.SPXW260123C6905</stp>
        <tr r="J100" s="14"/>
      </tp>
      <tp>
        <v>23.5</v>
        <stp/>
        <stp>ASK</stp>
        <stp>.SPXW260123C6900</stp>
        <tr r="J95" s="14"/>
      </tp>
      <tp>
        <v>16.2</v>
        <stp/>
        <stp>ASK</stp>
        <stp>.SPXW260123P6905</stp>
        <tr r="R100" s="14"/>
      </tp>
      <tp>
        <v>14.3</v>
        <stp/>
        <stp>ASK</stp>
        <stp>.SPXW260123P6900</stp>
        <tr r="R95" s="14"/>
      </tp>
      <tp>
        <v>0.25</v>
        <stp/>
        <stp>ASK</stp>
        <stp>.SPXW260123C6995</stp>
        <tr r="J190" s="14"/>
      </tp>
      <tp>
        <v>0.3</v>
        <stp/>
        <stp>ASK</stp>
        <stp>.SPXW260123C6990</stp>
        <tr r="J185" s="14"/>
      </tp>
      <tp>
        <v>88.3</v>
        <stp/>
        <stp>ASK</stp>
        <stp>.SPXW260123P6995</stp>
        <tr r="R190" s="14"/>
      </tp>
      <tp>
        <v>81.5</v>
        <stp/>
        <stp>ASK</stp>
        <stp>.SPXW260123P6990</stp>
        <tr r="R185" s="14"/>
      </tp>
      <tp>
        <v>0.4</v>
        <stp/>
        <stp>ASK</stp>
        <stp>.SPXW260123C6985</stp>
        <tr r="J180" s="14"/>
      </tp>
      <tp>
        <v>0.55000000000000004</v>
        <stp/>
        <stp>ASK</stp>
        <stp>.SPXW260123C6980</stp>
        <tr r="J175" s="14"/>
      </tp>
      <tp>
        <v>78.400000000000006</v>
        <stp/>
        <stp>ASK</stp>
        <stp>.SPXW260123P6985</stp>
        <tr r="R180" s="14"/>
      </tp>
      <tp>
        <v>71.8</v>
        <stp/>
        <stp>ASK</stp>
        <stp>.SPXW260123P6980</stp>
        <tr r="R175" s="14"/>
      </tp>
      <tp>
        <v>42.2</v>
        <stp/>
        <stp>ASK</stp>
        <stp>.SPXW260123C6875</stp>
        <tr r="J70" s="14"/>
      </tp>
      <tp>
        <v>46.5</v>
        <stp/>
        <stp>ASK</stp>
        <stp>.SPXW260123C6870</stp>
        <tr r="J65" s="14"/>
      </tp>
      <tp>
        <v>7.7</v>
        <stp/>
        <stp>ASK</stp>
        <stp>.SPXW260123P6875</stp>
        <tr r="R70" s="14"/>
      </tp>
      <tp>
        <v>6.8</v>
        <stp/>
        <stp>ASK</stp>
        <stp>.SPXW260123P6870</stp>
        <tr r="R65" s="14"/>
      </tp>
      <tp>
        <v>50.7</v>
        <stp/>
        <stp>ASK</stp>
        <stp>.SPXW260123C6865</stp>
        <tr r="J60" s="14"/>
      </tp>
      <tp>
        <v>55</v>
        <stp/>
        <stp>ASK</stp>
        <stp>.SPXW260123C6860</stp>
        <tr r="J55" s="14"/>
      </tp>
      <tp>
        <v>6</v>
        <stp/>
        <stp>ASK</stp>
        <stp>.SPXW260123P6865</stp>
        <tr r="R60" s="14"/>
      </tp>
      <tp>
        <v>5.3</v>
        <stp/>
        <stp>ASK</stp>
        <stp>.SPXW260123P6860</stp>
        <tr r="R55" s="14"/>
      </tp>
      <tp>
        <v>59.4</v>
        <stp/>
        <stp>ASK</stp>
        <stp>.SPXW260123C6855</stp>
        <tr r="J50" s="14"/>
      </tp>
      <tp>
        <v>63.8</v>
        <stp/>
        <stp>ASK</stp>
        <stp>.SPXW260123C6850</stp>
        <tr r="J45" s="14"/>
      </tp>
      <tp>
        <v>4.7</v>
        <stp/>
        <stp>ASK</stp>
        <stp>.SPXW260123P6855</stp>
        <tr r="R50" s="14"/>
      </tp>
      <tp>
        <v>4.0999999999999996</v>
        <stp/>
        <stp>ASK</stp>
        <stp>.SPXW260123P6850</stp>
        <tr r="R45" s="14"/>
      </tp>
      <tp>
        <v>68.3</v>
        <stp/>
        <stp>ASK</stp>
        <stp>.SPXW260123C6845</stp>
        <tr r="J40" s="14"/>
      </tp>
      <tp>
        <v>72.900000000000006</v>
        <stp/>
        <stp>ASK</stp>
        <stp>.SPXW260123C6840</stp>
        <tr r="J35" s="14"/>
      </tp>
      <tp>
        <v>3.7</v>
        <stp/>
        <stp>ASK</stp>
        <stp>.SPXW260123P6845</stp>
        <tr r="R40" s="14"/>
      </tp>
      <tp>
        <v>3.3</v>
        <stp/>
        <stp>ASK</stp>
        <stp>.SPXW260123P6840</stp>
        <tr r="R35" s="14"/>
      </tp>
      <tp>
        <v>79.099999999999994</v>
        <stp/>
        <stp>ASK</stp>
        <stp>.SPXW260123C6835</stp>
        <tr r="J30" s="14"/>
      </tp>
      <tp>
        <v>82.3</v>
        <stp/>
        <stp>ASK</stp>
        <stp>.SPXW260123C6830</stp>
        <tr r="J25" s="14"/>
      </tp>
      <tp>
        <v>2.9</v>
        <stp/>
        <stp>ASK</stp>
        <stp>.SPXW260123P6835</stp>
        <tr r="R30" s="14"/>
      </tp>
      <tp>
        <v>2.5499999999999998</v>
        <stp/>
        <stp>ASK</stp>
        <stp>.SPXW260123P6830</stp>
        <tr r="R25" s="14"/>
      </tp>
      <tp>
        <v>87.1</v>
        <stp/>
        <stp>ASK</stp>
        <stp>.SPXW260123C6825</stp>
        <tr r="J20" s="14"/>
      </tp>
      <tp>
        <v>91.7</v>
        <stp/>
        <stp>ASK</stp>
        <stp>.SPXW260123C6820</stp>
        <tr r="J15" s="14"/>
      </tp>
      <tp>
        <v>2.25</v>
        <stp/>
        <stp>ASK</stp>
        <stp>.SPXW260123P6825</stp>
        <tr r="R20" s="14"/>
      </tp>
      <tp>
        <v>2.0499999999999998</v>
        <stp/>
        <stp>ASK</stp>
        <stp>.SPXW260123P6820</stp>
        <tr r="R15" s="14"/>
      </tp>
      <tp>
        <v>98.1</v>
        <stp/>
        <stp>ASK</stp>
        <stp>.SPXW260123C6815</stp>
        <tr r="J10" s="14"/>
      </tp>
      <tp>
        <v>1.8</v>
        <stp/>
        <stp>ASK</stp>
        <stp>.SPXW260123P6815</stp>
        <tr r="R10" s="14"/>
      </tp>
      <tp>
        <v>26.9</v>
        <stp/>
        <stp>ASK</stp>
        <stp>.SPXW260123C6895</stp>
        <tr r="J90" s="14"/>
      </tp>
      <tp>
        <v>30.4</v>
        <stp/>
        <stp>ASK</stp>
        <stp>.SPXW260123C6890</stp>
        <tr r="J85" s="14"/>
      </tp>
      <tp>
        <v>12.7</v>
        <stp/>
        <stp>ASK</stp>
        <stp>.SPXW260123P6895</stp>
        <tr r="R90" s="14"/>
      </tp>
      <tp>
        <v>11.2</v>
        <stp/>
        <stp>ASK</stp>
        <stp>.SPXW260123P6890</stp>
        <tr r="R85" s="14"/>
      </tp>
      <tp>
        <v>34.1</v>
        <stp/>
        <stp>ASK</stp>
        <stp>.SPXW260123C6885</stp>
        <tr r="J80" s="14"/>
      </tp>
      <tp>
        <v>38.200000000000003</v>
        <stp/>
        <stp>ASK</stp>
        <stp>.SPXW260123C6880</stp>
        <tr r="J75" s="14"/>
      </tp>
      <tp>
        <v>9.9</v>
        <stp/>
        <stp>ASK</stp>
        <stp>.SPXW260123P6885</stp>
        <tr r="R80" s="14"/>
      </tp>
      <tp>
        <v>8.6999999999999993</v>
        <stp/>
        <stp>ASK</stp>
        <stp>.SPXW260123P6880</stp>
        <tr r="R75" s="14"/>
      </tp>
      <tp>
        <v>0.3</v>
        <stp/>
        <stp>BID</stp>
        <stp>.SPXW260123C6985</stp>
        <tr r="I180" s="14"/>
      </tp>
      <tp>
        <v>0.4</v>
        <stp/>
        <stp>BID</stp>
        <stp>.SPXW260123C6980</stp>
        <tr r="I175" s="14"/>
      </tp>
      <tp>
        <v>73.7</v>
        <stp/>
        <stp>BID</stp>
        <stp>.SPXW260123P6985</stp>
        <tr r="Q180" s="14"/>
      </tp>
      <tp>
        <v>70.599999999999994</v>
        <stp/>
        <stp>BID</stp>
        <stp>.SPXW260123P6980</stp>
        <tr r="Q175" s="14"/>
      </tp>
      <tp>
        <v>0.15</v>
        <stp/>
        <stp>BID</stp>
        <stp>.SPXW260123C6995</stp>
        <tr r="I190" s="14"/>
      </tp>
      <tp>
        <v>0.2</v>
        <stp/>
        <stp>BID</stp>
        <stp>.SPXW260123C6990</stp>
        <tr r="I185" s="14"/>
      </tp>
      <tp>
        <v>83.5</v>
        <stp/>
        <stp>BID</stp>
        <stp>.SPXW260123P6995</stp>
        <tr r="Q190" s="14"/>
      </tp>
      <tp>
        <v>80.400000000000006</v>
        <stp/>
        <stp>BID</stp>
        <stp>.SPXW260123P6990</stp>
        <tr r="Q185" s="14"/>
      </tp>
      <tp>
        <v>19.899999999999999</v>
        <stp/>
        <stp>BID</stp>
        <stp>.SPXW260123C6905</stp>
        <tr r="I100" s="14"/>
      </tp>
      <tp>
        <v>23.1</v>
        <stp/>
        <stp>BID</stp>
        <stp>.SPXW260123C6900</stp>
        <tr r="I95" s="14"/>
      </tp>
      <tp>
        <v>15.8</v>
        <stp/>
        <stp>BID</stp>
        <stp>.SPXW260123P6905</stp>
        <tr r="Q100" s="14"/>
      </tp>
      <tp>
        <v>13.9</v>
        <stp/>
        <stp>BID</stp>
        <stp>.SPXW260123P6900</stp>
        <tr r="Q95" s="14"/>
      </tp>
      <tp>
        <v>14.3</v>
        <stp/>
        <stp>BID</stp>
        <stp>.SPXW260123C6915</stp>
        <tr r="I110" s="14"/>
      </tp>
      <tp>
        <v>17</v>
        <stp/>
        <stp>BID</stp>
        <stp>.SPXW260123C6910</stp>
        <tr r="I105" s="14"/>
      </tp>
      <tp>
        <v>20.2</v>
        <stp/>
        <stp>BID</stp>
        <stp>.SPXW260123P6915</stp>
        <tr r="Q110" s="14"/>
      </tp>
      <tp>
        <v>17.899999999999999</v>
        <stp/>
        <stp>BID</stp>
        <stp>.SPXW260123P6910</stp>
        <tr r="Q105" s="14"/>
      </tp>
      <tp>
        <v>9.6999999999999993</v>
        <stp/>
        <stp>BID</stp>
        <stp>.SPXW260123C6925</stp>
        <tr r="I120" s="14"/>
      </tp>
      <tp>
        <v>11.9</v>
        <stp/>
        <stp>BID</stp>
        <stp>.SPXW260123C6920</stp>
        <tr r="I115" s="14"/>
      </tp>
      <tp>
        <v>25.6</v>
        <stp/>
        <stp>BID</stp>
        <stp>.SPXW260123P6925</stp>
        <tr r="Q120" s="14"/>
      </tp>
      <tp>
        <v>22.8</v>
        <stp/>
        <stp>BID</stp>
        <stp>.SPXW260123P6920</stp>
        <tr r="Q115" s="14"/>
      </tp>
      <tp>
        <v>6.2</v>
        <stp/>
        <stp>BID</stp>
        <stp>.SPXW260123C6935</stp>
        <tr r="I130" s="14"/>
      </tp>
      <tp>
        <v>7.8</v>
        <stp/>
        <stp>BID</stp>
        <stp>.SPXW260123C6930</stp>
        <tr r="I125" s="14"/>
      </tp>
      <tp>
        <v>31.6</v>
        <stp/>
        <stp>BID</stp>
        <stp>.SPXW260123P6935</stp>
        <tr r="Q130" s="14"/>
      </tp>
      <tp>
        <v>28.7</v>
        <stp/>
        <stp>BID</stp>
        <stp>.SPXW260123P6930</stp>
        <tr r="Q125" s="14"/>
      </tp>
      <tp>
        <v>3.7</v>
        <stp/>
        <stp>BID</stp>
        <stp>.SPXW260123C6945</stp>
        <tr r="I140" s="14"/>
      </tp>
      <tp>
        <v>4.8</v>
        <stp/>
        <stp>BID</stp>
        <stp>.SPXW260123C6940</stp>
        <tr r="I135" s="14"/>
      </tp>
      <tp>
        <v>39</v>
        <stp/>
        <stp>BID</stp>
        <stp>.SPXW260123P6945</stp>
        <tr r="Q140" s="14"/>
      </tp>
      <tp>
        <v>35.200000000000003</v>
        <stp/>
        <stp>BID</stp>
        <stp>.SPXW260123P6940</stp>
        <tr r="Q135" s="14"/>
      </tp>
      <tp>
        <v>2.1</v>
        <stp/>
        <stp>BID</stp>
        <stp>.SPXW260123C6955</stp>
        <tr r="I150" s="14"/>
      </tp>
      <tp>
        <v>2.85</v>
        <stp/>
        <stp>BID</stp>
        <stp>.SPXW260123C6950</stp>
        <tr r="I145" s="14"/>
      </tp>
      <tp>
        <v>47.4</v>
        <stp/>
        <stp>BID</stp>
        <stp>.SPXW260123P6955</stp>
        <tr r="Q150" s="14"/>
      </tp>
      <tp>
        <v>43.1</v>
        <stp/>
        <stp>BID</stp>
        <stp>.SPXW260123P6950</stp>
        <tr r="Q145" s="14"/>
      </tp>
      <tp>
        <v>1.1499999999999999</v>
        <stp/>
        <stp>BID</stp>
        <stp>.SPXW260123C6965</stp>
        <tr r="I160" s="14"/>
      </tp>
      <tp>
        <v>1.55</v>
        <stp/>
        <stp>BID</stp>
        <stp>.SPXW260123C6960</stp>
        <tr r="I155" s="14"/>
      </tp>
      <tp>
        <v>56.4</v>
        <stp/>
        <stp>BID</stp>
        <stp>.SPXW260123P6965</stp>
        <tr r="Q160" s="14"/>
      </tp>
      <tp>
        <v>51.7</v>
        <stp/>
        <stp>BID</stp>
        <stp>.SPXW260123P6960</stp>
        <tr r="Q155" s="14"/>
      </tp>
      <tp>
        <v>0.6</v>
        <stp/>
        <stp>BID</stp>
        <stp>.SPXW260123C6975</stp>
        <tr r="I170" s="14"/>
      </tp>
      <tp>
        <v>0.85</v>
        <stp/>
        <stp>BID</stp>
        <stp>.SPXW260123C6970</stp>
        <tr r="I165" s="14"/>
      </tp>
      <tp>
        <v>65.8</v>
        <stp/>
        <stp>BID</stp>
        <stp>.SPXW260123P6975</stp>
        <tr r="Q170" s="14"/>
      </tp>
      <tp>
        <v>61.1</v>
        <stp/>
        <stp>BID</stp>
        <stp>.SPXW260123P6970</stp>
        <tr r="Q165" s="14"/>
      </tp>
      <tp>
        <v>-0.88</v>
        <stp/>
        <stp>DELTA</stp>
        <stp>.SPXW260123P7010</stp>
        <tr r="W205" s="14"/>
      </tp>
      <tp>
        <v>-0.88</v>
        <stp/>
        <stp>DELTA</stp>
        <stp>.SPXW260123P7015</stp>
        <tr r="W210" s="14"/>
      </tp>
      <tp>
        <v>0.01</v>
        <stp/>
        <stp>DELTA</stp>
        <stp>.SPXW260123C7010</stp>
        <tr r="G205" s="14"/>
      </tp>
      <tp>
        <v>0.01</v>
        <stp/>
        <stp>DELTA</stp>
        <stp>.SPXW260123C7015</stp>
        <tr r="G210" s="14"/>
      </tp>
      <tp>
        <v>-0.87</v>
        <stp/>
        <stp>DELTA</stp>
        <stp>.SPXW260123P7000</stp>
        <tr r="W195" s="14"/>
      </tp>
      <tp>
        <v>-0.87</v>
        <stp/>
        <stp>DELTA</stp>
        <stp>.SPXW260123P7005</stp>
        <tr r="W200" s="14"/>
      </tp>
      <tp>
        <v>0.01</v>
        <stp/>
        <stp>DELTA</stp>
        <stp>.SPXW260123C7000</stp>
        <tr r="G195" s="14"/>
      </tp>
      <tp>
        <v>0.01</v>
        <stp/>
        <stp>DELTA</stp>
        <stp>.SPXW260123C7005</stp>
        <tr r="G200" s="14"/>
      </tp>
      <tp>
        <v>33.5</v>
        <stp/>
        <stp>BID</stp>
        <stp>.SPXW260123C6885</stp>
        <tr r="I80" s="14"/>
      </tp>
      <tp>
        <v>37.1</v>
        <stp/>
        <stp>BID</stp>
        <stp>.SPXW260123C6880</stp>
        <tr r="I75" s="14"/>
      </tp>
      <tp>
        <v>9.5</v>
        <stp/>
        <stp>BID</stp>
        <stp>.SPXW260123P6885</stp>
        <tr r="Q80" s="14"/>
      </tp>
      <tp>
        <v>8.3000000000000007</v>
        <stp/>
        <stp>BID</stp>
        <stp>.SPXW260123P6880</stp>
        <tr r="Q75" s="14"/>
      </tp>
      <tp>
        <v>26.3</v>
        <stp/>
        <stp>BID</stp>
        <stp>.SPXW260123C6895</stp>
        <tr r="I90" s="14"/>
      </tp>
      <tp>
        <v>29.8</v>
        <stp/>
        <stp>BID</stp>
        <stp>.SPXW260123C6890</stp>
        <tr r="I85" s="14"/>
      </tp>
      <tp>
        <v>12.3</v>
        <stp/>
        <stp>BID</stp>
        <stp>.SPXW260123P6895</stp>
        <tr r="Q90" s="14"/>
      </tp>
      <tp>
        <v>10.8</v>
        <stp/>
        <stp>BID</stp>
        <stp>.SPXW260123P6890</stp>
        <tr r="Q85" s="14"/>
      </tp>
      <tp>
        <v>93.5</v>
        <stp/>
        <stp>BID</stp>
        <stp>.SPXW260123C6815</stp>
        <tr r="I10" s="14"/>
      </tp>
      <tp>
        <v>1.6</v>
        <stp/>
        <stp>BID</stp>
        <stp>.SPXW260123P6815</stp>
        <tr r="Q10" s="14"/>
      </tp>
      <tp>
        <v>85.7</v>
        <stp/>
        <stp>BID</stp>
        <stp>.SPXW260123C6825</stp>
        <tr r="I20" s="14"/>
      </tp>
      <tp>
        <v>90.5</v>
        <stp/>
        <stp>BID</stp>
        <stp>.SPXW260123C6820</stp>
        <tr r="I15" s="14"/>
      </tp>
      <tp>
        <v>2.2000000000000002</v>
        <stp/>
        <stp>BID</stp>
        <stp>.SPXW260123P6825</stp>
        <tr r="Q20" s="14"/>
      </tp>
      <tp>
        <v>1.85</v>
        <stp/>
        <stp>BID</stp>
        <stp>.SPXW260123P6820</stp>
        <tr r="Q15" s="14"/>
      </tp>
      <tp>
        <v>74.599999999999994</v>
        <stp/>
        <stp>BID</stp>
        <stp>.SPXW260123C6835</stp>
        <tr r="I30" s="14"/>
      </tp>
      <tp>
        <v>81.099999999999994</v>
        <stp/>
        <stp>BID</stp>
        <stp>.SPXW260123C6830</stp>
        <tr r="I25" s="14"/>
      </tp>
      <tp>
        <v>2.6</v>
        <stp/>
        <stp>BID</stp>
        <stp>.SPXW260123P6835</stp>
        <tr r="Q30" s="14"/>
      </tp>
      <tp>
        <v>2.35</v>
        <stp/>
        <stp>BID</stp>
        <stp>.SPXW260123P6830</stp>
        <tr r="Q25" s="14"/>
      </tp>
      <tp>
        <v>67.2</v>
        <stp/>
        <stp>BID</stp>
        <stp>.SPXW260123C6845</stp>
        <tr r="I40" s="14"/>
      </tp>
      <tp>
        <v>71.8</v>
        <stp/>
        <stp>BID</stp>
        <stp>.SPXW260123C6840</stp>
        <tr r="I35" s="14"/>
      </tp>
      <tp>
        <v>3.4</v>
        <stp/>
        <stp>BID</stp>
        <stp>.SPXW260123P6845</stp>
        <tr r="Q40" s="14"/>
      </tp>
      <tp>
        <v>2.95</v>
        <stp/>
        <stp>BID</stp>
        <stp>.SPXW260123P6840</stp>
        <tr r="Q35" s="14"/>
      </tp>
      <tp>
        <v>58.1</v>
        <stp/>
        <stp>BID</stp>
        <stp>.SPXW260123C6855</stp>
        <tr r="I50" s="14"/>
      </tp>
      <tp>
        <v>62.7</v>
        <stp/>
        <stp>BID</stp>
        <stp>.SPXW260123C6850</stp>
        <tr r="I45" s="14"/>
      </tp>
      <tp>
        <v>4.3</v>
        <stp/>
        <stp>BID</stp>
        <stp>.SPXW260123P6855</stp>
        <tr r="Q50" s="14"/>
      </tp>
      <tp>
        <v>3.9</v>
        <stp/>
        <stp>BID</stp>
        <stp>.SPXW260123P6850</stp>
        <tr r="Q45" s="14"/>
      </tp>
      <tp>
        <v>49.4</v>
        <stp/>
        <stp>BID</stp>
        <stp>.SPXW260123C6865</stp>
        <tr r="I60" s="14"/>
      </tp>
      <tp>
        <v>53.7</v>
        <stp/>
        <stp>BID</stp>
        <stp>.SPXW260123C6860</stp>
        <tr r="I55" s="14"/>
      </tp>
      <tp>
        <v>5.6</v>
        <stp/>
        <stp>BID</stp>
        <stp>.SPXW260123P6865</stp>
        <tr r="Q60" s="14"/>
      </tp>
      <tp>
        <v>4.9000000000000004</v>
        <stp/>
        <stp>BID</stp>
        <stp>.SPXW260123P6860</stp>
        <tr r="Q55" s="14"/>
      </tp>
      <tp>
        <v>41</v>
        <stp/>
        <stp>BID</stp>
        <stp>.SPXW260123C6875</stp>
        <tr r="I70" s="14"/>
      </tp>
      <tp>
        <v>45.2</v>
        <stp/>
        <stp>BID</stp>
        <stp>.SPXW260123C6870</stp>
        <tr r="I65" s="14"/>
      </tp>
      <tp>
        <v>7.3</v>
        <stp/>
        <stp>BID</stp>
        <stp>.SPXW260123P6875</stp>
        <tr r="Q70" s="14"/>
      </tp>
      <tp>
        <v>6.4</v>
        <stp/>
        <stp>BID</stp>
        <stp>.SPXW260123P6870</stp>
        <tr r="Q65" s="14"/>
      </tp>
      <tp>
        <v>-0.32</v>
        <stp/>
        <stp>DELTA</stp>
        <stp>.SPXW260123P6890</stp>
        <tr r="W85" s="14"/>
      </tp>
      <tp>
        <v>-0.36</v>
        <stp/>
        <stp>DELTA</stp>
        <stp>.SPXW260123P6895</stp>
        <tr r="W90" s="14"/>
      </tp>
      <tp>
        <v>0.74</v>
        <stp/>
        <stp>DELTA</stp>
        <stp>.SPXW260123C6890</stp>
        <tr r="G85" s="14"/>
      </tp>
      <tp>
        <v>0.69</v>
        <stp/>
        <stp>DELTA</stp>
        <stp>.SPXW260123C6895</stp>
        <tr r="G90" s="14"/>
      </tp>
      <tp>
        <v>-0.26</v>
        <stp/>
        <stp>DELTA</stp>
        <stp>.SPXW260123P6880</stp>
        <tr r="W75" s="14"/>
      </tp>
      <tp>
        <v>-0.28999999999999998</v>
        <stp/>
        <stp>DELTA</stp>
        <stp>.SPXW260123P6885</stp>
        <tr r="W80" s="14"/>
      </tp>
      <tp>
        <v>0.82</v>
        <stp/>
        <stp>DELTA</stp>
        <stp>.SPXW260123C6880</stp>
        <tr r="G75" s="14"/>
      </tp>
      <tp>
        <v>0.78</v>
        <stp/>
        <stp>DELTA</stp>
        <stp>.SPXW260123C6885</stp>
        <tr r="G80" s="14"/>
      </tp>
      <tp>
        <v>-0.09</v>
        <stp/>
        <stp>DELTA</stp>
        <stp>.SPXW260123P6830</stp>
        <tr r="W25" s="14"/>
      </tp>
      <tp>
        <v>-0.1</v>
        <stp/>
        <stp>DELTA</stp>
        <stp>.SPXW260123P6835</stp>
        <tr r="W30" s="14"/>
      </tp>
      <tp>
        <v>1</v>
        <stp/>
        <stp>DELTA</stp>
        <stp>.SPXW260123C6830</stp>
        <tr r="G25" s="14"/>
      </tp>
      <tp>
        <v>1</v>
        <stp/>
        <stp>DELTA</stp>
        <stp>.SPXW260123C6835</stp>
        <tr r="G30" s="14"/>
      </tp>
      <tp>
        <v>-7.0000000000000007E-2</v>
        <stp/>
        <stp>DELTA</stp>
        <stp>.SPXW260123P6820</stp>
        <tr r="W15" s="14"/>
      </tp>
      <tp>
        <v>-0.08</v>
        <stp/>
        <stp>DELTA</stp>
        <stp>.SPXW260123P6825</stp>
        <tr r="W20" s="14"/>
      </tp>
      <tp>
        <v>1</v>
        <stp/>
        <stp>DELTA</stp>
        <stp>.SPXW260123C6820</stp>
        <tr r="G15" s="14"/>
      </tp>
      <tp>
        <v>1</v>
        <stp/>
        <stp>DELTA</stp>
        <stp>.SPXW260123C6825</stp>
        <tr r="G20" s="14"/>
      </tp>
      <tp>
        <v>-0.06</v>
        <stp/>
        <stp>DELTA</stp>
        <stp>.SPXW260123P6815</stp>
        <tr r="W10" s="14"/>
      </tp>
      <tp>
        <v>1</v>
        <stp/>
        <stp>DELTA</stp>
        <stp>.SPXW260123C6815</stp>
        <tr r="G10" s="14"/>
      </tp>
      <tp>
        <v>-0.21</v>
        <stp/>
        <stp>DELTA</stp>
        <stp>.SPXW260123P6870</stp>
        <tr r="W65" s="14"/>
      </tp>
      <tp>
        <v>-0.23</v>
        <stp/>
        <stp>DELTA</stp>
        <stp>.SPXW260123P6875</stp>
        <tr r="W70" s="14"/>
      </tp>
      <tp>
        <v>0.89</v>
        <stp/>
        <stp>DELTA</stp>
        <stp>.SPXW260123C6870</stp>
        <tr r="G65" s="14"/>
      </tp>
      <tp>
        <v>0.86</v>
        <stp/>
        <stp>DELTA</stp>
        <stp>.SPXW260123C6875</stp>
        <tr r="G70" s="14"/>
      </tp>
      <tp>
        <v>-0.17</v>
        <stp/>
        <stp>DELTA</stp>
        <stp>.SPXW260123P6860</stp>
        <tr r="W55" s="14"/>
      </tp>
      <tp>
        <v>-0.19</v>
        <stp/>
        <stp>DELTA</stp>
        <stp>.SPXW260123P6865</stp>
        <tr r="W60" s="14"/>
      </tp>
      <tp>
        <v>0.97</v>
        <stp/>
        <stp>DELTA</stp>
        <stp>.SPXW260123C6860</stp>
        <tr r="G55" s="14"/>
      </tp>
      <tp>
        <v>0.93</v>
        <stp/>
        <stp>DELTA</stp>
        <stp>.SPXW260123C6865</stp>
        <tr r="G60" s="14"/>
      </tp>
      <tp>
        <v>-0.13</v>
        <stp/>
        <stp>DELTA</stp>
        <stp>.SPXW260123P6850</stp>
        <tr r="W45" s="14"/>
      </tp>
      <tp>
        <v>-0.15</v>
        <stp/>
        <stp>DELTA</stp>
        <stp>.SPXW260123P6855</stp>
        <tr r="W50" s="14"/>
      </tp>
      <tp>
        <v>1</v>
        <stp/>
        <stp>DELTA</stp>
        <stp>.SPXW260123C6850</stp>
        <tr r="G45" s="14"/>
      </tp>
      <tp>
        <v>1</v>
        <stp/>
        <stp>DELTA</stp>
        <stp>.SPXW260123C6855</stp>
        <tr r="G50" s="14"/>
      </tp>
      <tp>
        <v>-0.11</v>
        <stp/>
        <stp>DELTA</stp>
        <stp>.SPXW260123P6840</stp>
        <tr r="W35" s="14"/>
      </tp>
      <tp>
        <v>-0.12</v>
        <stp/>
        <stp>DELTA</stp>
        <stp>.SPXW260123P6845</stp>
        <tr r="W40" s="14"/>
      </tp>
      <tp>
        <v>1</v>
        <stp/>
        <stp>DELTA</stp>
        <stp>.SPXW260123C6840</stp>
        <tr r="G35" s="14"/>
      </tp>
      <tp>
        <v>1</v>
        <stp/>
        <stp>DELTA</stp>
        <stp>.SPXW260123C6845</stp>
        <tr r="G40" s="14"/>
      </tp>
      <tp>
        <v>0.05</v>
        <stp/>
        <stp>BID</stp>
        <stp>.SPXW260123C7005</stp>
        <tr r="I200" s="14"/>
      </tp>
      <tp>
        <v>0.1</v>
        <stp/>
        <stp>BID</stp>
        <stp>.SPXW260123C7000</stp>
        <tr r="I195" s="14"/>
      </tp>
      <tp>
        <v>93.4</v>
        <stp/>
        <stp>BID</stp>
        <stp>.SPXW260123P7005</stp>
        <tr r="Q200" s="14"/>
      </tp>
      <tp>
        <v>90.3</v>
        <stp/>
        <stp>BID</stp>
        <stp>.SPXW260123P7000</stp>
        <tr r="Q195" s="14"/>
      </tp>
      <tp>
        <v>0.05</v>
        <stp/>
        <stp>BID</stp>
        <stp>.SPXW260123C7015</stp>
        <tr r="I210" s="14"/>
      </tp>
      <tp>
        <v>0.05</v>
        <stp/>
        <stp>BID</stp>
        <stp>.SPXW260123C7010</stp>
        <tr r="I205" s="14"/>
      </tp>
      <tp>
        <v>103.4</v>
        <stp/>
        <stp>BID</stp>
        <stp>.SPXW260123P7015</stp>
        <tr r="Q210" s="14"/>
      </tp>
      <tp>
        <v>98.4</v>
        <stp/>
        <stp>BID</stp>
        <stp>.SPXW260123P7010</stp>
        <tr r="Q205" s="14"/>
      </tp>
      <tp>
        <v>-0.86</v>
        <stp/>
        <stp>DELTA</stp>
        <stp>.SPXW260123P6990</stp>
        <tr r="W185" s="14"/>
      </tp>
      <tp>
        <v>-0.86</v>
        <stp/>
        <stp>DELTA</stp>
        <stp>.SPXW260123P6995</stp>
        <tr r="W190" s="14"/>
      </tp>
      <tp>
        <v>0.02</v>
        <stp/>
        <stp>DELTA</stp>
        <stp>.SPXW260123C6990</stp>
        <tr r="G185" s="14"/>
      </tp>
      <tp>
        <v>0.02</v>
        <stp/>
        <stp>DELTA</stp>
        <stp>.SPXW260123C6995</stp>
        <tr r="G190" s="14"/>
      </tp>
      <tp>
        <v>-0.84</v>
        <stp/>
        <stp>DELTA</stp>
        <stp>.SPXW260123P6980</stp>
        <tr r="W175" s="14"/>
      </tp>
      <tp>
        <v>-0.85</v>
        <stp/>
        <stp>DELTA</stp>
        <stp>.SPXW260123P6985</stp>
        <tr r="W180" s="14"/>
      </tp>
      <tp>
        <v>0.03</v>
        <stp/>
        <stp>DELTA</stp>
        <stp>.SPXW260123C6980</stp>
        <tr r="G175" s="14"/>
      </tp>
      <tp>
        <v>0.03</v>
        <stp/>
        <stp>DELTA</stp>
        <stp>.SPXW260123C6985</stp>
        <tr r="G180" s="14"/>
      </tp>
      <tp>
        <v>-0.62</v>
        <stp/>
        <stp>DELTA</stp>
        <stp>.SPXW260123P6930</stp>
        <tr r="W125" s="14"/>
      </tp>
      <tp>
        <v>-0.66</v>
        <stp/>
        <stp>DELTA</stp>
        <stp>.SPXW260123P6935</stp>
        <tr r="W130" s="14"/>
      </tp>
      <tp>
        <v>0.33</v>
        <stp/>
        <stp>DELTA</stp>
        <stp>.SPXW260123C6930</stp>
        <tr r="G125" s="14"/>
      </tp>
      <tp>
        <v>0.28000000000000003</v>
        <stp/>
        <stp>DELTA</stp>
        <stp>.SPXW260123C6935</stp>
        <tr r="G130" s="14"/>
      </tp>
      <tp>
        <v>-0.55000000000000004</v>
        <stp/>
        <stp>DELTA</stp>
        <stp>.SPXW260123P6920</stp>
        <tr r="W115" s="14"/>
      </tp>
      <tp>
        <v>-0.59</v>
        <stp/>
        <stp>DELTA</stp>
        <stp>.SPXW260123P6925</stp>
        <tr r="W120" s="14"/>
      </tp>
      <tp>
        <v>0.44</v>
        <stp/>
        <stp>DELTA</stp>
        <stp>.SPXW260123C6920</stp>
        <tr r="G115" s="14"/>
      </tp>
      <tp>
        <v>0.38</v>
        <stp/>
        <stp>DELTA</stp>
        <stp>.SPXW260123C6925</stp>
        <tr r="G120" s="14"/>
      </tp>
      <tp>
        <v>-0.47</v>
        <stp/>
        <stp>DELTA</stp>
        <stp>.SPXW260123P6910</stp>
        <tr r="W105" s="14"/>
      </tp>
      <tp>
        <v>-0.51</v>
        <stp/>
        <stp>DELTA</stp>
        <stp>.SPXW260123P6915</stp>
        <tr r="W110" s="14"/>
      </tp>
      <tp>
        <v>0.54</v>
        <stp/>
        <stp>DELTA</stp>
        <stp>.SPXW260123C6910</stp>
        <tr r="G105" s="14"/>
      </tp>
      <tp>
        <v>0.49</v>
        <stp/>
        <stp>DELTA</stp>
        <stp>.SPXW260123C6915</stp>
        <tr r="G110" s="14"/>
      </tp>
      <tp>
        <v>-0.39</v>
        <stp/>
        <stp>DELTA</stp>
        <stp>.SPXW260123P6900</stp>
        <tr r="W95" s="14"/>
      </tp>
      <tp>
        <v>-0.43</v>
        <stp/>
        <stp>DELTA</stp>
        <stp>.SPXW260123P6905</stp>
        <tr r="W100" s="14"/>
      </tp>
      <tp>
        <v>0.64</v>
        <stp/>
        <stp>DELTA</stp>
        <stp>.SPXW260123C6900</stp>
        <tr r="G95" s="14"/>
      </tp>
      <tp>
        <v>0.59</v>
        <stp/>
        <stp>DELTA</stp>
        <stp>.SPXW260123C6905</stp>
        <tr r="G100" s="14"/>
      </tp>
      <tp>
        <v>-0.82</v>
        <stp/>
        <stp>DELTA</stp>
        <stp>.SPXW260123P6970</stp>
        <tr r="W165" s="14"/>
      </tp>
      <tp>
        <v>-0.84</v>
        <stp/>
        <stp>DELTA</stp>
        <stp>.SPXW260123P6975</stp>
        <tr r="W170" s="14"/>
      </tp>
      <tp>
        <v>0.06</v>
        <stp/>
        <stp>DELTA</stp>
        <stp>.SPXW260123C6970</stp>
        <tr r="G165" s="14"/>
      </tp>
      <tp>
        <v>0.05</v>
        <stp/>
        <stp>DELTA</stp>
        <stp>.SPXW260123C6975</stp>
        <tr r="G170" s="14"/>
      </tp>
      <tp>
        <v>-0.79</v>
        <stp/>
        <stp>DELTA</stp>
        <stp>.SPXW260123P6960</stp>
        <tr r="W155" s="14"/>
      </tp>
      <tp>
        <v>-0.81</v>
        <stp/>
        <stp>DELTA</stp>
        <stp>.SPXW260123P6965</stp>
        <tr r="W160" s="14"/>
      </tp>
      <tp>
        <v>0.1</v>
        <stp/>
        <stp>DELTA</stp>
        <stp>.SPXW260123C6960</stp>
        <tr r="G155" s="14"/>
      </tp>
      <tp>
        <v>0.08</v>
        <stp/>
        <stp>DELTA</stp>
        <stp>.SPXW260123C6965</stp>
        <tr r="G160" s="14"/>
      </tp>
      <tp>
        <v>-0.75</v>
        <stp/>
        <stp>DELTA</stp>
        <stp>.SPXW260123P6950</stp>
        <tr r="W145" s="14"/>
      </tp>
      <tp>
        <v>-0.77</v>
        <stp/>
        <stp>DELTA</stp>
        <stp>.SPXW260123P6955</stp>
        <tr r="W150" s="14"/>
      </tp>
      <tp>
        <v>0.16</v>
        <stp/>
        <stp>DELTA</stp>
        <stp>.SPXW260123C6950</stp>
        <tr r="G145" s="14"/>
      </tp>
      <tp>
        <v>0.13</v>
        <stp/>
        <stp>DELTA</stp>
        <stp>.SPXW260123C6955</stp>
        <tr r="G150" s="14"/>
      </tp>
      <tp>
        <v>-0.7</v>
        <stp/>
        <stp>DELTA</stp>
        <stp>.SPXW260123P6940</stp>
        <tr r="W135" s="14"/>
      </tp>
      <tp>
        <v>-0.73</v>
        <stp/>
        <stp>DELTA</stp>
        <stp>.SPXW260123P6945</stp>
        <tr r="W140" s="14"/>
      </tp>
      <tp>
        <v>0.24</v>
        <stp/>
        <stp>DELTA</stp>
        <stp>.SPXW260123C6940</stp>
        <tr r="G135" s="14"/>
      </tp>
      <tp>
        <v>0.2</v>
        <stp/>
        <stp>DELTA</stp>
        <stp>.SPXW260123C6945</stp>
        <tr r="G140" s="14"/>
      </tp>
      <tp>
        <v>1527</v>
        <stp/>
        <stp>OPEN_INT</stp>
        <stp>.SPXW260123C7010</stp>
        <tr r="D205" s="14"/>
      </tp>
      <tp>
        <v>842</v>
        <stp/>
        <stp>OPEN_INT</stp>
        <stp>.SPXW260123C7015</stp>
        <tr r="D210" s="14"/>
      </tp>
      <tp>
        <v>120</v>
        <stp/>
        <stp>OPEN_INT</stp>
        <stp>.SPXW260123P7010</stp>
        <tr r="T205" s="14"/>
      </tp>
      <tp>
        <v>116</v>
        <stp/>
        <stp>OPEN_INT</stp>
        <stp>.SPXW260123P7015</stp>
        <tr r="T210" s="14"/>
      </tp>
      <tp>
        <v>10887</v>
        <stp/>
        <stp>OPEN_INT</stp>
        <stp>.SPXW260123C7000</stp>
        <tr r="D195" s="14"/>
      </tp>
      <tp>
        <v>1553</v>
        <stp/>
        <stp>OPEN_INT</stp>
        <stp>.SPXW260123C7005</stp>
        <tr r="D200" s="14"/>
      </tp>
      <tp>
        <v>6009</v>
        <stp/>
        <stp>OPEN_INT</stp>
        <stp>.SPXW260123P7000</stp>
        <tr r="T195" s="14"/>
      </tp>
      <tp>
        <v>26</v>
        <stp/>
        <stp>OPEN_INT</stp>
        <stp>.SPXW260123P7005</stp>
        <tr r="T200" s="14"/>
      </tp>
      <tp t="s">
        <v>N/A</v>
        <stp/>
        <stp>OPEN_INT</stp>
        <stp>.SPXW000100C7000</stp>
        <tr r="D804" s="14"/>
        <tr r="D1413" s="14"/>
        <tr r="D1616" s="14"/>
        <tr r="D1210" s="14"/>
        <tr r="D1007" s="14"/>
        <tr r="D601" s="14"/>
      </tp>
      <tp t="s">
        <v>N/A</v>
        <stp/>
        <stp>OPEN_INT</stp>
        <stp>.SPXW000100C7001</stp>
        <tr r="D602" s="14"/>
        <tr r="D1008" s="14"/>
        <tr r="D805" s="14"/>
        <tr r="D1617" s="14"/>
        <tr r="D1211" s="14"/>
        <tr r="D1414" s="14"/>
      </tp>
      <tp t="s">
        <v>N/A</v>
        <stp/>
        <stp>OPEN_INT</stp>
        <stp>.SPXW000100C7002</stp>
        <tr r="D1618" s="14"/>
        <tr r="D1415" s="14"/>
        <tr r="D603" s="14"/>
        <tr r="D1009" s="14"/>
        <tr r="D1212" s="14"/>
        <tr r="D806" s="14"/>
      </tp>
      <tp t="s">
        <v>N/A</v>
        <stp/>
        <stp>OPEN_INT</stp>
        <stp>.SPXW000100C7003</stp>
        <tr r="D1010" s="14"/>
        <tr r="D1416" s="14"/>
        <tr r="D1213" s="14"/>
        <tr r="D604" s="14"/>
        <tr r="D807" s="14"/>
        <tr r="D1619" s="14"/>
      </tp>
      <tp t="s">
        <v>N/A</v>
        <stp/>
        <stp>OPEN_INT</stp>
        <stp>.SPXW000100C7004</stp>
        <tr r="D1011" s="14"/>
        <tr r="D605" s="14"/>
        <tr r="D1417" s="14"/>
        <tr r="D808" s="14"/>
        <tr r="D1620" s="14"/>
        <tr r="D1214" s="14"/>
      </tp>
      <tp t="s">
        <v>N/A</v>
        <stp/>
        <stp>OPEN_INT</stp>
        <stp>.SPXW000100C7005</stp>
        <tr r="D1215" s="14"/>
        <tr r="D606" s="14"/>
        <tr r="D1012" s="14"/>
        <tr r="D1418" s="14"/>
        <tr r="D1621" s="14"/>
        <tr r="D809" s="14"/>
      </tp>
      <tp t="s">
        <v>N/A</v>
        <stp/>
        <stp>OPEN_INT</stp>
        <stp>.SPXW000100C7006</stp>
        <tr r="D810" s="14"/>
        <tr r="D1013" s="14"/>
        <tr r="D607" s="14"/>
        <tr r="D1622" s="14"/>
        <tr r="D1216" s="14"/>
        <tr r="D1419" s="14"/>
      </tp>
      <tp t="s">
        <v>N/A</v>
        <stp/>
        <stp>OPEN_INT</stp>
        <stp>.SPXW000100C7007</stp>
        <tr r="D1420" s="14"/>
        <tr r="D1014" s="14"/>
        <tr r="D608" s="14"/>
        <tr r="D811" s="14"/>
        <tr r="D1623" s="14"/>
        <tr r="D1217" s="14"/>
      </tp>
      <tp t="s">
        <v>N/A</v>
        <stp/>
        <stp>OPEN_INT</stp>
        <stp>.SPXW000100C7008</stp>
        <tr r="D609" s="14"/>
        <tr r="D1421" s="14"/>
        <tr r="D1015" s="14"/>
        <tr r="D1218" s="14"/>
        <tr r="D812" s="14"/>
        <tr r="D1624" s="14"/>
      </tp>
      <tp t="s">
        <v>N/A</v>
        <stp/>
        <stp>OPEN_INT</stp>
        <stp>.SPXW000100C7009</stp>
        <tr r="D610" s="14"/>
        <tr r="D1219" s="14"/>
        <tr r="D1625" s="14"/>
        <tr r="D1422" s="14"/>
        <tr r="D1016" s="14"/>
        <tr r="D813" s="14"/>
      </tp>
      <tp t="s">
        <v>N/A</v>
        <stp/>
        <stp>OPEN_INT</stp>
        <stp>.SPXW000100C7010</stp>
        <tr r="D611" s="14"/>
        <tr r="D1423" s="14"/>
        <tr r="D1626" s="14"/>
        <tr r="D1220" s="14"/>
        <tr r="D814" s="14"/>
        <tr r="D1017" s="14"/>
      </tp>
      <tp t="s">
        <v>N/A</v>
        <stp/>
        <stp>OPEN_INT</stp>
        <stp>.SPXW000100C7011</stp>
        <tr r="D612" s="14"/>
        <tr r="D815" s="14"/>
        <tr r="D1018" s="14"/>
        <tr r="D1221" s="14"/>
        <tr r="D1627" s="14"/>
        <tr r="D1424" s="14"/>
      </tp>
      <tp t="s">
        <v>N/A</v>
        <stp/>
        <stp>OPEN_INT</stp>
        <stp>.SPXW000100C7012</stp>
        <tr r="D1425" s="14"/>
        <tr r="D613" s="14"/>
        <tr r="D1222" s="14"/>
        <tr r="D1019" s="14"/>
        <tr r="D816" s="14"/>
        <tr r="D1628" s="14"/>
      </tp>
      <tp t="s">
        <v>N/A</v>
        <stp/>
        <stp>OPEN_INT</stp>
        <stp>.SPXW000100C7013</stp>
        <tr r="D1426" s="14"/>
        <tr r="D1020" s="14"/>
        <tr r="D1223" s="14"/>
        <tr r="D1629" s="14"/>
        <tr r="D817" s="14"/>
        <tr r="D614" s="14"/>
      </tp>
      <tp t="s">
        <v>N/A</v>
        <stp/>
        <stp>OPEN_INT</stp>
        <stp>.SPXW000100C7014</stp>
        <tr r="D1427" s="14"/>
        <tr r="D1021" s="14"/>
        <tr r="D615" s="14"/>
        <tr r="D1224" s="14"/>
        <tr r="D818" s="14"/>
        <tr r="D1630" s="14"/>
      </tp>
      <tp t="s">
        <v>N/A</v>
        <stp/>
        <stp>OPEN_INT</stp>
        <stp>.SPXW000100C7015</stp>
        <tr r="D1631" s="14"/>
        <tr r="D1225" s="14"/>
        <tr r="D616" s="14"/>
        <tr r="D1022" s="14"/>
        <tr r="D1428" s="14"/>
        <tr r="D819" s="14"/>
      </tp>
      <tp t="s">
        <v>N/A</v>
        <stp/>
        <stp>OPEN_INT</stp>
        <stp>.SPXW000100C6940</stp>
        <tr r="D947" s="14"/>
        <tr r="D1556" s="14"/>
        <tr r="D541" s="14"/>
        <tr r="D744" s="14"/>
        <tr r="D1353" s="14"/>
        <tr r="D1150" s="14"/>
      </tp>
      <tp>
        <v>1043</v>
        <stp/>
        <stp>OPEN_INT</stp>
        <stp>.SPXW260123C6910</stp>
        <tr r="D105" s="14"/>
      </tp>
      <tp t="s">
        <v>N/A</v>
        <stp/>
        <stp>OPEN_INT</stp>
        <stp>.SPXW000100C6941</stp>
        <tr r="D1557" s="14"/>
        <tr r="D948" s="14"/>
        <tr r="D1151" s="14"/>
        <tr r="D1354" s="14"/>
        <tr r="D745" s="14"/>
        <tr r="D542" s="14"/>
      </tp>
      <tp t="s">
        <v>N/A</v>
        <stp/>
        <stp>OPEN_INT</stp>
        <stp>.SPXW000100C6942</stp>
        <tr r="D1355" s="14"/>
        <tr r="D949" s="14"/>
        <tr r="D1558" s="14"/>
        <tr r="D543" s="14"/>
        <tr r="D1152" s="14"/>
        <tr r="D746" s="14"/>
      </tp>
      <tp t="s">
        <v>N/A</v>
        <stp/>
        <stp>OPEN_INT</stp>
        <stp>.SPXW000100C6943</stp>
        <tr r="D1356" s="14"/>
        <tr r="D950" s="14"/>
        <tr r="D544" s="14"/>
        <tr r="D1153" s="14"/>
        <tr r="D1559" s="14"/>
        <tr r="D747" s="14"/>
      </tp>
      <tp t="s">
        <v>N/A</v>
        <stp/>
        <stp>OPEN_INT</stp>
        <stp>.SPXW000100C6944</stp>
        <tr r="D1154" s="14"/>
        <tr r="D545" s="14"/>
        <tr r="D1357" s="14"/>
        <tr r="D748" s="14"/>
        <tr r="D951" s="14"/>
        <tr r="D1560" s="14"/>
      </tp>
      <tp t="s">
        <v>N/A</v>
        <stp/>
        <stp>OPEN_INT</stp>
        <stp>.SPXW000100C6945</stp>
        <tr r="D546" s="14"/>
        <tr r="D1155" s="14"/>
        <tr r="D1358" s="14"/>
        <tr r="D749" s="14"/>
        <tr r="D1561" s="14"/>
        <tr r="D952" s="14"/>
      </tp>
      <tp>
        <v>2129</v>
        <stp/>
        <stp>OPEN_INT</stp>
        <stp>.SPXW260123C6915</stp>
        <tr r="D110" s="14"/>
      </tp>
      <tp t="s">
        <v>N/A</v>
        <stp/>
        <stp>OPEN_INT</stp>
        <stp>.SPXW000100C6946</stp>
        <tr r="D1156" s="14"/>
        <tr r="D953" s="14"/>
        <tr r="D750" s="14"/>
        <tr r="D1562" s="14"/>
        <tr r="D1359" s="14"/>
        <tr r="D547" s="14"/>
      </tp>
      <tp t="s">
        <v>N/A</v>
        <stp/>
        <stp>OPEN_INT</stp>
        <stp>.SPXW000100C6947</stp>
        <tr r="D1563" s="14"/>
        <tr r="D1157" s="14"/>
        <tr r="D548" s="14"/>
        <tr r="D1360" s="14"/>
        <tr r="D751" s="14"/>
        <tr r="D954" s="14"/>
      </tp>
      <tp t="s">
        <v>N/A</v>
        <stp/>
        <stp>OPEN_INT</stp>
        <stp>.SPXW000100C6948</stp>
        <tr r="D1361" s="14"/>
        <tr r="D752" s="14"/>
        <tr r="D549" s="14"/>
        <tr r="D1564" s="14"/>
        <tr r="D955" s="14"/>
        <tr r="D1158" s="14"/>
      </tp>
      <tp t="s">
        <v>N/A</v>
        <stp/>
        <stp>OPEN_INT</stp>
        <stp>.SPXW000100C6949</stp>
        <tr r="D550" s="14"/>
        <tr r="D1362" s="14"/>
        <tr r="D956" s="14"/>
        <tr r="D1159" s="14"/>
        <tr r="D1565" s="14"/>
        <tr r="D753" s="14"/>
      </tp>
      <tp>
        <v>952</v>
        <stp/>
        <stp>OPEN_INT</stp>
        <stp>.SPXW260123P6910</stp>
        <tr r="T105" s="14"/>
      </tp>
      <tp>
        <v>711</v>
        <stp/>
        <stp>OPEN_INT</stp>
        <stp>.SPXW260123P6915</stp>
        <tr r="T110" s="14"/>
      </tp>
      <tp t="s">
        <v>N/A</v>
        <stp/>
        <stp>OPEN_INT</stp>
        <stp>.SPXW000100C6950</stp>
        <tr r="D957" s="14"/>
        <tr r="D1566" s="14"/>
        <tr r="D1363" s="14"/>
        <tr r="D754" s="14"/>
        <tr r="D1160" s="14"/>
        <tr r="D551" s="14"/>
      </tp>
      <tp>
        <v>6390</v>
        <stp/>
        <stp>OPEN_INT</stp>
        <stp>.SPXW260123C6900</stp>
        <tr r="D95" s="14"/>
      </tp>
      <tp t="s">
        <v>N/A</v>
        <stp/>
        <stp>OPEN_INT</stp>
        <stp>.SPXW000100C6951</stp>
        <tr r="D1364" s="14"/>
        <tr r="D1567" s="14"/>
        <tr r="D1161" s="14"/>
        <tr r="D552" s="14"/>
        <tr r="D958" s="14"/>
        <tr r="D755" s="14"/>
      </tp>
      <tp t="s">
        <v>N/A</v>
        <stp/>
        <stp>OPEN_INT</stp>
        <stp>.SPXW000100C6952</stp>
        <tr r="D756" s="14"/>
        <tr r="D1365" s="14"/>
        <tr r="D553" s="14"/>
        <tr r="D1568" s="14"/>
        <tr r="D959" s="14"/>
        <tr r="D1162" s="14"/>
      </tp>
      <tp t="s">
        <v>N/A</v>
        <stp/>
        <stp>OPEN_INT</stp>
        <stp>.SPXW000100C6953</stp>
        <tr r="D1163" s="14"/>
        <tr r="D554" s="14"/>
        <tr r="D1569" s="14"/>
        <tr r="D960" s="14"/>
        <tr r="D1366" s="14"/>
        <tr r="D757" s="14"/>
      </tp>
      <tp t="s">
        <v>N/A</v>
        <stp/>
        <stp>OPEN_INT</stp>
        <stp>.SPXW000100C6954</stp>
        <tr r="D758" s="14"/>
        <tr r="D1570" s="14"/>
        <tr r="D1164" s="14"/>
        <tr r="D961" s="14"/>
        <tr r="D555" s="14"/>
        <tr r="D1367" s="14"/>
      </tp>
      <tp t="s">
        <v>N/A</v>
        <stp/>
        <stp>OPEN_INT</stp>
        <stp>.SPXW000100C6955</stp>
        <tr r="D962" s="14"/>
        <tr r="D1368" s="14"/>
        <tr r="D759" s="14"/>
        <tr r="D1571" s="14"/>
        <tr r="D1165" s="14"/>
        <tr r="D556" s="14"/>
      </tp>
      <tp>
        <v>706</v>
        <stp/>
        <stp>OPEN_INT</stp>
        <stp>.SPXW260123C6905</stp>
        <tr r="D100" s="14"/>
      </tp>
      <tp t="s">
        <v>N/A</v>
        <stp/>
        <stp>OPEN_INT</stp>
        <stp>.SPXW000100C6956</stp>
        <tr r="D1369" s="14"/>
        <tr r="D1166" s="14"/>
        <tr r="D557" s="14"/>
        <tr r="D963" s="14"/>
        <tr r="D760" s="14"/>
        <tr r="D1572" s="14"/>
      </tp>
      <tp t="s">
        <v>N/A</v>
        <stp/>
        <stp>OPEN_INT</stp>
        <stp>.SPXW000100C6957</stp>
        <tr r="D761" s="14"/>
        <tr r="D558" s="14"/>
        <tr r="D1573" s="14"/>
        <tr r="D1370" s="14"/>
        <tr r="D964" s="14"/>
        <tr r="D1167" s="14"/>
      </tp>
      <tp t="s">
        <v>N/A</v>
        <stp/>
        <stp>OPEN_INT</stp>
        <stp>.SPXW000100C6958</stp>
        <tr r="D762" s="14"/>
        <tr r="D1574" s="14"/>
        <tr r="D1371" s="14"/>
        <tr r="D559" s="14"/>
        <tr r="D1168" s="14"/>
        <tr r="D965" s="14"/>
      </tp>
      <tp t="s">
        <v>N/A</v>
        <stp/>
        <stp>OPEN_INT</stp>
        <stp>.SPXW000100C6959</stp>
        <tr r="D1575" s="14"/>
        <tr r="D1372" s="14"/>
        <tr r="D966" s="14"/>
        <tr r="D560" s="14"/>
        <tr r="D763" s="14"/>
        <tr r="D1169" s="14"/>
      </tp>
      <tp>
        <v>5015</v>
        <stp/>
        <stp>OPEN_INT</stp>
        <stp>.SPXW260123P6900</stp>
        <tr r="T95" s="14"/>
      </tp>
      <tp>
        <v>525</v>
        <stp/>
        <stp>OPEN_INT</stp>
        <stp>.SPXW260123P6905</stp>
        <tr r="T100" s="14"/>
      </tp>
      <tp t="s">
        <v>N/A</v>
        <stp/>
        <stp>OPEN_INT</stp>
        <stp>.SPXW000100C6960</stp>
        <tr r="D1373" s="14"/>
        <tr r="D1576" s="14"/>
        <tr r="D561" s="14"/>
        <tr r="D764" s="14"/>
        <tr r="D1170" s="14"/>
        <tr r="D967" s="14"/>
      </tp>
      <tp>
        <v>2245</v>
        <stp/>
        <stp>OPEN_INT</stp>
        <stp>.SPXW260123C6930</stp>
        <tr r="D125" s="14"/>
      </tp>
      <tp t="s">
        <v>N/A</v>
        <stp/>
        <stp>OPEN_INT</stp>
        <stp>.SPXW000100C6961</stp>
        <tr r="D562" s="14"/>
        <tr r="D1577" s="14"/>
        <tr r="D968" s="14"/>
        <tr r="D1374" s="14"/>
        <tr r="D1171" s="14"/>
        <tr r="D765" s="14"/>
      </tp>
      <tp t="s">
        <v>N/A</v>
        <stp/>
        <stp>OPEN_INT</stp>
        <stp>.SPXW000100C6962</stp>
        <tr r="D1375" s="14"/>
        <tr r="D969" s="14"/>
        <tr r="D563" s="14"/>
        <tr r="D1172" s="14"/>
        <tr r="D1578" s="14"/>
        <tr r="D766" s="14"/>
      </tp>
      <tp t="s">
        <v>N/A</v>
        <stp/>
        <stp>OPEN_INT</stp>
        <stp>.SPXW000100C6963</stp>
        <tr r="D1579" s="14"/>
        <tr r="D564" s="14"/>
        <tr r="D1376" s="14"/>
        <tr r="D970" s="14"/>
        <tr r="D767" s="14"/>
        <tr r="D1173" s="14"/>
      </tp>
      <tp t="s">
        <v>N/A</v>
        <stp/>
        <stp>OPEN_INT</stp>
        <stp>.SPXW000100C6964</stp>
        <tr r="D768" s="14"/>
        <tr r="D1377" s="14"/>
        <tr r="D971" s="14"/>
        <tr r="D1174" s="14"/>
        <tr r="D1580" s="14"/>
        <tr r="D565" s="14"/>
      </tp>
      <tp t="s">
        <v>N/A</v>
        <stp/>
        <stp>OPEN_INT</stp>
        <stp>.SPXW000100C6965</stp>
        <tr r="D972" s="14"/>
        <tr r="D769" s="14"/>
        <tr r="D1581" s="14"/>
        <tr r="D1378" s="14"/>
        <tr r="D1175" s="14"/>
        <tr r="D566" s="14"/>
      </tp>
      <tp>
        <v>768</v>
        <stp/>
        <stp>OPEN_INT</stp>
        <stp>.SPXW260123C6935</stp>
        <tr r="D130" s="14"/>
      </tp>
      <tp t="s">
        <v>N/A</v>
        <stp/>
        <stp>OPEN_INT</stp>
        <stp>.SPXW000100C6966</stp>
        <tr r="D567" s="14"/>
        <tr r="D1176" s="14"/>
        <tr r="D973" s="14"/>
        <tr r="D1582" s="14"/>
        <tr r="D770" s="14"/>
        <tr r="D1379" s="14"/>
      </tp>
      <tp t="s">
        <v>N/A</v>
        <stp/>
        <stp>OPEN_INT</stp>
        <stp>.SPXW000100C6967</stp>
        <tr r="D1583" s="14"/>
        <tr r="D568" s="14"/>
        <tr r="D974" s="14"/>
        <tr r="D771" s="14"/>
        <tr r="D1380" s="14"/>
        <tr r="D1177" s="14"/>
      </tp>
      <tp t="s">
        <v>N/A</v>
        <stp/>
        <stp>OPEN_INT</stp>
        <stp>.SPXW000100C6968</stp>
        <tr r="D772" s="14"/>
        <tr r="D569" s="14"/>
        <tr r="D975" s="14"/>
        <tr r="D1381" s="14"/>
        <tr r="D1178" s="14"/>
        <tr r="D1584" s="14"/>
      </tp>
      <tp t="s">
        <v>N/A</v>
        <stp/>
        <stp>OPEN_INT</stp>
        <stp>.SPXW000100C6969</stp>
        <tr r="D1585" s="14"/>
        <tr r="D976" s="14"/>
        <tr r="D773" s="14"/>
        <tr r="D1382" s="14"/>
        <tr r="D1179" s="14"/>
        <tr r="D570" s="14"/>
      </tp>
      <tp>
        <v>698</v>
        <stp/>
        <stp>OPEN_INT</stp>
        <stp>.SPXW260123P6930</stp>
        <tr r="T125" s="14"/>
      </tp>
      <tp>
        <v>591</v>
        <stp/>
        <stp>OPEN_INT</stp>
        <stp>.SPXW260123P6935</stp>
        <tr r="T130" s="14"/>
      </tp>
      <tp t="s">
        <v>N/A</v>
        <stp/>
        <stp>OPEN_INT</stp>
        <stp>.SPXW000100C6970</stp>
        <tr r="D1586" s="14"/>
        <tr r="D1383" s="14"/>
        <tr r="D1180" s="14"/>
        <tr r="D977" s="14"/>
        <tr r="D774" s="14"/>
        <tr r="D571" s="14"/>
      </tp>
      <tp>
        <v>1372</v>
        <stp/>
        <stp>OPEN_INT</stp>
        <stp>.SPXW260123C6920</stp>
        <tr r="D115" s="14"/>
      </tp>
      <tp t="s">
        <v>N/A</v>
        <stp/>
        <stp>OPEN_INT</stp>
        <stp>.SPXW000100C6971</stp>
        <tr r="D978" s="14"/>
        <tr r="D1181" s="14"/>
        <tr r="D1384" s="14"/>
        <tr r="D775" s="14"/>
        <tr r="D1587" s="14"/>
        <tr r="D572" s="14"/>
      </tp>
      <tp t="s">
        <v>N/A</v>
        <stp/>
        <stp>OPEN_INT</stp>
        <stp>.SPXW000100C6972</stp>
        <tr r="D1588" s="14"/>
        <tr r="D1385" s="14"/>
        <tr r="D979" s="14"/>
        <tr r="D776" s="14"/>
        <tr r="D1182" s="14"/>
        <tr r="D573" s="14"/>
      </tp>
      <tp t="s">
        <v>N/A</v>
        <stp/>
        <stp>OPEN_INT</stp>
        <stp>.SPXW000100C6973</stp>
        <tr r="D1589" s="14"/>
        <tr r="D1386" s="14"/>
        <tr r="D1183" s="14"/>
        <tr r="D980" s="14"/>
        <tr r="D777" s="14"/>
        <tr r="D574" s="14"/>
      </tp>
      <tp t="s">
        <v>N/A</v>
        <stp/>
        <stp>OPEN_INT</stp>
        <stp>.SPXW000100C6974</stp>
        <tr r="D778" s="14"/>
        <tr r="D981" s="14"/>
        <tr r="D1387" s="14"/>
        <tr r="D1184" s="14"/>
        <tr r="D1590" s="14"/>
        <tr r="D575" s="14"/>
      </tp>
      <tp t="s">
        <v>N/A</v>
        <stp/>
        <stp>OPEN_INT</stp>
        <stp>.SPXW000100C6975</stp>
        <tr r="D1591" s="14"/>
        <tr r="D1185" s="14"/>
        <tr r="D982" s="14"/>
        <tr r="D1388" s="14"/>
        <tr r="D779" s="14"/>
        <tr r="D576" s="14"/>
      </tp>
      <tp>
        <v>3292</v>
        <stp/>
        <stp>OPEN_INT</stp>
        <stp>.SPXW260123C6925</stp>
        <tr r="D120" s="14"/>
      </tp>
      <tp t="s">
        <v>N/A</v>
        <stp/>
        <stp>OPEN_INT</stp>
        <stp>.SPXW000100C6976</stp>
        <tr r="D577" s="14"/>
        <tr r="D983" s="14"/>
        <tr r="D1592" s="14"/>
        <tr r="D1186" s="14"/>
        <tr r="D780" s="14"/>
        <tr r="D1389" s="14"/>
      </tp>
      <tp t="s">
        <v>N/A</v>
        <stp/>
        <stp>OPEN_INT</stp>
        <stp>.SPXW000100C6977</stp>
        <tr r="D984" s="14"/>
        <tr r="D578" s="14"/>
        <tr r="D781" s="14"/>
        <tr r="D1390" s="14"/>
        <tr r="D1187" s="14"/>
        <tr r="D1593" s="14"/>
      </tp>
      <tp t="s">
        <v>N/A</v>
        <stp/>
        <stp>OPEN_INT</stp>
        <stp>.SPXW000100C6978</stp>
        <tr r="D1594" s="14"/>
        <tr r="D1188" s="14"/>
        <tr r="D782" s="14"/>
        <tr r="D985" s="14"/>
        <tr r="D1391" s="14"/>
        <tr r="D579" s="14"/>
      </tp>
      <tp t="s">
        <v>N/A</v>
        <stp/>
        <stp>OPEN_INT</stp>
        <stp>.SPXW000100C6979</stp>
        <tr r="D580" s="14"/>
        <tr r="D1595" s="14"/>
        <tr r="D1392" s="14"/>
        <tr r="D986" s="14"/>
        <tr r="D1189" s="14"/>
        <tr r="D783" s="14"/>
      </tp>
      <tp>
        <v>1826</v>
        <stp/>
        <stp>OPEN_INT</stp>
        <stp>.SPXW260123P6920</stp>
        <tr r="T115" s="14"/>
      </tp>
      <tp>
        <v>2777</v>
        <stp/>
        <stp>OPEN_INT</stp>
        <stp>.SPXW260123P6925</stp>
        <tr r="T120" s="14"/>
      </tp>
      <tp t="s">
        <v>N/A</v>
        <stp/>
        <stp>OPEN_INT</stp>
        <stp>.SPXW000100C6900</stp>
        <tr r="D1516" s="14"/>
        <tr r="D501" s="14"/>
        <tr r="D907" s="14"/>
        <tr r="D1110" s="14"/>
        <tr r="D1313" s="14"/>
        <tr r="D704" s="14"/>
      </tp>
      <tp>
        <v>7584</v>
        <stp/>
        <stp>OPEN_INT</stp>
        <stp>.SPXW260123C6950</stp>
        <tr r="D145" s="14"/>
      </tp>
      <tp t="s">
        <v>N/A</v>
        <stp/>
        <stp>OPEN_INT</stp>
        <stp>.SPXW000100C6901</stp>
        <tr r="D1517" s="14"/>
        <tr r="D908" s="14"/>
        <tr r="D1111" s="14"/>
        <tr r="D502" s="14"/>
        <tr r="D705" s="14"/>
        <tr r="D1314" s="14"/>
      </tp>
      <tp t="s">
        <v>N/A</v>
        <stp/>
        <stp>OPEN_INT</stp>
        <stp>.SPXW000100C6902</stp>
        <tr r="D1315" s="14"/>
        <tr r="D706" s="14"/>
        <tr r="D1518" s="14"/>
        <tr r="D1112" s="14"/>
        <tr r="D909" s="14"/>
        <tr r="D503" s="14"/>
      </tp>
      <tp t="s">
        <v>N/A</v>
        <stp/>
        <stp>OPEN_INT</stp>
        <stp>.SPXW000100C6903</stp>
        <tr r="D1316" s="14"/>
        <tr r="D1519" s="14"/>
        <tr r="D504" s="14"/>
        <tr r="D910" s="14"/>
        <tr r="D1113" s="14"/>
        <tr r="D707" s="14"/>
      </tp>
      <tp t="s">
        <v>N/A</v>
        <stp/>
        <stp>OPEN_INT</stp>
        <stp>.SPXW000100C6904</stp>
        <tr r="D1317" s="14"/>
        <tr r="D1520" s="14"/>
        <tr r="D911" s="14"/>
        <tr r="D505" s="14"/>
        <tr r="D708" s="14"/>
        <tr r="D1114" s="14"/>
      </tp>
      <tp t="s">
        <v>N/A</v>
        <stp/>
        <stp>OPEN_INT</stp>
        <stp>.SPXW000100C6905</stp>
        <tr r="D506" s="14"/>
        <tr r="D1521" s="14"/>
        <tr r="D1318" s="14"/>
        <tr r="D912" s="14"/>
        <tr r="D709" s="14"/>
        <tr r="D1115" s="14"/>
      </tp>
      <tp>
        <v>1211</v>
        <stp/>
        <stp>OPEN_INT</stp>
        <stp>.SPXW260123C6955</stp>
        <tr r="D150" s="14"/>
      </tp>
      <tp t="s">
        <v>N/A</v>
        <stp/>
        <stp>OPEN_INT</stp>
        <stp>.SPXW000100C6906</stp>
        <tr r="D1319" s="14"/>
        <tr r="D1522" s="14"/>
        <tr r="D507" s="14"/>
        <tr r="D1116" s="14"/>
        <tr r="D710" s="14"/>
        <tr r="D913" s="14"/>
      </tp>
      <tp t="s">
        <v>N/A</v>
        <stp/>
        <stp>OPEN_INT</stp>
        <stp>.SPXW000100C6907</stp>
        <tr r="D1523" s="14"/>
        <tr r="D914" s="14"/>
        <tr r="D508" s="14"/>
        <tr r="D1320" s="14"/>
        <tr r="D711" s="14"/>
        <tr r="D1117" s="14"/>
      </tp>
      <tp t="s">
        <v>N/A</v>
        <stp/>
        <stp>OPEN_INT</stp>
        <stp>.SPXW000100C6908</stp>
        <tr r="D509" s="14"/>
        <tr r="D1321" s="14"/>
        <tr r="D1118" s="14"/>
        <tr r="D915" s="14"/>
        <tr r="D712" s="14"/>
        <tr r="D1524" s="14"/>
      </tp>
      <tp t="s">
        <v>N/A</v>
        <stp/>
        <stp>OPEN_INT</stp>
        <stp>.SPXW000100C6909</stp>
        <tr r="D916" s="14"/>
        <tr r="D1322" s="14"/>
        <tr r="D510" s="14"/>
        <tr r="D1525" s="14"/>
        <tr r="D713" s="14"/>
        <tr r="D1119" s="14"/>
      </tp>
      <tp>
        <v>4531</v>
        <stp/>
        <stp>OPEN_INT</stp>
        <stp>.SPXW260123P6950</stp>
        <tr r="T145" s="14"/>
      </tp>
      <tp>
        <v>469</v>
        <stp/>
        <stp>OPEN_INT</stp>
        <stp>.SPXW260123P6955</stp>
        <tr r="T150" s="14"/>
      </tp>
      <tp t="s">
        <v>N/A</v>
        <stp/>
        <stp>OPEN_INT</stp>
        <stp>.SPXW000100C6910</stp>
        <tr r="D511" s="14"/>
        <tr r="D1526" s="14"/>
        <tr r="D714" s="14"/>
        <tr r="D917" s="14"/>
        <tr r="D1323" s="14"/>
        <tr r="D1120" s="14"/>
      </tp>
      <tp>
        <v>2044</v>
        <stp/>
        <stp>OPEN_INT</stp>
        <stp>.SPXW260123C6940</stp>
        <tr r="D135" s="14"/>
      </tp>
      <tp t="s">
        <v>N/A</v>
        <stp/>
        <stp>OPEN_INT</stp>
        <stp>.SPXW000100C6911</stp>
        <tr r="D1527" s="14"/>
        <tr r="D512" s="14"/>
        <tr r="D1324" s="14"/>
        <tr r="D1121" s="14"/>
        <tr r="D715" s="14"/>
        <tr r="D918" s="14"/>
      </tp>
      <tp t="s">
        <v>N/A</v>
        <stp/>
        <stp>OPEN_INT</stp>
        <stp>.SPXW000100C6912</stp>
        <tr r="D513" s="14"/>
        <tr r="D919" s="14"/>
        <tr r="D716" s="14"/>
        <tr r="D1122" s="14"/>
        <tr r="D1528" s="14"/>
        <tr r="D1325" s="14"/>
      </tp>
      <tp t="s">
        <v>N/A</v>
        <stp/>
        <stp>OPEN_INT</stp>
        <stp>.SPXW000100C6913</stp>
        <tr r="D1326" s="14"/>
        <tr r="D514" s="14"/>
        <tr r="D717" s="14"/>
        <tr r="D1123" s="14"/>
        <tr r="D920" s="14"/>
        <tr r="D1529" s="14"/>
      </tp>
      <tp t="s">
        <v>N/A</v>
        <stp/>
        <stp>OPEN_INT</stp>
        <stp>.SPXW000100C6914</stp>
        <tr r="D515" s="14"/>
        <tr r="D1124" s="14"/>
        <tr r="D1530" s="14"/>
        <tr r="D921" s="14"/>
        <tr r="D718" s="14"/>
        <tr r="D1327" s="14"/>
      </tp>
      <tp t="s">
        <v>N/A</v>
        <stp/>
        <stp>OPEN_INT</stp>
        <stp>.SPXW000100C6915</stp>
        <tr r="D1531" s="14"/>
        <tr r="D1328" s="14"/>
        <tr r="D1125" s="14"/>
        <tr r="D922" s="14"/>
        <tr r="D719" s="14"/>
        <tr r="D516" s="14"/>
      </tp>
      <tp>
        <v>2172</v>
        <stp/>
        <stp>OPEN_INT</stp>
        <stp>.SPXW260123C6945</stp>
        <tr r="D140" s="14"/>
      </tp>
      <tp t="s">
        <v>N/A</v>
        <stp/>
        <stp>OPEN_INT</stp>
        <stp>.SPXW000100C6916</stp>
        <tr r="D1532" s="14"/>
        <tr r="D1126" s="14"/>
        <tr r="D923" s="14"/>
        <tr r="D720" s="14"/>
        <tr r="D1329" s="14"/>
        <tr r="D517" s="14"/>
      </tp>
      <tp t="s">
        <v>N/A</v>
        <stp/>
        <stp>OPEN_INT</stp>
        <stp>.SPXW000100C6917</stp>
        <tr r="D1330" s="14"/>
        <tr r="D924" s="14"/>
        <tr r="D518" s="14"/>
        <tr r="D721" s="14"/>
        <tr r="D1127" s="14"/>
        <tr r="D1533" s="14"/>
      </tp>
      <tp t="s">
        <v>N/A</v>
        <stp/>
        <stp>OPEN_INT</stp>
        <stp>.SPXW000100C6918</stp>
        <tr r="D1534" s="14"/>
        <tr r="D722" s="14"/>
        <tr r="D519" s="14"/>
        <tr r="D1331" s="14"/>
        <tr r="D925" s="14"/>
        <tr r="D1128" s="14"/>
      </tp>
      <tp t="s">
        <v>N/A</v>
        <stp/>
        <stp>OPEN_INT</stp>
        <stp>.SPXW000100C6919</stp>
        <tr r="D1332" s="14"/>
        <tr r="D520" s="14"/>
        <tr r="D926" s="14"/>
        <tr r="D1535" s="14"/>
        <tr r="D723" s="14"/>
        <tr r="D1129" s="14"/>
      </tp>
      <tp>
        <v>635</v>
        <stp/>
        <stp>OPEN_INT</stp>
        <stp>.SPXW260123P6940</stp>
        <tr r="T135" s="14"/>
      </tp>
      <tp>
        <v>603</v>
        <stp/>
        <stp>OPEN_INT</stp>
        <stp>.SPXW260123P6945</stp>
        <tr r="T140" s="14"/>
      </tp>
      <tp t="s">
        <v>N/A</v>
        <stp/>
        <stp>OPEN_INT</stp>
        <stp>.SPXW000100C6920</stp>
        <tr r="D1333" s="14"/>
        <tr r="D927" s="14"/>
        <tr r="D1536" s="14"/>
        <tr r="D1130" s="14"/>
        <tr r="D724" s="14"/>
        <tr r="D521" s="14"/>
      </tp>
      <tp>
        <v>1571</v>
        <stp/>
        <stp>OPEN_INT</stp>
        <stp>.SPXW260123C6970</stp>
        <tr r="D165" s="14"/>
      </tp>
      <tp t="s">
        <v>N/A</v>
        <stp/>
        <stp>OPEN_INT</stp>
        <stp>.SPXW000100C6921</stp>
        <tr r="D1537" s="14"/>
        <tr r="D928" s="14"/>
        <tr r="D522" s="14"/>
        <tr r="D725" s="14"/>
        <tr r="D1334" s="14"/>
        <tr r="D1131" s="14"/>
      </tp>
      <tp t="s">
        <v>N/A</v>
        <stp/>
        <stp>OPEN_INT</stp>
        <stp>.SPXW000100C6922</stp>
        <tr r="D1538" s="14"/>
        <tr r="D1132" s="14"/>
        <tr r="D1335" s="14"/>
        <tr r="D929" s="14"/>
        <tr r="D726" s="14"/>
        <tr r="D523" s="14"/>
      </tp>
      <tp t="s">
        <v>N/A</v>
        <stp/>
        <stp>OPEN_INT</stp>
        <stp>.SPXW000100C6923</stp>
        <tr r="D727" s="14"/>
        <tr r="D1539" s="14"/>
        <tr r="D1133" s="14"/>
        <tr r="D930" s="14"/>
        <tr r="D1336" s="14"/>
        <tr r="D524" s="14"/>
      </tp>
      <tp t="s">
        <v>N/A</v>
        <stp/>
        <stp>OPEN_INT</stp>
        <stp>.SPXW000100C6924</stp>
        <tr r="D525" s="14"/>
        <tr r="D1134" s="14"/>
        <tr r="D728" s="14"/>
        <tr r="D1337" s="14"/>
        <tr r="D1540" s="14"/>
        <tr r="D931" s="14"/>
      </tp>
      <tp t="s">
        <v>N/A</v>
        <stp/>
        <stp>OPEN_INT</stp>
        <stp>.SPXW000100C6925</stp>
        <tr r="D1541" s="14"/>
        <tr r="D932" s="14"/>
        <tr r="D1135" s="14"/>
        <tr r="D729" s="14"/>
        <tr r="D526" s="14"/>
        <tr r="D1338" s="14"/>
      </tp>
      <tp>
        <v>4030</v>
        <stp/>
        <stp>OPEN_INT</stp>
        <stp>.SPXW260123C6975</stp>
        <tr r="D170" s="14"/>
      </tp>
      <tp t="s">
        <v>N/A</v>
        <stp/>
        <stp>OPEN_INT</stp>
        <stp>.SPXW000100C6926</stp>
        <tr r="D1542" s="14"/>
        <tr r="D527" s="14"/>
        <tr r="D933" s="14"/>
        <tr r="D730" s="14"/>
        <tr r="D1339" s="14"/>
        <tr r="D1136" s="14"/>
      </tp>
      <tp t="s">
        <v>N/A</v>
        <stp/>
        <stp>OPEN_INT</stp>
        <stp>.SPXW000100C6927</stp>
        <tr r="D934" s="14"/>
        <tr r="D528" s="14"/>
        <tr r="D1543" s="14"/>
        <tr r="D731" s="14"/>
        <tr r="D1137" s="14"/>
        <tr r="D1340" s="14"/>
      </tp>
      <tp t="s">
        <v>N/A</v>
        <stp/>
        <stp>OPEN_INT</stp>
        <stp>.SPXW000100C6928</stp>
        <tr r="D1341" s="14"/>
        <tr r="D935" s="14"/>
        <tr r="D1138" s="14"/>
        <tr r="D529" s="14"/>
        <tr r="D1544" s="14"/>
        <tr r="D732" s="14"/>
      </tp>
      <tp t="s">
        <v>N/A</v>
        <stp/>
        <stp>OPEN_INT</stp>
        <stp>.SPXW000100C6929</stp>
        <tr r="D936" s="14"/>
        <tr r="D530" s="14"/>
        <tr r="D1545" s="14"/>
        <tr r="D1342" s="14"/>
        <tr r="D1139" s="14"/>
        <tr r="D733" s="14"/>
      </tp>
      <tp>
        <v>365</v>
        <stp/>
        <stp>OPEN_INT</stp>
        <stp>.SPXW260123P6970</stp>
        <tr r="T165" s="14"/>
      </tp>
      <tp>
        <v>539</v>
        <stp/>
        <stp>OPEN_INT</stp>
        <stp>.SPXW260123P6975</stp>
        <tr r="T170" s="14"/>
      </tp>
      <tp t="s">
        <v>N/A</v>
        <stp/>
        <stp>OPEN_INT</stp>
        <stp>.SPXW000100C6930</stp>
        <tr r="D937" s="14"/>
        <tr r="D1140" s="14"/>
        <tr r="D531" s="14"/>
        <tr r="D1546" s="14"/>
        <tr r="D1343" s="14"/>
        <tr r="D734" s="14"/>
      </tp>
      <tp>
        <v>1655</v>
        <stp/>
        <stp>OPEN_INT</stp>
        <stp>.SPXW260123C6960</stp>
        <tr r="D155" s="14"/>
      </tp>
      <tp t="s">
        <v>N/A</v>
        <stp/>
        <stp>OPEN_INT</stp>
        <stp>.SPXW000100C6931</stp>
        <tr r="D938" s="14"/>
        <tr r="D532" s="14"/>
        <tr r="D1547" s="14"/>
        <tr r="D1141" s="14"/>
        <tr r="D1344" s="14"/>
        <tr r="D735" s="14"/>
      </tp>
      <tp t="s">
        <v>N/A</v>
        <stp/>
        <stp>OPEN_INT</stp>
        <stp>.SPXW000100C6932</stp>
        <tr r="D1345" s="14"/>
        <tr r="D939" s="14"/>
        <tr r="D1548" s="14"/>
        <tr r="D533" s="14"/>
        <tr r="D1142" s="14"/>
        <tr r="D736" s="14"/>
      </tp>
      <tp t="s">
        <v>N/A</v>
        <stp/>
        <stp>OPEN_INT</stp>
        <stp>.SPXW000100C6933</stp>
        <tr r="D1549" s="14"/>
        <tr r="D534" s="14"/>
        <tr r="D940" s="14"/>
        <tr r="D1346" s="14"/>
        <tr r="D737" s="14"/>
        <tr r="D1143" s="14"/>
      </tp>
      <tp t="s">
        <v>N/A</v>
        <stp/>
        <stp>OPEN_INT</stp>
        <stp>.SPXW000100C6934</stp>
        <tr r="D941" s="14"/>
        <tr r="D1347" s="14"/>
        <tr r="D535" s="14"/>
        <tr r="D1144" s="14"/>
        <tr r="D1550" s="14"/>
        <tr r="D738" s="14"/>
      </tp>
      <tp t="s">
        <v>N/A</v>
        <stp/>
        <stp>OPEN_INT</stp>
        <stp>.SPXW000100C6935</stp>
        <tr r="D1551" s="14"/>
        <tr r="D536" s="14"/>
        <tr r="D1348" s="14"/>
        <tr r="D942" s="14"/>
        <tr r="D1145" s="14"/>
        <tr r="D739" s="14"/>
      </tp>
      <tp>
        <v>1488</v>
        <stp/>
        <stp>OPEN_INT</stp>
        <stp>.SPXW260123C6965</stp>
        <tr r="D160" s="14"/>
      </tp>
      <tp t="s">
        <v>N/A</v>
        <stp/>
        <stp>OPEN_INT</stp>
        <stp>.SPXW000100C6936</stp>
        <tr r="D1552" s="14"/>
        <tr r="D537" s="14"/>
        <tr r="D943" s="14"/>
        <tr r="D1146" s="14"/>
        <tr r="D740" s="14"/>
        <tr r="D1349" s="14"/>
      </tp>
      <tp t="s">
        <v>N/A</v>
        <stp/>
        <stp>OPEN_INT</stp>
        <stp>.SPXW000100C6937</stp>
        <tr r="D1553" s="14"/>
        <tr r="D1350" s="14"/>
        <tr r="D1147" s="14"/>
        <tr r="D944" s="14"/>
        <tr r="D741" s="14"/>
        <tr r="D538" s="14"/>
      </tp>
      <tp t="s">
        <v>N/A</v>
        <stp/>
        <stp>OPEN_INT</stp>
        <stp>.SPXW000100C6938</stp>
        <tr r="D1351" s="14"/>
        <tr r="D539" s="14"/>
        <tr r="D1148" s="14"/>
        <tr r="D742" s="14"/>
        <tr r="D945" s="14"/>
        <tr r="D1554" s="14"/>
      </tp>
      <tp t="s">
        <v>N/A</v>
        <stp/>
        <stp>OPEN_INT</stp>
        <stp>.SPXW000100C6939</stp>
        <tr r="D743" s="14"/>
        <tr r="D1555" s="14"/>
        <tr r="D1352" s="14"/>
        <tr r="D540" s="14"/>
        <tr r="D946" s="14"/>
        <tr r="D1149" s="14"/>
      </tp>
      <tp>
        <v>1753</v>
        <stp/>
        <stp>OPEN_INT</stp>
        <stp>.SPXW260123P6960</stp>
        <tr r="T155" s="14"/>
      </tp>
      <tp>
        <v>390</v>
        <stp/>
        <stp>OPEN_INT</stp>
        <stp>.SPXW260123P6965</stp>
        <tr r="T160" s="14"/>
      </tp>
      <tp>
        <v>1706</v>
        <stp/>
        <stp>OPEN_INT</stp>
        <stp>.SPXW260123C6990</stp>
        <tr r="D185" s="14"/>
      </tp>
      <tp>
        <v>5622</v>
        <stp/>
        <stp>OPEN_INT</stp>
        <stp>.SPXW260123C6995</stp>
        <tr r="D190" s="14"/>
      </tp>
      <tp>
        <v>326</v>
        <stp/>
        <stp>OPEN_INT</stp>
        <stp>.SPXW260123P6990</stp>
        <tr r="T185" s="14"/>
      </tp>
      <tp>
        <v>116</v>
        <stp/>
        <stp>OPEN_INT</stp>
        <stp>.SPXW260123P6995</stp>
        <tr r="T190" s="14"/>
      </tp>
      <tp>
        <v>1962</v>
        <stp/>
        <stp>OPEN_INT</stp>
        <stp>.SPXW260123C6980</stp>
        <tr r="D175" s="14"/>
      </tp>
      <tp>
        <v>6535</v>
        <stp/>
        <stp>OPEN_INT</stp>
        <stp>.SPXW260123C6985</stp>
        <tr r="D180" s="14"/>
      </tp>
      <tp>
        <v>437</v>
        <stp/>
        <stp>OPEN_INT</stp>
        <stp>.SPXW260123P6980</stp>
        <tr r="T175" s="14"/>
      </tp>
      <tp>
        <v>220</v>
        <stp/>
        <stp>OPEN_INT</stp>
        <stp>.SPXW260123P6985</stp>
        <tr r="T180" s="14"/>
      </tp>
      <tp t="s">
        <v>N/A</v>
        <stp/>
        <stp>OPEN_INT</stp>
        <stp>.SPXW000100C6980</stp>
        <tr r="D1596" s="14"/>
        <tr r="D987" s="14"/>
        <tr r="D1393" s="14"/>
        <tr r="D1190" s="14"/>
        <tr r="D784" s="14"/>
        <tr r="D581" s="14"/>
      </tp>
      <tp t="s">
        <v>N/A</v>
        <stp/>
        <stp>OPEN_INT</stp>
        <stp>.SPXW000100C6981</stp>
        <tr r="D1394" s="14"/>
        <tr r="D988" s="14"/>
        <tr r="D582" s="14"/>
        <tr r="D1191" s="14"/>
        <tr r="D1597" s="14"/>
        <tr r="D785" s="14"/>
      </tp>
      <tp t="s">
        <v>N/A</v>
        <stp/>
        <stp>OPEN_INT</stp>
        <stp>.SPXW000100C6982</stp>
        <tr r="D1598" s="14"/>
        <tr r="D989" s="14"/>
        <tr r="D583" s="14"/>
        <tr r="D1192" s="14"/>
        <tr r="D1395" s="14"/>
        <tr r="D786" s="14"/>
      </tp>
      <tp t="s">
        <v>N/A</v>
        <stp/>
        <stp>OPEN_INT</stp>
        <stp>.SPXW000100C6983</stp>
        <tr r="D1396" s="14"/>
        <tr r="D584" s="14"/>
        <tr r="D787" s="14"/>
        <tr r="D1599" s="14"/>
        <tr r="D1193" s="14"/>
        <tr r="D990" s="14"/>
      </tp>
      <tp t="s">
        <v>N/A</v>
        <stp/>
        <stp>OPEN_INT</stp>
        <stp>.SPXW000100C6984</stp>
        <tr r="D991" s="14"/>
        <tr r="D585" s="14"/>
        <tr r="D1397" s="14"/>
        <tr r="D1194" s="14"/>
        <tr r="D1600" s="14"/>
        <tr r="D788" s="14"/>
      </tp>
      <tp t="s">
        <v>N/A</v>
        <stp/>
        <stp>OPEN_INT</stp>
        <stp>.SPXW000100C6985</stp>
        <tr r="D789" s="14"/>
        <tr r="D586" s="14"/>
        <tr r="D1195" s="14"/>
        <tr r="D992" s="14"/>
        <tr r="D1601" s="14"/>
        <tr r="D1398" s="14"/>
      </tp>
      <tp t="s">
        <v>N/A</v>
        <stp/>
        <stp>OPEN_INT</stp>
        <stp>.SPXW000100C6986</stp>
        <tr r="D790" s="14"/>
        <tr r="D993" s="14"/>
        <tr r="D587" s="14"/>
        <tr r="D1399" s="14"/>
        <tr r="D1602" s="14"/>
        <tr r="D1196" s="14"/>
      </tp>
      <tp t="s">
        <v>N/A</v>
        <stp/>
        <stp>OPEN_INT</stp>
        <stp>.SPXW000100C6987</stp>
        <tr r="D1197" s="14"/>
        <tr r="D1400" s="14"/>
        <tr r="D791" s="14"/>
        <tr r="D588" s="14"/>
        <tr r="D1603" s="14"/>
        <tr r="D994" s="14"/>
      </tp>
      <tp t="s">
        <v>N/A</v>
        <stp/>
        <stp>OPEN_INT</stp>
        <stp>.SPXW000100C6988</stp>
        <tr r="D995" s="14"/>
        <tr r="D792" s="14"/>
        <tr r="D1198" s="14"/>
        <tr r="D589" s="14"/>
        <tr r="D1401" s="14"/>
        <tr r="D1604" s="14"/>
      </tp>
      <tp t="s">
        <v>N/A</v>
        <stp/>
        <stp>OPEN_INT</stp>
        <stp>.SPXW000100C6989</stp>
        <tr r="D590" s="14"/>
        <tr r="D1199" s="14"/>
        <tr r="D996" s="14"/>
        <tr r="D793" s="14"/>
        <tr r="D1605" s="14"/>
        <tr r="D1402" s="14"/>
      </tp>
      <tp t="s">
        <v>N/A</v>
        <stp/>
        <stp>OPEN_INT</stp>
        <stp>.SPXW000100C6990</stp>
        <tr r="D997" s="14"/>
        <tr r="D1403" s="14"/>
        <tr r="D1606" s="14"/>
        <tr r="D1200" s="14"/>
        <tr r="D591" s="14"/>
        <tr r="D794" s="14"/>
      </tp>
      <tp t="s">
        <v>N/A</v>
        <stp/>
        <stp>OPEN_INT</stp>
        <stp>.SPXW000100C6991</stp>
        <tr r="D1607" s="14"/>
        <tr r="D1201" s="14"/>
        <tr r="D1404" s="14"/>
        <tr r="D795" s="14"/>
        <tr r="D998" s="14"/>
        <tr r="D592" s="14"/>
      </tp>
      <tp t="s">
        <v>N/A</v>
        <stp/>
        <stp>OPEN_INT</stp>
        <stp>.SPXW000100C6992</stp>
        <tr r="D1608" s="14"/>
        <tr r="D593" s="14"/>
        <tr r="D1405" s="14"/>
        <tr r="D796" s="14"/>
        <tr r="D1202" s="14"/>
        <tr r="D999" s="14"/>
      </tp>
      <tp t="s">
        <v>N/A</v>
        <stp/>
        <stp>OPEN_INT</stp>
        <stp>.SPXW000100C6993</stp>
        <tr r="D594" s="14"/>
        <tr r="D797" s="14"/>
        <tr r="D1000" s="14"/>
        <tr r="D1609" s="14"/>
        <tr r="D1406" s="14"/>
        <tr r="D1203" s="14"/>
      </tp>
      <tp t="s">
        <v>N/A</v>
        <stp/>
        <stp>OPEN_INT</stp>
        <stp>.SPXW000100C6994</stp>
        <tr r="D798" s="14"/>
        <tr r="D595" s="14"/>
        <tr r="D1407" s="14"/>
        <tr r="D1610" s="14"/>
        <tr r="D1001" s="14"/>
        <tr r="D1204" s="14"/>
      </tp>
      <tp t="s">
        <v>N/A</v>
        <stp/>
        <stp>OPEN_INT</stp>
        <stp>.SPXW000100C6995</stp>
        <tr r="D1611" s="14"/>
        <tr r="D1002" s="14"/>
        <tr r="D799" s="14"/>
        <tr r="D1205" s="14"/>
        <tr r="D1408" s="14"/>
        <tr r="D596" s="14"/>
      </tp>
      <tp t="s">
        <v>N/A</v>
        <stp/>
        <stp>OPEN_INT</stp>
        <stp>.SPXW000100C6996</stp>
        <tr r="D597" s="14"/>
        <tr r="D1409" s="14"/>
        <tr r="D1003" s="14"/>
        <tr r="D1206" s="14"/>
        <tr r="D800" s="14"/>
        <tr r="D1612" s="14"/>
      </tp>
      <tp t="s">
        <v>N/A</v>
        <stp/>
        <stp>OPEN_INT</stp>
        <stp>.SPXW000100C6997</stp>
        <tr r="D1207" s="14"/>
        <tr r="D801" s="14"/>
        <tr r="D1410" s="14"/>
        <tr r="D1613" s="14"/>
        <tr r="D1004" s="14"/>
        <tr r="D598" s="14"/>
      </tp>
      <tp t="s">
        <v>N/A</v>
        <stp/>
        <stp>OPEN_INT</stp>
        <stp>.SPXW000100C6998</stp>
        <tr r="D1005" s="14"/>
        <tr r="D1614" s="14"/>
        <tr r="D802" s="14"/>
        <tr r="D1411" s="14"/>
        <tr r="D1208" s="14"/>
        <tr r="D599" s="14"/>
      </tp>
      <tp t="s">
        <v>N/A</v>
        <stp/>
        <stp>OPEN_INT</stp>
        <stp>.SPXW000100C6999</stp>
        <tr r="D1412" s="14"/>
        <tr r="D600" s="14"/>
        <tr r="D1209" s="14"/>
        <tr r="D803" s="14"/>
        <tr r="D1006" s="14"/>
        <tr r="D1615" s="14"/>
      </tp>
      <tp t="s">
        <v>N/A</v>
        <stp/>
        <stp>OPEN_INT</stp>
        <stp>.SPXW000100C6840</stp>
        <tr r="D441" s="14"/>
        <tr r="D1456" s="14"/>
        <tr r="D1050" s="14"/>
        <tr r="D644" s="14"/>
        <tr r="D1253" s="14"/>
        <tr r="D847" s="14"/>
      </tp>
      <tp t="s">
        <v>N/A</v>
        <stp/>
        <stp>OPEN_INT</stp>
        <stp>.SPXW000100C6841</stp>
        <tr r="D645" s="14"/>
        <tr r="D1254" s="14"/>
        <tr r="D848" s="14"/>
        <tr r="D442" s="14"/>
        <tr r="D1051" s="14"/>
        <tr r="D1457" s="14"/>
      </tp>
      <tp t="s">
        <v>N/A</v>
        <stp/>
        <stp>OPEN_INT</stp>
        <stp>.SPXW000100C6842</stp>
        <tr r="D1255" s="14"/>
        <tr r="D1052" s="14"/>
        <tr r="D646" s="14"/>
        <tr r="D1458" s="14"/>
        <tr r="D849" s="14"/>
        <tr r="D443" s="14"/>
      </tp>
      <tp t="s">
        <v>N/A</v>
        <stp/>
        <stp>OPEN_INT</stp>
        <stp>.SPXW000100C6843</stp>
        <tr r="D1256" s="14"/>
        <tr r="D850" s="14"/>
        <tr r="D444" s="14"/>
        <tr r="D1459" s="14"/>
        <tr r="D647" s="14"/>
        <tr r="D1053" s="14"/>
      </tp>
      <tp t="s">
        <v>N/A</v>
        <stp/>
        <stp>OPEN_INT</stp>
        <stp>.SPXW000100C6844</stp>
        <tr r="D1460" s="14"/>
        <tr r="D851" s="14"/>
        <tr r="D1257" s="14"/>
        <tr r="D1054" s="14"/>
        <tr r="D445" s="14"/>
        <tr r="D648" s="14"/>
      </tp>
      <tp t="s">
        <v>N/A</v>
        <stp/>
        <stp>OPEN_INT</stp>
        <stp>.SPXW000100C6845</stp>
        <tr r="D1258" s="14"/>
        <tr r="D446" s="14"/>
        <tr r="D1055" s="14"/>
        <tr r="D649" s="14"/>
        <tr r="D1461" s="14"/>
        <tr r="D852" s="14"/>
      </tp>
      <tp>
        <v>163</v>
        <stp/>
        <stp>OPEN_INT</stp>
        <stp>.SPXW260123C6815</stp>
        <tr r="D10" s="14"/>
      </tp>
      <tp t="s">
        <v>N/A</v>
        <stp/>
        <stp>OPEN_INT</stp>
        <stp>.SPXW000100C6846</stp>
        <tr r="D853" s="14"/>
        <tr r="D447" s="14"/>
        <tr r="D650" s="14"/>
        <tr r="D1462" s="14"/>
        <tr r="D1259" s="14"/>
        <tr r="D1056" s="14"/>
      </tp>
      <tp t="s">
        <v>N/A</v>
        <stp/>
        <stp>OPEN_INT</stp>
        <stp>.SPXW000100C6847</stp>
        <tr r="D1260" s="14"/>
        <tr r="D854" s="14"/>
        <tr r="D448" s="14"/>
        <tr r="D651" s="14"/>
        <tr r="D1463" s="14"/>
        <tr r="D1057" s="14"/>
      </tp>
      <tp t="s">
        <v>N/A</v>
        <stp/>
        <stp>OPEN_INT</stp>
        <stp>.SPXW000100C6848</stp>
        <tr r="D855" s="14"/>
        <tr r="D1261" s="14"/>
        <tr r="D449" s="14"/>
        <tr r="D1464" s="14"/>
        <tr r="D652" s="14"/>
        <tr r="D1058" s="14"/>
      </tp>
      <tp t="s">
        <v>N/A</v>
        <stp/>
        <stp>OPEN_INT</stp>
        <stp>.SPXW000100C6849</stp>
        <tr r="D1262" s="14"/>
        <tr r="D1059" s="14"/>
        <tr r="D856" s="14"/>
        <tr r="D1465" s="14"/>
        <tr r="D653" s="14"/>
        <tr r="D450" s="14"/>
      </tp>
      <tp>
        <v>751</v>
        <stp/>
        <stp>OPEN_INT</stp>
        <stp>.SPXW260123P6815</stp>
        <tr r="T10" s="14"/>
      </tp>
      <tp t="s">
        <v>N/A</v>
        <stp/>
        <stp>OPEN_INT</stp>
        <stp>.SPXW000100C6850</stp>
        <tr r="D1466" s="14"/>
        <tr r="D451" s="14"/>
        <tr r="D654" s="14"/>
        <tr r="D1060" s="14"/>
        <tr r="D1263" s="14"/>
        <tr r="D857" s="14"/>
      </tp>
      <tp t="s">
        <v>N/A</v>
        <stp/>
        <stp>OPEN_INT</stp>
        <stp>.SPXW000100C6851</stp>
        <tr r="D1467" s="14"/>
        <tr r="D452" s="14"/>
        <tr r="D655" s="14"/>
        <tr r="D1264" s="14"/>
        <tr r="D858" s="14"/>
        <tr r="D1061" s="14"/>
      </tp>
      <tp t="s">
        <v>N/A</v>
        <stp/>
        <stp>OPEN_INT</stp>
        <stp>.SPXW000100C6852</stp>
        <tr r="D1468" s="14"/>
        <tr r="D453" s="14"/>
        <tr r="D1062" s="14"/>
        <tr r="D859" s="14"/>
        <tr r="D1265" s="14"/>
        <tr r="D656" s="14"/>
      </tp>
      <tp t="s">
        <v>N/A</v>
        <stp/>
        <stp>OPEN_INT</stp>
        <stp>.SPXW000100C6853</stp>
        <tr r="D454" s="14"/>
        <tr r="D1469" s="14"/>
        <tr r="D1266" s="14"/>
        <tr r="D860" s="14"/>
        <tr r="D1063" s="14"/>
        <tr r="D657" s="14"/>
      </tp>
      <tp t="s">
        <v>N/A</v>
        <stp/>
        <stp>OPEN_INT</stp>
        <stp>.SPXW000100C6854</stp>
        <tr r="D658" s="14"/>
        <tr r="D1470" s="14"/>
        <tr r="D861" s="14"/>
        <tr r="D1064" s="14"/>
        <tr r="D1267" s="14"/>
        <tr r="D455" s="14"/>
      </tp>
      <tp t="s">
        <v>N/A</v>
        <stp/>
        <stp>OPEN_INT</stp>
        <stp>.SPXW000100C6855</stp>
        <tr r="D1471" s="14"/>
        <tr r="D1065" s="14"/>
        <tr r="D862" s="14"/>
        <tr r="D456" s="14"/>
        <tr r="D659" s="14"/>
        <tr r="D1268" s="14"/>
      </tp>
      <tp t="s">
        <v>N/A</v>
        <stp/>
        <stp>OPEN_INT</stp>
        <stp>.SPXW000100C6856</stp>
        <tr r="D1472" s="14"/>
        <tr r="D1269" s="14"/>
        <tr r="D863" s="14"/>
        <tr r="D660" s="14"/>
        <tr r="D1066" s="14"/>
        <tr r="D457" s="14"/>
      </tp>
      <tp t="s">
        <v>N/A</v>
        <stp/>
        <stp>OPEN_INT</stp>
        <stp>.SPXW000100C6857</stp>
        <tr r="D1473" s="14"/>
        <tr r="D864" s="14"/>
        <tr r="D458" s="14"/>
        <tr r="D661" s="14"/>
        <tr r="D1270" s="14"/>
        <tr r="D1067" s="14"/>
      </tp>
      <tp t="s">
        <v>N/A</v>
        <stp/>
        <stp>OPEN_INT</stp>
        <stp>.SPXW000100C6858</stp>
        <tr r="D1474" s="14"/>
        <tr r="D1271" s="14"/>
        <tr r="D1068" s="14"/>
        <tr r="D662" s="14"/>
        <tr r="D459" s="14"/>
        <tr r="D865" s="14"/>
      </tp>
      <tp t="s">
        <v>N/A</v>
        <stp/>
        <stp>OPEN_INT</stp>
        <stp>.SPXW000100C6859</stp>
        <tr r="D866" s="14"/>
        <tr r="D460" s="14"/>
        <tr r="D1272" s="14"/>
        <tr r="D1069" s="14"/>
        <tr r="D1475" s="14"/>
        <tr r="D663" s="14"/>
      </tp>
      <tp t="s">
        <v>N/A</v>
        <stp/>
        <stp>OPEN_INT</stp>
        <stp>.SPXW000100C6860</stp>
        <tr r="D1476" s="14"/>
        <tr r="D461" s="14"/>
        <tr r="D1273" s="14"/>
        <tr r="D1070" s="14"/>
        <tr r="D664" s="14"/>
        <tr r="D867" s="14"/>
      </tp>
      <tp>
        <v>361</v>
        <stp/>
        <stp>OPEN_INT</stp>
        <stp>.SPXW260123C6830</stp>
        <tr r="D25" s="14"/>
      </tp>
      <tp t="s">
        <v>N/A</v>
        <stp/>
        <stp>OPEN_INT</stp>
        <stp>.SPXW000100C6861</stp>
        <tr r="D462" s="14"/>
        <tr r="D1477" s="14"/>
        <tr r="D665" s="14"/>
        <tr r="D868" s="14"/>
        <tr r="D1274" s="14"/>
        <tr r="D1071" s="14"/>
      </tp>
      <tp t="s">
        <v>N/A</v>
        <stp/>
        <stp>OPEN_INT</stp>
        <stp>.SPXW000100C6862</stp>
        <tr r="D463" s="14"/>
        <tr r="D869" s="14"/>
        <tr r="D666" s="14"/>
        <tr r="D1478" s="14"/>
        <tr r="D1275" s="14"/>
        <tr r="D1072" s="14"/>
      </tp>
      <tp t="s">
        <v>N/A</v>
        <stp/>
        <stp>OPEN_INT</stp>
        <stp>.SPXW000100C6863</stp>
        <tr r="D1479" s="14"/>
        <tr r="D464" s="14"/>
        <tr r="D1276" s="14"/>
        <tr r="D1073" s="14"/>
        <tr r="D870" s="14"/>
        <tr r="D667" s="14"/>
      </tp>
      <tp t="s">
        <v>N/A</v>
        <stp/>
        <stp>OPEN_INT</stp>
        <stp>.SPXW000100C6864</stp>
        <tr r="D871" s="14"/>
        <tr r="D465" s="14"/>
        <tr r="D1480" s="14"/>
        <tr r="D1277" s="14"/>
        <tr r="D668" s="14"/>
        <tr r="D1074" s="14"/>
      </tp>
      <tp t="s">
        <v>N/A</v>
        <stp/>
        <stp>OPEN_INT</stp>
        <stp>.SPXW000100C6865</stp>
        <tr r="D669" s="14"/>
        <tr r="D466" s="14"/>
        <tr r="D872" s="14"/>
        <tr r="D1278" s="14"/>
        <tr r="D1075" s="14"/>
        <tr r="D1481" s="14"/>
      </tp>
      <tp>
        <v>257</v>
        <stp/>
        <stp>OPEN_INT</stp>
        <stp>.SPXW260123C6835</stp>
        <tr r="D30" s="14"/>
      </tp>
      <tp t="s">
        <v>N/A</v>
        <stp/>
        <stp>OPEN_INT</stp>
        <stp>.SPXW000100C6866</stp>
        <tr r="D1279" s="14"/>
        <tr r="D670" s="14"/>
        <tr r="D1482" s="14"/>
        <tr r="D467" s="14"/>
        <tr r="D1076" s="14"/>
        <tr r="D873" s="14"/>
      </tp>
      <tp t="s">
        <v>N/A</v>
        <stp/>
        <stp>OPEN_INT</stp>
        <stp>.SPXW000100C6867</stp>
        <tr r="D874" s="14"/>
        <tr r="D468" s="14"/>
        <tr r="D1280" s="14"/>
        <tr r="D1077" s="14"/>
        <tr r="D671" s="14"/>
        <tr r="D1483" s="14"/>
      </tp>
      <tp t="s">
        <v>N/A</v>
        <stp/>
        <stp>OPEN_INT</stp>
        <stp>.SPXW000100C6868</stp>
        <tr r="D469" s="14"/>
        <tr r="D1484" s="14"/>
        <tr r="D1078" s="14"/>
        <tr r="D875" s="14"/>
        <tr r="D672" s="14"/>
        <tr r="D1281" s="14"/>
      </tp>
      <tp t="s">
        <v>N/A</v>
        <stp/>
        <stp>OPEN_INT</stp>
        <stp>.SPXW000100C6869</stp>
        <tr r="D876" s="14"/>
        <tr r="D1282" s="14"/>
        <tr r="D673" s="14"/>
        <tr r="D1079" s="14"/>
        <tr r="D1485" s="14"/>
        <tr r="D470" s="14"/>
      </tp>
      <tp>
        <v>1983</v>
        <stp/>
        <stp>OPEN_INT</stp>
        <stp>.SPXW260123P6830</stp>
        <tr r="T25" s="14"/>
      </tp>
      <tp>
        <v>949</v>
        <stp/>
        <stp>OPEN_INT</stp>
        <stp>.SPXW260123P6835</stp>
        <tr r="T30" s="14"/>
      </tp>
      <tp t="s">
        <v>N/A</v>
        <stp/>
        <stp>OPEN_INT</stp>
        <stp>.SPXW000100C6870</stp>
        <tr r="D1283" s="14"/>
        <tr r="D674" s="14"/>
        <tr r="D471" s="14"/>
        <tr r="D1486" s="14"/>
        <tr r="D877" s="14"/>
        <tr r="D1080" s="14"/>
      </tp>
      <tp>
        <v>516</v>
        <stp/>
        <stp>OPEN_INT</stp>
        <stp>.SPXW260123C6820</stp>
        <tr r="D15" s="14"/>
      </tp>
      <tp t="s">
        <v>N/A</v>
        <stp/>
        <stp>OPEN_INT</stp>
        <stp>.SPXW000100C6871</stp>
        <tr r="D472" s="14"/>
        <tr r="D1487" s="14"/>
        <tr r="D1081" s="14"/>
        <tr r="D1284" s="14"/>
        <tr r="D878" s="14"/>
        <tr r="D675" s="14"/>
      </tp>
      <tp t="s">
        <v>N/A</v>
        <stp/>
        <stp>OPEN_INT</stp>
        <stp>.SPXW000100C6872</stp>
        <tr r="D473" s="14"/>
        <tr r="D1488" s="14"/>
        <tr r="D879" s="14"/>
        <tr r="D1082" s="14"/>
        <tr r="D676" s="14"/>
        <tr r="D1285" s="14"/>
      </tp>
      <tp t="s">
        <v>N/A</v>
        <stp/>
        <stp>OPEN_INT</stp>
        <stp>.SPXW000100C6873</stp>
        <tr r="D1489" s="14"/>
        <tr r="D1286" s="14"/>
        <tr r="D474" s="14"/>
        <tr r="D677" s="14"/>
        <tr r="D880" s="14"/>
        <tr r="D1083" s="14"/>
      </tp>
      <tp t="s">
        <v>N/A</v>
        <stp/>
        <stp>OPEN_INT</stp>
        <stp>.SPXW000100C6874</stp>
        <tr r="D1287" s="14"/>
        <tr r="D475" s="14"/>
        <tr r="D881" s="14"/>
        <tr r="D678" s="14"/>
        <tr r="D1490" s="14"/>
        <tr r="D1084" s="14"/>
      </tp>
      <tp t="s">
        <v>N/A</v>
        <stp/>
        <stp>OPEN_INT</stp>
        <stp>.SPXW000100C6875</stp>
        <tr r="D1491" s="14"/>
        <tr r="D882" s="14"/>
        <tr r="D1085" s="14"/>
        <tr r="D679" s="14"/>
        <tr r="D476" s="14"/>
        <tr r="D1288" s="14"/>
      </tp>
      <tp>
        <v>1295</v>
        <stp/>
        <stp>OPEN_INT</stp>
        <stp>.SPXW260123C6825</stp>
        <tr r="D20" s="14"/>
      </tp>
      <tp t="s">
        <v>N/A</v>
        <stp/>
        <stp>OPEN_INT</stp>
        <stp>.SPXW000100C6876</stp>
        <tr r="D1289" s="14"/>
        <tr r="D1492" s="14"/>
        <tr r="D1086" s="14"/>
        <tr r="D477" s="14"/>
        <tr r="D883" s="14"/>
        <tr r="D680" s="14"/>
      </tp>
      <tp t="s">
        <v>N/A</v>
        <stp/>
        <stp>OPEN_INT</stp>
        <stp>.SPXW000100C6877</stp>
        <tr r="D681" s="14"/>
        <tr r="D478" s="14"/>
        <tr r="D1493" s="14"/>
        <tr r="D1087" s="14"/>
        <tr r="D1290" s="14"/>
        <tr r="D884" s="14"/>
      </tp>
      <tp t="s">
        <v>N/A</v>
        <stp/>
        <stp>OPEN_INT</stp>
        <stp>.SPXW000100C6878</stp>
        <tr r="D479" s="14"/>
        <tr r="D682" s="14"/>
        <tr r="D1088" s="14"/>
        <tr r="D1494" s="14"/>
        <tr r="D885" s="14"/>
        <tr r="D1291" s="14"/>
      </tp>
      <tp t="s">
        <v>N/A</v>
        <stp/>
        <stp>OPEN_INT</stp>
        <stp>.SPXW000100C6879</stp>
        <tr r="D480" s="14"/>
        <tr r="D1495" s="14"/>
        <tr r="D1089" s="14"/>
        <tr r="D683" s="14"/>
        <tr r="D1292" s="14"/>
        <tr r="D886" s="14"/>
      </tp>
      <tp>
        <v>1103</v>
        <stp/>
        <stp>OPEN_INT</stp>
        <stp>.SPXW260123P6820</stp>
        <tr r="T15" s="14"/>
      </tp>
      <tp>
        <v>1936</v>
        <stp/>
        <stp>OPEN_INT</stp>
        <stp>.SPXW260123P6825</stp>
        <tr r="T20" s="14"/>
      </tp>
      <tp>
        <v>3032</v>
        <stp/>
        <stp>OPEN_INT</stp>
        <stp>.SPXW260123C6850</stp>
        <tr r="D45" s="14"/>
      </tp>
      <tp>
        <v>355</v>
        <stp/>
        <stp>OPEN_INT</stp>
        <stp>.SPXW260123C6855</stp>
        <tr r="D50" s="14"/>
      </tp>
      <tp>
        <v>5036</v>
        <stp/>
        <stp>OPEN_INT</stp>
        <stp>.SPXW260123P6850</stp>
        <tr r="T45" s="14"/>
      </tp>
      <tp>
        <v>506</v>
        <stp/>
        <stp>OPEN_INT</stp>
        <stp>.SPXW260123P6855</stp>
        <tr r="T50" s="14"/>
      </tp>
      <tp>
        <v>369</v>
        <stp/>
        <stp>OPEN_INT</stp>
        <stp>.SPXW260123C6840</stp>
        <tr r="D35" s="14"/>
      </tp>
      <tp t="s">
        <v>N/A</v>
        <stp/>
        <stp>OPEN_INT</stp>
        <stp>.SPXW000100C6815</stp>
        <tr r="D1228" s="14"/>
        <tr r="D1025" s="14"/>
        <tr r="D416" s="14"/>
        <tr r="D822" s="14"/>
        <tr r="D619" s="14"/>
        <tr r="D1431" s="14"/>
      </tp>
      <tp>
        <v>406</v>
        <stp/>
        <stp>OPEN_INT</stp>
        <stp>.SPXW260123C6845</stp>
        <tr r="D40" s="14"/>
      </tp>
      <tp t="s">
        <v>N/A</v>
        <stp/>
        <stp>OPEN_INT</stp>
        <stp>.SPXW000100C6816</stp>
        <tr r="D417" s="14"/>
        <tr r="D1229" s="14"/>
        <tr r="D823" s="14"/>
        <tr r="D620" s="14"/>
        <tr r="D1432" s="14"/>
        <tr r="D1026" s="14"/>
      </tp>
      <tp t="s">
        <v>N/A</v>
        <stp/>
        <stp>OPEN_INT</stp>
        <stp>.SPXW000100C6817</stp>
        <tr r="D1230" s="14"/>
        <tr r="D621" s="14"/>
        <tr r="D1027" s="14"/>
        <tr r="D824" s="14"/>
        <tr r="D418" s="14"/>
        <tr r="D1433" s="14"/>
      </tp>
      <tp t="s">
        <v>N/A</v>
        <stp/>
        <stp>OPEN_INT</stp>
        <stp>.SPXW000100C6818</stp>
        <tr r="D419" s="14"/>
        <tr r="D1434" s="14"/>
        <tr r="D1231" s="14"/>
        <tr r="D1028" s="14"/>
        <tr r="D825" s="14"/>
        <tr r="D622" s="14"/>
      </tp>
      <tp t="s">
        <v>N/A</v>
        <stp/>
        <stp>OPEN_INT</stp>
        <stp>.SPXW000100C6819</stp>
        <tr r="D1435" s="14"/>
        <tr r="D826" s="14"/>
        <tr r="D623" s="14"/>
        <tr r="D420" s="14"/>
        <tr r="D1029" s="14"/>
        <tr r="D1232" s="14"/>
      </tp>
      <tp>
        <v>1780</v>
        <stp/>
        <stp>OPEN_INT</stp>
        <stp>.SPXW260123P6840</stp>
        <tr r="T35" s="14"/>
      </tp>
      <tp>
        <v>839</v>
        <stp/>
        <stp>OPEN_INT</stp>
        <stp>.SPXW260123P6845</stp>
        <tr r="T40" s="14"/>
      </tp>
      <tp t="s">
        <v>N/A</v>
        <stp/>
        <stp>OPEN_INT</stp>
        <stp>.SPXW000100C6820</stp>
        <tr r="D827" s="14"/>
        <tr r="D421" s="14"/>
        <tr r="D624" s="14"/>
        <tr r="D1233" s="14"/>
        <tr r="D1030" s="14"/>
        <tr r="D1436" s="14"/>
      </tp>
      <tp>
        <v>512</v>
        <stp/>
        <stp>OPEN_INT</stp>
        <stp>.SPXW260123C6870</stp>
        <tr r="D65" s="14"/>
      </tp>
      <tp t="s">
        <v>N/A</v>
        <stp/>
        <stp>OPEN_INT</stp>
        <stp>.SPXW000100C6821</stp>
        <tr r="D422" s="14"/>
        <tr r="D1437" s="14"/>
        <tr r="D1234" s="14"/>
        <tr r="D625" s="14"/>
        <tr r="D1031" s="14"/>
        <tr r="D828" s="14"/>
      </tp>
      <tp t="s">
        <v>N/A</v>
        <stp/>
        <stp>OPEN_INT</stp>
        <stp>.SPXW000100C6822</stp>
        <tr r="D1438" s="14"/>
        <tr r="D423" s="14"/>
        <tr r="D626" s="14"/>
        <tr r="D1032" s="14"/>
        <tr r="D1235" s="14"/>
        <tr r="D829" s="14"/>
      </tp>
      <tp t="s">
        <v>N/A</v>
        <stp/>
        <stp>OPEN_INT</stp>
        <stp>.SPXW000100C6823</stp>
        <tr r="D1439" s="14"/>
        <tr r="D1236" s="14"/>
        <tr r="D830" s="14"/>
        <tr r="D1033" s="14"/>
        <tr r="D424" s="14"/>
        <tr r="D627" s="14"/>
      </tp>
      <tp t="s">
        <v>N/A</v>
        <stp/>
        <stp>OPEN_INT</stp>
        <stp>.SPXW000100C6824</stp>
        <tr r="D831" s="14"/>
        <tr r="D425" s="14"/>
        <tr r="D628" s="14"/>
        <tr r="D1034" s="14"/>
        <tr r="D1237" s="14"/>
        <tr r="D1440" s="14"/>
      </tp>
      <tp t="s">
        <v>N/A</v>
        <stp/>
        <stp>OPEN_INT</stp>
        <stp>.SPXW000100C6825</stp>
        <tr r="D832" s="14"/>
        <tr r="D1441" s="14"/>
        <tr r="D1238" s="14"/>
        <tr r="D629" s="14"/>
        <tr r="D1035" s="14"/>
        <tr r="D426" s="14"/>
      </tp>
      <tp>
        <v>1307</v>
        <stp/>
        <stp>OPEN_INT</stp>
        <stp>.SPXW260123C6875</stp>
        <tr r="D70" s="14"/>
      </tp>
      <tp t="s">
        <v>N/A</v>
        <stp/>
        <stp>OPEN_INT</stp>
        <stp>.SPXW000100C6826</stp>
        <tr r="D427" s="14"/>
        <tr r="D1239" s="14"/>
        <tr r="D833" s="14"/>
        <tr r="D1036" s="14"/>
        <tr r="D630" s="14"/>
        <tr r="D1442" s="14"/>
      </tp>
      <tp t="s">
        <v>N/A</v>
        <stp/>
        <stp>OPEN_INT</stp>
        <stp>.SPXW000100C6827</stp>
        <tr r="D1443" s="14"/>
        <tr r="D428" s="14"/>
        <tr r="D834" s="14"/>
        <tr r="D631" s="14"/>
        <tr r="D1240" s="14"/>
        <tr r="D1037" s="14"/>
      </tp>
      <tp t="s">
        <v>N/A</v>
        <stp/>
        <stp>OPEN_INT</stp>
        <stp>.SPXW000100C6828</stp>
        <tr r="D429" s="14"/>
        <tr r="D1241" s="14"/>
        <tr r="D1038" s="14"/>
        <tr r="D835" s="14"/>
        <tr r="D632" s="14"/>
        <tr r="D1444" s="14"/>
      </tp>
      <tp t="s">
        <v>N/A</v>
        <stp/>
        <stp>OPEN_INT</stp>
        <stp>.SPXW000100C6829</stp>
        <tr r="D430" s="14"/>
        <tr r="D633" s="14"/>
        <tr r="D1445" s="14"/>
        <tr r="D1039" s="14"/>
        <tr r="D836" s="14"/>
        <tr r="D1242" s="14"/>
      </tp>
      <tp>
        <v>1379</v>
        <stp/>
        <stp>OPEN_INT</stp>
        <stp>.SPXW260123P6870</stp>
        <tr r="T65" s="14"/>
      </tp>
      <tp>
        <v>2015</v>
        <stp/>
        <stp>OPEN_INT</stp>
        <stp>.SPXW260123P6875</stp>
        <tr r="T70" s="14"/>
      </tp>
      <tp t="s">
        <v>N/A</v>
        <stp/>
        <stp>OPEN_INT</stp>
        <stp>.SPXW000100C6830</stp>
        <tr r="D1446" s="14"/>
        <tr r="D431" s="14"/>
        <tr r="D1243" s="14"/>
        <tr r="D1040" s="14"/>
        <tr r="D837" s="14"/>
        <tr r="D634" s="14"/>
      </tp>
      <tp>
        <v>718</v>
        <stp/>
        <stp>OPEN_INT</stp>
        <stp>.SPXW260123C6860</stp>
        <tr r="D55" s="14"/>
      </tp>
      <tp t="s">
        <v>N/A</v>
        <stp/>
        <stp>OPEN_INT</stp>
        <stp>.SPXW000100C6831</stp>
        <tr r="D432" s="14"/>
        <tr r="D838" s="14"/>
        <tr r="D635" s="14"/>
        <tr r="D1244" s="14"/>
        <tr r="D1447" s="14"/>
        <tr r="D1041" s="14"/>
      </tp>
      <tp t="s">
        <v>N/A</v>
        <stp/>
        <stp>OPEN_INT</stp>
        <stp>.SPXW000100C6832</stp>
        <tr r="D1245" s="14"/>
        <tr r="D433" s="14"/>
        <tr r="D1042" s="14"/>
        <tr r="D636" s="14"/>
        <tr r="D839" s="14"/>
        <tr r="D1448" s="14"/>
      </tp>
      <tp t="s">
        <v>N/A</v>
        <stp/>
        <stp>OPEN_INT</stp>
        <stp>.SPXW000100C6833</stp>
        <tr r="D637" s="14"/>
        <tr r="D1246" s="14"/>
        <tr r="D434" s="14"/>
        <tr r="D1449" s="14"/>
        <tr r="D1043" s="14"/>
        <tr r="D840" s="14"/>
      </tp>
      <tp t="s">
        <v>N/A</v>
        <stp/>
        <stp>OPEN_INT</stp>
        <stp>.SPXW000100C6834</stp>
        <tr r="D1450" s="14"/>
        <tr r="D841" s="14"/>
        <tr r="D435" s="14"/>
        <tr r="D1044" s="14"/>
        <tr r="D1247" s="14"/>
        <tr r="D638" s="14"/>
      </tp>
      <tp t="s">
        <v>N/A</v>
        <stp/>
        <stp>OPEN_INT</stp>
        <stp>.SPXW000100C6835</stp>
        <tr r="D1248" s="14"/>
        <tr r="D842" s="14"/>
        <tr r="D639" s="14"/>
        <tr r="D436" s="14"/>
        <tr r="D1451" s="14"/>
        <tr r="D1045" s="14"/>
      </tp>
      <tp>
        <v>316</v>
        <stp/>
        <stp>OPEN_INT</stp>
        <stp>.SPXW260123C6865</stp>
        <tr r="D60" s="14"/>
      </tp>
      <tp t="s">
        <v>N/A</v>
        <stp/>
        <stp>OPEN_INT</stp>
        <stp>.SPXW000100C6836</stp>
        <tr r="D1249" s="14"/>
        <tr r="D437" s="14"/>
        <tr r="D843" s="14"/>
        <tr r="D640" s="14"/>
        <tr r="D1046" s="14"/>
        <tr r="D1452" s="14"/>
      </tp>
      <tp t="s">
        <v>N/A</v>
        <stp/>
        <stp>OPEN_INT</stp>
        <stp>.SPXW000100C6837</stp>
        <tr r="D438" s="14"/>
        <tr r="D1047" s="14"/>
        <tr r="D1250" s="14"/>
        <tr r="D844" s="14"/>
        <tr r="D1453" s="14"/>
        <tr r="D641" s="14"/>
      </tp>
      <tp t="s">
        <v>N/A</v>
        <stp/>
        <stp>OPEN_INT</stp>
        <stp>.SPXW000100C6838</stp>
        <tr r="D642" s="14"/>
        <tr r="D845" s="14"/>
        <tr r="D439" s="14"/>
        <tr r="D1454" s="14"/>
        <tr r="D1048" s="14"/>
        <tr r="D1251" s="14"/>
      </tp>
      <tp t="s">
        <v>N/A</v>
        <stp/>
        <stp>OPEN_INT</stp>
        <stp>.SPXW000100C6839</stp>
        <tr r="D1455" s="14"/>
        <tr r="D440" s="14"/>
        <tr r="D846" s="14"/>
        <tr r="D1049" s="14"/>
        <tr r="D643" s="14"/>
        <tr r="D1252" s="14"/>
      </tp>
      <tp>
        <v>1759</v>
        <stp/>
        <stp>OPEN_INT</stp>
        <stp>.SPXW260123P6860</stp>
        <tr r="T55" s="14"/>
      </tp>
      <tp>
        <v>691</v>
        <stp/>
        <stp>OPEN_INT</stp>
        <stp>.SPXW260123P6865</stp>
        <tr r="T60" s="14"/>
      </tp>
      <tp>
        <v>518</v>
        <stp/>
        <stp>OPEN_INT</stp>
        <stp>.SPXW260123C6890</stp>
        <tr r="D85" s="14"/>
      </tp>
      <tp>
        <v>1260</v>
        <stp/>
        <stp>OPEN_INT</stp>
        <stp>.SPXW260123C6895</stp>
        <tr r="D90" s="14"/>
      </tp>
      <tp>
        <v>767</v>
        <stp/>
        <stp>OPEN_INT</stp>
        <stp>.SPXW260123P6890</stp>
        <tr r="T85" s="14"/>
      </tp>
      <tp>
        <v>571</v>
        <stp/>
        <stp>OPEN_INT</stp>
        <stp>.SPXW260123P6895</stp>
        <tr r="T90" s="14"/>
      </tp>
      <tp>
        <v>992</v>
        <stp/>
        <stp>OPEN_INT</stp>
        <stp>.SPXW260123C6880</stp>
        <tr r="D75" s="14"/>
      </tp>
      <tp>
        <v>541</v>
        <stp/>
        <stp>OPEN_INT</stp>
        <stp>.SPXW260123C6885</stp>
        <tr r="D80" s="14"/>
      </tp>
      <tp>
        <v>1451</v>
        <stp/>
        <stp>OPEN_INT</stp>
        <stp>.SPXW260123P6880</stp>
        <tr r="T75" s="14"/>
      </tp>
      <tp>
        <v>536</v>
        <stp/>
        <stp>OPEN_INT</stp>
        <stp>.SPXW260123P6885</stp>
        <tr r="T80" s="14"/>
      </tp>
      <tp t="s">
        <v>N/A</v>
        <stp/>
        <stp>OPEN_INT</stp>
        <stp>.SPXW000100C6880</stp>
        <tr r="D684" s="14"/>
        <tr r="D481" s="14"/>
        <tr r="D1293" s="14"/>
        <tr r="D1090" s="14"/>
        <tr r="D1496" s="14"/>
        <tr r="D887" s="14"/>
      </tp>
      <tp t="s">
        <v>N/A</v>
        <stp/>
        <stp>OPEN_INT</stp>
        <stp>.SPXW000100C6881</stp>
        <tr r="D1497" s="14"/>
        <tr r="D482" s="14"/>
        <tr r="D685" s="14"/>
        <tr r="D1091" s="14"/>
        <tr r="D888" s="14"/>
        <tr r="D1294" s="14"/>
      </tp>
      <tp t="s">
        <v>N/A</v>
        <stp/>
        <stp>OPEN_INT</stp>
        <stp>.SPXW000100C6882</stp>
        <tr r="D1498" s="14"/>
        <tr r="D483" s="14"/>
        <tr r="D1092" s="14"/>
        <tr r="D686" s="14"/>
        <tr r="D1295" s="14"/>
        <tr r="D889" s="14"/>
      </tp>
      <tp t="s">
        <v>N/A</v>
        <stp/>
        <stp>OPEN_INT</stp>
        <stp>.SPXW000100C6883</stp>
        <tr r="D890" s="14"/>
        <tr r="D1499" s="14"/>
        <tr r="D1093" s="14"/>
        <tr r="D484" s="14"/>
        <tr r="D687" s="14"/>
        <tr r="D1296" s="14"/>
      </tp>
      <tp t="s">
        <v>N/A</v>
        <stp/>
        <stp>OPEN_INT</stp>
        <stp>.SPXW000100C6884</stp>
        <tr r="D891" s="14"/>
        <tr r="D688" s="14"/>
        <tr r="D1500" s="14"/>
        <tr r="D485" s="14"/>
        <tr r="D1297" s="14"/>
        <tr r="D1094" s="14"/>
      </tp>
      <tp t="s">
        <v>N/A</v>
        <stp/>
        <stp>OPEN_INT</stp>
        <stp>.SPXW000100C6885</stp>
        <tr r="D1501" s="14"/>
        <tr r="D689" s="14"/>
        <tr r="D486" s="14"/>
        <tr r="D1298" s="14"/>
        <tr r="D1095" s="14"/>
        <tr r="D892" s="14"/>
      </tp>
      <tp t="s">
        <v>N/A</v>
        <stp/>
        <stp>OPEN_INT</stp>
        <stp>.SPXW000100C6886</stp>
        <tr r="D690" s="14"/>
        <tr r="D893" s="14"/>
        <tr r="D487" s="14"/>
        <tr r="D1096" s="14"/>
        <tr r="D1502" s="14"/>
        <tr r="D1299" s="14"/>
      </tp>
      <tp t="s">
        <v>N/A</v>
        <stp/>
        <stp>OPEN_INT</stp>
        <stp>.SPXW000100C6887</stp>
        <tr r="D1503" s="14"/>
        <tr r="D894" s="14"/>
        <tr r="D691" s="14"/>
        <tr r="D1097" s="14"/>
        <tr r="D488" s="14"/>
        <tr r="D1300" s="14"/>
      </tp>
      <tp t="s">
        <v>N/A</v>
        <stp/>
        <stp>OPEN_INT</stp>
        <stp>.SPXW000100C6888</stp>
        <tr r="D895" s="14"/>
        <tr r="D489" s="14"/>
        <tr r="D1098" s="14"/>
        <tr r="D692" s="14"/>
        <tr r="D1301" s="14"/>
        <tr r="D1504" s="14"/>
      </tp>
      <tp t="s">
        <v>N/A</v>
        <stp/>
        <stp>OPEN_INT</stp>
        <stp>.SPXW000100C6889</stp>
        <tr r="D490" s="14"/>
        <tr r="D1505" s="14"/>
        <tr r="D1099" s="14"/>
        <tr r="D693" s="14"/>
        <tr r="D1302" s="14"/>
        <tr r="D896" s="14"/>
      </tp>
      <tp t="s">
        <v>N/A</v>
        <stp/>
        <stp>OPEN_INT</stp>
        <stp>.SPXW000100C6890</stp>
        <tr r="D694" s="14"/>
        <tr r="D491" s="14"/>
        <tr r="D1303" s="14"/>
        <tr r="D1506" s="14"/>
        <tr r="D1100" s="14"/>
        <tr r="D897" s="14"/>
      </tp>
      <tp t="s">
        <v>N/A</v>
        <stp/>
        <stp>OPEN_INT</stp>
        <stp>.SPXW000100C6891</stp>
        <tr r="D695" s="14"/>
        <tr r="D492" s="14"/>
        <tr r="D1507" s="14"/>
        <tr r="D898" s="14"/>
        <tr r="D1304" s="14"/>
        <tr r="D1101" s="14"/>
      </tp>
      <tp t="s">
        <v>N/A</v>
        <stp/>
        <stp>OPEN_INT</stp>
        <stp>.SPXW000100C6892</stp>
        <tr r="D1508" s="14"/>
        <tr r="D1305" s="14"/>
        <tr r="D899" s="14"/>
        <tr r="D493" s="14"/>
        <tr r="D696" s="14"/>
        <tr r="D1102" s="14"/>
      </tp>
      <tp t="s">
        <v>N/A</v>
        <stp/>
        <stp>OPEN_INT</stp>
        <stp>.SPXW000100C6893</stp>
        <tr r="D697" s="14"/>
        <tr r="D1509" s="14"/>
        <tr r="D1103" s="14"/>
        <tr r="D1306" s="14"/>
        <tr r="D494" s="14"/>
        <tr r="D900" s="14"/>
      </tp>
      <tp t="s">
        <v>N/A</v>
        <stp/>
        <stp>OPEN_INT</stp>
        <stp>.SPXW000100C6894</stp>
        <tr r="D495" s="14"/>
        <tr r="D1307" s="14"/>
        <tr r="D901" s="14"/>
        <tr r="D1104" s="14"/>
        <tr r="D698" s="14"/>
        <tr r="D1510" s="14"/>
      </tp>
      <tp t="s">
        <v>N/A</v>
        <stp/>
        <stp>OPEN_INT</stp>
        <stp>.SPXW000100C6895</stp>
        <tr r="D1511" s="14"/>
        <tr r="D902" s="14"/>
        <tr r="D496" s="14"/>
        <tr r="D1308" s="14"/>
        <tr r="D699" s="14"/>
        <tr r="D1105" s="14"/>
      </tp>
      <tp t="s">
        <v>N/A</v>
        <stp/>
        <stp>OPEN_INT</stp>
        <stp>.SPXW000100C6896</stp>
        <tr r="D903" s="14"/>
        <tr r="D497" s="14"/>
        <tr r="D1309" s="14"/>
        <tr r="D700" s="14"/>
        <tr r="D1512" s="14"/>
        <tr r="D1106" s="14"/>
      </tp>
      <tp t="s">
        <v>N/A</v>
        <stp/>
        <stp>OPEN_INT</stp>
        <stp>.SPXW000100C6897</stp>
        <tr r="D498" s="14"/>
        <tr r="D1513" s="14"/>
        <tr r="D1107" s="14"/>
        <tr r="D1310" s="14"/>
        <tr r="D701" s="14"/>
        <tr r="D904" s="14"/>
      </tp>
      <tp t="s">
        <v>N/A</v>
        <stp/>
        <stp>OPEN_INT</stp>
        <stp>.SPXW000100C6898</stp>
        <tr r="D1514" s="14"/>
        <tr r="D1311" s="14"/>
        <tr r="D499" s="14"/>
        <tr r="D1108" s="14"/>
        <tr r="D905" s="14"/>
        <tr r="D702" s="14"/>
      </tp>
      <tp t="s">
        <v>N/A</v>
        <stp/>
        <stp>OPEN_INT</stp>
        <stp>.SPXW000100C6899</stp>
        <tr r="D703" s="14"/>
        <tr r="D906" s="14"/>
        <tr r="D1515" s="14"/>
        <tr r="D500" s="14"/>
        <tr r="D1109" s="14"/>
        <tr r="D1312" s="14"/>
      </tp>
      <tp>
        <v>7010</v>
        <stp/>
        <stp>STRIKE</stp>
        <stp>.SPXW260123C7010</stp>
        <tr r="BP205" s="14"/>
      </tp>
      <tp t="s">
        <v>N/A</v>
        <stp/>
        <stp>STRIKE</stp>
        <stp>.SPXW260123C7011</stp>
        <tr r="BP206" s="14"/>
      </tp>
      <tp t="s">
        <v>N/A</v>
        <stp/>
        <stp>STRIKE</stp>
        <stp>.SPXW260123C7012</stp>
        <tr r="BP207" s="14"/>
      </tp>
      <tp t="s">
        <v>N/A</v>
        <stp/>
        <stp>STRIKE</stp>
        <stp>.SPXW260123C7013</stp>
        <tr r="BP208" s="14"/>
      </tp>
      <tp t="s">
        <v>N/A</v>
        <stp/>
        <stp>STRIKE</stp>
        <stp>.SPXW260123C7014</stp>
        <tr r="BP209" s="14"/>
      </tp>
      <tp>
        <v>7015</v>
        <stp/>
        <stp>STRIKE</stp>
        <stp>.SPXW260123C7015</stp>
        <tr r="BP210" s="14"/>
      </tp>
      <tp>
        <v>7000</v>
        <stp/>
        <stp>STRIKE</stp>
        <stp>.SPXW260123C7000</stp>
        <tr r="BP195" s="14"/>
      </tp>
      <tp t="s">
        <v>N/A</v>
        <stp/>
        <stp>STRIKE</stp>
        <stp>.SPXW260123C7001</stp>
        <tr r="BP196" s="14"/>
      </tp>
      <tp t="s">
        <v>N/A</v>
        <stp/>
        <stp>STRIKE</stp>
        <stp>.SPXW260123C7002</stp>
        <tr r="BP197" s="14"/>
      </tp>
      <tp t="s">
        <v>N/A</v>
        <stp/>
        <stp>STRIKE</stp>
        <stp>.SPXW260123C7003</stp>
        <tr r="BP198" s="14"/>
      </tp>
      <tp t="s">
        <v>N/A</v>
        <stp/>
        <stp>STRIKE</stp>
        <stp>.SPXW260123C7004</stp>
        <tr r="BP199" s="14"/>
      </tp>
      <tp>
        <v>7005</v>
        <stp/>
        <stp>STRIKE</stp>
        <stp>.SPXW260123C7005</stp>
        <tr r="BP200" s="14"/>
      </tp>
      <tp t="s">
        <v>N/A</v>
        <stp/>
        <stp>STRIKE</stp>
        <stp>.SPXW260123C7006</stp>
        <tr r="BP201" s="14"/>
      </tp>
      <tp t="s">
        <v>N/A</v>
        <stp/>
        <stp>STRIKE</stp>
        <stp>.SPXW260123C7007</stp>
        <tr r="BP202" s="14"/>
      </tp>
      <tp t="s">
        <v>N/A</v>
        <stp/>
        <stp>STRIKE</stp>
        <stp>.SPXW260123C7008</stp>
        <tr r="BP203" s="14"/>
      </tp>
      <tp t="s">
        <v>N/A</v>
        <stp/>
        <stp>STRIKE</stp>
        <stp>.SPXW260123C7009</stp>
        <tr r="BP204" s="14"/>
      </tp>
      <tp t="s">
        <v>N/A</v>
        <stp/>
        <stp>STRIKE</stp>
        <stp>.SPXW000100C7000</stp>
        <tr r="BP1616" s="14"/>
        <tr r="BP601" s="14"/>
        <tr r="BP1210" s="14"/>
        <tr r="BP1413" s="14"/>
        <tr r="BP1007" s="14"/>
        <tr r="BP398" s="14"/>
        <tr r="BP804" s="14"/>
      </tp>
      <tp t="s">
        <v>N/A</v>
        <stp/>
        <stp>STRIKE</stp>
        <stp>.SPXW000100C7001</stp>
        <tr r="BP1617" s="14"/>
        <tr r="BP1414" s="14"/>
        <tr r="BP602" s="14"/>
        <tr r="BP1211" s="14"/>
        <tr r="BP805" s="14"/>
        <tr r="BP1008" s="14"/>
        <tr r="BP399" s="14"/>
      </tp>
      <tp t="s">
        <v>N/A</v>
        <stp/>
        <stp>STRIKE</stp>
        <stp>.SPXW000100C7002</stp>
        <tr r="BP1212" s="14"/>
        <tr r="BP1415" s="14"/>
        <tr r="BP1009" s="14"/>
        <tr r="BP603" s="14"/>
        <tr r="BP1618" s="14"/>
        <tr r="BP806" s="14"/>
        <tr r="BP400" s="14"/>
      </tp>
      <tp t="s">
        <v>N/A</v>
        <stp/>
        <stp>STRIKE</stp>
        <stp>.SPXW000100C7003</stp>
        <tr r="BP807" s="14"/>
        <tr r="BP1619" s="14"/>
        <tr r="BP604" s="14"/>
        <tr r="BP1416" s="14"/>
        <tr r="BP1213" s="14"/>
        <tr r="BP1010" s="14"/>
        <tr r="BP401" s="14"/>
      </tp>
      <tp t="s">
        <v>N/A</v>
        <stp/>
        <stp>STRIKE</stp>
        <stp>.SPXW000100C7004</stp>
        <tr r="BP605" s="14"/>
        <tr r="BP1214" s="14"/>
        <tr r="BP1011" s="14"/>
        <tr r="BP402" s="14"/>
        <tr r="BP1417" s="14"/>
        <tr r="BP808" s="14"/>
        <tr r="BP1620" s="14"/>
      </tp>
      <tp t="s">
        <v>N/A</v>
        <stp/>
        <stp>STRIKE</stp>
        <stp>.SPXW000100C7005</stp>
        <tr r="BP1621" s="14"/>
        <tr r="BP809" s="14"/>
        <tr r="BP1418" s="14"/>
        <tr r="BP606" s="14"/>
        <tr r="BP1215" s="14"/>
        <tr r="BP1012" s="14"/>
        <tr r="BP403" s="14"/>
      </tp>
      <tp t="s">
        <v>N/A</v>
        <stp/>
        <stp>STRIKE</stp>
        <stp>.SPXW000100C7006</stp>
        <tr r="BP1216" s="14"/>
        <tr r="BP607" s="14"/>
        <tr r="BP404" s="14"/>
        <tr r="BP810" s="14"/>
        <tr r="BP1013" s="14"/>
        <tr r="BP1622" s="14"/>
        <tr r="BP1419" s="14"/>
      </tp>
      <tp t="s">
        <v>N/A</v>
        <stp/>
        <stp>STRIKE</stp>
        <stp>.SPXW000100C7007</stp>
        <tr r="BP1420" s="14"/>
        <tr r="BP1623" s="14"/>
        <tr r="BP811" s="14"/>
        <tr r="BP1014" s="14"/>
        <tr r="BP608" s="14"/>
        <tr r="BP1217" s="14"/>
        <tr r="BP405" s="14"/>
      </tp>
      <tp t="s">
        <v>N/A</v>
        <stp/>
        <stp>STRIKE</stp>
        <stp>.SPXW000100C7008</stp>
        <tr r="BP1624" s="14"/>
        <tr r="BP1218" s="14"/>
        <tr r="BP609" s="14"/>
        <tr r="BP1421" s="14"/>
        <tr r="BP812" s="14"/>
        <tr r="BP1015" s="14"/>
        <tr r="BP406" s="14"/>
      </tp>
      <tp t="s">
        <v>N/A</v>
        <stp/>
        <stp>STRIKE</stp>
        <stp>.SPXW000100C7009</stp>
        <tr r="BP1625" s="14"/>
        <tr r="BP1422" s="14"/>
        <tr r="BP610" s="14"/>
        <tr r="BP1219" s="14"/>
        <tr r="BP1016" s="14"/>
        <tr r="BP813" s="14"/>
        <tr r="BP407" s="14"/>
      </tp>
      <tp t="s">
        <v>N/A</v>
        <stp/>
        <stp>STRIKE</stp>
        <stp>.SPXW000100C7010</stp>
        <tr r="BP814" s="14"/>
        <tr r="BP1423" s="14"/>
        <tr r="BP1017" s="14"/>
        <tr r="BP1220" s="14"/>
        <tr r="BP408" s="14"/>
        <tr r="BP1626" s="14"/>
        <tr r="BP611" s="14"/>
      </tp>
      <tp t="s">
        <v>N/A</v>
        <stp/>
        <stp>STRIKE</stp>
        <stp>.SPXW000100C7011</stp>
        <tr r="BP612" s="14"/>
        <tr r="BP1221" s="14"/>
        <tr r="BP1018" s="14"/>
        <tr r="BP815" s="14"/>
        <tr r="BP1627" s="14"/>
        <tr r="BP1424" s="14"/>
        <tr r="BP409" s="14"/>
      </tp>
      <tp t="s">
        <v>N/A</v>
        <stp/>
        <stp>STRIKE</stp>
        <stp>.SPXW000100C7012</stp>
        <tr r="BP1019" s="14"/>
        <tr r="BP1628" s="14"/>
        <tr r="BP1222" s="14"/>
        <tr r="BP613" s="14"/>
        <tr r="BP410" s="14"/>
        <tr r="BP1425" s="14"/>
        <tr r="BP816" s="14"/>
      </tp>
      <tp t="s">
        <v>N/A</v>
        <stp/>
        <stp>STRIKE</stp>
        <stp>.SPXW000100C7013</stp>
        <tr r="BP614" s="14"/>
        <tr r="BP1223" s="14"/>
        <tr r="BP411" s="14"/>
        <tr r="BP817" s="14"/>
        <tr r="BP1629" s="14"/>
        <tr r="BP1426" s="14"/>
        <tr r="BP1020" s="14"/>
      </tp>
      <tp t="s">
        <v>N/A</v>
        <stp/>
        <stp>STRIKE</stp>
        <stp>.SPXW000100C7014</stp>
        <tr r="BP1224" s="14"/>
        <tr r="BP615" s="14"/>
        <tr r="BP1630" s="14"/>
        <tr r="BP1021" s="14"/>
        <tr r="BP1427" s="14"/>
        <tr r="BP818" s="14"/>
        <tr r="BP412" s="14"/>
      </tp>
      <tp t="s">
        <v>N/A</v>
        <stp/>
        <stp>STRIKE</stp>
        <stp>.SPXW000100C7015</stp>
        <tr r="BP616" s="14"/>
        <tr r="BP1225" s="14"/>
        <tr r="BP413" s="14"/>
        <tr r="BP1022" s="14"/>
        <tr r="BP1428" s="14"/>
        <tr r="BP819" s="14"/>
        <tr r="BP1631" s="14"/>
      </tp>
      <tp>
        <v>4036</v>
        <stp/>
        <stp>VOLUME</stp>
        <stp>.SPXW260123C7005</stp>
        <tr r="E200" s="14"/>
        <tr r="E200" s="14"/>
      </tp>
      <tp>
        <v>13738</v>
        <stp/>
        <stp>VOLUME</stp>
        <stp>.SPXW260123C7000</stp>
        <tr r="E195" s="14"/>
        <tr r="E195" s="14"/>
      </tp>
      <tp>
        <v>9</v>
        <stp/>
        <stp>VOLUME</stp>
        <stp>.SPXW260123P7005</stp>
        <tr r="U200" s="14"/>
        <tr r="U200" s="14"/>
      </tp>
      <tp>
        <v>112</v>
        <stp/>
        <stp>VOLUME</stp>
        <stp>.SPXW260123P7000</stp>
        <tr r="U195" s="14"/>
        <tr r="U195" s="14"/>
      </tp>
      <tp>
        <v>1844</v>
        <stp/>
        <stp>VOLUME</stp>
        <stp>.SPXW260123C7015</stp>
        <tr r="E210" s="14"/>
        <tr r="E210" s="14"/>
      </tp>
      <tp>
        <v>2659</v>
        <stp/>
        <stp>VOLUME</stp>
        <stp>.SPXW260123C7010</stp>
        <tr r="E205" s="14"/>
        <tr r="E205" s="14"/>
      </tp>
      <tp>
        <v>10</v>
        <stp/>
        <stp>VOLUME</stp>
        <stp>.SPXW260123P7015</stp>
        <tr r="U210" s="14"/>
        <tr r="U210" s="14"/>
      </tp>
      <tp>
        <v>21</v>
        <stp/>
        <stp>VOLUME</stp>
        <stp>.SPXW260123P7010</stp>
        <tr r="U205" s="14"/>
        <tr r="U205" s="14"/>
      </tp>
      <tp t="s">
        <v>N/A</v>
        <stp/>
        <stp>STRIKE</stp>
        <stp>.SPXW000100C6860</stp>
        <tr r="BP1476" s="14"/>
        <tr r="BP1070" s="14"/>
        <tr r="BP461" s="14"/>
        <tr r="BP1273" s="14"/>
        <tr r="BP867" s="14"/>
        <tr r="BP664" s="14"/>
        <tr r="BP258" s="14"/>
      </tp>
      <tp>
        <v>6830</v>
        <stp/>
        <stp>STRIKE</stp>
        <stp>.SPXW260123C6830</stp>
        <tr r="BP25" s="14"/>
      </tp>
      <tp t="s">
        <v>N/A</v>
        <stp/>
        <stp>STRIKE</stp>
        <stp>.SPXW000100C6861</stp>
        <tr r="BP1477" s="14"/>
        <tr r="BP1274" s="14"/>
        <tr r="BP665" s="14"/>
        <tr r="BP1071" s="14"/>
        <tr r="BP868" s="14"/>
        <tr r="BP462" s="14"/>
        <tr r="BP259" s="14"/>
      </tp>
      <tp t="s">
        <v>N/A</v>
        <stp/>
        <stp>STRIKE</stp>
        <stp>.SPXW260123C6831</stp>
        <tr r="BP26" s="14"/>
      </tp>
      <tp t="s">
        <v>N/A</v>
        <stp/>
        <stp>STRIKE</stp>
        <stp>.SPXW000100C6862</stp>
        <tr r="BP1275" s="14"/>
        <tr r="BP666" s="14"/>
        <tr r="BP260" s="14"/>
        <tr r="BP1072" s="14"/>
        <tr r="BP1478" s="14"/>
        <tr r="BP869" s="14"/>
        <tr r="BP463" s="14"/>
      </tp>
      <tp t="s">
        <v>N/A</v>
        <stp/>
        <stp>STRIKE</stp>
        <stp>.SPXW260123C6832</stp>
        <tr r="BP27" s="14"/>
      </tp>
      <tp t="s">
        <v>N/A</v>
        <stp/>
        <stp>STRIKE</stp>
        <stp>.SPXW000100C6863</stp>
        <tr r="BP1479" s="14"/>
        <tr r="BP667" s="14"/>
        <tr r="BP1276" s="14"/>
        <tr r="BP261" s="14"/>
        <tr r="BP464" s="14"/>
        <tr r="BP1073" s="14"/>
        <tr r="BP870" s="14"/>
      </tp>
      <tp t="s">
        <v>N/A</v>
        <stp/>
        <stp>STRIKE</stp>
        <stp>.SPXW260123C6833</stp>
        <tr r="BP28" s="14"/>
      </tp>
      <tp t="s">
        <v>N/A</v>
        <stp/>
        <stp>STRIKE</stp>
        <stp>.SPXW000100C6864</stp>
        <tr r="BP1277" s="14"/>
        <tr r="BP1074" s="14"/>
        <tr r="BP871" s="14"/>
        <tr r="BP465" s="14"/>
        <tr r="BP668" s="14"/>
        <tr r="BP1480" s="14"/>
        <tr r="BP262" s="14"/>
      </tp>
      <tp t="s">
        <v>N/A</v>
        <stp/>
        <stp>STRIKE</stp>
        <stp>.SPXW260123C6834</stp>
        <tr r="BP29" s="14"/>
      </tp>
      <tp t="s">
        <v>N/A</v>
        <stp/>
        <stp>STRIKE</stp>
        <stp>.SPXW000100C6865</stp>
        <tr r="BP466" s="14"/>
        <tr r="BP1278" s="14"/>
        <tr r="BP1075" s="14"/>
        <tr r="BP669" s="14"/>
        <tr r="BP1481" s="14"/>
        <tr r="BP872" s="14"/>
        <tr r="BP263" s="14"/>
      </tp>
      <tp>
        <v>6835</v>
        <stp/>
        <stp>STRIKE</stp>
        <stp>.SPXW260123C6835</stp>
        <tr r="BP30" s="14"/>
      </tp>
      <tp t="s">
        <v>N/A</v>
        <stp/>
        <stp>STRIKE</stp>
        <stp>.SPXW000100C6866</stp>
        <tr r="BP467" s="14"/>
        <tr r="BP1279" s="14"/>
        <tr r="BP1076" s="14"/>
        <tr r="BP1482" s="14"/>
        <tr r="BP873" s="14"/>
        <tr r="BP670" s="14"/>
        <tr r="BP264" s="14"/>
      </tp>
      <tp t="s">
        <v>N/A</v>
        <stp/>
        <stp>STRIKE</stp>
        <stp>.SPXW260123C6836</stp>
        <tr r="BP31" s="14"/>
      </tp>
      <tp t="s">
        <v>N/A</v>
        <stp/>
        <stp>STRIKE</stp>
        <stp>.SPXW000100C6867</stp>
        <tr r="BP1483" s="14"/>
        <tr r="BP671" s="14"/>
        <tr r="BP874" s="14"/>
        <tr r="BP468" s="14"/>
        <tr r="BP1280" s="14"/>
        <tr r="BP1077" s="14"/>
        <tr r="BP265" s="14"/>
      </tp>
      <tp t="s">
        <v>N/A</v>
        <stp/>
        <stp>STRIKE</stp>
        <stp>.SPXW260123C6837</stp>
        <tr r="BP32" s="14"/>
      </tp>
      <tp t="s">
        <v>N/A</v>
        <stp/>
        <stp>STRIKE</stp>
        <stp>.SPXW000100C6868</stp>
        <tr r="BP875" s="14"/>
        <tr r="BP1281" s="14"/>
        <tr r="BP1078" s="14"/>
        <tr r="BP469" s="14"/>
        <tr r="BP266" s="14"/>
        <tr r="BP1484" s="14"/>
        <tr r="BP672" s="14"/>
      </tp>
      <tp t="s">
        <v>N/A</v>
        <stp/>
        <stp>STRIKE</stp>
        <stp>.SPXW260123C6838</stp>
        <tr r="BP33" s="14"/>
      </tp>
      <tp t="s">
        <v>N/A</v>
        <stp/>
        <stp>STRIKE</stp>
        <stp>.SPXW000100C6869</stp>
        <tr r="BP470" s="14"/>
        <tr r="BP1485" s="14"/>
        <tr r="BP673" s="14"/>
        <tr r="BP1282" s="14"/>
        <tr r="BP876" s="14"/>
        <tr r="BP267" s="14"/>
        <tr r="BP1079" s="14"/>
      </tp>
      <tp t="s">
        <v>N/A</v>
        <stp/>
        <stp>STRIKE</stp>
        <stp>.SPXW260123C6839</stp>
        <tr r="BP34" s="14"/>
      </tp>
      <tp t="s">
        <v>N/A</v>
        <stp/>
        <stp>STRIKE</stp>
        <stp>.SPXW000100C6870</stp>
        <tr r="BP1486" s="14"/>
        <tr r="BP471" s="14"/>
        <tr r="BP268" s="14"/>
        <tr r="BP674" s="14"/>
        <tr r="BP1080" s="14"/>
        <tr r="BP1283" s="14"/>
        <tr r="BP877" s="14"/>
      </tp>
      <tp>
        <v>6820</v>
        <stp/>
        <stp>STRIKE</stp>
        <stp>.SPXW260123C6820</stp>
        <tr r="BP15" s="14"/>
      </tp>
      <tp t="s">
        <v>N/A</v>
        <stp/>
        <stp>STRIKE</stp>
        <stp>.SPXW000100C6871</stp>
        <tr r="BP1284" s="14"/>
        <tr r="BP472" s="14"/>
        <tr r="BP269" s="14"/>
        <tr r="BP1081" s="14"/>
        <tr r="BP1487" s="14"/>
        <tr r="BP878" s="14"/>
        <tr r="BP675" s="14"/>
      </tp>
      <tp t="s">
        <v>N/A</v>
        <stp/>
        <stp>STRIKE</stp>
        <stp>.SPXW260123C6821</stp>
        <tr r="BP16" s="14"/>
      </tp>
      <tp t="s">
        <v>N/A</v>
        <stp/>
        <stp>STRIKE</stp>
        <stp>.SPXW000100C6872</stp>
        <tr r="BP676" s="14"/>
        <tr r="BP1488" s="14"/>
        <tr r="BP1082" s="14"/>
        <tr r="BP1285" s="14"/>
        <tr r="BP879" s="14"/>
        <tr r="BP473" s="14"/>
        <tr r="BP270" s="14"/>
      </tp>
      <tp t="s">
        <v>N/A</v>
        <stp/>
        <stp>STRIKE</stp>
        <stp>.SPXW260123C6822</stp>
        <tr r="BP17" s="14"/>
      </tp>
      <tp t="s">
        <v>N/A</v>
        <stp/>
        <stp>STRIKE</stp>
        <stp>.SPXW000100C6873</stp>
        <tr r="BP1489" s="14"/>
        <tr r="BP1286" s="14"/>
        <tr r="BP677" s="14"/>
        <tr r="BP1083" s="14"/>
        <tr r="BP474" s="14"/>
        <tr r="BP271" s="14"/>
        <tr r="BP880" s="14"/>
      </tp>
      <tp t="s">
        <v>N/A</v>
        <stp/>
        <stp>STRIKE</stp>
        <stp>.SPXW260123C6823</stp>
        <tr r="BP18" s="14"/>
      </tp>
      <tp t="s">
        <v>N/A</v>
        <stp/>
        <stp>STRIKE</stp>
        <stp>.SPXW000100C6874</stp>
        <tr r="BP1084" s="14"/>
        <tr r="BP678" s="14"/>
        <tr r="BP272" s="14"/>
        <tr r="BP1490" s="14"/>
        <tr r="BP1287" s="14"/>
        <tr r="BP881" s="14"/>
        <tr r="BP475" s="14"/>
      </tp>
      <tp t="s">
        <v>N/A</v>
        <stp/>
        <stp>STRIKE</stp>
        <stp>.SPXW260123C6824</stp>
        <tr r="BP19" s="14"/>
      </tp>
      <tp t="s">
        <v>N/A</v>
        <stp/>
        <stp>STRIKE</stp>
        <stp>.SPXW000100C6875</stp>
        <tr r="BP1491" s="14"/>
        <tr r="BP679" s="14"/>
        <tr r="BP1085" s="14"/>
        <tr r="BP882" s="14"/>
        <tr r="BP1288" s="14"/>
        <tr r="BP476" s="14"/>
        <tr r="BP273" s="14"/>
      </tp>
      <tp>
        <v>6825</v>
        <stp/>
        <stp>STRIKE</stp>
        <stp>.SPXW260123C6825</stp>
        <tr r="BP20" s="14"/>
      </tp>
      <tp t="s">
        <v>N/A</v>
        <stp/>
        <stp>STRIKE</stp>
        <stp>.SPXW000100C6876</stp>
        <tr r="BP680" s="14"/>
        <tr r="BP1086" s="14"/>
        <tr r="BP1492" s="14"/>
        <tr r="BP883" s="14"/>
        <tr r="BP1289" s="14"/>
        <tr r="BP477" s="14"/>
        <tr r="BP274" s="14"/>
      </tp>
      <tp t="s">
        <v>N/A</v>
        <stp/>
        <stp>STRIKE</stp>
        <stp>.SPXW260123C6826</stp>
        <tr r="BP21" s="14"/>
      </tp>
      <tp t="s">
        <v>N/A</v>
        <stp/>
        <stp>STRIKE</stp>
        <stp>.SPXW000100C6877</stp>
        <tr r="BP1087" s="14"/>
        <tr r="BP1290" s="14"/>
        <tr r="BP884" s="14"/>
        <tr r="BP1493" s="14"/>
        <tr r="BP478" s="14"/>
        <tr r="BP681" s="14"/>
        <tr r="BP275" s="14"/>
      </tp>
      <tp t="s">
        <v>N/A</v>
        <stp/>
        <stp>STRIKE</stp>
        <stp>.SPXW260123C6827</stp>
        <tr r="BP22" s="14"/>
      </tp>
      <tp t="s">
        <v>N/A</v>
        <stp/>
        <stp>STRIKE</stp>
        <stp>.SPXW000100C6878</stp>
        <tr r="BP682" s="14"/>
        <tr r="BP1494" s="14"/>
        <tr r="BP479" s="14"/>
        <tr r="BP885" s="14"/>
        <tr r="BP1088" s="14"/>
        <tr r="BP276" s="14"/>
        <tr r="BP1291" s="14"/>
      </tp>
      <tp t="s">
        <v>N/A</v>
        <stp/>
        <stp>STRIKE</stp>
        <stp>.SPXW260123C6828</stp>
        <tr r="BP23" s="14"/>
      </tp>
      <tp t="s">
        <v>N/A</v>
        <stp/>
        <stp>STRIKE</stp>
        <stp>.SPXW000100C6879</stp>
        <tr r="BP1495" s="14"/>
        <tr r="BP886" s="14"/>
        <tr r="BP1292" s="14"/>
        <tr r="BP683" s="14"/>
        <tr r="BP480" s="14"/>
        <tr r="BP1089" s="14"/>
        <tr r="BP277" s="14"/>
      </tp>
      <tp t="s">
        <v>N/A</v>
        <stp/>
        <stp>STRIKE</stp>
        <stp>.SPXW260123C6829</stp>
        <tr r="BP24" s="14"/>
      </tp>
      <tp t="s">
        <v>N/A</v>
        <stp/>
        <stp>STRIKE</stp>
        <stp>.SPXW000100C6840</stp>
        <tr r="BP847" s="14"/>
        <tr r="BP1456" s="14"/>
        <tr r="BP441" s="14"/>
        <tr r="BP1050" s="14"/>
        <tr r="BP238" s="14"/>
        <tr r="BP644" s="14"/>
        <tr r="BP1253" s="14"/>
      </tp>
      <tp t="s">
        <v>N/A</v>
        <stp/>
        <stp>STRIKE</stp>
        <stp>.SPXW000100C6841</stp>
        <tr r="BP1051" s="14"/>
        <tr r="BP645" s="14"/>
        <tr r="BP442" s="14"/>
        <tr r="BP239" s="14"/>
        <tr r="BP848" s="14"/>
        <tr r="BP1254" s="14"/>
        <tr r="BP1457" s="14"/>
      </tp>
      <tp t="s">
        <v>N/A</v>
        <stp/>
        <stp>STRIKE</stp>
        <stp>.SPXW000100C6842</stp>
        <tr r="BP1255" s="14"/>
        <tr r="BP1458" s="14"/>
        <tr r="BP849" s="14"/>
        <tr r="BP646" s="14"/>
        <tr r="BP1052" s="14"/>
        <tr r="BP443" s="14"/>
        <tr r="BP240" s="14"/>
      </tp>
      <tp t="s">
        <v>N/A</v>
        <stp/>
        <stp>STRIKE</stp>
        <stp>.SPXW000100C6843</stp>
        <tr r="BP1053" s="14"/>
        <tr r="BP444" s="14"/>
        <tr r="BP1256" s="14"/>
        <tr r="BP1459" s="14"/>
        <tr r="BP647" s="14"/>
        <tr r="BP241" s="14"/>
        <tr r="BP850" s="14"/>
      </tp>
      <tp t="s">
        <v>N/A</v>
        <stp/>
        <stp>STRIKE</stp>
        <stp>.SPXW000100C6844</stp>
        <tr r="BP1257" s="14"/>
        <tr r="BP445" s="14"/>
        <tr r="BP242" s="14"/>
        <tr r="BP1054" s="14"/>
        <tr r="BP648" s="14"/>
        <tr r="BP1460" s="14"/>
        <tr r="BP851" s="14"/>
      </tp>
      <tp t="s">
        <v>N/A</v>
        <stp/>
        <stp>STRIKE</stp>
        <stp>.SPXW000100C6845</stp>
        <tr r="BP446" s="14"/>
        <tr r="BP852" s="14"/>
        <tr r="BP1461" s="14"/>
        <tr r="BP1055" s="14"/>
        <tr r="BP243" s="14"/>
        <tr r="BP1258" s="14"/>
        <tr r="BP649" s="14"/>
      </tp>
      <tp>
        <v>6815</v>
        <stp/>
        <stp>STRIKE</stp>
        <stp>.SPXW260123C6815</stp>
        <tr r="BP10" s="14"/>
      </tp>
      <tp t="s">
        <v>N/A</v>
        <stp/>
        <stp>STRIKE</stp>
        <stp>.SPXW000100C6846</stp>
        <tr r="BP650" s="14"/>
        <tr r="BP853" s="14"/>
        <tr r="BP244" s="14"/>
        <tr r="BP1056" s="14"/>
        <tr r="BP1259" s="14"/>
        <tr r="BP1462" s="14"/>
        <tr r="BP447" s="14"/>
      </tp>
      <tp t="s">
        <v>N/A</v>
        <stp/>
        <stp>STRIKE</stp>
        <stp>.SPXW260123C6816</stp>
        <tr r="BP11" s="14"/>
      </tp>
      <tp t="s">
        <v>N/A</v>
        <stp/>
        <stp>STRIKE</stp>
        <stp>.SPXW000100C6847</stp>
        <tr r="BP1260" s="14"/>
        <tr r="BP651" s="14"/>
        <tr r="BP1463" s="14"/>
        <tr r="BP1057" s="14"/>
        <tr r="BP448" s="14"/>
        <tr r="BP854" s="14"/>
        <tr r="BP245" s="14"/>
      </tp>
      <tp t="s">
        <v>N/A</v>
        <stp/>
        <stp>STRIKE</stp>
        <stp>.SPXW260123C6817</stp>
        <tr r="BP12" s="14"/>
      </tp>
      <tp t="s">
        <v>N/A</v>
        <stp/>
        <stp>STRIKE</stp>
        <stp>.SPXW000100C6848</stp>
        <tr r="BP1261" s="14"/>
        <tr r="BP855" s="14"/>
        <tr r="BP449" s="14"/>
        <tr r="BP1058" s="14"/>
        <tr r="BP652" s="14"/>
        <tr r="BP246" s="14"/>
        <tr r="BP1464" s="14"/>
      </tp>
      <tp t="s">
        <v>N/A</v>
        <stp/>
        <stp>STRIKE</stp>
        <stp>.SPXW260123C6818</stp>
        <tr r="BP13" s="14"/>
      </tp>
      <tp t="s">
        <v>N/A</v>
        <stp/>
        <stp>STRIKE</stp>
        <stp>.SPXW000100C6849</stp>
        <tr r="BP653" s="14"/>
        <tr r="BP1262" s="14"/>
        <tr r="BP1059" s="14"/>
        <tr r="BP1465" s="14"/>
        <tr r="BP450" s="14"/>
        <tr r="BP247" s="14"/>
        <tr r="BP856" s="14"/>
      </tp>
      <tp t="s">
        <v>N/A</v>
        <stp/>
        <stp>STRIKE</stp>
        <stp>.SPXW260123C6819</stp>
        <tr r="BP14" s="14"/>
      </tp>
      <tp t="s">
        <v>N/A</v>
        <stp/>
        <stp>STRIKE</stp>
        <stp>.SPXW000100C6850</stp>
        <tr r="BP1060" s="14"/>
        <tr r="BP857" s="14"/>
        <tr r="BP451" s="14"/>
        <tr r="BP1263" s="14"/>
        <tr r="BP654" s="14"/>
        <tr r="BP248" s="14"/>
        <tr r="BP1466" s="14"/>
      </tp>
      <tp t="s">
        <v>N/A</v>
        <stp/>
        <stp>STRIKE</stp>
        <stp>.SPXW000100C6851</stp>
        <tr r="BP1467" s="14"/>
        <tr r="BP1264" s="14"/>
        <tr r="BP858" s="14"/>
        <tr r="BP1061" s="14"/>
        <tr r="BP249" s="14"/>
        <tr r="BP655" s="14"/>
        <tr r="BP452" s="14"/>
      </tp>
      <tp t="s">
        <v>N/A</v>
        <stp/>
        <stp>STRIKE</stp>
        <stp>.SPXW000100C6852</stp>
        <tr r="BP1468" s="14"/>
        <tr r="BP1265" s="14"/>
        <tr r="BP656" s="14"/>
        <tr r="BP1062" s="14"/>
        <tr r="BP250" s="14"/>
        <tr r="BP859" s="14"/>
        <tr r="BP453" s="14"/>
      </tp>
      <tp t="s">
        <v>N/A</v>
        <stp/>
        <stp>STRIKE</stp>
        <stp>.SPXW000100C6853</stp>
        <tr r="BP1063" s="14"/>
        <tr r="BP860" s="14"/>
        <tr r="BP657" s="14"/>
        <tr r="BP1469" s="14"/>
        <tr r="BP454" s="14"/>
        <tr r="BP1266" s="14"/>
        <tr r="BP251" s="14"/>
      </tp>
      <tp t="s">
        <v>N/A</v>
        <stp/>
        <stp>STRIKE</stp>
        <stp>.SPXW000100C6854</stp>
        <tr r="BP1470" s="14"/>
        <tr r="BP252" s="14"/>
        <tr r="BP1267" s="14"/>
        <tr r="BP455" s="14"/>
        <tr r="BP1064" s="14"/>
        <tr r="BP861" s="14"/>
        <tr r="BP658" s="14"/>
      </tp>
      <tp t="s">
        <v>N/A</v>
        <stp/>
        <stp>STRIKE</stp>
        <stp>.SPXW000100C6855</stp>
        <tr r="BP1471" s="14"/>
        <tr r="BP1065" s="14"/>
        <tr r="BP862" s="14"/>
        <tr r="BP456" s="14"/>
        <tr r="BP659" s="14"/>
        <tr r="BP253" s="14"/>
        <tr r="BP1268" s="14"/>
      </tp>
      <tp t="s">
        <v>N/A</v>
        <stp/>
        <stp>STRIKE</stp>
        <stp>.SPXW000100C6856</stp>
        <tr r="BP1269" s="14"/>
        <tr r="BP863" s="14"/>
        <tr r="BP660" s="14"/>
        <tr r="BP1066" s="14"/>
        <tr r="BP457" s="14"/>
        <tr r="BP1472" s="14"/>
        <tr r="BP254" s="14"/>
      </tp>
      <tp t="s">
        <v>N/A</v>
        <stp/>
        <stp>STRIKE</stp>
        <stp>.SPXW000100C6857</stp>
        <tr r="BP1473" s="14"/>
        <tr r="BP661" s="14"/>
        <tr r="BP1270" s="14"/>
        <tr r="BP458" s="14"/>
        <tr r="BP864" s="14"/>
        <tr r="BP1067" s="14"/>
        <tr r="BP255" s="14"/>
      </tp>
      <tp t="s">
        <v>N/A</v>
        <stp/>
        <stp>STRIKE</stp>
        <stp>.SPXW000100C6858</stp>
        <tr r="BP1474" s="14"/>
        <tr r="BP865" s="14"/>
        <tr r="BP1068" s="14"/>
        <tr r="BP1271" s="14"/>
        <tr r="BP459" s="14"/>
        <tr r="BP256" s="14"/>
        <tr r="BP662" s="14"/>
      </tp>
      <tp t="s">
        <v>N/A</v>
        <stp/>
        <stp>STRIKE</stp>
        <stp>.SPXW000100C6859</stp>
        <tr r="BP866" s="14"/>
        <tr r="BP1272" s="14"/>
        <tr r="BP460" s="14"/>
        <tr r="BP1475" s="14"/>
        <tr r="BP1069" s="14"/>
        <tr r="BP257" s="14"/>
        <tr r="BP663" s="14"/>
      </tp>
      <tp t="s">
        <v>N/A</v>
        <stp/>
        <stp>STRIKE</stp>
        <stp>.SPXW000100C6820</stp>
        <tr r="BP421" s="14"/>
        <tr r="BP1233" s="14"/>
        <tr r="BP1436" s="14"/>
        <tr r="BP1030" s="14"/>
        <tr r="BP624" s="14"/>
        <tr r="BP827" s="14"/>
        <tr r="BP218" s="14"/>
      </tp>
      <tp>
        <v>6870</v>
        <stp/>
        <stp>STRIKE</stp>
        <stp>.SPXW260123C6870</stp>
        <tr r="BP65" s="14"/>
      </tp>
      <tp t="s">
        <v>N/A</v>
        <stp/>
        <stp>STRIKE</stp>
        <stp>.SPXW000100C6821</stp>
        <tr r="BP1437" s="14"/>
        <tr r="BP828" s="14"/>
        <tr r="BP422" s="14"/>
        <tr r="BP1234" s="14"/>
        <tr r="BP1031" s="14"/>
        <tr r="BP625" s="14"/>
        <tr r="BP219" s="14"/>
      </tp>
      <tp t="s">
        <v>N/A</v>
        <stp/>
        <stp>STRIKE</stp>
        <stp>.SPXW260123C6871</stp>
        <tr r="BP66" s="14"/>
      </tp>
      <tp t="s">
        <v>N/A</v>
        <stp/>
        <stp>STRIKE</stp>
        <stp>.SPXW000100C6822</stp>
        <tr r="BP423" s="14"/>
        <tr r="BP1032" s="14"/>
        <tr r="BP829" s="14"/>
        <tr r="BP626" s="14"/>
        <tr r="BP1438" s="14"/>
        <tr r="BP1235" s="14"/>
        <tr r="BP220" s="14"/>
      </tp>
      <tp t="s">
        <v>N/A</v>
        <stp/>
        <stp>STRIKE</stp>
        <stp>.SPXW260123C6872</stp>
        <tr r="BP67" s="14"/>
      </tp>
      <tp t="s">
        <v>N/A</v>
        <stp/>
        <stp>STRIKE</stp>
        <stp>.SPXW000100C6823</stp>
        <tr r="BP627" s="14"/>
        <tr r="BP221" s="14"/>
        <tr r="BP830" s="14"/>
        <tr r="BP424" s="14"/>
        <tr r="BP1439" s="14"/>
        <tr r="BP1236" s="14"/>
        <tr r="BP1033" s="14"/>
      </tp>
      <tp t="s">
        <v>N/A</v>
        <stp/>
        <stp>STRIKE</stp>
        <stp>.SPXW260123C6873</stp>
        <tr r="BP68" s="14"/>
      </tp>
      <tp t="s">
        <v>N/A</v>
        <stp/>
        <stp>STRIKE</stp>
        <stp>.SPXW000100C6824</stp>
        <tr r="BP1440" s="14"/>
        <tr r="BP628" s="14"/>
        <tr r="BP1034" s="14"/>
        <tr r="BP831" s="14"/>
        <tr r="BP425" s="14"/>
        <tr r="BP222" s="14"/>
        <tr r="BP1237" s="14"/>
      </tp>
      <tp t="s">
        <v>N/A</v>
        <stp/>
        <stp>STRIKE</stp>
        <stp>.SPXW260123C6874</stp>
        <tr r="BP69" s="14"/>
      </tp>
      <tp t="s">
        <v>N/A</v>
        <stp/>
        <stp>STRIKE</stp>
        <stp>.SPXW000100C6825</stp>
        <tr r="BP1441" s="14"/>
        <tr r="BP832" s="14"/>
        <tr r="BP1238" s="14"/>
        <tr r="BP223" s="14"/>
        <tr r="BP1035" s="14"/>
        <tr r="BP629" s="14"/>
        <tr r="BP426" s="14"/>
      </tp>
      <tp>
        <v>6875</v>
        <stp/>
        <stp>STRIKE</stp>
        <stp>.SPXW260123C6875</stp>
        <tr r="BP70" s="14"/>
      </tp>
      <tp t="s">
        <v>N/A</v>
        <stp/>
        <stp>STRIKE</stp>
        <stp>.SPXW000100C6826</stp>
        <tr r="BP1442" s="14"/>
        <tr r="BP630" s="14"/>
        <tr r="BP427" s="14"/>
        <tr r="BP1036" s="14"/>
        <tr r="BP1239" s="14"/>
        <tr r="BP833" s="14"/>
        <tr r="BP224" s="14"/>
      </tp>
      <tp t="s">
        <v>N/A</v>
        <stp/>
        <stp>STRIKE</stp>
        <stp>.SPXW260123C6876</stp>
        <tr r="BP71" s="14"/>
      </tp>
      <tp t="s">
        <v>N/A</v>
        <stp/>
        <stp>STRIKE</stp>
        <stp>.SPXW000100C6827</stp>
        <tr r="BP1240" s="14"/>
        <tr r="BP1443" s="14"/>
        <tr r="BP428" s="14"/>
        <tr r="BP631" s="14"/>
        <tr r="BP1037" s="14"/>
        <tr r="BP225" s="14"/>
        <tr r="BP834" s="14"/>
      </tp>
      <tp t="s">
        <v>N/A</v>
        <stp/>
        <stp>STRIKE</stp>
        <stp>.SPXW260123C6877</stp>
        <tr r="BP72" s="14"/>
      </tp>
      <tp t="s">
        <v>N/A</v>
        <stp/>
        <stp>STRIKE</stp>
        <stp>.SPXW000100C6828</stp>
        <tr r="BP1241" s="14"/>
        <tr r="BP835" s="14"/>
        <tr r="BP1038" s="14"/>
        <tr r="BP632" s="14"/>
        <tr r="BP429" s="14"/>
        <tr r="BP226" s="14"/>
        <tr r="BP1444" s="14"/>
      </tp>
      <tp t="s">
        <v>N/A</v>
        <stp/>
        <stp>STRIKE</stp>
        <stp>.SPXW260123C6878</stp>
        <tr r="BP73" s="14"/>
      </tp>
      <tp t="s">
        <v>N/A</v>
        <stp/>
        <stp>STRIKE</stp>
        <stp>.SPXW000100C6829</stp>
        <tr r="BP227" s="14"/>
        <tr r="BP1242" s="14"/>
        <tr r="BP1039" s="14"/>
        <tr r="BP633" s="14"/>
        <tr r="BP1445" s="14"/>
        <tr r="BP836" s="14"/>
        <tr r="BP430" s="14"/>
      </tp>
      <tp t="s">
        <v>N/A</v>
        <stp/>
        <stp>STRIKE</stp>
        <stp>.SPXW260123C6879</stp>
        <tr r="BP74" s="14"/>
      </tp>
      <tp t="s">
        <v>N/A</v>
        <stp/>
        <stp>STRIKE</stp>
        <stp>.SPXW000100C6830</stp>
        <tr r="BP837" s="14"/>
        <tr r="BP228" s="14"/>
        <tr r="BP634" s="14"/>
        <tr r="BP1446" s="14"/>
        <tr r="BP1040" s="14"/>
        <tr r="BP431" s="14"/>
        <tr r="BP1243" s="14"/>
      </tp>
      <tp>
        <v>6860</v>
        <stp/>
        <stp>STRIKE</stp>
        <stp>.SPXW260123C6860</stp>
        <tr r="BP55" s="14"/>
      </tp>
      <tp t="s">
        <v>N/A</v>
        <stp/>
        <stp>STRIKE</stp>
        <stp>.SPXW000100C6831</stp>
        <tr r="BP1041" s="14"/>
        <tr r="BP1244" s="14"/>
        <tr r="BP229" s="14"/>
        <tr r="BP635" s="14"/>
        <tr r="BP838" s="14"/>
        <tr r="BP1447" s="14"/>
        <tr r="BP432" s="14"/>
      </tp>
      <tp t="s">
        <v>N/A</v>
        <stp/>
        <stp>STRIKE</stp>
        <stp>.SPXW260123C6861</stp>
        <tr r="BP56" s="14"/>
      </tp>
      <tp t="s">
        <v>N/A</v>
        <stp/>
        <stp>STRIKE</stp>
        <stp>.SPXW000100C6832</stp>
        <tr r="BP1448" s="14"/>
        <tr r="BP839" s="14"/>
        <tr r="BP230" s="14"/>
        <tr r="BP636" s="14"/>
        <tr r="BP433" s="14"/>
        <tr r="BP1042" s="14"/>
        <tr r="BP1245" s="14"/>
      </tp>
      <tp t="s">
        <v>N/A</v>
        <stp/>
        <stp>STRIKE</stp>
        <stp>.SPXW260123C6862</stp>
        <tr r="BP57" s="14"/>
      </tp>
      <tp t="s">
        <v>N/A</v>
        <stp/>
        <stp>STRIKE</stp>
        <stp>.SPXW000100C6833</stp>
        <tr r="BP1043" s="14"/>
        <tr r="BP434" s="14"/>
        <tr r="BP1449" s="14"/>
        <tr r="BP231" s="14"/>
        <tr r="BP637" s="14"/>
        <tr r="BP840" s="14"/>
        <tr r="BP1246" s="14"/>
      </tp>
      <tp t="s">
        <v>N/A</v>
        <stp/>
        <stp>STRIKE</stp>
        <stp>.SPXW260123C6863</stp>
        <tr r="BP58" s="14"/>
      </tp>
      <tp t="s">
        <v>N/A</v>
        <stp/>
        <stp>STRIKE</stp>
        <stp>.SPXW000100C6834</stp>
        <tr r="BP638" s="14"/>
        <tr r="BP232" s="14"/>
        <tr r="BP841" s="14"/>
        <tr r="BP1247" s="14"/>
        <tr r="BP1044" s="14"/>
        <tr r="BP435" s="14"/>
        <tr r="BP1450" s="14"/>
      </tp>
      <tp t="s">
        <v>N/A</v>
        <stp/>
        <stp>STRIKE</stp>
        <stp>.SPXW260123C6864</stp>
        <tr r="BP59" s="14"/>
      </tp>
      <tp t="s">
        <v>N/A</v>
        <stp/>
        <stp>STRIKE</stp>
        <stp>.SPXW000100C6835</stp>
        <tr r="BP1045" s="14"/>
        <tr r="BP842" s="14"/>
        <tr r="BP639" s="14"/>
        <tr r="BP436" s="14"/>
        <tr r="BP1451" s="14"/>
        <tr r="BP1248" s="14"/>
        <tr r="BP233" s="14"/>
      </tp>
      <tp>
        <v>6865</v>
        <stp/>
        <stp>STRIKE</stp>
        <stp>.SPXW260123C6865</stp>
        <tr r="BP60" s="14"/>
      </tp>
      <tp t="s">
        <v>N/A</v>
        <stp/>
        <stp>STRIKE</stp>
        <stp>.SPXW000100C6836</stp>
        <tr r="BP1452" s="14"/>
        <tr r="BP1249" s="14"/>
        <tr r="BP640" s="14"/>
        <tr r="BP234" s="14"/>
        <tr r="BP437" s="14"/>
        <tr r="BP843" s="14"/>
        <tr r="BP1046" s="14"/>
      </tp>
      <tp t="s">
        <v>N/A</v>
        <stp/>
        <stp>STRIKE</stp>
        <stp>.SPXW260123C6866</stp>
        <tr r="BP61" s="14"/>
      </tp>
      <tp t="s">
        <v>N/A</v>
        <stp/>
        <stp>STRIKE</stp>
        <stp>.SPXW000100C6837</stp>
        <tr r="BP1250" s="14"/>
        <tr r="BP235" s="14"/>
        <tr r="BP844" s="14"/>
        <tr r="BP641" s="14"/>
        <tr r="BP438" s="14"/>
        <tr r="BP1453" s="14"/>
        <tr r="BP1047" s="14"/>
      </tp>
      <tp t="s">
        <v>N/A</v>
        <stp/>
        <stp>STRIKE</stp>
        <stp>.SPXW260123C6867</stp>
        <tr r="BP62" s="14"/>
      </tp>
      <tp t="s">
        <v>N/A</v>
        <stp/>
        <stp>STRIKE</stp>
        <stp>.SPXW000100C6838</stp>
        <tr r="BP1251" s="14"/>
        <tr r="BP1454" s="14"/>
        <tr r="BP236" s="14"/>
        <tr r="BP1048" s="14"/>
        <tr r="BP845" s="14"/>
        <tr r="BP642" s="14"/>
        <tr r="BP439" s="14"/>
      </tp>
      <tp t="s">
        <v>N/A</v>
        <stp/>
        <stp>STRIKE</stp>
        <stp>.SPXW260123C6868</stp>
        <tr r="BP63" s="14"/>
      </tp>
      <tp t="s">
        <v>N/A</v>
        <stp/>
        <stp>STRIKE</stp>
        <stp>.SPXW000100C6839</stp>
        <tr r="BP1049" s="14"/>
        <tr r="BP1455" s="14"/>
        <tr r="BP1252" s="14"/>
        <tr r="BP846" s="14"/>
        <tr r="BP643" s="14"/>
        <tr r="BP440" s="14"/>
        <tr r="BP237" s="14"/>
      </tp>
      <tp t="s">
        <v>N/A</v>
        <stp/>
        <stp>STRIKE</stp>
        <stp>.SPXW260123C6869</stp>
        <tr r="BP64" s="14"/>
      </tp>
      <tp>
        <v>6850</v>
        <stp/>
        <stp>STRIKE</stp>
        <stp>.SPXW260123C6850</stp>
        <tr r="BP45" s="14"/>
      </tp>
      <tp t="s">
        <v>N/A</v>
        <stp/>
        <stp>STRIKE</stp>
        <stp>.SPXW260123C6851</stp>
        <tr r="BP46" s="14"/>
      </tp>
      <tp t="s">
        <v>N/A</v>
        <stp/>
        <stp>STRIKE</stp>
        <stp>.SPXW260123C6852</stp>
        <tr r="BP47" s="14"/>
      </tp>
      <tp t="s">
        <v>N/A</v>
        <stp/>
        <stp>STRIKE</stp>
        <stp>.SPXW260123C6853</stp>
        <tr r="BP48" s="14"/>
      </tp>
      <tp t="s">
        <v>N/A</v>
        <stp/>
        <stp>STRIKE</stp>
        <stp>.SPXW260123C6854</stp>
        <tr r="BP49" s="14"/>
      </tp>
      <tp>
        <v>6855</v>
        <stp/>
        <stp>STRIKE</stp>
        <stp>.SPXW260123C6855</stp>
        <tr r="BP50" s="14"/>
      </tp>
      <tp t="s">
        <v>N/A</v>
        <stp/>
        <stp>STRIKE</stp>
        <stp>.SPXW260123C6856</stp>
        <tr r="BP51" s="14"/>
      </tp>
      <tp t="s">
        <v>N/A</v>
        <stp/>
        <stp>STRIKE</stp>
        <stp>.SPXW260123C6857</stp>
        <tr r="BP52" s="14"/>
      </tp>
      <tp t="s">
        <v>N/A</v>
        <stp/>
        <stp>STRIKE</stp>
        <stp>.SPXW260123C6858</stp>
        <tr r="BP53" s="14"/>
      </tp>
      <tp t="s">
        <v>N/A</v>
        <stp/>
        <stp>STRIKE</stp>
        <stp>.SPXW260123C6859</stp>
        <tr r="BP54" s="14"/>
      </tp>
      <tp>
        <v>6840</v>
        <stp/>
        <stp>STRIKE</stp>
        <stp>.SPXW260123C6840</stp>
        <tr r="BP35" s="14"/>
      </tp>
      <tp t="s">
        <v>N/A</v>
        <stp/>
        <stp>STRIKE</stp>
        <stp>.SPXW260123C6841</stp>
        <tr r="BP36" s="14"/>
      </tp>
      <tp t="s">
        <v>N/A</v>
        <stp/>
        <stp>STRIKE</stp>
        <stp>.SPXW260123C6842</stp>
        <tr r="BP37" s="14"/>
      </tp>
      <tp t="s">
        <v>N/A</v>
        <stp/>
        <stp>STRIKE</stp>
        <stp>.SPXW260123C6843</stp>
        <tr r="BP38" s="14"/>
      </tp>
      <tp t="s">
        <v>N/A</v>
        <stp/>
        <stp>STRIKE</stp>
        <stp>.SPXW260123C6844</stp>
        <tr r="BP39" s="14"/>
      </tp>
      <tp t="s">
        <v>N/A</v>
        <stp/>
        <stp>STRIKE</stp>
        <stp>.SPXW000100C6815</stp>
        <tr r="BP1431" s="14"/>
        <tr r="BP213" s="14"/>
        <tr r="BP416" s="14"/>
        <tr r="BP1228" s="14"/>
        <tr r="BP1025" s="14"/>
        <tr r="BP822" s="14"/>
        <tr r="BP619" s="14"/>
      </tp>
      <tp>
        <v>6845</v>
        <stp/>
        <stp>STRIKE</stp>
        <stp>.SPXW260123C6845</stp>
        <tr r="BP40" s="14"/>
      </tp>
      <tp t="s">
        <v>N/A</v>
        <stp/>
        <stp>STRIKE</stp>
        <stp>.SPXW000100C6816</stp>
        <tr r="BP823" s="14"/>
        <tr r="BP1026" s="14"/>
        <tr r="BP620" s="14"/>
        <tr r="BP214" s="14"/>
        <tr r="BP1229" s="14"/>
        <tr r="BP1432" s="14"/>
        <tr r="BP417" s="14"/>
      </tp>
      <tp t="s">
        <v>N/A</v>
        <stp/>
        <stp>STRIKE</stp>
        <stp>.SPXW260123C6846</stp>
        <tr r="BP41" s="14"/>
      </tp>
      <tp t="s">
        <v>N/A</v>
        <stp/>
        <stp>STRIKE</stp>
        <stp>.SPXW000100C6817</stp>
        <tr r="BP1027" s="14"/>
        <tr r="BP824" s="14"/>
        <tr r="BP418" s="14"/>
        <tr r="BP1433" s="14"/>
        <tr r="BP1230" s="14"/>
        <tr r="BP621" s="14"/>
        <tr r="BP215" s="14"/>
      </tp>
      <tp t="s">
        <v>N/A</v>
        <stp/>
        <stp>STRIKE</stp>
        <stp>.SPXW260123C6847</stp>
        <tr r="BP42" s="14"/>
      </tp>
      <tp t="s">
        <v>N/A</v>
        <stp/>
        <stp>STRIKE</stp>
        <stp>.SPXW000100C6818</stp>
        <tr r="BP1231" s="14"/>
        <tr r="BP622" s="14"/>
        <tr r="BP419" s="14"/>
        <tr r="BP1028" s="14"/>
        <tr r="BP216" s="14"/>
        <tr r="BP825" s="14"/>
        <tr r="BP1434" s="14"/>
      </tp>
      <tp t="s">
        <v>N/A</v>
        <stp/>
        <stp>STRIKE</stp>
        <stp>.SPXW260123C6848</stp>
        <tr r="BP43" s="14"/>
      </tp>
      <tp t="s">
        <v>N/A</v>
        <stp/>
        <stp>STRIKE</stp>
        <stp>.SPXW000100C6819</stp>
        <tr r="BP1232" s="14"/>
        <tr r="BP420" s="14"/>
        <tr r="BP826" s="14"/>
        <tr r="BP1029" s="14"/>
        <tr r="BP1435" s="14"/>
        <tr r="BP623" s="14"/>
        <tr r="BP217" s="14"/>
      </tp>
      <tp t="s">
        <v>N/A</v>
        <stp/>
        <stp>STRIKE</stp>
        <stp>.SPXW260123C6849</stp>
        <tr r="BP44" s="14"/>
      </tp>
      <tp>
        <v>6890</v>
        <stp/>
        <stp>STRIKE</stp>
        <stp>.SPXW260123C6890</stp>
        <tr r="BP85" s="14"/>
      </tp>
      <tp t="s">
        <v>N/A</v>
        <stp/>
        <stp>STRIKE</stp>
        <stp>.SPXW260123C6891</stp>
        <tr r="BP86" s="14"/>
      </tp>
      <tp t="s">
        <v>N/A</v>
        <stp/>
        <stp>STRIKE</stp>
        <stp>.SPXW260123C6892</stp>
        <tr r="BP87" s="14"/>
      </tp>
      <tp t="s">
        <v>N/A</v>
        <stp/>
        <stp>STRIKE</stp>
        <stp>.SPXW260123C6893</stp>
        <tr r="BP88" s="14"/>
      </tp>
      <tp t="s">
        <v>N/A</v>
        <stp/>
        <stp>STRIKE</stp>
        <stp>.SPXW260123C6894</stp>
        <tr r="BP89" s="14"/>
      </tp>
      <tp>
        <v>6895</v>
        <stp/>
        <stp>STRIKE</stp>
        <stp>.SPXW260123C6895</stp>
        <tr r="BP90" s="14"/>
      </tp>
      <tp t="s">
        <v>N/A</v>
        <stp/>
        <stp>STRIKE</stp>
        <stp>.SPXW260123C6896</stp>
        <tr r="BP91" s="14"/>
      </tp>
      <tp t="s">
        <v>N/A</v>
        <stp/>
        <stp>STRIKE</stp>
        <stp>.SPXW260123C6897</stp>
        <tr r="BP92" s="14"/>
      </tp>
      <tp t="s">
        <v>N/A</v>
        <stp/>
        <stp>STRIKE</stp>
        <stp>.SPXW260123C6898</stp>
        <tr r="BP93" s="14"/>
      </tp>
      <tp t="s">
        <v>N/A</v>
        <stp/>
        <stp>STRIKE</stp>
        <stp>.SPXW260123C6899</stp>
        <tr r="BP94" s="14"/>
      </tp>
      <tp>
        <v>6880</v>
        <stp/>
        <stp>STRIKE</stp>
        <stp>.SPXW260123C6880</stp>
        <tr r="BP75" s="14"/>
      </tp>
      <tp t="s">
        <v>N/A</v>
        <stp/>
        <stp>STRIKE</stp>
        <stp>.SPXW260123C6881</stp>
        <tr r="BP76" s="14"/>
      </tp>
      <tp t="s">
        <v>N/A</v>
        <stp/>
        <stp>STRIKE</stp>
        <stp>.SPXW260123C6882</stp>
        <tr r="BP77" s="14"/>
      </tp>
      <tp t="s">
        <v>N/A</v>
        <stp/>
        <stp>STRIKE</stp>
        <stp>.SPXW260123C6883</stp>
        <tr r="BP78" s="14"/>
      </tp>
      <tp t="s">
        <v>N/A</v>
        <stp/>
        <stp>STRIKE</stp>
        <stp>.SPXW260123C6884</stp>
        <tr r="BP79" s="14"/>
      </tp>
      <tp>
        <v>6885</v>
        <stp/>
        <stp>STRIKE</stp>
        <stp>.SPXW260123C6885</stp>
        <tr r="BP80" s="14"/>
      </tp>
      <tp t="s">
        <v>N/A</v>
        <stp/>
        <stp>STRIKE</stp>
        <stp>.SPXW260123C6886</stp>
        <tr r="BP81" s="14"/>
      </tp>
      <tp t="s">
        <v>N/A</v>
        <stp/>
        <stp>STRIKE</stp>
        <stp>.SPXW260123C6887</stp>
        <tr r="BP82" s="14"/>
      </tp>
      <tp t="s">
        <v>N/A</v>
        <stp/>
        <stp>STRIKE</stp>
        <stp>.SPXW260123C6888</stp>
        <tr r="BP83" s="14"/>
      </tp>
      <tp t="s">
        <v>N/A</v>
        <stp/>
        <stp>STRIKE</stp>
        <stp>.SPXW260123C6889</stp>
        <tr r="BP84" s="14"/>
      </tp>
      <tp t="s">
        <v>N/A</v>
        <stp/>
        <stp>STRIKE</stp>
        <stp>.SPXW000100C6880</stp>
        <tr r="BP1496" s="14"/>
        <tr r="BP481" s="14"/>
        <tr r="BP1090" s="14"/>
        <tr r="BP684" s="14"/>
        <tr r="BP278" s="14"/>
        <tr r="BP1293" s="14"/>
        <tr r="BP887" s="14"/>
      </tp>
      <tp t="s">
        <v>N/A</v>
        <stp/>
        <stp>STRIKE</stp>
        <stp>.SPXW000100C6881</stp>
        <tr r="BP1294" s="14"/>
        <tr r="BP482" s="14"/>
        <tr r="BP888" s="14"/>
        <tr r="BP1091" s="14"/>
        <tr r="BP1497" s="14"/>
        <tr r="BP279" s="14"/>
        <tr r="BP685" s="14"/>
      </tp>
      <tp t="s">
        <v>N/A</v>
        <stp/>
        <stp>STRIKE</stp>
        <stp>.SPXW000100C6882</stp>
        <tr r="BP1498" s="14"/>
        <tr r="BP889" s="14"/>
        <tr r="BP1295" s="14"/>
        <tr r="BP1092" s="14"/>
        <tr r="BP686" s="14"/>
        <tr r="BP280" s="14"/>
        <tr r="BP483" s="14"/>
      </tp>
      <tp t="s">
        <v>N/A</v>
        <stp/>
        <stp>STRIKE</stp>
        <stp>.SPXW000100C6883</stp>
        <tr r="BP1499" s="14"/>
        <tr r="BP484" s="14"/>
        <tr r="BP281" s="14"/>
        <tr r="BP1093" s="14"/>
        <tr r="BP1296" s="14"/>
        <tr r="BP687" s="14"/>
        <tr r="BP890" s="14"/>
      </tp>
      <tp t="s">
        <v>N/A</v>
        <stp/>
        <stp>STRIKE</stp>
        <stp>.SPXW000100C6884</stp>
        <tr r="BP1094" s="14"/>
        <tr r="BP1297" s="14"/>
        <tr r="BP688" s="14"/>
        <tr r="BP485" s="14"/>
        <tr r="BP1500" s="14"/>
        <tr r="BP282" s="14"/>
        <tr r="BP891" s="14"/>
      </tp>
      <tp t="s">
        <v>N/A</v>
        <stp/>
        <stp>STRIKE</stp>
        <stp>.SPXW000100C6885</stp>
        <tr r="BP1095" s="14"/>
        <tr r="BP486" s="14"/>
        <tr r="BP283" s="14"/>
        <tr r="BP1501" s="14"/>
        <tr r="BP1298" s="14"/>
        <tr r="BP892" s="14"/>
        <tr r="BP689" s="14"/>
      </tp>
      <tp t="s">
        <v>N/A</v>
        <stp/>
        <stp>STRIKE</stp>
        <stp>.SPXW000100C6886</stp>
        <tr r="BP1096" s="14"/>
        <tr r="BP1502" s="14"/>
        <tr r="BP690" s="14"/>
        <tr r="BP1299" s="14"/>
        <tr r="BP284" s="14"/>
        <tr r="BP893" s="14"/>
        <tr r="BP487" s="14"/>
      </tp>
      <tp t="s">
        <v>N/A</v>
        <stp/>
        <stp>STRIKE</stp>
        <stp>.SPXW000100C6887</stp>
        <tr r="BP488" s="14"/>
        <tr r="BP1097" s="14"/>
        <tr r="BP691" s="14"/>
        <tr r="BP1300" s="14"/>
        <tr r="BP1503" s="14"/>
        <tr r="BP894" s="14"/>
        <tr r="BP285" s="14"/>
      </tp>
      <tp t="s">
        <v>N/A</v>
        <stp/>
        <stp>STRIKE</stp>
        <stp>.SPXW000100C6888</stp>
        <tr r="BP1301" s="14"/>
        <tr r="BP895" s="14"/>
        <tr r="BP1504" s="14"/>
        <tr r="BP692" s="14"/>
        <tr r="BP286" s="14"/>
        <tr r="BP1098" s="14"/>
        <tr r="BP489" s="14"/>
      </tp>
      <tp t="s">
        <v>N/A</v>
        <stp/>
        <stp>STRIKE</stp>
        <stp>.SPXW000100C6889</stp>
        <tr r="BP490" s="14"/>
        <tr r="BP896" s="14"/>
        <tr r="BP1505" s="14"/>
        <tr r="BP1099" s="14"/>
        <tr r="BP693" s="14"/>
        <tr r="BP1302" s="14"/>
        <tr r="BP287" s="14"/>
      </tp>
      <tp t="s">
        <v>N/A</v>
        <stp/>
        <stp>STRIKE</stp>
        <stp>.SPXW000100C6890</stp>
        <tr r="BP1506" s="14"/>
        <tr r="BP897" s="14"/>
        <tr r="BP1303" s="14"/>
        <tr r="BP694" s="14"/>
        <tr r="BP288" s="14"/>
        <tr r="BP491" s="14"/>
        <tr r="BP1100" s="14"/>
      </tp>
      <tp t="s">
        <v>N/A</v>
        <stp/>
        <stp>STRIKE</stp>
        <stp>.SPXW000100C6891</stp>
        <tr r="BP1507" s="14"/>
        <tr r="BP695" s="14"/>
        <tr r="BP289" s="14"/>
        <tr r="BP1304" s="14"/>
        <tr r="BP898" s="14"/>
        <tr r="BP1101" s="14"/>
        <tr r="BP492" s="14"/>
      </tp>
      <tp t="s">
        <v>N/A</v>
        <stp/>
        <stp>STRIKE</stp>
        <stp>.SPXW000100C6892</stp>
        <tr r="BP1305" s="14"/>
        <tr r="BP1102" s="14"/>
        <tr r="BP696" s="14"/>
        <tr r="BP290" s="14"/>
        <tr r="BP899" s="14"/>
        <tr r="BP1508" s="14"/>
        <tr r="BP493" s="14"/>
      </tp>
      <tp t="s">
        <v>N/A</v>
        <stp/>
        <stp>STRIKE</stp>
        <stp>.SPXW000100C6893</stp>
        <tr r="BP1306" s="14"/>
        <tr r="BP494" s="14"/>
        <tr r="BP1509" s="14"/>
        <tr r="BP900" s="14"/>
        <tr r="BP291" s="14"/>
        <tr r="BP1103" s="14"/>
        <tr r="BP697" s="14"/>
      </tp>
      <tp t="s">
        <v>N/A</v>
        <stp/>
        <stp>STRIKE</stp>
        <stp>.SPXW000100C6894</stp>
        <tr r="BP292" s="14"/>
        <tr r="BP495" s="14"/>
        <tr r="BP1510" s="14"/>
        <tr r="BP901" s="14"/>
        <tr r="BP1307" s="14"/>
        <tr r="BP1104" s="14"/>
        <tr r="BP698" s="14"/>
      </tp>
      <tp t="s">
        <v>N/A</v>
        <stp/>
        <stp>STRIKE</stp>
        <stp>.SPXW000100C6895</stp>
        <tr r="BP1511" s="14"/>
        <tr r="BP1105" s="14"/>
        <tr r="BP699" s="14"/>
        <tr r="BP496" s="14"/>
        <tr r="BP1308" s="14"/>
        <tr r="BP293" s="14"/>
        <tr r="BP902" s="14"/>
      </tp>
      <tp t="s">
        <v>N/A</v>
        <stp/>
        <stp>STRIKE</stp>
        <stp>.SPXW000100C6896</stp>
        <tr r="BP1512" s="14"/>
        <tr r="BP497" s="14"/>
        <tr r="BP700" s="14"/>
        <tr r="BP294" s="14"/>
        <tr r="BP903" s="14"/>
        <tr r="BP1309" s="14"/>
        <tr r="BP1106" s="14"/>
      </tp>
      <tp t="s">
        <v>N/A</v>
        <stp/>
        <stp>STRIKE</stp>
        <stp>.SPXW000100C6897</stp>
        <tr r="BP498" s="14"/>
        <tr r="BP1107" s="14"/>
        <tr r="BP295" s="14"/>
        <tr r="BP1513" s="14"/>
        <tr r="BP1310" s="14"/>
        <tr r="BP904" s="14"/>
        <tr r="BP701" s="14"/>
      </tp>
      <tp t="s">
        <v>N/A</v>
        <stp/>
        <stp>STRIKE</stp>
        <stp>.SPXW000100C6898</stp>
        <tr r="BP1514" s="14"/>
        <tr r="BP702" s="14"/>
        <tr r="BP905" s="14"/>
        <tr r="BP296" s="14"/>
        <tr r="BP499" s="14"/>
        <tr r="BP1108" s="14"/>
        <tr r="BP1311" s="14"/>
      </tp>
      <tp t="s">
        <v>N/A</v>
        <stp/>
        <stp>STRIKE</stp>
        <stp>.SPXW000100C6899</stp>
        <tr r="BP500" s="14"/>
        <tr r="BP1515" s="14"/>
        <tr r="BP1312" s="14"/>
        <tr r="BP906" s="14"/>
        <tr r="BP1109" s="14"/>
        <tr r="BP297" s="14"/>
        <tr r="BP703" s="14"/>
      </tp>
      <tp t="s">
        <v>N/A</v>
        <stp/>
        <stp>STRIKE</stp>
        <stp>.SPXW000100C6960</stp>
        <tr r="BP1576" s="14"/>
        <tr r="BP358" s="14"/>
        <tr r="BP967" s="14"/>
        <tr r="BP764" s="14"/>
        <tr r="BP561" s="14"/>
        <tr r="BP1373" s="14"/>
        <tr r="BP1170" s="14"/>
      </tp>
      <tp>
        <v>6930</v>
        <stp/>
        <stp>STRIKE</stp>
        <stp>.SPXW260123C6930</stp>
        <tr r="BP125" s="14"/>
      </tp>
      <tp t="s">
        <v>N/A</v>
        <stp/>
        <stp>STRIKE</stp>
        <stp>.SPXW000100C6961</stp>
        <tr r="BP1374" s="14"/>
        <tr r="BP1171" s="14"/>
        <tr r="BP765" s="14"/>
        <tr r="BP562" s="14"/>
        <tr r="BP1577" s="14"/>
        <tr r="BP968" s="14"/>
        <tr r="BP359" s="14"/>
      </tp>
      <tp t="s">
        <v>N/A</v>
        <stp/>
        <stp>STRIKE</stp>
        <stp>.SPXW260123C6931</stp>
        <tr r="BP126" s="14"/>
      </tp>
      <tp t="s">
        <v>N/A</v>
        <stp/>
        <stp>STRIKE</stp>
        <stp>.SPXW000100C6962</stp>
        <tr r="BP1375" s="14"/>
        <tr r="BP1578" s="14"/>
        <tr r="BP1172" s="14"/>
        <tr r="BP563" s="14"/>
        <tr r="BP360" s="14"/>
        <tr r="BP969" s="14"/>
        <tr r="BP766" s="14"/>
      </tp>
      <tp t="s">
        <v>N/A</v>
        <stp/>
        <stp>STRIKE</stp>
        <stp>.SPXW260123C6932</stp>
        <tr r="BP127" s="14"/>
      </tp>
      <tp t="s">
        <v>N/A</v>
        <stp/>
        <stp>STRIKE</stp>
        <stp>.SPXW000100C6963</stp>
        <tr r="BP1376" s="14"/>
        <tr r="BP970" s="14"/>
        <tr r="BP1173" s="14"/>
        <tr r="BP564" s="14"/>
        <tr r="BP361" s="14"/>
        <tr r="BP1579" s="14"/>
        <tr r="BP767" s="14"/>
      </tp>
      <tp t="s">
        <v>N/A</v>
        <stp/>
        <stp>STRIKE</stp>
        <stp>.SPXW260123C6933</stp>
        <tr r="BP128" s="14"/>
      </tp>
      <tp t="s">
        <v>N/A</v>
        <stp/>
        <stp>STRIKE</stp>
        <stp>.SPXW000100C6964</stp>
        <tr r="BP1580" s="14"/>
        <tr r="BP565" s="14"/>
        <tr r="BP362" s="14"/>
        <tr r="BP1377" s="14"/>
        <tr r="BP768" s="14"/>
        <tr r="BP1174" s="14"/>
        <tr r="BP971" s="14"/>
      </tp>
      <tp t="s">
        <v>N/A</v>
        <stp/>
        <stp>STRIKE</stp>
        <stp>.SPXW260123C6934</stp>
        <tr r="BP129" s="14"/>
      </tp>
      <tp t="s">
        <v>N/A</v>
        <stp/>
        <stp>STRIKE</stp>
        <stp>.SPXW000100C6965</stp>
        <tr r="BP769" s="14"/>
        <tr r="BP1175" s="14"/>
        <tr r="BP1378" s="14"/>
        <tr r="BP972" s="14"/>
        <tr r="BP1581" s="14"/>
        <tr r="BP566" s="14"/>
        <tr r="BP363" s="14"/>
      </tp>
      <tp>
        <v>6935</v>
        <stp/>
        <stp>STRIKE</stp>
        <stp>.SPXW260123C6935</stp>
        <tr r="BP130" s="14"/>
      </tp>
      <tp t="s">
        <v>N/A</v>
        <stp/>
        <stp>STRIKE</stp>
        <stp>.SPXW000100C6966</stp>
        <tr r="BP567" s="14"/>
        <tr r="BP1582" s="14"/>
        <tr r="BP1379" s="14"/>
        <tr r="BP973" s="14"/>
        <tr r="BP770" s="14"/>
        <tr r="BP1176" s="14"/>
        <tr r="BP364" s="14"/>
      </tp>
      <tp t="s">
        <v>N/A</v>
        <stp/>
        <stp>STRIKE</stp>
        <stp>.SPXW260123C6936</stp>
        <tr r="BP131" s="14"/>
      </tp>
      <tp t="s">
        <v>N/A</v>
        <stp/>
        <stp>STRIKE</stp>
        <stp>.SPXW000100C6967</stp>
        <tr r="BP568" s="14"/>
        <tr r="BP1583" s="14"/>
        <tr r="BP1177" s="14"/>
        <tr r="BP771" s="14"/>
        <tr r="BP974" s="14"/>
        <tr r="BP1380" s="14"/>
        <tr r="BP365" s="14"/>
      </tp>
      <tp t="s">
        <v>N/A</v>
        <stp/>
        <stp>STRIKE</stp>
        <stp>.SPXW260123C6937</stp>
        <tr r="BP132" s="14"/>
      </tp>
      <tp t="s">
        <v>N/A</v>
        <stp/>
        <stp>STRIKE</stp>
        <stp>.SPXW000100C6968</stp>
        <tr r="BP975" s="14"/>
        <tr r="BP1381" s="14"/>
        <tr r="BP772" s="14"/>
        <tr r="BP366" s="14"/>
        <tr r="BP1178" s="14"/>
        <tr r="BP569" s="14"/>
        <tr r="BP1584" s="14"/>
      </tp>
      <tp t="s">
        <v>N/A</v>
        <stp/>
        <stp>STRIKE</stp>
        <stp>.SPXW260123C6938</stp>
        <tr r="BP133" s="14"/>
      </tp>
      <tp t="s">
        <v>N/A</v>
        <stp/>
        <stp>STRIKE</stp>
        <stp>.SPXW000100C6969</stp>
        <tr r="BP1585" s="14"/>
        <tr r="BP570" s="14"/>
        <tr r="BP773" s="14"/>
        <tr r="BP976" s="14"/>
        <tr r="BP1382" s="14"/>
        <tr r="BP1179" s="14"/>
        <tr r="BP367" s="14"/>
      </tp>
      <tp t="s">
        <v>N/A</v>
        <stp/>
        <stp>STRIKE</stp>
        <stp>.SPXW260123C6939</stp>
        <tr r="BP134" s="14"/>
      </tp>
      <tp t="s">
        <v>N/A</v>
        <stp/>
        <stp>STRIKE</stp>
        <stp>.SPXW000100C6970</stp>
        <tr r="BP1383" s="14"/>
        <tr r="BP1180" s="14"/>
        <tr r="BP368" s="14"/>
        <tr r="BP774" s="14"/>
        <tr r="BP977" s="14"/>
        <tr r="BP1586" s="14"/>
        <tr r="BP571" s="14"/>
      </tp>
      <tp>
        <v>6920</v>
        <stp/>
        <stp>STRIKE</stp>
        <stp>.SPXW260123C6920</stp>
        <tr r="BP115" s="14"/>
      </tp>
      <tp t="s">
        <v>N/A</v>
        <stp/>
        <stp>STRIKE</stp>
        <stp>.SPXW000100C6971</stp>
        <tr r="BP978" s="14"/>
        <tr r="BP572" s="14"/>
        <tr r="BP1181" s="14"/>
        <tr r="BP1587" s="14"/>
        <tr r="BP1384" s="14"/>
        <tr r="BP369" s="14"/>
        <tr r="BP775" s="14"/>
      </tp>
      <tp t="s">
        <v>N/A</v>
        <stp/>
        <stp>STRIKE</stp>
        <stp>.SPXW260123C6921</stp>
        <tr r="BP116" s="14"/>
      </tp>
      <tp t="s">
        <v>N/A</v>
        <stp/>
        <stp>STRIKE</stp>
        <stp>.SPXW000100C6972</stp>
        <tr r="BP573" s="14"/>
        <tr r="BP1385" s="14"/>
        <tr r="BP979" s="14"/>
        <tr r="BP776" s="14"/>
        <tr r="BP370" s="14"/>
        <tr r="BP1588" s="14"/>
        <tr r="BP1182" s="14"/>
      </tp>
      <tp t="s">
        <v>N/A</v>
        <stp/>
        <stp>STRIKE</stp>
        <stp>.SPXW260123C6922</stp>
        <tr r="BP117" s="14"/>
      </tp>
      <tp t="s">
        <v>N/A</v>
        <stp/>
        <stp>STRIKE</stp>
        <stp>.SPXW000100C6973</stp>
        <tr r="BP1589" s="14"/>
        <tr r="BP980" s="14"/>
        <tr r="BP371" s="14"/>
        <tr r="BP1183" s="14"/>
        <tr r="BP1386" s="14"/>
        <tr r="BP777" s="14"/>
        <tr r="BP574" s="14"/>
      </tp>
      <tp t="s">
        <v>N/A</v>
        <stp/>
        <stp>STRIKE</stp>
        <stp>.SPXW260123C6923</stp>
        <tr r="BP118" s="14"/>
      </tp>
      <tp t="s">
        <v>N/A</v>
        <stp/>
        <stp>STRIKE</stp>
        <stp>.SPXW000100C6974</stp>
        <tr r="BP1387" s="14"/>
        <tr r="BP1590" s="14"/>
        <tr r="BP1184" s="14"/>
        <tr r="BP778" s="14"/>
        <tr r="BP372" s="14"/>
        <tr r="BP981" s="14"/>
        <tr r="BP575" s="14"/>
      </tp>
      <tp t="s">
        <v>N/A</v>
        <stp/>
        <stp>STRIKE</stp>
        <stp>.SPXW260123C6924</stp>
        <tr r="BP119" s="14"/>
      </tp>
      <tp t="s">
        <v>N/A</v>
        <stp/>
        <stp>STRIKE</stp>
        <stp>.SPXW000100C6975</stp>
        <tr r="BP1591" s="14"/>
        <tr r="BP1388" s="14"/>
        <tr r="BP576" s="14"/>
        <tr r="BP1185" s="14"/>
        <tr r="BP779" s="14"/>
        <tr r="BP982" s="14"/>
        <tr r="BP373" s="14"/>
      </tp>
      <tp>
        <v>6925</v>
        <stp/>
        <stp>STRIKE</stp>
        <stp>.SPXW260123C6925</stp>
        <tr r="BP120" s="14"/>
      </tp>
      <tp t="s">
        <v>N/A</v>
        <stp/>
        <stp>STRIKE</stp>
        <stp>.SPXW000100C6976</stp>
        <tr r="BP1592" s="14"/>
        <tr r="BP1389" s="14"/>
        <tr r="BP983" s="14"/>
        <tr r="BP1186" s="14"/>
        <tr r="BP577" s="14"/>
        <tr r="BP374" s="14"/>
        <tr r="BP780" s="14"/>
      </tp>
      <tp t="s">
        <v>N/A</v>
        <stp/>
        <stp>STRIKE</stp>
        <stp>.SPXW260123C6926</stp>
        <tr r="BP121" s="14"/>
      </tp>
      <tp t="s">
        <v>N/A</v>
        <stp/>
        <stp>STRIKE</stp>
        <stp>.SPXW000100C6977</stp>
        <tr r="BP578" s="14"/>
        <tr r="BP1593" s="14"/>
        <tr r="BP1390" s="14"/>
        <tr r="BP781" s="14"/>
        <tr r="BP375" s="14"/>
        <tr r="BP984" s="14"/>
        <tr r="BP1187" s="14"/>
      </tp>
      <tp t="s">
        <v>N/A</v>
        <stp/>
        <stp>STRIKE</stp>
        <stp>.SPXW260123C6927</stp>
        <tr r="BP122" s="14"/>
      </tp>
      <tp t="s">
        <v>N/A</v>
        <stp/>
        <stp>STRIKE</stp>
        <stp>.SPXW000100C6978</stp>
        <tr r="BP1391" s="14"/>
        <tr r="BP579" s="14"/>
        <tr r="BP1594" s="14"/>
        <tr r="BP985" s="14"/>
        <tr r="BP1188" s="14"/>
        <tr r="BP782" s="14"/>
        <tr r="BP376" s="14"/>
      </tp>
      <tp t="s">
        <v>N/A</v>
        <stp/>
        <stp>STRIKE</stp>
        <stp>.SPXW260123C6928</stp>
        <tr r="BP123" s="14"/>
      </tp>
      <tp t="s">
        <v>N/A</v>
        <stp/>
        <stp>STRIKE</stp>
        <stp>.SPXW000100C6979</stp>
        <tr r="BP1595" s="14"/>
        <tr r="BP783" s="14"/>
        <tr r="BP986" s="14"/>
        <tr r="BP377" s="14"/>
        <tr r="BP1189" s="14"/>
        <tr r="BP1392" s="14"/>
        <tr r="BP580" s="14"/>
      </tp>
      <tp t="s">
        <v>N/A</v>
        <stp/>
        <stp>STRIKE</stp>
        <stp>.SPXW260123C6929</stp>
        <tr r="BP124" s="14"/>
      </tp>
      <tp t="s">
        <v>N/A</v>
        <stp/>
        <stp>STRIKE</stp>
        <stp>.SPXW000100C6940</stp>
        <tr r="BP1556" s="14"/>
        <tr r="BP541" s="14"/>
        <tr r="BP1353" s="14"/>
        <tr r="BP338" s="14"/>
        <tr r="BP744" s="14"/>
        <tr r="BP1150" s="14"/>
        <tr r="BP947" s="14"/>
      </tp>
      <tp>
        <v>6910</v>
        <stp/>
        <stp>STRIKE</stp>
        <stp>.SPXW260123C6910</stp>
        <tr r="BP105" s="14"/>
      </tp>
      <tp t="s">
        <v>N/A</v>
        <stp/>
        <stp>STRIKE</stp>
        <stp>.SPXW000100C6941</stp>
        <tr r="BP1557" s="14"/>
        <tr r="BP745" s="14"/>
        <tr r="BP542" s="14"/>
        <tr r="BP1151" s="14"/>
        <tr r="BP1354" s="14"/>
        <tr r="BP948" s="14"/>
        <tr r="BP339" s="14"/>
      </tp>
      <tp t="s">
        <v>N/A</v>
        <stp/>
        <stp>STRIKE</stp>
        <stp>.SPXW260123C6911</stp>
        <tr r="BP106" s="14"/>
      </tp>
      <tp t="s">
        <v>N/A</v>
        <stp/>
        <stp>STRIKE</stp>
        <stp>.SPXW000100C6942</stp>
        <tr r="BP1355" s="14"/>
        <tr r="BP543" s="14"/>
        <tr r="BP1152" s="14"/>
        <tr r="BP949" s="14"/>
        <tr r="BP746" s="14"/>
        <tr r="BP340" s="14"/>
        <tr r="BP1558" s="14"/>
      </tp>
      <tp t="s">
        <v>N/A</v>
        <stp/>
        <stp>STRIKE</stp>
        <stp>.SPXW260123C6912</stp>
        <tr r="BP107" s="14"/>
      </tp>
      <tp t="s">
        <v>N/A</v>
        <stp/>
        <stp>STRIKE</stp>
        <stp>.SPXW000100C6943</stp>
        <tr r="BP1356" s="14"/>
        <tr r="BP544" s="14"/>
        <tr r="BP747" s="14"/>
        <tr r="BP1153" s="14"/>
        <tr r="BP341" s="14"/>
        <tr r="BP1559" s="14"/>
        <tr r="BP950" s="14"/>
      </tp>
      <tp t="s">
        <v>N/A</v>
        <stp/>
        <stp>STRIKE</stp>
        <stp>.SPXW260123C6913</stp>
        <tr r="BP108" s="14"/>
      </tp>
      <tp t="s">
        <v>N/A</v>
        <stp/>
        <stp>STRIKE</stp>
        <stp>.SPXW000100C6944</stp>
        <tr r="BP951" s="14"/>
        <tr r="BP545" s="14"/>
        <tr r="BP1154" s="14"/>
        <tr r="BP748" s="14"/>
        <tr r="BP1357" s="14"/>
        <tr r="BP342" s="14"/>
        <tr r="BP1560" s="14"/>
      </tp>
      <tp t="s">
        <v>N/A</v>
        <stp/>
        <stp>STRIKE</stp>
        <stp>.SPXW260123C6914</stp>
        <tr r="BP109" s="14"/>
      </tp>
      <tp t="s">
        <v>N/A</v>
        <stp/>
        <stp>STRIKE</stp>
        <stp>.SPXW000100C6945</stp>
        <tr r="BP343" s="14"/>
        <tr r="BP1358" s="14"/>
        <tr r="BP1561" s="14"/>
        <tr r="BP749" s="14"/>
        <tr r="BP1155" s="14"/>
        <tr r="BP952" s="14"/>
        <tr r="BP546" s="14"/>
      </tp>
      <tp>
        <v>6915</v>
        <stp/>
        <stp>STRIKE</stp>
        <stp>.SPXW260123C6915</stp>
        <tr r="BP110" s="14"/>
      </tp>
      <tp t="s">
        <v>N/A</v>
        <stp/>
        <stp>STRIKE</stp>
        <stp>.SPXW000100C6946</stp>
        <tr r="BP1359" s="14"/>
        <tr r="BP344" s="14"/>
        <tr r="BP750" s="14"/>
        <tr r="BP1562" s="14"/>
        <tr r="BP953" s="14"/>
        <tr r="BP1156" s="14"/>
        <tr r="BP547" s="14"/>
      </tp>
      <tp t="s">
        <v>N/A</v>
        <stp/>
        <stp>STRIKE</stp>
        <stp>.SPXW260123C6916</stp>
        <tr r="BP111" s="14"/>
      </tp>
      <tp t="s">
        <v>N/A</v>
        <stp/>
        <stp>STRIKE</stp>
        <stp>.SPXW000100C6947</stp>
        <tr r="BP1563" s="14"/>
        <tr r="BP954" s="14"/>
        <tr r="BP1157" s="14"/>
        <tr r="BP1360" s="14"/>
        <tr r="BP751" s="14"/>
        <tr r="BP548" s="14"/>
        <tr r="BP345" s="14"/>
      </tp>
      <tp t="s">
        <v>N/A</v>
        <stp/>
        <stp>STRIKE</stp>
        <stp>.SPXW260123C6917</stp>
        <tr r="BP112" s="14"/>
      </tp>
      <tp t="s">
        <v>N/A</v>
        <stp/>
        <stp>STRIKE</stp>
        <stp>.SPXW000100C6948</stp>
        <tr r="BP1361" s="14"/>
        <tr r="BP549" s="14"/>
        <tr r="BP1158" s="14"/>
        <tr r="BP955" s="14"/>
        <tr r="BP752" s="14"/>
        <tr r="BP1564" s="14"/>
        <tr r="BP346" s="14"/>
      </tp>
      <tp t="s">
        <v>N/A</v>
        <stp/>
        <stp>STRIKE</stp>
        <stp>.SPXW260123C6918</stp>
        <tr r="BP113" s="14"/>
      </tp>
      <tp t="s">
        <v>N/A</v>
        <stp/>
        <stp>STRIKE</stp>
        <stp>.SPXW000100C6949</stp>
        <tr r="BP1159" s="14"/>
        <tr r="BP753" s="14"/>
        <tr r="BP1362" s="14"/>
        <tr r="BP550" s="14"/>
        <tr r="BP347" s="14"/>
        <tr r="BP1565" s="14"/>
        <tr r="BP956" s="14"/>
      </tp>
      <tp t="s">
        <v>N/A</v>
        <stp/>
        <stp>STRIKE</stp>
        <stp>.SPXW260123C6919</stp>
        <tr r="BP114" s="14"/>
      </tp>
      <tp t="s">
        <v>N/A</v>
        <stp/>
        <stp>STRIKE</stp>
        <stp>.SPXW000100C6950</stp>
        <tr r="BP551" s="14"/>
        <tr r="BP1160" s="14"/>
        <tr r="BP348" s="14"/>
        <tr r="BP1363" s="14"/>
        <tr r="BP957" s="14"/>
        <tr r="BP1566" s="14"/>
        <tr r="BP754" s="14"/>
      </tp>
      <tp>
        <v>6900</v>
        <stp/>
        <stp>STRIKE</stp>
        <stp>.SPXW260123C6900</stp>
        <tr r="BP95" s="14"/>
      </tp>
      <tp t="s">
        <v>N/A</v>
        <stp/>
        <stp>STRIKE</stp>
        <stp>.SPXW000100C6951</stp>
        <tr r="BP1161" s="14"/>
        <tr r="BP552" s="14"/>
        <tr r="BP1567" s="14"/>
        <tr r="BP1364" s="14"/>
        <tr r="BP755" s="14"/>
        <tr r="BP958" s="14"/>
        <tr r="BP349" s="14"/>
      </tp>
      <tp t="s">
        <v>N/A</v>
        <stp/>
        <stp>STRIKE</stp>
        <stp>.SPXW260123C6901</stp>
        <tr r="BP96" s="14"/>
      </tp>
      <tp t="s">
        <v>N/A</v>
        <stp/>
        <stp>STRIKE</stp>
        <stp>.SPXW000100C6952</stp>
        <tr r="BP1162" s="14"/>
        <tr r="BP756" s="14"/>
        <tr r="BP1568" s="14"/>
        <tr r="BP959" s="14"/>
        <tr r="BP553" s="14"/>
        <tr r="BP350" s="14"/>
        <tr r="BP1365" s="14"/>
      </tp>
      <tp t="s">
        <v>N/A</v>
        <stp/>
        <stp>STRIKE</stp>
        <stp>.SPXW260123C6902</stp>
        <tr r="BP97" s="14"/>
      </tp>
      <tp t="s">
        <v>N/A</v>
        <stp/>
        <stp>STRIKE</stp>
        <stp>.SPXW000100C6953</stp>
        <tr r="BP1569" s="14"/>
        <tr r="BP1366" s="14"/>
        <tr r="BP1163" s="14"/>
        <tr r="BP960" s="14"/>
        <tr r="BP757" s="14"/>
        <tr r="BP554" s="14"/>
        <tr r="BP351" s="14"/>
      </tp>
      <tp t="s">
        <v>N/A</v>
        <stp/>
        <stp>STRIKE</stp>
        <stp>.SPXW260123C6903</stp>
        <tr r="BP98" s="14"/>
      </tp>
      <tp t="s">
        <v>N/A</v>
        <stp/>
        <stp>STRIKE</stp>
        <stp>.SPXW000100C6954</stp>
        <tr r="BP1570" s="14"/>
        <tr r="BP1367" s="14"/>
        <tr r="BP758" s="14"/>
        <tr r="BP1164" s="14"/>
        <tr r="BP961" s="14"/>
        <tr r="BP555" s="14"/>
        <tr r="BP352" s="14"/>
      </tp>
      <tp t="s">
        <v>N/A</v>
        <stp/>
        <stp>STRIKE</stp>
        <stp>.SPXW260123C6904</stp>
        <tr r="BP99" s="14"/>
      </tp>
      <tp t="s">
        <v>N/A</v>
        <stp/>
        <stp>STRIKE</stp>
        <stp>.SPXW000100C6955</stp>
        <tr r="BP353" s="14"/>
        <tr r="BP1165" s="14"/>
        <tr r="BP759" s="14"/>
        <tr r="BP556" s="14"/>
        <tr r="BP1571" s="14"/>
        <tr r="BP1368" s="14"/>
        <tr r="BP962" s="14"/>
      </tp>
      <tp>
        <v>6905</v>
        <stp/>
        <stp>STRIKE</stp>
        <stp>.SPXW260123C6905</stp>
        <tr r="BP100" s="14"/>
      </tp>
      <tp t="s">
        <v>N/A</v>
        <stp/>
        <stp>STRIKE</stp>
        <stp>.SPXW000100C6956</stp>
        <tr r="BP1572" s="14"/>
        <tr r="BP1369" s="14"/>
        <tr r="BP963" s="14"/>
        <tr r="BP1166" s="14"/>
        <tr r="BP760" s="14"/>
        <tr r="BP557" s="14"/>
        <tr r="BP354" s="14"/>
      </tp>
      <tp t="s">
        <v>N/A</v>
        <stp/>
        <stp>STRIKE</stp>
        <stp>.SPXW260123C6906</stp>
        <tr r="BP101" s="14"/>
      </tp>
      <tp t="s">
        <v>N/A</v>
        <stp/>
        <stp>STRIKE</stp>
        <stp>.SPXW000100C6957</stp>
        <tr r="BP1370" s="14"/>
        <tr r="BP761" s="14"/>
        <tr r="BP558" s="14"/>
        <tr r="BP1167" s="14"/>
        <tr r="BP355" s="14"/>
        <tr r="BP1573" s="14"/>
        <tr r="BP964" s="14"/>
      </tp>
      <tp t="s">
        <v>N/A</v>
        <stp/>
        <stp>STRIKE</stp>
        <stp>.SPXW260123C6907</stp>
        <tr r="BP102" s="14"/>
      </tp>
      <tp t="s">
        <v>N/A</v>
        <stp/>
        <stp>STRIKE</stp>
        <stp>.SPXW000100C6958</stp>
        <tr r="BP1371" s="14"/>
        <tr r="BP965" s="14"/>
        <tr r="BP1574" s="14"/>
        <tr r="BP762" s="14"/>
        <tr r="BP1168" s="14"/>
        <tr r="BP559" s="14"/>
        <tr r="BP356" s="14"/>
      </tp>
      <tp t="s">
        <v>N/A</v>
        <stp/>
        <stp>STRIKE</stp>
        <stp>.SPXW260123C6908</stp>
        <tr r="BP103" s="14"/>
      </tp>
      <tp t="s">
        <v>N/A</v>
        <stp/>
        <stp>STRIKE</stp>
        <stp>.SPXW000100C6959</stp>
        <tr r="BP1169" s="14"/>
        <tr r="BP1372" s="14"/>
        <tr r="BP966" s="14"/>
        <tr r="BP1575" s="14"/>
        <tr r="BP763" s="14"/>
        <tr r="BP357" s="14"/>
        <tr r="BP560" s="14"/>
      </tp>
      <tp t="s">
        <v>N/A</v>
        <stp/>
        <stp>STRIKE</stp>
        <stp>.SPXW260123C6909</stp>
        <tr r="BP104" s="14"/>
      </tp>
      <tp t="s">
        <v>N/A</v>
        <stp/>
        <stp>STRIKE</stp>
        <stp>.SPXW000100C6920</stp>
        <tr r="BP1536" s="14"/>
        <tr r="BP724" s="14"/>
        <tr r="BP318" s="14"/>
        <tr r="BP521" s="14"/>
        <tr r="BP927" s="14"/>
        <tr r="BP1333" s="14"/>
        <tr r="BP1130" s="14"/>
      </tp>
      <tp>
        <v>6970</v>
        <stp/>
        <stp>STRIKE</stp>
        <stp>.SPXW260123C6970</stp>
        <tr r="BP165" s="14"/>
      </tp>
      <tp t="s">
        <v>N/A</v>
        <stp/>
        <stp>STRIKE</stp>
        <stp>.SPXW000100C6921</stp>
        <tr r="BP1537" s="14"/>
        <tr r="BP522" s="14"/>
        <tr r="BP1334" s="14"/>
        <tr r="BP1131" s="14"/>
        <tr r="BP725" s="14"/>
        <tr r="BP319" s="14"/>
        <tr r="BP928" s="14"/>
      </tp>
      <tp t="s">
        <v>N/A</v>
        <stp/>
        <stp>STRIKE</stp>
        <stp>.SPXW260123C6971</stp>
        <tr r="BP166" s="14"/>
      </tp>
      <tp t="s">
        <v>N/A</v>
        <stp/>
        <stp>STRIKE</stp>
        <stp>.SPXW000100C6922</stp>
        <tr r="BP1538" s="14"/>
        <tr r="BP523" s="14"/>
        <tr r="BP726" s="14"/>
        <tr r="BP1335" s="14"/>
        <tr r="BP929" s="14"/>
        <tr r="BP1132" s="14"/>
        <tr r="BP320" s="14"/>
      </tp>
      <tp t="s">
        <v>N/A</v>
        <stp/>
        <stp>STRIKE</stp>
        <stp>.SPXW260123C6972</stp>
        <tr r="BP167" s="14"/>
      </tp>
      <tp t="s">
        <v>N/A</v>
        <stp/>
        <stp>STRIKE</stp>
        <stp>.SPXW000100C6923</stp>
        <tr r="BP1539" s="14"/>
        <tr r="BP727" s="14"/>
        <tr r="BP1336" s="14"/>
        <tr r="BP524" s="14"/>
        <tr r="BP930" s="14"/>
        <tr r="BP1133" s="14"/>
        <tr r="BP321" s="14"/>
      </tp>
      <tp t="s">
        <v>N/A</v>
        <stp/>
        <stp>STRIKE</stp>
        <stp>.SPXW260123C6973</stp>
        <tr r="BP168" s="14"/>
      </tp>
      <tp t="s">
        <v>N/A</v>
        <stp/>
        <stp>STRIKE</stp>
        <stp>.SPXW000100C6924</stp>
        <tr r="BP1540" s="14"/>
        <tr r="BP1337" s="14"/>
        <tr r="BP1134" s="14"/>
        <tr r="BP728" s="14"/>
        <tr r="BP525" s="14"/>
        <tr r="BP322" s="14"/>
        <tr r="BP931" s="14"/>
      </tp>
      <tp t="s">
        <v>N/A</v>
        <stp/>
        <stp>STRIKE</stp>
        <stp>.SPXW260123C6974</stp>
        <tr r="BP169" s="14"/>
      </tp>
      <tp t="s">
        <v>N/A</v>
        <stp/>
        <stp>STRIKE</stp>
        <stp>.SPXW000100C6925</stp>
        <tr r="BP932" s="14"/>
        <tr r="BP1541" s="14"/>
        <tr r="BP1338" s="14"/>
        <tr r="BP729" s="14"/>
        <tr r="BP1135" s="14"/>
        <tr r="BP526" s="14"/>
        <tr r="BP323" s="14"/>
      </tp>
      <tp>
        <v>6975</v>
        <stp/>
        <stp>STRIKE</stp>
        <stp>.SPXW260123C6975</stp>
        <tr r="BP170" s="14"/>
      </tp>
      <tp t="s">
        <v>N/A</v>
        <stp/>
        <stp>STRIKE</stp>
        <stp>.SPXW000100C6926</stp>
        <tr r="BP1542" s="14"/>
        <tr r="BP527" s="14"/>
        <tr r="BP1136" s="14"/>
        <tr r="BP1339" s="14"/>
        <tr r="BP730" s="14"/>
        <tr r="BP324" s="14"/>
        <tr r="BP933" s="14"/>
      </tp>
      <tp t="s">
        <v>N/A</v>
        <stp/>
        <stp>STRIKE</stp>
        <stp>.SPXW260123C6976</stp>
        <tr r="BP171" s="14"/>
      </tp>
      <tp t="s">
        <v>N/A</v>
        <stp/>
        <stp>STRIKE</stp>
        <stp>.SPXW000100C6927</stp>
        <tr r="BP528" s="14"/>
        <tr r="BP1543" s="14"/>
        <tr r="BP1340" s="14"/>
        <tr r="BP934" s="14"/>
        <tr r="BP1137" s="14"/>
        <tr r="BP731" s="14"/>
        <tr r="BP325" s="14"/>
      </tp>
      <tp t="s">
        <v>N/A</v>
        <stp/>
        <stp>STRIKE</stp>
        <stp>.SPXW260123C6977</stp>
        <tr r="BP172" s="14"/>
      </tp>
      <tp t="s">
        <v>N/A</v>
        <stp/>
        <stp>STRIKE</stp>
        <stp>.SPXW000100C6928</stp>
        <tr r="BP1544" s="14"/>
        <tr r="BP1341" s="14"/>
        <tr r="BP529" s="14"/>
        <tr r="BP1138" s="14"/>
        <tr r="BP935" s="14"/>
        <tr r="BP326" s="14"/>
        <tr r="BP732" s="14"/>
      </tp>
      <tp t="s">
        <v>N/A</v>
        <stp/>
        <stp>STRIKE</stp>
        <stp>.SPXW260123C6978</stp>
        <tr r="BP173" s="14"/>
      </tp>
      <tp t="s">
        <v>N/A</v>
        <stp/>
        <stp>STRIKE</stp>
        <stp>.SPXW000100C6929</stp>
        <tr r="BP327" s="14"/>
        <tr r="BP1139" s="14"/>
        <tr r="BP1342" s="14"/>
        <tr r="BP936" s="14"/>
        <tr r="BP530" s="14"/>
        <tr r="BP1545" s="14"/>
        <tr r="BP733" s="14"/>
      </tp>
      <tp t="s">
        <v>N/A</v>
        <stp/>
        <stp>STRIKE</stp>
        <stp>.SPXW260123C6979</stp>
        <tr r="BP174" s="14"/>
      </tp>
      <tp t="s">
        <v>N/A</v>
        <stp/>
        <stp>STRIKE</stp>
        <stp>.SPXW000100C6930</stp>
        <tr r="BP1343" s="14"/>
        <tr r="BP531" s="14"/>
        <tr r="BP1546" s="14"/>
        <tr r="BP1140" s="14"/>
        <tr r="BP937" s="14"/>
        <tr r="BP734" s="14"/>
        <tr r="BP328" s="14"/>
      </tp>
      <tp>
        <v>6960</v>
        <stp/>
        <stp>STRIKE</stp>
        <stp>.SPXW260123C6960</stp>
        <tr r="BP155" s="14"/>
      </tp>
      <tp t="s">
        <v>N/A</v>
        <stp/>
        <stp>STRIKE</stp>
        <stp>.SPXW000100C6931</stp>
        <tr r="BP1547" s="14"/>
        <tr r="BP532" s="14"/>
        <tr r="BP1141" s="14"/>
        <tr r="BP329" s="14"/>
        <tr r="BP1344" s="14"/>
        <tr r="BP938" s="14"/>
        <tr r="BP735" s="14"/>
      </tp>
      <tp t="s">
        <v>N/A</v>
        <stp/>
        <stp>STRIKE</stp>
        <stp>.SPXW260123C6961</stp>
        <tr r="BP156" s="14"/>
      </tp>
      <tp t="s">
        <v>N/A</v>
        <stp/>
        <stp>STRIKE</stp>
        <stp>.SPXW000100C6932</stp>
        <tr r="BP1548" s="14"/>
        <tr r="BP736" s="14"/>
        <tr r="BP533" s="14"/>
        <tr r="BP1142" s="14"/>
        <tr r="BP1345" s="14"/>
        <tr r="BP939" s="14"/>
        <tr r="BP330" s="14"/>
      </tp>
      <tp t="s">
        <v>N/A</v>
        <stp/>
        <stp>STRIKE</stp>
        <stp>.SPXW260123C6962</stp>
        <tr r="BP157" s="14"/>
      </tp>
      <tp t="s">
        <v>N/A</v>
        <stp/>
        <stp>STRIKE</stp>
        <stp>.SPXW000100C6933</stp>
        <tr r="BP534" s="14"/>
        <tr r="BP1549" s="14"/>
        <tr r="BP1346" s="14"/>
        <tr r="BP940" s="14"/>
        <tr r="BP737" s="14"/>
        <tr r="BP1143" s="14"/>
        <tr r="BP331" s="14"/>
      </tp>
      <tp t="s">
        <v>N/A</v>
        <stp/>
        <stp>STRIKE</stp>
        <stp>.SPXW260123C6963</stp>
        <tr r="BP158" s="14"/>
      </tp>
      <tp t="s">
        <v>N/A</v>
        <stp/>
        <stp>STRIKE</stp>
        <stp>.SPXW000100C6934</stp>
        <tr r="BP535" s="14"/>
        <tr r="BP941" s="14"/>
        <tr r="BP1347" s="14"/>
        <tr r="BP1144" s="14"/>
        <tr r="BP1550" s="14"/>
        <tr r="BP738" s="14"/>
        <tr r="BP332" s="14"/>
      </tp>
      <tp t="s">
        <v>N/A</v>
        <stp/>
        <stp>STRIKE</stp>
        <stp>.SPXW260123C6964</stp>
        <tr r="BP159" s="14"/>
      </tp>
      <tp t="s">
        <v>N/A</v>
        <stp/>
        <stp>STRIKE</stp>
        <stp>.SPXW000100C6935</stp>
        <tr r="BP1348" s="14"/>
        <tr r="BP942" s="14"/>
        <tr r="BP536" s="14"/>
        <tr r="BP333" s="14"/>
        <tr r="BP739" s="14"/>
        <tr r="BP1145" s="14"/>
        <tr r="BP1551" s="14"/>
      </tp>
      <tp>
        <v>6965</v>
        <stp/>
        <stp>STRIKE</stp>
        <stp>.SPXW260123C6965</stp>
        <tr r="BP160" s="14"/>
      </tp>
      <tp t="s">
        <v>N/A</v>
        <stp/>
        <stp>STRIKE</stp>
        <stp>.SPXW000100C6936</stp>
        <tr r="BP740" s="14"/>
        <tr r="BP1349" s="14"/>
        <tr r="BP537" s="14"/>
        <tr r="BP1146" s="14"/>
        <tr r="BP1552" s="14"/>
        <tr r="BP943" s="14"/>
        <tr r="BP334" s="14"/>
      </tp>
      <tp t="s">
        <v>N/A</v>
        <stp/>
        <stp>STRIKE</stp>
        <stp>.SPXW260123C6966</stp>
        <tr r="BP161" s="14"/>
      </tp>
      <tp t="s">
        <v>N/A</v>
        <stp/>
        <stp>STRIKE</stp>
        <stp>.SPXW000100C6937</stp>
        <tr r="BP1553" s="14"/>
        <tr r="BP1147" s="14"/>
        <tr r="BP741" s="14"/>
        <tr r="BP335" s="14"/>
        <tr r="BP1350" s="14"/>
        <tr r="BP944" s="14"/>
        <tr r="BP538" s="14"/>
      </tp>
      <tp t="s">
        <v>N/A</v>
        <stp/>
        <stp>STRIKE</stp>
        <stp>.SPXW260123C6967</stp>
        <tr r="BP162" s="14"/>
      </tp>
      <tp t="s">
        <v>N/A</v>
        <stp/>
        <stp>STRIKE</stp>
        <stp>.SPXW000100C6938</stp>
        <tr r="BP1554" s="14"/>
        <tr r="BP742" s="14"/>
        <tr r="BP1351" s="14"/>
        <tr r="BP336" s="14"/>
        <tr r="BP539" s="14"/>
        <tr r="BP1148" s="14"/>
        <tr r="BP945" s="14"/>
      </tp>
      <tp t="s">
        <v>N/A</v>
        <stp/>
        <stp>STRIKE</stp>
        <stp>.SPXW260123C6968</stp>
        <tr r="BP163" s="14"/>
      </tp>
      <tp t="s">
        <v>N/A</v>
        <stp/>
        <stp>STRIKE</stp>
        <stp>.SPXW000100C6939</stp>
        <tr r="BP1555" s="14"/>
        <tr r="BP946" s="14"/>
        <tr r="BP540" s="14"/>
        <tr r="BP1352" s="14"/>
        <tr r="BP743" s="14"/>
        <tr r="BP337" s="14"/>
        <tr r="BP1149" s="14"/>
      </tp>
      <tp t="s">
        <v>N/A</v>
        <stp/>
        <stp>STRIKE</stp>
        <stp>.SPXW260123C6969</stp>
        <tr r="BP164" s="14"/>
      </tp>
      <tp t="s">
        <v>N/A</v>
        <stp/>
        <stp>STRIKE</stp>
        <stp>.SPXW000100C6900</stp>
        <tr r="BP501" s="14"/>
        <tr r="BP1313" s="14"/>
        <tr r="BP1110" s="14"/>
        <tr r="BP907" s="14"/>
        <tr r="BP1516" s="14"/>
        <tr r="BP704" s="14"/>
        <tr r="BP298" s="14"/>
      </tp>
      <tp>
        <v>6950</v>
        <stp/>
        <stp>STRIKE</stp>
        <stp>.SPXW260123C6950</stp>
        <tr r="BP145" s="14"/>
      </tp>
      <tp t="s">
        <v>N/A</v>
        <stp/>
        <stp>STRIKE</stp>
        <stp>.SPXW000100C6901</stp>
        <tr r="BP1517" s="14"/>
        <tr r="BP1111" s="14"/>
        <tr r="BP502" s="14"/>
        <tr r="BP1314" s="14"/>
        <tr r="BP908" s="14"/>
        <tr r="BP705" s="14"/>
        <tr r="BP299" s="14"/>
      </tp>
      <tp t="s">
        <v>N/A</v>
        <stp/>
        <stp>STRIKE</stp>
        <stp>.SPXW260123C6951</stp>
        <tr r="BP146" s="14"/>
      </tp>
      <tp t="s">
        <v>N/A</v>
        <stp/>
        <stp>STRIKE</stp>
        <stp>.SPXW000100C6902</stp>
        <tr r="BP1518" s="14"/>
        <tr r="BP1315" s="14"/>
        <tr r="BP706" s="14"/>
        <tr r="BP1112" s="14"/>
        <tr r="BP909" s="14"/>
        <tr r="BP503" s="14"/>
        <tr r="BP300" s="14"/>
      </tp>
      <tp t="s">
        <v>N/A</v>
        <stp/>
        <stp>STRIKE</stp>
        <stp>.SPXW260123C6952</stp>
        <tr r="BP147" s="14"/>
      </tp>
      <tp t="s">
        <v>N/A</v>
        <stp/>
        <stp>STRIKE</stp>
        <stp>.SPXW000100C6903</stp>
        <tr r="BP910" s="14"/>
        <tr r="BP1316" s="14"/>
        <tr r="BP504" s="14"/>
        <tr r="BP1113" s="14"/>
        <tr r="BP707" s="14"/>
        <tr r="BP301" s="14"/>
        <tr r="BP1519" s="14"/>
      </tp>
      <tp t="s">
        <v>N/A</v>
        <stp/>
        <stp>STRIKE</stp>
        <stp>.SPXW260123C6953</stp>
        <tr r="BP148" s="14"/>
      </tp>
      <tp t="s">
        <v>N/A</v>
        <stp/>
        <stp>STRIKE</stp>
        <stp>.SPXW000100C6904</stp>
        <tr r="BP708" s="14"/>
        <tr r="BP505" s="14"/>
        <tr r="BP1520" s="14"/>
        <tr r="BP1317" s="14"/>
        <tr r="BP1114" s="14"/>
        <tr r="BP911" s="14"/>
        <tr r="BP302" s="14"/>
      </tp>
      <tp t="s">
        <v>N/A</v>
        <stp/>
        <stp>STRIKE</stp>
        <stp>.SPXW260123C6954</stp>
        <tr r="BP149" s="14"/>
      </tp>
      <tp t="s">
        <v>N/A</v>
        <stp/>
        <stp>STRIKE</stp>
        <stp>.SPXW000100C6905</stp>
        <tr r="BP1318" s="14"/>
        <tr r="BP1521" s="14"/>
        <tr r="BP1115" s="14"/>
        <tr r="BP912" s="14"/>
        <tr r="BP709" s="14"/>
        <tr r="BP303" s="14"/>
        <tr r="BP506" s="14"/>
      </tp>
      <tp>
        <v>6955</v>
        <stp/>
        <stp>STRIKE</stp>
        <stp>.SPXW260123C6955</stp>
        <tr r="BP150" s="14"/>
      </tp>
      <tp t="s">
        <v>N/A</v>
        <stp/>
        <stp>STRIKE</stp>
        <stp>.SPXW000100C6906</stp>
        <tr r="BP1116" s="14"/>
        <tr r="BP1319" s="14"/>
        <tr r="BP710" s="14"/>
        <tr r="BP507" s="14"/>
        <tr r="BP1522" s="14"/>
        <tr r="BP913" s="14"/>
        <tr r="BP304" s="14"/>
      </tp>
      <tp t="s">
        <v>N/A</v>
        <stp/>
        <stp>STRIKE</stp>
        <stp>.SPXW260123C6956</stp>
        <tr r="BP151" s="14"/>
      </tp>
      <tp t="s">
        <v>N/A</v>
        <stp/>
        <stp>STRIKE</stp>
        <stp>.SPXW000100C6907</stp>
        <tr r="BP711" s="14"/>
        <tr r="BP1523" s="14"/>
        <tr r="BP1117" s="14"/>
        <tr r="BP508" s="14"/>
        <tr r="BP1320" s="14"/>
        <tr r="BP914" s="14"/>
        <tr r="BP305" s="14"/>
      </tp>
      <tp t="s">
        <v>N/A</v>
        <stp/>
        <stp>STRIKE</stp>
        <stp>.SPXW260123C6957</stp>
        <tr r="BP152" s="14"/>
      </tp>
      <tp t="s">
        <v>N/A</v>
        <stp/>
        <stp>STRIKE</stp>
        <stp>.SPXW000100C6908</stp>
        <tr r="BP306" s="14"/>
        <tr r="BP1118" s="14"/>
        <tr r="BP915" s="14"/>
        <tr r="BP712" s="14"/>
        <tr r="BP1321" s="14"/>
        <tr r="BP509" s="14"/>
        <tr r="BP1524" s="14"/>
      </tp>
      <tp t="s">
        <v>N/A</v>
        <stp/>
        <stp>STRIKE</stp>
        <stp>.SPXW260123C6958</stp>
        <tr r="BP153" s="14"/>
      </tp>
      <tp t="s">
        <v>N/A</v>
        <stp/>
        <stp>STRIKE</stp>
        <stp>.SPXW000100C6909</stp>
        <tr r="BP1322" s="14"/>
        <tr r="BP1119" s="14"/>
        <tr r="BP307" s="14"/>
        <tr r="BP713" s="14"/>
        <tr r="BP510" s="14"/>
        <tr r="BP916" s="14"/>
        <tr r="BP1525" s="14"/>
      </tp>
      <tp t="s">
        <v>N/A</v>
        <stp/>
        <stp>STRIKE</stp>
        <stp>.SPXW260123C6959</stp>
        <tr r="BP154" s="14"/>
      </tp>
      <tp t="s">
        <v>N/A</v>
        <stp/>
        <stp>STRIKE</stp>
        <stp>.SPXW000100C6910</stp>
        <tr r="BP308" s="14"/>
        <tr r="BP1323" s="14"/>
        <tr r="BP511" s="14"/>
        <tr r="BP917" s="14"/>
        <tr r="BP1526" s="14"/>
        <tr r="BP1120" s="14"/>
        <tr r="BP714" s="14"/>
      </tp>
      <tp>
        <v>6940</v>
        <stp/>
        <stp>STRIKE</stp>
        <stp>.SPXW260123C6940</stp>
        <tr r="BP135" s="14"/>
      </tp>
      <tp t="s">
        <v>N/A</v>
        <stp/>
        <stp>STRIKE</stp>
        <stp>.SPXW000100C6911</stp>
        <tr r="BP918" s="14"/>
        <tr r="BP512" s="14"/>
        <tr r="BP1324" s="14"/>
        <tr r="BP1527" s="14"/>
        <tr r="BP309" s="14"/>
        <tr r="BP1121" s="14"/>
        <tr r="BP715" s="14"/>
      </tp>
      <tp t="s">
        <v>N/A</v>
        <stp/>
        <stp>STRIKE</stp>
        <stp>.SPXW260123C6941</stp>
        <tr r="BP136" s="14"/>
      </tp>
      <tp t="s">
        <v>N/A</v>
        <stp/>
        <stp>STRIKE</stp>
        <stp>.SPXW000100C6912</stp>
        <tr r="BP1325" s="14"/>
        <tr r="BP310" s="14"/>
        <tr r="BP1122" s="14"/>
        <tr r="BP716" s="14"/>
        <tr r="BP919" s="14"/>
        <tr r="BP513" s="14"/>
        <tr r="BP1528" s="14"/>
      </tp>
      <tp t="s">
        <v>N/A</v>
        <stp/>
        <stp>STRIKE</stp>
        <stp>.SPXW260123C6942</stp>
        <tr r="BP137" s="14"/>
      </tp>
      <tp t="s">
        <v>N/A</v>
        <stp/>
        <stp>STRIKE</stp>
        <stp>.SPXW000100C6913</stp>
        <tr r="BP1326" s="14"/>
        <tr r="BP920" s="14"/>
        <tr r="BP514" s="14"/>
        <tr r="BP1123" s="14"/>
        <tr r="BP717" s="14"/>
        <tr r="BP311" s="14"/>
        <tr r="BP1529" s="14"/>
      </tp>
      <tp t="s">
        <v>N/A</v>
        <stp/>
        <stp>STRIKE</stp>
        <stp>.SPXW260123C6943</stp>
        <tr r="BP138" s="14"/>
      </tp>
      <tp t="s">
        <v>N/A</v>
        <stp/>
        <stp>STRIKE</stp>
        <stp>.SPXW000100C6914</stp>
        <tr r="BP718" s="14"/>
        <tr r="BP1530" s="14"/>
        <tr r="BP1327" s="14"/>
        <tr r="BP1124" s="14"/>
        <tr r="BP921" s="14"/>
        <tr r="BP515" s="14"/>
        <tr r="BP312" s="14"/>
      </tp>
      <tp t="s">
        <v>N/A</v>
        <stp/>
        <stp>STRIKE</stp>
        <stp>.SPXW260123C6944</stp>
        <tr r="BP139" s="14"/>
      </tp>
      <tp t="s">
        <v>N/A</v>
        <stp/>
        <stp>STRIKE</stp>
        <stp>.SPXW000100C6915</stp>
        <tr r="BP1531" s="14"/>
        <tr r="BP1328" s="14"/>
        <tr r="BP516" s="14"/>
        <tr r="BP1125" s="14"/>
        <tr r="BP313" s="14"/>
        <tr r="BP922" s="14"/>
        <tr r="BP719" s="14"/>
      </tp>
      <tp>
        <v>6945</v>
        <stp/>
        <stp>STRIKE</stp>
        <stp>.SPXW260123C6945</stp>
        <tr r="BP140" s="14"/>
      </tp>
      <tp t="s">
        <v>N/A</v>
        <stp/>
        <stp>STRIKE</stp>
        <stp>.SPXW000100C6916</stp>
        <tr r="BP1329" s="14"/>
        <tr r="BP1126" s="14"/>
        <tr r="BP314" s="14"/>
        <tr r="BP517" s="14"/>
        <tr r="BP1532" s="14"/>
        <tr r="BP923" s="14"/>
        <tr r="BP720" s="14"/>
      </tp>
      <tp t="s">
        <v>N/A</v>
        <stp/>
        <stp>STRIKE</stp>
        <stp>.SPXW260123C6946</stp>
        <tr r="BP141" s="14"/>
      </tp>
      <tp t="s">
        <v>N/A</v>
        <stp/>
        <stp>STRIKE</stp>
        <stp>.SPXW000100C6917</stp>
        <tr r="BP721" s="14"/>
        <tr r="BP518" s="14"/>
        <tr r="BP1330" s="14"/>
        <tr r="BP1127" s="14"/>
        <tr r="BP1533" s="14"/>
        <tr r="BP924" s="14"/>
        <tr r="BP315" s="14"/>
      </tp>
      <tp t="s">
        <v>N/A</v>
        <stp/>
        <stp>STRIKE</stp>
        <stp>.SPXW260123C6947</stp>
        <tr r="BP142" s="14"/>
      </tp>
      <tp t="s">
        <v>N/A</v>
        <stp/>
        <stp>STRIKE</stp>
        <stp>.SPXW000100C6918</stp>
        <tr r="BP519" s="14"/>
        <tr r="BP1534" s="14"/>
        <tr r="BP925" s="14"/>
        <tr r="BP722" s="14"/>
        <tr r="BP1128" s="14"/>
        <tr r="BP1331" s="14"/>
        <tr r="BP316" s="14"/>
      </tp>
      <tp t="s">
        <v>N/A</v>
        <stp/>
        <stp>STRIKE</stp>
        <stp>.SPXW260123C6948</stp>
        <tr r="BP143" s="14"/>
      </tp>
      <tp t="s">
        <v>N/A</v>
        <stp/>
        <stp>STRIKE</stp>
        <stp>.SPXW000100C6919</stp>
        <tr r="BP1535" s="14"/>
        <tr r="BP1129" s="14"/>
        <tr r="BP317" s="14"/>
        <tr r="BP926" s="14"/>
        <tr r="BP520" s="14"/>
        <tr r="BP1332" s="14"/>
        <tr r="BP723" s="14"/>
      </tp>
      <tp t="s">
        <v>N/A</v>
        <stp/>
        <stp>STRIKE</stp>
        <stp>.SPXW260123C6949</stp>
        <tr r="BP144" s="14"/>
      </tp>
      <tp>
        <v>6990</v>
        <stp/>
        <stp>STRIKE</stp>
        <stp>.SPXW260123C6990</stp>
        <tr r="BP185" s="14"/>
      </tp>
      <tp t="s">
        <v>N/A</v>
        <stp/>
        <stp>STRIKE</stp>
        <stp>.SPXW260123C6991</stp>
        <tr r="BP186" s="14"/>
      </tp>
      <tp t="s">
        <v>N/A</v>
        <stp/>
        <stp>STRIKE</stp>
        <stp>.SPXW260123C6992</stp>
        <tr r="BP187" s="14"/>
      </tp>
      <tp t="s">
        <v>N/A</v>
        <stp/>
        <stp>STRIKE</stp>
        <stp>.SPXW260123C6993</stp>
        <tr r="BP188" s="14"/>
      </tp>
      <tp t="s">
        <v>N/A</v>
        <stp/>
        <stp>STRIKE</stp>
        <stp>.SPXW260123C6994</stp>
        <tr r="BP189" s="14"/>
      </tp>
      <tp>
        <v>6995</v>
        <stp/>
        <stp>STRIKE</stp>
        <stp>.SPXW260123C6995</stp>
        <tr r="BP190" s="14"/>
      </tp>
      <tp t="s">
        <v>N/A</v>
        <stp/>
        <stp>STRIKE</stp>
        <stp>.SPXW260123C6996</stp>
        <tr r="BP191" s="14"/>
      </tp>
      <tp t="s">
        <v>N/A</v>
        <stp/>
        <stp>STRIKE</stp>
        <stp>.SPXW260123C6997</stp>
        <tr r="BP192" s="14"/>
      </tp>
      <tp t="s">
        <v>N/A</v>
        <stp/>
        <stp>STRIKE</stp>
        <stp>.SPXW260123C6998</stp>
        <tr r="BP193" s="14"/>
      </tp>
      <tp t="s">
        <v>N/A</v>
        <stp/>
        <stp>STRIKE</stp>
        <stp>.SPXW260123C6999</stp>
        <tr r="BP194" s="14"/>
      </tp>
      <tp>
        <v>6980</v>
        <stp/>
        <stp>STRIKE</stp>
        <stp>.SPXW260123C6980</stp>
        <tr r="BP175" s="14"/>
      </tp>
      <tp t="s">
        <v>N/A</v>
        <stp/>
        <stp>STRIKE</stp>
        <stp>.SPXW260123C6981</stp>
        <tr r="BP176" s="14"/>
      </tp>
      <tp t="s">
        <v>N/A</v>
        <stp/>
        <stp>STRIKE</stp>
        <stp>.SPXW260123C6982</stp>
        <tr r="BP177" s="14"/>
      </tp>
      <tp t="s">
        <v>N/A</v>
        <stp/>
        <stp>STRIKE</stp>
        <stp>.SPXW260123C6983</stp>
        <tr r="BP178" s="14"/>
      </tp>
      <tp t="s">
        <v>N/A</v>
        <stp/>
        <stp>STRIKE</stp>
        <stp>.SPXW260123C6984</stp>
        <tr r="BP179" s="14"/>
      </tp>
      <tp>
        <v>6985</v>
        <stp/>
        <stp>STRIKE</stp>
        <stp>.SPXW260123C6985</stp>
        <tr r="BP180" s="14"/>
      </tp>
      <tp t="s">
        <v>N/A</v>
        <stp/>
        <stp>STRIKE</stp>
        <stp>.SPXW260123C6986</stp>
        <tr r="BP181" s="14"/>
      </tp>
      <tp t="s">
        <v>N/A</v>
        <stp/>
        <stp>STRIKE</stp>
        <stp>.SPXW260123C6987</stp>
        <tr r="BP182" s="14"/>
      </tp>
      <tp t="s">
        <v>N/A</v>
        <stp/>
        <stp>STRIKE</stp>
        <stp>.SPXW260123C6988</stp>
        <tr r="BP183" s="14"/>
      </tp>
      <tp t="s">
        <v>N/A</v>
        <stp/>
        <stp>STRIKE</stp>
        <stp>.SPXW260123C6989</stp>
        <tr r="BP184" s="14"/>
      </tp>
      <tp t="s">
        <v>N/A</v>
        <stp/>
        <stp>STRIKE</stp>
        <stp>.SPXW000100C6980</stp>
        <tr r="BP1596" s="14"/>
        <tr r="BP581" s="14"/>
        <tr r="BP1190" s="14"/>
        <tr r="BP784" s="14"/>
        <tr r="BP1393" s="14"/>
        <tr r="BP987" s="14"/>
        <tr r="BP378" s="14"/>
      </tp>
      <tp t="s">
        <v>N/A</v>
        <stp/>
        <stp>STRIKE</stp>
        <stp>.SPXW000100C6981</stp>
        <tr r="BP1394" s="14"/>
        <tr r="BP1191" s="14"/>
        <tr r="BP988" s="14"/>
        <tr r="BP1597" s="14"/>
        <tr r="BP785" s="14"/>
        <tr r="BP582" s="14"/>
        <tr r="BP379" s="14"/>
      </tp>
      <tp t="s">
        <v>N/A</v>
        <stp/>
        <stp>STRIKE</stp>
        <stp>.SPXW000100C6982</stp>
        <tr r="BP1598" s="14"/>
        <tr r="BP1192" s="14"/>
        <tr r="BP786" s="14"/>
        <tr r="BP1395" s="14"/>
        <tr r="BP583" s="14"/>
        <tr r="BP380" s="14"/>
        <tr r="BP989" s="14"/>
      </tp>
      <tp t="s">
        <v>N/A</v>
        <stp/>
        <stp>STRIKE</stp>
        <stp>.SPXW000100C6983</stp>
        <tr r="BP584" s="14"/>
        <tr r="BP381" s="14"/>
        <tr r="BP990" s="14"/>
        <tr r="BP1599" s="14"/>
        <tr r="BP1396" s="14"/>
        <tr r="BP787" s="14"/>
        <tr r="BP1193" s="14"/>
      </tp>
      <tp t="s">
        <v>N/A</v>
        <stp/>
        <stp>STRIKE</stp>
        <stp>.SPXW000100C6984</stp>
        <tr r="BP991" s="14"/>
        <tr r="BP382" s="14"/>
        <tr r="BP788" s="14"/>
        <tr r="BP1600" s="14"/>
        <tr r="BP1397" s="14"/>
        <tr r="BP1194" s="14"/>
        <tr r="BP585" s="14"/>
      </tp>
      <tp t="s">
        <v>N/A</v>
        <stp/>
        <stp>STRIKE</stp>
        <stp>.SPXW000100C6985</stp>
        <tr r="BP789" s="14"/>
        <tr r="BP586" s="14"/>
        <tr r="BP1601" s="14"/>
        <tr r="BP1398" s="14"/>
        <tr r="BP992" s="14"/>
        <tr r="BP1195" s="14"/>
        <tr r="BP383" s="14"/>
      </tp>
      <tp t="s">
        <v>N/A</v>
        <stp/>
        <stp>STRIKE</stp>
        <stp>.SPXW000100C6986</stp>
        <tr r="BP1196" s="14"/>
        <tr r="BP1602" s="14"/>
        <tr r="BP1399" s="14"/>
        <tr r="BP993" s="14"/>
        <tr r="BP790" s="14"/>
        <tr r="BP587" s="14"/>
        <tr r="BP384" s="14"/>
      </tp>
      <tp t="s">
        <v>N/A</v>
        <stp/>
        <stp>STRIKE</stp>
        <stp>.SPXW000100C6987</stp>
        <tr r="BP1400" s="14"/>
        <tr r="BP385" s="14"/>
        <tr r="BP1603" s="14"/>
        <tr r="BP1197" s="14"/>
        <tr r="BP994" s="14"/>
        <tr r="BP588" s="14"/>
        <tr r="BP791" s="14"/>
      </tp>
      <tp t="s">
        <v>N/A</v>
        <stp/>
        <stp>STRIKE</stp>
        <stp>.SPXW000100C6988</stp>
        <tr r="BP1401" s="14"/>
        <tr r="BP1198" s="14"/>
        <tr r="BP995" s="14"/>
        <tr r="BP792" s="14"/>
        <tr r="BP589" s="14"/>
        <tr r="BP1604" s="14"/>
        <tr r="BP386" s="14"/>
      </tp>
      <tp t="s">
        <v>N/A</v>
        <stp/>
        <stp>STRIKE</stp>
        <stp>.SPXW000100C6989</stp>
        <tr r="BP590" s="14"/>
        <tr r="BP387" s="14"/>
        <tr r="BP1402" s="14"/>
        <tr r="BP996" s="14"/>
        <tr r="BP793" s="14"/>
        <tr r="BP1199" s="14"/>
        <tr r="BP1605" s="14"/>
      </tp>
      <tp t="s">
        <v>N/A</v>
        <stp/>
        <stp>STRIKE</stp>
        <stp>.SPXW000100C6990</stp>
        <tr r="BP1403" s="14"/>
        <tr r="BP1606" s="14"/>
        <tr r="BP1200" s="14"/>
        <tr r="BP997" s="14"/>
        <tr r="BP794" s="14"/>
        <tr r="BP591" s="14"/>
        <tr r="BP388" s="14"/>
      </tp>
      <tp t="s">
        <v>N/A</v>
        <stp/>
        <stp>STRIKE</stp>
        <stp>.SPXW000100C6991</stp>
        <tr r="BP795" s="14"/>
        <tr r="BP389" s="14"/>
        <tr r="BP1404" s="14"/>
        <tr r="BP1201" s="14"/>
        <tr r="BP592" s="14"/>
        <tr r="BP1607" s="14"/>
        <tr r="BP998" s="14"/>
      </tp>
      <tp t="s">
        <v>N/A</v>
        <stp/>
        <stp>STRIKE</stp>
        <stp>.SPXW000100C6992</stp>
        <tr r="BP999" s="14"/>
        <tr r="BP1608" s="14"/>
        <tr r="BP1405" s="14"/>
        <tr r="BP593" s="14"/>
        <tr r="BP390" s="14"/>
        <tr r="BP796" s="14"/>
        <tr r="BP1202" s="14"/>
      </tp>
      <tp t="s">
        <v>N/A</v>
        <stp/>
        <stp>STRIKE</stp>
        <stp>.SPXW000100C6993</stp>
        <tr r="BP797" s="14"/>
        <tr r="BP594" s="14"/>
        <tr r="BP1406" s="14"/>
        <tr r="BP1609" s="14"/>
        <tr r="BP1000" s="14"/>
        <tr r="BP391" s="14"/>
        <tr r="BP1203" s="14"/>
      </tp>
      <tp t="s">
        <v>N/A</v>
        <stp/>
        <stp>STRIKE</stp>
        <stp>.SPXW000100C6994</stp>
        <tr r="BP595" s="14"/>
        <tr r="BP1407" s="14"/>
        <tr r="BP1204" s="14"/>
        <tr r="BP798" s="14"/>
        <tr r="BP1001" s="14"/>
        <tr r="BP1610" s="14"/>
        <tr r="BP392" s="14"/>
      </tp>
      <tp t="s">
        <v>N/A</v>
        <stp/>
        <stp>STRIKE</stp>
        <stp>.SPXW000100C6995</stp>
        <tr r="BP596" s="14"/>
        <tr r="BP1002" s="14"/>
        <tr r="BP799" s="14"/>
        <tr r="BP1611" s="14"/>
        <tr r="BP1205" s="14"/>
        <tr r="BP1408" s="14"/>
        <tr r="BP393" s="14"/>
      </tp>
      <tp t="s">
        <v>N/A</v>
        <stp/>
        <stp>STRIKE</stp>
        <stp>.SPXW000100C6996</stp>
        <tr r="BP1612" s="14"/>
        <tr r="BP1003" s="14"/>
        <tr r="BP1409" s="14"/>
        <tr r="BP597" s="14"/>
        <tr r="BP800" s="14"/>
        <tr r="BP1206" s="14"/>
        <tr r="BP394" s="14"/>
      </tp>
      <tp t="s">
        <v>N/A</v>
        <stp/>
        <stp>STRIKE</stp>
        <stp>.SPXW000100C6997</stp>
        <tr r="BP1613" s="14"/>
        <tr r="BP1207" s="14"/>
        <tr r="BP598" s="14"/>
        <tr r="BP395" s="14"/>
        <tr r="BP1004" s="14"/>
        <tr r="BP1410" s="14"/>
        <tr r="BP801" s="14"/>
      </tp>
      <tp t="s">
        <v>N/A</v>
        <stp/>
        <stp>STRIKE</stp>
        <stp>.SPXW000100C6998</stp>
        <tr r="BP802" s="14"/>
        <tr r="BP1208" s="14"/>
        <tr r="BP396" s="14"/>
        <tr r="BP1005" s="14"/>
        <tr r="BP1411" s="14"/>
        <tr r="BP599" s="14"/>
        <tr r="BP1614" s="14"/>
      </tp>
      <tp t="s">
        <v>N/A</v>
        <stp/>
        <stp>STRIKE</stp>
        <stp>.SPXW000100C6999</stp>
        <tr r="BP600" s="14"/>
        <tr r="BP1615" s="14"/>
        <tr r="BP1006" s="14"/>
        <tr r="BP1412" s="14"/>
        <tr r="BP803" s="14"/>
        <tr r="BP397" s="14"/>
        <tr r="BP1209" s="14"/>
      </tp>
      <tp>
        <v>7960</v>
        <stp/>
        <stp>VOLUME</stp>
        <stp>.SPXW260123C6985</stp>
        <tr r="E180" s="14"/>
        <tr r="E180" s="14"/>
      </tp>
      <tp>
        <v>6021</v>
        <stp/>
        <stp>VOLUME</stp>
        <stp>.SPXW260123C6980</stp>
        <tr r="E175" s="14"/>
        <tr r="E175" s="14"/>
      </tp>
      <tp>
        <v>168</v>
        <stp/>
        <stp>VOLUME</stp>
        <stp>.SPXW260123P6985</stp>
        <tr r="U180" s="14"/>
        <tr r="U180" s="14"/>
      </tp>
      <tp>
        <v>186</v>
        <stp/>
        <stp>VOLUME</stp>
        <stp>.SPXW260123P6980</stp>
        <tr r="U175" s="14"/>
        <tr r="U175" s="14"/>
      </tp>
      <tp>
        <v>7797</v>
        <stp/>
        <stp>VOLUME</stp>
        <stp>.SPXW260123C6995</stp>
        <tr r="E190" s="14"/>
        <tr r="E190" s="14"/>
      </tp>
      <tp>
        <v>5496</v>
        <stp/>
        <stp>VOLUME</stp>
        <stp>.SPXW260123C6990</stp>
        <tr r="E185" s="14"/>
        <tr r="E185" s="14"/>
      </tp>
      <tp>
        <v>74</v>
        <stp/>
        <stp>VOLUME</stp>
        <stp>.SPXW260123P6995</stp>
        <tr r="U190" s="14"/>
        <tr r="U190" s="14"/>
      </tp>
      <tp>
        <v>38</v>
        <stp/>
        <stp>VOLUME</stp>
        <stp>.SPXW260123P6990</stp>
        <tr r="U185" s="14"/>
        <tr r="U185" s="14"/>
      </tp>
      <tp>
        <v>3008</v>
        <stp/>
        <stp>VOLUME</stp>
        <stp>.SPXW260123C6905</stp>
        <tr r="E100" s="14"/>
        <tr r="E100" s="14"/>
      </tp>
      <tp>
        <v>5803</v>
        <stp/>
        <stp>VOLUME</stp>
        <stp>.SPXW260123C6900</stp>
        <tr r="E95" s="14"/>
        <tr r="E95" s="14"/>
      </tp>
      <tp>
        <v>3346</v>
        <stp/>
        <stp>VOLUME</stp>
        <stp>.SPXW260123P6905</stp>
        <tr r="U100" s="14"/>
        <tr r="U100" s="14"/>
      </tp>
      <tp>
        <v>11570</v>
        <stp/>
        <stp>VOLUME</stp>
        <stp>.SPXW260123P6900</stp>
        <tr r="U95" s="14"/>
        <tr r="U95" s="14"/>
      </tp>
      <tp>
        <v>6138</v>
        <stp/>
        <stp>VOLUME</stp>
        <stp>.SPXW260123C6915</stp>
        <tr r="E110" s="14"/>
        <tr r="E110" s="14"/>
      </tp>
      <tp>
        <v>4995</v>
        <stp/>
        <stp>VOLUME</stp>
        <stp>.SPXW260123C6910</stp>
        <tr r="E105" s="14"/>
        <tr r="E105" s="14"/>
      </tp>
      <tp>
        <v>4452</v>
        <stp/>
        <stp>VOLUME</stp>
        <stp>.SPXW260123P6915</stp>
        <tr r="U110" s="14"/>
        <tr r="U110" s="14"/>
      </tp>
      <tp>
        <v>7974</v>
        <stp/>
        <stp>VOLUME</stp>
        <stp>.SPXW260123P6910</stp>
        <tr r="U105" s="14"/>
        <tr r="U105" s="14"/>
      </tp>
      <tp>
        <v>8135</v>
        <stp/>
        <stp>VOLUME</stp>
        <stp>.SPXW260123C6925</stp>
        <tr r="E120" s="14"/>
        <tr r="E120" s="14"/>
      </tp>
      <tp>
        <v>8170</v>
        <stp/>
        <stp>VOLUME</stp>
        <stp>.SPXW260123C6920</stp>
        <tr r="E115" s="14"/>
        <tr r="E115" s="14"/>
      </tp>
      <tp>
        <v>4977</v>
        <stp/>
        <stp>VOLUME</stp>
        <stp>.SPXW260123P6925</stp>
        <tr r="U120" s="14"/>
        <tr r="U120" s="14"/>
      </tp>
      <tp>
        <v>5337</v>
        <stp/>
        <stp>VOLUME</stp>
        <stp>.SPXW260123P6920</stp>
        <tr r="U115" s="14"/>
        <tr r="U115" s="14"/>
      </tp>
      <tp>
        <v>5789</v>
        <stp/>
        <stp>VOLUME</stp>
        <stp>.SPXW260123C6935</stp>
        <tr r="E130" s="14"/>
        <tr r="E130" s="14"/>
      </tp>
      <tp>
        <v>9846</v>
        <stp/>
        <stp>VOLUME</stp>
        <stp>.SPXW260123C6930</stp>
        <tr r="E125" s="14"/>
        <tr r="E125" s="14"/>
      </tp>
      <tp>
        <v>1955</v>
        <stp/>
        <stp>VOLUME</stp>
        <stp>.SPXW260123P6935</stp>
        <tr r="U130" s="14"/>
        <tr r="U130" s="14"/>
      </tp>
      <tp>
        <v>4638</v>
        <stp/>
        <stp>VOLUME</stp>
        <stp>.SPXW260123P6930</stp>
        <tr r="U125" s="14"/>
        <tr r="U125" s="14"/>
      </tp>
      <tp>
        <v>5271</v>
        <stp/>
        <stp>VOLUME</stp>
        <stp>.SPXW260123C6945</stp>
        <tr r="E140" s="14"/>
        <tr r="E140" s="14"/>
      </tp>
      <tp>
        <v>8410</v>
        <stp/>
        <stp>VOLUME</stp>
        <stp>.SPXW260123C6940</stp>
        <tr r="E135" s="14"/>
        <tr r="E135" s="14"/>
      </tp>
      <tp>
        <v>774</v>
        <stp/>
        <stp>VOLUME</stp>
        <stp>.SPXW260123P6945</stp>
        <tr r="U140" s="14"/>
        <tr r="U140" s="14"/>
      </tp>
      <tp>
        <v>1328</v>
        <stp/>
        <stp>VOLUME</stp>
        <stp>.SPXW260123P6940</stp>
        <tr r="U135" s="14"/>
        <tr r="U135" s="14"/>
      </tp>
      <tp>
        <v>5278</v>
        <stp/>
        <stp>VOLUME</stp>
        <stp>.SPXW260123C6955</stp>
        <tr r="E150" s="14"/>
        <tr r="E150" s="14"/>
      </tp>
      <tp>
        <v>17069</v>
        <stp/>
        <stp>VOLUME</stp>
        <stp>.SPXW260123C6950</stp>
        <tr r="E145" s="14"/>
        <tr r="E145" s="14"/>
      </tp>
      <tp>
        <v>322</v>
        <stp/>
        <stp>VOLUME</stp>
        <stp>.SPXW260123P6955</stp>
        <tr r="U150" s="14"/>
        <tr r="U150" s="14"/>
      </tp>
      <tp>
        <v>3274</v>
        <stp/>
        <stp>VOLUME</stp>
        <stp>.SPXW260123P6950</stp>
        <tr r="U145" s="14"/>
        <tr r="U145" s="14"/>
      </tp>
      <tp>
        <v>6637</v>
        <stp/>
        <stp>VOLUME</stp>
        <stp>.SPXW260123C6965</stp>
        <tr r="E160" s="14"/>
        <tr r="E160" s="14"/>
      </tp>
      <tp>
        <v>7543</v>
        <stp/>
        <stp>VOLUME</stp>
        <stp>.SPXW260123C6960</stp>
        <tr r="E155" s="14"/>
        <tr r="E155" s="14"/>
      </tp>
      <tp>
        <v>155</v>
        <stp/>
        <stp>VOLUME</stp>
        <stp>.SPXW260123P6965</stp>
        <tr r="U160" s="14"/>
        <tr r="U160" s="14"/>
      </tp>
      <tp>
        <v>588</v>
        <stp/>
        <stp>VOLUME</stp>
        <stp>.SPXW260123P6960</stp>
        <tr r="U155" s="14"/>
        <tr r="U155" s="14"/>
      </tp>
      <tp>
        <v>8080</v>
        <stp/>
        <stp>VOLUME</stp>
        <stp>.SPXW260123C6975</stp>
        <tr r="E170" s="14"/>
        <tr r="E170" s="14"/>
      </tp>
      <tp>
        <v>7725</v>
        <stp/>
        <stp>VOLUME</stp>
        <stp>.SPXW260123C6970</stp>
        <tr r="E165" s="14"/>
        <tr r="E165" s="14"/>
      </tp>
      <tp>
        <v>186</v>
        <stp/>
        <stp>VOLUME</stp>
        <stp>.SPXW260123P6975</stp>
        <tr r="U170" s="14"/>
        <tr r="U170" s="14"/>
      </tp>
      <tp>
        <v>185</v>
        <stp/>
        <stp>VOLUME</stp>
        <stp>.SPXW260123P6970</stp>
        <tr r="U165" s="14"/>
        <tr r="U165" s="14"/>
      </tp>
      <tp>
        <v>714</v>
        <stp/>
        <stp>VOLUME</stp>
        <stp>.SPXW260123C6885</stp>
        <tr r="E80" s="14"/>
        <tr r="E80" s="14"/>
      </tp>
      <tp>
        <v>697</v>
        <stp/>
        <stp>VOLUME</stp>
        <stp>.SPXW260123C6880</stp>
        <tr r="E75" s="14"/>
        <tr r="E75" s="14"/>
      </tp>
      <tp>
        <v>3640</v>
        <stp/>
        <stp>VOLUME</stp>
        <stp>.SPXW260123P6885</stp>
        <tr r="U80" s="14"/>
        <tr r="U80" s="14"/>
      </tp>
      <tp>
        <v>5487</v>
        <stp/>
        <stp>VOLUME</stp>
        <stp>.SPXW260123P6880</stp>
        <tr r="U75" s="14"/>
        <tr r="U75" s="14"/>
      </tp>
      <tp>
        <v>1540</v>
        <stp/>
        <stp>VOLUME</stp>
        <stp>.SPXW260123C6895</stp>
        <tr r="E90" s="14"/>
        <tr r="E90" s="14"/>
      </tp>
      <tp>
        <v>1441</v>
        <stp/>
        <stp>VOLUME</stp>
        <stp>.SPXW260123C6890</stp>
        <tr r="E85" s="14"/>
        <tr r="E85" s="14"/>
      </tp>
      <tp>
        <v>3742</v>
        <stp/>
        <stp>VOLUME</stp>
        <stp>.SPXW260123P6895</stp>
        <tr r="U90" s="14"/>
        <tr r="U90" s="14"/>
      </tp>
      <tp>
        <v>4387</v>
        <stp/>
        <stp>VOLUME</stp>
        <stp>.SPXW260123P6890</stp>
        <tr r="U85" s="14"/>
        <tr r="U85" s="14"/>
      </tp>
      <tp>
        <v>36</v>
        <stp/>
        <stp>VOLUME</stp>
        <stp>.SPXW260123C6815</stp>
        <tr r="E10" s="14"/>
        <tr r="E10" s="14"/>
      </tp>
      <tp>
        <v>3178</v>
        <stp/>
        <stp>VOLUME</stp>
        <stp>.SPXW260123P6815</stp>
        <tr r="U10" s="14"/>
        <tr r="U10" s="14"/>
      </tp>
      <tp>
        <v>119</v>
        <stp/>
        <stp>VOLUME</stp>
        <stp>.SPXW260123C6825</stp>
        <tr r="E20" s="14"/>
        <tr r="E20" s="14"/>
      </tp>
      <tp>
        <v>54</v>
        <stp/>
        <stp>VOLUME</stp>
        <stp>.SPXW260123C6820</stp>
        <tr r="E15" s="14"/>
        <tr r="E15" s="14"/>
      </tp>
      <tp>
        <v>3587</v>
        <stp/>
        <stp>VOLUME</stp>
        <stp>.SPXW260123P6825</stp>
        <tr r="U20" s="14"/>
        <tr r="U20" s="14"/>
      </tp>
      <tp>
        <v>3473</v>
        <stp/>
        <stp>VOLUME</stp>
        <stp>.SPXW260123P6820</stp>
        <tr r="U15" s="14"/>
        <tr r="U15" s="14"/>
      </tp>
      <tp>
        <v>52</v>
        <stp/>
        <stp>VOLUME</stp>
        <stp>.SPXW260123C6835</stp>
        <tr r="E30" s="14"/>
        <tr r="E30" s="14"/>
      </tp>
      <tp>
        <v>82</v>
        <stp/>
        <stp>VOLUME</stp>
        <stp>.SPXW260123C6830</stp>
        <tr r="E25" s="14"/>
        <tr r="E25" s="14"/>
      </tp>
      <tp>
        <v>3610</v>
        <stp/>
        <stp>VOLUME</stp>
        <stp>.SPXW260123P6835</stp>
        <tr r="U30" s="14"/>
        <tr r="U30" s="14"/>
      </tp>
      <tp>
        <v>3217</v>
        <stp/>
        <stp>VOLUME</stp>
        <stp>.SPXW260123P6830</stp>
        <tr r="U25" s="14"/>
        <tr r="U25" s="14"/>
      </tp>
      <tp>
        <v>310</v>
        <stp/>
        <stp>VOLUME</stp>
        <stp>.SPXW260123C6845</stp>
        <tr r="E40" s="14"/>
        <tr r="E40" s="14"/>
      </tp>
      <tp>
        <v>146</v>
        <stp/>
        <stp>VOLUME</stp>
        <stp>.SPXW260123C6840</stp>
        <tr r="E35" s="14"/>
        <tr r="E35" s="14"/>
      </tp>
      <tp>
        <v>3547</v>
        <stp/>
        <stp>VOLUME</stp>
        <stp>.SPXW260123P6845</stp>
        <tr r="U40" s="14"/>
        <tr r="U40" s="14"/>
      </tp>
      <tp>
        <v>4191</v>
        <stp/>
        <stp>VOLUME</stp>
        <stp>.SPXW260123P6840</stp>
        <tr r="U35" s="14"/>
        <tr r="U35" s="14"/>
      </tp>
      <tp>
        <v>172</v>
        <stp/>
        <stp>VOLUME</stp>
        <stp>.SPXW260123C6855</stp>
        <tr r="E50" s="14"/>
        <tr r="E50" s="14"/>
      </tp>
      <tp>
        <v>275</v>
        <stp/>
        <stp>VOLUME</stp>
        <stp>.SPXW260123C6850</stp>
        <tr r="E45" s="14"/>
        <tr r="E45" s="14"/>
      </tp>
      <tp>
        <v>2838</v>
        <stp/>
        <stp>VOLUME</stp>
        <stp>.SPXW260123P6855</stp>
        <tr r="U50" s="14"/>
        <tr r="U50" s="14"/>
      </tp>
      <tp>
        <v>12680</v>
        <stp/>
        <stp>VOLUME</stp>
        <stp>.SPXW260123P6850</stp>
        <tr r="U45" s="14"/>
        <tr r="U45" s="14"/>
      </tp>
      <tp>
        <v>472</v>
        <stp/>
        <stp>VOLUME</stp>
        <stp>.SPXW260123C6865</stp>
        <tr r="E60" s="14"/>
        <tr r="E60" s="14"/>
      </tp>
      <tp>
        <v>411</v>
        <stp/>
        <stp>VOLUME</stp>
        <stp>.SPXW260123C6860</stp>
        <tr r="E55" s="14"/>
        <tr r="E55" s="14"/>
      </tp>
      <tp>
        <v>3267</v>
        <stp/>
        <stp>VOLUME</stp>
        <stp>.SPXW260123P6865</stp>
        <tr r="U60" s="14"/>
        <tr r="U60" s="14"/>
      </tp>
      <tp>
        <v>5104</v>
        <stp/>
        <stp>VOLUME</stp>
        <stp>.SPXW260123P6860</stp>
        <tr r="U55" s="14"/>
        <tr r="U55" s="14"/>
      </tp>
      <tp>
        <v>826</v>
        <stp/>
        <stp>VOLUME</stp>
        <stp>.SPXW260123C6875</stp>
        <tr r="E70" s="14"/>
        <tr r="E70" s="14"/>
      </tp>
      <tp>
        <v>477</v>
        <stp/>
        <stp>VOLUME</stp>
        <stp>.SPXW260123C6870</stp>
        <tr r="E65" s="14"/>
        <tr r="E65" s="14"/>
      </tp>
      <tp>
        <v>5722</v>
        <stp/>
        <stp>VOLUME</stp>
        <stp>.SPXW260123P6875</stp>
        <tr r="U70" s="14"/>
        <tr r="U70" s="14"/>
      </tp>
      <tp>
        <v>4028</v>
        <stp/>
        <stp>VOLUME</stp>
        <stp>.SPXW260123P6870</stp>
        <tr r="U65" s="14"/>
        <tr r="U65" s="1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volatileDependencies" Target="volatileDependencies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1/23/2026</c:v>
            </c:pt>
          </c:strCache>
        </c:strRef>
      </c:tx>
      <c:layout>
        <c:manualLayout>
          <c:xMode val="edge"/>
          <c:yMode val="edge"/>
          <c:x val="0.44926024438365886"/>
          <c:y val="2.248144987796392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4.7823773499539597E-2"/>
          <c:w val="0.926030427626514"/>
          <c:h val="0.74529531278377081"/>
        </c:manualLayout>
      </c:layout>
      <c:barChart>
        <c:barDir val="col"/>
        <c:grouping val="stacked"/>
        <c:varyColors val="0"/>
        <c:ser>
          <c:idx val="0"/>
          <c:order val="0"/>
          <c:tx>
            <c:v>Calls</c:v>
          </c:tx>
          <c:spPr>
            <a:solidFill>
              <a:srgbClr val="4AF6C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6815</c:v>
                </c:pt>
                <c:pt idx="1">
                  <c:v>6820</c:v>
                </c:pt>
                <c:pt idx="2">
                  <c:v>6825</c:v>
                </c:pt>
                <c:pt idx="3">
                  <c:v>6830</c:v>
                </c:pt>
                <c:pt idx="4">
                  <c:v>6835</c:v>
                </c:pt>
                <c:pt idx="5">
                  <c:v>6840</c:v>
                </c:pt>
                <c:pt idx="6">
                  <c:v>6845</c:v>
                </c:pt>
                <c:pt idx="7">
                  <c:v>6850</c:v>
                </c:pt>
                <c:pt idx="8">
                  <c:v>6855</c:v>
                </c:pt>
                <c:pt idx="9">
                  <c:v>6860</c:v>
                </c:pt>
                <c:pt idx="10">
                  <c:v>6865</c:v>
                </c:pt>
                <c:pt idx="11">
                  <c:v>6870</c:v>
                </c:pt>
                <c:pt idx="12">
                  <c:v>6875</c:v>
                </c:pt>
                <c:pt idx="13">
                  <c:v>6880</c:v>
                </c:pt>
                <c:pt idx="14">
                  <c:v>6885</c:v>
                </c:pt>
                <c:pt idx="15">
                  <c:v>6890</c:v>
                </c:pt>
                <c:pt idx="16">
                  <c:v>6895</c:v>
                </c:pt>
                <c:pt idx="17">
                  <c:v>6900</c:v>
                </c:pt>
                <c:pt idx="18">
                  <c:v>6905</c:v>
                </c:pt>
                <c:pt idx="19">
                  <c:v>6910</c:v>
                </c:pt>
                <c:pt idx="20">
                  <c:v>6915</c:v>
                </c:pt>
                <c:pt idx="21">
                  <c:v>6920</c:v>
                </c:pt>
                <c:pt idx="22">
                  <c:v>6925</c:v>
                </c:pt>
                <c:pt idx="23">
                  <c:v>6930</c:v>
                </c:pt>
                <c:pt idx="24">
                  <c:v>6935</c:v>
                </c:pt>
                <c:pt idx="25">
                  <c:v>6940</c:v>
                </c:pt>
                <c:pt idx="26">
                  <c:v>6945</c:v>
                </c:pt>
                <c:pt idx="27">
                  <c:v>6950</c:v>
                </c:pt>
                <c:pt idx="28">
                  <c:v>6955</c:v>
                </c:pt>
                <c:pt idx="29">
                  <c:v>6960</c:v>
                </c:pt>
                <c:pt idx="30">
                  <c:v>6965</c:v>
                </c:pt>
                <c:pt idx="31">
                  <c:v>6970</c:v>
                </c:pt>
                <c:pt idx="32">
                  <c:v>6975</c:v>
                </c:pt>
                <c:pt idx="33">
                  <c:v>6980</c:v>
                </c:pt>
                <c:pt idx="34">
                  <c:v>6985</c:v>
                </c:pt>
                <c:pt idx="35">
                  <c:v>6990</c:v>
                </c:pt>
                <c:pt idx="36">
                  <c:v>6995</c:v>
                </c:pt>
                <c:pt idx="37">
                  <c:v>7000</c:v>
                </c:pt>
                <c:pt idx="38">
                  <c:v>7005</c:v>
                </c:pt>
                <c:pt idx="39">
                  <c:v>7010</c:v>
                </c:pt>
                <c:pt idx="40">
                  <c:v>7015</c:v>
                </c:pt>
              </c:numCache>
              <c:extLst xmlns:c15="http://schemas.microsoft.com/office/drawing/2012/chart"/>
            </c:numRef>
          </c:cat>
          <c:val>
            <c:numRef>
              <c:f>[0]!call_helper_single_1</c:f>
              <c:numCache>
                <c:formatCode>General</c:formatCode>
                <c:ptCount val="41"/>
                <c:pt idx="0">
                  <c:v>1.0969272850885137E-195</c:v>
                </c:pt>
                <c:pt idx="1">
                  <c:v>1.1929213111180934E-176</c:v>
                </c:pt>
                <c:pt idx="2">
                  <c:v>1.2436172636491985E-158</c:v>
                </c:pt>
                <c:pt idx="3">
                  <c:v>1.7493135636443934E-142</c:v>
                </c:pt>
                <c:pt idx="4">
                  <c:v>7.6687733639534615E-127</c:v>
                </c:pt>
                <c:pt idx="5">
                  <c:v>8.3125670633582739E-112</c:v>
                </c:pt>
                <c:pt idx="6">
                  <c:v>8.5040161274450639E-98</c:v>
                </c:pt>
                <c:pt idx="7">
                  <c:v>7.3059034337663598E-84</c:v>
                </c:pt>
                <c:pt idx="8">
                  <c:v>1.2230835631178991E-72</c:v>
                </c:pt>
                <c:pt idx="9">
                  <c:v>7386.102986624127</c:v>
                </c:pt>
                <c:pt idx="10">
                  <c:v>8360.0144056213503</c:v>
                </c:pt>
                <c:pt idx="11">
                  <c:v>20257.184128928722</c:v>
                </c:pt>
                <c:pt idx="12">
                  <c:v>64932.418592973852</c:v>
                </c:pt>
                <c:pt idx="13">
                  <c:v>60468.243999461833</c:v>
                </c:pt>
                <c:pt idx="14">
                  <c:v>38454.457156460951</c:v>
                </c:pt>
                <c:pt idx="15">
                  <c:v>41655.666834839954</c:v>
                </c:pt>
                <c:pt idx="16">
                  <c:v>112119.43728463945</c:v>
                </c:pt>
                <c:pt idx="17">
                  <c:v>616632.00774634164</c:v>
                </c:pt>
                <c:pt idx="18">
                  <c:v>72487.974438130506</c:v>
                </c:pt>
                <c:pt idx="19">
                  <c:v>112081.55050203692</c:v>
                </c:pt>
                <c:pt idx="20">
                  <c:v>235451.85453396733</c:v>
                </c:pt>
                <c:pt idx="21">
                  <c:v>153494.77811755534</c:v>
                </c:pt>
                <c:pt idx="22">
                  <c:v>366006.45870414143</c:v>
                </c:pt>
                <c:pt idx="23">
                  <c:v>243446.76078197287</c:v>
                </c:pt>
                <c:pt idx="24">
                  <c:v>79639.882025577492</c:v>
                </c:pt>
                <c:pt idx="25">
                  <c:v>198265.7314651667</c:v>
                </c:pt>
                <c:pt idx="26">
                  <c:v>193906.86276422543</c:v>
                </c:pt>
                <c:pt idx="27">
                  <c:v>608971.34790735343</c:v>
                </c:pt>
                <c:pt idx="28">
                  <c:v>85538.627551993661</c:v>
                </c:pt>
                <c:pt idx="29">
                  <c:v>101376.63072860302</c:v>
                </c:pt>
                <c:pt idx="30">
                  <c:v>77718.158163438391</c:v>
                </c:pt>
                <c:pt idx="31">
                  <c:v>68088.109654128348</c:v>
                </c:pt>
                <c:pt idx="32">
                  <c:v>145625.45643899566</c:v>
                </c:pt>
                <c:pt idx="33">
                  <c:v>56817.868255114336</c:v>
                </c:pt>
                <c:pt idx="34">
                  <c:v>153466.89966780978</c:v>
                </c:pt>
                <c:pt idx="35">
                  <c:v>31709.759295043972</c:v>
                </c:pt>
                <c:pt idx="36">
                  <c:v>87387.296151552</c:v>
                </c:pt>
                <c:pt idx="37">
                  <c:v>122315.38525329587</c:v>
                </c:pt>
                <c:pt idx="38">
                  <c:v>12145.305466268219</c:v>
                </c:pt>
                <c:pt idx="39">
                  <c:v>11308.233330951012</c:v>
                </c:pt>
                <c:pt idx="40">
                  <c:v>5923.5602847580703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C2-41C5-87D7-52B9003595C4}"/>
            </c:ext>
          </c:extLst>
        </c:ser>
        <c:ser>
          <c:idx val="1"/>
          <c:order val="1"/>
          <c:tx>
            <c:v>Puts</c:v>
          </c:tx>
          <c:spPr>
            <a:solidFill>
              <a:srgbClr val="FF433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6815</c:v>
                </c:pt>
                <c:pt idx="1">
                  <c:v>6820</c:v>
                </c:pt>
                <c:pt idx="2">
                  <c:v>6825</c:v>
                </c:pt>
                <c:pt idx="3">
                  <c:v>6830</c:v>
                </c:pt>
                <c:pt idx="4">
                  <c:v>6835</c:v>
                </c:pt>
                <c:pt idx="5">
                  <c:v>6840</c:v>
                </c:pt>
                <c:pt idx="6">
                  <c:v>6845</c:v>
                </c:pt>
                <c:pt idx="7">
                  <c:v>6850</c:v>
                </c:pt>
                <c:pt idx="8">
                  <c:v>6855</c:v>
                </c:pt>
                <c:pt idx="9">
                  <c:v>6860</c:v>
                </c:pt>
                <c:pt idx="10">
                  <c:v>6865</c:v>
                </c:pt>
                <c:pt idx="11">
                  <c:v>6870</c:v>
                </c:pt>
                <c:pt idx="12">
                  <c:v>6875</c:v>
                </c:pt>
                <c:pt idx="13">
                  <c:v>6880</c:v>
                </c:pt>
                <c:pt idx="14">
                  <c:v>6885</c:v>
                </c:pt>
                <c:pt idx="15">
                  <c:v>6890</c:v>
                </c:pt>
                <c:pt idx="16">
                  <c:v>6895</c:v>
                </c:pt>
                <c:pt idx="17">
                  <c:v>6900</c:v>
                </c:pt>
                <c:pt idx="18">
                  <c:v>6905</c:v>
                </c:pt>
                <c:pt idx="19">
                  <c:v>6910</c:v>
                </c:pt>
                <c:pt idx="20">
                  <c:v>6915</c:v>
                </c:pt>
                <c:pt idx="21">
                  <c:v>6920</c:v>
                </c:pt>
                <c:pt idx="22">
                  <c:v>6925</c:v>
                </c:pt>
                <c:pt idx="23">
                  <c:v>6930</c:v>
                </c:pt>
                <c:pt idx="24">
                  <c:v>6935</c:v>
                </c:pt>
                <c:pt idx="25">
                  <c:v>6940</c:v>
                </c:pt>
                <c:pt idx="26">
                  <c:v>6945</c:v>
                </c:pt>
                <c:pt idx="27">
                  <c:v>6950</c:v>
                </c:pt>
                <c:pt idx="28">
                  <c:v>6955</c:v>
                </c:pt>
                <c:pt idx="29">
                  <c:v>6960</c:v>
                </c:pt>
                <c:pt idx="30">
                  <c:v>6965</c:v>
                </c:pt>
                <c:pt idx="31">
                  <c:v>6970</c:v>
                </c:pt>
                <c:pt idx="32">
                  <c:v>6975</c:v>
                </c:pt>
                <c:pt idx="33">
                  <c:v>6980</c:v>
                </c:pt>
                <c:pt idx="34">
                  <c:v>6985</c:v>
                </c:pt>
                <c:pt idx="35">
                  <c:v>6990</c:v>
                </c:pt>
                <c:pt idx="36">
                  <c:v>6995</c:v>
                </c:pt>
                <c:pt idx="37">
                  <c:v>7000</c:v>
                </c:pt>
                <c:pt idx="38">
                  <c:v>7005</c:v>
                </c:pt>
                <c:pt idx="39">
                  <c:v>7010</c:v>
                </c:pt>
                <c:pt idx="40">
                  <c:v>7015</c:v>
                </c:pt>
              </c:numCache>
              <c:extLst xmlns:c15="http://schemas.microsoft.com/office/drawing/2012/chart"/>
            </c:numRef>
          </c:cat>
          <c:val>
            <c:numRef>
              <c:f>[0]!put_helper_single_1</c:f>
              <c:numCache>
                <c:formatCode>General</c:formatCode>
                <c:ptCount val="41"/>
                <c:pt idx="0">
                  <c:v>-21515.316642003454</c:v>
                </c:pt>
                <c:pt idx="1">
                  <c:v>-34998.766232202521</c:v>
                </c:pt>
                <c:pt idx="2">
                  <c:v>-67713.813869881429</c:v>
                </c:pt>
                <c:pt idx="3">
                  <c:v>-74854.146559058951</c:v>
                </c:pt>
                <c:pt idx="4">
                  <c:v>-39026.889469670459</c:v>
                </c:pt>
                <c:pt idx="5">
                  <c:v>-80132.09953304482</c:v>
                </c:pt>
                <c:pt idx="6">
                  <c:v>-41253.046952885925</c:v>
                </c:pt>
                <c:pt idx="7">
                  <c:v>-268804.08046253206</c:v>
                </c:pt>
                <c:pt idx="8">
                  <c:v>-29236.478890530787</c:v>
                </c:pt>
                <c:pt idx="9">
                  <c:v>-110100.50100056954</c:v>
                </c:pt>
                <c:pt idx="10">
                  <c:v>-46777.000926157001</c:v>
                </c:pt>
                <c:pt idx="11">
                  <c:v>-100623.87793072272</c:v>
                </c:pt>
                <c:pt idx="12">
                  <c:v>-157783.64165801066</c:v>
                </c:pt>
                <c:pt idx="13">
                  <c:v>-121301.19660176102</c:v>
                </c:pt>
                <c:pt idx="14">
                  <c:v>-47690.501103657545</c:v>
                </c:pt>
                <c:pt idx="15">
                  <c:v>-72111.214393581104</c:v>
                </c:pt>
                <c:pt idx="16">
                  <c:v>-56397.45701531315</c:v>
                </c:pt>
                <c:pt idx="17">
                  <c:v>-516238.24704126437</c:v>
                </c:pt>
                <c:pt idx="18">
                  <c:v>-55938.785583812198</c:v>
                </c:pt>
                <c:pt idx="19">
                  <c:v>-104075.64896883153</c:v>
                </c:pt>
                <c:pt idx="20">
                  <c:v>-79020.962127594365</c:v>
                </c:pt>
                <c:pt idx="21">
                  <c:v>-204301.53031920904</c:v>
                </c:pt>
                <c:pt idx="22">
                  <c:v>-309695.97009793337</c:v>
                </c:pt>
                <c:pt idx="23">
                  <c:v>-76830.303644291518</c:v>
                </c:pt>
                <c:pt idx="24">
                  <c:v>-63555.105226468433</c:v>
                </c:pt>
                <c:pt idx="25">
                  <c:v>-66172.448126559408</c:v>
                </c:pt>
                <c:pt idx="26">
                  <c:v>-60438.981364232888</c:v>
                </c:pt>
                <c:pt idx="27">
                  <c:v>-435103.93900151388</c:v>
                </c:pt>
                <c:pt idx="28">
                  <c:v>-43055.567807050371</c:v>
                </c:pt>
                <c:pt idx="29">
                  <c:v>-153750.66375982849</c:v>
                </c:pt>
                <c:pt idx="30">
                  <c:v>-32677.564820300184</c:v>
                </c:pt>
                <c:pt idx="31">
                  <c:v>-29387.821215768785</c:v>
                </c:pt>
                <c:pt idx="32">
                  <c:v>-41478.166600485718</c:v>
                </c:pt>
                <c:pt idx="33">
                  <c:v>-32433.220482777062</c:v>
                </c:pt>
                <c:pt idx="34">
                  <c:v>-15751.766369354218</c:v>
                </c:pt>
                <c:pt idx="35">
                  <c:v>-22592.236012252586</c:v>
                </c:pt>
                <c:pt idx="36">
                  <c:v>-7810.6504705397529</c:v>
                </c:pt>
                <c:pt idx="37">
                  <c:v>-393437.0801274128</c:v>
                </c:pt>
                <c:pt idx="38">
                  <c:v>-1662.3796149134603</c:v>
                </c:pt>
                <c:pt idx="39">
                  <c:v>-7472.5643405761966</c:v>
                </c:pt>
                <c:pt idx="40">
                  <c:v>-7039.671040012794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BC2-41C5-87D7-52B9003595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-2133539200"/>
        <c:axId val="-2133534848"/>
        <c:extLst/>
      </c:barChart>
      <c:lineChart>
        <c:grouping val="standard"/>
        <c:varyColors val="0"/>
        <c:ser>
          <c:idx val="2"/>
          <c:order val="2"/>
          <c:tx>
            <c:v>IV</c:v>
          </c:tx>
          <c:spPr>
            <a:ln w="34925" cap="rnd">
              <a:solidFill>
                <a:schemeClr val="bg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[0]!valid_strike_single1</c:f>
              <c:numCache>
                <c:formatCode>General</c:formatCode>
                <c:ptCount val="41"/>
                <c:pt idx="0">
                  <c:v>6815</c:v>
                </c:pt>
                <c:pt idx="1">
                  <c:v>6820</c:v>
                </c:pt>
                <c:pt idx="2">
                  <c:v>6825</c:v>
                </c:pt>
                <c:pt idx="3">
                  <c:v>6830</c:v>
                </c:pt>
                <c:pt idx="4">
                  <c:v>6835</c:v>
                </c:pt>
                <c:pt idx="5">
                  <c:v>6840</c:v>
                </c:pt>
                <c:pt idx="6">
                  <c:v>6845</c:v>
                </c:pt>
                <c:pt idx="7">
                  <c:v>6850</c:v>
                </c:pt>
                <c:pt idx="8">
                  <c:v>6855</c:v>
                </c:pt>
                <c:pt idx="9">
                  <c:v>6860</c:v>
                </c:pt>
                <c:pt idx="10">
                  <c:v>6865</c:v>
                </c:pt>
                <c:pt idx="11">
                  <c:v>6870</c:v>
                </c:pt>
                <c:pt idx="12">
                  <c:v>6875</c:v>
                </c:pt>
                <c:pt idx="13">
                  <c:v>6880</c:v>
                </c:pt>
                <c:pt idx="14">
                  <c:v>6885</c:v>
                </c:pt>
                <c:pt idx="15">
                  <c:v>6890</c:v>
                </c:pt>
                <c:pt idx="16">
                  <c:v>6895</c:v>
                </c:pt>
                <c:pt idx="17">
                  <c:v>6900</c:v>
                </c:pt>
                <c:pt idx="18">
                  <c:v>6905</c:v>
                </c:pt>
                <c:pt idx="19">
                  <c:v>6910</c:v>
                </c:pt>
                <c:pt idx="20">
                  <c:v>6915</c:v>
                </c:pt>
                <c:pt idx="21">
                  <c:v>6920</c:v>
                </c:pt>
                <c:pt idx="22">
                  <c:v>6925</c:v>
                </c:pt>
                <c:pt idx="23">
                  <c:v>6930</c:v>
                </c:pt>
                <c:pt idx="24">
                  <c:v>6935</c:v>
                </c:pt>
                <c:pt idx="25">
                  <c:v>6940</c:v>
                </c:pt>
                <c:pt idx="26">
                  <c:v>6945</c:v>
                </c:pt>
                <c:pt idx="27">
                  <c:v>6950</c:v>
                </c:pt>
                <c:pt idx="28">
                  <c:v>6955</c:v>
                </c:pt>
                <c:pt idx="29">
                  <c:v>6960</c:v>
                </c:pt>
                <c:pt idx="30">
                  <c:v>6965</c:v>
                </c:pt>
                <c:pt idx="31">
                  <c:v>6970</c:v>
                </c:pt>
                <c:pt idx="32">
                  <c:v>6975</c:v>
                </c:pt>
                <c:pt idx="33">
                  <c:v>6980</c:v>
                </c:pt>
                <c:pt idx="34">
                  <c:v>6985</c:v>
                </c:pt>
                <c:pt idx="35">
                  <c:v>6990</c:v>
                </c:pt>
                <c:pt idx="36">
                  <c:v>6995</c:v>
                </c:pt>
                <c:pt idx="37">
                  <c:v>7000</c:v>
                </c:pt>
                <c:pt idx="38">
                  <c:v>7005</c:v>
                </c:pt>
                <c:pt idx="39">
                  <c:v>7010</c:v>
                </c:pt>
                <c:pt idx="40">
                  <c:v>7015</c:v>
                </c:pt>
              </c:numCache>
              <c:extLst xmlns:c15="http://schemas.microsoft.com/office/drawing/2012/chart"/>
            </c:numRef>
          </c:cat>
          <c:val>
            <c:numRef>
              <c:f>[0]!IV_1</c:f>
              <c:numCache>
                <c:formatCode>General</c:formatCode>
                <c:ptCount val="41"/>
                <c:pt idx="0">
                  <c:v>0.18400688547353167</c:v>
                </c:pt>
                <c:pt idx="1">
                  <c:v>0.18221705479896641</c:v>
                </c:pt>
                <c:pt idx="2">
                  <c:v>0.18022317024165874</c:v>
                </c:pt>
                <c:pt idx="3">
                  <c:v>0.17664088771720515</c:v>
                </c:pt>
                <c:pt idx="4">
                  <c:v>0.17384713601824275</c:v>
                </c:pt>
                <c:pt idx="5">
                  <c:v>0.17159877380001254</c:v>
                </c:pt>
                <c:pt idx="6">
                  <c:v>0.16933754683301233</c:v>
                </c:pt>
                <c:pt idx="7">
                  <c:v>0.16665099106808279</c:v>
                </c:pt>
                <c:pt idx="8">
                  <c:v>0.16384955583655231</c:v>
                </c:pt>
                <c:pt idx="9">
                  <c:v>8.7549660146172076E-2</c:v>
                </c:pt>
                <c:pt idx="10">
                  <c:v>0.10248131475845175</c:v>
                </c:pt>
                <c:pt idx="11">
                  <c:v>0.10976835240709375</c:v>
                </c:pt>
                <c:pt idx="12">
                  <c:v>0.11259786458791556</c:v>
                </c:pt>
                <c:pt idx="13">
                  <c:v>0.11615555425258559</c:v>
                </c:pt>
                <c:pt idx="14">
                  <c:v>0.11852715733490957</c:v>
                </c:pt>
                <c:pt idx="15">
                  <c:v>0.12014418077332148</c:v>
                </c:pt>
                <c:pt idx="16">
                  <c:v>0.12160703936754415</c:v>
                </c:pt>
                <c:pt idx="17">
                  <c:v>0.12258823541190302</c:v>
                </c:pt>
                <c:pt idx="18">
                  <c:v>0.12341623303367075</c:v>
                </c:pt>
                <c:pt idx="19">
                  <c:v>0.12427360190796766</c:v>
                </c:pt>
                <c:pt idx="20">
                  <c:v>0.12545574355621728</c:v>
                </c:pt>
                <c:pt idx="21">
                  <c:v>0.12646625765257094</c:v>
                </c:pt>
                <c:pt idx="22">
                  <c:v>0.12748304001714347</c:v>
                </c:pt>
                <c:pt idx="23">
                  <c:v>0.12911050043439212</c:v>
                </c:pt>
                <c:pt idx="24">
                  <c:v>0.13008302336738117</c:v>
                </c:pt>
                <c:pt idx="25">
                  <c:v>0.13238121204618628</c:v>
                </c:pt>
                <c:pt idx="26">
                  <c:v>0.13540670995667589</c:v>
                </c:pt>
                <c:pt idx="27">
                  <c:v>0.13940323446839686</c:v>
                </c:pt>
                <c:pt idx="28">
                  <c:v>0.14417502455814851</c:v>
                </c:pt>
                <c:pt idx="29">
                  <c:v>0.14965288791618611</c:v>
                </c:pt>
                <c:pt idx="30">
                  <c:v>0.15550036702941394</c:v>
                </c:pt>
                <c:pt idx="31">
                  <c:v>0.16268507829873671</c:v>
                </c:pt>
                <c:pt idx="32">
                  <c:v>0.16876131167352071</c:v>
                </c:pt>
                <c:pt idx="33">
                  <c:v>0.17642013420034691</c:v>
                </c:pt>
                <c:pt idx="34">
                  <c:v>0.18394027739344745</c:v>
                </c:pt>
                <c:pt idx="35">
                  <c:v>0.19180815566145509</c:v>
                </c:pt>
                <c:pt idx="36">
                  <c:v>0.20010705858935268</c:v>
                </c:pt>
                <c:pt idx="37">
                  <c:v>0.2082824941320468</c:v>
                </c:pt>
                <c:pt idx="38">
                  <c:v>0.2169778410067377</c:v>
                </c:pt>
                <c:pt idx="39">
                  <c:v>0.22492888294235022</c:v>
                </c:pt>
                <c:pt idx="40">
                  <c:v>0.23275703617378968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6C85-454C-836A-0EAD4E843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385951"/>
        <c:axId val="1663385471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v>net</c:v>
                </c:tx>
                <c:spPr>
                  <a:ln w="34925" cap="rnd">
                    <a:solidFill>
                      <a:schemeClr val="accent4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6815</c:v>
                      </c:pt>
                      <c:pt idx="1">
                        <c:v>6820</c:v>
                      </c:pt>
                      <c:pt idx="2">
                        <c:v>6825</c:v>
                      </c:pt>
                      <c:pt idx="3">
                        <c:v>6830</c:v>
                      </c:pt>
                      <c:pt idx="4">
                        <c:v>6835</c:v>
                      </c:pt>
                      <c:pt idx="5">
                        <c:v>6840</c:v>
                      </c:pt>
                      <c:pt idx="6">
                        <c:v>6845</c:v>
                      </c:pt>
                      <c:pt idx="7">
                        <c:v>6850</c:v>
                      </c:pt>
                      <c:pt idx="8">
                        <c:v>6855</c:v>
                      </c:pt>
                      <c:pt idx="9">
                        <c:v>6860</c:v>
                      </c:pt>
                      <c:pt idx="10">
                        <c:v>6865</c:v>
                      </c:pt>
                      <c:pt idx="11">
                        <c:v>6870</c:v>
                      </c:pt>
                      <c:pt idx="12">
                        <c:v>6875</c:v>
                      </c:pt>
                      <c:pt idx="13">
                        <c:v>6880</c:v>
                      </c:pt>
                      <c:pt idx="14">
                        <c:v>6885</c:v>
                      </c:pt>
                      <c:pt idx="15">
                        <c:v>6890</c:v>
                      </c:pt>
                      <c:pt idx="16">
                        <c:v>6895</c:v>
                      </c:pt>
                      <c:pt idx="17">
                        <c:v>6900</c:v>
                      </c:pt>
                      <c:pt idx="18">
                        <c:v>6905</c:v>
                      </c:pt>
                      <c:pt idx="19">
                        <c:v>6910</c:v>
                      </c:pt>
                      <c:pt idx="20">
                        <c:v>6915</c:v>
                      </c:pt>
                      <c:pt idx="21">
                        <c:v>6920</c:v>
                      </c:pt>
                      <c:pt idx="22">
                        <c:v>6925</c:v>
                      </c:pt>
                      <c:pt idx="23">
                        <c:v>6930</c:v>
                      </c:pt>
                      <c:pt idx="24">
                        <c:v>6935</c:v>
                      </c:pt>
                      <c:pt idx="25">
                        <c:v>6940</c:v>
                      </c:pt>
                      <c:pt idx="26">
                        <c:v>6945</c:v>
                      </c:pt>
                      <c:pt idx="27">
                        <c:v>6950</c:v>
                      </c:pt>
                      <c:pt idx="28">
                        <c:v>6955</c:v>
                      </c:pt>
                      <c:pt idx="29">
                        <c:v>6960</c:v>
                      </c:pt>
                      <c:pt idx="30">
                        <c:v>6965</c:v>
                      </c:pt>
                      <c:pt idx="31">
                        <c:v>6970</c:v>
                      </c:pt>
                      <c:pt idx="32">
                        <c:v>6975</c:v>
                      </c:pt>
                      <c:pt idx="33">
                        <c:v>6980</c:v>
                      </c:pt>
                      <c:pt idx="34">
                        <c:v>6985</c:v>
                      </c:pt>
                      <c:pt idx="35">
                        <c:v>6990</c:v>
                      </c:pt>
                      <c:pt idx="36">
                        <c:v>6995</c:v>
                      </c:pt>
                      <c:pt idx="37">
                        <c:v>7000</c:v>
                      </c:pt>
                      <c:pt idx="38">
                        <c:v>7005</c:v>
                      </c:pt>
                      <c:pt idx="39">
                        <c:v>7010</c:v>
                      </c:pt>
                      <c:pt idx="40">
                        <c:v>7015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'Main Sheet'!$B$3:$B$91</c15:sqref>
                        </c15:formulaRef>
                      </c:ext>
                    </c:extLst>
                    <c:numCache>
                      <c:formatCode>[&gt;=1000]0.0,"K";[&lt;=-1000]\-0.0,"K";0</c:formatCode>
                      <c:ptCount val="89"/>
                      <c:pt idx="0">
                        <c:v>-1116.1107552547237</c:v>
                      </c:pt>
                      <c:pt idx="1">
                        <c:v>3835.6689903748156</c:v>
                      </c:pt>
                      <c:pt idx="2">
                        <c:v>10482.925851354759</c:v>
                      </c:pt>
                      <c:pt idx="3">
                        <c:v>-271121.69487411692</c:v>
                      </c:pt>
                      <c:pt idx="4">
                        <c:v>79576.645681012247</c:v>
                      </c:pt>
                      <c:pt idx="5">
                        <c:v>9117.523282791386</c:v>
                      </c:pt>
                      <c:pt idx="6">
                        <c:v>137715.13329845556</c:v>
                      </c:pt>
                      <c:pt idx="7">
                        <c:v>24384.647772337274</c:v>
                      </c:pt>
                      <c:pt idx="8">
                        <c:v>104147.28983850995</c:v>
                      </c:pt>
                      <c:pt idx="9">
                        <c:v>38700.288438359566</c:v>
                      </c:pt>
                      <c:pt idx="10">
                        <c:v>45040.593343138207</c:v>
                      </c:pt>
                      <c:pt idx="11">
                        <c:v>-52374.033031225466</c:v>
                      </c:pt>
                      <c:pt idx="12">
                        <c:v>42483.05974494329</c:v>
                      </c:pt>
                      <c:pt idx="13">
                        <c:v>173867.40890583955</c:v>
                      </c:pt>
                      <c:pt idx="14">
                        <c:v>133467.88139999253</c:v>
                      </c:pt>
                      <c:pt idx="15">
                        <c:v>132093.28333860729</c:v>
                      </c:pt>
                      <c:pt idx="16">
                        <c:v>16084.776799109059</c:v>
                      </c:pt>
                      <c:pt idx="17">
                        <c:v>166616.45713768137</c:v>
                      </c:pt>
                      <c:pt idx="18">
                        <c:v>56310.488606208062</c:v>
                      </c:pt>
                      <c:pt idx="19">
                        <c:v>-50806.752201653697</c:v>
                      </c:pt>
                      <c:pt idx="20">
                        <c:v>156430.89240637296</c:v>
                      </c:pt>
                      <c:pt idx="21">
                        <c:v>8005.9015332053823</c:v>
                      </c:pt>
                      <c:pt idx="22">
                        <c:v>16549.188854318309</c:v>
                      </c:pt>
                      <c:pt idx="23">
                        <c:v>100393.76070507726</c:v>
                      </c:pt>
                      <c:pt idx="24">
                        <c:v>55721.980269326305</c:v>
                      </c:pt>
                      <c:pt idx="25">
                        <c:v>-30455.547558741149</c:v>
                      </c:pt>
                      <c:pt idx="26">
                        <c:v>-9236.0439471965947</c:v>
                      </c:pt>
                      <c:pt idx="27">
                        <c:v>-60832.952602299192</c:v>
                      </c:pt>
                      <c:pt idx="28">
                        <c:v>-92851.223065036815</c:v>
                      </c:pt>
                      <c:pt idx="29">
                        <c:v>-80366.693801793997</c:v>
                      </c:pt>
                      <c:pt idx="30">
                        <c:v>-38416.986520535647</c:v>
                      </c:pt>
                      <c:pt idx="31">
                        <c:v>-102714.39801394541</c:v>
                      </c:pt>
                      <c:pt idx="32">
                        <c:v>-29236.478890530787</c:v>
                      </c:pt>
                      <c:pt idx="33">
                        <c:v>-268804.08046253206</c:v>
                      </c:pt>
                      <c:pt idx="34">
                        <c:v>-41253.046952885925</c:v>
                      </c:pt>
                      <c:pt idx="35">
                        <c:v>-80132.09953304482</c:v>
                      </c:pt>
                      <c:pt idx="36">
                        <c:v>-39026.889469670459</c:v>
                      </c:pt>
                      <c:pt idx="37">
                        <c:v>-74854.146559058951</c:v>
                      </c:pt>
                      <c:pt idx="38">
                        <c:v>-67713.813869881429</c:v>
                      </c:pt>
                      <c:pt idx="39">
                        <c:v>-34998.766232202521</c:v>
                      </c:pt>
                      <c:pt idx="40">
                        <c:v>-21515.316642003454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D3EA-4B1E-BE8A-FDCC7CBD7FA0}"/>
                  </c:ext>
                </c:extLst>
              </c15:ser>
            </c15:filteredLineSeries>
          </c:ext>
        </c:extLst>
      </c:line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9200"/>
        <c:crossesAt val="0"/>
        <c:crossBetween val="between"/>
      </c:valAx>
      <c:valAx>
        <c:axId val="166338547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3385951"/>
        <c:crosses val="autoZero"/>
        <c:crossBetween val="between"/>
      </c:valAx>
      <c:catAx>
        <c:axId val="16633859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63385471"/>
        <c:crosses val="autoZero"/>
        <c:auto val="1"/>
        <c:lblAlgn val="ctr"/>
        <c:lblOffset val="100"/>
        <c:noMultiLvlLbl val="0"/>
      </c:cat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3956983193670901"/>
          <c:y val="0.95316543653590469"/>
          <c:w val="0.22791722076817797"/>
          <c:h val="4.58536231780073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1/23/2026</c:v>
            </c:pt>
          </c:strCache>
        </c:strRef>
      </c:tx>
      <c:layout>
        <c:manualLayout>
          <c:xMode val="edge"/>
          <c:yMode val="edge"/>
          <c:x val="0.45052887007040787"/>
          <c:y val="2.248039868544541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7.1171603260758554E-2"/>
          <c:w val="0.926030427626514"/>
          <c:h val="0.72194757359135275"/>
        </c:manualLayout>
      </c:layout>
      <c:barChart>
        <c:barDir val="col"/>
        <c:grouping val="clustered"/>
        <c:varyColors val="0"/>
        <c:ser>
          <c:idx val="5"/>
          <c:order val="0"/>
          <c:tx>
            <c:v>net vanna</c:v>
          </c:tx>
          <c:spPr>
            <a:solidFill>
              <a:srgbClr val="4AF6C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6815</c:v>
                </c:pt>
                <c:pt idx="1">
                  <c:v>6820</c:v>
                </c:pt>
                <c:pt idx="2">
                  <c:v>6825</c:v>
                </c:pt>
                <c:pt idx="3">
                  <c:v>6830</c:v>
                </c:pt>
                <c:pt idx="4">
                  <c:v>6835</c:v>
                </c:pt>
                <c:pt idx="5">
                  <c:v>6840</c:v>
                </c:pt>
                <c:pt idx="6">
                  <c:v>6845</c:v>
                </c:pt>
                <c:pt idx="7">
                  <c:v>6850</c:v>
                </c:pt>
                <c:pt idx="8">
                  <c:v>6855</c:v>
                </c:pt>
                <c:pt idx="9">
                  <c:v>6860</c:v>
                </c:pt>
                <c:pt idx="10">
                  <c:v>6865</c:v>
                </c:pt>
                <c:pt idx="11">
                  <c:v>6870</c:v>
                </c:pt>
                <c:pt idx="12">
                  <c:v>6875</c:v>
                </c:pt>
                <c:pt idx="13">
                  <c:v>6880</c:v>
                </c:pt>
                <c:pt idx="14">
                  <c:v>6885</c:v>
                </c:pt>
                <c:pt idx="15">
                  <c:v>6890</c:v>
                </c:pt>
                <c:pt idx="16">
                  <c:v>6895</c:v>
                </c:pt>
                <c:pt idx="17">
                  <c:v>6900</c:v>
                </c:pt>
                <c:pt idx="18">
                  <c:v>6905</c:v>
                </c:pt>
                <c:pt idx="19">
                  <c:v>6910</c:v>
                </c:pt>
                <c:pt idx="20">
                  <c:v>6915</c:v>
                </c:pt>
                <c:pt idx="21">
                  <c:v>6920</c:v>
                </c:pt>
                <c:pt idx="22">
                  <c:v>6925</c:v>
                </c:pt>
                <c:pt idx="23">
                  <c:v>6930</c:v>
                </c:pt>
                <c:pt idx="24">
                  <c:v>6935</c:v>
                </c:pt>
                <c:pt idx="25">
                  <c:v>6940</c:v>
                </c:pt>
                <c:pt idx="26">
                  <c:v>6945</c:v>
                </c:pt>
                <c:pt idx="27">
                  <c:v>6950</c:v>
                </c:pt>
                <c:pt idx="28">
                  <c:v>6955</c:v>
                </c:pt>
                <c:pt idx="29">
                  <c:v>6960</c:v>
                </c:pt>
                <c:pt idx="30">
                  <c:v>6965</c:v>
                </c:pt>
                <c:pt idx="31">
                  <c:v>6970</c:v>
                </c:pt>
                <c:pt idx="32">
                  <c:v>6975</c:v>
                </c:pt>
                <c:pt idx="33">
                  <c:v>6980</c:v>
                </c:pt>
                <c:pt idx="34">
                  <c:v>6985</c:v>
                </c:pt>
                <c:pt idx="35">
                  <c:v>6990</c:v>
                </c:pt>
                <c:pt idx="36">
                  <c:v>6995</c:v>
                </c:pt>
                <c:pt idx="37">
                  <c:v>7000</c:v>
                </c:pt>
                <c:pt idx="38">
                  <c:v>7005</c:v>
                </c:pt>
                <c:pt idx="39">
                  <c:v>7010</c:v>
                </c:pt>
                <c:pt idx="40">
                  <c:v>7015</c:v>
                </c:pt>
              </c:numCache>
            </c:numRef>
          </c:cat>
          <c:val>
            <c:numRef>
              <c:f>[0]!vanna1</c:f>
              <c:numCache>
                <c:formatCode>General</c:formatCode>
                <c:ptCount val="41"/>
                <c:pt idx="0">
                  <c:v>283821.15395662951</c:v>
                </c:pt>
                <c:pt idx="1">
                  <c:v>523050.01882901043</c:v>
                </c:pt>
                <c:pt idx="2">
                  <c:v>1123051.8531634745</c:v>
                </c:pt>
                <c:pt idx="3">
                  <c:v>1377352.8977896005</c:v>
                </c:pt>
                <c:pt idx="4">
                  <c:v>777993.69225195493</c:v>
                </c:pt>
                <c:pt idx="5">
                  <c:v>1697465.4836328214</c:v>
                </c:pt>
                <c:pt idx="6">
                  <c:v>917838.80237178295</c:v>
                </c:pt>
                <c:pt idx="7">
                  <c:v>6244603.8715181667</c:v>
                </c:pt>
                <c:pt idx="8">
                  <c:v>752987.84715350065</c:v>
                </c:pt>
                <c:pt idx="9">
                  <c:v>7905702.4708374972</c:v>
                </c:pt>
                <c:pt idx="10">
                  <c:v>4829187.8774395781</c:v>
                </c:pt>
                <c:pt idx="11">
                  <c:v>9390742.8483629469</c:v>
                </c:pt>
                <c:pt idx="12">
                  <c:v>21870989.285373688</c:v>
                </c:pt>
                <c:pt idx="13">
                  <c:v>16546821.998294158</c:v>
                </c:pt>
                <c:pt idx="14">
                  <c:v>8047328.6005672691</c:v>
                </c:pt>
                <c:pt idx="15">
                  <c:v>7902695.8376503028</c:v>
                </c:pt>
                <c:pt idx="16">
                  <c:v>13463107.29414844</c:v>
                </c:pt>
                <c:pt idx="17">
                  <c:v>61826127.968151368</c:v>
                </c:pt>
                <c:pt idx="18">
                  <c:v>5236608.8354866775</c:v>
                </c:pt>
                <c:pt idx="19">
                  <c:v>5612501.6169478875</c:v>
                </c:pt>
                <c:pt idx="20">
                  <c:v>4677248.2311649788</c:v>
                </c:pt>
                <c:pt idx="21">
                  <c:v>441616.00661532726</c:v>
                </c:pt>
                <c:pt idx="22">
                  <c:v>-6711637.9185746312</c:v>
                </c:pt>
                <c:pt idx="23">
                  <c:v>-6404980.4018474082</c:v>
                </c:pt>
                <c:pt idx="24">
                  <c:v>-4201379.3099637991</c:v>
                </c:pt>
                <c:pt idx="25">
                  <c:v>-9253819.4190202784</c:v>
                </c:pt>
                <c:pt idx="26">
                  <c:v>-9883016.6573950574</c:v>
                </c:pt>
                <c:pt idx="27">
                  <c:v>-49540158.424377404</c:v>
                </c:pt>
                <c:pt idx="28">
                  <c:v>-5997855.0515464693</c:v>
                </c:pt>
                <c:pt idx="29">
                  <c:v>-16031672.228977721</c:v>
                </c:pt>
                <c:pt idx="30">
                  <c:v>-4925466.0004819809</c:v>
                </c:pt>
                <c:pt idx="31">
                  <c:v>-4218010.5949452436</c:v>
                </c:pt>
                <c:pt idx="32">
                  <c:v>-6895497.9741484486</c:v>
                </c:pt>
                <c:pt idx="33">
                  <c:v>-4013669.2913381965</c:v>
                </c:pt>
                <c:pt idx="34">
                  <c:v>-3598930.0551118096</c:v>
                </c:pt>
                <c:pt idx="35">
                  <c:v>-2663491.7656663158</c:v>
                </c:pt>
                <c:pt idx="36">
                  <c:v>-1625015.8250665721</c:v>
                </c:pt>
                <c:pt idx="37">
                  <c:v>-41583717.724945538</c:v>
                </c:pt>
                <c:pt idx="38">
                  <c:v>-237211.27662609579</c:v>
                </c:pt>
                <c:pt idx="39">
                  <c:v>-825337.18276848726</c:v>
                </c:pt>
                <c:pt idx="40">
                  <c:v>-743444.33109396696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A2-48CF-BACC-57FF2EB78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-2133539200"/>
        <c:axId val="-2133534848"/>
      </c:bar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2133539200"/>
        <c:crossesAt val="0"/>
        <c:crossBetween val="between"/>
      </c:val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4329176700320897"/>
          <c:y val="0.92052236776920904"/>
          <c:w val="0.18263869305435365"/>
          <c:h val="7.78142839974104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1/23/2026</c:v>
            </c:pt>
          </c:strCache>
        </c:strRef>
      </c:tx>
      <c:layout>
        <c:manualLayout>
          <c:xMode val="edge"/>
          <c:yMode val="edge"/>
          <c:x val="0.45052887007040787"/>
          <c:y val="2.248039868544541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4.7823773499539597E-2"/>
          <c:w val="0.94217827197722226"/>
          <c:h val="0.74529531278377081"/>
        </c:manualLayout>
      </c:layout>
      <c:barChart>
        <c:barDir val="col"/>
        <c:grouping val="clustered"/>
        <c:varyColors val="0"/>
        <c:ser>
          <c:idx val="4"/>
          <c:order val="1"/>
          <c:tx>
            <c:v>net charm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6815</c:v>
                </c:pt>
                <c:pt idx="1">
                  <c:v>6820</c:v>
                </c:pt>
                <c:pt idx="2">
                  <c:v>6825</c:v>
                </c:pt>
                <c:pt idx="3">
                  <c:v>6830</c:v>
                </c:pt>
                <c:pt idx="4">
                  <c:v>6835</c:v>
                </c:pt>
                <c:pt idx="5">
                  <c:v>6840</c:v>
                </c:pt>
                <c:pt idx="6">
                  <c:v>6845</c:v>
                </c:pt>
                <c:pt idx="7">
                  <c:v>6850</c:v>
                </c:pt>
                <c:pt idx="8">
                  <c:v>6855</c:v>
                </c:pt>
                <c:pt idx="9">
                  <c:v>6860</c:v>
                </c:pt>
                <c:pt idx="10">
                  <c:v>6865</c:v>
                </c:pt>
                <c:pt idx="11">
                  <c:v>6870</c:v>
                </c:pt>
                <c:pt idx="12">
                  <c:v>6875</c:v>
                </c:pt>
                <c:pt idx="13">
                  <c:v>6880</c:v>
                </c:pt>
                <c:pt idx="14">
                  <c:v>6885</c:v>
                </c:pt>
                <c:pt idx="15">
                  <c:v>6890</c:v>
                </c:pt>
                <c:pt idx="16">
                  <c:v>6895</c:v>
                </c:pt>
                <c:pt idx="17">
                  <c:v>6900</c:v>
                </c:pt>
                <c:pt idx="18">
                  <c:v>6905</c:v>
                </c:pt>
                <c:pt idx="19">
                  <c:v>6910</c:v>
                </c:pt>
                <c:pt idx="20">
                  <c:v>6915</c:v>
                </c:pt>
                <c:pt idx="21">
                  <c:v>6920</c:v>
                </c:pt>
                <c:pt idx="22">
                  <c:v>6925</c:v>
                </c:pt>
                <c:pt idx="23">
                  <c:v>6930</c:v>
                </c:pt>
                <c:pt idx="24">
                  <c:v>6935</c:v>
                </c:pt>
                <c:pt idx="25">
                  <c:v>6940</c:v>
                </c:pt>
                <c:pt idx="26">
                  <c:v>6945</c:v>
                </c:pt>
                <c:pt idx="27">
                  <c:v>6950</c:v>
                </c:pt>
                <c:pt idx="28">
                  <c:v>6955</c:v>
                </c:pt>
                <c:pt idx="29">
                  <c:v>6960</c:v>
                </c:pt>
                <c:pt idx="30">
                  <c:v>6965</c:v>
                </c:pt>
                <c:pt idx="31">
                  <c:v>6970</c:v>
                </c:pt>
                <c:pt idx="32">
                  <c:v>6975</c:v>
                </c:pt>
                <c:pt idx="33">
                  <c:v>6980</c:v>
                </c:pt>
                <c:pt idx="34">
                  <c:v>6985</c:v>
                </c:pt>
                <c:pt idx="35">
                  <c:v>6990</c:v>
                </c:pt>
                <c:pt idx="36">
                  <c:v>6995</c:v>
                </c:pt>
                <c:pt idx="37">
                  <c:v>7000</c:v>
                </c:pt>
                <c:pt idx="38">
                  <c:v>7005</c:v>
                </c:pt>
                <c:pt idx="39">
                  <c:v>7010</c:v>
                </c:pt>
                <c:pt idx="40">
                  <c:v>7015</c:v>
                </c:pt>
              </c:numCache>
            </c:numRef>
          </c:cat>
          <c:val>
            <c:numRef>
              <c:f>[0]!charm1</c:f>
              <c:numCache>
                <c:formatCode>General</c:formatCode>
                <c:ptCount val="41"/>
                <c:pt idx="0">
                  <c:v>1025003.6532788581</c:v>
                </c:pt>
                <c:pt idx="1">
                  <c:v>1547025.9657398132</c:v>
                </c:pt>
                <c:pt idx="2">
                  <c:v>2755013.395156025</c:v>
                </c:pt>
                <c:pt idx="3">
                  <c:v>2776702.5831649685</c:v>
                </c:pt>
                <c:pt idx="4">
                  <c:v>1306584.0004338112</c:v>
                </c:pt>
                <c:pt idx="5">
                  <c:v>2390677.3661444033</c:v>
                </c:pt>
                <c:pt idx="6">
                  <c:v>1079299.7908861525</c:v>
                </c:pt>
                <c:pt idx="7">
                  <c:v>6041134.7880290505</c:v>
                </c:pt>
                <c:pt idx="8">
                  <c:v>548969.22516351799</c:v>
                </c:pt>
                <c:pt idx="9">
                  <c:v>1871147.2068929477</c:v>
                </c:pt>
                <c:pt idx="10">
                  <c:v>694192.4145469846</c:v>
                </c:pt>
                <c:pt idx="11">
                  <c:v>1050910.4459852814</c:v>
                </c:pt>
                <c:pt idx="12">
                  <c:v>1210686.6846668248</c:v>
                </c:pt>
                <c:pt idx="13">
                  <c:v>313582.58761205367</c:v>
                </c:pt>
                <c:pt idx="14">
                  <c:v>-144200.53294831573</c:v>
                </c:pt>
                <c:pt idx="15">
                  <c:v>-638930.66718822741</c:v>
                </c:pt>
                <c:pt idx="16">
                  <c:v>-1418213.8077847897</c:v>
                </c:pt>
                <c:pt idx="17">
                  <c:v>-13857602.349455994</c:v>
                </c:pt>
                <c:pt idx="18">
                  <c:v>-1999541.9221671992</c:v>
                </c:pt>
                <c:pt idx="19">
                  <c:v>-4094737.8265587222</c:v>
                </c:pt>
                <c:pt idx="20">
                  <c:v>-6764975.918028621</c:v>
                </c:pt>
                <c:pt idx="21">
                  <c:v>-9075227.4689991381</c:v>
                </c:pt>
                <c:pt idx="22">
                  <c:v>-18890695.262248162</c:v>
                </c:pt>
                <c:pt idx="23">
                  <c:v>-9601279.3320177086</c:v>
                </c:pt>
                <c:pt idx="24">
                  <c:v>-4773735.7378771435</c:v>
                </c:pt>
                <c:pt idx="25">
                  <c:v>-9238653.3089270014</c:v>
                </c:pt>
                <c:pt idx="26">
                  <c:v>-9465896.4896639995</c:v>
                </c:pt>
                <c:pt idx="27">
                  <c:v>-42378436.271217369</c:v>
                </c:pt>
                <c:pt idx="28">
                  <c:v>-5432378.7488956749</c:v>
                </c:pt>
                <c:pt idx="29">
                  <c:v>-11962173.035077384</c:v>
                </c:pt>
                <c:pt idx="30">
                  <c:v>-5097568.3061326891</c:v>
                </c:pt>
                <c:pt idx="31">
                  <c:v>-4699424.6030531405</c:v>
                </c:pt>
                <c:pt idx="32">
                  <c:v>-9205990.7287986744</c:v>
                </c:pt>
                <c:pt idx="33">
                  <c:v>-4744837.4928641394</c:v>
                </c:pt>
                <c:pt idx="34">
                  <c:v>-8557272.3658886869</c:v>
                </c:pt>
                <c:pt idx="35">
                  <c:v>-3170943.3854237045</c:v>
                </c:pt>
                <c:pt idx="36">
                  <c:v>-5134916.5666532023</c:v>
                </c:pt>
                <c:pt idx="37">
                  <c:v>-36544903.553659439</c:v>
                </c:pt>
                <c:pt idx="38">
                  <c:v>-779116.48697614437</c:v>
                </c:pt>
                <c:pt idx="39">
                  <c:v>-1258909.5120700994</c:v>
                </c:pt>
                <c:pt idx="40">
                  <c:v>-961621.97613706882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90-4D24-A79C-13C8112E9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-2133539200"/>
        <c:axId val="-2133534848"/>
        <c:extLst>
          <c:ext xmlns:c15="http://schemas.microsoft.com/office/drawing/2012/chart" uri="{02D57815-91ED-43cb-92C2-25804820EDAC}">
            <c15:filteredBarSeries>
              <c15:ser>
                <c:idx val="5"/>
                <c:order val="2"/>
                <c:tx>
                  <c:v>net vanna</c:v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6815</c:v>
                      </c:pt>
                      <c:pt idx="1">
                        <c:v>6820</c:v>
                      </c:pt>
                      <c:pt idx="2">
                        <c:v>6825</c:v>
                      </c:pt>
                      <c:pt idx="3">
                        <c:v>6830</c:v>
                      </c:pt>
                      <c:pt idx="4">
                        <c:v>6835</c:v>
                      </c:pt>
                      <c:pt idx="5">
                        <c:v>6840</c:v>
                      </c:pt>
                      <c:pt idx="6">
                        <c:v>6845</c:v>
                      </c:pt>
                      <c:pt idx="7">
                        <c:v>6850</c:v>
                      </c:pt>
                      <c:pt idx="8">
                        <c:v>6855</c:v>
                      </c:pt>
                      <c:pt idx="9">
                        <c:v>6860</c:v>
                      </c:pt>
                      <c:pt idx="10">
                        <c:v>6865</c:v>
                      </c:pt>
                      <c:pt idx="11">
                        <c:v>6870</c:v>
                      </c:pt>
                      <c:pt idx="12">
                        <c:v>6875</c:v>
                      </c:pt>
                      <c:pt idx="13">
                        <c:v>6880</c:v>
                      </c:pt>
                      <c:pt idx="14">
                        <c:v>6885</c:v>
                      </c:pt>
                      <c:pt idx="15">
                        <c:v>6890</c:v>
                      </c:pt>
                      <c:pt idx="16">
                        <c:v>6895</c:v>
                      </c:pt>
                      <c:pt idx="17">
                        <c:v>6900</c:v>
                      </c:pt>
                      <c:pt idx="18">
                        <c:v>6905</c:v>
                      </c:pt>
                      <c:pt idx="19">
                        <c:v>6910</c:v>
                      </c:pt>
                      <c:pt idx="20">
                        <c:v>6915</c:v>
                      </c:pt>
                      <c:pt idx="21">
                        <c:v>6920</c:v>
                      </c:pt>
                      <c:pt idx="22">
                        <c:v>6925</c:v>
                      </c:pt>
                      <c:pt idx="23">
                        <c:v>6930</c:v>
                      </c:pt>
                      <c:pt idx="24">
                        <c:v>6935</c:v>
                      </c:pt>
                      <c:pt idx="25">
                        <c:v>6940</c:v>
                      </c:pt>
                      <c:pt idx="26">
                        <c:v>6945</c:v>
                      </c:pt>
                      <c:pt idx="27">
                        <c:v>6950</c:v>
                      </c:pt>
                      <c:pt idx="28">
                        <c:v>6955</c:v>
                      </c:pt>
                      <c:pt idx="29">
                        <c:v>6960</c:v>
                      </c:pt>
                      <c:pt idx="30">
                        <c:v>6965</c:v>
                      </c:pt>
                      <c:pt idx="31">
                        <c:v>6970</c:v>
                      </c:pt>
                      <c:pt idx="32">
                        <c:v>6975</c:v>
                      </c:pt>
                      <c:pt idx="33">
                        <c:v>6980</c:v>
                      </c:pt>
                      <c:pt idx="34">
                        <c:v>6985</c:v>
                      </c:pt>
                      <c:pt idx="35">
                        <c:v>6990</c:v>
                      </c:pt>
                      <c:pt idx="36">
                        <c:v>6995</c:v>
                      </c:pt>
                      <c:pt idx="37">
                        <c:v>7000</c:v>
                      </c:pt>
                      <c:pt idx="38">
                        <c:v>7005</c:v>
                      </c:pt>
                      <c:pt idx="39">
                        <c:v>7010</c:v>
                      </c:pt>
                      <c:pt idx="40">
                        <c:v>7015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[0]!vanna1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283821.15395662951</c:v>
                      </c:pt>
                      <c:pt idx="1">
                        <c:v>523050.01882901043</c:v>
                      </c:pt>
                      <c:pt idx="2">
                        <c:v>1123051.8531634745</c:v>
                      </c:pt>
                      <c:pt idx="3">
                        <c:v>1377352.8977896005</c:v>
                      </c:pt>
                      <c:pt idx="4">
                        <c:v>777993.69225195493</c:v>
                      </c:pt>
                      <c:pt idx="5">
                        <c:v>1697465.4836328214</c:v>
                      </c:pt>
                      <c:pt idx="6">
                        <c:v>917838.80237178295</c:v>
                      </c:pt>
                      <c:pt idx="7">
                        <c:v>6244603.8715181667</c:v>
                      </c:pt>
                      <c:pt idx="8">
                        <c:v>752987.84715350065</c:v>
                      </c:pt>
                      <c:pt idx="9">
                        <c:v>7905702.4708374972</c:v>
                      </c:pt>
                      <c:pt idx="10">
                        <c:v>4829187.8774395781</c:v>
                      </c:pt>
                      <c:pt idx="11">
                        <c:v>9390742.8483629469</c:v>
                      </c:pt>
                      <c:pt idx="12">
                        <c:v>21870989.285373688</c:v>
                      </c:pt>
                      <c:pt idx="13">
                        <c:v>16546821.998294158</c:v>
                      </c:pt>
                      <c:pt idx="14">
                        <c:v>8047328.6005672691</c:v>
                      </c:pt>
                      <c:pt idx="15">
                        <c:v>7902695.8376503028</c:v>
                      </c:pt>
                      <c:pt idx="16">
                        <c:v>13463107.29414844</c:v>
                      </c:pt>
                      <c:pt idx="17">
                        <c:v>61826127.968151368</c:v>
                      </c:pt>
                      <c:pt idx="18">
                        <c:v>5236608.8354866775</c:v>
                      </c:pt>
                      <c:pt idx="19">
                        <c:v>5612501.6169478875</c:v>
                      </c:pt>
                      <c:pt idx="20">
                        <c:v>4677248.2311649788</c:v>
                      </c:pt>
                      <c:pt idx="21">
                        <c:v>441616.00661532726</c:v>
                      </c:pt>
                      <c:pt idx="22">
                        <c:v>-6711637.9185746312</c:v>
                      </c:pt>
                      <c:pt idx="23">
                        <c:v>-6404980.4018474082</c:v>
                      </c:pt>
                      <c:pt idx="24">
                        <c:v>-4201379.3099637991</c:v>
                      </c:pt>
                      <c:pt idx="25">
                        <c:v>-9253819.4190202784</c:v>
                      </c:pt>
                      <c:pt idx="26">
                        <c:v>-9883016.6573950574</c:v>
                      </c:pt>
                      <c:pt idx="27">
                        <c:v>-49540158.424377404</c:v>
                      </c:pt>
                      <c:pt idx="28">
                        <c:v>-5997855.0515464693</c:v>
                      </c:pt>
                      <c:pt idx="29">
                        <c:v>-16031672.228977721</c:v>
                      </c:pt>
                      <c:pt idx="30">
                        <c:v>-4925466.0004819809</c:v>
                      </c:pt>
                      <c:pt idx="31">
                        <c:v>-4218010.5949452436</c:v>
                      </c:pt>
                      <c:pt idx="32">
                        <c:v>-6895497.9741484486</c:v>
                      </c:pt>
                      <c:pt idx="33">
                        <c:v>-4013669.2913381965</c:v>
                      </c:pt>
                      <c:pt idx="34">
                        <c:v>-3598930.0551118096</c:v>
                      </c:pt>
                      <c:pt idx="35">
                        <c:v>-2663491.7656663158</c:v>
                      </c:pt>
                      <c:pt idx="36">
                        <c:v>-1625015.8250665721</c:v>
                      </c:pt>
                      <c:pt idx="37">
                        <c:v>-41583717.724945538</c:v>
                      </c:pt>
                      <c:pt idx="38">
                        <c:v>-237211.27662609579</c:v>
                      </c:pt>
                      <c:pt idx="39">
                        <c:v>-825337.18276848726</c:v>
                      </c:pt>
                      <c:pt idx="40">
                        <c:v>-743444.33109396696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B90-4D24-A79C-13C8112E9831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74415"/>
        <c:axId val="189222095"/>
        <c:extLst>
          <c:ext xmlns:c15="http://schemas.microsoft.com/office/drawing/2012/chart" uri="{02D57815-91ED-43cb-92C2-25804820EDAC}">
            <c15:filteredLineSeries>
              <c15:ser>
                <c:idx val="2"/>
                <c:order val="0"/>
                <c:tx>
                  <c:v>IV</c:v>
                </c:tx>
                <c:spPr>
                  <a:ln w="34925" cap="rnd">
                    <a:solidFill>
                      <a:schemeClr val="bg1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6815</c:v>
                      </c:pt>
                      <c:pt idx="1">
                        <c:v>6820</c:v>
                      </c:pt>
                      <c:pt idx="2">
                        <c:v>6825</c:v>
                      </c:pt>
                      <c:pt idx="3">
                        <c:v>6830</c:v>
                      </c:pt>
                      <c:pt idx="4">
                        <c:v>6835</c:v>
                      </c:pt>
                      <c:pt idx="5">
                        <c:v>6840</c:v>
                      </c:pt>
                      <c:pt idx="6">
                        <c:v>6845</c:v>
                      </c:pt>
                      <c:pt idx="7">
                        <c:v>6850</c:v>
                      </c:pt>
                      <c:pt idx="8">
                        <c:v>6855</c:v>
                      </c:pt>
                      <c:pt idx="9">
                        <c:v>6860</c:v>
                      </c:pt>
                      <c:pt idx="10">
                        <c:v>6865</c:v>
                      </c:pt>
                      <c:pt idx="11">
                        <c:v>6870</c:v>
                      </c:pt>
                      <c:pt idx="12">
                        <c:v>6875</c:v>
                      </c:pt>
                      <c:pt idx="13">
                        <c:v>6880</c:v>
                      </c:pt>
                      <c:pt idx="14">
                        <c:v>6885</c:v>
                      </c:pt>
                      <c:pt idx="15">
                        <c:v>6890</c:v>
                      </c:pt>
                      <c:pt idx="16">
                        <c:v>6895</c:v>
                      </c:pt>
                      <c:pt idx="17">
                        <c:v>6900</c:v>
                      </c:pt>
                      <c:pt idx="18">
                        <c:v>6905</c:v>
                      </c:pt>
                      <c:pt idx="19">
                        <c:v>6910</c:v>
                      </c:pt>
                      <c:pt idx="20">
                        <c:v>6915</c:v>
                      </c:pt>
                      <c:pt idx="21">
                        <c:v>6920</c:v>
                      </c:pt>
                      <c:pt idx="22">
                        <c:v>6925</c:v>
                      </c:pt>
                      <c:pt idx="23">
                        <c:v>6930</c:v>
                      </c:pt>
                      <c:pt idx="24">
                        <c:v>6935</c:v>
                      </c:pt>
                      <c:pt idx="25">
                        <c:v>6940</c:v>
                      </c:pt>
                      <c:pt idx="26">
                        <c:v>6945</c:v>
                      </c:pt>
                      <c:pt idx="27">
                        <c:v>6950</c:v>
                      </c:pt>
                      <c:pt idx="28">
                        <c:v>6955</c:v>
                      </c:pt>
                      <c:pt idx="29">
                        <c:v>6960</c:v>
                      </c:pt>
                      <c:pt idx="30">
                        <c:v>6965</c:v>
                      </c:pt>
                      <c:pt idx="31">
                        <c:v>6970</c:v>
                      </c:pt>
                      <c:pt idx="32">
                        <c:v>6975</c:v>
                      </c:pt>
                      <c:pt idx="33">
                        <c:v>6980</c:v>
                      </c:pt>
                      <c:pt idx="34">
                        <c:v>6985</c:v>
                      </c:pt>
                      <c:pt idx="35">
                        <c:v>6990</c:v>
                      </c:pt>
                      <c:pt idx="36">
                        <c:v>6995</c:v>
                      </c:pt>
                      <c:pt idx="37">
                        <c:v>7000</c:v>
                      </c:pt>
                      <c:pt idx="38">
                        <c:v>7005</c:v>
                      </c:pt>
                      <c:pt idx="39">
                        <c:v>7010</c:v>
                      </c:pt>
                      <c:pt idx="40">
                        <c:v>7015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[0]!IV_1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0.18400688547353167</c:v>
                      </c:pt>
                      <c:pt idx="1">
                        <c:v>0.18221705479896641</c:v>
                      </c:pt>
                      <c:pt idx="2">
                        <c:v>0.18022317024165874</c:v>
                      </c:pt>
                      <c:pt idx="3">
                        <c:v>0.17664088771720515</c:v>
                      </c:pt>
                      <c:pt idx="4">
                        <c:v>0.17384713601824275</c:v>
                      </c:pt>
                      <c:pt idx="5">
                        <c:v>0.17159877380001254</c:v>
                      </c:pt>
                      <c:pt idx="6">
                        <c:v>0.16933754683301233</c:v>
                      </c:pt>
                      <c:pt idx="7">
                        <c:v>0.16665099106808279</c:v>
                      </c:pt>
                      <c:pt idx="8">
                        <c:v>0.16384955583655231</c:v>
                      </c:pt>
                      <c:pt idx="9">
                        <c:v>8.7549660146172076E-2</c:v>
                      </c:pt>
                      <c:pt idx="10">
                        <c:v>0.10248131475845175</c:v>
                      </c:pt>
                      <c:pt idx="11">
                        <c:v>0.10976835240709375</c:v>
                      </c:pt>
                      <c:pt idx="12">
                        <c:v>0.11259786458791556</c:v>
                      </c:pt>
                      <c:pt idx="13">
                        <c:v>0.11615555425258559</c:v>
                      </c:pt>
                      <c:pt idx="14">
                        <c:v>0.11852715733490957</c:v>
                      </c:pt>
                      <c:pt idx="15">
                        <c:v>0.12014418077332148</c:v>
                      </c:pt>
                      <c:pt idx="16">
                        <c:v>0.12160703936754415</c:v>
                      </c:pt>
                      <c:pt idx="17">
                        <c:v>0.12258823541190302</c:v>
                      </c:pt>
                      <c:pt idx="18">
                        <c:v>0.12341623303367075</c:v>
                      </c:pt>
                      <c:pt idx="19">
                        <c:v>0.12427360190796766</c:v>
                      </c:pt>
                      <c:pt idx="20">
                        <c:v>0.12545574355621728</c:v>
                      </c:pt>
                      <c:pt idx="21">
                        <c:v>0.12646625765257094</c:v>
                      </c:pt>
                      <c:pt idx="22">
                        <c:v>0.12748304001714347</c:v>
                      </c:pt>
                      <c:pt idx="23">
                        <c:v>0.12911050043439212</c:v>
                      </c:pt>
                      <c:pt idx="24">
                        <c:v>0.13008302336738117</c:v>
                      </c:pt>
                      <c:pt idx="25">
                        <c:v>0.13238121204618628</c:v>
                      </c:pt>
                      <c:pt idx="26">
                        <c:v>0.13540670995667589</c:v>
                      </c:pt>
                      <c:pt idx="27">
                        <c:v>0.13940323446839686</c:v>
                      </c:pt>
                      <c:pt idx="28">
                        <c:v>0.14417502455814851</c:v>
                      </c:pt>
                      <c:pt idx="29">
                        <c:v>0.14965288791618611</c:v>
                      </c:pt>
                      <c:pt idx="30">
                        <c:v>0.15550036702941394</c:v>
                      </c:pt>
                      <c:pt idx="31">
                        <c:v>0.16268507829873671</c:v>
                      </c:pt>
                      <c:pt idx="32">
                        <c:v>0.16876131167352071</c:v>
                      </c:pt>
                      <c:pt idx="33">
                        <c:v>0.17642013420034691</c:v>
                      </c:pt>
                      <c:pt idx="34">
                        <c:v>0.18394027739344745</c:v>
                      </c:pt>
                      <c:pt idx="35">
                        <c:v>0.19180815566145509</c:v>
                      </c:pt>
                      <c:pt idx="36">
                        <c:v>0.20010705858935268</c:v>
                      </c:pt>
                      <c:pt idx="37">
                        <c:v>0.2082824941320468</c:v>
                      </c:pt>
                      <c:pt idx="38">
                        <c:v>0.2169778410067377</c:v>
                      </c:pt>
                      <c:pt idx="39">
                        <c:v>0.22492888294235022</c:v>
                      </c:pt>
                      <c:pt idx="40">
                        <c:v>0.23275703617378968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B90-4D24-A79C-13C8112E9831}"/>
                  </c:ext>
                </c:extLst>
              </c15:ser>
            </c15:filteredLineSeries>
          </c:ext>
        </c:extLst>
      </c:line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2133539200"/>
        <c:crossesAt val="0"/>
        <c:crossBetween val="between"/>
      </c:valAx>
      <c:valAx>
        <c:axId val="189222095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89274415"/>
        <c:crosses val="max"/>
        <c:crossBetween val="between"/>
      </c:valAx>
      <c:catAx>
        <c:axId val="189274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9222095"/>
        <c:crosses val="autoZero"/>
        <c:auto val="1"/>
        <c:lblAlgn val="ctr"/>
        <c:lblOffset val="100"/>
        <c:noMultiLvlLbl val="0"/>
      </c:cat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3956983193670901"/>
          <c:y val="0.95316543653590469"/>
          <c:w val="0.19138133167198562"/>
          <c:h val="4.68346359573799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40822</xdr:colOff>
      <xdr:row>3</xdr:row>
      <xdr:rowOff>24087</xdr:rowOff>
    </xdr:from>
    <xdr:to>
      <xdr:col>29</xdr:col>
      <xdr:colOff>326572</xdr:colOff>
      <xdr:row>22</xdr:row>
      <xdr:rowOff>69874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42D309-2BA3-465B-A651-DFCB69799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866775</xdr:colOff>
          <xdr:row>0</xdr:row>
          <xdr:rowOff>95250</xdr:rowOff>
        </xdr:from>
        <xdr:to>
          <xdr:col>8</xdr:col>
          <xdr:colOff>1504950</xdr:colOff>
          <xdr:row>1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800" b="0" i="0" u="none" strike="noStrike" baseline="0">
                  <a:solidFill>
                    <a:srgbClr val="000000"/>
                  </a:solidFill>
                  <a:latin typeface="Aptos Narrow"/>
                </a:rPr>
                <a:t>Flip Y axis</a:t>
              </a:r>
            </a:p>
          </xdr:txBody>
        </xdr:sp>
        <xdr:clientData fPrintsWithSheet="0"/>
      </xdr:twoCellAnchor>
    </mc:Choice>
    <mc:Fallback/>
  </mc:AlternateContent>
  <xdr:twoCellAnchor>
    <xdr:from>
      <xdr:col>29</xdr:col>
      <xdr:colOff>87677</xdr:colOff>
      <xdr:row>2</xdr:row>
      <xdr:rowOff>146216</xdr:rowOff>
    </xdr:from>
    <xdr:to>
      <xdr:col>43</xdr:col>
      <xdr:colOff>326572</xdr:colOff>
      <xdr:row>22</xdr:row>
      <xdr:rowOff>143192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25C285-AC6F-47D3-93B3-C7B6E72A0E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176893</xdr:colOff>
      <xdr:row>23</xdr:row>
      <xdr:rowOff>102380</xdr:rowOff>
    </xdr:from>
    <xdr:to>
      <xdr:col>29</xdr:col>
      <xdr:colOff>285750</xdr:colOff>
      <xdr:row>43</xdr:row>
      <xdr:rowOff>169398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C4C89C-4758-4A88-8E0D-E9F546C20F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21168</xdr:colOff>
      <xdr:row>2</xdr:row>
      <xdr:rowOff>21167</xdr:rowOff>
    </xdr:from>
    <xdr:to>
      <xdr:col>0</xdr:col>
      <xdr:colOff>349251</xdr:colOff>
      <xdr:row>18</xdr:row>
      <xdr:rowOff>211667</xdr:rowOff>
    </xdr:to>
    <xdr:sp macro="[0]!ToggleOptionsPanel" textlink="">
      <xdr:nvSpPr>
        <xdr:cNvPr id="4" name="Rectangle 3">
          <a:extLst>
            <a:ext uri="{FF2B5EF4-FFF2-40B4-BE49-F238E27FC236}">
              <a16:creationId xmlns:a16="http://schemas.microsoft.com/office/drawing/2014/main" id="{0646ED75-FB83-6CF5-8AB7-109222299472}"/>
            </a:ext>
          </a:extLst>
        </xdr:cNvPr>
        <xdr:cNvSpPr/>
      </xdr:nvSpPr>
      <xdr:spPr>
        <a:xfrm>
          <a:off x="21168" y="889000"/>
          <a:ext cx="328083" cy="3958167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chemeClr val="bg1"/>
              </a:solidFill>
            </a:rPr>
            <a:t>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1</xdr:row>
      <xdr:rowOff>123825</xdr:rowOff>
    </xdr:to>
    <xdr:sp macro="" textlink="">
      <xdr:nvSpPr>
        <xdr:cNvPr id="9217" name="AutoShape 1" descr="image.png">
          <a:extLst>
            <a:ext uri="{FF2B5EF4-FFF2-40B4-BE49-F238E27FC236}">
              <a16:creationId xmlns:a16="http://schemas.microsoft.com/office/drawing/2014/main" id="{00000000-0008-0000-0900-00000124000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6000000}" name="Table1" displayName="Table1" ref="A9:BN210" totalsRowShown="0" headerRowDxfId="514">
  <autoFilter ref="A9:BN210" xr:uid="{00000000-000C-0000-FFFF-FFFF06000000}"/>
  <sortState xmlns:xlrd2="http://schemas.microsoft.com/office/spreadsheetml/2017/richdata2" ref="A10:BN210">
    <sortCondition ref="Y9:Y210"/>
  </sortState>
  <tableColumns count="66">
    <tableColumn id="1" xr3:uid="{00000000-0010-0000-0600-000001000000}" name="T" dataDxfId="513">
      <calculatedColumnFormula>$O$3</calculatedColumnFormula>
    </tableColumn>
    <tableColumn id="2" xr3:uid="{00000000-0010-0000-0600-000002000000}" name="Column2"/>
    <tableColumn id="3" xr3:uid="{00000000-0010-0000-0600-000003000000}" name="Column1" dataDxfId="512" dataCellStyle="Percent"/>
    <tableColumn id="4" xr3:uid="{00000000-0010-0000-0600-000004000000}" name="Open.Int" dataDxfId="511">
      <calculatedColumnFormula>IF(
    ISNUMBER(Table1[[#This Row],[Strike]]),RTD("tos.rtd", , "OPEN_INT", "."&amp;Table1[[#This Row],[Ticker]]&amp;Table1[[#This Row],[Expiry]]&amp;""&amp;"C"&amp;Table1[[#This Row],[Strike]]))</calculatedColumnFormula>
    </tableColumn>
    <tableColumn id="5" xr3:uid="{00000000-0010-0000-0600-000005000000}" name="Volume" dataDxfId="510">
      <calculatedColumnFormula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calculatedColumnFormula>
    </tableColumn>
    <tableColumn id="6" xr3:uid="{00000000-0010-0000-0600-000006000000}" name="Column9" dataDxfId="509"/>
    <tableColumn id="7" xr3:uid="{00000000-0010-0000-0600-000007000000}" name="DeltaC" dataDxfId="508">
      <calculatedColumnFormula>IF(
    ISNUMBER(Table1[[#This Row],[Strike]]),RTD("tos.rtd", , "DELTA", "."&amp;Table1[[#This Row],[Ticker]]&amp;Table1[[#This Row],[Expiry]]&amp;""&amp;"C"&amp;Table1[[#This Row],[Strike]]))</calculatedColumnFormula>
    </tableColumn>
    <tableColumn id="8" xr3:uid="{00000000-0010-0000-0600-000008000000}" name="IV Calc C" dataDxfId="507">
      <calculatedColumnFormula array="1">IF(
    ISNUMBER(Table1[[#This Row],[Strike]]),IndividualLegIVCore($A$4, Table1[[#This Row],[Strike]], 0.0411, Table1[[#This Row],[T]], ((Table1[[#This Row],[BIDC]]+Table1[[#This Row],[ASKC]])/2), TRUE))</calculatedColumnFormula>
    </tableColumn>
    <tableColumn id="9" xr3:uid="{00000000-0010-0000-0600-000009000000}" name="BIDC" dataDxfId="506">
      <calculatedColumnFormula>IF(
    ISNUMBER(Table1[[#This Row],[Strike]]),RTD("tos.rtd", , "BID", "."&amp;Table1[[#This Row],[Ticker]]&amp;Table1[[#This Row],[Expiry]]&amp;""&amp;"C"&amp;Table1[[#This Row],[Strike]]))</calculatedColumnFormula>
    </tableColumn>
    <tableColumn id="10" xr3:uid="{00000000-0010-0000-0600-00000A000000}" name="ASKC" dataDxfId="505">
      <calculatedColumnFormula>IF(
    ISNUMBER(Table1[[#This Row],[Strike]]),RTD("tos.rtd", , "ASK", "."&amp;Table1[[#This Row],[Ticker]]&amp;Table1[[#This Row],[Expiry]]&amp;""&amp;"C"&amp;Table1[[#This Row],[Strike]]))</calculatedColumnFormula>
    </tableColumn>
    <tableColumn id="11" xr3:uid="{00000000-0010-0000-0600-00000B000000}" name="IV Calc AVG" dataDxfId="504">
      <calculatedColumnFormula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calculatedColumnFormula>
    </tableColumn>
    <tableColumn id="12" xr3:uid="{00000000-0010-0000-0600-00000C000000}" name="IV smile" dataDxfId="503" dataCellStyle="Percent">
      <calculatedColumnFormula array="1">CubicSplineIVSmile($A$4, Table1[[#This Row],[Strike]], 0.0411, Table1[[#This Row],[T]], (Table1[[#This Row],[BIDC]]+Table1[[#This Row],[ASKC]])/2, (Table1[[#This Row],[BIDP]]+Table1[[#This Row],[ASKP]])/2, Table1[Strike], Table1[IV Calc AVG])</calculatedColumnFormula>
    </tableColumn>
    <tableColumn id="13" xr3:uid="{00000000-0010-0000-0600-00000D000000}" name="Exp" dataDxfId="502">
      <calculatedColumnFormula>$O$1</calculatedColumnFormula>
    </tableColumn>
    <tableColumn id="14" xr3:uid="{00000000-0010-0000-0600-00000E000000}" name="Strike" dataDxfId="501">
      <calculatedColumnFormula>IF(ISNUMBER($BP10), $BP10, FALSE)</calculatedColumnFormula>
    </tableColumn>
    <tableColumn id="15" xr3:uid="{00000000-0010-0000-0600-00000F000000}" name="Column5" dataDxfId="500"/>
    <tableColumn id="16" xr3:uid="{00000000-0010-0000-0600-000010000000}" name="IV Calc P" dataDxfId="499">
      <calculatedColumnFormula array="1">IF(
    ISNUMBER(Table1[[#This Row],[Strike]]),IndividualLegIVCore($A$4, Table1[[#This Row],[Strike]], 0.0411, Table1[[#This Row],[T]], ((Table1[[#This Row],[BIDP]]+Table1[[#This Row],[ASKP]])/2), FALSE))</calculatedColumnFormula>
    </tableColumn>
    <tableColumn id="17" xr3:uid="{00000000-0010-0000-0600-000011000000}" name="BIDP" dataDxfId="498">
      <calculatedColumnFormula>IF(
    ISNUMBER(Table1[[#This Row],[Strike]]),RTD("tos.rtd", , "BID", "."&amp;Table1[[#This Row],[Ticker]]&amp;Table1[[#This Row],[Expiry]]&amp;""&amp;"P"&amp;Table1[[#This Row],[Strike]]))</calculatedColumnFormula>
    </tableColumn>
    <tableColumn id="18" xr3:uid="{00000000-0010-0000-0600-000012000000}" name="ASKP" dataDxfId="497">
      <calculatedColumnFormula>IF(
    ISNUMBER(Table1[[#This Row],[Strike]]),RTD("tos.rtd", , "ASK", "."&amp;Table1[[#This Row],[Ticker]]&amp;Table1[[#This Row],[Expiry]]&amp;""&amp;"P"&amp;Table1[[#This Row],[Strike]]))</calculatedColumnFormula>
    </tableColumn>
    <tableColumn id="19" xr3:uid="{00000000-0010-0000-0600-000013000000}" name="Column3" dataDxfId="496" dataCellStyle="Percent"/>
    <tableColumn id="20" xr3:uid="{00000000-0010-0000-0600-000014000000}" name="Open.Int8" dataDxfId="495">
      <calculatedColumnFormula>IF(
    ISNUMBER(Table1[[#This Row],[Strike]]),RTD("tos.rtd", , "OPEN_INT", "."&amp;Table1[[#This Row],[Ticker]]&amp;Table1[[#This Row],[Expiry]]&amp;""&amp;"P"&amp;Table1[[#This Row],[Strike]]))</calculatedColumnFormula>
    </tableColumn>
    <tableColumn id="21" xr3:uid="{00000000-0010-0000-0600-000015000000}" name="Volume9" dataDxfId="494">
      <calculatedColumnFormula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calculatedColumnFormula>
    </tableColumn>
    <tableColumn id="22" xr3:uid="{00000000-0010-0000-0600-000016000000}" name="Column15" dataDxfId="493"/>
    <tableColumn id="23" xr3:uid="{00000000-0010-0000-0600-000017000000}" name="DeltaP" dataDxfId="492">
      <calculatedColumnFormula>IF(
    ISNUMBER(Table1[[#This Row],[Strike]]),RTD("tos.rtd", , "DELTA", "."&amp;Table1[[#This Row],[Ticker]]&amp;Table1[[#This Row],[Expiry]]&amp;""&amp;"P"&amp;Table1[[#This Row],[Strike]]))</calculatedColumnFormula>
    </tableColumn>
    <tableColumn id="24" xr3:uid="{00000000-0010-0000-0600-000018000000}" name="Column16" dataDxfId="491"/>
    <tableColumn id="25" xr3:uid="{00000000-0010-0000-0600-000019000000}" name="step" dataDxfId="490"/>
    <tableColumn id="26" xr3:uid="{00000000-0010-0000-0600-00001A000000}" name="Call Gex" dataDxfId="489">
      <calculatedColumnFormula>IFERROR(Table1[[#This Row],[call gamma]]*(Table1[[#This Row],[Open.Int]])*$A$4^2,0)</calculatedColumnFormula>
    </tableColumn>
    <tableColumn id="27" xr3:uid="{00000000-0010-0000-0600-00001B000000}" name="Put Gex" dataDxfId="488">
      <calculatedColumnFormula>IFERROR(((Table1[[#This Row],[Open.Int8]])*Table1[[#This Row],[Put gamma]])*-1*$A$4^2,0)</calculatedColumnFormula>
    </tableColumn>
    <tableColumn id="28" xr3:uid="{00000000-0010-0000-0600-00001C000000}" name="Net Gex" dataDxfId="487">
      <calculatedColumnFormula>(Table1[[#This Row],[Call Gex]]+Table1[[#This Row],[Put Gex]])</calculatedColumnFormula>
    </tableColumn>
    <tableColumn id="29" xr3:uid="{00000000-0010-0000-0600-00001D000000}" name="net delta adj" dataDxfId="486">
      <calculatedColumnFormula>Table1[[#This Row],[call delta adj]]+Table1[[#This Row],[put delta adj]]</calculatedColumnFormula>
    </tableColumn>
    <tableColumn id="30" xr3:uid="{00000000-0010-0000-0600-00001E000000}" name="put delta adj" dataDxfId="485">
      <calculatedColumnFormula>Table1[[#This Row],[Put Gex]]*Table1[[#This Row],[DeltaP]]*-1</calculatedColumnFormula>
    </tableColumn>
    <tableColumn id="31" xr3:uid="{00000000-0010-0000-0600-00001F000000}" name="call delta adj" dataDxfId="484">
      <calculatedColumnFormula>Table1[[#This Row],[Call Gex]]*Table1[[#This Row],[DeltaC]]</calculatedColumnFormula>
    </tableColumn>
    <tableColumn id="32" xr3:uid="{00000000-0010-0000-0600-000020000000}" name="Net Dex" dataDxfId="483">
      <calculatedColumnFormula>IF(Table1[[#This Row],[DeltaC]]-ABS(Table1[[#This Row],[DeltaP]])="0","0.01",Table1[[#This Row],[DeltaC]]-ABS(Table1[[#This Row],[DeltaP]]))</calculatedColumnFormula>
    </tableColumn>
    <tableColumn id="33" xr3:uid="{0BABD7ED-43EE-4B29-BA36-445DE0ED6815}" name="Put D1" dataDxfId="482">
      <calculatedColumnFormula>((LN($A$4/Table1[[#This Row],[Strike]]) + (0.411 + 0.5 * Table1[[#This Row],[IV Calc P]]^2) *Table1[[#This Row],[T]])) / (Table1[[#This Row],[IV Calc P]] * SQRT(Table1[[#This Row],[T]]))</calculatedColumnFormula>
    </tableColumn>
    <tableColumn id="34" xr3:uid="{9DDC3B0B-F403-4892-8120-1E147DACBE22}" name="Call D1" dataDxfId="481">
      <calculatedColumnFormula>(LN($A$4/Table1[[#This Row],[Strike]]) + (0.411-0 + 0.5 * Table1[[#This Row],[IV Calc C]]^2) *Table1[[#This Row],[T]]) / (Table1[[#This Row],[IV Calc C]] * SQRT(Table1[[#This Row],[T]]))</calculatedColumnFormula>
    </tableColumn>
    <tableColumn id="35" xr3:uid="{241B1AAC-D8A8-4CED-8C3D-2B137C93DDAE}" name="Put gamma" dataDxfId="480">
      <calculatedColumnFormula>(EXP(-(AG10^2)/2)/SQRT(2*PI())*EXP(0*SQRT(Table1[[#This Row],[T]]))/$A$4*18%*SQRT(SQRT(Table1[[#This Row],[T]])))</calculatedColumnFormula>
    </tableColumn>
    <tableColumn id="36" xr3:uid="{E44F8FF2-2BF7-4BB3-A8A6-5A92A0C41C39}" name="call gamma" dataDxfId="479">
      <calculatedColumnFormula>(EXP(-(AH10^2)/2)/SQRT(2*PI())*EXP(0*SQRT(Table1[[#This Row],[T]]))/$A$4*18%*SQRT(SQRT(Table1[[#This Row],[T]])))</calculatedColumnFormula>
    </tableColumn>
    <tableColumn id="37" xr3:uid="{225DD61E-1FE7-4439-9138-75C999BC0E6D}" name="call d2" dataDxfId="478">
      <calculatedColumnFormula>Table1[[#This Row],[Call D1]]-Table1[[#This Row],[IV Calc C]]*SQRT(Table1[[#This Row],[T]])</calculatedColumnFormula>
    </tableColumn>
    <tableColumn id="38" xr3:uid="{9B658DFA-0349-4C50-BB55-FE9E7336E15E}" name="put d2" dataDxfId="477">
      <calculatedColumnFormula>Table1[[#This Row],[Put D1]]-Table1[[#This Row],[IV Calc P]]*SQRT(Table1[[#This Row],[T]])</calculatedColumnFormula>
    </tableColumn>
    <tableColumn id="39" xr3:uid="{BC083698-3F2F-44D5-93F3-48DCD1598C61}" name="call N(d1)" dataDxfId="476">
      <calculatedColumnFormula>EXP(-0.5*Table1[[#This Row],[Call D1]]^2)/SQRT(2*PI())</calculatedColumnFormula>
    </tableColumn>
    <tableColumn id="40" xr3:uid="{D6DC04CC-EB58-4796-AABB-B5552F1470E3}" name="put N(d1)" dataDxfId="475">
      <calculatedColumnFormula>EXP(-0.5*Table1[[#This Row],[Put D1]]^2)/SQRT(2*PI())</calculatedColumnFormula>
    </tableColumn>
    <tableColumn id="41" xr3:uid="{4BDFE63C-BB5D-4F60-A78E-6E24F112E1F9}" name="call vanna" dataDxfId="474">
      <calculatedColumnFormula>IFERROR((EXP(0*Table1[[#This Row],[T]])*Table1[[#This Row],[call N(d1)]]*(Table1[[#This Row],[call d2]]/Table1[[#This Row],[IV Calc C]]))*Table1[[#This Row],[Open.Int]]*Table1[[#This Row],[DeltaC]],0)</calculatedColumnFormula>
    </tableColumn>
    <tableColumn id="42" xr3:uid="{AF50C755-6ECB-443C-B616-380592FDC665}" name="put vanna" dataDxfId="473">
      <calculatedColumnFormula>IFERROR((EXP(0*Table1[[#This Row],[T]])*Table1[[#This Row],[put N(d1)]]*(Table1[[#This Row],[put d2]]/Table1[[#This Row],[IV Calc P]]))*Table1[[#This Row],[Open.Int8]]*Table1[[#This Row],[DeltaP]]*-1,0)</calculatedColumnFormula>
    </tableColumn>
    <tableColumn id="43" xr3:uid="{AA66FE8E-6FDB-4504-9443-A41C61C2AD60}" name="net vanna" dataDxfId="472">
      <calculatedColumnFormula>((Table1[[#This Row],[call vanna]]+Table1[[#This Row],[put vanna]])*$A$4)</calculatedColumnFormula>
    </tableColumn>
    <tableColumn id="44" xr3:uid="{62DAFE29-1069-48D5-BA5C-A0ADF410B3DF}" name="call helper" dataDxfId="471">
      <calculatedColumnFormula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calculatedColumnFormula>
    </tableColumn>
    <tableColumn id="45" xr3:uid="{543F246C-0E1D-4611-9A90-CDEE510ECE74}" name="put helper" dataDxfId="470">
      <calculatedColumnFormula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calculatedColumnFormula>
    </tableColumn>
    <tableColumn id="46" xr3:uid="{3B09B5CB-2155-44E5-BB0D-82729A416751}" name="Ticker" dataDxfId="469">
      <calculatedColumnFormula array="1">_xlfn.IFS(     $M$1="SPX","SPXW",     $M$1="RUT","RUTW",  $M$1="NDX","NDXP",   TRUE,$M$1 )</calculatedColumnFormula>
    </tableColumn>
    <tableColumn id="47" xr3:uid="{409E163B-0504-461F-8E10-B2860D6E3F6D}" name="Spot" dataDxfId="468">
      <calculatedColumnFormula>$N$1</calculatedColumnFormula>
    </tableColumn>
    <tableColumn id="48" xr3:uid="{577AD788-B586-41FD-A34F-A8794D1FC46A}" name="Expiry" dataDxfId="467">
      <calculatedColumnFormula>$O$2</calculatedColumnFormula>
    </tableColumn>
    <tableColumn id="49" xr3:uid="{F0C00A9D-1DB4-4D79-9D1E-A4D10A5E65D6}" name="P delta adj vanna" dataDxfId="466">
      <calculatedColumnFormula>IFERROR((EXP(0*Table1[[#This Row],[T]])*Table1[[#This Row],[put N(d1)]]*(Table1[[#This Row],[put d2]]/Table1[[#This Row],[IV Calc P]]))*Table1[[#This Row],[Open.Int8]]*Table1[[#This Row],[DeltaP]]*-1,0)</calculatedColumnFormula>
    </tableColumn>
    <tableColumn id="50" xr3:uid="{DA0C9401-46B0-46DF-AE1D-C1FE32E0E2E5}" name="C delta adj vanna" dataDxfId="465">
      <calculatedColumnFormula>IFERROR((EXP(0*Table1[[#This Row],[T]])*Table1[[#This Row],[call N(d1)]]*(Table1[[#This Row],[call d2]]/Table1[[#This Row],[IV Calc C]]))*Table1[[#This Row],[Open.Int]]*Table1[[#This Row],[DeltaC]],0)</calculatedColumnFormula>
    </tableColumn>
    <tableColumn id="51" xr3:uid="{C5447DB9-5DFA-492B-8046-A5DC2A08A472}" name="High C" dataDxfId="464">
      <calculatedColumnFormula>IF(
    ISNUMBER(Table1[[#This Row],[Strike]]),RTD("tos.rtd", , "high", "."&amp;Table1[[#This Row],[Ticker]]&amp;Table1[[#This Row],[Expiry]]&amp;""&amp;"C"&amp;Table1[[#This Row],[Spot]]+Table1[[#This Row],[step]]))</calculatedColumnFormula>
    </tableColumn>
    <tableColumn id="52" xr3:uid="{DAB314CB-9DA9-4151-BD4B-4FEC1B230FF8}" name="Low C" dataDxfId="463">
      <calculatedColumnFormula>IF(
    ISNUMBER(Table1[[#This Row],[Strike]]),RTD("tos.rtd", , "low", "."&amp;Table1[[#This Row],[Ticker]]&amp;Table1[[#This Row],[Expiry]]&amp;""&amp;"C"&amp;Table1[[#This Row],[Spot]]+Table1[[#This Row],[step]]))</calculatedColumnFormula>
    </tableColumn>
    <tableColumn id="53" xr3:uid="{A12850D2-6E32-4EF9-AC62-51266E2EEBA8}" name="High P" dataDxfId="462">
      <calculatedColumnFormula>IF(
    ISNUMBER(Table1[[#This Row],[Strike]]),RTD("tos.rtd", , "high", "."&amp;Table1[[#This Row],[Ticker]]&amp;Table1[[#This Row],[Expiry]]&amp;""&amp;"P"&amp;Table1[[#This Row],[Spot]]+Table1[[#This Row],[step]]))</calculatedColumnFormula>
    </tableColumn>
    <tableColumn id="54" xr3:uid="{B40B9149-6FD3-47E4-94BD-212C908DC655}" name="Low P" dataDxfId="461">
      <calculatedColumnFormula>IF(
    ISNUMBER(Table1[[#This Row],[Strike]]),RTD("tos.rtd", , "low", "."&amp;Table1[[#This Row],[Ticker]]&amp;Table1[[#This Row],[Expiry]]&amp;""&amp;"P"&amp;Table1[[#This Row],[Spot]]+Table1[[#This Row],[step]]))</calculatedColumnFormula>
    </tableColumn>
    <tableColumn id="55" xr3:uid="{08B16ED8-FF30-4EBA-BFEC-39045BCCB115}" name="SgammaC" dataDxfId="460">
      <calculatedColumnFormula>((Table1[[#This Row],[High C]]+Table1[[#This Row],[Low C]])/2)*Table1[[#This Row],[gammac]]*Table1[[#This Row],[Volume]]</calculatedColumnFormula>
    </tableColumn>
    <tableColumn id="56" xr3:uid="{E105851E-EBB1-40C6-B53B-76BCB3DDAEFB}" name="SgammaP" dataDxfId="459">
      <calculatedColumnFormula>((Table1[[#This Row],[High P]]+Table1[[#This Row],[Low P]])/2)*Table1[[#This Row],[gammap]]*Table1[[#This Row],[Volume9]]*-1</calculatedColumnFormula>
    </tableColumn>
    <tableColumn id="57" xr3:uid="{740C34E5-E28D-4449-9A9D-A8B6F47CB32F}" name="Sgammanet" dataDxfId="458">
      <calculatedColumnFormula>(Table1[[#This Row],[SgammaC]]+Table1[[#This Row],[SgammaP]])*$A$4*-100</calculatedColumnFormula>
    </tableColumn>
    <tableColumn id="58" xr3:uid="{5401E7AD-D569-42C9-B23B-5C0560E8FF7F}" name="NetDEX" dataDxfId="457">
      <calculatedColumnFormula>Table1[[#This Row],[DEXc]]+Table1[[#This Row],[DEXp]]</calculatedColumnFormula>
    </tableColumn>
    <tableColumn id="59" xr3:uid="{946C013D-1496-4A9B-B8AD-8FF675656922}" name="DEXc" dataDxfId="456">
      <calculatedColumnFormula>IFERROR(Table1[[#This Row],[DeltaC]]*Table1[[#This Row],[Open.Int]]*$A$4,0)</calculatedColumnFormula>
    </tableColumn>
    <tableColumn id="60" xr3:uid="{9678E005-7C0D-4F99-AE7E-84A79E278E00}" name="DEXp" dataDxfId="455">
      <calculatedColumnFormula>IFERROR(Table1[[#This Row],[DeltaP]]*Table1[[#This Row],[Open.Int8]]*$A$4,0)</calculatedColumnFormula>
    </tableColumn>
    <tableColumn id="61" xr3:uid="{E3B3B6B0-E135-4175-A0F6-5EA61DD54316}" name="Charmc" dataDxfId="454">
      <calculatedColumnFormula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calculatedColumnFormula>
    </tableColumn>
    <tableColumn id="62" xr3:uid="{14AFA351-588C-4CCF-950D-A186F480CAA9}" name="Charmp" dataDxfId="453">
      <calculatedColumnFormula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calculatedColumnFormula>
    </tableColumn>
    <tableColumn id="63" xr3:uid="{257F0339-A43B-4902-8969-E9F750C73F01}" name="Charmnet" dataDxfId="452">
      <calculatedColumnFormula>Table1[[#This Row],[Charmc]]+Table1[[#This Row],[Charmp]]</calculatedColumnFormula>
    </tableColumn>
    <tableColumn id="64" xr3:uid="{54032568-F371-44E1-B45E-FAD5D4B0044D}" name="gammap" dataDxfId="451" dataCellStyle="Percent">
      <calculatedColumnFormula>IF(
    ISNUMBER(Table1[[#This Row],[Strike]]),RTD("tos.rtd", , "GAMMA", "."&amp;Table1[[#This Row],[Ticker]]&amp;Table1[[#This Row],[Expiry]]&amp;""&amp;"P"&amp;Table1[[#This Row],[Spot]]+Table1[[#This Row],[step]]))</calculatedColumnFormula>
    </tableColumn>
    <tableColumn id="65" xr3:uid="{667B2AA1-573D-443D-9E67-62D60819DA8A}" name="gammac" dataDxfId="450" dataCellStyle="Percent">
      <calculatedColumnFormula>IF(
    ISNUMBER(Table1[[#This Row],[Strike]]),RTD("tos.rtd", , "GAMMA", "."&amp;Table1[[#This Row],[Ticker]]&amp;Table1[[#This Row],[Expiry]]&amp;""&amp;"C"&amp;Table1[[#This Row],[Spot]]+Table1[[#This Row],[step]]))</calculatedColumnFormula>
    </tableColumn>
    <tableColumn id="66" xr3:uid="{6E1BE0CE-120F-47E1-AEDE-1E4C6327A01C}" name="helper sum" dataDxfId="449">
      <calculatedColumnFormula>Table1[[#This Row],[call helper]]+Table1[[#This Row],[put helper]]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E55E9-76BA-46E8-ABDC-0841AC19DE83}" name="Table13" displayName="Table13" ref="A212:BN413" totalsRowShown="0">
  <autoFilter ref="A212:BN413" xr:uid="{D03E55E9-76BA-46E8-ABDC-0841AC19DE83}"/>
  <sortState xmlns:xlrd2="http://schemas.microsoft.com/office/spreadsheetml/2017/richdata2" ref="A213:BN413">
    <sortCondition ref="Y212:Y413"/>
  </sortState>
  <tableColumns count="66">
    <tableColumn id="1" xr3:uid="{EF108D41-18B5-43CC-B88D-8AA3CFBF0ABF}" name="T" dataDxfId="448">
      <calculatedColumnFormula>$P$3</calculatedColumnFormula>
    </tableColumn>
    <tableColumn id="2" xr3:uid="{362CF47A-800D-4598-A575-BFF6BB7016C6}" name="Column2"/>
    <tableColumn id="3" xr3:uid="{BE055EBF-BB62-427F-A175-218369C47071}" name="Column1" dataDxfId="447" dataCellStyle="Percent"/>
    <tableColumn id="4" xr3:uid="{5A374110-4333-483F-8683-D1C84DBFAB2A}" name="Open.Int" dataDxfId="446">
      <calculatedColumnFormula>IF(
    ISNUMBER(Table13[[#This Row],[Strike]]),RTD("tos.rtd", , "OPEN_INT", "."&amp;Table13[[#This Row],[Ticker]]&amp;Table13[[#This Row],[Expiry]]&amp;""&amp;"C"&amp;Table13[[#This Row],[Strike]]))</calculatedColumnFormula>
    </tableColumn>
    <tableColumn id="5" xr3:uid="{4B603E95-D923-4150-BE4E-CC1460D7971E}" name="Volume" dataDxfId="445">
      <calculatedColumnFormula>IF(RTD("tos.rtd",,"VOLUME","."&amp;Table13[[#This Row],[Ticker]]&amp;Table13[[#This Row],[Expiry]]&amp;""&amp;"C"&amp;Table13[[#This Row],[Spot]]+Table13[[#This Row],[step]])="N/A",0,RTD("tos.rtd",,"VOLUME","."&amp;Table13[[#This Row],[Ticker]]&amp;Table13[[#This Row],[Expiry]]&amp;""&amp;"C"&amp;Table13[[#This Row],[Spot]]+Table13[[#This Row],[step]]))</calculatedColumnFormula>
    </tableColumn>
    <tableColumn id="6" xr3:uid="{3543D7CC-A4D6-4227-8D56-50B7018D12DF}" name="Column9" dataDxfId="444"/>
    <tableColumn id="7" xr3:uid="{E9A36648-8449-4FDF-B448-AD7DA2CDFB41}" name="DeltaC" dataDxfId="443">
      <calculatedColumnFormula>RTD("tos.rtd", , "DELTA", "."&amp;Table13[[#This Row],[Ticker]]&amp;Table13[[#This Row],[Expiry]]&amp;""&amp;"C"&amp;Table13[[#This Row],[Spot]]+Table13[[#This Row],[step]])</calculatedColumnFormula>
    </tableColumn>
    <tableColumn id="8" xr3:uid="{1FD2A547-F447-4BA7-8B78-24DCDC1092D6}" name="IV Calc C" dataDxfId="442">
      <calculatedColumnFormula array="1">IF(
    ISNUMBER(Table13[[#This Row],[Strike]]),IndividualLegIVCore($A$4, Table13[[#This Row],[Strike]], 0.0411, Table13[[#This Row],[T]], ((Table13[[#This Row],[BIDC]]+Table13[[#This Row],[ASKC]])/2), TRUE))</calculatedColumnFormula>
    </tableColumn>
    <tableColumn id="9" xr3:uid="{A82CEF0C-6C15-4011-841A-0875863E4D40}" name="BIDC" dataDxfId="441">
      <calculatedColumnFormula>RTD("tos.rtd", , "BID", "."&amp;Table13[[#This Row],[Ticker]]&amp;Table13[[#This Row],[Expiry]]&amp;""&amp;"C"&amp;Table13[[#This Row],[Spot]]+Table13[[#This Row],[step]])</calculatedColumnFormula>
    </tableColumn>
    <tableColumn id="10" xr3:uid="{641A548D-CD39-4BC4-98F5-46B2ECFF8B66}" name="ASKC" dataDxfId="440">
      <calculatedColumnFormula>RTD("tos.rtd", , "ASK", "."&amp;Table13[[#This Row],[Ticker]]&amp;Table13[[#This Row],[Expiry]]&amp;""&amp;"C"&amp;Table13[[#This Row],[Spot]]+Table13[[#This Row],[step]])</calculatedColumnFormula>
    </tableColumn>
    <tableColumn id="11" xr3:uid="{52088ACB-DB3F-492D-B5B7-CC432EBCE7B4}" name="IV Calc AVG" dataDxfId="439">
      <calculatedColumnFormula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calculatedColumnFormula>
    </tableColumn>
    <tableColumn id="12" xr3:uid="{D3F7EC05-BE80-41E4-8D62-98D164A48249}" name="IV smile" dataDxfId="438" dataCellStyle="Percent">
      <calculatedColumnFormula array="1">CubicSplineIVSmile($A$4, Table13[[#This Row],[Strike]], 0.0411, Table13[[#This Row],[T]], (Table13[[#This Row],[BIDC]]+Table13[[#This Row],[ASKC]])/2, (Table13[[#This Row],[BIDP]]+Table13[[#This Row],[ASKP]])/2, Table13[Strike], Table13[IV Calc AVG])</calculatedColumnFormula>
    </tableColumn>
    <tableColumn id="13" xr3:uid="{69E28FD8-199E-4781-977A-DE86175A4F4F}" name="Exp" dataDxfId="437">
      <calculatedColumnFormula>$P$1</calculatedColumnFormula>
    </tableColumn>
    <tableColumn id="14" xr3:uid="{4EDC5CB5-B4A5-46C9-B94C-4575E1D50F9C}" name="Strike" dataDxfId="436">
      <calculatedColumnFormula>IF(ISNUMBER($BP213), $BP213, FALSE)</calculatedColumnFormula>
    </tableColumn>
    <tableColumn id="15" xr3:uid="{0A3536AD-FAEA-48D8-8803-29185E202F3D}" name="Column3" dataDxfId="435"/>
    <tableColumn id="16" xr3:uid="{AEF58BD0-9E88-4A42-9191-AC769AFFEFD4}" name="IV Calc P" dataDxfId="434">
      <calculatedColumnFormula array="1">IF(
    ISNUMBER(Table13[[#This Row],[Strike]]),IndividualLegIVCore($A$4, Table13[[#This Row],[Strike]], 0.0411, Table13[[#This Row],[T]], ((Table13[[#This Row],[BIDP]]+Table13[[#This Row],[ASKP]])/2), FALSE))</calculatedColumnFormula>
    </tableColumn>
    <tableColumn id="17" xr3:uid="{0A33C124-B0CD-4BBA-B1FA-D394DE524C89}" name="BIDP" dataDxfId="433">
      <calculatedColumnFormula>RTD("tos.rtd", , "BID", "."&amp;Table13[[#This Row],[Ticker]]&amp;Table13[[#This Row],[Expiry]]&amp;""&amp;"P"&amp;Table13[[#This Row],[Spot]]+Table13[[#This Row],[step]])</calculatedColumnFormula>
    </tableColumn>
    <tableColumn id="18" xr3:uid="{6668B229-3EF5-4FC5-A63E-2ED6B89B6206}" name="ASKP" dataDxfId="432">
      <calculatedColumnFormula>RTD("tos.rtd", , "ASK", "."&amp;Table13[[#This Row],[Ticker]]&amp;Table13[[#This Row],[Expiry]]&amp;""&amp;"P"&amp;Table13[[#This Row],[Spot]]+Table13[[#This Row],[step]])</calculatedColumnFormula>
    </tableColumn>
    <tableColumn id="19" xr3:uid="{C104F260-3868-4BCA-9870-05CC5885B644}" name="iv smile2" dataDxfId="431" dataCellStyle="Percent"/>
    <tableColumn id="20" xr3:uid="{C180B156-A361-402B-83EA-9B343DCBC969}" name="Open.Int8" dataDxfId="430">
      <calculatedColumnFormula>RTD("tos.rtd", , "OPEN_INT", "."&amp;Table13[[#This Row],[Ticker]]&amp;Table13[[#This Row],[Expiry]]&amp;""&amp;"P"&amp;Table13[[#This Row],[Spot]]+Table13[[#This Row],[step]])</calculatedColumnFormula>
    </tableColumn>
    <tableColumn id="21" xr3:uid="{EB74F489-67A6-400F-8CD0-21AAECE68595}" name="Volume9" dataDxfId="429">
      <calculatedColumnFormula>IF(RTD("tos.rtd",,"VOLUME","."&amp;Table13[[#This Row],[Ticker]]&amp;Table13[[#This Row],[Expiry]]&amp;""&amp;"P"&amp;Table13[[#This Row],[Spot]]+Table13[[#This Row],[step]])="N/A",0,RTD("tos.rtd",,"VOLUME","."&amp;Table13[[#This Row],[Ticker]]&amp;Table13[[#This Row],[Expiry]]&amp;""&amp;"P"&amp;Table13[[#This Row],[Spot]]+Table13[[#This Row],[step]]))</calculatedColumnFormula>
    </tableColumn>
    <tableColumn id="22" xr3:uid="{696E1CD7-7513-4AA2-A775-BF222C356A3D}" name="Column15" dataDxfId="428"/>
    <tableColumn id="23" xr3:uid="{6AA54221-2385-4BBD-AA5A-394117B2C002}" name="DeltaP" dataDxfId="427">
      <calculatedColumnFormula>RTD("tos.rtd", , "DELTA", "."&amp;Table13[[#This Row],[Ticker]]&amp;Table13[[#This Row],[Expiry]]&amp;""&amp;"P"&amp;Table13[[#This Row],[Spot]]+Table13[[#This Row],[step]])</calculatedColumnFormula>
    </tableColumn>
    <tableColumn id="24" xr3:uid="{67302ACD-9435-42AD-9AF6-78BEF4E0354A}" name="Column16" dataDxfId="426"/>
    <tableColumn id="25" xr3:uid="{DB9A291D-9FA2-4DDB-B5AE-8F2D242CA9A6}" name="step" dataDxfId="425"/>
    <tableColumn id="26" xr3:uid="{2D74E4D8-F6CB-484B-B306-66342F65E1E5}" name="Call Gex" dataDxfId="424">
      <calculatedColumnFormula>IFERROR(Table13[[#This Row],[call gamma]]*(Table13[[#This Row],[Open.Int]])*$A$4^2,0)</calculatedColumnFormula>
    </tableColumn>
    <tableColumn id="27" xr3:uid="{E633F531-323E-4CE7-B373-539B507007C0}" name="Put Gex" dataDxfId="423">
      <calculatedColumnFormula>IFERROR(((Table13[[#This Row],[Open.Int8]])*Table13[[#This Row],[Put gamma]])*-1*$A$4^2,0)</calculatedColumnFormula>
    </tableColumn>
    <tableColumn id="28" xr3:uid="{41543D33-28E6-4E0A-870A-6BAFD51A3E18}" name="Net Gex" dataDxfId="422">
      <calculatedColumnFormula>(Table13[[#This Row],[Call Gex]]+Table13[[#This Row],[Put Gex]])</calculatedColumnFormula>
    </tableColumn>
    <tableColumn id="29" xr3:uid="{A5C0DD6C-0C60-4DA9-9E91-9B32420EB381}" name="net delta adj" dataDxfId="421">
      <calculatedColumnFormula>Table13[[#This Row],[put delta adj]]+Table13[[#This Row],[call delta adj]]</calculatedColumnFormula>
    </tableColumn>
    <tableColumn id="30" xr3:uid="{C22224DA-095E-4AEC-9268-2AE705536A18}" name="put delta adj" dataDxfId="420">
      <calculatedColumnFormula>Table13[[#This Row],[Put Gex]]*Table13[[#This Row],[DeltaP]]*-1</calculatedColumnFormula>
    </tableColumn>
    <tableColumn id="31" xr3:uid="{811066CB-6506-4B16-AC27-6BD09FE3D586}" name="call delta adj" dataDxfId="419">
      <calculatedColumnFormula>Table13[[#This Row],[Call Gex]]*Table13[[#This Row],[DeltaC]]</calculatedColumnFormula>
    </tableColumn>
    <tableColumn id="32" xr3:uid="{F32355CD-3367-48EF-BE2B-79AFA795878D}" name="Net Dex" dataDxfId="418">
      <calculatedColumnFormula>IF(Table13[[#This Row],[DeltaC]]-ABS(Table13[[#This Row],[DeltaP]])="0","0.01",Table13[[#This Row],[DeltaC]]-ABS(Table13[[#This Row],[DeltaP]]))</calculatedColumnFormula>
    </tableColumn>
    <tableColumn id="33" xr3:uid="{2C019EA6-BC34-42D2-A722-7B5C3DA17C6E}" name="Put D1" dataDxfId="417">
      <calculatedColumnFormula>((LN($A$4/Table13[[#This Row],[Strike]]) + (0.411 + 0.5 * Table13[[#This Row],[IV Calc P]]^2) *Table13[[#This Row],[T]])) / (Table13[[#This Row],[IV Calc P]] * SQRT(Table13[[#This Row],[T]]))</calculatedColumnFormula>
    </tableColumn>
    <tableColumn id="34" xr3:uid="{990CFD44-67BA-43C4-90A9-F0E8BC2A1203}" name="Call D1" dataDxfId="416">
      <calculatedColumnFormula>(LN($A$4/Table13[[#This Row],[Strike]]) + (0.411-0 + 0.5 * Table13[[#This Row],[IV Calc C]]^2) *Table13[[#This Row],[T]]) / (Table13[[#This Row],[IV Calc C]] * SQRT(Table13[[#This Row],[T]]))</calculatedColumnFormula>
    </tableColumn>
    <tableColumn id="35" xr3:uid="{3CA815E3-BCB9-4DCB-8777-ED5819E301DE}" name="Put gamma" dataDxfId="415">
      <calculatedColumnFormula>(EXP(-(AG213^2)/2)/SQRT(2*PI())*EXP(0*SQRT(Table13[[#This Row],[T]]))/$A$4*18%*SQRT(SQRT(Table13[[#This Row],[T]])))</calculatedColumnFormula>
    </tableColumn>
    <tableColumn id="36" xr3:uid="{BA78ABE8-AAC4-4D95-A6F4-CC4C941BA3E1}" name="call gamma" dataDxfId="414">
      <calculatedColumnFormula>(EXP(-(AH213^2)/2)/SQRT(2*PI())*EXP(0*SQRT(Table13[[#This Row],[T]]))/$A$4*18%*SQRT(SQRT(Table13[[#This Row],[T]])))</calculatedColumnFormula>
    </tableColumn>
    <tableColumn id="37" xr3:uid="{AB4D15F7-9161-4F10-83B1-C90BFC4C0937}" name="call d2" dataDxfId="413">
      <calculatedColumnFormula>Table13[[#This Row],[Call D1]]-Table13[[#This Row],[IV Calc C]]*SQRT(Table13[[#This Row],[T]])</calculatedColumnFormula>
    </tableColumn>
    <tableColumn id="38" xr3:uid="{CD990BED-6B47-45C9-A723-D9EC29D05AD0}" name="put d2" dataDxfId="412">
      <calculatedColumnFormula>Table13[[#This Row],[Put D1]]-Table13[[#This Row],[IV Calc P]]*SQRT(Table13[[#This Row],[T]])</calculatedColumnFormula>
    </tableColumn>
    <tableColumn id="39" xr3:uid="{84222C5A-670A-4DE0-8325-D5405E92BCC5}" name="call N(d1)" dataDxfId="411">
      <calculatedColumnFormula>EXP(-0.5*Table13[[#This Row],[Call D1]]^2)/SQRT(2*PI())</calculatedColumnFormula>
    </tableColumn>
    <tableColumn id="40" xr3:uid="{710594D0-8AB6-4A0F-8E7D-4513F24A82BF}" name="put N(d1)" dataDxfId="410">
      <calculatedColumnFormula>EXP(-0.5*Table13[[#This Row],[Put D1]]^2)/SQRT(2*PI())</calculatedColumnFormula>
    </tableColumn>
    <tableColumn id="41" xr3:uid="{2677A295-4B6C-4853-9D8E-E7F388758032}" name="call vanna" dataDxfId="409">
      <calculatedColumnFormula>IFERROR((EXP(0*Table13[[#This Row],[T]])*Table13[[#This Row],[call N(d1)]]*(Table13[[#This Row],[call d2]]/Table13[[#This Row],[IV Calc C]]))*Table13[[#This Row],[Open.Int]]*Table13[[#This Row],[DeltaC]],0)</calculatedColumnFormula>
    </tableColumn>
    <tableColumn id="42" xr3:uid="{B033E848-1321-44D5-9214-941A781117B5}" name="put vanna" dataDxfId="408">
      <calculatedColumnFormula>IFERROR((EXP(0*Table13[[#This Row],[T]])*Table13[[#This Row],[put N(d1)]]*(Table13[[#This Row],[put d2]]/Table13[[#This Row],[IV Calc P]]))*Table13[[#This Row],[Open.Int8]]*Table13[[#This Row],[DeltaP]]*-1,0)</calculatedColumnFormula>
    </tableColumn>
    <tableColumn id="43" xr3:uid="{A62FF243-5BAC-49CC-95AB-EF79B1C6FE03}" name="net vanna" dataDxfId="407">
      <calculatedColumnFormula>((Table13[[#This Row],[call vanna]]+Table13[[#This Row],[put vanna]])*$A$4)</calculatedColumnFormula>
    </tableColumn>
    <tableColumn id="44" xr3:uid="{B9F1FB78-17EB-45B6-B912-D3B165E46C43}" name="call helper" dataDxfId="406">
      <calculatedColumnFormula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calculatedColumnFormula>
    </tableColumn>
    <tableColumn id="45" xr3:uid="{65E78CB2-2E73-4A1B-B1DB-FAC095E2ABA5}" name="put helper" dataDxfId="405">
      <calculatedColumnFormula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calculatedColumnFormula>
    </tableColumn>
    <tableColumn id="46" xr3:uid="{C5C82F1C-78E5-4368-8292-D5D80BFC2708}" name="Ticker" dataDxfId="404">
      <calculatedColumnFormula>IF($M$1="SPX","SPXW",$M$1)</calculatedColumnFormula>
    </tableColumn>
    <tableColumn id="47" xr3:uid="{020382D1-06DF-4493-91EF-1333E2F69660}" name="Spot" dataDxfId="403">
      <calculatedColumnFormula>$N$1</calculatedColumnFormula>
    </tableColumn>
    <tableColumn id="48" xr3:uid="{9C7DF316-7DE4-4E27-9870-16F29C220244}" name="Expiry" dataDxfId="402">
      <calculatedColumnFormula>$P$2</calculatedColumnFormula>
    </tableColumn>
    <tableColumn id="49" xr3:uid="{429631A3-3095-4C58-849C-4429D5C1FCFB}" name="dadj" dataDxfId="401"/>
    <tableColumn id="50" xr3:uid="{6A5DF439-A7E3-4416-902D-580669FAB7A1}" name="dadj2" dataDxfId="400"/>
    <tableColumn id="51" xr3:uid="{8976E90C-CE4B-4557-A027-D6DEFFC818C0}" name="High C" dataDxfId="399">
      <calculatedColumnFormula>RTD("tos.rtd", , "high", "."&amp;Table13[[#This Row],[Ticker]]&amp;Table13[[#This Row],[Expiry]]&amp;""&amp;"C"&amp;Table13[[#This Row],[Spot]]+Table13[[#This Row],[step]])</calculatedColumnFormula>
    </tableColumn>
    <tableColumn id="52" xr3:uid="{2D7ADE2A-8458-4598-91A8-4A9295B77995}" name="Low C" dataDxfId="398">
      <calculatedColumnFormula>RTD("tos.rtd", , "low", "."&amp;Table13[[#This Row],[Ticker]]&amp;Table13[[#This Row],[Expiry]]&amp;""&amp;"C"&amp;Table13[[#This Row],[Spot]]+Table13[[#This Row],[step]])</calculatedColumnFormula>
    </tableColumn>
    <tableColumn id="53" xr3:uid="{B72B9FE5-B37E-4C6C-BD68-67537F498D93}" name="High P" dataDxfId="397">
      <calculatedColumnFormula>RTD("tos.rtd", , "high", "."&amp;Table13[[#This Row],[Ticker]]&amp;Table13[[#This Row],[Expiry]]&amp;""&amp;"P"&amp;Table13[[#This Row],[Spot]]+Table13[[#This Row],[step]])</calculatedColumnFormula>
    </tableColumn>
    <tableColumn id="54" xr3:uid="{F43BEEC4-93F0-4926-8C94-7507C235D60B}" name="Low P" dataDxfId="396">
      <calculatedColumnFormula>RTD("tos.rtd", , "low", "."&amp;Table13[[#This Row],[Ticker]]&amp;Table13[[#This Row],[Expiry]]&amp;""&amp;"P"&amp;Table13[[#This Row],[Spot]]+Table13[[#This Row],[step]])</calculatedColumnFormula>
    </tableColumn>
    <tableColumn id="55" xr3:uid="{5DEE25CB-9D3D-407B-BBB6-02D1B48F07A6}" name="SgammaC" dataDxfId="395">
      <calculatedColumnFormula>((Table13[[#This Row],[High C]]+Table13[[#This Row],[Low C]])/2)*Table13[[#This Row],[gammac]]*Table13[[#This Row],[Volume]]</calculatedColumnFormula>
    </tableColumn>
    <tableColumn id="56" xr3:uid="{A56871B5-BB27-41CF-98D5-4DFF3C9AB002}" name="SgammaP" dataDxfId="394">
      <calculatedColumnFormula>((Table13[[#This Row],[High P]]+Table13[[#This Row],[Low P]])/2)*Table13[[#This Row],[gammap]]*Table13[[#This Row],[Volume9]]*-1</calculatedColumnFormula>
    </tableColumn>
    <tableColumn id="57" xr3:uid="{976E5AA8-7EEC-4730-8D56-88A03B568246}" name="Sgammanet" dataDxfId="393">
      <calculatedColumnFormula>(Table13[[#This Row],[SgammaC]]+Table13[[#This Row],[SgammaP]])*$A$4*-100</calculatedColumnFormula>
    </tableColumn>
    <tableColumn id="58" xr3:uid="{CD2E9974-0562-46D6-9B66-264E1E35A0A6}" name="Column7" dataDxfId="392">
      <calculatedColumnFormula>Table13[[#This Row],[DEXc]]+Table13[[#This Row],[DEXp]]</calculatedColumnFormula>
    </tableColumn>
    <tableColumn id="59" xr3:uid="{E5FD43A3-8123-4398-A8A1-F6BDEA508238}" name="DEXc" dataDxfId="391">
      <calculatedColumnFormula>IFERROR(Table13[[#This Row],[DeltaC]]*Table13[[#This Row],[Open.Int]]*$A$4,0)</calculatedColumnFormula>
    </tableColumn>
    <tableColumn id="60" xr3:uid="{E10D6DCC-474E-4F22-9DFC-CA9D01A41F3C}" name="DEXp" dataDxfId="390">
      <calculatedColumnFormula>IFERROR(Table13[[#This Row],[DeltaP]]*Table13[[#This Row],[Open.Int8]]*$A$4,0)</calculatedColumnFormula>
    </tableColumn>
    <tableColumn id="61" xr3:uid="{FF117AFD-6E86-445C-8D3B-60FAE0013DC9}" name="charmc" dataDxfId="389">
      <calculatedColumnFormula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calculatedColumnFormula>
    </tableColumn>
    <tableColumn id="62" xr3:uid="{EB0AC9C3-B3F4-492D-B45C-2A68A59A04D7}" name="charmp" dataDxfId="388">
      <calculatedColumnFormula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calculatedColumnFormula>
    </tableColumn>
    <tableColumn id="63" xr3:uid="{6E33CB44-30C8-4EF1-90A3-E559556B2176}" name="charmnet" dataDxfId="387">
      <calculatedColumnFormula>Table13[[#This Row],[charmc]]+Table13[[#This Row],[charmp]]</calculatedColumnFormula>
    </tableColumn>
    <tableColumn id="64" xr3:uid="{703DB712-E3AE-45C3-9337-4D99FDB6DFE0}" name="gammap" dataDxfId="386" dataCellStyle="Percent">
      <calculatedColumnFormula>RTD("tos.rtd", , "GAMMA", "."&amp;Table13[[#This Row],[Ticker]]&amp;Table13[[#This Row],[Expiry]]&amp;""&amp;"P"&amp;Table13[[#This Row],[Spot]]+Table13[[#This Row],[step]])</calculatedColumnFormula>
    </tableColumn>
    <tableColumn id="65" xr3:uid="{3DCD2EE8-7A72-4287-A288-D9B16AFE0842}" name="gammac" dataDxfId="385" dataCellStyle="Percent">
      <calculatedColumnFormula>RTD("tos.rtd", , "GAMMA", "."&amp;Table13[[#This Row],[Ticker]]&amp;Table13[[#This Row],[Expiry]]&amp;""&amp;"C"&amp;Table13[[#This Row],[Spot]]+Table13[[#This Row],[step]])</calculatedColumnFormula>
    </tableColumn>
    <tableColumn id="66" xr3:uid="{1C80977B-C717-4690-8499-FAE4BE8109F8}" name="helper sum" dataDxfId="384">
      <calculatedColumnFormula>Table13[[#This Row],[call helper]]+Table13[[#This Row],[put helper]]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102C2D-C6F7-4BCA-8759-DC476A3DF6C2}" name="Table133" displayName="Table133" ref="A415:BN616" totalsRowShown="0">
  <autoFilter ref="A415:BN616" xr:uid="{51102C2D-C6F7-4BCA-8759-DC476A3DF6C2}"/>
  <sortState xmlns:xlrd2="http://schemas.microsoft.com/office/spreadsheetml/2017/richdata2" ref="A416:BN616">
    <sortCondition ref="Y415:Y616"/>
  </sortState>
  <tableColumns count="66">
    <tableColumn id="1" xr3:uid="{2A2BF634-66A9-48D4-8F75-063B33FE5EBC}" name="T" dataDxfId="383">
      <calculatedColumnFormula>$Q$3</calculatedColumnFormula>
    </tableColumn>
    <tableColumn id="2" xr3:uid="{256C1751-5BC7-48D8-BACD-29097FD55AB5}" name="Column2"/>
    <tableColumn id="3" xr3:uid="{44A59EF2-09B4-4448-8393-822468FA6DC4}" name="Column1" dataDxfId="382" dataCellStyle="Percent"/>
    <tableColumn id="4" xr3:uid="{C04B76C4-B17E-4EE4-A664-491862BDF3B0}" name="Open.Int" dataDxfId="381">
      <calculatedColumnFormula>RTD("tos.rtd", , "OPEN_INT", "."&amp;Table133[[#This Row],[Ticker]]&amp;Table133[[#This Row],[Expiry]]&amp;""&amp;"C"&amp;Table133[[#This Row],[Spot]]+Table133[[#This Row],[step]])</calculatedColumnFormula>
    </tableColumn>
    <tableColumn id="5" xr3:uid="{DFF9C465-8728-4F12-837B-60E7BB719DA5}" name="Volume" dataDxfId="380">
      <calculatedColumnFormula>IF(RTD("tos.rtd",,"VOLUME","."&amp;Table133[[#This Row],[Ticker]]&amp;Table133[[#This Row],[Expiry]]&amp;""&amp;"C"&amp;Table133[[#This Row],[Spot]]+Table133[[#This Row],[step]])="N/A",0,RTD("tos.rtd",,"VOLUME","."&amp;Table133[[#This Row],[Ticker]]&amp;Table133[[#This Row],[Expiry]]&amp;""&amp;"C"&amp;Table133[[#This Row],[Spot]]+Table133[[#This Row],[step]]))</calculatedColumnFormula>
    </tableColumn>
    <tableColumn id="6" xr3:uid="{ADB6862A-637E-49B7-8FB5-27F7C081F6AB}" name="Column9" dataDxfId="379"/>
    <tableColumn id="7" xr3:uid="{33EB7DDE-9CB9-4B93-B651-DABF5B020833}" name="DeltaC" dataDxfId="378">
      <calculatedColumnFormula>RTD("tos.rtd", , "DELTA", "."&amp;Table133[[#This Row],[Ticker]]&amp;Table133[[#This Row],[Expiry]]&amp;""&amp;"C"&amp;Table133[[#This Row],[Spot]]+Table133[[#This Row],[step]])</calculatedColumnFormula>
    </tableColumn>
    <tableColumn id="8" xr3:uid="{BBF2C59A-9D33-4A71-86E7-3E241446FFDB}" name="IV Calc C" dataDxfId="377">
      <calculatedColumnFormula array="1">StraddleImpliedVolCore($A$4, Table133[[#This Row],[Strike]], 0.0411, Table133[[#This Row],[T]], ((Table133[[#This Row],[BIDC]]+Table133[[#This Row],[ASKC]])/2), TRUE)</calculatedColumnFormula>
    </tableColumn>
    <tableColumn id="9" xr3:uid="{42B216B0-A6FD-4A5C-9CA9-DCC489275B0D}" name="BIDC" dataDxfId="376">
      <calculatedColumnFormula>RTD("tos.rtd", , "BID", "."&amp;Table133[[#This Row],[Ticker]]&amp;Table133[[#This Row],[Expiry]]&amp;""&amp;"C"&amp;Table133[[#This Row],[Spot]]+Table133[[#This Row],[step]])</calculatedColumnFormula>
    </tableColumn>
    <tableColumn id="10" xr3:uid="{14EF2D8B-799C-4B7A-97B0-53903FA4332B}" name="ASKC" dataDxfId="375">
      <calculatedColumnFormula>RTD("tos.rtd", , "ASK", "."&amp;Table133[[#This Row],[Ticker]]&amp;Table133[[#This Row],[Expiry]]&amp;""&amp;"C"&amp;Table133[[#This Row],[Spot]]+Table133[[#This Row],[step]])</calculatedColumnFormula>
    </tableColumn>
    <tableColumn id="11" xr3:uid="{FC454953-B12B-45CF-91D2-717437E7E927}" name="average IV" dataDxfId="374"/>
    <tableColumn id="12" xr3:uid="{263EC240-B742-400A-8A44-B8B3A6E0B62B}" name="IV Calc AVG" dataCellStyle="Percent"/>
    <tableColumn id="13" xr3:uid="{B763A1A3-FE58-4D59-B33D-66752366F01D}" name="Exp" dataDxfId="373">
      <calculatedColumnFormula>$Q$1</calculatedColumnFormula>
    </tableColumn>
    <tableColumn id="14" xr3:uid="{0BA43386-2A4A-4AE1-A0A6-3055BBED9705}" name="Strike" dataDxfId="372">
      <calculatedColumnFormula>IF(ISNUMBER($BP416), $BP416, FALSE)</calculatedColumnFormula>
    </tableColumn>
    <tableColumn id="15" xr3:uid="{DC88624E-E775-465D-BAAC-9DAFCFFB7617}" name="Column4" dataDxfId="371"/>
    <tableColumn id="16" xr3:uid="{F05AC4FE-5D62-4DC1-A0E6-2C79BF4DCFF9}" name="IV Calc P" dataDxfId="370">
      <calculatedColumnFormula array="1">StraddleImpliedVolCore($A$4, Table133[[#This Row],[Strike]], 0.0411, Table133[[#This Row],[T]], ((Table133[[#This Row],[BIDP]]+Table133[[#This Row],[ASKP]])/2), FALSE)</calculatedColumnFormula>
    </tableColumn>
    <tableColumn id="17" xr3:uid="{4FA3E9AB-C960-4974-BAF8-A2CB3E5972FC}" name="BIDP" dataDxfId="369">
      <calculatedColumnFormula>RTD("tos.rtd", , "BID", "."&amp;Table133[[#This Row],[Ticker]]&amp;Table133[[#This Row],[Expiry]]&amp;""&amp;"P"&amp;Table133[[#This Row],[Spot]]+Table133[[#This Row],[step]])</calculatedColumnFormula>
    </tableColumn>
    <tableColumn id="18" xr3:uid="{0FDC6FA4-4F0F-4E99-B06B-2E08EB3D5CF2}" name="ASKP" dataDxfId="368">
      <calculatedColumnFormula>RTD("tos.rtd", , "ASK", "."&amp;Table133[[#This Row],[Ticker]]&amp;Table133[[#This Row],[Expiry]]&amp;""&amp;"P"&amp;Table133[[#This Row],[Spot]]+Table133[[#This Row],[step]])</calculatedColumnFormula>
    </tableColumn>
    <tableColumn id="19" xr3:uid="{F28802B2-6CE0-411B-9C85-74E1A19992F8}" name="Column3" dataDxfId="367" dataCellStyle="Percent"/>
    <tableColumn id="20" xr3:uid="{57A656DF-8F96-43FA-9309-4490D9FD4B73}" name="Open.Int8" dataDxfId="366">
      <calculatedColumnFormula>RTD("tos.rtd", , "OPEN_INT", "."&amp;Table133[[#This Row],[Ticker]]&amp;Table133[[#This Row],[Expiry]]&amp;""&amp;"P"&amp;Table133[[#This Row],[Spot]]+Table133[[#This Row],[step]])</calculatedColumnFormula>
    </tableColumn>
    <tableColumn id="21" xr3:uid="{A24AD440-E022-4C80-87AD-1CB2414FE4AE}" name="Volume9" dataDxfId="365">
      <calculatedColumnFormula>IF(RTD("tos.rtd",,"VOLUME","."&amp;Table133[[#This Row],[Ticker]]&amp;Table133[[#This Row],[Expiry]]&amp;""&amp;"P"&amp;Table133[[#This Row],[Spot]]+Table133[[#This Row],[step]])="N/A",0,RTD("tos.rtd",,"VOLUME","."&amp;Table133[[#This Row],[Ticker]]&amp;Table133[[#This Row],[Expiry]]&amp;""&amp;"P"&amp;Table133[[#This Row],[Spot]]+Table133[[#This Row],[step]]))</calculatedColumnFormula>
    </tableColumn>
    <tableColumn id="22" xr3:uid="{8E607682-AEAE-43E4-B8E6-5B0E8D3E55A9}" name="Column15" dataDxfId="364"/>
    <tableColumn id="23" xr3:uid="{744F16DF-D737-4C10-B399-7184C176E47C}" name="DeltaP" dataDxfId="363">
      <calculatedColumnFormula>RTD("tos.rtd", , "DELTA", "."&amp;Table133[[#This Row],[Ticker]]&amp;Table133[[#This Row],[Expiry]]&amp;""&amp;"P"&amp;Table133[[#This Row],[Spot]]+Table133[[#This Row],[step]])</calculatedColumnFormula>
    </tableColumn>
    <tableColumn id="24" xr3:uid="{DF53D75D-6EF8-420D-9DF9-BAF8B1B743F4}" name="Column16" dataDxfId="362"/>
    <tableColumn id="25" xr3:uid="{7DC0F0C0-7DE0-4B10-AAF0-E4904C135871}" name="step" dataDxfId="361"/>
    <tableColumn id="26" xr3:uid="{AD76A6E7-C248-4D25-A4C0-D83287DD173B}" name="Call Gex" dataDxfId="360">
      <calculatedColumnFormula>IFERROR(Table133[[#This Row],[call gamma]]*(Table133[[#This Row],[Open.Int]])*$A$4^2,0)</calculatedColumnFormula>
    </tableColumn>
    <tableColumn id="27" xr3:uid="{B24FB40B-E9A1-4806-A683-566DC0F6A49C}" name="Put Gex" dataDxfId="359">
      <calculatedColumnFormula>IFERROR(((Table133[[#This Row],[Open.Int8]])*Table133[[#This Row],[Put gamma]])*-1*$A$4^2,0)</calculatedColumnFormula>
    </tableColumn>
    <tableColumn id="28" xr3:uid="{4C33318A-2FB8-47E0-9325-80831569DBAE}" name="Net Gex" dataDxfId="358">
      <calculatedColumnFormula>(Table133[[#This Row],[Call Gex]]+Table133[[#This Row],[Put Gex]])</calculatedColumnFormula>
    </tableColumn>
    <tableColumn id="29" xr3:uid="{04DEF4BA-BBD4-4BA4-B27D-3DBA80D573F4}" name="net delta adj" dataDxfId="357">
      <calculatedColumnFormula>Table133[[#This Row],[put delta adj]]+Table133[[#This Row],[call delta adj]]</calculatedColumnFormula>
    </tableColumn>
    <tableColumn id="30" xr3:uid="{F6690E3F-0A9C-4429-B3AD-1744BF5ADC8F}" name="put delta adj" dataDxfId="356">
      <calculatedColumnFormula>Table133[[#This Row],[Put Gex]]*Table133[[#This Row],[DeltaP]]*-1</calculatedColumnFormula>
    </tableColumn>
    <tableColumn id="31" xr3:uid="{2A227B2D-D483-4927-8C51-41CAFB32FD09}" name="call delta adj" dataDxfId="355">
      <calculatedColumnFormula>Table133[[#This Row],[Call Gex]]*Table133[[#This Row],[DeltaC]]</calculatedColumnFormula>
    </tableColumn>
    <tableColumn id="32" xr3:uid="{636B9766-FDDA-498A-9454-16235C7C6B23}" name="Net Dex" dataDxfId="354">
      <calculatedColumnFormula>IF(Table133[[#This Row],[DeltaC]]-ABS(Table133[[#This Row],[DeltaP]])="0","0.01",Table133[[#This Row],[DeltaC]]-ABS(Table133[[#This Row],[DeltaP]]))</calculatedColumnFormula>
    </tableColumn>
    <tableColumn id="33" xr3:uid="{5D05C731-E6CA-4989-BF2F-5DB431C170A4}" name="Put D1" dataDxfId="353">
      <calculatedColumnFormula>((LN($A$4/Table133[[#This Row],[Strike]]) + (0.411 + 0.5 * Table133[[#This Row],[IV Calc P]]^2) *Table133[[#This Row],[T]])) / (Table133[[#This Row],[IV Calc P]] * SQRT(Table133[[#This Row],[T]]))</calculatedColumnFormula>
    </tableColumn>
    <tableColumn id="34" xr3:uid="{87CEB438-BD4C-457C-B062-01F2358AF6B4}" name="Call D1" dataDxfId="352">
      <calculatedColumnFormula>(LN($A$4/Table133[[#This Row],[Strike]]) + (0.411-0 + 0.5 * Table133[[#This Row],[IV Calc C]]^2) *Table133[[#This Row],[T]]) / (Table133[[#This Row],[IV Calc C]] * SQRT(Table133[[#This Row],[T]]))</calculatedColumnFormula>
    </tableColumn>
    <tableColumn id="35" xr3:uid="{94C16AD9-B137-48EA-B5F8-03478B89182F}" name="Put gamma" dataDxfId="351">
      <calculatedColumnFormula>(EXP(-(AG416^2)/2)/SQRT(2*PI())*EXP(0*SQRT(Table133[[#This Row],[T]]))/$A$4*18%*SQRT(SQRT(Table133[[#This Row],[T]])))</calculatedColumnFormula>
    </tableColumn>
    <tableColumn id="36" xr3:uid="{FF3C279E-386C-4D54-A9FD-2B27181560A6}" name="call gamma" dataDxfId="350">
      <calculatedColumnFormula>(EXP(-(AH416^2)/2)/SQRT(2*PI())*EXP(0*SQRT(Table133[[#This Row],[T]]))/$A$4*18%*SQRT(SQRT(Table133[[#This Row],[T]])))</calculatedColumnFormula>
    </tableColumn>
    <tableColumn id="37" xr3:uid="{FC02A916-895B-4B73-B616-311EED4EF46C}" name="call d2" dataDxfId="349">
      <calculatedColumnFormula>Table133[[#This Row],[Call D1]]-Table133[[#This Row],[IV Calc C]]*SQRT(Table133[[#This Row],[T]])</calculatedColumnFormula>
    </tableColumn>
    <tableColumn id="38" xr3:uid="{5399904D-302C-4886-9BD0-4F98C4F2DAA5}" name="put d2" dataDxfId="348">
      <calculatedColumnFormula>Table133[[#This Row],[Put D1]]-Table133[[#This Row],[IV Calc P]]*SQRT(Table133[[#This Row],[T]])</calculatedColumnFormula>
    </tableColumn>
    <tableColumn id="39" xr3:uid="{D856D0F5-3575-45F2-B694-E8921D3EA73D}" name="call N(d1)" dataDxfId="347">
      <calculatedColumnFormula>EXP(-0.5*Table133[[#This Row],[Call D1]]^2)/SQRT(2*PI())</calculatedColumnFormula>
    </tableColumn>
    <tableColumn id="40" xr3:uid="{1DBE67D5-43FE-4122-B617-978640850F6C}" name="put N(d1)" dataDxfId="346">
      <calculatedColumnFormula>EXP(-0.5*Table133[[#This Row],[Put D1]]^2)/SQRT(2*PI())</calculatedColumnFormula>
    </tableColumn>
    <tableColumn id="41" xr3:uid="{3F341C46-5B37-4462-A9D2-EDCAFAD466D8}" name="call vanna" dataDxfId="345">
      <calculatedColumnFormula>IFERROR((EXP(0*Table133[[#This Row],[T]])*Table133[[#This Row],[call N(d1)]]*(Table133[[#This Row],[call d2]]/Table133[[#This Row],[IV Calc C]]))*Table133[[#This Row],[Open.Int]]*Table133[[#This Row],[DeltaC]],0)</calculatedColumnFormula>
    </tableColumn>
    <tableColumn id="42" xr3:uid="{274E6044-FC56-4365-83A0-DC51CB263533}" name="put vanna" dataDxfId="344">
      <calculatedColumnFormula>IFERROR((EXP(0*Table133[[#This Row],[T]])*Table133[[#This Row],[put N(d1)]]*(Table133[[#This Row],[put d2]]/Table133[[#This Row],[IV Calc P]]))*Table133[[#This Row],[Open.Int8]]*Table133[[#This Row],[DeltaP]]*-1,0)</calculatedColumnFormula>
    </tableColumn>
    <tableColumn id="43" xr3:uid="{1581208A-0EDC-4767-8B2F-E2BB5D81A67D}" name="net vanna" dataDxfId="343">
      <calculatedColumnFormula>((Table133[[#This Row],[call vanna]]+Table133[[#This Row],[put vanna]])*$A$4)</calculatedColumnFormula>
    </tableColumn>
    <tableColumn id="44" xr3:uid="{4F7422CB-50D2-466C-B1F7-84CBC2803A13}" name="call helper" dataDxfId="342">
      <calculatedColumnFormula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calculatedColumnFormula>
    </tableColumn>
    <tableColumn id="45" xr3:uid="{910EED38-9FF5-4E57-8037-D8E2E8D1F412}" name="put helper" dataDxfId="341">
      <calculatedColumnFormula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calculatedColumnFormula>
    </tableColumn>
    <tableColumn id="46" xr3:uid="{77D124DB-394E-45A9-8023-2241BB7E8663}" name="Ticker" dataDxfId="340">
      <calculatedColumnFormula>IF($M$1="SPX","SPXW",$M$1)</calculatedColumnFormula>
    </tableColumn>
    <tableColumn id="47" xr3:uid="{8F1FB1C6-DF48-4E86-A3DF-D803B926DE87}" name="Spot" dataDxfId="339">
      <calculatedColumnFormula>$N$1</calculatedColumnFormula>
    </tableColumn>
    <tableColumn id="48" xr3:uid="{7F38EC6C-CB76-43C2-B622-99736B09E0F2}" name="Expiry" dataDxfId="338">
      <calculatedColumnFormula>$Q$2</calculatedColumnFormula>
    </tableColumn>
    <tableColumn id="49" xr3:uid="{7FB52942-43DA-4DA7-A1CB-C3F09C257CAB}" name="dadj" dataDxfId="337"/>
    <tableColumn id="50" xr3:uid="{DA2B3295-8861-4662-8307-ABFE64004008}" name="dadj2" dataDxfId="336"/>
    <tableColumn id="51" xr3:uid="{2167891A-274C-4F29-9670-982798E1FFBA}" name="High C" dataDxfId="335">
      <calculatedColumnFormula>RTD("tos.rtd", , "high", "."&amp;Table133[[#This Row],[Ticker]]&amp;Table133[[#This Row],[Expiry]]&amp;""&amp;"C"&amp;Table133[[#This Row],[Spot]]+Table133[[#This Row],[step]])</calculatedColumnFormula>
    </tableColumn>
    <tableColumn id="52" xr3:uid="{27615708-C41B-4C37-BDD9-00E9E830808A}" name="Low C" dataDxfId="334">
      <calculatedColumnFormula>RTD("tos.rtd", , "low", "."&amp;Table133[[#This Row],[Ticker]]&amp;Table133[[#This Row],[Expiry]]&amp;""&amp;"C"&amp;Table133[[#This Row],[Spot]]+Table133[[#This Row],[step]])</calculatedColumnFormula>
    </tableColumn>
    <tableColumn id="53" xr3:uid="{137246F0-A3D1-45D0-B301-B0ADE2F5B9C7}" name="High P" dataDxfId="333">
      <calculatedColumnFormula>RTD("tos.rtd", , "high", "."&amp;Table133[[#This Row],[Ticker]]&amp;Table133[[#This Row],[Expiry]]&amp;""&amp;"P"&amp;Table133[[#This Row],[Spot]]+Table133[[#This Row],[step]])</calculatedColumnFormula>
    </tableColumn>
    <tableColumn id="54" xr3:uid="{4329BB66-ACF1-416B-BC9C-7A71E2A4C0B4}" name="Low P" dataDxfId="332">
      <calculatedColumnFormula>RTD("tos.rtd", , "low", "."&amp;Table133[[#This Row],[Ticker]]&amp;Table133[[#This Row],[Expiry]]&amp;""&amp;"P"&amp;Table133[[#This Row],[Spot]]+Table133[[#This Row],[step]])</calculatedColumnFormula>
    </tableColumn>
    <tableColumn id="55" xr3:uid="{275D4F2C-E3CC-4E55-A979-A6BAE5A2DF3B}" name="SgammaC" dataDxfId="331">
      <calculatedColumnFormula>((Table133[[#This Row],[High C]]+Table133[[#This Row],[Low C]])/2)*Table133[[#This Row],[gammac]]*Table133[[#This Row],[Volume]]</calculatedColumnFormula>
    </tableColumn>
    <tableColumn id="56" xr3:uid="{53381E8C-5AAC-4CA8-8440-30F0AC97E015}" name="SgammaP" dataDxfId="330">
      <calculatedColumnFormula>((Table133[[#This Row],[High P]]+Table133[[#This Row],[Low P]])/2)*Table133[[#This Row],[gammap]]*Table133[[#This Row],[Volume9]]*-1</calculatedColumnFormula>
    </tableColumn>
    <tableColumn id="57" xr3:uid="{6EC32132-7400-4F74-9475-FFE404B0DE91}" name="Sgammanet" dataDxfId="329">
      <calculatedColumnFormula>(Table133[[#This Row],[SgammaC]]+Table133[[#This Row],[SgammaP]])*$A$4*-100</calculatedColumnFormula>
    </tableColumn>
    <tableColumn id="58" xr3:uid="{254A356C-1D7A-4CD0-8CE0-D44508885865}" name="Column7" dataDxfId="328">
      <calculatedColumnFormula>Table133[[#This Row],[DEXc]]+Table133[[#This Row],[DEXp]]</calculatedColumnFormula>
    </tableColumn>
    <tableColumn id="59" xr3:uid="{AF47B483-641A-4A3F-B22C-F08C22571FB5}" name="DEXc" dataDxfId="327">
      <calculatedColumnFormula>IFERROR(Table133[[#This Row],[DeltaC]]*Table133[[#This Row],[Open.Int]]*$A$4,0)</calculatedColumnFormula>
    </tableColumn>
    <tableColumn id="60" xr3:uid="{5AD5F744-0119-408E-9B5F-111CCBCAD250}" name="DEXp" dataDxfId="326">
      <calculatedColumnFormula>IFERROR(Table133[[#This Row],[DeltaP]]*Table133[[#This Row],[Open.Int8]]*$A$4,0)</calculatedColumnFormula>
    </tableColumn>
    <tableColumn id="61" xr3:uid="{69DA3D8D-ACCE-43F2-8925-7D8D7C5B5447}" name="charmc" dataDxfId="325">
      <calculatedColumnFormula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calculatedColumnFormula>
    </tableColumn>
    <tableColumn id="62" xr3:uid="{81EAAF83-68CF-4FA9-A923-0A737A7078A3}" name="charmp" dataDxfId="324">
      <calculatedColumnFormula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calculatedColumnFormula>
    </tableColumn>
    <tableColumn id="63" xr3:uid="{9010A724-9109-47F2-BB78-4AB49C30AB3B}" name="charmnet" dataDxfId="323">
      <calculatedColumnFormula>Table133[[#This Row],[charmc]]+Table133[[#This Row],[charmp]]</calculatedColumnFormula>
    </tableColumn>
    <tableColumn id="64" xr3:uid="{3BCAC711-83BD-44A1-85D0-9265B6A50DD7}" name="gammap" dataDxfId="322" dataCellStyle="Percent">
      <calculatedColumnFormula>RTD("tos.rtd", , "GAMMA", "."&amp;Table133[[#This Row],[Ticker]]&amp;Table133[[#This Row],[Expiry]]&amp;""&amp;"P"&amp;Table133[[#This Row],[Spot]]+Table133[[#This Row],[step]])</calculatedColumnFormula>
    </tableColumn>
    <tableColumn id="65" xr3:uid="{B6872FF4-D7A5-4F98-B7D2-FAB4FBF15439}" name="gammac" dataDxfId="321" dataCellStyle="Percent">
      <calculatedColumnFormula>RTD("tos.rtd", , "GAMMA", "."&amp;Table133[[#This Row],[Ticker]]&amp;Table133[[#This Row],[Expiry]]&amp;""&amp;"C"&amp;Table133[[#This Row],[Spot]]+Table133[[#This Row],[step]])</calculatedColumnFormula>
    </tableColumn>
    <tableColumn id="66" xr3:uid="{0730AFD6-461A-4000-8653-F3217A607724}" name="helper sum" dataDxfId="320">
      <calculatedColumnFormula>Table133[[#This Row],[call helper]]+Table133[[#This Row],[put helper]]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E09541-D6E6-4DC9-91EE-BF34485E5105}" name="Table1334" displayName="Table1334" ref="A618:BN819" totalsRowShown="0">
  <autoFilter ref="A618:BN819" xr:uid="{DAE09541-D6E6-4DC9-91EE-BF34485E5105}"/>
  <sortState xmlns:xlrd2="http://schemas.microsoft.com/office/spreadsheetml/2017/richdata2" ref="A619:BN819">
    <sortCondition ref="Y618:Y819"/>
  </sortState>
  <tableColumns count="66">
    <tableColumn id="1" xr3:uid="{4135628E-81CF-4075-BA30-8AB533D01DC2}" name="T" dataDxfId="319">
      <calculatedColumnFormula>$R$3</calculatedColumnFormula>
    </tableColumn>
    <tableColumn id="2" xr3:uid="{30757E10-75B5-477C-BAA5-446B7F3D869E}" name="Column2"/>
    <tableColumn id="3" xr3:uid="{D49BD066-4FAC-4531-BCDC-77461EF3BFEB}" name="Column1" dataDxfId="318" dataCellStyle="Percent"/>
    <tableColumn id="4" xr3:uid="{D6A6303F-BA3F-4EC6-B434-C71349DC4401}" name="Open.Int" dataDxfId="317">
      <calculatedColumnFormula>RTD("tos.rtd", , "OPEN_INT", "."&amp;Table1334[[#This Row],[Ticker]]&amp;Table1334[[#This Row],[Expiry]]&amp;""&amp;"C"&amp;Table1334[[#This Row],[Spot]]+Table1334[[#This Row],[step]])</calculatedColumnFormula>
    </tableColumn>
    <tableColumn id="5" xr3:uid="{89F45450-DD0F-4342-8055-9B704ABF9296}" name="Volume" dataDxfId="316">
      <calculatedColumnFormula>IF(RTD("tos.rtd",,"VOLUME","."&amp;Table1334[[#This Row],[Ticker]]&amp;Table1334[[#This Row],[Expiry]]&amp;""&amp;"C"&amp;Table1334[[#This Row],[Spot]]+Table1334[[#This Row],[step]])="N/A",0,RTD("tos.rtd",,"VOLUME","."&amp;Table1334[[#This Row],[Ticker]]&amp;Table1334[[#This Row],[Expiry]]&amp;""&amp;"C"&amp;Table1334[[#This Row],[Spot]]+Table1334[[#This Row],[step]]))</calculatedColumnFormula>
    </tableColumn>
    <tableColumn id="6" xr3:uid="{80EBB886-EF10-478C-BB70-66DEAC9C1EC9}" name="Column9" dataDxfId="315"/>
    <tableColumn id="7" xr3:uid="{7F7E2860-B8DF-4935-975F-D9CB290B1268}" name="DeltaC" dataDxfId="314">
      <calculatedColumnFormula>RTD("tos.rtd", , "DELTA", "."&amp;Table1334[[#This Row],[Ticker]]&amp;Table1334[[#This Row],[Expiry]]&amp;""&amp;"C"&amp;Table1334[[#This Row],[Spot]]+Table1334[[#This Row],[step]])</calculatedColumnFormula>
    </tableColumn>
    <tableColumn id="8" xr3:uid="{BA75609E-C0E4-4678-8BFF-6D07962C61ED}" name="IV Calc C" dataDxfId="313">
      <calculatedColumnFormula array="1">StraddleImpliedVolCore($A$4, Table1334[[#This Row],[Strike]], 0.0411, Table1334[[#This Row],[T]], ((Table1334[[#This Row],[BIDC]]+Table1334[[#This Row],[ASKC]])/2), TRUE)</calculatedColumnFormula>
    </tableColumn>
    <tableColumn id="9" xr3:uid="{D253DFC4-1C9E-4C8E-9E2C-990659C126A3}" name="BIDC" dataDxfId="312">
      <calculatedColumnFormula>RTD("tos.rtd", , "BID", "."&amp;Table1334[[#This Row],[Ticker]]&amp;Table1334[[#This Row],[Expiry]]&amp;""&amp;"C"&amp;Table1334[[#This Row],[Spot]]+Table1334[[#This Row],[step]])</calculatedColumnFormula>
    </tableColumn>
    <tableColumn id="10" xr3:uid="{287FC88B-8D46-478C-A7E0-82DF051CD777}" name="ASKC" dataDxfId="311">
      <calculatedColumnFormula>RTD("tos.rtd", , "ASK", "."&amp;Table1334[[#This Row],[Ticker]]&amp;Table1334[[#This Row],[Expiry]]&amp;""&amp;"C"&amp;Table1334[[#This Row],[Spot]]+Table1334[[#This Row],[step]])</calculatedColumnFormula>
    </tableColumn>
    <tableColumn id="11" xr3:uid="{8EC99850-A968-4AD7-A0C8-741C83189D0E}" name="average IV" dataDxfId="310"/>
    <tableColumn id="12" xr3:uid="{AEBE581D-5C2D-4306-A426-69677523DB29}" name="IV Calc AVG" dataCellStyle="Percent"/>
    <tableColumn id="13" xr3:uid="{E0195471-AE6F-4710-942C-99EB5DE1FF9B}" name="Exp" dataDxfId="309">
      <calculatedColumnFormula>$R$1</calculatedColumnFormula>
    </tableColumn>
    <tableColumn id="14" xr3:uid="{9A46DC23-A246-488E-A8DB-5CB4390FCB5C}" name="Strike" dataDxfId="308">
      <calculatedColumnFormula>IF(ISNUMBER($BP619), $BP619, FALSE)</calculatedColumnFormula>
    </tableColumn>
    <tableColumn id="15" xr3:uid="{E19A21F3-91A2-4C71-A95C-03EC52E14F6E}" name="Column4" dataDxfId="307"/>
    <tableColumn id="16" xr3:uid="{76C9B454-4FA6-4416-84F5-CEC102E4B09B}" name="IV Calc P" dataDxfId="306">
      <calculatedColumnFormula array="1">StraddleImpliedVolCore($A$4, Table1334[[#This Row],[Strike]], 0.0411, Table1334[[#This Row],[T]], ((Table1334[[#This Row],[BIDP]]+Table1334[[#This Row],[ASKP]])/2), FALSE)</calculatedColumnFormula>
    </tableColumn>
    <tableColumn id="17" xr3:uid="{B91271CD-8F92-4A57-B013-20B283371F57}" name="BIDP" dataDxfId="305">
      <calculatedColumnFormula>RTD("tos.rtd", , "BID", "."&amp;Table1334[[#This Row],[Ticker]]&amp;Table1334[[#This Row],[Expiry]]&amp;""&amp;"P"&amp;Table1334[[#This Row],[Spot]]+Table1334[[#This Row],[step]])</calculatedColumnFormula>
    </tableColumn>
    <tableColumn id="18" xr3:uid="{2CF3EC81-06F6-4993-99BA-907C20ECDA04}" name="ASKP" dataDxfId="304">
      <calculatedColumnFormula>RTD("tos.rtd", , "ASK", "."&amp;Table1334[[#This Row],[Ticker]]&amp;Table1334[[#This Row],[Expiry]]&amp;""&amp;"P"&amp;Table1334[[#This Row],[Spot]]+Table1334[[#This Row],[step]])</calculatedColumnFormula>
    </tableColumn>
    <tableColumn id="19" xr3:uid="{EF93AF67-1772-44AB-BCC2-34FCB70EB0A7}" name="Column3" dataDxfId="303" dataCellStyle="Percent"/>
    <tableColumn id="20" xr3:uid="{619F1A72-43E6-4A24-A1E9-1997480FC346}" name="Open.Int8" dataDxfId="302">
      <calculatedColumnFormula>RTD("tos.rtd", , "OPEN_INT", "."&amp;Table1334[[#This Row],[Ticker]]&amp;Table1334[[#This Row],[Expiry]]&amp;""&amp;"P"&amp;Table1334[[#This Row],[Spot]]+Table1334[[#This Row],[step]])</calculatedColumnFormula>
    </tableColumn>
    <tableColumn id="21" xr3:uid="{FB6E2BC8-55C0-4044-A87D-B698D6A8DEBD}" name="Volume9" dataDxfId="301">
      <calculatedColumnFormula>IF(RTD("tos.rtd",,"VOLUME","."&amp;Table1334[[#This Row],[Ticker]]&amp;Table1334[[#This Row],[Expiry]]&amp;""&amp;"P"&amp;Table1334[[#This Row],[Spot]]+Table1334[[#This Row],[step]])="N/A",0,RTD("tos.rtd",,"VOLUME","."&amp;Table1334[[#This Row],[Ticker]]&amp;Table1334[[#This Row],[Expiry]]&amp;""&amp;"P"&amp;Table1334[[#This Row],[Spot]]+Table1334[[#This Row],[step]]))</calculatedColumnFormula>
    </tableColumn>
    <tableColumn id="22" xr3:uid="{05E9511F-8479-419E-93E5-F029F5144A2F}" name="Column15" dataDxfId="300"/>
    <tableColumn id="23" xr3:uid="{B6C11C12-DCED-4DA3-AF3E-4833570EE943}" name="DeltaP" dataDxfId="299">
      <calculatedColumnFormula>RTD("tos.rtd", , "DELTA", "."&amp;Table1334[[#This Row],[Ticker]]&amp;Table1334[[#This Row],[Expiry]]&amp;""&amp;"P"&amp;Table1334[[#This Row],[Spot]]+Table1334[[#This Row],[step]])</calculatedColumnFormula>
    </tableColumn>
    <tableColumn id="24" xr3:uid="{D18CE713-5F0F-47B7-956B-F43F8AC88BB5}" name="Column16" dataDxfId="298"/>
    <tableColumn id="25" xr3:uid="{4B418C81-24AE-4E8F-B8A5-5A5C29163FEE}" name="step" dataDxfId="297"/>
    <tableColumn id="26" xr3:uid="{98AD8093-8978-4C78-8FE7-6D2D3B049FBA}" name="Call Gex" dataDxfId="296">
      <calculatedColumnFormula>IFERROR(Table1334[[#This Row],[call gamma]]*(Table1334[[#This Row],[Open.Int]])*$A$4^2,0)</calculatedColumnFormula>
    </tableColumn>
    <tableColumn id="27" xr3:uid="{553F1AB8-B5D1-42DD-9B77-C7A09E64B98A}" name="Put Gex" dataDxfId="295">
      <calculatedColumnFormula>IFERROR(((Table1334[[#This Row],[Open.Int8]])*Table1334[[#This Row],[Put gamma]])*-1*$A$4^2,0)</calculatedColumnFormula>
    </tableColumn>
    <tableColumn id="28" xr3:uid="{4AFFF3FF-BBD5-4CC8-82F4-3F4598A62A95}" name="Net Gex" dataDxfId="294">
      <calculatedColumnFormula>(Table1334[[#This Row],[Call Gex]]+Table1334[[#This Row],[Put Gex]])</calculatedColumnFormula>
    </tableColumn>
    <tableColumn id="29" xr3:uid="{E77DC442-BED3-4239-9233-E741D24D272F}" name="net delta adj" dataDxfId="293">
      <calculatedColumnFormula>Table1334[[#This Row],[put delta adj]]+Table1334[[#This Row],[call delta adj]]</calculatedColumnFormula>
    </tableColumn>
    <tableColumn id="30" xr3:uid="{ABE44600-387A-4CC2-AF87-50E856E660FB}" name="put delta adj" dataDxfId="292">
      <calculatedColumnFormula>Table1334[[#This Row],[Put Gex]]*Table1334[[#This Row],[DeltaP]]*-1</calculatedColumnFormula>
    </tableColumn>
    <tableColumn id="31" xr3:uid="{F247BA39-271F-4145-9F1D-A7D160B60AAA}" name="call delta adj" dataDxfId="291">
      <calculatedColumnFormula>Table1334[[#This Row],[Call Gex]]*Table1334[[#This Row],[DeltaC]]</calculatedColumnFormula>
    </tableColumn>
    <tableColumn id="32" xr3:uid="{4A543427-F07C-4503-B08F-DC71C23FB4D1}" name="Net Dex" dataDxfId="290">
      <calculatedColumnFormula>IF(Table1334[[#This Row],[DeltaC]]-ABS(Table1334[[#This Row],[DeltaP]])="0","0.01",Table1334[[#This Row],[DeltaC]]-ABS(Table1334[[#This Row],[DeltaP]]))</calculatedColumnFormula>
    </tableColumn>
    <tableColumn id="33" xr3:uid="{69B4F2A1-E9F9-4385-9B58-631E8FBC58A7}" name="Put D1" dataDxfId="289">
      <calculatedColumnFormula>((LN($A$4/Table1334[[#This Row],[Strike]]) + (0.411 + 0.5 * Table1334[[#This Row],[IV Calc P]]^2) *Table1334[[#This Row],[T]])) / (Table1334[[#This Row],[IV Calc P]] * SQRT(Table1334[[#This Row],[T]]))</calculatedColumnFormula>
    </tableColumn>
    <tableColumn id="34" xr3:uid="{2F8D7EE0-3F12-4363-B29A-9AB72493C5C2}" name="Call D1" dataDxfId="288">
      <calculatedColumnFormula>(LN($A$4/Table1334[[#This Row],[Strike]]) + (0.411-0 + 0.5 * Table1334[[#This Row],[IV Calc C]]^2) *Table1334[[#This Row],[T]]) / (Table1334[[#This Row],[IV Calc C]] * SQRT(Table1334[[#This Row],[T]]))</calculatedColumnFormula>
    </tableColumn>
    <tableColumn id="35" xr3:uid="{6646E2C3-03A8-4933-9EC6-A9962E73CE54}" name="Put gamma" dataDxfId="287">
      <calculatedColumnFormula>(EXP(-(AG619^2)/2)/SQRT(2*PI())*EXP(0*SQRT(Table1334[[#This Row],[T]]))/$A$4*18%*SQRT(SQRT(Table1334[[#This Row],[T]])))</calculatedColumnFormula>
    </tableColumn>
    <tableColumn id="36" xr3:uid="{27208CE7-1B5C-4B0F-83EC-3B8580946B06}" name="call gamma" dataDxfId="286">
      <calculatedColumnFormula>(EXP(-(AH619^2)/2)/SQRT(2*PI())*EXP(0*SQRT(Table1334[[#This Row],[T]]))/$A$4*18%*SQRT(SQRT(Table1334[[#This Row],[T]])))</calculatedColumnFormula>
    </tableColumn>
    <tableColumn id="37" xr3:uid="{1C862F22-8216-47E0-8D1A-E5BCF61E368D}" name="call d2" dataDxfId="285">
      <calculatedColumnFormula>Table1334[[#This Row],[Call D1]]-Table1334[[#This Row],[IV Calc C]]*SQRT(Table1334[[#This Row],[T]])</calculatedColumnFormula>
    </tableColumn>
    <tableColumn id="38" xr3:uid="{33A29F64-2185-4774-B25E-1E306FFF0987}" name="put d2" dataDxfId="284">
      <calculatedColumnFormula>Table1334[[#This Row],[Put D1]]-Table1334[[#This Row],[IV Calc P]]*SQRT(Table1334[[#This Row],[T]])</calculatedColumnFormula>
    </tableColumn>
    <tableColumn id="39" xr3:uid="{182E636F-AD0D-4291-9321-B0728EAC013E}" name="call N(d1)" dataDxfId="283">
      <calculatedColumnFormula>EXP(-0.5*Table1334[[#This Row],[Call D1]]^2)/SQRT(2*PI())</calculatedColumnFormula>
    </tableColumn>
    <tableColumn id="40" xr3:uid="{1991A72E-5FDE-4942-AE49-E647EEB6F809}" name="put N(d1)" dataDxfId="282">
      <calculatedColumnFormula>EXP(-0.5*Table1334[[#This Row],[Put D1]]^2)/SQRT(2*PI())</calculatedColumnFormula>
    </tableColumn>
    <tableColumn id="41" xr3:uid="{8A58B955-7925-479E-B875-80F64E8263A5}" name="call vanna" dataDxfId="281">
      <calculatedColumnFormula>IFERROR((EXP(0*Table1334[[#This Row],[T]])*Table1334[[#This Row],[call N(d1)]]*(Table1334[[#This Row],[call d2]]/Table1334[[#This Row],[IV Calc C]]))*Table1334[[#This Row],[Open.Int]]*Table1334[[#This Row],[DeltaC]],0)</calculatedColumnFormula>
    </tableColumn>
    <tableColumn id="42" xr3:uid="{739C1BFB-94BF-46B3-A126-0663C8B8B3D2}" name="put vanna" dataDxfId="280">
      <calculatedColumnFormula>IFERROR((EXP(0*Table1334[[#This Row],[T]])*Table1334[[#This Row],[put N(d1)]]*(Table1334[[#This Row],[put d2]]/Table1334[[#This Row],[IV Calc P]]))*Table1334[[#This Row],[Open.Int8]]*Table1334[[#This Row],[DeltaP]]*-1,0)</calculatedColumnFormula>
    </tableColumn>
    <tableColumn id="43" xr3:uid="{073F035F-98EA-4A22-9BCD-8D65FEB9D3AC}" name="net vanna" dataDxfId="279">
      <calculatedColumnFormula>((Table1334[[#This Row],[call vanna]]+Table1334[[#This Row],[put vanna]])*$A$4)</calculatedColumnFormula>
    </tableColumn>
    <tableColumn id="44" xr3:uid="{6A175052-0BCD-48D5-9E92-6ACCCA9DC309}" name="call helper" dataDxfId="278">
      <calculatedColumnFormula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calculatedColumnFormula>
    </tableColumn>
    <tableColumn id="45" xr3:uid="{848A2E87-5D5A-4469-A945-5F7AD8D11FB4}" name="put helper" dataDxfId="277">
      <calculatedColumnFormula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calculatedColumnFormula>
    </tableColumn>
    <tableColumn id="46" xr3:uid="{CF15D87B-F1AC-47DF-9E10-0AEE409EE7F1}" name="Ticker" dataDxfId="276">
      <calculatedColumnFormula>IF($M$1="SPX","SPXW",$M$1)</calculatedColumnFormula>
    </tableColumn>
    <tableColumn id="47" xr3:uid="{D5A15A15-5073-4B7B-9F68-175F64C8DC28}" name="Spot" dataDxfId="275">
      <calculatedColumnFormula>$N$1</calculatedColumnFormula>
    </tableColumn>
    <tableColumn id="48" xr3:uid="{632B41D5-2140-4B79-AC35-200224D8BE41}" name="Expiry" dataDxfId="274">
      <calculatedColumnFormula>$R$2</calculatedColumnFormula>
    </tableColumn>
    <tableColumn id="49" xr3:uid="{F65B4E20-812F-454E-A3B0-1D1B603E0440}" name="dadj" dataDxfId="273"/>
    <tableColumn id="50" xr3:uid="{A922B5D3-6C32-4ABA-8EF0-9B5E5C65D869}" name="dadj2" dataDxfId="272"/>
    <tableColumn id="51" xr3:uid="{4DB51DAD-8156-488B-B751-7ADCE84B18E4}" name="High C" dataDxfId="271">
      <calculatedColumnFormula>RTD("tos.rtd", , "high", "."&amp;Table1334[[#This Row],[Ticker]]&amp;Table1334[[#This Row],[Expiry]]&amp;""&amp;"C"&amp;Table1334[[#This Row],[Spot]]+Table1334[[#This Row],[step]])</calculatedColumnFormula>
    </tableColumn>
    <tableColumn id="52" xr3:uid="{CDB40229-A84C-4649-BB27-5F4A433A597F}" name="Low C" dataDxfId="270">
      <calculatedColumnFormula>RTD("tos.rtd", , "low", "."&amp;Table1334[[#This Row],[Ticker]]&amp;Table1334[[#This Row],[Expiry]]&amp;""&amp;"C"&amp;Table1334[[#This Row],[Spot]]+Table1334[[#This Row],[step]])</calculatedColumnFormula>
    </tableColumn>
    <tableColumn id="53" xr3:uid="{312058B9-E616-444C-A791-82289E696EFA}" name="High P" dataDxfId="269">
      <calculatedColumnFormula>RTD("tos.rtd", , "high", "."&amp;Table1334[[#This Row],[Ticker]]&amp;Table1334[[#This Row],[Expiry]]&amp;""&amp;"P"&amp;Table1334[[#This Row],[Spot]]+Table1334[[#This Row],[step]])</calculatedColumnFormula>
    </tableColumn>
    <tableColumn id="54" xr3:uid="{78920402-1A47-4DB5-B903-4755AA12F083}" name="Low P" dataDxfId="268">
      <calculatedColumnFormula>RTD("tos.rtd", , "low", "."&amp;Table1334[[#This Row],[Ticker]]&amp;Table1334[[#This Row],[Expiry]]&amp;""&amp;"P"&amp;Table1334[[#This Row],[Spot]]+Table1334[[#This Row],[step]])</calculatedColumnFormula>
    </tableColumn>
    <tableColumn id="55" xr3:uid="{87540101-5D85-49D4-ADBD-DFC44529B36A}" name="SgammaC" dataDxfId="267">
      <calculatedColumnFormula>((Table1334[[#This Row],[High C]]+Table1334[[#This Row],[Low C]])/2)*Table1334[[#This Row],[gammac]]*Table1334[[#This Row],[Volume]]</calculatedColumnFormula>
    </tableColumn>
    <tableColumn id="56" xr3:uid="{BA6DEE52-830C-4B53-BF6A-6E6EABA7F0FD}" name="SgammaP" dataDxfId="266">
      <calculatedColumnFormula>((Table1334[[#This Row],[High P]]+Table1334[[#This Row],[Low P]])/2)*Table1334[[#This Row],[gammap]]*Table1334[[#This Row],[Volume9]]*-1</calculatedColumnFormula>
    </tableColumn>
    <tableColumn id="57" xr3:uid="{2A980F51-C490-41CB-A85E-736202483122}" name="Sgammanet" dataDxfId="265">
      <calculatedColumnFormula>(Table1334[[#This Row],[SgammaC]]+Table1334[[#This Row],[SgammaP]])*$A$4*-100</calculatedColumnFormula>
    </tableColumn>
    <tableColumn id="58" xr3:uid="{64C91584-35D4-43B4-8BBC-04B0C7A5DD90}" name="Column7" dataDxfId="264">
      <calculatedColumnFormula>Table1334[[#This Row],[DEXc]]+Table1334[[#This Row],[DEXp]]</calculatedColumnFormula>
    </tableColumn>
    <tableColumn id="59" xr3:uid="{131ABAE3-4C20-41E7-A9AC-551585599027}" name="DEXc" dataDxfId="263">
      <calculatedColumnFormula>IFERROR(Table1334[[#This Row],[DeltaC]]*Table1334[[#This Row],[Open.Int]]*$A$4,0)</calculatedColumnFormula>
    </tableColumn>
    <tableColumn id="60" xr3:uid="{EF3C9404-D4DE-472E-9E42-251F1D955D69}" name="DEXp" dataDxfId="262">
      <calculatedColumnFormula>IFERROR(Table1334[[#This Row],[DeltaP]]*Table1334[[#This Row],[Open.Int8]]*$A$4,0)</calculatedColumnFormula>
    </tableColumn>
    <tableColumn id="61" xr3:uid="{40F610D5-119E-49F6-9BAF-1BB1AFB66034}" name="charmc" dataDxfId="261">
      <calculatedColumnFormula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calculatedColumnFormula>
    </tableColumn>
    <tableColumn id="62" xr3:uid="{0F79D085-EA62-41DA-88DA-28323CCDDF28}" name="charmp" dataDxfId="260">
      <calculatedColumnFormula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calculatedColumnFormula>
    </tableColumn>
    <tableColumn id="63" xr3:uid="{4773A6D2-835A-4C0F-93F7-D69E7AC82955}" name="charmnet" dataDxfId="259">
      <calculatedColumnFormula>Table1334[[#This Row],[charmc]]+Table1334[[#This Row],[charmp]]</calculatedColumnFormula>
    </tableColumn>
    <tableColumn id="64" xr3:uid="{9AEC5DC8-61D0-436D-B464-D849DB01D5FF}" name="gammap" dataDxfId="258" dataCellStyle="Percent">
      <calculatedColumnFormula>RTD("tos.rtd", , "GAMMA", "."&amp;Table1334[[#This Row],[Ticker]]&amp;Table1334[[#This Row],[Expiry]]&amp;""&amp;"P"&amp;Table1334[[#This Row],[Spot]]+Table1334[[#This Row],[step]])</calculatedColumnFormula>
    </tableColumn>
    <tableColumn id="65" xr3:uid="{CBA79DAC-C5A0-40BD-9232-C85E97B70957}" name="gammac" dataDxfId="257" dataCellStyle="Percent">
      <calculatedColumnFormula>RTD("tos.rtd", , "GAMMA", "."&amp;Table1334[[#This Row],[Ticker]]&amp;Table1334[[#This Row],[Expiry]]&amp;""&amp;"C"&amp;Table1334[[#This Row],[Spot]]+Table1334[[#This Row],[step]])</calculatedColumnFormula>
    </tableColumn>
    <tableColumn id="66" xr3:uid="{8345ECB6-968A-481B-AC13-A5ECDB3E4C57}" name="helper sum" dataDxfId="256">
      <calculatedColumnFormula>Table1334[[#This Row],[call helper]]+Table1334[[#This Row],[put helper]]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45A790-6903-41A4-B12A-05B35558FF4F}" name="Table13345" displayName="Table13345" ref="A821:BN1022" totalsRowShown="0">
  <autoFilter ref="A821:BN1022" xr:uid="{8245A790-6903-41A4-B12A-05B35558FF4F}"/>
  <sortState xmlns:xlrd2="http://schemas.microsoft.com/office/spreadsheetml/2017/richdata2" ref="A822:BN1022">
    <sortCondition ref="Y821:Y1022"/>
  </sortState>
  <tableColumns count="66">
    <tableColumn id="1" xr3:uid="{FA23E174-933A-463C-9F5B-C2C9316BF3F2}" name="T" dataDxfId="255">
      <calculatedColumnFormula>$S$3</calculatedColumnFormula>
    </tableColumn>
    <tableColumn id="2" xr3:uid="{5A42F517-AC3E-4C1E-8ED0-BEDA4ED809C5}" name="Column2"/>
    <tableColumn id="3" xr3:uid="{3CEAFEF1-F48B-4A86-9B19-127F209E87BC}" name="Column1" dataDxfId="254" dataCellStyle="Percent"/>
    <tableColumn id="4" xr3:uid="{FB99420E-DBEB-4973-BA37-92E437DC8BDA}" name="Open.Int" dataDxfId="253">
      <calculatedColumnFormula>RTD("tos.rtd", , "OPEN_INT", "."&amp;Table13345[[#This Row],[Ticker]]&amp;Table13345[[#This Row],[Expiry]]&amp;""&amp;"C"&amp;Table13345[[#This Row],[Spot]]+Table13345[[#This Row],[step]])</calculatedColumnFormula>
    </tableColumn>
    <tableColumn id="5" xr3:uid="{E17556BF-B012-4790-BE95-8C83745055E2}" name="Volume" dataDxfId="252">
      <calculatedColumnFormula>IF(RTD("tos.rtd",,"VOLUME","."&amp;Table13345[[#This Row],[Ticker]]&amp;Table13345[[#This Row],[Expiry]]&amp;""&amp;"C"&amp;Table13345[[#This Row],[Spot]]+Table13345[[#This Row],[step]])="N/A",0,RTD("tos.rtd",,"VOLUME","."&amp;Table13345[[#This Row],[Ticker]]&amp;Table13345[[#This Row],[Expiry]]&amp;""&amp;"C"&amp;Table13345[[#This Row],[Spot]]+Table13345[[#This Row],[step]]))</calculatedColumnFormula>
    </tableColumn>
    <tableColumn id="6" xr3:uid="{519B32E7-F48A-40D0-99B0-06DBA37FC4EF}" name="Column9" dataDxfId="251"/>
    <tableColumn id="7" xr3:uid="{E0433512-2600-4E1A-ACDE-DE7A332CE6B7}" name="DeltaC" dataDxfId="250">
      <calculatedColumnFormula>RTD("tos.rtd", , "DELTA", "."&amp;Table13345[[#This Row],[Ticker]]&amp;Table13345[[#This Row],[Expiry]]&amp;""&amp;"C"&amp;Table13345[[#This Row],[Spot]]+Table13345[[#This Row],[step]])</calculatedColumnFormula>
    </tableColumn>
    <tableColumn id="8" xr3:uid="{9C59A4C7-B642-4051-8686-498B8B5AB1EF}" name="IV Calc C" dataDxfId="249">
      <calculatedColumnFormula array="1">StraddleImpliedVolCore($A$4, Table13345[[#This Row],[Strike]], 0.0411, Table13345[[#This Row],[T]], ((Table13345[[#This Row],[BIDC]]+Table13345[[#This Row],[ASKC]])/2), TRUE)</calculatedColumnFormula>
    </tableColumn>
    <tableColumn id="9" xr3:uid="{DE9B4FED-5217-443F-AB41-00D7E3BEFE16}" name="BIDC" dataDxfId="248">
      <calculatedColumnFormula>RTD("tos.rtd", , "BID", "."&amp;Table13345[[#This Row],[Ticker]]&amp;Table13345[[#This Row],[Expiry]]&amp;""&amp;"C"&amp;Table13345[[#This Row],[Spot]]+Table13345[[#This Row],[step]])</calculatedColumnFormula>
    </tableColumn>
    <tableColumn id="10" xr3:uid="{2484B934-7F0D-4481-A4C1-C6F6191905FA}" name="ASKC" dataDxfId="247">
      <calculatedColumnFormula>RTD("tos.rtd", , "ASK", "."&amp;Table13345[[#This Row],[Ticker]]&amp;Table13345[[#This Row],[Expiry]]&amp;""&amp;"C"&amp;Table13345[[#This Row],[Spot]]+Table13345[[#This Row],[step]])</calculatedColumnFormula>
    </tableColumn>
    <tableColumn id="11" xr3:uid="{4246DF57-FE52-4095-8E4A-819F3114F6E7}" name="average IV" dataDxfId="246"/>
    <tableColumn id="12" xr3:uid="{013CC003-CABA-4A23-AF8A-62CBE7408A55}" name="IV Calc AVG" dataCellStyle="Percent"/>
    <tableColumn id="13" xr3:uid="{4DA02029-A400-461A-938D-CEAF4259F518}" name="Exp" dataDxfId="245">
      <calculatedColumnFormula>$S$1</calculatedColumnFormula>
    </tableColumn>
    <tableColumn id="14" xr3:uid="{D94050B1-AE70-4603-A731-55BA222CFFD4}" name="Strike" dataDxfId="244">
      <calculatedColumnFormula>IF(ISNUMBER($BP822), $BP822, FALSE)</calculatedColumnFormula>
    </tableColumn>
    <tableColumn id="15" xr3:uid="{E813EAB0-E0E7-4EB1-B68A-FDE88E11ACB9}" name="Column4" dataDxfId="243"/>
    <tableColumn id="16" xr3:uid="{3632D1F5-3C6C-4E43-BF30-0E1B383DBC07}" name="IV Calc P" dataDxfId="242">
      <calculatedColumnFormula array="1">StraddleImpliedVolCore($A$4, Table13345[[#This Row],[Strike]], 0.0411, Table13345[[#This Row],[T]], ((Table13345[[#This Row],[BIDP]]+Table13345[[#This Row],[ASKP]])/2), FALSE)</calculatedColumnFormula>
    </tableColumn>
    <tableColumn id="17" xr3:uid="{D4A06350-BE94-4DB1-B0C9-4A3962B29C56}" name="BIDP" dataDxfId="241">
      <calculatedColumnFormula>RTD("tos.rtd", , "BID", "."&amp;Table13345[[#This Row],[Ticker]]&amp;Table13345[[#This Row],[Expiry]]&amp;""&amp;"P"&amp;Table13345[[#This Row],[Spot]]+Table13345[[#This Row],[step]])</calculatedColumnFormula>
    </tableColumn>
    <tableColumn id="18" xr3:uid="{A99F4EA2-CEAB-4C68-91D3-C787CF438C5E}" name="ASKP" dataDxfId="240">
      <calculatedColumnFormula>RTD("tos.rtd", , "ASK", "."&amp;Table13345[[#This Row],[Ticker]]&amp;Table13345[[#This Row],[Expiry]]&amp;""&amp;"P"&amp;Table13345[[#This Row],[Spot]]+Table13345[[#This Row],[step]])</calculatedColumnFormula>
    </tableColumn>
    <tableColumn id="19" xr3:uid="{E8266EEE-9355-42C6-AC2B-FFC73B967239}" name="Column3" dataDxfId="239" dataCellStyle="Percent"/>
    <tableColumn id="20" xr3:uid="{EA7EA075-A3C7-4991-B94F-D1B8C8C72031}" name="Open.Int8" dataDxfId="238">
      <calculatedColumnFormula>RTD("tos.rtd", , "OPEN_INT", "."&amp;Table13345[[#This Row],[Ticker]]&amp;Table13345[[#This Row],[Expiry]]&amp;""&amp;"P"&amp;Table13345[[#This Row],[Spot]]+Table13345[[#This Row],[step]])</calculatedColumnFormula>
    </tableColumn>
    <tableColumn id="21" xr3:uid="{597DAE2E-3E49-489B-9133-418D3576CA31}" name="Volume9" dataDxfId="237">
      <calculatedColumnFormula>IF(RTD("tos.rtd",,"VOLUME","."&amp;Table13345[[#This Row],[Ticker]]&amp;Table13345[[#This Row],[Expiry]]&amp;""&amp;"P"&amp;Table13345[[#This Row],[Spot]]+Table13345[[#This Row],[step]])="N/A",0,RTD("tos.rtd",,"VOLUME","."&amp;Table13345[[#This Row],[Ticker]]&amp;Table13345[[#This Row],[Expiry]]&amp;""&amp;"P"&amp;Table13345[[#This Row],[Spot]]+Table13345[[#This Row],[step]]))</calculatedColumnFormula>
    </tableColumn>
    <tableColumn id="22" xr3:uid="{B1AD5201-398F-435A-8545-BB7B7B98E7E5}" name="Column15" dataDxfId="236"/>
    <tableColumn id="23" xr3:uid="{491CCF77-D087-40B3-96B6-7F9F2CB769CB}" name="DeltaP" dataDxfId="235">
      <calculatedColumnFormula>RTD("tos.rtd", , "DELTA", "."&amp;Table13345[[#This Row],[Ticker]]&amp;Table13345[[#This Row],[Expiry]]&amp;""&amp;"P"&amp;Table13345[[#This Row],[Spot]]+Table13345[[#This Row],[step]])</calculatedColumnFormula>
    </tableColumn>
    <tableColumn id="24" xr3:uid="{B3ACCEDA-302A-40F3-850A-6FB5515F2789}" name="Column16" dataDxfId="234"/>
    <tableColumn id="25" xr3:uid="{65304CA9-1881-4F8F-902E-A6EDFFE4D082}" name="step" dataDxfId="233"/>
    <tableColumn id="26" xr3:uid="{4A78FCDA-E930-4786-A191-E39CEC1EFC33}" name="Call Gex" dataDxfId="232">
      <calculatedColumnFormula>IFERROR(Table13345[[#This Row],[call gamma]]*(Table13345[[#This Row],[Open.Int]])*$A$4^2,0)</calculatedColumnFormula>
    </tableColumn>
    <tableColumn id="27" xr3:uid="{7ED6230F-DFCE-48C5-82EC-7B25C25507A9}" name="Put Gex" dataDxfId="231">
      <calculatedColumnFormula>IFERROR(((Table13345[[#This Row],[Open.Int8]])*Table13345[[#This Row],[Put gamma]])*-1*$A$4^2,0)</calculatedColumnFormula>
    </tableColumn>
    <tableColumn id="28" xr3:uid="{488ED74D-6127-4F3C-8890-54B8FED81342}" name="Net Gex" dataDxfId="230">
      <calculatedColumnFormula>(Table13345[[#This Row],[Call Gex]]+Table13345[[#This Row],[Put Gex]])</calculatedColumnFormula>
    </tableColumn>
    <tableColumn id="29" xr3:uid="{3221FBB9-7CF9-4C00-A47B-4AF19F662612}" name="net delta adj" dataDxfId="229">
      <calculatedColumnFormula>Table13345[[#This Row],[put delta adj]]+Table13345[[#This Row],[call delta adj]]</calculatedColumnFormula>
    </tableColumn>
    <tableColumn id="30" xr3:uid="{AC67C11E-07B7-4CEE-A962-B50786AC96F0}" name="put delta adj" dataDxfId="228">
      <calculatedColumnFormula>Table13345[[#This Row],[Put Gex]]*Table13345[[#This Row],[DeltaP]]*-1</calculatedColumnFormula>
    </tableColumn>
    <tableColumn id="31" xr3:uid="{4ABB6ECD-88BA-4776-B0A0-213C7B27C475}" name="call delta adj" dataDxfId="227">
      <calculatedColumnFormula>Table13345[[#This Row],[Call Gex]]*Table13345[[#This Row],[DeltaC]]</calculatedColumnFormula>
    </tableColumn>
    <tableColumn id="32" xr3:uid="{83FD29C6-4BEF-482A-9430-CB52F04643D1}" name="Net Dex" dataDxfId="226">
      <calculatedColumnFormula>IF(Table13345[[#This Row],[DeltaC]]-ABS(Table13345[[#This Row],[DeltaP]])="0","0.01",Table13345[[#This Row],[DeltaC]]-ABS(Table13345[[#This Row],[DeltaP]]))</calculatedColumnFormula>
    </tableColumn>
    <tableColumn id="33" xr3:uid="{DCB0B3B3-EB3D-474D-B0F8-67DC241EDDBB}" name="Put D1" dataDxfId="225">
      <calculatedColumnFormula>((LN($A$4/Table13345[[#This Row],[Strike]]) + (0.411 + 0.5 * Table13345[[#This Row],[IV Calc P]]^2) *Table13345[[#This Row],[T]])) / (Table13345[[#This Row],[IV Calc P]] * SQRT(Table13345[[#This Row],[T]]))</calculatedColumnFormula>
    </tableColumn>
    <tableColumn id="34" xr3:uid="{BB8EBE17-4AA8-4082-A947-AF77F231DD8C}" name="Call D1" dataDxfId="224">
      <calculatedColumnFormula>(LN($A$4/Table13345[[#This Row],[Strike]]) + (0.411-0 + 0.5 * Table13345[[#This Row],[IV Calc C]]^2) *Table13345[[#This Row],[T]]) / (Table13345[[#This Row],[IV Calc C]] * SQRT(Table13345[[#This Row],[T]]))</calculatedColumnFormula>
    </tableColumn>
    <tableColumn id="35" xr3:uid="{D9B1E231-6F89-4E05-84EF-2A34CE132D58}" name="Put gamma" dataDxfId="223">
      <calculatedColumnFormula>(EXP(-(AG822^2)/2)/SQRT(2*PI())*EXP(0*SQRT(Table13345[[#This Row],[T]]))/$A$4*18%*SQRT(SQRT(Table13345[[#This Row],[T]])))</calculatedColumnFormula>
    </tableColumn>
    <tableColumn id="36" xr3:uid="{F6EF398E-E9F2-4491-B8F0-26291CACFC58}" name="call gamma" dataDxfId="222">
      <calculatedColumnFormula>(EXP(-(AH822^2)/2)/SQRT(2*PI())*EXP(0*SQRT(Table13345[[#This Row],[T]]))/$A$4*18%*SQRT(SQRT(Table13345[[#This Row],[T]])))</calculatedColumnFormula>
    </tableColumn>
    <tableColumn id="37" xr3:uid="{F45E4FF9-A148-40BA-8FAF-B849336D182C}" name="call d2" dataDxfId="221">
      <calculatedColumnFormula>Table13345[[#This Row],[Call D1]]-Table13345[[#This Row],[IV Calc C]]*SQRT(Table13345[[#This Row],[T]])</calculatedColumnFormula>
    </tableColumn>
    <tableColumn id="38" xr3:uid="{A8EA5C4F-4244-46B0-A658-68B08757A5CA}" name="put d2" dataDxfId="220">
      <calculatedColumnFormula>Table13345[[#This Row],[Put D1]]-Table13345[[#This Row],[IV Calc P]]*SQRT(Table13345[[#This Row],[T]])</calculatedColumnFormula>
    </tableColumn>
    <tableColumn id="39" xr3:uid="{832D1075-1F2C-4C47-BCE9-79C951C8F6B0}" name="call N(d1)" dataDxfId="219">
      <calculatedColumnFormula>EXP(-0.5*Table13345[[#This Row],[Call D1]]^2)/SQRT(2*PI())</calculatedColumnFormula>
    </tableColumn>
    <tableColumn id="40" xr3:uid="{94C1FED9-C5D7-42A8-86EB-2E7F095E5516}" name="put N(d1)" dataDxfId="218">
      <calculatedColumnFormula>EXP(-0.5*Table13345[[#This Row],[Put D1]]^2)/SQRT(2*PI())</calculatedColumnFormula>
    </tableColumn>
    <tableColumn id="41" xr3:uid="{7E88D76B-1D6E-4148-B4B6-134CEF9A4338}" name="call vanna" dataDxfId="217">
      <calculatedColumnFormula>IFERROR((EXP(0*Table13345[[#This Row],[T]])*Table13345[[#This Row],[call N(d1)]]*(Table13345[[#This Row],[call d2]]/Table13345[[#This Row],[IV Calc C]]))*Table13345[[#This Row],[Open.Int]]*Table13345[[#This Row],[DeltaC]],0)</calculatedColumnFormula>
    </tableColumn>
    <tableColumn id="42" xr3:uid="{E773FE1D-E9ED-4D85-B987-EA9E530DD634}" name="put vanna" dataDxfId="216">
      <calculatedColumnFormula>IFERROR((EXP(0*Table13345[[#This Row],[T]])*Table13345[[#This Row],[put N(d1)]]*(Table13345[[#This Row],[put d2]]/Table13345[[#This Row],[IV Calc P]]))*Table13345[[#This Row],[Open.Int8]]*Table13345[[#This Row],[DeltaP]]*-1,0)</calculatedColumnFormula>
    </tableColumn>
    <tableColumn id="43" xr3:uid="{C633F660-0B65-4298-9958-99F6452353B9}" name="net vanna" dataDxfId="215">
      <calculatedColumnFormula>((Table13345[[#This Row],[call vanna]]+Table13345[[#This Row],[put vanna]])*$A$4)</calculatedColumnFormula>
    </tableColumn>
    <tableColumn id="44" xr3:uid="{36B0D704-2D4A-4CA3-8BCE-548403C2D789}" name="call helper" dataDxfId="214">
      <calculatedColumnFormula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calculatedColumnFormula>
    </tableColumn>
    <tableColumn id="45" xr3:uid="{BCDB1E38-B624-411D-A274-403D667152EB}" name="put helper" dataDxfId="213">
      <calculatedColumnFormula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calculatedColumnFormula>
    </tableColumn>
    <tableColumn id="46" xr3:uid="{26AA892F-3BF5-45C5-B990-A7660A287190}" name="Ticker" dataDxfId="212">
      <calculatedColumnFormula>IF($M$1="SPX","SPXW",$M$1)</calculatedColumnFormula>
    </tableColumn>
    <tableColumn id="47" xr3:uid="{5193EEC9-C254-4411-9432-3E9C085F55AC}" name="Spot" dataDxfId="211">
      <calculatedColumnFormula>$N$1</calculatedColumnFormula>
    </tableColumn>
    <tableColumn id="48" xr3:uid="{17CE769B-BB2C-4CC7-9DFB-F3C9C499A5E5}" name="Expiry" dataDxfId="210">
      <calculatedColumnFormula>$S$2</calculatedColumnFormula>
    </tableColumn>
    <tableColumn id="49" xr3:uid="{ED231FD7-0890-43F8-B8FC-54E552BC2CD3}" name="dadj" dataDxfId="209"/>
    <tableColumn id="50" xr3:uid="{3F5EF083-66C8-4886-A2F4-9BF4A38A0186}" name="dadj2" dataDxfId="208"/>
    <tableColumn id="51" xr3:uid="{863C2FA7-1CEE-4B5B-A698-68609A63B516}" name="High C" dataDxfId="207">
      <calculatedColumnFormula>RTD("tos.rtd", , "high", "."&amp;Table13345[[#This Row],[Ticker]]&amp;Table13345[[#This Row],[Expiry]]&amp;""&amp;"C"&amp;Table13345[[#This Row],[Spot]]+Table13345[[#This Row],[step]])</calculatedColumnFormula>
    </tableColumn>
    <tableColumn id="52" xr3:uid="{B53F3B7C-754A-4999-B92E-0A350F069E2D}" name="Low C" dataDxfId="206">
      <calculatedColumnFormula>RTD("tos.rtd", , "low", "."&amp;Table13345[[#This Row],[Ticker]]&amp;Table13345[[#This Row],[Expiry]]&amp;""&amp;"C"&amp;Table13345[[#This Row],[Spot]]+Table13345[[#This Row],[step]])</calculatedColumnFormula>
    </tableColumn>
    <tableColumn id="53" xr3:uid="{81228E0C-F86E-47BE-A892-C2AEECF1E84A}" name="High P" dataDxfId="205">
      <calculatedColumnFormula>RTD("tos.rtd", , "high", "."&amp;Table13345[[#This Row],[Ticker]]&amp;Table13345[[#This Row],[Expiry]]&amp;""&amp;"P"&amp;Table13345[[#This Row],[Spot]]+Table13345[[#This Row],[step]])</calculatedColumnFormula>
    </tableColumn>
    <tableColumn id="54" xr3:uid="{11DB5C26-017E-4776-B356-809D8D710099}" name="Low P" dataDxfId="204">
      <calculatedColumnFormula>RTD("tos.rtd", , "low", "."&amp;Table13345[[#This Row],[Ticker]]&amp;Table13345[[#This Row],[Expiry]]&amp;""&amp;"P"&amp;Table13345[[#This Row],[Spot]]+Table13345[[#This Row],[step]])</calculatedColumnFormula>
    </tableColumn>
    <tableColumn id="55" xr3:uid="{4CCB7A56-E4C9-4FEF-9B75-A1702F0180DC}" name="SgammaC" dataDxfId="203">
      <calculatedColumnFormula>((Table13345[[#This Row],[High C]]+Table13345[[#This Row],[Low C]])/2)*Table13345[[#This Row],[gammac]]*Table13345[[#This Row],[Volume]]</calculatedColumnFormula>
    </tableColumn>
    <tableColumn id="56" xr3:uid="{3DED8D96-AFD9-4565-8269-5D84E55FB23E}" name="SgammaP" dataDxfId="202">
      <calculatedColumnFormula>((Table13345[[#This Row],[High P]]+Table13345[[#This Row],[Low P]])/2)*Table13345[[#This Row],[gammap]]*Table13345[[#This Row],[Volume9]]*-1</calculatedColumnFormula>
    </tableColumn>
    <tableColumn id="57" xr3:uid="{FEAF8F10-116C-453B-A630-4AB6404D59BB}" name="Sgammanet" dataDxfId="201">
      <calculatedColumnFormula>(Table13345[[#This Row],[SgammaC]]+Table13345[[#This Row],[SgammaP]])*$A$4*-100</calculatedColumnFormula>
    </tableColumn>
    <tableColumn id="58" xr3:uid="{86E18CE4-1C71-45F4-8ECE-F8F1F4BAC08D}" name="Column7" dataDxfId="200">
      <calculatedColumnFormula>Table13345[[#This Row],[DEXc]]+Table13345[[#This Row],[DEXp]]</calculatedColumnFormula>
    </tableColumn>
    <tableColumn id="59" xr3:uid="{720EC4DF-DF2C-4A06-83A6-21C94E443D73}" name="DEXc" dataDxfId="199">
      <calculatedColumnFormula>IFERROR(Table13345[[#This Row],[DeltaC]]*Table13345[[#This Row],[Open.Int]]*$A$4,0)</calculatedColumnFormula>
    </tableColumn>
    <tableColumn id="60" xr3:uid="{DB4B10FA-451A-44D9-8342-33AB62EEE30A}" name="DEXp" dataDxfId="198">
      <calculatedColumnFormula>IFERROR(Table13345[[#This Row],[DeltaP]]*Table13345[[#This Row],[Open.Int8]]*$A$4,0)</calculatedColumnFormula>
    </tableColumn>
    <tableColumn id="61" xr3:uid="{4BE00E9D-D2D4-4724-8ED8-78C8EBF0CAA6}" name="charmc" dataDxfId="197">
      <calculatedColumnFormula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calculatedColumnFormula>
    </tableColumn>
    <tableColumn id="62" xr3:uid="{D44F9ED9-477D-44A0-9ACE-F34507F44B7A}" name="charmp" dataDxfId="196">
      <calculatedColumnFormula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calculatedColumnFormula>
    </tableColumn>
    <tableColumn id="63" xr3:uid="{00C8B8F3-6197-45BD-9B43-37AE9AC40E3A}" name="charmnet" dataDxfId="195">
      <calculatedColumnFormula>Table13345[[#This Row],[charmc]]+Table13345[[#This Row],[charmp]]</calculatedColumnFormula>
    </tableColumn>
    <tableColumn id="64" xr3:uid="{5D6AFC53-5445-4C4E-B984-74D8D3F2A510}" name="gammap" dataDxfId="194" dataCellStyle="Percent">
      <calculatedColumnFormula>RTD("tos.rtd", , "GAMMA", "."&amp;Table13345[[#This Row],[Ticker]]&amp;Table13345[[#This Row],[Expiry]]&amp;""&amp;"P"&amp;Table13345[[#This Row],[Spot]]+Table13345[[#This Row],[step]])</calculatedColumnFormula>
    </tableColumn>
    <tableColumn id="65" xr3:uid="{2AAA0224-C2AB-4115-B1E8-37986171F761}" name="gammac" dataDxfId="193" dataCellStyle="Percent">
      <calculatedColumnFormula>RTD("tos.rtd", , "GAMMA", "."&amp;Table13345[[#This Row],[Ticker]]&amp;Table13345[[#This Row],[Expiry]]&amp;""&amp;"C"&amp;Table13345[[#This Row],[Spot]]+Table13345[[#This Row],[step]])</calculatedColumnFormula>
    </tableColumn>
    <tableColumn id="66" xr3:uid="{649C8328-2CE4-4117-9785-9429AAB200DE}" name="helper sum" dataDxfId="192">
      <calculatedColumnFormula>Table13345[[#This Row],[call helper]]+Table13345[[#This Row],[put helper]]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070D88-3DAA-4098-B792-617109D0686C}" name="Table133456" displayName="Table133456" ref="A1024:BN1225" totalsRowShown="0">
  <autoFilter ref="A1024:BN1225" xr:uid="{EB070D88-3DAA-4098-B792-617109D0686C}"/>
  <sortState xmlns:xlrd2="http://schemas.microsoft.com/office/spreadsheetml/2017/richdata2" ref="A1025:BN1225">
    <sortCondition ref="Y1024:Y1225"/>
  </sortState>
  <tableColumns count="66">
    <tableColumn id="1" xr3:uid="{776B86E2-EA18-4C2D-BDFF-1482A5871D5D}" name="T" dataDxfId="191">
      <calculatedColumnFormula>$T$3</calculatedColumnFormula>
    </tableColumn>
    <tableColumn id="2" xr3:uid="{72CC5462-FAFA-4303-8C68-F23D83BB5DAE}" name="Column2"/>
    <tableColumn id="3" xr3:uid="{AD29494F-5E3F-4455-A21D-9B9797706874}" name="Column3" dataDxfId="190" dataCellStyle="Percent"/>
    <tableColumn id="4" xr3:uid="{42114DD2-7C5E-4E42-818B-BFFE13FEFEB0}" name="Open.Int" dataDxfId="189">
      <calculatedColumnFormula>RTD("tos.rtd", , "OPEN_INT", "."&amp;Table133456[[#This Row],[Ticker]]&amp;Table133456[[#This Row],[Expiry]]&amp;""&amp;"C"&amp;Table133456[[#This Row],[Spot]]+Table133456[[#This Row],[step]])</calculatedColumnFormula>
    </tableColumn>
    <tableColumn id="5" xr3:uid="{FA1E5460-F6AB-491B-8DC9-84883C961EBE}" name="Volume" dataDxfId="188">
      <calculatedColumnFormula>IF(RTD("tos.rtd",,"VOLUME","."&amp;Table133456[[#This Row],[Ticker]]&amp;Table133456[[#This Row],[Expiry]]&amp;""&amp;"C"&amp;Table133456[[#This Row],[Spot]]+Table133456[[#This Row],[step]])="N/A",0,RTD("tos.rtd",,"VOLUME","."&amp;Table133456[[#This Row],[Ticker]]&amp;Table133456[[#This Row],[Expiry]]&amp;""&amp;"C"&amp;Table133456[[#This Row],[Spot]]+Table133456[[#This Row],[step]]))</calculatedColumnFormula>
    </tableColumn>
    <tableColumn id="6" xr3:uid="{6BE836DD-9724-43B2-A3A5-1AFACF66B3F2}" name="Column9" dataDxfId="187"/>
    <tableColumn id="7" xr3:uid="{78FBF2CF-A216-46DD-99EE-81D57ECFC598}" name="DeltaC" dataDxfId="186">
      <calculatedColumnFormula>RTD("tos.rtd", , "DELTA", "."&amp;Table133456[[#This Row],[Ticker]]&amp;Table133456[[#This Row],[Expiry]]&amp;""&amp;"C"&amp;Table133456[[#This Row],[Spot]]+Table133456[[#This Row],[step]])</calculatedColumnFormula>
    </tableColumn>
    <tableColumn id="8" xr3:uid="{02FCB333-2371-46C9-ABE7-19FCFB596CB3}" name="IV Calc C" dataDxfId="185">
      <calculatedColumnFormula array="1">ImpliedVol($A$4, Table133456[[#This Row],[Strike]], 0.0411, Table133456[[#This Row],[T]], ((Table133456[[#This Row],[BIDC]]+Table133456[[#This Row],[ASKC]])/2), TRUE)</calculatedColumnFormula>
    </tableColumn>
    <tableColumn id="9" xr3:uid="{19CA75B3-90BA-4990-971B-9F494B1CF653}" name="BIDC" dataDxfId="184">
      <calculatedColumnFormula>RTD("tos.rtd", , "BID", "."&amp;Table133456[[#This Row],[Ticker]]&amp;Table133456[[#This Row],[Expiry]]&amp;""&amp;"C"&amp;Table133456[[#This Row],[Spot]]+Table133456[[#This Row],[step]])</calculatedColumnFormula>
    </tableColumn>
    <tableColumn id="10" xr3:uid="{ED9E2E60-B536-475F-9E7F-7CE458B15415}" name="ASKC" dataDxfId="183">
      <calculatedColumnFormula>RTD("tos.rtd", , "ASK", "."&amp;Table133456[[#This Row],[Ticker]]&amp;Table133456[[#This Row],[Expiry]]&amp;""&amp;"C"&amp;Table133456[[#This Row],[Spot]]+Table133456[[#This Row],[step]])</calculatedColumnFormula>
    </tableColumn>
    <tableColumn id="11" xr3:uid="{28FC20DD-55CB-494C-9801-4CAC134C7B6C}" name="average IV" dataDxfId="182"/>
    <tableColumn id="12" xr3:uid="{923B41FA-C23B-4F52-9401-F819033B28E4}" name="IV Calc AVG" dataCellStyle="Percent"/>
    <tableColumn id="13" xr3:uid="{3BAD9011-81D2-4757-9C61-16EF20E67ADE}" name="Exp" dataDxfId="181">
      <calculatedColumnFormula>$T$1</calculatedColumnFormula>
    </tableColumn>
    <tableColumn id="14" xr3:uid="{1E2F8F3B-8E76-40A0-93D5-A2539891F490}" name="Strike" dataDxfId="180">
      <calculatedColumnFormula>IF(ISNUMBER($BP1025), $BP1025, FALSE)</calculatedColumnFormula>
    </tableColumn>
    <tableColumn id="15" xr3:uid="{E1196068-73D9-407F-AED2-30E461554E87}" name="Column4" dataDxfId="179"/>
    <tableColumn id="16" xr3:uid="{43FCAFBD-36F0-4365-B051-3772ACB421C2}" name="IV Calc P" dataDxfId="178">
      <calculatedColumnFormula array="1">ImpliedVol($A$4, Table133456[[#This Row],[Strike]], 0.0411, Table133456[[#This Row],[T]], ((Table133456[[#This Row],[BIDP]]+Table133456[[#This Row],[ASKP]])/2), FALSE)</calculatedColumnFormula>
    </tableColumn>
    <tableColumn id="17" xr3:uid="{660CF1C0-D363-4FF0-ADD3-85DF3485B20F}" name="BIDP" dataDxfId="177">
      <calculatedColumnFormula>RTD("tos.rtd", , "BID", "."&amp;Table133456[[#This Row],[Ticker]]&amp;Table133456[[#This Row],[Expiry]]&amp;""&amp;"P"&amp;Table133456[[#This Row],[Spot]]+Table133456[[#This Row],[step]])</calculatedColumnFormula>
    </tableColumn>
    <tableColumn id="18" xr3:uid="{E7D8F9EF-2222-4D3B-9F20-5C0DE8FEC4B2}" name="ASKP" dataDxfId="176">
      <calculatedColumnFormula>RTD("tos.rtd", , "ASK", "."&amp;Table133456[[#This Row],[Ticker]]&amp;Table133456[[#This Row],[Expiry]]&amp;""&amp;"P"&amp;Table133456[[#This Row],[Spot]]+Table133456[[#This Row],[step]])</calculatedColumnFormula>
    </tableColumn>
    <tableColumn id="19" xr3:uid="{536106FB-24BA-4108-981F-D55B7AC9BCE8}" name="Column1" dataDxfId="175" dataCellStyle="Percent"/>
    <tableColumn id="20" xr3:uid="{19B236CA-7515-484F-A4B6-C2BC04D99212}" name="Open.Int8" dataDxfId="174">
      <calculatedColumnFormula>RTD("tos.rtd", , "OPEN_INT", "."&amp;Table133456[[#This Row],[Ticker]]&amp;Table133456[[#This Row],[Expiry]]&amp;""&amp;"P"&amp;Table133456[[#This Row],[Spot]]+Table133456[[#This Row],[step]])</calculatedColumnFormula>
    </tableColumn>
    <tableColumn id="21" xr3:uid="{585286B8-EA4C-4216-9DED-503228A46182}" name="Volume9" dataDxfId="173">
      <calculatedColumnFormula>IF(RTD("tos.rtd",,"VOLUME","."&amp;Table133456[[#This Row],[Ticker]]&amp;Table133456[[#This Row],[Expiry]]&amp;""&amp;"P"&amp;Table133456[[#This Row],[Spot]]+Table133456[[#This Row],[step]])="N/A",0,RTD("tos.rtd",,"VOLUME","."&amp;Table133456[[#This Row],[Ticker]]&amp;Table133456[[#This Row],[Expiry]]&amp;""&amp;"P"&amp;Table133456[[#This Row],[Spot]]+Table133456[[#This Row],[step]]))</calculatedColumnFormula>
    </tableColumn>
    <tableColumn id="22" xr3:uid="{72AC099C-E222-4673-AD4A-3E42DEC0DA0F}" name="Column15" dataDxfId="172"/>
    <tableColumn id="23" xr3:uid="{55C0A36C-30FF-455E-B4C1-2D422DABC0CE}" name="DeltaP" dataDxfId="171">
      <calculatedColumnFormula>RTD("tos.rtd", , "DELTA", "."&amp;Table133456[[#This Row],[Ticker]]&amp;Table133456[[#This Row],[Expiry]]&amp;""&amp;"P"&amp;Table133456[[#This Row],[Spot]]+Table133456[[#This Row],[step]])</calculatedColumnFormula>
    </tableColumn>
    <tableColumn id="24" xr3:uid="{D49F6C4A-AAF0-4B9F-81D4-FDBA397CED95}" name="Column16" dataDxfId="170"/>
    <tableColumn id="25" xr3:uid="{875776B8-0E35-4808-B3FF-3AB6B994957A}" name="step" dataDxfId="169"/>
    <tableColumn id="26" xr3:uid="{DE2AEFEC-226B-4D83-A778-ADCB5DBBAE66}" name="Call Gex" dataDxfId="168">
      <calculatedColumnFormula>IFERROR(Table133456[[#This Row],[call gamma]]*(Table133456[[#This Row],[Open.Int]])*$A$4^2,0)</calculatedColumnFormula>
    </tableColumn>
    <tableColumn id="27" xr3:uid="{A2EA17EF-2D1A-446B-BC1D-D2AF5C6E753A}" name="Put Gex" dataDxfId="167">
      <calculatedColumnFormula>IFERROR(((Table133456[[#This Row],[Open.Int8]])*Table133456[[#This Row],[Put gamma]])*-1*$A$4^2,0)</calculatedColumnFormula>
    </tableColumn>
    <tableColumn id="28" xr3:uid="{FAE95D1E-97A7-4EBD-B908-50BA3CD0EE10}" name="Net Gex" dataDxfId="166">
      <calculatedColumnFormula>(Table133456[[#This Row],[Call Gex]]+Table133456[[#This Row],[Put Gex]])</calculatedColumnFormula>
    </tableColumn>
    <tableColumn id="29" xr3:uid="{A4622C2A-7FB3-4704-B0AE-5C6745611D30}" name="net delta adj" dataDxfId="165">
      <calculatedColumnFormula>Table133456[[#This Row],[put delta adj]]+Table133456[[#This Row],[call delta adj]]</calculatedColumnFormula>
    </tableColumn>
    <tableColumn id="30" xr3:uid="{631CEB18-A435-4565-8E04-728112CDEB96}" name="put delta adj" dataDxfId="164">
      <calculatedColumnFormula>Table133456[[#This Row],[Put Gex]]*Table133456[[#This Row],[DeltaP]]*-1</calculatedColumnFormula>
    </tableColumn>
    <tableColumn id="31" xr3:uid="{A4718C84-C712-4F24-BF06-F3AB567E7990}" name="call delta adj" dataDxfId="163">
      <calculatedColumnFormula>Table133456[[#This Row],[Call Gex]]*Table133456[[#This Row],[DeltaC]]</calculatedColumnFormula>
    </tableColumn>
    <tableColumn id="32" xr3:uid="{02F9F318-ABB4-4432-B48A-023BA734E8A1}" name="Net Dex" dataDxfId="162">
      <calculatedColumnFormula>IF(Table133456[[#This Row],[DeltaC]]-ABS(Table133456[[#This Row],[DeltaP]])="0","0.01",Table133456[[#This Row],[DeltaC]]-ABS(Table133456[[#This Row],[DeltaP]]))</calculatedColumnFormula>
    </tableColumn>
    <tableColumn id="33" xr3:uid="{3E01743D-AFE2-47F7-A4A2-D44E35E945A2}" name="Put D1" dataDxfId="161">
      <calculatedColumnFormula>((LN($A$4/Table133456[[#This Row],[Strike]]) + (0.411 + 0.5 * Table133456[[#This Row],[IV Calc P]]^2) *Table133456[[#This Row],[T]])) / (Table133456[[#This Row],[IV Calc P]] * SQRT(Table133456[[#This Row],[T]]))</calculatedColumnFormula>
    </tableColumn>
    <tableColumn id="34" xr3:uid="{B7075FB8-B7E7-4446-94EA-0047CE8A5F26}" name="Call D1" dataDxfId="160">
      <calculatedColumnFormula>(LN($A$4/Table133456[[#This Row],[Strike]]) + (0.411-0 + 0.5 * Table133456[[#This Row],[IV Calc C]]^2) *Table133456[[#This Row],[T]]) / (Table133456[[#This Row],[IV Calc C]] * SQRT(Table133456[[#This Row],[T]]))</calculatedColumnFormula>
    </tableColumn>
    <tableColumn id="35" xr3:uid="{DCFD488D-96CC-42A0-B08E-8CCAFAEF00E7}" name="Put gamma" dataDxfId="159">
      <calculatedColumnFormula>(EXP(-(AG1025^2)/2)/SQRT(2*PI())*EXP(0*SQRT(Table133456[[#This Row],[T]]))/$A$4*18%*SQRT(SQRT(Table133456[[#This Row],[T]])))</calculatedColumnFormula>
    </tableColumn>
    <tableColumn id="36" xr3:uid="{810627A0-A471-4EEF-9410-0FDAF6AA69BB}" name="call gamma" dataDxfId="158">
      <calculatedColumnFormula>(EXP(-(AH1025^2)/2)/SQRT(2*PI())*EXP(0*SQRT(Table133456[[#This Row],[T]]))/$A$4*18%*SQRT(SQRT(Table133456[[#This Row],[T]])))</calculatedColumnFormula>
    </tableColumn>
    <tableColumn id="37" xr3:uid="{B8B5C456-CDB8-48C1-91A0-C8B02911525F}" name="call d2" dataDxfId="157">
      <calculatedColumnFormula>Table133456[[#This Row],[Call D1]]-Table133456[[#This Row],[IV Calc C]]*SQRT(Table133456[[#This Row],[T]])</calculatedColumnFormula>
    </tableColumn>
    <tableColumn id="38" xr3:uid="{96312A89-A49B-4E47-A2C6-7E5C9F427808}" name="put d2" dataDxfId="156">
      <calculatedColumnFormula>Table133456[[#This Row],[Put D1]]-Table133456[[#This Row],[IV Calc P]]*SQRT(Table133456[[#This Row],[T]])</calculatedColumnFormula>
    </tableColumn>
    <tableColumn id="39" xr3:uid="{70A37CD5-E1E6-49D5-9F77-584048232353}" name="call N(d1)" dataDxfId="155">
      <calculatedColumnFormula>EXP(-0.5*Table133456[[#This Row],[Call D1]]^2)/SQRT(2*PI())</calculatedColumnFormula>
    </tableColumn>
    <tableColumn id="40" xr3:uid="{4466C918-3121-46C5-9076-26118FD44E68}" name="put N(d1)" dataDxfId="154">
      <calculatedColumnFormula>EXP(-0.5*Table133456[[#This Row],[Put D1]]^2)/SQRT(2*PI())</calculatedColumnFormula>
    </tableColumn>
    <tableColumn id="41" xr3:uid="{FFD06F23-BFB9-4A7A-9AA9-D4E0A605A82E}" name="call vanna" dataDxfId="153">
      <calculatedColumnFormula>IFERROR((EXP(0*Table133456[[#This Row],[T]])*Table133456[[#This Row],[call N(d1)]]*(Table133456[[#This Row],[call d2]]/Table133456[[#This Row],[IV Calc C]]))*Table133456[[#This Row],[Open.Int]]*Table133456[[#This Row],[DeltaC]],0)</calculatedColumnFormula>
    </tableColumn>
    <tableColumn id="42" xr3:uid="{126D674A-FFD9-4AE1-8522-183BA664D815}" name="put vanna" dataDxfId="152">
      <calculatedColumnFormula>IFERROR((EXP(0*Table133456[[#This Row],[T]])*Table133456[[#This Row],[put N(d1)]]*(Table133456[[#This Row],[put d2]]/Table133456[[#This Row],[IV Calc P]]))*Table133456[[#This Row],[Open.Int8]]*Table133456[[#This Row],[DeltaP]]*-1,0)</calculatedColumnFormula>
    </tableColumn>
    <tableColumn id="43" xr3:uid="{3F11C0A7-2FB6-4247-8687-FDA23DFD0F92}" name="net vanna" dataDxfId="151">
      <calculatedColumnFormula>((Table133456[[#This Row],[call vanna]]+Table133456[[#This Row],[put vanna]])*$A$4)</calculatedColumnFormula>
    </tableColumn>
    <tableColumn id="44" xr3:uid="{F8C7CFCF-A22D-41A4-A437-6A4CF2BEBB14}" name="call helper" dataDxfId="150">
      <calculatedColumnFormula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calculatedColumnFormula>
    </tableColumn>
    <tableColumn id="45" xr3:uid="{9E695C07-793D-4157-B621-1B77A52DF8DB}" name="put helper" dataDxfId="149">
      <calculatedColumnFormula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calculatedColumnFormula>
    </tableColumn>
    <tableColumn id="46" xr3:uid="{2E4ABC40-417D-4726-85B1-F6D0110E8715}" name="Ticker" dataDxfId="148">
      <calculatedColumnFormula>IF($M$1="SPX","SPXW",$M$1)</calculatedColumnFormula>
    </tableColumn>
    <tableColumn id="47" xr3:uid="{427E8AF8-B961-4EB1-9DC7-85E0AEDA59EE}" name="Spot" dataDxfId="147">
      <calculatedColumnFormula>$N$1</calculatedColumnFormula>
    </tableColumn>
    <tableColumn id="48" xr3:uid="{E803861A-A45A-45E3-BA98-0AB28617BFD9}" name="Expiry" dataDxfId="146">
      <calculatedColumnFormula>$T$2</calculatedColumnFormula>
    </tableColumn>
    <tableColumn id="49" xr3:uid="{6FB590A1-7A0E-495E-9B22-4AB23AF65C73}" name="dadj" dataDxfId="145"/>
    <tableColumn id="50" xr3:uid="{D398C443-449F-457C-8369-DEE245C8C40B}" name="dadj2" dataDxfId="144"/>
    <tableColumn id="51" xr3:uid="{273BAA8C-540B-437E-ABD8-03DB28CEE26B}" name="High C" dataDxfId="143">
      <calculatedColumnFormula>RTD("tos.rtd", , "high", "."&amp;Table133456[[#This Row],[Ticker]]&amp;Table133456[[#This Row],[Expiry]]&amp;""&amp;"C"&amp;Table133456[[#This Row],[Spot]]+Table133456[[#This Row],[step]])</calculatedColumnFormula>
    </tableColumn>
    <tableColumn id="52" xr3:uid="{828DCDDF-0A63-4510-A2E3-B35D5D43557B}" name="Low C" dataDxfId="142">
      <calculatedColumnFormula>RTD("tos.rtd", , "low", "."&amp;Table133456[[#This Row],[Ticker]]&amp;Table133456[[#This Row],[Expiry]]&amp;""&amp;"C"&amp;Table133456[[#This Row],[Spot]]+Table133456[[#This Row],[step]])</calculatedColumnFormula>
    </tableColumn>
    <tableColumn id="53" xr3:uid="{5E3506E7-857F-48C2-B30A-101895DE816B}" name="High P" dataDxfId="141">
      <calculatedColumnFormula>RTD("tos.rtd", , "high", "."&amp;Table133456[[#This Row],[Ticker]]&amp;Table133456[[#This Row],[Expiry]]&amp;""&amp;"P"&amp;Table133456[[#This Row],[Spot]]+Table133456[[#This Row],[step]])</calculatedColumnFormula>
    </tableColumn>
    <tableColumn id="54" xr3:uid="{ED671C63-3D25-4870-824E-734AAB1FAC29}" name="Low P" dataDxfId="140">
      <calculatedColumnFormula>RTD("tos.rtd", , "low", "."&amp;Table133456[[#This Row],[Ticker]]&amp;Table133456[[#This Row],[Expiry]]&amp;""&amp;"P"&amp;Table133456[[#This Row],[Spot]]+Table133456[[#This Row],[step]])</calculatedColumnFormula>
    </tableColumn>
    <tableColumn id="55" xr3:uid="{262A3085-0E4B-4608-BE9F-1088DB073D47}" name="SgammaC" dataDxfId="139">
      <calculatedColumnFormula>((Table133456[[#This Row],[High C]]+Table133456[[#This Row],[Low C]])/2)*Table133456[[#This Row],[gammac]]*Table133456[[#This Row],[Volume]]</calculatedColumnFormula>
    </tableColumn>
    <tableColumn id="56" xr3:uid="{BEA09BA5-A341-4653-8922-9156277DEF94}" name="SgammaP" dataDxfId="138">
      <calculatedColumnFormula>((Table133456[[#This Row],[High P]]+Table133456[[#This Row],[Low P]])/2)*Table133456[[#This Row],[gammap]]*Table133456[[#This Row],[Volume9]]*-1</calculatedColumnFormula>
    </tableColumn>
    <tableColumn id="57" xr3:uid="{889DAC51-CB2F-456B-8273-C1CE9054394D}" name="Sgammanet" dataDxfId="137">
      <calculatedColumnFormula>(Table133456[[#This Row],[SgammaC]]+Table133456[[#This Row],[SgammaP]])*$A$4*-100</calculatedColumnFormula>
    </tableColumn>
    <tableColumn id="58" xr3:uid="{B4621B5B-A984-4E5F-93D8-34863405ABD3}" name="Column7" dataDxfId="136">
      <calculatedColumnFormula>Table133456[[#This Row],[DEXc]]+Table133456[[#This Row],[DEXp]]</calculatedColumnFormula>
    </tableColumn>
    <tableColumn id="59" xr3:uid="{D3C9E26F-E416-4C2D-B140-541D48A9906A}" name="DEXc" dataDxfId="135">
      <calculatedColumnFormula>IFERROR(Table133456[[#This Row],[DeltaC]]*Table133456[[#This Row],[Open.Int]]*$A$4,0)</calculatedColumnFormula>
    </tableColumn>
    <tableColumn id="60" xr3:uid="{E8E1F043-9C1F-4BA0-A528-B3D055D6D428}" name="DEXp" dataDxfId="134">
      <calculatedColumnFormula>IFERROR(Table133456[[#This Row],[DeltaP]]*Table133456[[#This Row],[Open.Int8]]*$A$4,0)</calculatedColumnFormula>
    </tableColumn>
    <tableColumn id="61" xr3:uid="{C321399A-64AE-4994-BC53-420AF4C33DD2}" name="charmc" dataDxfId="133">
      <calculatedColumnFormula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calculatedColumnFormula>
    </tableColumn>
    <tableColumn id="62" xr3:uid="{29A97561-6AD4-4C8F-AD73-DA1DBD0C15ED}" name="charmp" dataDxfId="132">
      <calculatedColumnFormula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calculatedColumnFormula>
    </tableColumn>
    <tableColumn id="63" xr3:uid="{F42CF976-59D8-4F20-9154-975470BD23E4}" name="charmnet" dataDxfId="131">
      <calculatedColumnFormula>Table133456[[#This Row],[charmc]]+Table133456[[#This Row],[charmp]]</calculatedColumnFormula>
    </tableColumn>
    <tableColumn id="64" xr3:uid="{9EAB264B-6B33-4626-920F-BCB870187819}" name="gammap" dataDxfId="130" dataCellStyle="Percent">
      <calculatedColumnFormula>RTD("tos.rtd", , "GAMMA", "."&amp;Table133456[[#This Row],[Ticker]]&amp;Table133456[[#This Row],[Expiry]]&amp;""&amp;"P"&amp;Table133456[[#This Row],[Spot]]+Table133456[[#This Row],[step]])</calculatedColumnFormula>
    </tableColumn>
    <tableColumn id="65" xr3:uid="{DD204FAB-D0D7-4391-A02D-87EDB6B63FBB}" name="gammac" dataDxfId="129" dataCellStyle="Percent">
      <calculatedColumnFormula>RTD("tos.rtd", , "GAMMA", "."&amp;Table133456[[#This Row],[Ticker]]&amp;Table133456[[#This Row],[Expiry]]&amp;""&amp;"C"&amp;Table133456[[#This Row],[Spot]]+Table133456[[#This Row],[step]])</calculatedColumnFormula>
    </tableColumn>
    <tableColumn id="66" xr3:uid="{548850BE-5121-4BDC-80AE-F388EF25185F}" name="helper sum" dataDxfId="128">
      <calculatedColumnFormula>Table133456[[#This Row],[call helper]]+Table133456[[#This Row],[put helper]]</calculatedColumnFormula>
    </tableColumn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34F78CD-DE39-4835-82A3-B9C982C1E49D}" name="Table1334567" displayName="Table1334567" ref="A1227:BN1428" totalsRowShown="0">
  <autoFilter ref="A1227:BN1428" xr:uid="{934F78CD-DE39-4835-82A3-B9C982C1E49D}"/>
  <sortState xmlns:xlrd2="http://schemas.microsoft.com/office/spreadsheetml/2017/richdata2" ref="A1228:BN1428">
    <sortCondition ref="Y1227:Y1428"/>
  </sortState>
  <tableColumns count="66">
    <tableColumn id="1" xr3:uid="{DFF312C3-1DCB-4146-A66B-5B333F193AFD}" name="T" dataDxfId="127">
      <calculatedColumnFormula>$U$3</calculatedColumnFormula>
    </tableColumn>
    <tableColumn id="2" xr3:uid="{01848894-6C7F-4E5B-BB5E-896001FA7F45}" name="Column2"/>
    <tableColumn id="3" xr3:uid="{2B072206-BA14-4360-AAC3-A8C556AB07BC}" name="Column3" dataDxfId="126" dataCellStyle="Percent"/>
    <tableColumn id="4" xr3:uid="{E44A1527-5FBE-44CB-8841-1C5D8A50744B}" name="Open.Int" dataDxfId="125">
      <calculatedColumnFormula>RTD("tos.rtd", , "OPEN_INT", "."&amp;Table1334567[[#This Row],[Ticker]]&amp;Table1334567[[#This Row],[Expiry]]&amp;""&amp;"C"&amp;Table1334567[[#This Row],[Spot]]+Table1334567[[#This Row],[step]])</calculatedColumnFormula>
    </tableColumn>
    <tableColumn id="5" xr3:uid="{A0597160-6A31-4678-9C20-2C24E7E49D83}" name="Volume" dataDxfId="124">
      <calculatedColumnFormula>IF(RTD("tos.rtd",,"VOLUME","."&amp;Table1334567[[#This Row],[Ticker]]&amp;Table1334567[[#This Row],[Expiry]]&amp;""&amp;"C"&amp;Table1334567[[#This Row],[Spot]]+Table1334567[[#This Row],[step]])="N/A",0,RTD("tos.rtd",,"VOLUME","."&amp;Table1334567[[#This Row],[Ticker]]&amp;Table1334567[[#This Row],[Expiry]]&amp;""&amp;"C"&amp;Table1334567[[#This Row],[Spot]]+Table1334567[[#This Row],[step]]))</calculatedColumnFormula>
    </tableColumn>
    <tableColumn id="6" xr3:uid="{E64C23A7-C855-4DF2-A28B-D3520A72B3D0}" name="Column9" dataDxfId="123"/>
    <tableColumn id="7" xr3:uid="{148E022F-55E0-42D0-9EC4-391AC753B40C}" name="DeltaC" dataDxfId="122">
      <calculatedColumnFormula>RTD("tos.rtd", , "DELTA", "."&amp;Table1334567[[#This Row],[Ticker]]&amp;Table1334567[[#This Row],[Expiry]]&amp;""&amp;"C"&amp;Table1334567[[#This Row],[Spot]]+Table1334567[[#This Row],[step]])</calculatedColumnFormula>
    </tableColumn>
    <tableColumn id="8" xr3:uid="{39149CDE-BB09-4C90-98A4-8D16297B778D}" name="IV Calc C" dataDxfId="121">
      <calculatedColumnFormula array="1">ImpliedVol($A$4, Table1334567[[#This Row],[Strike]], 0.0411, Table1334567[[#This Row],[T]], ((Table1334567[[#This Row],[BIDC]]+Table1334567[[#This Row],[ASKC]])/2), TRUE)</calculatedColumnFormula>
    </tableColumn>
    <tableColumn id="9" xr3:uid="{9A71A39C-BF7C-46F6-8A8C-1A786E22B251}" name="BIDC" dataDxfId="120">
      <calculatedColumnFormula>RTD("tos.rtd", , "BID", "."&amp;Table1334567[[#This Row],[Ticker]]&amp;Table1334567[[#This Row],[Expiry]]&amp;""&amp;"C"&amp;Table1334567[[#This Row],[Spot]]+Table1334567[[#This Row],[step]])</calculatedColumnFormula>
    </tableColumn>
    <tableColumn id="10" xr3:uid="{47C2CE7F-D442-413B-B2F9-F75CB9BE90DA}" name="ASKC" dataDxfId="119">
      <calculatedColumnFormula>RTD("tos.rtd", , "ASK", "."&amp;Table1334567[[#This Row],[Ticker]]&amp;Table1334567[[#This Row],[Expiry]]&amp;""&amp;"C"&amp;Table1334567[[#This Row],[Spot]]+Table1334567[[#This Row],[step]])</calculatedColumnFormula>
    </tableColumn>
    <tableColumn id="11" xr3:uid="{DCDC7912-CA8C-4119-AF9B-8906EEABF13B}" name="average IV" dataDxfId="118"/>
    <tableColumn id="12" xr3:uid="{E52C5B0D-FD89-4174-8593-DC5EA65AA8EA}" name="IV Calc AVG" dataCellStyle="Percent"/>
    <tableColumn id="13" xr3:uid="{91941D2C-A14B-43AC-8BAD-414F3C3F0B9F}" name="Exp" dataDxfId="117">
      <calculatedColumnFormula>$U$1</calculatedColumnFormula>
    </tableColumn>
    <tableColumn id="14" xr3:uid="{C0151598-D603-4FA4-8570-DF0FE7D0CBA3}" name="Strike" dataDxfId="116">
      <calculatedColumnFormula>IF(ISNUMBER($BP1228), $BP1228, FALSE)</calculatedColumnFormula>
    </tableColumn>
    <tableColumn id="15" xr3:uid="{BD424F33-F3D4-4A25-A6B5-D668E0022C61}" name="Column4" dataDxfId="115"/>
    <tableColumn id="16" xr3:uid="{DE7851B3-6B42-473F-B5E9-72AC7AFA3876}" name="IV Calc P" dataDxfId="114">
      <calculatedColumnFormula array="1">ImpliedVol($A$4, Table1334567[[#This Row],[Strike]], 0.0411, Table1334567[[#This Row],[T]], ((Table1334567[[#This Row],[BIDP]]+Table1334567[[#This Row],[ASKP]])/2), FALSE)</calculatedColumnFormula>
    </tableColumn>
    <tableColumn id="17" xr3:uid="{EDDC7BA4-05D7-4F2C-BD1D-E705E6FD795B}" name="BIDP" dataDxfId="113">
      <calculatedColumnFormula>RTD("tos.rtd", , "BID", "."&amp;Table1334567[[#This Row],[Ticker]]&amp;Table1334567[[#This Row],[Expiry]]&amp;""&amp;"P"&amp;Table1334567[[#This Row],[Spot]]+Table1334567[[#This Row],[step]])</calculatedColumnFormula>
    </tableColumn>
    <tableColumn id="18" xr3:uid="{A922081D-0D0F-4F51-A536-1313065E8749}" name="ASKP" dataDxfId="112">
      <calculatedColumnFormula>RTD("tos.rtd", , "ASK", "."&amp;Table1334567[[#This Row],[Ticker]]&amp;Table1334567[[#This Row],[Expiry]]&amp;""&amp;"P"&amp;Table1334567[[#This Row],[Spot]]+Table1334567[[#This Row],[step]])</calculatedColumnFormula>
    </tableColumn>
    <tableColumn id="19" xr3:uid="{4A141C8A-D6DA-4DFE-8C7D-A748CF2DD7D6}" name="Column1" dataDxfId="111" dataCellStyle="Percent"/>
    <tableColumn id="20" xr3:uid="{1DB32EA8-116F-44F4-86B9-2F45B1B4A4E7}" name="Open.Int8" dataDxfId="110">
      <calculatedColumnFormula>RTD("tos.rtd", , "OPEN_INT", "."&amp;Table1334567[[#This Row],[Ticker]]&amp;Table1334567[[#This Row],[Expiry]]&amp;""&amp;"P"&amp;Table1334567[[#This Row],[Spot]]+Table1334567[[#This Row],[step]])</calculatedColumnFormula>
    </tableColumn>
    <tableColumn id="21" xr3:uid="{9187C3FE-6A8A-4686-BD89-184528CCB89D}" name="Volume9" dataDxfId="109">
      <calculatedColumnFormula>IF(RTD("tos.rtd",,"VOLUME","."&amp;Table1334567[[#This Row],[Ticker]]&amp;Table1334567[[#This Row],[Expiry]]&amp;""&amp;"P"&amp;Table1334567[[#This Row],[Spot]]+Table1334567[[#This Row],[step]])="N/A",0,RTD("tos.rtd",,"VOLUME","."&amp;Table1334567[[#This Row],[Ticker]]&amp;Table1334567[[#This Row],[Expiry]]&amp;""&amp;"P"&amp;Table1334567[[#This Row],[Spot]]+Table1334567[[#This Row],[step]]))</calculatedColumnFormula>
    </tableColumn>
    <tableColumn id="22" xr3:uid="{A3B7D5E2-625F-427B-9732-F94B7D046397}" name="Column15" dataDxfId="108"/>
    <tableColumn id="23" xr3:uid="{ADE6FBFF-0844-47E0-9D95-58B88A66D997}" name="DeltaP" dataDxfId="107">
      <calculatedColumnFormula>RTD("tos.rtd", , "DELTA", "."&amp;Table1334567[[#This Row],[Ticker]]&amp;Table1334567[[#This Row],[Expiry]]&amp;""&amp;"P"&amp;Table1334567[[#This Row],[Spot]]+Table1334567[[#This Row],[step]])</calculatedColumnFormula>
    </tableColumn>
    <tableColumn id="24" xr3:uid="{0DD775DC-2DB0-4C01-99F5-7AB1B46765C0}" name="Column16" dataDxfId="106"/>
    <tableColumn id="25" xr3:uid="{F502AAAD-6B28-4DF9-AB06-DA66F146203C}" name="step" dataDxfId="105"/>
    <tableColumn id="26" xr3:uid="{90C2EDCB-1F06-420F-81BF-ABED0B391202}" name="Call Gex" dataDxfId="104">
      <calculatedColumnFormula>IFERROR(Table1334567[[#This Row],[call gamma]]*(Table1334567[[#This Row],[Open.Int]])*$A$4^2,0)</calculatedColumnFormula>
    </tableColumn>
    <tableColumn id="27" xr3:uid="{66D358AC-27D9-4C63-A4F1-906497A0B152}" name="Put Gex" dataDxfId="103">
      <calculatedColumnFormula>IFERROR(((Table1334567[[#This Row],[Open.Int8]])*Table1334567[[#This Row],[Put gamma]])*-1*$A$4^2,0)</calculatedColumnFormula>
    </tableColumn>
    <tableColumn id="28" xr3:uid="{3F3FC4D8-0A58-49E7-9BD2-F513719B2F7F}" name="Net Gex" dataDxfId="102">
      <calculatedColumnFormula>(Table1334567[[#This Row],[Call Gex]]+Table1334567[[#This Row],[Put Gex]])</calculatedColumnFormula>
    </tableColumn>
    <tableColumn id="29" xr3:uid="{AA3FDB71-0552-4A43-8561-4D220543DE70}" name="net delta adj" dataDxfId="101">
      <calculatedColumnFormula>Table1334567[[#This Row],[put delta adj]]+Table1334567[[#This Row],[call delta adj]]</calculatedColumnFormula>
    </tableColumn>
    <tableColumn id="30" xr3:uid="{207842B2-D10B-4F09-B5D7-CC70C7D0C8C2}" name="put delta adj" dataDxfId="100">
      <calculatedColumnFormula>Table1334567[[#This Row],[Put Gex]]*Table1334567[[#This Row],[DeltaP]]*-1</calculatedColumnFormula>
    </tableColumn>
    <tableColumn id="31" xr3:uid="{35FDAEEC-0799-4185-9DEB-E1F6B58490A6}" name="call delta adj" dataDxfId="99">
      <calculatedColumnFormula>Table1334567[[#This Row],[Call Gex]]*Table1334567[[#This Row],[DeltaC]]</calculatedColumnFormula>
    </tableColumn>
    <tableColumn id="32" xr3:uid="{5993A818-1EBE-40C1-86B7-1C9558FBBF09}" name="Net Dex" dataDxfId="98">
      <calculatedColumnFormula>IF(Table1334567[[#This Row],[DeltaC]]-ABS(Table1334567[[#This Row],[DeltaP]])="0","0.01",Table1334567[[#This Row],[DeltaC]]-ABS(Table1334567[[#This Row],[DeltaP]]))</calculatedColumnFormula>
    </tableColumn>
    <tableColumn id="33" xr3:uid="{B46DEA40-E568-4659-8CE5-54FBE2732AD4}" name="Put D1" dataDxfId="97">
      <calculatedColumnFormula>((LN($A$4/Table1334567[[#This Row],[Strike]]) + (0.411 + 0.5 * Table1334567[[#This Row],[IV Calc P]]^2) *Table1334567[[#This Row],[T]])) / (Table1334567[[#This Row],[IV Calc P]] * SQRT(Table1334567[[#This Row],[T]]))</calculatedColumnFormula>
    </tableColumn>
    <tableColumn id="34" xr3:uid="{2336BBC7-655E-493E-AE0E-37DB77F175DB}" name="Call D1" dataDxfId="96">
      <calculatedColumnFormula>(LN($A$4/Table1334567[[#This Row],[Strike]]) + (0.411-0 + 0.5 * Table1334567[[#This Row],[IV Calc C]]^2) *Table1334567[[#This Row],[T]]) / (Table1334567[[#This Row],[IV Calc C]] * SQRT(Table1334567[[#This Row],[T]]))</calculatedColumnFormula>
    </tableColumn>
    <tableColumn id="35" xr3:uid="{AF192887-8822-4502-94B5-4D5654CB3C02}" name="Put gamma" dataDxfId="95">
      <calculatedColumnFormula>(EXP(-(AG1228^2)/2)/SQRT(2*PI())*EXP(0*SQRT(Table1334567[[#This Row],[T]]))/$A$4*18%*SQRT(SQRT(Table1334567[[#This Row],[T]])))</calculatedColumnFormula>
    </tableColumn>
    <tableColumn id="36" xr3:uid="{9925FE97-54DD-4315-8F98-82A5CBF5F78F}" name="call gamma" dataDxfId="94">
      <calculatedColumnFormula>(EXP(-(AH1228^2)/2)/SQRT(2*PI())*EXP(0*SQRT(Table1334567[[#This Row],[T]]))/$A$4*18%*SQRT(SQRT(Table1334567[[#This Row],[T]])))</calculatedColumnFormula>
    </tableColumn>
    <tableColumn id="37" xr3:uid="{5EC59EFC-D2D2-464D-9A7A-8FEE5889B7A5}" name="call d2" dataDxfId="93">
      <calculatedColumnFormula>Table1334567[[#This Row],[Call D1]]-Table1334567[[#This Row],[IV Calc C]]*SQRT(Table1334567[[#This Row],[T]])</calculatedColumnFormula>
    </tableColumn>
    <tableColumn id="38" xr3:uid="{B5FD9935-B33C-4B9C-9289-5CF1DA316E31}" name="put d2" dataDxfId="92">
      <calculatedColumnFormula>Table1334567[[#This Row],[Put D1]]-Table1334567[[#This Row],[IV Calc P]]*SQRT(Table1334567[[#This Row],[T]])</calculatedColumnFormula>
    </tableColumn>
    <tableColumn id="39" xr3:uid="{D031953B-E2CF-45E4-9929-DF35997E8239}" name="call N(d1)" dataDxfId="91">
      <calculatedColumnFormula>EXP(-0.5*Table1334567[[#This Row],[Call D1]]^2)/SQRT(2*PI())</calculatedColumnFormula>
    </tableColumn>
    <tableColumn id="40" xr3:uid="{F44D9335-14CC-4E27-B44C-DD1F36E598CC}" name="put N(d1)" dataDxfId="90">
      <calculatedColumnFormula>EXP(-0.5*Table1334567[[#This Row],[Put D1]]^2)/SQRT(2*PI())</calculatedColumnFormula>
    </tableColumn>
    <tableColumn id="41" xr3:uid="{051CFF62-210F-4D2F-A2C5-3496C0B7599D}" name="call vanna" dataDxfId="89">
      <calculatedColumnFormula>IFERROR((EXP(0*Table1334567[[#This Row],[T]])*Table1334567[[#This Row],[call N(d1)]]*(Table1334567[[#This Row],[call d2]]/Table1334567[[#This Row],[IV Calc C]]))*Table1334567[[#This Row],[Open.Int]]*Table1334567[[#This Row],[DeltaC]],0)</calculatedColumnFormula>
    </tableColumn>
    <tableColumn id="42" xr3:uid="{C097BCEA-9D3D-4279-8635-526BF6753376}" name="put vanna" dataDxfId="88">
      <calculatedColumnFormula>IFERROR((EXP(0*Table1334567[[#This Row],[T]])*Table1334567[[#This Row],[put N(d1)]]*(Table1334567[[#This Row],[put d2]]/Table1334567[[#This Row],[IV Calc P]]))*Table1334567[[#This Row],[Open.Int8]]*Table1334567[[#This Row],[DeltaP]]*-1,0)</calculatedColumnFormula>
    </tableColumn>
    <tableColumn id="43" xr3:uid="{949C7B3D-D966-4EF6-9376-61E12D193AA1}" name="net vanna" dataDxfId="87">
      <calculatedColumnFormula>((Table1334567[[#This Row],[call vanna]]+Table1334567[[#This Row],[put vanna]])*$A$4)</calculatedColumnFormula>
    </tableColumn>
    <tableColumn id="44" xr3:uid="{5FB2707B-BF4C-4E3D-BB0C-59415FFA0A94}" name="call helper" dataDxfId="86">
      <calculatedColumnFormula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calculatedColumnFormula>
    </tableColumn>
    <tableColumn id="45" xr3:uid="{F685BDE4-43F0-455C-B452-D60B3292387A}" name="put helper" dataDxfId="85">
      <calculatedColumnFormula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calculatedColumnFormula>
    </tableColumn>
    <tableColumn id="46" xr3:uid="{6D37140D-70A8-4207-8CAC-92F7A9FA287D}" name="Ticker" dataDxfId="84">
      <calculatedColumnFormula>IF($M$1="SPX","SPXW",$M$1)</calculatedColumnFormula>
    </tableColumn>
    <tableColumn id="47" xr3:uid="{B014BCF7-47E9-47A8-A175-D9F6296FF6E8}" name="Spot" dataDxfId="83">
      <calculatedColumnFormula>$N$1</calculatedColumnFormula>
    </tableColumn>
    <tableColumn id="48" xr3:uid="{140A888C-8D48-4F90-8A3D-533D3BAA92F1}" name="Expiry" dataDxfId="82">
      <calculatedColumnFormula>$U$2</calculatedColumnFormula>
    </tableColumn>
    <tableColumn id="49" xr3:uid="{4598C544-3FCC-434A-A737-029856B186A9}" name="dadj" dataDxfId="81"/>
    <tableColumn id="50" xr3:uid="{276D76B8-6672-4D66-9905-51E4D3176DB3}" name="dadj2" dataDxfId="80"/>
    <tableColumn id="51" xr3:uid="{B20D2E53-58CD-4343-8888-F70CA815E58B}" name="High C" dataDxfId="79">
      <calculatedColumnFormula>RTD("tos.rtd", , "high", "."&amp;Table1334567[[#This Row],[Ticker]]&amp;Table1334567[[#This Row],[Expiry]]&amp;""&amp;"C"&amp;Table1334567[[#This Row],[Spot]]+Table1334567[[#This Row],[step]])</calculatedColumnFormula>
    </tableColumn>
    <tableColumn id="52" xr3:uid="{1673445D-FC9A-4953-A15A-29F91E41BAE0}" name="Low C" dataDxfId="78">
      <calculatedColumnFormula>RTD("tos.rtd", , "low", "."&amp;Table1334567[[#This Row],[Ticker]]&amp;Table1334567[[#This Row],[Expiry]]&amp;""&amp;"C"&amp;Table1334567[[#This Row],[Spot]]+Table1334567[[#This Row],[step]])</calculatedColumnFormula>
    </tableColumn>
    <tableColumn id="53" xr3:uid="{A3A5A01B-E06F-413F-B29D-432F3740E2EE}" name="High P" dataDxfId="77">
      <calculatedColumnFormula>RTD("tos.rtd", , "high", "."&amp;Table1334567[[#This Row],[Ticker]]&amp;Table1334567[[#This Row],[Expiry]]&amp;""&amp;"P"&amp;Table1334567[[#This Row],[Spot]]+Table1334567[[#This Row],[step]])</calculatedColumnFormula>
    </tableColumn>
    <tableColumn id="54" xr3:uid="{33884803-DBA4-41B8-AE4A-11BBD51BD157}" name="Low P" dataDxfId="76">
      <calculatedColumnFormula>RTD("tos.rtd", , "low", "."&amp;Table1334567[[#This Row],[Ticker]]&amp;Table1334567[[#This Row],[Expiry]]&amp;""&amp;"P"&amp;Table1334567[[#This Row],[Spot]]+Table1334567[[#This Row],[step]])</calculatedColumnFormula>
    </tableColumn>
    <tableColumn id="55" xr3:uid="{EE63C62C-F30A-45B2-90F0-3E0F3CA1C66C}" name="SgammaC" dataDxfId="75">
      <calculatedColumnFormula>((Table1334567[[#This Row],[High C]]+Table1334567[[#This Row],[Low C]])/2)*Table1334567[[#This Row],[gammac]]*Table1334567[[#This Row],[Volume]]</calculatedColumnFormula>
    </tableColumn>
    <tableColumn id="56" xr3:uid="{F8875209-970D-46C5-AF2A-CD4856490952}" name="SgammaP" dataDxfId="74">
      <calculatedColumnFormula>((Table1334567[[#This Row],[High P]]+Table1334567[[#This Row],[Low P]])/2)*Table1334567[[#This Row],[gammap]]*Table1334567[[#This Row],[Volume9]]*-1</calculatedColumnFormula>
    </tableColumn>
    <tableColumn id="57" xr3:uid="{07E889A7-3D4F-4504-BBF6-4F2BEE4A5583}" name="Sgammanet" dataDxfId="73">
      <calculatedColumnFormula>(Table1334567[[#This Row],[SgammaC]]+Table1334567[[#This Row],[SgammaP]])*$A$4*-100</calculatedColumnFormula>
    </tableColumn>
    <tableColumn id="58" xr3:uid="{201FB089-AE7E-4EF0-A9D6-E69AC658A30A}" name="Column7" dataDxfId="72">
      <calculatedColumnFormula>Table1334567[[#This Row],[DEXc]]+Table1334567[[#This Row],[DEXp]]</calculatedColumnFormula>
    </tableColumn>
    <tableColumn id="59" xr3:uid="{1A3A67A2-84EB-4815-89ED-D008AABE1B36}" name="DEXc" dataDxfId="71">
      <calculatedColumnFormula>IFERROR(Table1334567[[#This Row],[DeltaC]]*Table1334567[[#This Row],[Open.Int]]*$A$4,0)</calculatedColumnFormula>
    </tableColumn>
    <tableColumn id="60" xr3:uid="{A0936357-20AE-4C9D-84CF-6FE13F371764}" name="DEXp" dataDxfId="70">
      <calculatedColumnFormula>IFERROR(Table1334567[[#This Row],[DeltaP]]*Table1334567[[#This Row],[Open.Int8]]*$A$4,0)</calculatedColumnFormula>
    </tableColumn>
    <tableColumn id="61" xr3:uid="{0DAA930D-451D-427E-8D9B-65D58B3A4779}" name="charmc" dataDxfId="69">
      <calculatedColumnFormula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calculatedColumnFormula>
    </tableColumn>
    <tableColumn id="62" xr3:uid="{1A217E6E-AB7F-4AD2-A412-D0FA8C8C1684}" name="charmp" dataDxfId="68">
      <calculatedColumnFormula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calculatedColumnFormula>
    </tableColumn>
    <tableColumn id="63" xr3:uid="{A02D90B7-EB90-4818-926D-0A0841F42634}" name="charmnet" dataDxfId="67">
      <calculatedColumnFormula>Table1334567[[#This Row],[charmc]]+Table1334567[[#This Row],[charmp]]</calculatedColumnFormula>
    </tableColumn>
    <tableColumn id="64" xr3:uid="{9AA80D73-5181-43EF-8FBB-02D7238B1906}" name="gammap" dataDxfId="66" dataCellStyle="Percent">
      <calculatedColumnFormula>RTD("tos.rtd", , "GAMMA", "."&amp;Table1334567[[#This Row],[Ticker]]&amp;Table1334567[[#This Row],[Expiry]]&amp;""&amp;"P"&amp;Table1334567[[#This Row],[Spot]]+Table1334567[[#This Row],[step]])</calculatedColumnFormula>
    </tableColumn>
    <tableColumn id="65" xr3:uid="{33F4CB62-11F9-4CF8-B1C1-92F0D67B3450}" name="gammac" dataDxfId="65" dataCellStyle="Percent">
      <calculatedColumnFormula>RTD("tos.rtd", , "GAMMA", "."&amp;Table1334567[[#This Row],[Ticker]]&amp;Table1334567[[#This Row],[Expiry]]&amp;""&amp;"C"&amp;Table1334567[[#This Row],[Spot]]+Table1334567[[#This Row],[step]])</calculatedColumnFormula>
    </tableColumn>
    <tableColumn id="66" xr3:uid="{88F1BAAA-D380-4B32-86EB-945C830C3D9C}" name="helper sum" dataDxfId="64">
      <calculatedColumnFormula>Table1334567[[#This Row],[call helper]]+Table1334567[[#This Row],[put helper]]</calculatedColumnFormula>
    </tableColumn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F01AC4-CD59-4897-A284-19354CD12FA6}" name="Table13345678" displayName="Table13345678" ref="A1430:BN1631" totalsRowShown="0">
  <autoFilter ref="A1430:BN1631" xr:uid="{9DF01AC4-CD59-4897-A284-19354CD12FA6}"/>
  <sortState xmlns:xlrd2="http://schemas.microsoft.com/office/spreadsheetml/2017/richdata2" ref="A1431:BN1631">
    <sortCondition ref="Y1430:Y1631"/>
  </sortState>
  <tableColumns count="66">
    <tableColumn id="1" xr3:uid="{13EF81D3-3F6A-4397-AA6E-2F9EE85A7BA8}" name="T" dataDxfId="63">
      <calculatedColumnFormula>$V$3</calculatedColumnFormula>
    </tableColumn>
    <tableColumn id="2" xr3:uid="{D516640E-5C5F-4E4C-93D1-E1D1DAEAEAFA}" name="Column2"/>
    <tableColumn id="3" xr3:uid="{8D1E9435-0C03-430A-8679-E29402E1EFF4}" name="Column1" dataDxfId="62" dataCellStyle="Percent"/>
    <tableColumn id="4" xr3:uid="{50CB629E-4D57-4A17-8496-B12274927223}" name="Open.Int" dataDxfId="61">
      <calculatedColumnFormula>RTD("tos.rtd", , "OPEN_INT", "."&amp;Table13345678[[#This Row],[Ticker]]&amp;Table13345678[[#This Row],[Expiry]]&amp;""&amp;"C"&amp;Table13345678[[#This Row],[Spot]]+Table13345678[[#This Row],[step]])</calculatedColumnFormula>
    </tableColumn>
    <tableColumn id="5" xr3:uid="{D024481C-E146-489F-B78B-8C8F6B5C9640}" name="Volume" dataDxfId="60">
      <calculatedColumnFormula>IF(RTD("tos.rtd",,"VOLUME","."&amp;Table13345678[[#This Row],[Ticker]]&amp;Table13345678[[#This Row],[Expiry]]&amp;""&amp;"C"&amp;Table13345678[[#This Row],[Spot]]+Table13345678[[#This Row],[step]])="N/A",0,RTD("tos.rtd",,"VOLUME","."&amp;Table13345678[[#This Row],[Ticker]]&amp;Table13345678[[#This Row],[Expiry]]&amp;""&amp;"C"&amp;Table13345678[[#This Row],[Spot]]+Table13345678[[#This Row],[step]]))</calculatedColumnFormula>
    </tableColumn>
    <tableColumn id="6" xr3:uid="{7286D86D-E7C5-41C8-8B89-93B0DD86560C}" name="Column9" dataDxfId="59"/>
    <tableColumn id="7" xr3:uid="{39066D67-7BE2-4A5E-ABD7-86B053A7C5D2}" name="DeltaC" dataDxfId="58">
      <calculatedColumnFormula>RTD("tos.rtd", , "DELTA", "."&amp;Table13345678[[#This Row],[Ticker]]&amp;Table13345678[[#This Row],[Expiry]]&amp;""&amp;"C"&amp;Table13345678[[#This Row],[Spot]]+Table13345678[[#This Row],[step]])</calculatedColumnFormula>
    </tableColumn>
    <tableColumn id="8" xr3:uid="{2AFAA2BC-5E18-42C6-9C6E-7666FC69D474}" name="IV Calc C" dataDxfId="57">
      <calculatedColumnFormula array="1">ImpliedVol($A$4, Table13345678[[#This Row],[Strike]], 0.0411, Table13345678[[#This Row],[T]], ((Table13345678[[#This Row],[BIDC]]+Table13345678[[#This Row],[ASKC]])/2), TRUE)</calculatedColumnFormula>
    </tableColumn>
    <tableColumn id="9" xr3:uid="{F1D91317-78D5-4EB4-8811-C78E635F9598}" name="BIDC" dataDxfId="56">
      <calculatedColumnFormula>RTD("tos.rtd", , "BID", "."&amp;Table13345678[[#This Row],[Ticker]]&amp;Table13345678[[#This Row],[Expiry]]&amp;""&amp;"C"&amp;Table13345678[[#This Row],[Spot]]+Table13345678[[#This Row],[step]])</calculatedColumnFormula>
    </tableColumn>
    <tableColumn id="10" xr3:uid="{026ABD16-CA67-4169-AD04-D3D717D1AA40}" name="ASKC" dataDxfId="55">
      <calculatedColumnFormula>RTD("tos.rtd", , "ASK", "."&amp;Table13345678[[#This Row],[Ticker]]&amp;Table13345678[[#This Row],[Expiry]]&amp;""&amp;"C"&amp;Table13345678[[#This Row],[Spot]]+Table13345678[[#This Row],[step]])</calculatedColumnFormula>
    </tableColumn>
    <tableColumn id="11" xr3:uid="{3EB42B2B-522E-4770-9E43-99DF753ED57E}" name="average IV" dataDxfId="54"/>
    <tableColumn id="12" xr3:uid="{B6BDFB06-FC4A-4AC3-967F-8733EB6FEF27}" name="IV Calc AVG" dataCellStyle="Percent"/>
    <tableColumn id="13" xr3:uid="{64E8FBA3-B88C-412B-AC5E-F81D9EB52B0E}" name="Exp" dataDxfId="53">
      <calculatedColumnFormula>$V$1</calculatedColumnFormula>
    </tableColumn>
    <tableColumn id="14" xr3:uid="{3E85ABFF-D05C-42AE-8BE0-EDE78860B00B}" name="Strike" dataDxfId="52">
      <calculatedColumnFormula>IF(ISNUMBER($BP1431), $BP1431, FALSE)</calculatedColumnFormula>
    </tableColumn>
    <tableColumn id="15" xr3:uid="{0A1A5652-45FB-4C6F-A411-27998E30B14E}" name="Column4" dataDxfId="51"/>
    <tableColumn id="16" xr3:uid="{75ED0F78-879D-41D2-8599-9797732BCA15}" name="IV Calc P" dataDxfId="50">
      <calculatedColumnFormula array="1">ImpliedVol($A$4, Table13345678[[#This Row],[Strike]], 0.0411, Table13345678[[#This Row],[T]], ((Table13345678[[#This Row],[BIDP]]+Table13345678[[#This Row],[ASKP]])/2), FALSE)</calculatedColumnFormula>
    </tableColumn>
    <tableColumn id="17" xr3:uid="{2427958D-29D8-4305-A2CF-62BAD4AC00FB}" name="BIDP" dataDxfId="49">
      <calculatedColumnFormula>RTD("tos.rtd", , "BID", "."&amp;Table13345678[[#This Row],[Ticker]]&amp;Table13345678[[#This Row],[Expiry]]&amp;""&amp;"P"&amp;Table13345678[[#This Row],[Spot]]+Table13345678[[#This Row],[step]])</calculatedColumnFormula>
    </tableColumn>
    <tableColumn id="18" xr3:uid="{C8778C01-3876-430F-99C8-377F644F371F}" name="ASKP" dataDxfId="48">
      <calculatedColumnFormula>RTD("tos.rtd", , "ASK", "."&amp;Table13345678[[#This Row],[Ticker]]&amp;Table13345678[[#This Row],[Expiry]]&amp;""&amp;"P"&amp;Table13345678[[#This Row],[Spot]]+Table13345678[[#This Row],[step]])</calculatedColumnFormula>
    </tableColumn>
    <tableColumn id="19" xr3:uid="{C09C7D4E-24F3-4729-9E5D-D4EC1769E568}" name="Column3" dataDxfId="47" dataCellStyle="Percent"/>
    <tableColumn id="20" xr3:uid="{3A8F2673-426D-4383-8D93-7DC4E8A0169E}" name="Open.Int8" dataDxfId="46">
      <calculatedColumnFormula>RTD("tos.rtd", , "OPEN_INT", "."&amp;Table13345678[[#This Row],[Ticker]]&amp;Table13345678[[#This Row],[Expiry]]&amp;""&amp;"P"&amp;Table13345678[[#This Row],[Spot]]+Table13345678[[#This Row],[step]])</calculatedColumnFormula>
    </tableColumn>
    <tableColumn id="21" xr3:uid="{7AAC2BBA-FEB8-445B-8CB9-BD314161A7FB}" name="Volume9" dataDxfId="45">
      <calculatedColumnFormula>IF(RTD("tos.rtd",,"VOLUME","."&amp;Table13345678[[#This Row],[Ticker]]&amp;Table13345678[[#This Row],[Expiry]]&amp;""&amp;"P"&amp;Table13345678[[#This Row],[Spot]]+Table13345678[[#This Row],[step]])="N/A",0,RTD("tos.rtd",,"VOLUME","."&amp;Table13345678[[#This Row],[Ticker]]&amp;Table13345678[[#This Row],[Expiry]]&amp;""&amp;"P"&amp;Table13345678[[#This Row],[Spot]]+Table13345678[[#This Row],[step]]))</calculatedColumnFormula>
    </tableColumn>
    <tableColumn id="22" xr3:uid="{C27CC8EB-1E4C-4640-9B2A-5A1C4B66377E}" name="Column15" dataDxfId="44"/>
    <tableColumn id="23" xr3:uid="{410DF41E-CF33-4FE0-8126-BAD2F980AD8C}" name="DeltaP" dataDxfId="43">
      <calculatedColumnFormula>RTD("tos.rtd", , "DELTA", "."&amp;Table13345678[[#This Row],[Ticker]]&amp;Table13345678[[#This Row],[Expiry]]&amp;""&amp;"P"&amp;Table13345678[[#This Row],[Spot]]+Table13345678[[#This Row],[step]])</calculatedColumnFormula>
    </tableColumn>
    <tableColumn id="24" xr3:uid="{B9B8F07C-B694-4333-B262-040037BAF6C8}" name="Column16" dataDxfId="42"/>
    <tableColumn id="25" xr3:uid="{3BB8C690-150A-4F71-8319-43FD68DCD986}" name="step" dataDxfId="41"/>
    <tableColumn id="26" xr3:uid="{AC8FCE2D-FEAA-4B05-8FAD-22E8C5F19FDA}" name="Call Gex" dataDxfId="40">
      <calculatedColumnFormula>IFERROR(Table13345678[[#This Row],[call gamma]]*(Table13345678[[#This Row],[Open.Int]])*$A$4^2,0)</calculatedColumnFormula>
    </tableColumn>
    <tableColumn id="27" xr3:uid="{21DDA57C-23DE-4664-A2CE-A47C2F216845}" name="Put Gex" dataDxfId="39">
      <calculatedColumnFormula>IFERROR(((Table13345678[[#This Row],[Open.Int8]])*Table13345678[[#This Row],[Put gamma]])*-1*$A$4^2,0)</calculatedColumnFormula>
    </tableColumn>
    <tableColumn id="28" xr3:uid="{705BC501-6717-4F11-936E-5EE37E21ACF4}" name="Net Gex" dataDxfId="38">
      <calculatedColumnFormula>(Table13345678[[#This Row],[Call Gex]]+Table13345678[[#This Row],[Put Gex]])</calculatedColumnFormula>
    </tableColumn>
    <tableColumn id="29" xr3:uid="{A2BC5B86-F0B2-455C-BA3F-D2BD7E92B694}" name="net delta adj" dataDxfId="37">
      <calculatedColumnFormula>Table13345678[[#This Row],[put delta adj]]+Table13345678[[#This Row],[call delta adj]]</calculatedColumnFormula>
    </tableColumn>
    <tableColumn id="30" xr3:uid="{D1CC8227-5AA4-4538-BA31-76B5B7728E04}" name="put delta adj" dataDxfId="36">
      <calculatedColumnFormula>Table13345678[[#This Row],[Put Gex]]*Table13345678[[#This Row],[DeltaP]]*-1</calculatedColumnFormula>
    </tableColumn>
    <tableColumn id="31" xr3:uid="{0710BA3C-CD27-4B68-A0F1-48D6B1C88EB0}" name="call delta adj" dataDxfId="35">
      <calculatedColumnFormula>Table13345678[[#This Row],[Call Gex]]*Table13345678[[#This Row],[DeltaC]]</calculatedColumnFormula>
    </tableColumn>
    <tableColumn id="32" xr3:uid="{1E1982EE-C1FC-46A6-9FB5-E0BE9C67220E}" name="Net Dex" dataDxfId="34">
      <calculatedColumnFormula>IF(Table13345678[[#This Row],[DeltaC]]-ABS(Table13345678[[#This Row],[DeltaP]])="0","0.01",Table13345678[[#This Row],[DeltaC]]-ABS(Table13345678[[#This Row],[DeltaP]]))</calculatedColumnFormula>
    </tableColumn>
    <tableColumn id="33" xr3:uid="{D412ADAA-8C6E-4425-8C70-4767B7CC3B72}" name="Put D1" dataDxfId="33">
      <calculatedColumnFormula>((LN($A$4/Table13345678[[#This Row],[Strike]]) + (0.411 + 0.5 * Table13345678[[#This Row],[IV Calc P]]^2) *Table13345678[[#This Row],[T]])) / (Table13345678[[#This Row],[IV Calc P]] * SQRT(Table13345678[[#This Row],[T]]))</calculatedColumnFormula>
    </tableColumn>
    <tableColumn id="34" xr3:uid="{0C05E805-EEFA-4DF9-A419-34F7BA7122BD}" name="Call D1" dataDxfId="32">
      <calculatedColumnFormula>(LN($A$4/Table13345678[[#This Row],[Strike]]) + (0.411-0 + 0.5 * Table13345678[[#This Row],[IV Calc C]]^2) *Table13345678[[#This Row],[T]]) / (Table13345678[[#This Row],[IV Calc C]] * SQRT(Table13345678[[#This Row],[T]]))</calculatedColumnFormula>
    </tableColumn>
    <tableColumn id="35" xr3:uid="{596E7444-07FE-4FC8-AB8E-810149E6D69B}" name="Put gamma" dataDxfId="31">
      <calculatedColumnFormula>(EXP(-(AG1431^2)/2)/SQRT(2*PI())*EXP(0*SQRT(Table13345678[[#This Row],[T]]))/$A$4*18%*SQRT(SQRT(Table13345678[[#This Row],[T]])))</calculatedColumnFormula>
    </tableColumn>
    <tableColumn id="36" xr3:uid="{8B166994-D196-4120-B172-BB451DF45786}" name="call gamma" dataDxfId="30">
      <calculatedColumnFormula>(EXP(-(AH1431^2)/2)/SQRT(2*PI())*EXP(0*SQRT(Table13345678[[#This Row],[T]]))/$A$4*18%*SQRT(SQRT(Table13345678[[#This Row],[T]])))</calculatedColumnFormula>
    </tableColumn>
    <tableColumn id="37" xr3:uid="{C15D040E-8CC4-4790-8EA0-17A077928C52}" name="call d2" dataDxfId="29">
      <calculatedColumnFormula>Table13345678[[#This Row],[Call D1]]-Table13345678[[#This Row],[IV Calc C]]*SQRT(Table13345678[[#This Row],[T]])</calculatedColumnFormula>
    </tableColumn>
    <tableColumn id="38" xr3:uid="{CE5CD5D7-2D43-4E7D-86E3-2AF14AA9E87E}" name="put d2" dataDxfId="28">
      <calculatedColumnFormula>Table13345678[[#This Row],[Put D1]]-Table13345678[[#This Row],[IV Calc P]]*SQRT(Table13345678[[#This Row],[T]])</calculatedColumnFormula>
    </tableColumn>
    <tableColumn id="39" xr3:uid="{1E9B3D5F-1C11-4E1C-B42A-2664635256D3}" name="call N(d1)" dataDxfId="27">
      <calculatedColumnFormula>EXP(-0.5*Table13345678[[#This Row],[Call D1]]^2)/SQRT(2*PI())</calculatedColumnFormula>
    </tableColumn>
    <tableColumn id="40" xr3:uid="{FFFFDB75-E155-43B6-A1B2-DD5EE5CA4BFE}" name="put N(d1)" dataDxfId="26">
      <calculatedColumnFormula>EXP(-0.5*Table13345678[[#This Row],[Put D1]]^2)/SQRT(2*PI())</calculatedColumnFormula>
    </tableColumn>
    <tableColumn id="41" xr3:uid="{04C127AF-1550-4E3F-9859-DA9C75120E68}" name="call vanna" dataDxfId="25">
      <calculatedColumnFormula>IFERROR((EXP(0*Table13345678[[#This Row],[T]])*Table13345678[[#This Row],[call N(d1)]]*(Table13345678[[#This Row],[call d2]]/Table13345678[[#This Row],[IV Calc C]]))*Table13345678[[#This Row],[Open.Int]]*Table13345678[[#This Row],[DeltaC]],0)</calculatedColumnFormula>
    </tableColumn>
    <tableColumn id="42" xr3:uid="{3979092A-27C4-4934-B40B-153CA9D854F2}" name="put vanna" dataDxfId="24">
      <calculatedColumnFormula>IFERROR((EXP(0*Table13345678[[#This Row],[T]])*Table13345678[[#This Row],[put N(d1)]]*(Table13345678[[#This Row],[put d2]]/Table13345678[[#This Row],[IV Calc P]]))*Table13345678[[#This Row],[Open.Int8]]*Table13345678[[#This Row],[DeltaP]]*-1,0)</calculatedColumnFormula>
    </tableColumn>
    <tableColumn id="43" xr3:uid="{3B3EB596-F693-4D77-A571-D4029BFECDA1}" name="net vanna" dataDxfId="23">
      <calculatedColumnFormula>((Table13345678[[#This Row],[call vanna]]+Table13345678[[#This Row],[put vanna]])*$A$4)</calculatedColumnFormula>
    </tableColumn>
    <tableColumn id="44" xr3:uid="{B108DBB0-8381-4F51-A5BD-E63C6E074655}" name="call helper" dataDxfId="22">
      <calculatedColumnFormula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calculatedColumnFormula>
    </tableColumn>
    <tableColumn id="45" xr3:uid="{3D51124D-8FEB-4A0A-A6AF-C14EF73A361A}" name="put helper" dataDxfId="21">
      <calculatedColumnFormula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calculatedColumnFormula>
    </tableColumn>
    <tableColumn id="46" xr3:uid="{0AE1EB93-4EAC-4458-A42C-34E2BDAB6B5F}" name="Ticker" dataDxfId="20">
      <calculatedColumnFormula>IF($M$1="SPX","SPXW",$M$1)</calculatedColumnFormula>
    </tableColumn>
    <tableColumn id="47" xr3:uid="{F839C745-5B2C-4554-919F-5A0908A53E7F}" name="Spot" dataDxfId="19">
      <calculatedColumnFormula>$N$1</calculatedColumnFormula>
    </tableColumn>
    <tableColumn id="48" xr3:uid="{D6F5F9A3-DB3F-4AF3-8A33-8BE65DAEB1E5}" name="Expiry" dataDxfId="18">
      <calculatedColumnFormula>$V$2</calculatedColumnFormula>
    </tableColumn>
    <tableColumn id="49" xr3:uid="{38C8F5FC-D4F4-4917-A1DF-127A2EDED1C7}" name="dadj" dataDxfId="17"/>
    <tableColumn id="50" xr3:uid="{9292F346-08DC-40C2-9F05-8152C50F8B43}" name="dadj2" dataDxfId="16"/>
    <tableColumn id="51" xr3:uid="{BB40D21A-4446-4595-A1D9-5D26FF469624}" name="High C" dataDxfId="15">
      <calculatedColumnFormula>RTD("tos.rtd", , "high", "."&amp;Table13345678[[#This Row],[Ticker]]&amp;Table13345678[[#This Row],[Expiry]]&amp;""&amp;"C"&amp;Table13345678[[#This Row],[Spot]]+Table13345678[[#This Row],[step]])</calculatedColumnFormula>
    </tableColumn>
    <tableColumn id="52" xr3:uid="{2F8F6415-6412-47D5-8D0A-1764C4B5DD08}" name="Low C" dataDxfId="14">
      <calculatedColumnFormula>RTD("tos.rtd", , "low", "."&amp;Table13345678[[#This Row],[Ticker]]&amp;Table13345678[[#This Row],[Expiry]]&amp;""&amp;"C"&amp;Table13345678[[#This Row],[Spot]]+Table13345678[[#This Row],[step]])</calculatedColumnFormula>
    </tableColumn>
    <tableColumn id="53" xr3:uid="{EDB52189-896F-4470-91EA-4C0636DB09A7}" name="High P" dataDxfId="13">
      <calculatedColumnFormula>RTD("tos.rtd", , "high", "."&amp;Table13345678[[#This Row],[Ticker]]&amp;Table13345678[[#This Row],[Expiry]]&amp;""&amp;"P"&amp;Table13345678[[#This Row],[Spot]]+Table13345678[[#This Row],[step]])</calculatedColumnFormula>
    </tableColumn>
    <tableColumn id="54" xr3:uid="{254E0A03-F8D9-4393-ACDF-96A03248B4F9}" name="Low P" dataDxfId="12">
      <calculatedColumnFormula>RTD("tos.rtd", , "low", "."&amp;Table13345678[[#This Row],[Ticker]]&amp;Table13345678[[#This Row],[Expiry]]&amp;""&amp;"P"&amp;Table13345678[[#This Row],[Spot]]+Table13345678[[#This Row],[step]])</calculatedColumnFormula>
    </tableColumn>
    <tableColumn id="55" xr3:uid="{74DFF6BB-1365-412B-9B93-0A762ED0039F}" name="SgammaC" dataDxfId="11">
      <calculatedColumnFormula>((Table13345678[[#This Row],[High C]]+Table13345678[[#This Row],[Low C]])/2)*Table13345678[[#This Row],[gammac]]*Table13345678[[#This Row],[Volume]]</calculatedColumnFormula>
    </tableColumn>
    <tableColumn id="56" xr3:uid="{238C63ED-44BC-42D0-9EE3-4FB6EA14358C}" name="SgammaP" dataDxfId="10">
      <calculatedColumnFormula>((Table13345678[[#This Row],[High P]]+Table13345678[[#This Row],[Low P]])/2)*Table13345678[[#This Row],[gammap]]*Table13345678[[#This Row],[Volume9]]*-1</calculatedColumnFormula>
    </tableColumn>
    <tableColumn id="57" xr3:uid="{8F62C6F2-7853-4AD5-A79B-43343E64E592}" name="Sgammanet" dataDxfId="9">
      <calculatedColumnFormula>(Table13345678[[#This Row],[SgammaC]]+Table13345678[[#This Row],[SgammaP]])*$A$4*-100</calculatedColumnFormula>
    </tableColumn>
    <tableColumn id="58" xr3:uid="{977E58D2-F767-4726-98C1-A8F5B3DF84A7}" name="Column7" dataDxfId="8">
      <calculatedColumnFormula>Table13345678[[#This Row],[DEXc]]+Table13345678[[#This Row],[DEXp]]</calculatedColumnFormula>
    </tableColumn>
    <tableColumn id="59" xr3:uid="{0B97E53A-87E7-4CDE-B869-2F1EFA070C15}" name="DEXc" dataDxfId="7">
      <calculatedColumnFormula>IFERROR(Table13345678[[#This Row],[DeltaC]]*Table13345678[[#This Row],[Open.Int]]*$A$4,0)</calculatedColumnFormula>
    </tableColumn>
    <tableColumn id="60" xr3:uid="{B2E75EC1-C4B7-450C-98C8-1CC652F55938}" name="DEXp" dataDxfId="6">
      <calculatedColumnFormula>IFERROR(Table13345678[[#This Row],[DeltaP]]*Table13345678[[#This Row],[Open.Int8]]*$A$4,0)</calculatedColumnFormula>
    </tableColumn>
    <tableColumn id="61" xr3:uid="{68811C85-2DCC-4992-9413-CCB293F137DD}" name="charmc" dataDxfId="5">
      <calculatedColumnFormula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calculatedColumnFormula>
    </tableColumn>
    <tableColumn id="62" xr3:uid="{C7649A07-127B-4C94-95EA-32BB0BF58390}" name="charmp" dataDxfId="4">
      <calculatedColumnFormula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calculatedColumnFormula>
    </tableColumn>
    <tableColumn id="63" xr3:uid="{3CA285E7-A6CD-48CF-B17F-67D9AB11BED4}" name="charmnet" dataDxfId="3">
      <calculatedColumnFormula>Table13345678[[#This Row],[charmc]]+Table13345678[[#This Row],[charmp]]</calculatedColumnFormula>
    </tableColumn>
    <tableColumn id="64" xr3:uid="{4D3FF4DA-3023-49C3-A9CE-689B2EA7E2C6}" name="gammap" dataDxfId="2" dataCellStyle="Percent">
      <calculatedColumnFormula>RTD("tos.rtd", , "GAMMA", "."&amp;Table13345678[[#This Row],[Ticker]]&amp;Table13345678[[#This Row],[Expiry]]&amp;""&amp;"P"&amp;Table13345678[[#This Row],[Spot]]+Table13345678[[#This Row],[step]])</calculatedColumnFormula>
    </tableColumn>
    <tableColumn id="65" xr3:uid="{EFD58D87-4244-4DDE-BC6D-21F87FC9F0BA}" name="gammac" dataDxfId="1" dataCellStyle="Percent">
      <calculatedColumnFormula>RTD("tos.rtd", , "GAMMA", "."&amp;Table13345678[[#This Row],[Ticker]]&amp;Table13345678[[#This Row],[Expiry]]&amp;""&amp;"C"&amp;Table13345678[[#This Row],[Spot]]+Table13345678[[#This Row],[step]])</calculatedColumnFormula>
    </tableColumn>
    <tableColumn id="66" xr3:uid="{56070B58-0292-483D-A848-27EBF4689F62}" name="helper sum" dataDxfId="0">
      <calculatedColumnFormula>Table13345678[[#This Row],[call helper]]+Table13345678[[#This Row],[put helper]]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E658"/>
  <sheetViews>
    <sheetView tabSelected="1"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defaultRowHeight="18.75" x14ac:dyDescent="0.3"/>
  <cols>
    <col min="1" max="1" width="14.7109375" style="50" customWidth="1"/>
    <col min="2" max="2" width="31.28515625" style="36" customWidth="1"/>
    <col min="3" max="3" width="31.28515625" style="6" hidden="1" customWidth="1"/>
    <col min="4" max="4" width="31.28515625" style="5" hidden="1" customWidth="1"/>
    <col min="5" max="5" width="31.28515625" style="6" hidden="1" customWidth="1"/>
    <col min="6" max="6" width="31.28515625" style="5" hidden="1" customWidth="1"/>
    <col min="7" max="7" width="31.28515625" style="6" hidden="1" customWidth="1"/>
    <col min="8" max="8" width="31.28515625" style="5" hidden="1" customWidth="1"/>
    <col min="9" max="9" width="31.28515625" style="6" hidden="1" customWidth="1"/>
    <col min="10" max="10" width="10" style="5" customWidth="1"/>
    <col min="11" max="11" width="51.42578125" style="104" customWidth="1"/>
    <col min="12" max="12" width="25.7109375" style="3" customWidth="1"/>
    <col min="13" max="13" width="25.7109375" style="132" customWidth="1"/>
    <col min="14" max="14" width="15.28515625" style="7" customWidth="1"/>
    <col min="15" max="15" width="25.7109375" style="114" customWidth="1"/>
    <col min="16" max="16" width="25.7109375" style="7" customWidth="1"/>
    <col min="17" max="17" width="15.28515625" style="7" customWidth="1"/>
    <col min="18" max="19" width="25.7109375" style="7" customWidth="1"/>
    <col min="20" max="20" width="10.85546875" style="114" customWidth="1"/>
    <col min="21" max="22" width="9.85546875" style="7" bestFit="1" customWidth="1"/>
    <col min="23" max="23" width="9.140625" style="7"/>
    <col min="24" max="25" width="9.85546875" style="7" bestFit="1" customWidth="1"/>
    <col min="26" max="26" width="9.140625" style="7"/>
    <col min="27" max="27" width="44" style="7" customWidth="1"/>
    <col min="28" max="57" width="9.140625" style="7"/>
  </cols>
  <sheetData>
    <row r="1" spans="1:57" ht="37.5" customHeight="1" x14ac:dyDescent="0.4">
      <c r="A1" s="42" t="s">
        <v>98</v>
      </c>
      <c r="B1" s="16" t="s">
        <v>92</v>
      </c>
      <c r="C1" s="16" t="s">
        <v>41</v>
      </c>
      <c r="D1" s="62" t="str">
        <f>"Last Price: "&amp;Sheet1!A4</f>
        <v>Last Price: 6913.35</v>
      </c>
      <c r="E1" s="93" t="s">
        <v>99</v>
      </c>
      <c r="F1" s="95" t="s">
        <v>91</v>
      </c>
      <c r="G1" s="79" t="s">
        <v>88</v>
      </c>
      <c r="H1" s="63"/>
      <c r="I1" s="4"/>
      <c r="J1" s="121"/>
      <c r="K1" s="127" t="str" cm="1">
        <f t="array" ref="K1">_xlfn.LET(
    _xlpm.rng, B2:I2,
    _xlpm.dates, _xlfn._xlws.FILTER(_xlpm.rng, ISNUMBER(_xlpm.rng)),
    _xlpm.n, ROWS(_xlpm.dates),
    IF(
        _xlpm.n=0,
        "",
        IF(
            MIN(_xlpm.dates)=MAX(_xlpm.dates),
            TEXT(MIN(_xlpm.dates),"m/d/yyyy"),
            TEXT(MIN(_xlpm.dates),"m/d/yyyy") &amp; " – " &amp; TEXT(MAX(_xlpm.dates),"m/d/yyyy")
        )
    )
)</f>
        <v>1/23/2026 – 2/3/2026</v>
      </c>
      <c r="L1" s="134">
        <f>Sheet1!$O$1</f>
        <v>46045</v>
      </c>
      <c r="M1" s="135"/>
      <c r="N1" s="7" cm="1">
        <f t="array" ref="N1">GetTradeDateNY('Main Sheet'!$E$1,2)</f>
        <v>46049</v>
      </c>
      <c r="O1" s="134">
        <f>Sheet1!$O$1</f>
        <v>46045</v>
      </c>
      <c r="P1" s="135"/>
      <c r="Q1" s="7" cm="1">
        <f t="array" ref="Q1">GetTradeDateNY('Main Sheet'!$E$1,2)</f>
        <v>46049</v>
      </c>
      <c r="R1" s="134">
        <f>Sheet1!$O$1</f>
        <v>46045</v>
      </c>
      <c r="S1" s="135"/>
      <c r="T1" s="112"/>
      <c r="AZ1" s="7" t="s">
        <v>95</v>
      </c>
      <c r="BA1" s="7" t="s">
        <v>90</v>
      </c>
      <c r="BB1" s="7" t="s">
        <v>89</v>
      </c>
    </row>
    <row r="2" spans="1:57" ht="30.75" customHeight="1" x14ac:dyDescent="0.35">
      <c r="A2" s="43" t="s">
        <v>4</v>
      </c>
      <c r="B2" s="147">
        <v>46045</v>
      </c>
      <c r="C2" s="147">
        <v>46048</v>
      </c>
      <c r="D2" s="147">
        <v>46049</v>
      </c>
      <c r="E2" s="147">
        <v>46050</v>
      </c>
      <c r="F2" s="147">
        <v>46051</v>
      </c>
      <c r="G2" s="147">
        <v>46052</v>
      </c>
      <c r="H2" s="147">
        <v>46055</v>
      </c>
      <c r="I2" s="147">
        <v>46056</v>
      </c>
      <c r="J2" s="122"/>
      <c r="K2" s="128" t="str">
        <f>"Aggregate " &amp; B1</f>
        <v>Aggregate Gamma</v>
      </c>
      <c r="L2" s="148" t="str">
        <f ca="1">"Delta-Adj Gamma  (" &amp; IF(ABS(Sheet1!AC8)&gt;=1000000000,TEXT(Sheet1!AC8,"#,###.00,,,") &amp; "B",IF(ABS(Sheet1!AC8)&gt;=1000000,TEXT(Sheet1!AC8,"#,###.00,,") &amp; "M",IF(ABS(Sheet1!AC8)&gt;=1000,TEXT(Sheet1!AC8,"#,###.00,") &amp; "K",TEXT(Sheet1!AC8,"#,###")))) &amp; ")"</f>
        <v>Delta-Adj Gamma  (-41.07M)</v>
      </c>
      <c r="M2" s="149"/>
      <c r="N2" s="146"/>
      <c r="O2" s="150" t="str">
        <f ca="1">"Vanna  (" &amp; IF(ABS(Sheet1!AQ8)&gt;=1000000000,TEXT(Sheet1!AQ8,"#,###.00,,,") &amp; "B",IF(ABS(Sheet1!AQ8)&gt;=1000000,TEXT(Sheet1!AQ8,"#,###.00,,") &amp; "M",IF(ABS(Sheet1!AQ8)&gt;=1000,TEXT(Sheet1!AQ8,"#,###.00,") &amp; "K",TEXT(Sheet1!AQ8,"#,###")))) &amp; ")"</f>
        <v>Vanna  (144.80M)</v>
      </c>
      <c r="P2" s="149"/>
      <c r="Q2" s="146"/>
      <c r="R2" s="150" t="str">
        <f ca="1">"Charm  (" &amp; IF(ABS(Sheet1!BK8)&gt;=1000000000,TEXT(Sheet1!BK8,"#,###.00,,,") &amp; "B",IF(ABS(Sheet1!BK8)&gt;=1000000,TEXT(Sheet1!BK8,"#,###.00,,") &amp; "M",IF(ABS(Sheet1!BK8)&gt;=1000,TEXT(Sheet1!BK8,"#,###.00,") &amp; "K",TEXT(Sheet1!BK8,"#,###")))) &amp; ")"</f>
        <v>Charm  (-14.19B)</v>
      </c>
      <c r="S2" s="149"/>
      <c r="T2" s="113"/>
      <c r="AZ2" s="7" cm="1">
        <f t="array" ref="AZ2:AZ42">_xlfn.LET(
    _xlpm.r,
    IF(NOT(ISERROR(Sheet1!BQ10)),_xlfn.ANCHORARRAY( Sheet1!BQ10),
    IF(NOT(ISERROR(Sheet1!BQ213)),_xlfn.ANCHORARRAY( Sheet1!BQ213),
    IF(NOT(ISERROR(Sheet1!BQ416)),_xlfn.ANCHORARRAY( Sheet1!BQ416),
    IF(NOT(ISERROR(Sheet1!BQ619)),_xlfn.ANCHORARRAY( Sheet1!BQ619),
    IF(NOT(ISERROR(Sheet1!BQ822)),_xlfn.ANCHORARRAY( Sheet1!BQ822),
    IF(NOT(ISERROR(Sheet1!BQ1025)),_xlfn.ANCHORARRAY( Sheet1!BQ1025),
    IF(NOT(ISERROR(Sheet1!BQ1228)),_xlfn.ANCHORARRAY( Sheet1!BQ1228),_xlfn.ANCHORARRAY(
       Sheet1!BQ1431)
    ))))))),
    _xlpm.r
)</f>
        <v>6815</v>
      </c>
      <c r="BA2" s="7" cm="1">
        <f t="array" ref="BA2:BA42">_xlfn.ANCHORARRAY(AZ2)</f>
        <v>6815</v>
      </c>
      <c r="BB2" s="7" cm="1">
        <f t="array" ref="BB2:BB42">INDEX(_xlfn.ANCHORARRAY(AZ2), _xlfn.SEQUENCE(ROWS(_xlfn.ANCHORARRAY(AZ2)),,ROWS(_xlfn.ANCHORARRAY(AZ2)),-1))</f>
        <v>7015</v>
      </c>
      <c r="BC2" s="7" t="s">
        <v>97</v>
      </c>
      <c r="BD2" s="7">
        <v>15</v>
      </c>
      <c r="BE2" s="7" t="s">
        <v>93</v>
      </c>
    </row>
    <row r="3" spans="1:57" x14ac:dyDescent="0.3">
      <c r="A3" s="44" cm="1">
        <f t="array" ref="A3:A43">IF($AZ$1="DESC",_xlfn.ANCHORARRAY( BB2),_xlfn.ANCHORARRAY( BA2))</f>
        <v>7015</v>
      </c>
      <c r="B3" s="161">
        <f ca="1">IFERROR(
    INDEX(
        CHOOSE(
            MATCH($C$1, {"All","Calls","Puts"}, 0),
            Sheet1!BN$10:BN$210,
            Sheet1!AR$10:AR$210,
            Sheet1!AS$10:AS$210
        ),
        MATCH($A3, Sheet1!N$10:N$210, 0)
    ),
"")</f>
        <v>-1116.1107552547237</v>
      </c>
      <c r="C3" s="152" t="str">
        <f>IFERROR(
    INDEX(
        CHOOSE(
            MATCH($C$1, {"All","Calls","Puts"}, 0),
            Sheet1!BN$213:BN$413,
            Sheet1!AR$213:AR$413,
            Sheet1!AS$213:AS$413
        ),
        MATCH($A3, Sheet1!N$213:N$413, 0)
    ),
"")</f>
        <v/>
      </c>
      <c r="D3" s="152" t="str">
        <f>IFERROR(
    INDEX(
        CHOOSE(
            MATCH($C$1, {"All","Calls","Puts"}, 0),
            Sheet1!BN$416:BN$616,
            Sheet1!AR$416:AR$616,
            Sheet1!AS$416:AS$616
        ),
        MATCH($A3, Sheet1!N$416:N$616, 0)
    ),
"")</f>
        <v/>
      </c>
      <c r="E3" s="152" t="str">
        <f>IFERROR(
    INDEX(
        CHOOSE(
            MATCH($C$1, {"All","Calls","Puts"}, 0),
            Sheet1!BN$619:BN$819,
            Sheet1!AR$619:AR$819,
            Sheet1!AS$619:AS$819
        ),
        MATCH($A3, Sheet1!N$619:N$819, 0)
    ),
"")</f>
        <v/>
      </c>
      <c r="F3" s="152" t="str">
        <f>IFERROR(
    INDEX(
        CHOOSE(
            MATCH($C$1, {"All","Calls","Puts"}, 0),
            Sheet1!BN$822:BN$1022,
            Sheet1!AR$822:AR$1022,
            Sheet1!AS$822:AS$1022
        ),
        MATCH($A3, Sheet1!N$822:N$1022, 0)
    ),
"")</f>
        <v/>
      </c>
      <c r="G3" s="152" t="str">
        <f>IFERROR(
    INDEX(
        CHOOSE(
            MATCH($C$1, {"All","Calls","Puts"}, 0),
            Sheet1!BN$1025:BN$1225,
            Sheet1!AR$1025:AR$1225,
            Sheet1!AS$1025:AS$1225
        ),
        MATCH($A3, Sheet1!N$1025:N$1225, 0)
    ),
"")</f>
        <v/>
      </c>
      <c r="H3" s="152" t="str">
        <f>IFERROR(
    INDEX(
        CHOOSE(
            MATCH($C$1, {"All","Calls","Puts"}, 0),
            Sheet1!BN$1228:BN$1428,
            Sheet1!AR$1228:AR$1428,
            Sheet1!AS$1228:AS$1428
        ),
        MATCH($A3, Sheet1!N$1228:N$1428, 0)
    ),
"")</f>
        <v/>
      </c>
      <c r="I3" s="152" t="str">
        <f>IFERROR(
    INDEX(
        CHOOSE(
            MATCH($C$1, {"All","Calls","Puts"}, 0),
            Sheet1!BN$1431:BN$1631,
            Sheet1!AR$1431:AR$1631,
            Sheet1!AS$1431:AS$1631
        ),
        MATCH($A3, Sheet1!N$1431:N$1631, 0)
    ),
"")</f>
        <v/>
      </c>
      <c r="J3" s="123">
        <f>IF(A3="","",A3)</f>
        <v>7015</v>
      </c>
      <c r="K3" s="97">
        <f ca="1">IF(A3="", "", SUM(B3:I3))</f>
        <v>-1116.1107552547237</v>
      </c>
      <c r="L3" s="129">
        <f ca="1">IFERROR(MIN(0,INDEX(Sheet1!$AD$10:$AD$999,MATCH(A3,Sheet1!$N$10:$N$999,0))),0)</f>
        <v>-6194.9105152112588</v>
      </c>
      <c r="M3" s="136">
        <f ca="1">IFERROR(MAX(0,INDEX(Sheet1!$AE$10:$AE$999,MATCH(A3,Sheet1!$N$10:$N$999,0))),0)</f>
        <v>59.235602847580708</v>
      </c>
      <c r="N3" s="111">
        <f>IF(A3="","",A3)</f>
        <v>7015</v>
      </c>
      <c r="O3" s="138">
        <f ca="1">IFERROR(MIN(0,INDEX(Sheet1!$AP$10:$AP$999,MATCH(A3,Sheet1!$N$10:$N$999,0))),0)</f>
        <v>-103.1350052343842</v>
      </c>
      <c r="P3" s="141">
        <f ca="1">IFERROR(MAX(0,INDEX(Sheet1!$AO$10:$AO$999,MATCH(A3,Sheet1!$N$10:$N$999,0))),0)</f>
        <v>0</v>
      </c>
      <c r="Q3" s="111">
        <f>IF(A3="","",A3)</f>
        <v>7015</v>
      </c>
      <c r="R3" s="140">
        <f ca="1">IFERROR(MIN(0,INDEX(Sheet1!$BK$10:$BK$999,MATCH(A3,Sheet1!$N$10:$N$999,0))),0)</f>
        <v>-961621.97613706882</v>
      </c>
      <c r="S3" s="141">
        <f ca="1">IFERROR(MAX(0,INDEX(Sheet1!$BK$10:$BK$999,MATCH(A3,Sheet1!$N$10:$N$999,0))),0)</f>
        <v>0</v>
      </c>
      <c r="T3" s="111">
        <f>IF(A3="","",A3)</f>
        <v>7015</v>
      </c>
      <c r="AA3" s="96"/>
      <c r="AZ3" s="7">
        <v>6820</v>
      </c>
      <c r="BA3" s="7">
        <v>6820</v>
      </c>
      <c r="BB3" s="7">
        <v>7010</v>
      </c>
      <c r="BC3" s="7" t="s">
        <v>96</v>
      </c>
      <c r="BD3" s="7">
        <v>15</v>
      </c>
      <c r="BE3" s="7" t="s">
        <v>93</v>
      </c>
    </row>
    <row r="4" spans="1:57" x14ac:dyDescent="0.3">
      <c r="A4" s="44">
        <v>7010</v>
      </c>
      <c r="B4" s="155">
        <f ca="1">IFERROR(
    INDEX(
        CHOOSE(
            MATCH($C$1, {"All","Calls","Puts"}, 0),
            Sheet1!BN$10:BN$210,
            Sheet1!AR$10:AR$210,
            Sheet1!AS$10:AS$210
        ),
        MATCH($A4, Sheet1!N$10:N$210, 0)
    ),
"")</f>
        <v>3835.6689903748156</v>
      </c>
      <c r="C4" s="152" t="str">
        <f>IFERROR(
    INDEX(
        CHOOSE(
            MATCH($C$1, {"All","Calls","Puts"}, 0),
            Sheet1!BN$213:BN$413,
            Sheet1!AR$213:AR$413,
            Sheet1!AS$213:AS$413
        ),
        MATCH($A4, Sheet1!N$213:N$413, 0)
    ),
"")</f>
        <v/>
      </c>
      <c r="D4" s="152" t="str">
        <f>IFERROR(
    INDEX(
        CHOOSE(
            MATCH($C$1, {"All","Calls","Puts"}, 0),
            Sheet1!BN$416:BN$616,
            Sheet1!AR$416:AR$616,
            Sheet1!AS$416:AS$616
        ),
        MATCH($A4, Sheet1!N$416:N$616, 0)
    ),
"")</f>
        <v/>
      </c>
      <c r="E4" s="152" t="str">
        <f>IFERROR(
    INDEX(
        CHOOSE(
            MATCH($C$1, {"All","Calls","Puts"}, 0),
            Sheet1!BN$619:BN$819,
            Sheet1!AR$619:AR$819,
            Sheet1!AS$619:AS$819
        ),
        MATCH($A4, Sheet1!N$619:N$819, 0)
    ),
"")</f>
        <v/>
      </c>
      <c r="F4" s="152" t="str">
        <f>IFERROR(
    INDEX(
        CHOOSE(
            MATCH($C$1, {"All","Calls","Puts"}, 0),
            Sheet1!BN$822:BN$1022,
            Sheet1!AR$822:AR$1022,
            Sheet1!AS$822:AS$1022
        ),
        MATCH($A4, Sheet1!N$822:N$1022, 0)
    ),
"")</f>
        <v/>
      </c>
      <c r="G4" s="152" t="str">
        <f>IFERROR(
    INDEX(
        CHOOSE(
            MATCH($C$1, {"All","Calls","Puts"}, 0),
            Sheet1!BN$1025:BN$1225,
            Sheet1!AR$1025:AR$1225,
            Sheet1!AS$1025:AS$1225
        ),
        MATCH($A4, Sheet1!N$1025:N$1225, 0)
    ),
"")</f>
        <v/>
      </c>
      <c r="H4" s="152" t="str">
        <f>IFERROR(
    INDEX(
        CHOOSE(
            MATCH($C$1, {"All","Calls","Puts"}, 0),
            Sheet1!BN$1228:BN$1428,
            Sheet1!AR$1228:AR$1428,
            Sheet1!AS$1228:AS$1428
        ),
        MATCH($A4, Sheet1!N$1228:N$1428, 0)
    ),
"")</f>
        <v/>
      </c>
      <c r="I4" s="152" t="str">
        <f>IFERROR(
    INDEX(
        CHOOSE(
            MATCH($C$1, {"All","Calls","Puts"}, 0),
            Sheet1!BN$1431:BN$1631,
            Sheet1!AR$1431:AR$1631,
            Sheet1!AS$1431:AS$1631
        ),
        MATCH($A4, Sheet1!N$1431:N$1631, 0)
    ),
"")</f>
        <v/>
      </c>
      <c r="J4" s="123">
        <f t="shared" ref="J4:J67" si="0">IF(A4="","",A4)</f>
        <v>7010</v>
      </c>
      <c r="K4" s="97">
        <f t="shared" ref="K4:K67" ca="1" si="1">IF(A4="", "", SUM(B4:I4))</f>
        <v>3835.6689903748156</v>
      </c>
      <c r="L4" s="129">
        <f ca="1">IFERROR(MIN(0,INDEX(Sheet1!$AD$10:$AD$999,MATCH(A4,Sheet1!$N$10:$N$999,0))),0)</f>
        <v>-6575.8566197070531</v>
      </c>
      <c r="M4" s="136">
        <f ca="1">IFERROR(MAX(0,INDEX(Sheet1!$AE$10:$AE$999,MATCH(A4,Sheet1!$N$10:$N$999,0))),0)</f>
        <v>113.08233330951012</v>
      </c>
      <c r="N4" s="111">
        <f t="shared" ref="N4:N67" si="2">IF(A4="","",A4)</f>
        <v>7010</v>
      </c>
      <c r="O4" s="138">
        <f ca="1">IFERROR(MIN(0,INDEX(Sheet1!$AP$10:$AP$999,MATCH(A4,Sheet1!$N$10:$N$999,0))),0)</f>
        <v>-110.67694066886197</v>
      </c>
      <c r="P4" s="141">
        <f ca="1">IFERROR(MAX(0,INDEX(Sheet1!$AO$10:$AO$999,MATCH(A4,Sheet1!$N$10:$N$999,0))),0)</f>
        <v>0</v>
      </c>
      <c r="Q4" s="111">
        <f t="shared" ref="Q4:Q67" si="3">IF(A4="","",A4)</f>
        <v>7010</v>
      </c>
      <c r="R4" s="140">
        <f ca="1">IFERROR(MIN(0,INDEX(Sheet1!$BK$10:$BK$999,MATCH(A4,Sheet1!$N$10:$N$999,0))),0)</f>
        <v>-1258909.5120700994</v>
      </c>
      <c r="S4" s="141">
        <f ca="1">IFERROR(MAX(0,INDEX(Sheet1!$BK$10:$BK$999,MATCH(A4,Sheet1!$N$10:$N$999,0))),0)</f>
        <v>0</v>
      </c>
      <c r="T4" s="111">
        <f t="shared" ref="T4:T67" si="4">IF(A4="","",A4)</f>
        <v>7010</v>
      </c>
      <c r="AA4" s="96"/>
      <c r="AZ4" s="7">
        <v>6825</v>
      </c>
      <c r="BA4" s="7">
        <v>6825</v>
      </c>
      <c r="BB4" s="7">
        <v>7005</v>
      </c>
      <c r="BC4" s="7" t="s">
        <v>94</v>
      </c>
      <c r="BD4" s="7">
        <v>15</v>
      </c>
      <c r="BE4" s="7" t="s">
        <v>93</v>
      </c>
    </row>
    <row r="5" spans="1:57" ht="19.5" thickBot="1" x14ac:dyDescent="0.35">
      <c r="A5" s="44">
        <v>7005</v>
      </c>
      <c r="B5" s="153">
        <f ca="1">IFERROR(
    INDEX(
        CHOOSE(
            MATCH($C$1, {"All","Calls","Puts"}, 0),
            Sheet1!BN$10:BN$210,
            Sheet1!AR$10:AR$210,
            Sheet1!AS$10:AS$210
        ),
        MATCH($A5, Sheet1!N$10:N$210, 0)
    ),
"")</f>
        <v>10482.925851354759</v>
      </c>
      <c r="C5" s="152" t="str">
        <f>IFERROR(
    INDEX(
        CHOOSE(
            MATCH($C$1, {"All","Calls","Puts"}, 0),
            Sheet1!BN$213:BN$413,
            Sheet1!AR$213:AR$413,
            Sheet1!AS$213:AS$413
        ),
        MATCH($A5, Sheet1!N$213:N$413, 0)
    ),
"")</f>
        <v/>
      </c>
      <c r="D5" s="152" t="str">
        <f>IFERROR(
    INDEX(
        CHOOSE(
            MATCH($C$1, {"All","Calls","Puts"}, 0),
            Sheet1!BN$416:BN$616,
            Sheet1!AR$416:AR$616,
            Sheet1!AS$416:AS$616
        ),
        MATCH($A5, Sheet1!N$416:N$616, 0)
    ),
"")</f>
        <v/>
      </c>
      <c r="E5" s="152" t="str">
        <f>IFERROR(
    INDEX(
        CHOOSE(
            MATCH($C$1, {"All","Calls","Puts"}, 0),
            Sheet1!BN$619:BN$819,
            Sheet1!AR$619:AR$819,
            Sheet1!AS$619:AS$819
        ),
        MATCH($A5, Sheet1!N$619:N$819, 0)
    ),
"")</f>
        <v/>
      </c>
      <c r="F5" s="152" t="str">
        <f>IFERROR(
    INDEX(
        CHOOSE(
            MATCH($C$1, {"All","Calls","Puts"}, 0),
            Sheet1!BN$822:BN$1022,
            Sheet1!AR$822:AR$1022,
            Sheet1!AS$822:AS$1022
        ),
        MATCH($A5, Sheet1!N$822:N$1022, 0)
    ),
"")</f>
        <v/>
      </c>
      <c r="G5" s="152" t="str">
        <f>IFERROR(
    INDEX(
        CHOOSE(
            MATCH($C$1, {"All","Calls","Puts"}, 0),
            Sheet1!BN$1025:BN$1225,
            Sheet1!AR$1025:AR$1225,
            Sheet1!AS$1025:AS$1225
        ),
        MATCH($A5, Sheet1!N$1025:N$1225, 0)
    ),
"")</f>
        <v/>
      </c>
      <c r="H5" s="152" t="str">
        <f>IFERROR(
    INDEX(
        CHOOSE(
            MATCH($C$1, {"All","Calls","Puts"}, 0),
            Sheet1!BN$1228:BN$1428,
            Sheet1!AR$1228:AR$1428,
            Sheet1!AS$1228:AS$1428
        ),
        MATCH($A5, Sheet1!N$1228:N$1428, 0)
    ),
"")</f>
        <v/>
      </c>
      <c r="I5" s="152" t="str">
        <f>IFERROR(
    INDEX(
        CHOOSE(
            MATCH($C$1, {"All","Calls","Puts"}, 0),
            Sheet1!BN$1431:BN$1631,
            Sheet1!AR$1431:AR$1631,
            Sheet1!AS$1431:AS$1631
        ),
        MATCH($A5, Sheet1!N$1431:N$1631, 0)
    ),
"")</f>
        <v/>
      </c>
      <c r="J5" s="123">
        <f t="shared" si="0"/>
        <v>7005</v>
      </c>
      <c r="K5" s="97">
        <f t="shared" ca="1" si="1"/>
        <v>10482.925851354759</v>
      </c>
      <c r="L5" s="129">
        <f ca="1">IFERROR(MIN(0,INDEX(Sheet1!$AD$10:$AD$999,MATCH(A5,Sheet1!$N$10:$N$999,0))),0)</f>
        <v>-1446.2702649747105</v>
      </c>
      <c r="M5" s="136">
        <f ca="1">IFERROR(MAX(0,INDEX(Sheet1!$AE$10:$AE$999,MATCH(A5,Sheet1!$N$10:$N$999,0))),0)</f>
        <v>121.45305466268219</v>
      </c>
      <c r="N5" s="111">
        <f t="shared" si="2"/>
        <v>7005</v>
      </c>
      <c r="O5" s="138">
        <f ca="1">IFERROR(MIN(0,INDEX(Sheet1!$AP$10:$AP$999,MATCH(A5,Sheet1!$N$10:$N$999,0))),0)</f>
        <v>-24.610525442879375</v>
      </c>
      <c r="P5" s="141">
        <f ca="1">IFERROR(MAX(0,INDEX(Sheet1!$AO$10:$AO$999,MATCH(A5,Sheet1!$N$10:$N$999,0))),0)</f>
        <v>0</v>
      </c>
      <c r="Q5" s="111">
        <f t="shared" si="3"/>
        <v>7005</v>
      </c>
      <c r="R5" s="140">
        <f ca="1">IFERROR(MIN(0,INDEX(Sheet1!$BK$10:$BK$999,MATCH(A5,Sheet1!$N$10:$N$999,0))),0)</f>
        <v>-779116.48697614437</v>
      </c>
      <c r="S5" s="141">
        <f ca="1">IFERROR(MAX(0,INDEX(Sheet1!$BK$10:$BK$999,MATCH(A5,Sheet1!$N$10:$N$999,0))),0)</f>
        <v>0</v>
      </c>
      <c r="T5" s="111">
        <f t="shared" si="4"/>
        <v>7005</v>
      </c>
      <c r="AA5" s="96"/>
      <c r="AZ5" s="7">
        <v>6830</v>
      </c>
      <c r="BA5" s="7">
        <v>6830</v>
      </c>
      <c r="BB5" s="7">
        <v>7000</v>
      </c>
    </row>
    <row r="6" spans="1:57" ht="19.5" thickBot="1" x14ac:dyDescent="0.35">
      <c r="A6" s="44">
        <v>7000</v>
      </c>
      <c r="B6" s="145">
        <f ca="1">IFERROR(
    INDEX(
        CHOOSE(
            MATCH($C$1, {"All","Calls","Puts"}, 0),
            Sheet1!BN$10:BN$210,
            Sheet1!AR$10:AR$210,
            Sheet1!AS$10:AS$210
        ),
        MATCH($A6, Sheet1!N$10:N$210, 0)
    ),
"")</f>
        <v>-271121.69487411692</v>
      </c>
      <c r="C6" s="152" t="str">
        <f>IFERROR(
    INDEX(
        CHOOSE(
            MATCH($C$1, {"All","Calls","Puts"}, 0),
            Sheet1!BN$213:BN$413,
            Sheet1!AR$213:AR$413,
            Sheet1!AS$213:AS$413
        ),
        MATCH($A6, Sheet1!N$213:N$413, 0)
    ),
"")</f>
        <v/>
      </c>
      <c r="D6" s="152" t="str">
        <f>IFERROR(
    INDEX(
        CHOOSE(
            MATCH($C$1, {"All","Calls","Puts"}, 0),
            Sheet1!BN$416:BN$616,
            Sheet1!AR$416:AR$616,
            Sheet1!AS$416:AS$616
        ),
        MATCH($A6, Sheet1!N$416:N$616, 0)
    ),
"")</f>
        <v/>
      </c>
      <c r="E6" s="152" t="str">
        <f>IFERROR(
    INDEX(
        CHOOSE(
            MATCH($C$1, {"All","Calls","Puts"}, 0),
            Sheet1!BN$619:BN$819,
            Sheet1!AR$619:AR$819,
            Sheet1!AS$619:AS$819
        ),
        MATCH($A6, Sheet1!N$619:N$819, 0)
    ),
"")</f>
        <v/>
      </c>
      <c r="F6" s="152" t="str">
        <f>IFERROR(
    INDEX(
        CHOOSE(
            MATCH($C$1, {"All","Calls","Puts"}, 0),
            Sheet1!BN$822:BN$1022,
            Sheet1!AR$822:AR$1022,
            Sheet1!AS$822:AS$1022
        ),
        MATCH($A6, Sheet1!N$822:N$1022, 0)
    ),
"")</f>
        <v/>
      </c>
      <c r="G6" s="152" t="str">
        <f>IFERROR(
    INDEX(
        CHOOSE(
            MATCH($C$1, {"All","Calls","Puts"}, 0),
            Sheet1!BN$1025:BN$1225,
            Sheet1!AR$1025:AR$1225,
            Sheet1!AS$1025:AS$1225
        ),
        MATCH($A6, Sheet1!N$1025:N$1225, 0)
    ),
"")</f>
        <v/>
      </c>
      <c r="H6" s="152" t="str">
        <f>IFERROR(
    INDEX(
        CHOOSE(
            MATCH($C$1, {"All","Calls","Puts"}, 0),
            Sheet1!BN$1228:BN$1428,
            Sheet1!AR$1228:AR$1428,
            Sheet1!AS$1228:AS$1428
        ),
        MATCH($A6, Sheet1!N$1228:N$1428, 0)
    ),
"")</f>
        <v/>
      </c>
      <c r="I6" s="152" t="str">
        <f>IFERROR(
    INDEX(
        CHOOSE(
            MATCH($C$1, {"All","Calls","Puts"}, 0),
            Sheet1!BN$1431:BN$1631,
            Sheet1!AR$1431:AR$1631,
            Sheet1!AS$1431:AS$1631
        ),
        MATCH($A6, Sheet1!N$1431:N$1631, 0)
    ),
"")</f>
        <v/>
      </c>
      <c r="J6" s="123">
        <f t="shared" si="0"/>
        <v>7000</v>
      </c>
      <c r="K6" s="97">
        <f t="shared" ca="1" si="1"/>
        <v>-271121.69487411692</v>
      </c>
      <c r="L6" s="129">
        <f ca="1">IFERROR(MIN(0,INDEX(Sheet1!$AD$10:$AD$999,MATCH(A6,Sheet1!$N$10:$N$999,0))),0)</f>
        <v>-342290.25971084915</v>
      </c>
      <c r="M6" s="136">
        <f ca="1">IFERROR(MAX(0,INDEX(Sheet1!$AE$10:$AE$999,MATCH(A6,Sheet1!$N$10:$N$999,0))),0)</f>
        <v>1223.1538525329588</v>
      </c>
      <c r="N6" s="111">
        <f t="shared" si="2"/>
        <v>7000</v>
      </c>
      <c r="O6" s="138">
        <f ca="1">IFERROR(MIN(0,INDEX(Sheet1!$AP$10:$AP$999,MATCH(A6,Sheet1!$N$10:$N$999,0))),0)</f>
        <v>-5925.2703524427552</v>
      </c>
      <c r="P6" s="141">
        <f ca="1">IFERROR(MAX(0,INDEX(Sheet1!$AO$10:$AO$999,MATCH(A6,Sheet1!$N$10:$N$999,0))),0)</f>
        <v>0</v>
      </c>
      <c r="Q6" s="111">
        <f t="shared" si="3"/>
        <v>7000</v>
      </c>
      <c r="R6" s="140">
        <f ca="1">IFERROR(MIN(0,INDEX(Sheet1!$BK$10:$BK$999,MATCH(A6,Sheet1!$N$10:$N$999,0))),0)</f>
        <v>-36544903.553659439</v>
      </c>
      <c r="S6" s="141">
        <f ca="1">IFERROR(MAX(0,INDEX(Sheet1!$BK$10:$BK$999,MATCH(A6,Sheet1!$N$10:$N$999,0))),0)</f>
        <v>0</v>
      </c>
      <c r="T6" s="111">
        <f t="shared" si="4"/>
        <v>7000</v>
      </c>
      <c r="AA6" s="96"/>
      <c r="AZ6" s="7">
        <v>6835</v>
      </c>
      <c r="BA6" s="7">
        <v>6835</v>
      </c>
      <c r="BB6" s="7">
        <v>6995</v>
      </c>
    </row>
    <row r="7" spans="1:57" x14ac:dyDescent="0.3">
      <c r="A7" s="44">
        <v>6995</v>
      </c>
      <c r="B7" s="176">
        <f ca="1">IFERROR(
    INDEX(
        CHOOSE(
            MATCH($C$1, {"All","Calls","Puts"}, 0),
            Sheet1!BN$10:BN$210,
            Sheet1!AR$10:AR$210,
            Sheet1!AS$10:AS$210
        ),
        MATCH($A7, Sheet1!N$10:N$210, 0)
    ),
"")</f>
        <v>79576.645681012247</v>
      </c>
      <c r="C7" s="152" t="str">
        <f>IFERROR(
    INDEX(
        CHOOSE(
            MATCH($C$1, {"All","Calls","Puts"}, 0),
            Sheet1!BN$213:BN$413,
            Sheet1!AR$213:AR$413,
            Sheet1!AS$213:AS$413
        ),
        MATCH($A7, Sheet1!N$213:N$413, 0)
    ),
"")</f>
        <v/>
      </c>
      <c r="D7" s="152" t="str">
        <f>IFERROR(
    INDEX(
        CHOOSE(
            MATCH($C$1, {"All","Calls","Puts"}, 0),
            Sheet1!BN$416:BN$616,
            Sheet1!AR$416:AR$616,
            Sheet1!AS$416:AS$616
        ),
        MATCH($A7, Sheet1!N$416:N$616, 0)
    ),
"")</f>
        <v/>
      </c>
      <c r="E7" s="152" t="str">
        <f>IFERROR(
    INDEX(
        CHOOSE(
            MATCH($C$1, {"All","Calls","Puts"}, 0),
            Sheet1!BN$619:BN$819,
            Sheet1!AR$619:AR$819,
            Sheet1!AS$619:AS$819
        ),
        MATCH($A7, Sheet1!N$619:N$819, 0)
    ),
"")</f>
        <v/>
      </c>
      <c r="F7" s="152" t="str">
        <f>IFERROR(
    INDEX(
        CHOOSE(
            MATCH($C$1, {"All","Calls","Puts"}, 0),
            Sheet1!BN$822:BN$1022,
            Sheet1!AR$822:AR$1022,
            Sheet1!AS$822:AS$1022
        ),
        MATCH($A7, Sheet1!N$822:N$1022, 0)
    ),
"")</f>
        <v/>
      </c>
      <c r="G7" s="152" t="str">
        <f>IFERROR(
    INDEX(
        CHOOSE(
            MATCH($C$1, {"All","Calls","Puts"}, 0),
            Sheet1!BN$1025:BN$1225,
            Sheet1!AR$1025:AR$1225,
            Sheet1!AS$1025:AS$1225
        ),
        MATCH($A7, Sheet1!N$1025:N$1225, 0)
    ),
"")</f>
        <v/>
      </c>
      <c r="H7" s="152" t="str">
        <f>IFERROR(
    INDEX(
        CHOOSE(
            MATCH($C$1, {"All","Calls","Puts"}, 0),
            Sheet1!BN$1228:BN$1428,
            Sheet1!AR$1228:AR$1428,
            Sheet1!AS$1228:AS$1428
        ),
        MATCH($A7, Sheet1!N$1228:N$1428, 0)
    ),
"")</f>
        <v/>
      </c>
      <c r="I7" s="152" t="str">
        <f>IFERROR(
    INDEX(
        CHOOSE(
            MATCH($C$1, {"All","Calls","Puts"}, 0),
            Sheet1!BN$1431:BN$1631,
            Sheet1!AR$1431:AR$1631,
            Sheet1!AS$1431:AS$1631
        ),
        MATCH($A7, Sheet1!N$1431:N$1631, 0)
    ),
"")</f>
        <v/>
      </c>
      <c r="J7" s="123">
        <f t="shared" si="0"/>
        <v>6995</v>
      </c>
      <c r="K7" s="97">
        <f t="shared" ca="1" si="1"/>
        <v>79576.645681012247</v>
      </c>
      <c r="L7" s="129">
        <f ca="1">IFERROR(MIN(0,INDEX(Sheet1!$AD$10:$AD$999,MATCH(A7,Sheet1!$N$10:$N$999,0))),0)</f>
        <v>-6717.1594046641876</v>
      </c>
      <c r="M7" s="136">
        <f ca="1">IFERROR(MAX(0,INDEX(Sheet1!$AE$10:$AE$999,MATCH(A7,Sheet1!$N$10:$N$999,0))),0)</f>
        <v>1747.7459230310401</v>
      </c>
      <c r="N7" s="111">
        <f t="shared" si="2"/>
        <v>6995</v>
      </c>
      <c r="O7" s="138">
        <f ca="1">IFERROR(MIN(0,INDEX(Sheet1!$AP$10:$AP$999,MATCH(A7,Sheet1!$N$10:$N$999,0))),0)</f>
        <v>-117.55849842355434</v>
      </c>
      <c r="P7" s="141">
        <f ca="1">IFERROR(MAX(0,INDEX(Sheet1!$AO$10:$AO$999,MATCH(A7,Sheet1!$N$10:$N$999,0))),0)</f>
        <v>0</v>
      </c>
      <c r="Q7" s="111">
        <f t="shared" si="3"/>
        <v>6995</v>
      </c>
      <c r="R7" s="140">
        <f ca="1">IFERROR(MIN(0,INDEX(Sheet1!$BK$10:$BK$999,MATCH(A7,Sheet1!$N$10:$N$999,0))),0)</f>
        <v>-5134916.5666532023</v>
      </c>
      <c r="S7" s="141">
        <f ca="1">IFERROR(MAX(0,INDEX(Sheet1!$BK$10:$BK$999,MATCH(A7,Sheet1!$N$10:$N$999,0))),0)</f>
        <v>0</v>
      </c>
      <c r="T7" s="111">
        <f t="shared" si="4"/>
        <v>6995</v>
      </c>
      <c r="AA7" s="96"/>
      <c r="AZ7" s="7">
        <v>6840</v>
      </c>
      <c r="BA7" s="7">
        <v>6840</v>
      </c>
      <c r="BB7" s="7">
        <v>6990</v>
      </c>
    </row>
    <row r="8" spans="1:57" x14ac:dyDescent="0.3">
      <c r="A8" s="44">
        <v>6990</v>
      </c>
      <c r="B8" s="154">
        <f ca="1">IFERROR(
    INDEX(
        CHOOSE(
            MATCH($C$1, {"All","Calls","Puts"}, 0),
            Sheet1!BN$10:BN$210,
            Sheet1!AR$10:AR$210,
            Sheet1!AS$10:AS$210
        ),
        MATCH($A8, Sheet1!N$10:N$210, 0)
    ),
"")</f>
        <v>9117.523282791386</v>
      </c>
      <c r="C8" s="152" t="str">
        <f>IFERROR(
    INDEX(
        CHOOSE(
            MATCH($C$1, {"All","Calls","Puts"}, 0),
            Sheet1!BN$213:BN$413,
            Sheet1!AR$213:AR$413,
            Sheet1!AS$213:AS$413
        ),
        MATCH($A8, Sheet1!N$213:N$413, 0)
    ),
"")</f>
        <v/>
      </c>
      <c r="D8" s="152" t="str">
        <f>IFERROR(
    INDEX(
        CHOOSE(
            MATCH($C$1, {"All","Calls","Puts"}, 0),
            Sheet1!BN$416:BN$616,
            Sheet1!AR$416:AR$616,
            Sheet1!AS$416:AS$616
        ),
        MATCH($A8, Sheet1!N$416:N$616, 0)
    ),
"")</f>
        <v/>
      </c>
      <c r="E8" s="152" t="str">
        <f>IFERROR(
    INDEX(
        CHOOSE(
            MATCH($C$1, {"All","Calls","Puts"}, 0),
            Sheet1!BN$619:BN$819,
            Sheet1!AR$619:AR$819,
            Sheet1!AS$619:AS$819
        ),
        MATCH($A8, Sheet1!N$619:N$819, 0)
    ),
"")</f>
        <v/>
      </c>
      <c r="F8" s="152" t="str">
        <f>IFERROR(
    INDEX(
        CHOOSE(
            MATCH($C$1, {"All","Calls","Puts"}, 0),
            Sheet1!BN$822:BN$1022,
            Sheet1!AR$822:AR$1022,
            Sheet1!AS$822:AS$1022
        ),
        MATCH($A8, Sheet1!N$822:N$1022, 0)
    ),
"")</f>
        <v/>
      </c>
      <c r="G8" s="152" t="str">
        <f>IFERROR(
    INDEX(
        CHOOSE(
            MATCH($C$1, {"All","Calls","Puts"}, 0),
            Sheet1!BN$1025:BN$1225,
            Sheet1!AR$1025:AR$1225,
            Sheet1!AS$1025:AS$1225
        ),
        MATCH($A8, Sheet1!N$1025:N$1225, 0)
    ),
"")</f>
        <v/>
      </c>
      <c r="H8" s="152" t="str">
        <f>IFERROR(
    INDEX(
        CHOOSE(
            MATCH($C$1, {"All","Calls","Puts"}, 0),
            Sheet1!BN$1228:BN$1428,
            Sheet1!AR$1228:AR$1428,
            Sheet1!AS$1228:AS$1428
        ),
        MATCH($A8, Sheet1!N$1228:N$1428, 0)
    ),
"")</f>
        <v/>
      </c>
      <c r="I8" s="152" t="str">
        <f>IFERROR(
    INDEX(
        CHOOSE(
            MATCH($C$1, {"All","Calls","Puts"}, 0),
            Sheet1!BN$1431:BN$1631,
            Sheet1!AR$1431:AR$1631,
            Sheet1!AS$1431:AS$1631
        ),
        MATCH($A8, Sheet1!N$1431:N$1631, 0)
    ),
"")</f>
        <v/>
      </c>
      <c r="J8" s="123">
        <f t="shared" si="0"/>
        <v>6990</v>
      </c>
      <c r="K8" s="97">
        <f t="shared" ca="1" si="1"/>
        <v>9117.523282791386</v>
      </c>
      <c r="L8" s="129">
        <f ca="1">IFERROR(MIN(0,INDEX(Sheet1!$AD$10:$AD$999,MATCH(A8,Sheet1!$N$10:$N$999,0))),0)</f>
        <v>-19429.322970537225</v>
      </c>
      <c r="M8" s="136">
        <f ca="1">IFERROR(MAX(0,INDEX(Sheet1!$AE$10:$AE$999,MATCH(A8,Sheet1!$N$10:$N$999,0))),0)</f>
        <v>634.19518590087944</v>
      </c>
      <c r="N8" s="111">
        <f t="shared" si="2"/>
        <v>6990</v>
      </c>
      <c r="O8" s="138">
        <f ca="1">IFERROR(MIN(0,INDEX(Sheet1!$AP$10:$AP$999,MATCH(A8,Sheet1!$N$10:$N$999,0))),0)</f>
        <v>-343.70825271733099</v>
      </c>
      <c r="P8" s="141">
        <f ca="1">IFERROR(MAX(0,INDEX(Sheet1!$AO$10:$AO$999,MATCH(A8,Sheet1!$N$10:$N$999,0))),0)</f>
        <v>0</v>
      </c>
      <c r="Q8" s="111">
        <f t="shared" si="3"/>
        <v>6990</v>
      </c>
      <c r="R8" s="140">
        <f ca="1">IFERROR(MIN(0,INDEX(Sheet1!$BK$10:$BK$999,MATCH(A8,Sheet1!$N$10:$N$999,0))),0)</f>
        <v>-3170943.3854237045</v>
      </c>
      <c r="S8" s="141">
        <f ca="1">IFERROR(MAX(0,INDEX(Sheet1!$BK$10:$BK$999,MATCH(A8,Sheet1!$N$10:$N$999,0))),0)</f>
        <v>0</v>
      </c>
      <c r="T8" s="111">
        <f t="shared" si="4"/>
        <v>6990</v>
      </c>
      <c r="AA8" s="96"/>
      <c r="AC8" s="64"/>
      <c r="AZ8" s="7">
        <v>6845</v>
      </c>
      <c r="BA8" s="7">
        <v>6845</v>
      </c>
      <c r="BB8" s="7">
        <v>6985</v>
      </c>
    </row>
    <row r="9" spans="1:57" x14ac:dyDescent="0.3">
      <c r="A9" s="44">
        <v>6985</v>
      </c>
      <c r="B9" s="177">
        <f ca="1">IFERROR(
    INDEX(
        CHOOSE(
            MATCH($C$1, {"All","Calls","Puts"}, 0),
            Sheet1!BN$10:BN$210,
            Sheet1!AR$10:AR$210,
            Sheet1!AS$10:AS$210
        ),
        MATCH($A9, Sheet1!N$10:N$210, 0)
    ),
"")</f>
        <v>137715.13329845556</v>
      </c>
      <c r="C9" s="152" t="str">
        <f>IFERROR(
    INDEX(
        CHOOSE(
            MATCH($C$1, {"All","Calls","Puts"}, 0),
            Sheet1!BN$213:BN$413,
            Sheet1!AR$213:AR$413,
            Sheet1!AS$213:AS$413
        ),
        MATCH($A9, Sheet1!N$213:N$413, 0)
    ),
"")</f>
        <v/>
      </c>
      <c r="D9" s="152" t="str">
        <f>IFERROR(
    INDEX(
        CHOOSE(
            MATCH($C$1, {"All","Calls","Puts"}, 0),
            Sheet1!BN$416:BN$616,
            Sheet1!AR$416:AR$616,
            Sheet1!AS$416:AS$616
        ),
        MATCH($A9, Sheet1!N$416:N$616, 0)
    ),
"")</f>
        <v/>
      </c>
      <c r="E9" s="152" t="str">
        <f>IFERROR(
    INDEX(
        CHOOSE(
            MATCH($C$1, {"All","Calls","Puts"}, 0),
            Sheet1!BN$619:BN$819,
            Sheet1!AR$619:AR$819,
            Sheet1!AS$619:AS$819
        ),
        MATCH($A9, Sheet1!N$619:N$819, 0)
    ),
"")</f>
        <v/>
      </c>
      <c r="F9" s="152" t="str">
        <f>IFERROR(
    INDEX(
        CHOOSE(
            MATCH($C$1, {"All","Calls","Puts"}, 0),
            Sheet1!BN$822:BN$1022,
            Sheet1!AR$822:AR$1022,
            Sheet1!AS$822:AS$1022
        ),
        MATCH($A9, Sheet1!N$822:N$1022, 0)
    ),
"")</f>
        <v/>
      </c>
      <c r="G9" s="152" t="str">
        <f>IFERROR(
    INDEX(
        CHOOSE(
            MATCH($C$1, {"All","Calls","Puts"}, 0),
            Sheet1!BN$1025:BN$1225,
            Sheet1!AR$1025:AR$1225,
            Sheet1!AS$1025:AS$1225
        ),
        MATCH($A9, Sheet1!N$1025:N$1225, 0)
    ),
"")</f>
        <v/>
      </c>
      <c r="H9" s="152" t="str">
        <f>IFERROR(
    INDEX(
        CHOOSE(
            MATCH($C$1, {"All","Calls","Puts"}, 0),
            Sheet1!BN$1228:BN$1428,
            Sheet1!AR$1228:AR$1428,
            Sheet1!AS$1228:AS$1428
        ),
        MATCH($A9, Sheet1!N$1228:N$1428, 0)
    ),
"")</f>
        <v/>
      </c>
      <c r="I9" s="152" t="str">
        <f>IFERROR(
    INDEX(
        CHOOSE(
            MATCH($C$1, {"All","Calls","Puts"}, 0),
            Sheet1!BN$1431:BN$1631,
            Sheet1!AR$1431:AR$1631,
            Sheet1!AS$1431:AS$1631
        ),
        MATCH($A9, Sheet1!N$1431:N$1631, 0)
    ),
"")</f>
        <v/>
      </c>
      <c r="J9" s="123">
        <f t="shared" si="0"/>
        <v>6985</v>
      </c>
      <c r="K9" s="97">
        <f t="shared" ca="1" si="1"/>
        <v>137715.13329845556</v>
      </c>
      <c r="L9" s="129">
        <f ca="1">IFERROR(MIN(0,INDEX(Sheet1!$AD$10:$AD$999,MATCH(A9,Sheet1!$N$10:$N$999,0))),0)</f>
        <v>-13389.001413951086</v>
      </c>
      <c r="M9" s="136">
        <f ca="1">IFERROR(MAX(0,INDEX(Sheet1!$AE$10:$AE$999,MATCH(A9,Sheet1!$N$10:$N$999,0))),0)</f>
        <v>4604.0069900342933</v>
      </c>
      <c r="N9" s="111">
        <f t="shared" si="2"/>
        <v>6985</v>
      </c>
      <c r="O9" s="138">
        <f ca="1">IFERROR(MIN(0,INDEX(Sheet1!$AP$10:$AP$999,MATCH(A9,Sheet1!$N$10:$N$999,0))),0)</f>
        <v>-237.79260522078854</v>
      </c>
      <c r="P9" s="141">
        <f ca="1">IFERROR(MAX(0,INDEX(Sheet1!$AO$10:$AO$999,MATCH(A9,Sheet1!$N$10:$N$999,0))),0)</f>
        <v>0</v>
      </c>
      <c r="Q9" s="111">
        <f t="shared" si="3"/>
        <v>6985</v>
      </c>
      <c r="R9" s="140">
        <f ca="1">IFERROR(MIN(0,INDEX(Sheet1!$BK$10:$BK$999,MATCH(A9,Sheet1!$N$10:$N$999,0))),0)</f>
        <v>-8557272.3658886869</v>
      </c>
      <c r="S9" s="141">
        <f ca="1">IFERROR(MAX(0,INDEX(Sheet1!$BK$10:$BK$999,MATCH(A9,Sheet1!$N$10:$N$999,0))),0)</f>
        <v>0</v>
      </c>
      <c r="T9" s="111">
        <f t="shared" si="4"/>
        <v>6985</v>
      </c>
      <c r="AA9" s="96"/>
      <c r="AC9" s="8"/>
      <c r="AZ9" s="7">
        <v>6850</v>
      </c>
      <c r="BA9" s="7">
        <v>6850</v>
      </c>
      <c r="BB9" s="7">
        <v>6980</v>
      </c>
    </row>
    <row r="10" spans="1:57" x14ac:dyDescent="0.3">
      <c r="A10" s="44">
        <v>6980</v>
      </c>
      <c r="B10" s="178">
        <f ca="1">IFERROR(
    INDEX(
        CHOOSE(
            MATCH($C$1, {"All","Calls","Puts"}, 0),
            Sheet1!BN$10:BN$210,
            Sheet1!AR$10:AR$210,
            Sheet1!AS$10:AS$210
        ),
        MATCH($A10, Sheet1!N$10:N$210, 0)
    ),
"")</f>
        <v>24384.647772337274</v>
      </c>
      <c r="C10" s="152" t="str">
        <f>IFERROR(
    INDEX(
        CHOOSE(
            MATCH($C$1, {"All","Calls","Puts"}, 0),
            Sheet1!BN$213:BN$413,
            Sheet1!AR$213:AR$413,
            Sheet1!AS$213:AS$413
        ),
        MATCH($A10, Sheet1!N$213:N$413, 0)
    ),
"")</f>
        <v/>
      </c>
      <c r="D10" s="152" t="str">
        <f>IFERROR(
    INDEX(
        CHOOSE(
            MATCH($C$1, {"All","Calls","Puts"}, 0),
            Sheet1!BN$416:BN$616,
            Sheet1!AR$416:AR$616,
            Sheet1!AS$416:AS$616
        ),
        MATCH($A10, Sheet1!N$416:N$616, 0)
    ),
"")</f>
        <v/>
      </c>
      <c r="E10" s="152" t="str">
        <f>IFERROR(
    INDEX(
        CHOOSE(
            MATCH($C$1, {"All","Calls","Puts"}, 0),
            Sheet1!BN$619:BN$819,
            Sheet1!AR$619:AR$819,
            Sheet1!AS$619:AS$819
        ),
        MATCH($A10, Sheet1!N$619:N$819, 0)
    ),
"")</f>
        <v/>
      </c>
      <c r="F10" s="152" t="str">
        <f>IFERROR(
    INDEX(
        CHOOSE(
            MATCH($C$1, {"All","Calls","Puts"}, 0),
            Sheet1!BN$822:BN$1022,
            Sheet1!AR$822:AR$1022,
            Sheet1!AS$822:AS$1022
        ),
        MATCH($A10, Sheet1!N$822:N$1022, 0)
    ),
"")</f>
        <v/>
      </c>
      <c r="G10" s="152" t="str">
        <f>IFERROR(
    INDEX(
        CHOOSE(
            MATCH($C$1, {"All","Calls","Puts"}, 0),
            Sheet1!BN$1025:BN$1225,
            Sheet1!AR$1025:AR$1225,
            Sheet1!AS$1025:AS$1225
        ),
        MATCH($A10, Sheet1!N$1025:N$1225, 0)
    ),
"")</f>
        <v/>
      </c>
      <c r="H10" s="152" t="str">
        <f>IFERROR(
    INDEX(
        CHOOSE(
            MATCH($C$1, {"All","Calls","Puts"}, 0),
            Sheet1!BN$1228:BN$1428,
            Sheet1!AR$1228:AR$1428,
            Sheet1!AS$1228:AS$1428
        ),
        MATCH($A10, Sheet1!N$1228:N$1428, 0)
    ),
"")</f>
        <v/>
      </c>
      <c r="I10" s="152" t="str">
        <f>IFERROR(
    INDEX(
        CHOOSE(
            MATCH($C$1, {"All","Calls","Puts"}, 0),
            Sheet1!BN$1431:BN$1631,
            Sheet1!AR$1431:AR$1631,
            Sheet1!AS$1431:AS$1631
        ),
        MATCH($A10, Sheet1!N$1431:N$1631, 0)
    ),
"")</f>
        <v/>
      </c>
      <c r="J10" s="123">
        <f t="shared" si="0"/>
        <v>6980</v>
      </c>
      <c r="K10" s="97">
        <f t="shared" ca="1" si="1"/>
        <v>24384.647772337274</v>
      </c>
      <c r="L10" s="129">
        <f ca="1">IFERROR(MIN(0,INDEX(Sheet1!$AD$10:$AD$999,MATCH(A10,Sheet1!$N$10:$N$999,0))),0)</f>
        <v>-27243.90520553273</v>
      </c>
      <c r="M10" s="136">
        <f ca="1">IFERROR(MAX(0,INDEX(Sheet1!$AE$10:$AE$999,MATCH(A10,Sheet1!$N$10:$N$999,0))),0)</f>
        <v>1704.5360476534299</v>
      </c>
      <c r="N10" s="111">
        <f t="shared" si="2"/>
        <v>6980</v>
      </c>
      <c r="O10" s="138">
        <f ca="1">IFERROR(MIN(0,INDEX(Sheet1!$AP$10:$AP$999,MATCH(A10,Sheet1!$N$10:$N$999,0))),0)</f>
        <v>-482.29177574143404</v>
      </c>
      <c r="P10" s="141">
        <f ca="1">IFERROR(MAX(0,INDEX(Sheet1!$AO$10:$AO$999,MATCH(A10,Sheet1!$N$10:$N$999,0))),0)</f>
        <v>0</v>
      </c>
      <c r="Q10" s="111">
        <f t="shared" si="3"/>
        <v>6980</v>
      </c>
      <c r="R10" s="140">
        <f ca="1">IFERROR(MIN(0,INDEX(Sheet1!$BK$10:$BK$999,MATCH(A10,Sheet1!$N$10:$N$999,0))),0)</f>
        <v>-4744837.4928641394</v>
      </c>
      <c r="S10" s="141">
        <f ca="1">IFERROR(MAX(0,INDEX(Sheet1!$BK$10:$BK$999,MATCH(A10,Sheet1!$N$10:$N$999,0))),0)</f>
        <v>0</v>
      </c>
      <c r="T10" s="111">
        <f t="shared" si="4"/>
        <v>6980</v>
      </c>
      <c r="AA10" s="96"/>
      <c r="AC10" s="8"/>
      <c r="AZ10" s="7">
        <v>6855</v>
      </c>
      <c r="BA10" s="7">
        <v>6855</v>
      </c>
      <c r="BB10" s="7">
        <v>6975</v>
      </c>
    </row>
    <row r="11" spans="1:57" x14ac:dyDescent="0.3">
      <c r="A11" s="44">
        <v>6975</v>
      </c>
      <c r="B11" s="179">
        <f ca="1">IFERROR(
    INDEX(
        CHOOSE(
            MATCH($C$1, {"All","Calls","Puts"}, 0),
            Sheet1!BN$10:BN$210,
            Sheet1!AR$10:AR$210,
            Sheet1!AS$10:AS$210
        ),
        MATCH($A11, Sheet1!N$10:N$210, 0)
    ),
"")</f>
        <v>104147.28983850995</v>
      </c>
      <c r="C11" s="152" t="str">
        <f>IFERROR(
    INDEX(
        CHOOSE(
            MATCH($C$1, {"All","Calls","Puts"}, 0),
            Sheet1!BN$213:BN$413,
            Sheet1!AR$213:AR$413,
            Sheet1!AS$213:AS$413
        ),
        MATCH($A11, Sheet1!N$213:N$413, 0)
    ),
"")</f>
        <v/>
      </c>
      <c r="D11" s="152" t="str">
        <f>IFERROR(
    INDEX(
        CHOOSE(
            MATCH($C$1, {"All","Calls","Puts"}, 0),
            Sheet1!BN$416:BN$616,
            Sheet1!AR$416:AR$616,
            Sheet1!AS$416:AS$616
        ),
        MATCH($A11, Sheet1!N$416:N$616, 0)
    ),
"")</f>
        <v/>
      </c>
      <c r="E11" s="152" t="str">
        <f>IFERROR(
    INDEX(
        CHOOSE(
            MATCH($C$1, {"All","Calls","Puts"}, 0),
            Sheet1!BN$619:BN$819,
            Sheet1!AR$619:AR$819,
            Sheet1!AS$619:AS$819
        ),
        MATCH($A11, Sheet1!N$619:N$819, 0)
    ),
"")</f>
        <v/>
      </c>
      <c r="F11" s="152" t="str">
        <f>IFERROR(
    INDEX(
        CHOOSE(
            MATCH($C$1, {"All","Calls","Puts"}, 0),
            Sheet1!BN$822:BN$1022,
            Sheet1!AR$822:AR$1022,
            Sheet1!AS$822:AS$1022
        ),
        MATCH($A11, Sheet1!N$822:N$1022, 0)
    ),
"")</f>
        <v/>
      </c>
      <c r="G11" s="152" t="str">
        <f>IFERROR(
    INDEX(
        CHOOSE(
            MATCH($C$1, {"All","Calls","Puts"}, 0),
            Sheet1!BN$1025:BN$1225,
            Sheet1!AR$1025:AR$1225,
            Sheet1!AS$1025:AS$1225
        ),
        MATCH($A11, Sheet1!N$1025:N$1225, 0)
    ),
"")</f>
        <v/>
      </c>
      <c r="H11" s="152" t="str">
        <f>IFERROR(
    INDEX(
        CHOOSE(
            MATCH($C$1, {"All","Calls","Puts"}, 0),
            Sheet1!BN$1228:BN$1428,
            Sheet1!AR$1228:AR$1428,
            Sheet1!AS$1228:AS$1428
        ),
        MATCH($A11, Sheet1!N$1228:N$1428, 0)
    ),
"")</f>
        <v/>
      </c>
      <c r="I11" s="152" t="str">
        <f>IFERROR(
    INDEX(
        CHOOSE(
            MATCH($C$1, {"All","Calls","Puts"}, 0),
            Sheet1!BN$1431:BN$1631,
            Sheet1!AR$1431:AR$1631,
            Sheet1!AS$1431:AS$1631
        ),
        MATCH($A11, Sheet1!N$1431:N$1631, 0)
    ),
"")</f>
        <v/>
      </c>
      <c r="J11" s="123">
        <f t="shared" si="0"/>
        <v>6975</v>
      </c>
      <c r="K11" s="97">
        <f t="shared" ca="1" si="1"/>
        <v>104147.28983850995</v>
      </c>
      <c r="L11" s="129">
        <f ca="1">IFERROR(MIN(0,INDEX(Sheet1!$AD$10:$AD$999,MATCH(A11,Sheet1!$N$10:$N$999,0))),0)</f>
        <v>-34841.659944407998</v>
      </c>
      <c r="M11" s="136">
        <f ca="1">IFERROR(MAX(0,INDEX(Sheet1!$AE$10:$AE$999,MATCH(A11,Sheet1!$N$10:$N$999,0))),0)</f>
        <v>7281.272821949784</v>
      </c>
      <c r="N11" s="111">
        <f t="shared" si="2"/>
        <v>6975</v>
      </c>
      <c r="O11" s="138">
        <f ca="1">IFERROR(MIN(0,INDEX(Sheet1!$AP$10:$AP$999,MATCH(A11,Sheet1!$N$10:$N$999,0))),0)</f>
        <v>-614.01341262529559</v>
      </c>
      <c r="P11" s="141">
        <f ca="1">IFERROR(MAX(0,INDEX(Sheet1!$AO$10:$AO$999,MATCH(A11,Sheet1!$N$10:$N$999,0))),0)</f>
        <v>0</v>
      </c>
      <c r="Q11" s="111">
        <f t="shared" si="3"/>
        <v>6975</v>
      </c>
      <c r="R11" s="140">
        <f ca="1">IFERROR(MIN(0,INDEX(Sheet1!$BK$10:$BK$999,MATCH(A11,Sheet1!$N$10:$N$999,0))),0)</f>
        <v>-9205990.7287986744</v>
      </c>
      <c r="S11" s="141">
        <f ca="1">IFERROR(MAX(0,INDEX(Sheet1!$BK$10:$BK$999,MATCH(A11,Sheet1!$N$10:$N$999,0))),0)</f>
        <v>0</v>
      </c>
      <c r="T11" s="111">
        <f t="shared" si="4"/>
        <v>6975</v>
      </c>
      <c r="AA11" s="96"/>
      <c r="AZ11" s="7">
        <v>6860</v>
      </c>
      <c r="BA11" s="7">
        <v>6860</v>
      </c>
      <c r="BB11" s="7">
        <v>6970</v>
      </c>
    </row>
    <row r="12" spans="1:57" x14ac:dyDescent="0.3">
      <c r="A12" s="44">
        <v>6970</v>
      </c>
      <c r="B12" s="180">
        <f ca="1">IFERROR(
    INDEX(
        CHOOSE(
            MATCH($C$1, {"All","Calls","Puts"}, 0),
            Sheet1!BN$10:BN$210,
            Sheet1!AR$10:AR$210,
            Sheet1!AS$10:AS$210
        ),
        MATCH($A12, Sheet1!N$10:N$210, 0)
    ),
"")</f>
        <v>38700.288438359566</v>
      </c>
      <c r="C12" s="152" t="str">
        <f>IFERROR(
    INDEX(
        CHOOSE(
            MATCH($C$1, {"All","Calls","Puts"}, 0),
            Sheet1!BN$213:BN$413,
            Sheet1!AR$213:AR$413,
            Sheet1!AS$213:AS$413
        ),
        MATCH($A12, Sheet1!N$213:N$413, 0)
    ),
"")</f>
        <v/>
      </c>
      <c r="D12" s="152" t="str">
        <f>IFERROR(
    INDEX(
        CHOOSE(
            MATCH($C$1, {"All","Calls","Puts"}, 0),
            Sheet1!BN$416:BN$616,
            Sheet1!AR$416:AR$616,
            Sheet1!AS$416:AS$616
        ),
        MATCH($A12, Sheet1!N$416:N$616, 0)
    ),
"")</f>
        <v/>
      </c>
      <c r="E12" s="152" t="str">
        <f>IFERROR(
    INDEX(
        CHOOSE(
            MATCH($C$1, {"All","Calls","Puts"}, 0),
            Sheet1!BN$619:BN$819,
            Sheet1!AR$619:AR$819,
            Sheet1!AS$619:AS$819
        ),
        MATCH($A12, Sheet1!N$619:N$819, 0)
    ),
"")</f>
        <v/>
      </c>
      <c r="F12" s="152" t="str">
        <f>IFERROR(
    INDEX(
        CHOOSE(
            MATCH($C$1, {"All","Calls","Puts"}, 0),
            Sheet1!BN$822:BN$1022,
            Sheet1!AR$822:AR$1022,
            Sheet1!AS$822:AS$1022
        ),
        MATCH($A12, Sheet1!N$822:N$1022, 0)
    ),
"")</f>
        <v/>
      </c>
      <c r="G12" s="152" t="str">
        <f>IFERROR(
    INDEX(
        CHOOSE(
            MATCH($C$1, {"All","Calls","Puts"}, 0),
            Sheet1!BN$1025:BN$1225,
            Sheet1!AR$1025:AR$1225,
            Sheet1!AS$1025:AS$1225
        ),
        MATCH($A12, Sheet1!N$1025:N$1225, 0)
    ),
"")</f>
        <v/>
      </c>
      <c r="H12" s="152" t="str">
        <f>IFERROR(
    INDEX(
        CHOOSE(
            MATCH($C$1, {"All","Calls","Puts"}, 0),
            Sheet1!BN$1228:BN$1428,
            Sheet1!AR$1228:AR$1428,
            Sheet1!AS$1228:AS$1428
        ),
        MATCH($A12, Sheet1!N$1228:N$1428, 0)
    ),
"")</f>
        <v/>
      </c>
      <c r="I12" s="152" t="str">
        <f>IFERROR(
    INDEX(
        CHOOSE(
            MATCH($C$1, {"All","Calls","Puts"}, 0),
            Sheet1!BN$1431:BN$1631,
            Sheet1!AR$1431:AR$1631,
            Sheet1!AS$1431:AS$1631
        ),
        MATCH($A12, Sheet1!N$1431:N$1631, 0)
    ),
"")</f>
        <v/>
      </c>
      <c r="J12" s="123">
        <f t="shared" si="0"/>
        <v>6970</v>
      </c>
      <c r="K12" s="97">
        <f t="shared" ca="1" si="1"/>
        <v>38700.288438359566</v>
      </c>
      <c r="L12" s="129">
        <f ca="1">IFERROR(MIN(0,INDEX(Sheet1!$AD$10:$AD$999,MATCH(A12,Sheet1!$N$10:$N$999,0))),0)</f>
        <v>-24098.013396930401</v>
      </c>
      <c r="M12" s="136">
        <f ca="1">IFERROR(MAX(0,INDEX(Sheet1!$AE$10:$AE$999,MATCH(A12,Sheet1!$N$10:$N$999,0))),0)</f>
        <v>4085.2865792477005</v>
      </c>
      <c r="N12" s="111">
        <f t="shared" si="2"/>
        <v>6970</v>
      </c>
      <c r="O12" s="138">
        <f ca="1">IFERROR(MIN(0,INDEX(Sheet1!$AP$10:$AP$999,MATCH(A12,Sheet1!$N$10:$N$999,0))),0)</f>
        <v>-411.29490952063986</v>
      </c>
      <c r="P12" s="141">
        <f ca="1">IFERROR(MAX(0,INDEX(Sheet1!$AO$10:$AO$999,MATCH(A12,Sheet1!$N$10:$N$999,0))),0)</f>
        <v>0</v>
      </c>
      <c r="Q12" s="111">
        <f t="shared" si="3"/>
        <v>6970</v>
      </c>
      <c r="R12" s="140">
        <f ca="1">IFERROR(MIN(0,INDEX(Sheet1!$BK$10:$BK$999,MATCH(A12,Sheet1!$N$10:$N$999,0))),0)</f>
        <v>-4699424.6030531405</v>
      </c>
      <c r="S12" s="141">
        <f ca="1">IFERROR(MAX(0,INDEX(Sheet1!$BK$10:$BK$999,MATCH(A12,Sheet1!$N$10:$N$999,0))),0)</f>
        <v>0</v>
      </c>
      <c r="T12" s="111">
        <f t="shared" si="4"/>
        <v>6970</v>
      </c>
      <c r="AA12" s="96"/>
      <c r="AZ12" s="7">
        <v>6865</v>
      </c>
      <c r="BA12" s="7">
        <v>6865</v>
      </c>
      <c r="BB12" s="7">
        <v>6965</v>
      </c>
    </row>
    <row r="13" spans="1:57" x14ac:dyDescent="0.3">
      <c r="A13" s="44">
        <v>6965</v>
      </c>
      <c r="B13" s="181">
        <f ca="1">IFERROR(
    INDEX(
        CHOOSE(
            MATCH($C$1, {"All","Calls","Puts"}, 0),
            Sheet1!BN$10:BN$210,
            Sheet1!AR$10:AR$210,
            Sheet1!AS$10:AS$210
        ),
        MATCH($A13, Sheet1!N$10:N$210, 0)
    ),
"")</f>
        <v>45040.593343138207</v>
      </c>
      <c r="C13" s="152" t="str">
        <f>IFERROR(
    INDEX(
        CHOOSE(
            MATCH($C$1, {"All","Calls","Puts"}, 0),
            Sheet1!BN$213:BN$413,
            Sheet1!AR$213:AR$413,
            Sheet1!AS$213:AS$413
        ),
        MATCH($A13, Sheet1!N$213:N$413, 0)
    ),
"")</f>
        <v/>
      </c>
      <c r="D13" s="152" t="str">
        <f>IFERROR(
    INDEX(
        CHOOSE(
            MATCH($C$1, {"All","Calls","Puts"}, 0),
            Sheet1!BN$416:BN$616,
            Sheet1!AR$416:AR$616,
            Sheet1!AS$416:AS$616
        ),
        MATCH($A13, Sheet1!N$416:N$616, 0)
    ),
"")</f>
        <v/>
      </c>
      <c r="E13" s="152" t="str">
        <f>IFERROR(
    INDEX(
        CHOOSE(
            MATCH($C$1, {"All","Calls","Puts"}, 0),
            Sheet1!BN$619:BN$819,
            Sheet1!AR$619:AR$819,
            Sheet1!AS$619:AS$819
        ),
        MATCH($A13, Sheet1!N$619:N$819, 0)
    ),
"")</f>
        <v/>
      </c>
      <c r="F13" s="152" t="str">
        <f>IFERROR(
    INDEX(
        CHOOSE(
            MATCH($C$1, {"All","Calls","Puts"}, 0),
            Sheet1!BN$822:BN$1022,
            Sheet1!AR$822:AR$1022,
            Sheet1!AS$822:AS$1022
        ),
        MATCH($A13, Sheet1!N$822:N$1022, 0)
    ),
"")</f>
        <v/>
      </c>
      <c r="G13" s="152" t="str">
        <f>IFERROR(
    INDEX(
        CHOOSE(
            MATCH($C$1, {"All","Calls","Puts"}, 0),
            Sheet1!BN$1025:BN$1225,
            Sheet1!AR$1025:AR$1225,
            Sheet1!AS$1025:AS$1225
        ),
        MATCH($A13, Sheet1!N$1025:N$1225, 0)
    ),
"")</f>
        <v/>
      </c>
      <c r="H13" s="152" t="str">
        <f>IFERROR(
    INDEX(
        CHOOSE(
            MATCH($C$1, {"All","Calls","Puts"}, 0),
            Sheet1!BN$1228:BN$1428,
            Sheet1!AR$1228:AR$1428,
            Sheet1!AS$1228:AS$1428
        ),
        MATCH($A13, Sheet1!N$1228:N$1428, 0)
    ),
"")</f>
        <v/>
      </c>
      <c r="I13" s="152" t="str">
        <f>IFERROR(
    INDEX(
        CHOOSE(
            MATCH($C$1, {"All","Calls","Puts"}, 0),
            Sheet1!BN$1431:BN$1631,
            Sheet1!AR$1431:AR$1631,
            Sheet1!AS$1431:AS$1631
        ),
        MATCH($A13, Sheet1!N$1431:N$1631, 0)
    ),
"")</f>
        <v/>
      </c>
      <c r="J13" s="123">
        <f t="shared" si="0"/>
        <v>6965</v>
      </c>
      <c r="K13" s="97">
        <f t="shared" ca="1" si="1"/>
        <v>45040.593343138207</v>
      </c>
      <c r="L13" s="129">
        <f ca="1">IFERROR(MIN(0,INDEX(Sheet1!$AD$10:$AD$999,MATCH(A13,Sheet1!$N$10:$N$999,0))),0)</f>
        <v>-26468.82750444315</v>
      </c>
      <c r="M13" s="136">
        <f ca="1">IFERROR(MAX(0,INDEX(Sheet1!$AE$10:$AE$999,MATCH(A13,Sheet1!$N$10:$N$999,0))),0)</f>
        <v>6217.4526530750718</v>
      </c>
      <c r="N13" s="111">
        <f t="shared" si="2"/>
        <v>6965</v>
      </c>
      <c r="O13" s="138">
        <f ca="1">IFERROR(MIN(0,INDEX(Sheet1!$AP$10:$AP$999,MATCH(A13,Sheet1!$N$10:$N$999,0))),0)</f>
        <v>-441.86170784635686</v>
      </c>
      <c r="P13" s="141">
        <f ca="1">IFERROR(MAX(0,INDEX(Sheet1!$AO$10:$AO$999,MATCH(A13,Sheet1!$N$10:$N$999,0))),0)</f>
        <v>0</v>
      </c>
      <c r="Q13" s="111">
        <f t="shared" si="3"/>
        <v>6965</v>
      </c>
      <c r="R13" s="140">
        <f ca="1">IFERROR(MIN(0,INDEX(Sheet1!$BK$10:$BK$999,MATCH(A13,Sheet1!$N$10:$N$999,0))),0)</f>
        <v>-5097568.3061326891</v>
      </c>
      <c r="S13" s="141">
        <f ca="1">IFERROR(MAX(0,INDEX(Sheet1!$BK$10:$BK$999,MATCH(A13,Sheet1!$N$10:$N$999,0))),0)</f>
        <v>0</v>
      </c>
      <c r="T13" s="111">
        <f t="shared" si="4"/>
        <v>6965</v>
      </c>
      <c r="AA13" s="96"/>
      <c r="AZ13" s="7">
        <v>6870</v>
      </c>
      <c r="BA13" s="7">
        <v>6870</v>
      </c>
      <c r="BB13" s="7">
        <v>6960</v>
      </c>
    </row>
    <row r="14" spans="1:57" x14ac:dyDescent="0.3">
      <c r="A14" s="44">
        <v>6960</v>
      </c>
      <c r="B14" s="163">
        <f ca="1">IFERROR(
    INDEX(
        CHOOSE(
            MATCH($C$1, {"All","Calls","Puts"}, 0),
            Sheet1!BN$10:BN$210,
            Sheet1!AR$10:AR$210,
            Sheet1!AS$10:AS$210
        ),
        MATCH($A14, Sheet1!N$10:N$210, 0)
    ),
"")</f>
        <v>-52374.033031225466</v>
      </c>
      <c r="C14" s="152" t="str">
        <f>IFERROR(
    INDEX(
        CHOOSE(
            MATCH($C$1, {"All","Calls","Puts"}, 0),
            Sheet1!BN$213:BN$413,
            Sheet1!AR$213:AR$413,
            Sheet1!AS$213:AS$413
        ),
        MATCH($A14, Sheet1!N$213:N$413, 0)
    ),
"")</f>
        <v/>
      </c>
      <c r="D14" s="152" t="str">
        <f>IFERROR(
    INDEX(
        CHOOSE(
            MATCH($C$1, {"All","Calls","Puts"}, 0),
            Sheet1!BN$416:BN$616,
            Sheet1!AR$416:AR$616,
            Sheet1!AS$416:AS$616
        ),
        MATCH($A14, Sheet1!N$416:N$616, 0)
    ),
"")</f>
        <v/>
      </c>
      <c r="E14" s="152" t="str">
        <f>IFERROR(
    INDEX(
        CHOOSE(
            MATCH($C$1, {"All","Calls","Puts"}, 0),
            Sheet1!BN$619:BN$819,
            Sheet1!AR$619:AR$819,
            Sheet1!AS$619:AS$819
        ),
        MATCH($A14, Sheet1!N$619:N$819, 0)
    ),
"")</f>
        <v/>
      </c>
      <c r="F14" s="152" t="str">
        <f>IFERROR(
    INDEX(
        CHOOSE(
            MATCH($C$1, {"All","Calls","Puts"}, 0),
            Sheet1!BN$822:BN$1022,
            Sheet1!AR$822:AR$1022,
            Sheet1!AS$822:AS$1022
        ),
        MATCH($A14, Sheet1!N$822:N$1022, 0)
    ),
"")</f>
        <v/>
      </c>
      <c r="G14" s="152" t="str">
        <f>IFERROR(
    INDEX(
        CHOOSE(
            MATCH($C$1, {"All","Calls","Puts"}, 0),
            Sheet1!BN$1025:BN$1225,
            Sheet1!AR$1025:AR$1225,
            Sheet1!AS$1025:AS$1225
        ),
        MATCH($A14, Sheet1!N$1025:N$1225, 0)
    ),
"")</f>
        <v/>
      </c>
      <c r="H14" s="152" t="str">
        <f>IFERROR(
    INDEX(
        CHOOSE(
            MATCH($C$1, {"All","Calls","Puts"}, 0),
            Sheet1!BN$1228:BN$1428,
            Sheet1!AR$1228:AR$1428,
            Sheet1!AS$1228:AS$1428
        ),
        MATCH($A14, Sheet1!N$1228:N$1428, 0)
    ),
"")</f>
        <v/>
      </c>
      <c r="I14" s="152" t="str">
        <f>IFERROR(
    INDEX(
        CHOOSE(
            MATCH($C$1, {"All","Calls","Puts"}, 0),
            Sheet1!BN$1431:BN$1631,
            Sheet1!AR$1431:AR$1631,
            Sheet1!AS$1431:AS$1631
        ),
        MATCH($A14, Sheet1!N$1431:N$1631, 0)
    ),
"")</f>
        <v/>
      </c>
      <c r="J14" s="123">
        <f t="shared" si="0"/>
        <v>6960</v>
      </c>
      <c r="K14" s="97">
        <f t="shared" ca="1" si="1"/>
        <v>-52374.033031225466</v>
      </c>
      <c r="L14" s="129">
        <f ca="1">IFERROR(MIN(0,INDEX(Sheet1!$AD$10:$AD$999,MATCH(A14,Sheet1!$N$10:$N$999,0))),0)</f>
        <v>-121463.02437026451</v>
      </c>
      <c r="M14" s="136">
        <f ca="1">IFERROR(MAX(0,INDEX(Sheet1!$AE$10:$AE$999,MATCH(A14,Sheet1!$N$10:$N$999,0))),0)</f>
        <v>10137.663072860303</v>
      </c>
      <c r="N14" s="111">
        <f t="shared" si="2"/>
        <v>6960</v>
      </c>
      <c r="O14" s="138">
        <f ca="1">IFERROR(MIN(0,INDEX(Sheet1!$AP$10:$AP$999,MATCH(A14,Sheet1!$N$10:$N$999,0))),0)</f>
        <v>-1925.4875319267242</v>
      </c>
      <c r="P14" s="141">
        <f ca="1">IFERROR(MAX(0,INDEX(Sheet1!$AO$10:$AO$999,MATCH(A14,Sheet1!$N$10:$N$999,0))),0)</f>
        <v>0</v>
      </c>
      <c r="Q14" s="111">
        <f t="shared" si="3"/>
        <v>6960</v>
      </c>
      <c r="R14" s="140">
        <f ca="1">IFERROR(MIN(0,INDEX(Sheet1!$BK$10:$BK$999,MATCH(A14,Sheet1!$N$10:$N$999,0))),0)</f>
        <v>-11962173.035077384</v>
      </c>
      <c r="S14" s="141">
        <f ca="1">IFERROR(MAX(0,INDEX(Sheet1!$BK$10:$BK$999,MATCH(A14,Sheet1!$N$10:$N$999,0))),0)</f>
        <v>0</v>
      </c>
      <c r="T14" s="111">
        <f t="shared" si="4"/>
        <v>6960</v>
      </c>
      <c r="AA14" s="96"/>
      <c r="AZ14" s="7">
        <v>6875</v>
      </c>
      <c r="BA14" s="7">
        <v>6875</v>
      </c>
      <c r="BB14" s="7">
        <v>6955</v>
      </c>
    </row>
    <row r="15" spans="1:57" ht="19.5" thickBot="1" x14ac:dyDescent="0.35">
      <c r="A15" s="44">
        <v>6955</v>
      </c>
      <c r="B15" s="175">
        <f ca="1">IFERROR(
    INDEX(
        CHOOSE(
            MATCH($C$1, {"All","Calls","Puts"}, 0),
            Sheet1!BN$10:BN$210,
            Sheet1!AR$10:AR$210,
            Sheet1!AS$10:AS$210
        ),
        MATCH($A15, Sheet1!N$10:N$210, 0)
    ),
"")</f>
        <v>42483.05974494329</v>
      </c>
      <c r="C15" s="152" t="str">
        <f>IFERROR(
    INDEX(
        CHOOSE(
            MATCH($C$1, {"All","Calls","Puts"}, 0),
            Sheet1!BN$213:BN$413,
            Sheet1!AR$213:AR$413,
            Sheet1!AS$213:AS$413
        ),
        MATCH($A15, Sheet1!N$213:N$413, 0)
    ),
"")</f>
        <v/>
      </c>
      <c r="D15" s="152" t="str">
        <f>IFERROR(
    INDEX(
        CHOOSE(
            MATCH($C$1, {"All","Calls","Puts"}, 0),
            Sheet1!BN$416:BN$616,
            Sheet1!AR$416:AR$616,
            Sheet1!AS$416:AS$616
        ),
        MATCH($A15, Sheet1!N$416:N$616, 0)
    ),
"")</f>
        <v/>
      </c>
      <c r="E15" s="152" t="str">
        <f>IFERROR(
    INDEX(
        CHOOSE(
            MATCH($C$1, {"All","Calls","Puts"}, 0),
            Sheet1!BN$619:BN$819,
            Sheet1!AR$619:AR$819,
            Sheet1!AS$619:AS$819
        ),
        MATCH($A15, Sheet1!N$619:N$819, 0)
    ),
"")</f>
        <v/>
      </c>
      <c r="F15" s="152" t="str">
        <f>IFERROR(
    INDEX(
        CHOOSE(
            MATCH($C$1, {"All","Calls","Puts"}, 0),
            Sheet1!BN$822:BN$1022,
            Sheet1!AR$822:AR$1022,
            Sheet1!AS$822:AS$1022
        ),
        MATCH($A15, Sheet1!N$822:N$1022, 0)
    ),
"")</f>
        <v/>
      </c>
      <c r="G15" s="152" t="str">
        <f>IFERROR(
    INDEX(
        CHOOSE(
            MATCH($C$1, {"All","Calls","Puts"}, 0),
            Sheet1!BN$1025:BN$1225,
            Sheet1!AR$1025:AR$1225,
            Sheet1!AS$1025:AS$1225
        ),
        MATCH($A15, Sheet1!N$1025:N$1225, 0)
    ),
"")</f>
        <v/>
      </c>
      <c r="H15" s="152" t="str">
        <f>IFERROR(
    INDEX(
        CHOOSE(
            MATCH($C$1, {"All","Calls","Puts"}, 0),
            Sheet1!BN$1228:BN$1428,
            Sheet1!AR$1228:AR$1428,
            Sheet1!AS$1228:AS$1428
        ),
        MATCH($A15, Sheet1!N$1228:N$1428, 0)
    ),
"")</f>
        <v/>
      </c>
      <c r="I15" s="152" t="str">
        <f>IFERROR(
    INDEX(
        CHOOSE(
            MATCH($C$1, {"All","Calls","Puts"}, 0),
            Sheet1!BN$1431:BN$1631,
            Sheet1!AR$1431:AR$1631,
            Sheet1!AS$1431:AS$1631
        ),
        MATCH($A15, Sheet1!N$1431:N$1631, 0)
    ),
"")</f>
        <v/>
      </c>
      <c r="J15" s="123">
        <f t="shared" si="0"/>
        <v>6955</v>
      </c>
      <c r="K15" s="97">
        <f t="shared" ca="1" si="1"/>
        <v>42483.05974494329</v>
      </c>
      <c r="L15" s="129">
        <f ca="1">IFERROR(MIN(0,INDEX(Sheet1!$AD$10:$AD$999,MATCH(A15,Sheet1!$N$10:$N$999,0))),0)</f>
        <v>-33152.787211428789</v>
      </c>
      <c r="M15" s="136">
        <f ca="1">IFERROR(MAX(0,INDEX(Sheet1!$AE$10:$AE$999,MATCH(A15,Sheet1!$N$10:$N$999,0))),0)</f>
        <v>11120.021581759176</v>
      </c>
      <c r="N15" s="111">
        <f t="shared" si="2"/>
        <v>6955</v>
      </c>
      <c r="O15" s="138">
        <f ca="1">IFERROR(MIN(0,INDEX(Sheet1!$AP$10:$AP$999,MATCH(A15,Sheet1!$N$10:$N$999,0))),0)</f>
        <v>-489.77647902008835</v>
      </c>
      <c r="P15" s="141">
        <f ca="1">IFERROR(MAX(0,INDEX(Sheet1!$AO$10:$AO$999,MATCH(A15,Sheet1!$N$10:$N$999,0))),0)</f>
        <v>0</v>
      </c>
      <c r="Q15" s="111">
        <f t="shared" si="3"/>
        <v>6955</v>
      </c>
      <c r="R15" s="140">
        <f ca="1">IFERROR(MIN(0,INDEX(Sheet1!$BK$10:$BK$999,MATCH(A15,Sheet1!$N$10:$N$999,0))),0)</f>
        <v>-5432378.7488956749</v>
      </c>
      <c r="S15" s="141">
        <f ca="1">IFERROR(MAX(0,INDEX(Sheet1!$BK$10:$BK$999,MATCH(A15,Sheet1!$N$10:$N$999,0))),0)</f>
        <v>0</v>
      </c>
      <c r="T15" s="111">
        <f t="shared" si="4"/>
        <v>6955</v>
      </c>
      <c r="AA15" s="96"/>
      <c r="AZ15" s="7">
        <v>6880</v>
      </c>
      <c r="BA15" s="7">
        <v>6880</v>
      </c>
      <c r="BB15" s="7">
        <v>6950</v>
      </c>
    </row>
    <row r="16" spans="1:57" ht="19.5" thickBot="1" x14ac:dyDescent="0.35">
      <c r="A16" s="44">
        <v>6950</v>
      </c>
      <c r="B16" s="151">
        <f ca="1">IFERROR(
    INDEX(
        CHOOSE(
            MATCH($C$1, {"All","Calls","Puts"}, 0),
            Sheet1!BN$10:BN$210,
            Sheet1!AR$10:AR$210,
            Sheet1!AS$10:AS$210
        ),
        MATCH($A16, Sheet1!N$10:N$210, 0)
    ),
"")</f>
        <v>173867.40890583955</v>
      </c>
      <c r="C16" s="152" t="str">
        <f>IFERROR(
    INDEX(
        CHOOSE(
            MATCH($C$1, {"All","Calls","Puts"}, 0),
            Sheet1!BN$213:BN$413,
            Sheet1!AR$213:AR$413,
            Sheet1!AS$213:AS$413
        ),
        MATCH($A16, Sheet1!N$213:N$413, 0)
    ),
"")</f>
        <v/>
      </c>
      <c r="D16" s="152" t="str">
        <f>IFERROR(
    INDEX(
        CHOOSE(
            MATCH($C$1, {"All","Calls","Puts"}, 0),
            Sheet1!BN$416:BN$616,
            Sheet1!AR$416:AR$616,
            Sheet1!AS$416:AS$616
        ),
        MATCH($A16, Sheet1!N$416:N$616, 0)
    ),
"")</f>
        <v/>
      </c>
      <c r="E16" s="152" t="str">
        <f>IFERROR(
    INDEX(
        CHOOSE(
            MATCH($C$1, {"All","Calls","Puts"}, 0),
            Sheet1!BN$619:BN$819,
            Sheet1!AR$619:AR$819,
            Sheet1!AS$619:AS$819
        ),
        MATCH($A16, Sheet1!N$619:N$819, 0)
    ),
"")</f>
        <v/>
      </c>
      <c r="F16" s="152" t="str">
        <f>IFERROR(
    INDEX(
        CHOOSE(
            MATCH($C$1, {"All","Calls","Puts"}, 0),
            Sheet1!BN$822:BN$1022,
            Sheet1!AR$822:AR$1022,
            Sheet1!AS$822:AS$1022
        ),
        MATCH($A16, Sheet1!N$822:N$1022, 0)
    ),
"")</f>
        <v/>
      </c>
      <c r="G16" s="152" t="str">
        <f>IFERROR(
    INDEX(
        CHOOSE(
            MATCH($C$1, {"All","Calls","Puts"}, 0),
            Sheet1!BN$1025:BN$1225,
            Sheet1!AR$1025:AR$1225,
            Sheet1!AS$1025:AS$1225
        ),
        MATCH($A16, Sheet1!N$1025:N$1225, 0)
    ),
"")</f>
        <v/>
      </c>
      <c r="H16" s="152" t="str">
        <f>IFERROR(
    INDEX(
        CHOOSE(
            MATCH($C$1, {"All","Calls","Puts"}, 0),
            Sheet1!BN$1228:BN$1428,
            Sheet1!AR$1228:AR$1428,
            Sheet1!AS$1228:AS$1428
        ),
        MATCH($A16, Sheet1!N$1228:N$1428, 0)
    ),
"")</f>
        <v/>
      </c>
      <c r="I16" s="152" t="str">
        <f>IFERROR(
    INDEX(
        CHOOSE(
            MATCH($C$1, {"All","Calls","Puts"}, 0),
            Sheet1!BN$1431:BN$1631,
            Sheet1!AR$1431:AR$1631,
            Sheet1!AS$1431:AS$1631
        ),
        MATCH($A16, Sheet1!N$1431:N$1631, 0)
    ),
"")</f>
        <v/>
      </c>
      <c r="J16" s="123">
        <f t="shared" si="0"/>
        <v>6950</v>
      </c>
      <c r="K16" s="97">
        <f t="shared" ca="1" si="1"/>
        <v>173867.40890583955</v>
      </c>
      <c r="L16" s="129">
        <f ca="1">IFERROR(MIN(0,INDEX(Sheet1!$AD$10:$AD$999,MATCH(A16,Sheet1!$N$10:$N$999,0))),0)</f>
        <v>-326327.95425113541</v>
      </c>
      <c r="M16" s="136">
        <f ca="1">IFERROR(MAX(0,INDEX(Sheet1!$AE$10:$AE$999,MATCH(A16,Sheet1!$N$10:$N$999,0))),0)</f>
        <v>97435.415665176552</v>
      </c>
      <c r="N16" s="111">
        <f t="shared" si="2"/>
        <v>6950</v>
      </c>
      <c r="O16" s="138">
        <f ca="1">IFERROR(MIN(0,INDEX(Sheet1!$AP$10:$AP$999,MATCH(A16,Sheet1!$N$10:$N$999,0))),0)</f>
        <v>-4367.5265307549416</v>
      </c>
      <c r="P16" s="141">
        <f ca="1">IFERROR(MAX(0,INDEX(Sheet1!$AO$10:$AO$999,MATCH(A16,Sheet1!$N$10:$N$999,0))),0)</f>
        <v>0</v>
      </c>
      <c r="Q16" s="111">
        <f t="shared" si="3"/>
        <v>6950</v>
      </c>
      <c r="R16" s="140">
        <f ca="1">IFERROR(MIN(0,INDEX(Sheet1!$BK$10:$BK$999,MATCH(A16,Sheet1!$N$10:$N$999,0))),0)</f>
        <v>-42378436.271217369</v>
      </c>
      <c r="S16" s="141">
        <f ca="1">IFERROR(MAX(0,INDEX(Sheet1!$BK$10:$BK$999,MATCH(A16,Sheet1!$N$10:$N$999,0))),0)</f>
        <v>0</v>
      </c>
      <c r="T16" s="111">
        <f t="shared" si="4"/>
        <v>6950</v>
      </c>
      <c r="AA16" s="96"/>
      <c r="AZ16" s="7">
        <v>6885</v>
      </c>
      <c r="BA16" s="7">
        <v>6885</v>
      </c>
      <c r="BB16" s="7">
        <v>6945</v>
      </c>
    </row>
    <row r="17" spans="1:54" x14ac:dyDescent="0.3">
      <c r="A17" s="44">
        <v>6945</v>
      </c>
      <c r="B17" s="182">
        <f ca="1">IFERROR(
    INDEX(
        CHOOSE(
            MATCH($C$1, {"All","Calls","Puts"}, 0),
            Sheet1!BN$10:BN$210,
            Sheet1!AR$10:AR$210,
            Sheet1!AS$10:AS$210
        ),
        MATCH($A17, Sheet1!N$10:N$210, 0)
    ),
"")</f>
        <v>133467.88139999253</v>
      </c>
      <c r="C17" s="152" t="str">
        <f>IFERROR(
    INDEX(
        CHOOSE(
            MATCH($C$1, {"All","Calls","Puts"}, 0),
            Sheet1!BN$213:BN$413,
            Sheet1!AR$213:AR$413,
            Sheet1!AS$213:AS$413
        ),
        MATCH($A17, Sheet1!N$213:N$413, 0)
    ),
"")</f>
        <v/>
      </c>
      <c r="D17" s="152" t="str">
        <f>IFERROR(
    INDEX(
        CHOOSE(
            MATCH($C$1, {"All","Calls","Puts"}, 0),
            Sheet1!BN$416:BN$616,
            Sheet1!AR$416:AR$616,
            Sheet1!AS$416:AS$616
        ),
        MATCH($A17, Sheet1!N$416:N$616, 0)
    ),
"")</f>
        <v/>
      </c>
      <c r="E17" s="152" t="str">
        <f>IFERROR(
    INDEX(
        CHOOSE(
            MATCH($C$1, {"All","Calls","Puts"}, 0),
            Sheet1!BN$619:BN$819,
            Sheet1!AR$619:AR$819,
            Sheet1!AS$619:AS$819
        ),
        MATCH($A17, Sheet1!N$619:N$819, 0)
    ),
"")</f>
        <v/>
      </c>
      <c r="F17" s="152" t="str">
        <f>IFERROR(
    INDEX(
        CHOOSE(
            MATCH($C$1, {"All","Calls","Puts"}, 0),
            Sheet1!BN$822:BN$1022,
            Sheet1!AR$822:AR$1022,
            Sheet1!AS$822:AS$1022
        ),
        MATCH($A17, Sheet1!N$822:N$1022, 0)
    ),
"")</f>
        <v/>
      </c>
      <c r="G17" s="152" t="str">
        <f>IFERROR(
    INDEX(
        CHOOSE(
            MATCH($C$1, {"All","Calls","Puts"}, 0),
            Sheet1!BN$1025:BN$1225,
            Sheet1!AR$1025:AR$1225,
            Sheet1!AS$1025:AS$1225
        ),
        MATCH($A17, Sheet1!N$1025:N$1225, 0)
    ),
"")</f>
        <v/>
      </c>
      <c r="H17" s="152" t="str">
        <f>IFERROR(
    INDEX(
        CHOOSE(
            MATCH($C$1, {"All","Calls","Puts"}, 0),
            Sheet1!BN$1228:BN$1428,
            Sheet1!AR$1228:AR$1428,
            Sheet1!AS$1228:AS$1428
        ),
        MATCH($A17, Sheet1!N$1228:N$1428, 0)
    ),
"")</f>
        <v/>
      </c>
      <c r="I17" s="152" t="str">
        <f>IFERROR(
    INDEX(
        CHOOSE(
            MATCH($C$1, {"All","Calls","Puts"}, 0),
            Sheet1!BN$1431:BN$1631,
            Sheet1!AR$1431:AR$1631,
            Sheet1!AS$1431:AS$1631
        ),
        MATCH($A17, Sheet1!N$1431:N$1631, 0)
    ),
"")</f>
        <v/>
      </c>
      <c r="J17" s="123">
        <f t="shared" si="0"/>
        <v>6945</v>
      </c>
      <c r="K17" s="97">
        <f t="shared" ca="1" si="1"/>
        <v>133467.88139999253</v>
      </c>
      <c r="L17" s="129">
        <f ca="1">IFERROR(MIN(0,INDEX(Sheet1!$AD$10:$AD$999,MATCH(A17,Sheet1!$N$10:$N$999,0))),0)</f>
        <v>-44120.456395890011</v>
      </c>
      <c r="M17" s="136">
        <f ca="1">IFERROR(MAX(0,INDEX(Sheet1!$AE$10:$AE$999,MATCH(A17,Sheet1!$N$10:$N$999,0))),0)</f>
        <v>38781.372552845089</v>
      </c>
      <c r="N17" s="111">
        <f t="shared" si="2"/>
        <v>6945</v>
      </c>
      <c r="O17" s="138">
        <f ca="1">IFERROR(MIN(0,INDEX(Sheet1!$AP$10:$AP$999,MATCH(A17,Sheet1!$N$10:$N$999,0))),0)</f>
        <v>-514.01196019589645</v>
      </c>
      <c r="P17" s="141">
        <f ca="1">IFERROR(MAX(0,INDEX(Sheet1!$AO$10:$AO$999,MATCH(A17,Sheet1!$N$10:$N$999,0))),0)</f>
        <v>0</v>
      </c>
      <c r="Q17" s="111">
        <f t="shared" si="3"/>
        <v>6945</v>
      </c>
      <c r="R17" s="140">
        <f ca="1">IFERROR(MIN(0,INDEX(Sheet1!$BK$10:$BK$999,MATCH(A17,Sheet1!$N$10:$N$999,0))),0)</f>
        <v>-9465896.4896639995</v>
      </c>
      <c r="S17" s="141">
        <f ca="1">IFERROR(MAX(0,INDEX(Sheet1!$BK$10:$BK$999,MATCH(A17,Sheet1!$N$10:$N$999,0))),0)</f>
        <v>0</v>
      </c>
      <c r="T17" s="111">
        <f t="shared" si="4"/>
        <v>6945</v>
      </c>
      <c r="AA17" s="96"/>
      <c r="AZ17" s="7">
        <v>6890</v>
      </c>
      <c r="BA17" s="7">
        <v>6890</v>
      </c>
      <c r="BB17" s="7">
        <v>6940</v>
      </c>
    </row>
    <row r="18" spans="1:54" x14ac:dyDescent="0.3">
      <c r="A18" s="44">
        <v>6940</v>
      </c>
      <c r="B18" s="183">
        <f ca="1">IFERROR(
    INDEX(
        CHOOSE(
            MATCH($C$1, {"All","Calls","Puts"}, 0),
            Sheet1!BN$10:BN$210,
            Sheet1!AR$10:AR$210,
            Sheet1!AS$10:AS$210
        ),
        MATCH($A18, Sheet1!N$10:N$210, 0)
    ),
"")</f>
        <v>132093.28333860729</v>
      </c>
      <c r="C18" s="152" t="str">
        <f>IFERROR(
    INDEX(
        CHOOSE(
            MATCH($C$1, {"All","Calls","Puts"}, 0),
            Sheet1!BN$213:BN$413,
            Sheet1!AR$213:AR$413,
            Sheet1!AS$213:AS$413
        ),
        MATCH($A18, Sheet1!N$213:N$413, 0)
    ),
"")</f>
        <v/>
      </c>
      <c r="D18" s="152" t="str">
        <f>IFERROR(
    INDEX(
        CHOOSE(
            MATCH($C$1, {"All","Calls","Puts"}, 0),
            Sheet1!BN$416:BN$616,
            Sheet1!AR$416:AR$616,
            Sheet1!AS$416:AS$616
        ),
        MATCH($A18, Sheet1!N$416:N$616, 0)
    ),
"")</f>
        <v/>
      </c>
      <c r="E18" s="152" t="str">
        <f>IFERROR(
    INDEX(
        CHOOSE(
            MATCH($C$1, {"All","Calls","Puts"}, 0),
            Sheet1!BN$619:BN$819,
            Sheet1!AR$619:AR$819,
            Sheet1!AS$619:AS$819
        ),
        MATCH($A18, Sheet1!N$619:N$819, 0)
    ),
"")</f>
        <v/>
      </c>
      <c r="F18" s="152" t="str">
        <f>IFERROR(
    INDEX(
        CHOOSE(
            MATCH($C$1, {"All","Calls","Puts"}, 0),
            Sheet1!BN$822:BN$1022,
            Sheet1!AR$822:AR$1022,
            Sheet1!AS$822:AS$1022
        ),
        MATCH($A18, Sheet1!N$822:N$1022, 0)
    ),
"")</f>
        <v/>
      </c>
      <c r="G18" s="152" t="str">
        <f>IFERROR(
    INDEX(
        CHOOSE(
            MATCH($C$1, {"All","Calls","Puts"}, 0),
            Sheet1!BN$1025:BN$1225,
            Sheet1!AR$1025:AR$1225,
            Sheet1!AS$1025:AS$1225
        ),
        MATCH($A18, Sheet1!N$1025:N$1225, 0)
    ),
"")</f>
        <v/>
      </c>
      <c r="H18" s="152" t="str">
        <f>IFERROR(
    INDEX(
        CHOOSE(
            MATCH($C$1, {"All","Calls","Puts"}, 0),
            Sheet1!BN$1228:BN$1428,
            Sheet1!AR$1228:AR$1428,
            Sheet1!AS$1228:AS$1428
        ),
        MATCH($A18, Sheet1!N$1228:N$1428, 0)
    ),
"")</f>
        <v/>
      </c>
      <c r="I18" s="152" t="str">
        <f>IFERROR(
    INDEX(
        CHOOSE(
            MATCH($C$1, {"All","Calls","Puts"}, 0),
            Sheet1!BN$1431:BN$1631,
            Sheet1!AR$1431:AR$1631,
            Sheet1!AS$1431:AS$1631
        ),
        MATCH($A18, Sheet1!N$1431:N$1631, 0)
    ),
"")</f>
        <v/>
      </c>
      <c r="J18" s="123">
        <f t="shared" si="0"/>
        <v>6940</v>
      </c>
      <c r="K18" s="97">
        <f t="shared" ca="1" si="1"/>
        <v>132093.28333860729</v>
      </c>
      <c r="L18" s="129">
        <f ca="1">IFERROR(MIN(0,INDEX(Sheet1!$AD$10:$AD$999,MATCH(A18,Sheet1!$N$10:$N$999,0))),0)</f>
        <v>-46320.713688591582</v>
      </c>
      <c r="M18" s="136">
        <f ca="1">IFERROR(MAX(0,INDEX(Sheet1!$AE$10:$AE$999,MATCH(A18,Sheet1!$N$10:$N$999,0))),0)</f>
        <v>47583.775551640007</v>
      </c>
      <c r="N18" s="111">
        <f t="shared" si="2"/>
        <v>6940</v>
      </c>
      <c r="O18" s="138">
        <f ca="1">IFERROR(MIN(0,INDEX(Sheet1!$AP$10:$AP$999,MATCH(A18,Sheet1!$N$10:$N$999,0))),0)</f>
        <v>-441.47628809884196</v>
      </c>
      <c r="P18" s="141">
        <f ca="1">IFERROR(MAX(0,INDEX(Sheet1!$AO$10:$AO$999,MATCH(A18,Sheet1!$N$10:$N$999,0))),0)</f>
        <v>0</v>
      </c>
      <c r="Q18" s="111">
        <f t="shared" si="3"/>
        <v>6940</v>
      </c>
      <c r="R18" s="140">
        <f ca="1">IFERROR(MIN(0,INDEX(Sheet1!$BK$10:$BK$999,MATCH(A18,Sheet1!$N$10:$N$999,0))),0)</f>
        <v>-9238653.3089270014</v>
      </c>
      <c r="S18" s="141">
        <f ca="1">IFERROR(MAX(0,INDEX(Sheet1!$BK$10:$BK$999,MATCH(A18,Sheet1!$N$10:$N$999,0))),0)</f>
        <v>0</v>
      </c>
      <c r="T18" s="111">
        <f t="shared" si="4"/>
        <v>6940</v>
      </c>
      <c r="AA18" s="96"/>
      <c r="AZ18" s="7">
        <v>6895</v>
      </c>
      <c r="BA18" s="7">
        <v>6895</v>
      </c>
      <c r="BB18" s="7">
        <v>6935</v>
      </c>
    </row>
    <row r="19" spans="1:54" x14ac:dyDescent="0.3">
      <c r="A19" s="44">
        <v>6935</v>
      </c>
      <c r="B19" s="162">
        <f ca="1">IFERROR(
    INDEX(
        CHOOSE(
            MATCH($C$1, {"All","Calls","Puts"}, 0),
            Sheet1!BN$10:BN$210,
            Sheet1!AR$10:AR$210,
            Sheet1!AS$10:AS$210
        ),
        MATCH($A19, Sheet1!N$10:N$210, 0)
    ),
"")</f>
        <v>16084.776799109059</v>
      </c>
      <c r="C19" s="152" t="str">
        <f>IFERROR(
    INDEX(
        CHOOSE(
            MATCH($C$1, {"All","Calls","Puts"}, 0),
            Sheet1!BN$213:BN$413,
            Sheet1!AR$213:AR$413,
            Sheet1!AS$213:AS$413
        ),
        MATCH($A19, Sheet1!N$213:N$413, 0)
    ),
"")</f>
        <v/>
      </c>
      <c r="D19" s="152" t="str">
        <f>IFERROR(
    INDEX(
        CHOOSE(
            MATCH($C$1, {"All","Calls","Puts"}, 0),
            Sheet1!BN$416:BN$616,
            Sheet1!AR$416:AR$616,
            Sheet1!AS$416:AS$616
        ),
        MATCH($A19, Sheet1!N$416:N$616, 0)
    ),
"")</f>
        <v/>
      </c>
      <c r="E19" s="152" t="str">
        <f>IFERROR(
    INDEX(
        CHOOSE(
            MATCH($C$1, {"All","Calls","Puts"}, 0),
            Sheet1!BN$619:BN$819,
            Sheet1!AR$619:AR$819,
            Sheet1!AS$619:AS$819
        ),
        MATCH($A19, Sheet1!N$619:N$819, 0)
    ),
"")</f>
        <v/>
      </c>
      <c r="F19" s="152" t="str">
        <f>IFERROR(
    INDEX(
        CHOOSE(
            MATCH($C$1, {"All","Calls","Puts"}, 0),
            Sheet1!BN$822:BN$1022,
            Sheet1!AR$822:AR$1022,
            Sheet1!AS$822:AS$1022
        ),
        MATCH($A19, Sheet1!N$822:N$1022, 0)
    ),
"")</f>
        <v/>
      </c>
      <c r="G19" s="152" t="str">
        <f>IFERROR(
    INDEX(
        CHOOSE(
            MATCH($C$1, {"All","Calls","Puts"}, 0),
            Sheet1!BN$1025:BN$1225,
            Sheet1!AR$1025:AR$1225,
            Sheet1!AS$1025:AS$1225
        ),
        MATCH($A19, Sheet1!N$1025:N$1225, 0)
    ),
"")</f>
        <v/>
      </c>
      <c r="H19" s="152" t="str">
        <f>IFERROR(
    INDEX(
        CHOOSE(
            MATCH($C$1, {"All","Calls","Puts"}, 0),
            Sheet1!BN$1228:BN$1428,
            Sheet1!AR$1228:AR$1428,
            Sheet1!AS$1228:AS$1428
        ),
        MATCH($A19, Sheet1!N$1228:N$1428, 0)
    ),
"")</f>
        <v/>
      </c>
      <c r="I19" s="152" t="str">
        <f>IFERROR(
    INDEX(
        CHOOSE(
            MATCH($C$1, {"All","Calls","Puts"}, 0),
            Sheet1!BN$1431:BN$1631,
            Sheet1!AR$1431:AR$1631,
            Sheet1!AS$1431:AS$1631
        ),
        MATCH($A19, Sheet1!N$1431:N$1631, 0)
    ),
"")</f>
        <v/>
      </c>
      <c r="J19" s="123">
        <f t="shared" si="0"/>
        <v>6935</v>
      </c>
      <c r="K19" s="97">
        <f t="shared" ca="1" si="1"/>
        <v>16084.776799109059</v>
      </c>
      <c r="L19" s="129">
        <f ca="1">IFERROR(MIN(0,INDEX(Sheet1!$AD$10:$AD$999,MATCH(A19,Sheet1!$N$10:$N$999,0))),0)</f>
        <v>-41946.369449469166</v>
      </c>
      <c r="M19" s="136">
        <f ca="1">IFERROR(MAX(0,INDEX(Sheet1!$AE$10:$AE$999,MATCH(A19,Sheet1!$N$10:$N$999,0))),0)</f>
        <v>22299.166967161698</v>
      </c>
      <c r="N19" s="111">
        <f t="shared" si="2"/>
        <v>6935</v>
      </c>
      <c r="O19" s="138">
        <f ca="1">IFERROR(MIN(0,INDEX(Sheet1!$AP$10:$AP$999,MATCH(A19,Sheet1!$N$10:$N$999,0))),0)</f>
        <v>-303.92492717315918</v>
      </c>
      <c r="P19" s="141">
        <f ca="1">IFERROR(MAX(0,INDEX(Sheet1!$AO$10:$AO$999,MATCH(A19,Sheet1!$N$10:$N$999,0))),0)</f>
        <v>0</v>
      </c>
      <c r="Q19" s="111">
        <f t="shared" si="3"/>
        <v>6935</v>
      </c>
      <c r="R19" s="140">
        <f ca="1">IFERROR(MIN(0,INDEX(Sheet1!$BK$10:$BK$999,MATCH(A19,Sheet1!$N$10:$N$999,0))),0)</f>
        <v>-4773735.7378771435</v>
      </c>
      <c r="S19" s="141">
        <f ca="1">IFERROR(MAX(0,INDEX(Sheet1!$BK$10:$BK$999,MATCH(A19,Sheet1!$N$10:$N$999,0))),0)</f>
        <v>0</v>
      </c>
      <c r="T19" s="111">
        <f t="shared" si="4"/>
        <v>6935</v>
      </c>
      <c r="AA19" s="96"/>
      <c r="AZ19" s="7">
        <v>6900</v>
      </c>
      <c r="BA19" s="7">
        <v>6900</v>
      </c>
      <c r="BB19" s="7">
        <v>6930</v>
      </c>
    </row>
    <row r="20" spans="1:54" x14ac:dyDescent="0.3">
      <c r="A20" s="44">
        <v>6930</v>
      </c>
      <c r="B20" s="190">
        <f ca="1">IFERROR(
    INDEX(
        CHOOSE(
            MATCH($C$1, {"All","Calls","Puts"}, 0),
            Sheet1!BN$10:BN$210,
            Sheet1!AR$10:AR$210,
            Sheet1!AS$10:AS$210
        ),
        MATCH($A20, Sheet1!N$10:N$210, 0)
    ),
"")</f>
        <v>166616.45713768137</v>
      </c>
      <c r="C20" s="152" t="str">
        <f>IFERROR(
    INDEX(
        CHOOSE(
            MATCH($C$1, {"All","Calls","Puts"}, 0),
            Sheet1!BN$213:BN$413,
            Sheet1!AR$213:AR$413,
            Sheet1!AS$213:AS$413
        ),
        MATCH($A20, Sheet1!N$213:N$413, 0)
    ),
"")</f>
        <v/>
      </c>
      <c r="D20" s="152" t="str">
        <f>IFERROR(
    INDEX(
        CHOOSE(
            MATCH($C$1, {"All","Calls","Puts"}, 0),
            Sheet1!BN$416:BN$616,
            Sheet1!AR$416:AR$616,
            Sheet1!AS$416:AS$616
        ),
        MATCH($A20, Sheet1!N$416:N$616, 0)
    ),
"")</f>
        <v/>
      </c>
      <c r="E20" s="152" t="str">
        <f>IFERROR(
    INDEX(
        CHOOSE(
            MATCH($C$1, {"All","Calls","Puts"}, 0),
            Sheet1!BN$619:BN$819,
            Sheet1!AR$619:AR$819,
            Sheet1!AS$619:AS$819
        ),
        MATCH($A20, Sheet1!N$619:N$819, 0)
    ),
"")</f>
        <v/>
      </c>
      <c r="F20" s="152" t="str">
        <f>IFERROR(
    INDEX(
        CHOOSE(
            MATCH($C$1, {"All","Calls","Puts"}, 0),
            Sheet1!BN$822:BN$1022,
            Sheet1!AR$822:AR$1022,
            Sheet1!AS$822:AS$1022
        ),
        MATCH($A20, Sheet1!N$822:N$1022, 0)
    ),
"")</f>
        <v/>
      </c>
      <c r="G20" s="152" t="str">
        <f>IFERROR(
    INDEX(
        CHOOSE(
            MATCH($C$1, {"All","Calls","Puts"}, 0),
            Sheet1!BN$1025:BN$1225,
            Sheet1!AR$1025:AR$1225,
            Sheet1!AS$1025:AS$1225
        ),
        MATCH($A20, Sheet1!N$1025:N$1225, 0)
    ),
"")</f>
        <v/>
      </c>
      <c r="H20" s="152" t="str">
        <f>IFERROR(
    INDEX(
        CHOOSE(
            MATCH($C$1, {"All","Calls","Puts"}, 0),
            Sheet1!BN$1228:BN$1428,
            Sheet1!AR$1228:AR$1428,
            Sheet1!AS$1228:AS$1428
        ),
        MATCH($A20, Sheet1!N$1228:N$1428, 0)
    ),
"")</f>
        <v/>
      </c>
      <c r="I20" s="152" t="str">
        <f>IFERROR(
    INDEX(
        CHOOSE(
            MATCH($C$1, {"All","Calls","Puts"}, 0),
            Sheet1!BN$1431:BN$1631,
            Sheet1!AR$1431:AR$1631,
            Sheet1!AS$1431:AS$1631
        ),
        MATCH($A20, Sheet1!N$1431:N$1631, 0)
    ),
"")</f>
        <v/>
      </c>
      <c r="J20" s="123">
        <f t="shared" si="0"/>
        <v>6930</v>
      </c>
      <c r="K20" s="97">
        <f t="shared" ca="1" si="1"/>
        <v>166616.45713768137</v>
      </c>
      <c r="L20" s="129">
        <f ca="1">IFERROR(MIN(0,INDEX(Sheet1!$AD$10:$AD$999,MATCH(A20,Sheet1!$N$10:$N$999,0))),0)</f>
        <v>-47634.788259460744</v>
      </c>
      <c r="M20" s="136">
        <f ca="1">IFERROR(MAX(0,INDEX(Sheet1!$AE$10:$AE$999,MATCH(A20,Sheet1!$N$10:$N$999,0))),0)</f>
        <v>80337.43105805105</v>
      </c>
      <c r="N20" s="111">
        <f t="shared" si="2"/>
        <v>6930</v>
      </c>
      <c r="O20" s="138">
        <f ca="1">IFERROR(MIN(0,INDEX(Sheet1!$AP$10:$AP$999,MATCH(A20,Sheet1!$N$10:$N$999,0))),0)</f>
        <v>-224.43357544701399</v>
      </c>
      <c r="P20" s="141">
        <f ca="1">IFERROR(MAX(0,INDEX(Sheet1!$AO$10:$AO$999,MATCH(A20,Sheet1!$N$10:$N$999,0))),0)</f>
        <v>0</v>
      </c>
      <c r="Q20" s="111">
        <f t="shared" si="3"/>
        <v>6930</v>
      </c>
      <c r="R20" s="140">
        <f ca="1">IFERROR(MIN(0,INDEX(Sheet1!$BK$10:$BK$999,MATCH(A20,Sheet1!$N$10:$N$999,0))),0)</f>
        <v>-9601279.3320177086</v>
      </c>
      <c r="S20" s="141">
        <f ca="1">IFERROR(MAX(0,INDEX(Sheet1!$BK$10:$BK$999,MATCH(A20,Sheet1!$N$10:$N$999,0))),0)</f>
        <v>0</v>
      </c>
      <c r="T20" s="111">
        <f t="shared" si="4"/>
        <v>6930</v>
      </c>
      <c r="AA20" s="96"/>
      <c r="AZ20" s="7">
        <v>6905</v>
      </c>
      <c r="BA20" s="7">
        <v>6905</v>
      </c>
      <c r="BB20" s="7">
        <v>6925</v>
      </c>
    </row>
    <row r="21" spans="1:54" x14ac:dyDescent="0.3">
      <c r="A21" s="44">
        <v>6925</v>
      </c>
      <c r="B21" s="184">
        <f ca="1">IFERROR(
    INDEX(
        CHOOSE(
            MATCH($C$1, {"All","Calls","Puts"}, 0),
            Sheet1!BN$10:BN$210,
            Sheet1!AR$10:AR$210,
            Sheet1!AS$10:AS$210
        ),
        MATCH($A21, Sheet1!N$10:N$210, 0)
    ),
"")</f>
        <v>56310.488606208062</v>
      </c>
      <c r="C21" s="152" t="str">
        <f>IFERROR(
    INDEX(
        CHOOSE(
            MATCH($C$1, {"All","Calls","Puts"}, 0),
            Sheet1!BN$213:BN$413,
            Sheet1!AR$213:AR$413,
            Sheet1!AS$213:AS$413
        ),
        MATCH($A21, Sheet1!N$213:N$413, 0)
    ),
"")</f>
        <v/>
      </c>
      <c r="D21" s="152" t="str">
        <f>IFERROR(
    INDEX(
        CHOOSE(
            MATCH($C$1, {"All","Calls","Puts"}, 0),
            Sheet1!BN$416:BN$616,
            Sheet1!AR$416:AR$616,
            Sheet1!AS$416:AS$616
        ),
        MATCH($A21, Sheet1!N$416:N$616, 0)
    ),
"")</f>
        <v/>
      </c>
      <c r="E21" s="152" t="str">
        <f>IFERROR(
    INDEX(
        CHOOSE(
            MATCH($C$1, {"All","Calls","Puts"}, 0),
            Sheet1!BN$619:BN$819,
            Sheet1!AR$619:AR$819,
            Sheet1!AS$619:AS$819
        ),
        MATCH($A21, Sheet1!N$619:N$819, 0)
    ),
"")</f>
        <v/>
      </c>
      <c r="F21" s="152" t="str">
        <f>IFERROR(
    INDEX(
        CHOOSE(
            MATCH($C$1, {"All","Calls","Puts"}, 0),
            Sheet1!BN$822:BN$1022,
            Sheet1!AR$822:AR$1022,
            Sheet1!AS$822:AS$1022
        ),
        MATCH($A21, Sheet1!N$822:N$1022, 0)
    ),
"")</f>
        <v/>
      </c>
      <c r="G21" s="152" t="str">
        <f>IFERROR(
    INDEX(
        CHOOSE(
            MATCH($C$1, {"All","Calls","Puts"}, 0),
            Sheet1!BN$1025:BN$1225,
            Sheet1!AR$1025:AR$1225,
            Sheet1!AS$1025:AS$1225
        ),
        MATCH($A21, Sheet1!N$1025:N$1225, 0)
    ),
"")</f>
        <v/>
      </c>
      <c r="H21" s="152" t="str">
        <f>IFERROR(
    INDEX(
        CHOOSE(
            MATCH($C$1, {"All","Calls","Puts"}, 0),
            Sheet1!BN$1228:BN$1428,
            Sheet1!AR$1228:AR$1428,
            Sheet1!AS$1228:AS$1428
        ),
        MATCH($A21, Sheet1!N$1228:N$1428, 0)
    ),
"")</f>
        <v/>
      </c>
      <c r="I21" s="152" t="str">
        <f>IFERROR(
    INDEX(
        CHOOSE(
            MATCH($C$1, {"All","Calls","Puts"}, 0),
            Sheet1!BN$1431:BN$1631,
            Sheet1!AR$1431:AR$1631,
            Sheet1!AS$1431:AS$1631
        ),
        MATCH($A21, Sheet1!N$1431:N$1631, 0)
    ),
"")</f>
        <v/>
      </c>
      <c r="J21" s="123">
        <f t="shared" si="0"/>
        <v>6925</v>
      </c>
      <c r="K21" s="97">
        <f t="shared" ca="1" si="1"/>
        <v>56310.488606208062</v>
      </c>
      <c r="L21" s="129">
        <f ca="1">IFERROR(MIN(0,INDEX(Sheet1!$AD$10:$AD$999,MATCH(A21,Sheet1!$N$10:$N$999,0))),0)</f>
        <v>-182720.62235778067</v>
      </c>
      <c r="M21" s="136">
        <f ca="1">IFERROR(MAX(0,INDEX(Sheet1!$AE$10:$AE$999,MATCH(A21,Sheet1!$N$10:$N$999,0))),0)</f>
        <v>139082.45430757376</v>
      </c>
      <c r="N21" s="111">
        <f t="shared" si="2"/>
        <v>6925</v>
      </c>
      <c r="O21" s="138">
        <f ca="1">IFERROR(MIN(0,INDEX(Sheet1!$AP$10:$AP$999,MATCH(A21,Sheet1!$N$10:$N$999,0))),0)</f>
        <v>-410.33401438088134</v>
      </c>
      <c r="P21" s="141">
        <f ca="1">IFERROR(MAX(0,INDEX(Sheet1!$AO$10:$AO$999,MATCH(A21,Sheet1!$N$10:$N$999,0))),0)</f>
        <v>0</v>
      </c>
      <c r="Q21" s="111">
        <f t="shared" si="3"/>
        <v>6925</v>
      </c>
      <c r="R21" s="140">
        <f ca="1">IFERROR(MIN(0,INDEX(Sheet1!$BK$10:$BK$999,MATCH(A21,Sheet1!$N$10:$N$999,0))),0)</f>
        <v>-18890695.262248162</v>
      </c>
      <c r="S21" s="141">
        <f ca="1">IFERROR(MAX(0,INDEX(Sheet1!$BK$10:$BK$999,MATCH(A21,Sheet1!$N$10:$N$999,0))),0)</f>
        <v>0</v>
      </c>
      <c r="T21" s="111">
        <f t="shared" si="4"/>
        <v>6925</v>
      </c>
      <c r="AA21" s="96"/>
      <c r="AZ21" s="7">
        <v>6910</v>
      </c>
      <c r="BA21" s="7">
        <v>6910</v>
      </c>
      <c r="BB21" s="7">
        <v>6920</v>
      </c>
    </row>
    <row r="22" spans="1:54" x14ac:dyDescent="0.3">
      <c r="A22" s="44">
        <v>6920</v>
      </c>
      <c r="B22" s="164">
        <f ca="1">IFERROR(
    INDEX(
        CHOOSE(
            MATCH($C$1, {"All","Calls","Puts"}, 0),
            Sheet1!BN$10:BN$210,
            Sheet1!AR$10:AR$210,
            Sheet1!AS$10:AS$210
        ),
        MATCH($A22, Sheet1!N$10:N$210, 0)
    ),
"")</f>
        <v>-50806.752201653697</v>
      </c>
      <c r="C22" s="152" t="str">
        <f>IFERROR(
    INDEX(
        CHOOSE(
            MATCH($C$1, {"All","Calls","Puts"}, 0),
            Sheet1!BN$213:BN$413,
            Sheet1!AR$213:AR$413,
            Sheet1!AS$213:AS$413
        ),
        MATCH($A22, Sheet1!N$213:N$413, 0)
    ),
"")</f>
        <v/>
      </c>
      <c r="D22" s="152" t="str">
        <f>IFERROR(
    INDEX(
        CHOOSE(
            MATCH($C$1, {"All","Calls","Puts"}, 0),
            Sheet1!BN$416:BN$616,
            Sheet1!AR$416:AR$616,
            Sheet1!AS$416:AS$616
        ),
        MATCH($A22, Sheet1!N$416:N$616, 0)
    ),
"")</f>
        <v/>
      </c>
      <c r="E22" s="152" t="str">
        <f>IFERROR(
    INDEX(
        CHOOSE(
            MATCH($C$1, {"All","Calls","Puts"}, 0),
            Sheet1!BN$619:BN$819,
            Sheet1!AR$619:AR$819,
            Sheet1!AS$619:AS$819
        ),
        MATCH($A22, Sheet1!N$619:N$819, 0)
    ),
"")</f>
        <v/>
      </c>
      <c r="F22" s="152" t="str">
        <f>IFERROR(
    INDEX(
        CHOOSE(
            MATCH($C$1, {"All","Calls","Puts"}, 0),
            Sheet1!BN$822:BN$1022,
            Sheet1!AR$822:AR$1022,
            Sheet1!AS$822:AS$1022
        ),
        MATCH($A22, Sheet1!N$822:N$1022, 0)
    ),
"")</f>
        <v/>
      </c>
      <c r="G22" s="152" t="str">
        <f>IFERROR(
    INDEX(
        CHOOSE(
            MATCH($C$1, {"All","Calls","Puts"}, 0),
            Sheet1!BN$1025:BN$1225,
            Sheet1!AR$1025:AR$1225,
            Sheet1!AS$1025:AS$1225
        ),
        MATCH($A22, Sheet1!N$1025:N$1225, 0)
    ),
"")</f>
        <v/>
      </c>
      <c r="H22" s="152" t="str">
        <f>IFERROR(
    INDEX(
        CHOOSE(
            MATCH($C$1, {"All","Calls","Puts"}, 0),
            Sheet1!BN$1228:BN$1428,
            Sheet1!AR$1228:AR$1428,
            Sheet1!AS$1228:AS$1428
        ),
        MATCH($A22, Sheet1!N$1228:N$1428, 0)
    ),
"")</f>
        <v/>
      </c>
      <c r="I22" s="152" t="str">
        <f>IFERROR(
    INDEX(
        CHOOSE(
            MATCH($C$1, {"All","Calls","Puts"}, 0),
            Sheet1!BN$1431:BN$1631,
            Sheet1!AR$1431:AR$1631,
            Sheet1!AS$1431:AS$1631
        ),
        MATCH($A22, Sheet1!N$1431:N$1631, 0)
    ),
"")</f>
        <v/>
      </c>
      <c r="J22" s="124">
        <f t="shared" si="0"/>
        <v>6920</v>
      </c>
      <c r="K22" s="97">
        <f t="shared" ca="1" si="1"/>
        <v>-50806.752201653697</v>
      </c>
      <c r="L22" s="129">
        <f ca="1">IFERROR(MIN(0,INDEX(Sheet1!$AD$10:$AD$999,MATCH(A22,Sheet1!$N$10:$N$999,0))),0)</f>
        <v>-112365.84167556498</v>
      </c>
      <c r="M22" s="136">
        <f ca="1">IFERROR(MAX(0,INDEX(Sheet1!$AE$10:$AE$999,MATCH(A22,Sheet1!$N$10:$N$999,0))),0)</f>
        <v>67537.702371724343</v>
      </c>
      <c r="N22" s="111">
        <f t="shared" si="2"/>
        <v>6920</v>
      </c>
      <c r="O22" s="138">
        <f ca="1">IFERROR(MIN(0,INDEX(Sheet1!$AP$10:$AP$999,MATCH(A22,Sheet1!$N$10:$N$999,0))),0)</f>
        <v>0</v>
      </c>
      <c r="P22" s="141">
        <f ca="1">IFERROR(MAX(0,INDEX(Sheet1!$AO$10:$AO$999,MATCH(A22,Sheet1!$N$10:$N$999,0))),0)</f>
        <v>35.513222307954592</v>
      </c>
      <c r="Q22" s="117">
        <f t="shared" si="3"/>
        <v>6920</v>
      </c>
      <c r="R22" s="140">
        <f ca="1">IFERROR(MIN(0,INDEX(Sheet1!$BK$10:$BK$999,MATCH(A22,Sheet1!$N$10:$N$999,0))),0)</f>
        <v>-9075227.4689991381</v>
      </c>
      <c r="S22" s="141">
        <f ca="1">IFERROR(MAX(0,INDEX(Sheet1!$BK$10:$BK$999,MATCH(A22,Sheet1!$N$10:$N$999,0))),0)</f>
        <v>0</v>
      </c>
      <c r="T22" s="111">
        <f t="shared" si="4"/>
        <v>6920</v>
      </c>
      <c r="AA22" s="96"/>
      <c r="AZ22" s="7">
        <v>6915</v>
      </c>
      <c r="BA22" s="7">
        <v>6915</v>
      </c>
      <c r="BB22" s="7">
        <v>6915</v>
      </c>
    </row>
    <row r="23" spans="1:54" x14ac:dyDescent="0.3">
      <c r="A23" s="44">
        <v>6915</v>
      </c>
      <c r="B23" s="191">
        <f ca="1">IFERROR(
    INDEX(
        CHOOSE(
            MATCH($C$1, {"All","Calls","Puts"}, 0),
            Sheet1!BN$10:BN$210,
            Sheet1!AR$10:AR$210,
            Sheet1!AS$10:AS$210
        ),
        MATCH($A23, Sheet1!N$10:N$210, 0)
    ),
"")</f>
        <v>156430.89240637296</v>
      </c>
      <c r="C23" s="152" t="str">
        <f>IFERROR(
    INDEX(
        CHOOSE(
            MATCH($C$1, {"All","Calls","Puts"}, 0),
            Sheet1!BN$213:BN$413,
            Sheet1!AR$213:AR$413,
            Sheet1!AS$213:AS$413
        ),
        MATCH($A23, Sheet1!N$213:N$413, 0)
    ),
"")</f>
        <v/>
      </c>
      <c r="D23" s="152" t="str">
        <f>IFERROR(
    INDEX(
        CHOOSE(
            MATCH($C$1, {"All","Calls","Puts"}, 0),
            Sheet1!BN$416:BN$616,
            Sheet1!AR$416:AR$616,
            Sheet1!AS$416:AS$616
        ),
        MATCH($A23, Sheet1!N$416:N$616, 0)
    ),
"")</f>
        <v/>
      </c>
      <c r="E23" s="152" t="str">
        <f>IFERROR(
    INDEX(
        CHOOSE(
            MATCH($C$1, {"All","Calls","Puts"}, 0),
            Sheet1!BN$619:BN$819,
            Sheet1!AR$619:AR$819,
            Sheet1!AS$619:AS$819
        ),
        MATCH($A23, Sheet1!N$619:N$819, 0)
    ),
"")</f>
        <v/>
      </c>
      <c r="F23" s="152" t="str">
        <f>IFERROR(
    INDEX(
        CHOOSE(
            MATCH($C$1, {"All","Calls","Puts"}, 0),
            Sheet1!BN$822:BN$1022,
            Sheet1!AR$822:AR$1022,
            Sheet1!AS$822:AS$1022
        ),
        MATCH($A23, Sheet1!N$822:N$1022, 0)
    ),
"")</f>
        <v/>
      </c>
      <c r="G23" s="152" t="str">
        <f>IFERROR(
    INDEX(
        CHOOSE(
            MATCH($C$1, {"All","Calls","Puts"}, 0),
            Sheet1!BN$1025:BN$1225,
            Sheet1!AR$1025:AR$1225,
            Sheet1!AS$1025:AS$1225
        ),
        MATCH($A23, Sheet1!N$1025:N$1225, 0)
    ),
"")</f>
        <v/>
      </c>
      <c r="H23" s="152" t="str">
        <f>IFERROR(
    INDEX(
        CHOOSE(
            MATCH($C$1, {"All","Calls","Puts"}, 0),
            Sheet1!BN$1228:BN$1428,
            Sheet1!AR$1228:AR$1428,
            Sheet1!AS$1228:AS$1428
        ),
        MATCH($A23, Sheet1!N$1228:N$1428, 0)
    ),
"")</f>
        <v/>
      </c>
      <c r="I23" s="152" t="str">
        <f>IFERROR(
    INDEX(
        CHOOSE(
            MATCH($C$1, {"All","Calls","Puts"}, 0),
            Sheet1!BN$1431:BN$1631,
            Sheet1!AR$1431:AR$1631,
            Sheet1!AS$1431:AS$1631
        ),
        MATCH($A23, Sheet1!N$1431:N$1631, 0)
    ),
"")</f>
        <v/>
      </c>
      <c r="J23" s="125">
        <f t="shared" si="0"/>
        <v>6915</v>
      </c>
      <c r="K23" s="97">
        <f t="shared" ca="1" si="1"/>
        <v>156430.89240637296</v>
      </c>
      <c r="L23" s="130">
        <f ca="1">IFERROR(MIN(0,INDEX(Sheet1!$AD$10:$AD$999,MATCH(A23,Sheet1!$N$10:$N$999,0))),0)</f>
        <v>-40300.690685073125</v>
      </c>
      <c r="M23" s="136">
        <f ca="1">IFERROR(MAX(0,INDEX(Sheet1!$AE$10:$AE$999,MATCH(A23,Sheet1!$N$10:$N$999,0))),0)</f>
        <v>115371.40872164399</v>
      </c>
      <c r="N23" s="111">
        <f t="shared" si="2"/>
        <v>6915</v>
      </c>
      <c r="O23" s="138">
        <f ca="1">IFERROR(MIN(0,INDEX(Sheet1!$AP$10:$AP$999,MATCH(A23,Sheet1!$N$10:$N$999,0))),0)</f>
        <v>0</v>
      </c>
      <c r="P23" s="141">
        <f ca="1">IFERROR(MAX(0,INDEX(Sheet1!$AO$10:$AO$999,MATCH(A23,Sheet1!$N$10:$N$999,0))),0)</f>
        <v>566.46948574039163</v>
      </c>
      <c r="Q23" s="120">
        <f t="shared" si="3"/>
        <v>6915</v>
      </c>
      <c r="R23" s="140">
        <f ca="1">IFERROR(MIN(0,INDEX(Sheet1!$BK$10:$BK$999,MATCH(A23,Sheet1!$N$10:$N$999,0))),0)</f>
        <v>-6764975.918028621</v>
      </c>
      <c r="S23" s="141">
        <f ca="1">IFERROR(MAX(0,INDEX(Sheet1!$BK$10:$BK$999,MATCH(A23,Sheet1!$N$10:$N$999,0))),0)</f>
        <v>0</v>
      </c>
      <c r="T23" s="111">
        <f t="shared" si="4"/>
        <v>6915</v>
      </c>
      <c r="AA23" s="96"/>
      <c r="AZ23" s="7">
        <v>6920</v>
      </c>
      <c r="BA23" s="7">
        <v>6920</v>
      </c>
      <c r="BB23" s="7">
        <v>6910</v>
      </c>
    </row>
    <row r="24" spans="1:54" x14ac:dyDescent="0.3">
      <c r="A24" s="44">
        <v>6910</v>
      </c>
      <c r="B24" s="185">
        <f ca="1">IFERROR(
    INDEX(
        CHOOSE(
            MATCH($C$1, {"All","Calls","Puts"}, 0),
            Sheet1!BN$10:BN$210,
            Sheet1!AR$10:AR$210,
            Sheet1!AS$10:AS$210
        ),
        MATCH($A24, Sheet1!N$10:N$210, 0)
    ),
"")</f>
        <v>8005.9015332053823</v>
      </c>
      <c r="C24" s="152" t="str">
        <f>IFERROR(
    INDEX(
        CHOOSE(
            MATCH($C$1, {"All","Calls","Puts"}, 0),
            Sheet1!BN$213:BN$413,
            Sheet1!AR$213:AR$413,
            Sheet1!AS$213:AS$413
        ),
        MATCH($A24, Sheet1!N$213:N$413, 0)
    ),
"")</f>
        <v/>
      </c>
      <c r="D24" s="152" t="str">
        <f>IFERROR(
    INDEX(
        CHOOSE(
            MATCH($C$1, {"All","Calls","Puts"}, 0),
            Sheet1!BN$416:BN$616,
            Sheet1!AR$416:AR$616,
            Sheet1!AS$416:AS$616
        ),
        MATCH($A24, Sheet1!N$416:N$616, 0)
    ),
"")</f>
        <v/>
      </c>
      <c r="E24" s="152" t="str">
        <f>IFERROR(
    INDEX(
        CHOOSE(
            MATCH($C$1, {"All","Calls","Puts"}, 0),
            Sheet1!BN$619:BN$819,
            Sheet1!AR$619:AR$819,
            Sheet1!AS$619:AS$819
        ),
        MATCH($A24, Sheet1!N$619:N$819, 0)
    ),
"")</f>
        <v/>
      </c>
      <c r="F24" s="152" t="str">
        <f>IFERROR(
    INDEX(
        CHOOSE(
            MATCH($C$1, {"All","Calls","Puts"}, 0),
            Sheet1!BN$822:BN$1022,
            Sheet1!AR$822:AR$1022,
            Sheet1!AS$822:AS$1022
        ),
        MATCH($A24, Sheet1!N$822:N$1022, 0)
    ),
"")</f>
        <v/>
      </c>
      <c r="G24" s="152" t="str">
        <f>IFERROR(
    INDEX(
        CHOOSE(
            MATCH($C$1, {"All","Calls","Puts"}, 0),
            Sheet1!BN$1025:BN$1225,
            Sheet1!AR$1025:AR$1225,
            Sheet1!AS$1025:AS$1225
        ),
        MATCH($A24, Sheet1!N$1025:N$1225, 0)
    ),
"")</f>
        <v/>
      </c>
      <c r="H24" s="152" t="str">
        <f>IFERROR(
    INDEX(
        CHOOSE(
            MATCH($C$1, {"All","Calls","Puts"}, 0),
            Sheet1!BN$1228:BN$1428,
            Sheet1!AR$1228:AR$1428,
            Sheet1!AS$1228:AS$1428
        ),
        MATCH($A24, Sheet1!N$1228:N$1428, 0)
    ),
"")</f>
        <v/>
      </c>
      <c r="I24" s="152" t="str">
        <f>IFERROR(
    INDEX(
        CHOOSE(
            MATCH($C$1, {"All","Calls","Puts"}, 0),
            Sheet1!BN$1431:BN$1631,
            Sheet1!AR$1431:AR$1631,
            Sheet1!AS$1431:AS$1631
        ),
        MATCH($A24, Sheet1!N$1431:N$1631, 0)
    ),
"")</f>
        <v/>
      </c>
      <c r="J24" s="126">
        <f t="shared" si="0"/>
        <v>6910</v>
      </c>
      <c r="K24" s="97">
        <f t="shared" ca="1" si="1"/>
        <v>8005.9015332053823</v>
      </c>
      <c r="L24" s="129">
        <f ca="1">IFERROR(MIN(0,INDEX(Sheet1!$AD$10:$AD$999,MATCH(A24,Sheet1!$N$10:$N$999,0))),0)</f>
        <v>-48915.555015350816</v>
      </c>
      <c r="M24" s="136">
        <f ca="1">IFERROR(MAX(0,INDEX(Sheet1!$AE$10:$AE$999,MATCH(A24,Sheet1!$N$10:$N$999,0))),0)</f>
        <v>60524.037271099936</v>
      </c>
      <c r="N24" s="111">
        <f t="shared" si="2"/>
        <v>6910</v>
      </c>
      <c r="O24" s="138">
        <f ca="1">IFERROR(MIN(0,INDEX(Sheet1!$AP$10:$AP$999,MATCH(A24,Sheet1!$N$10:$N$999,0))),0)</f>
        <v>0</v>
      </c>
      <c r="P24" s="141">
        <f ca="1">IFERROR(MAX(0,INDEX(Sheet1!$AO$10:$AO$999,MATCH(A24,Sheet1!$N$10:$N$999,0))),0)</f>
        <v>557.93893146389951</v>
      </c>
      <c r="Q24" s="118">
        <f t="shared" si="3"/>
        <v>6910</v>
      </c>
      <c r="R24" s="140">
        <f ca="1">IFERROR(MIN(0,INDEX(Sheet1!$BK$10:$BK$999,MATCH(A24,Sheet1!$N$10:$N$999,0))),0)</f>
        <v>-4094737.8265587222</v>
      </c>
      <c r="S24" s="141">
        <f ca="1">IFERROR(MAX(0,INDEX(Sheet1!$BK$10:$BK$999,MATCH(A24,Sheet1!$N$10:$N$999,0))),0)</f>
        <v>0</v>
      </c>
      <c r="T24" s="111">
        <f t="shared" si="4"/>
        <v>6910</v>
      </c>
      <c r="AA24" s="96"/>
      <c r="AZ24" s="7">
        <v>6925</v>
      </c>
      <c r="BA24" s="7">
        <v>6925</v>
      </c>
      <c r="BB24" s="7">
        <v>6905</v>
      </c>
    </row>
    <row r="25" spans="1:54" x14ac:dyDescent="0.3">
      <c r="A25" s="44">
        <v>6905</v>
      </c>
      <c r="B25" s="158">
        <f ca="1">IFERROR(
    INDEX(
        CHOOSE(
            MATCH($C$1, {"All","Calls","Puts"}, 0),
            Sheet1!BN$10:BN$210,
            Sheet1!AR$10:AR$210,
            Sheet1!AS$10:AS$210
        ),
        MATCH($A25, Sheet1!N$10:N$210, 0)
    ),
"")</f>
        <v>16549.188854318309</v>
      </c>
      <c r="C25" s="152" t="str">
        <f>IFERROR(
    INDEX(
        CHOOSE(
            MATCH($C$1, {"All","Calls","Puts"}, 0),
            Sheet1!BN$213:BN$413,
            Sheet1!AR$213:AR$413,
            Sheet1!AS$213:AS$413
        ),
        MATCH($A25, Sheet1!N$213:N$413, 0)
    ),
"")</f>
        <v/>
      </c>
      <c r="D25" s="152" t="str">
        <f>IFERROR(
    INDEX(
        CHOOSE(
            MATCH($C$1, {"All","Calls","Puts"}, 0),
            Sheet1!BN$416:BN$616,
            Sheet1!AR$416:AR$616,
            Sheet1!AS$416:AS$616
        ),
        MATCH($A25, Sheet1!N$416:N$616, 0)
    ),
"")</f>
        <v/>
      </c>
      <c r="E25" s="152" t="str">
        <f>IFERROR(
    INDEX(
        CHOOSE(
            MATCH($C$1, {"All","Calls","Puts"}, 0),
            Sheet1!BN$619:BN$819,
            Sheet1!AR$619:AR$819,
            Sheet1!AS$619:AS$819
        ),
        MATCH($A25, Sheet1!N$619:N$819, 0)
    ),
"")</f>
        <v/>
      </c>
      <c r="F25" s="152" t="str">
        <f>IFERROR(
    INDEX(
        CHOOSE(
            MATCH($C$1, {"All","Calls","Puts"}, 0),
            Sheet1!BN$822:BN$1022,
            Sheet1!AR$822:AR$1022,
            Sheet1!AS$822:AS$1022
        ),
        MATCH($A25, Sheet1!N$822:N$1022, 0)
    ),
"")</f>
        <v/>
      </c>
      <c r="G25" s="152" t="str">
        <f>IFERROR(
    INDEX(
        CHOOSE(
            MATCH($C$1, {"All","Calls","Puts"}, 0),
            Sheet1!BN$1025:BN$1225,
            Sheet1!AR$1025:AR$1225,
            Sheet1!AS$1025:AS$1225
        ),
        MATCH($A25, Sheet1!N$1025:N$1225, 0)
    ),
"")</f>
        <v/>
      </c>
      <c r="H25" s="152" t="str">
        <f>IFERROR(
    INDEX(
        CHOOSE(
            MATCH($C$1, {"All","Calls","Puts"}, 0),
            Sheet1!BN$1228:BN$1428,
            Sheet1!AR$1228:AR$1428,
            Sheet1!AS$1228:AS$1428
        ),
        MATCH($A25, Sheet1!N$1228:N$1428, 0)
    ),
"")</f>
        <v/>
      </c>
      <c r="I25" s="152" t="str">
        <f>IFERROR(
    INDEX(
        CHOOSE(
            MATCH($C$1, {"All","Calls","Puts"}, 0),
            Sheet1!BN$1431:BN$1631,
            Sheet1!AR$1431:AR$1631,
            Sheet1!AS$1431:AS$1631
        ),
        MATCH($A25, Sheet1!N$1431:N$1631, 0)
    ),
"")</f>
        <v/>
      </c>
      <c r="J25" s="123">
        <f t="shared" si="0"/>
        <v>6905</v>
      </c>
      <c r="K25" s="97">
        <f t="shared" ca="1" si="1"/>
        <v>16549.188854318309</v>
      </c>
      <c r="L25" s="129">
        <f ca="1">IFERROR(MIN(0,INDEX(Sheet1!$AD$10:$AD$999,MATCH(A25,Sheet1!$N$10:$N$999,0))),0)</f>
        <v>-24053.677801039245</v>
      </c>
      <c r="M25" s="136">
        <f ca="1">IFERROR(MAX(0,INDEX(Sheet1!$AE$10:$AE$999,MATCH(A25,Sheet1!$N$10:$N$999,0))),0)</f>
        <v>42767.904918496999</v>
      </c>
      <c r="N25" s="111">
        <f t="shared" si="2"/>
        <v>6905</v>
      </c>
      <c r="O25" s="138">
        <f ca="1">IFERROR(MIN(0,INDEX(Sheet1!$AP$10:$AP$999,MATCH(A25,Sheet1!$N$10:$N$999,0))),0)</f>
        <v>0</v>
      </c>
      <c r="P25" s="141">
        <f ca="1">IFERROR(MAX(0,INDEX(Sheet1!$AO$10:$AO$999,MATCH(A25,Sheet1!$N$10:$N$999,0))),0)</f>
        <v>575.86661219772589</v>
      </c>
      <c r="Q25" s="111">
        <f t="shared" si="3"/>
        <v>6905</v>
      </c>
      <c r="R25" s="140">
        <f ca="1">IFERROR(MIN(0,INDEX(Sheet1!$BK$10:$BK$999,MATCH(A25,Sheet1!$N$10:$N$999,0))),0)</f>
        <v>-1999541.9221671992</v>
      </c>
      <c r="S25" s="141">
        <f ca="1">IFERROR(MAX(0,INDEX(Sheet1!$BK$10:$BK$999,MATCH(A25,Sheet1!$N$10:$N$999,0))),0)</f>
        <v>0</v>
      </c>
      <c r="T25" s="111">
        <f t="shared" si="4"/>
        <v>6905</v>
      </c>
      <c r="AA25" s="96"/>
      <c r="AZ25" s="7">
        <v>6930</v>
      </c>
      <c r="BA25" s="7">
        <v>6930</v>
      </c>
      <c r="BB25" s="7">
        <v>6900</v>
      </c>
    </row>
    <row r="26" spans="1:54" x14ac:dyDescent="0.3">
      <c r="A26" s="44">
        <v>6900</v>
      </c>
      <c r="B26" s="186">
        <f ca="1">IFERROR(
    INDEX(
        CHOOSE(
            MATCH($C$1, {"All","Calls","Puts"}, 0),
            Sheet1!BN$10:BN$210,
            Sheet1!AR$10:AR$210,
            Sheet1!AS$10:AS$210
        ),
        MATCH($A26, Sheet1!N$10:N$210, 0)
    ),
"")</f>
        <v>100393.76070507726</v>
      </c>
      <c r="C26" s="152" t="str">
        <f>IFERROR(
    INDEX(
        CHOOSE(
            MATCH($C$1, {"All","Calls","Puts"}, 0),
            Sheet1!BN$213:BN$413,
            Sheet1!AR$213:AR$413,
            Sheet1!AS$213:AS$413
        ),
        MATCH($A26, Sheet1!N$213:N$413, 0)
    ),
"")</f>
        <v/>
      </c>
      <c r="D26" s="152" t="str">
        <f>IFERROR(
    INDEX(
        CHOOSE(
            MATCH($C$1, {"All","Calls","Puts"}, 0),
            Sheet1!BN$416:BN$616,
            Sheet1!AR$416:AR$616,
            Sheet1!AS$416:AS$616
        ),
        MATCH($A26, Sheet1!N$416:N$616, 0)
    ),
"")</f>
        <v/>
      </c>
      <c r="E26" s="152" t="str">
        <f>IFERROR(
    INDEX(
        CHOOSE(
            MATCH($C$1, {"All","Calls","Puts"}, 0),
            Sheet1!BN$619:BN$819,
            Sheet1!AR$619:AR$819,
            Sheet1!AS$619:AS$819
        ),
        MATCH($A26, Sheet1!N$619:N$819, 0)
    ),
"")</f>
        <v/>
      </c>
      <c r="F26" s="152" t="str">
        <f>IFERROR(
    INDEX(
        CHOOSE(
            MATCH($C$1, {"All","Calls","Puts"}, 0),
            Sheet1!BN$822:BN$1022,
            Sheet1!AR$822:AR$1022,
            Sheet1!AS$822:AS$1022
        ),
        MATCH($A26, Sheet1!N$822:N$1022, 0)
    ),
"")</f>
        <v/>
      </c>
      <c r="G26" s="152" t="str">
        <f>IFERROR(
    INDEX(
        CHOOSE(
            MATCH($C$1, {"All","Calls","Puts"}, 0),
            Sheet1!BN$1025:BN$1225,
            Sheet1!AR$1025:AR$1225,
            Sheet1!AS$1025:AS$1225
        ),
        MATCH($A26, Sheet1!N$1025:N$1225, 0)
    ),
"")</f>
        <v/>
      </c>
      <c r="H26" s="152" t="str">
        <f>IFERROR(
    INDEX(
        CHOOSE(
            MATCH($C$1, {"All","Calls","Puts"}, 0),
            Sheet1!BN$1228:BN$1428,
            Sheet1!AR$1228:AR$1428,
            Sheet1!AS$1228:AS$1428
        ),
        MATCH($A26, Sheet1!N$1228:N$1428, 0)
    ),
"")</f>
        <v/>
      </c>
      <c r="I26" s="152" t="str">
        <f>IFERROR(
    INDEX(
        CHOOSE(
            MATCH($C$1, {"All","Calls","Puts"}, 0),
            Sheet1!BN$1431:BN$1631,
            Sheet1!AR$1431:AR$1631,
            Sheet1!AS$1431:AS$1631
        ),
        MATCH($A26, Sheet1!N$1431:N$1631, 0)
    ),
"")</f>
        <v/>
      </c>
      <c r="J26" s="123">
        <f t="shared" si="0"/>
        <v>6900</v>
      </c>
      <c r="K26" s="97">
        <f t="shared" ca="1" si="1"/>
        <v>100393.76070507726</v>
      </c>
      <c r="L26" s="129">
        <f ca="1">IFERROR(MIN(0,INDEX(Sheet1!$AD$10:$AD$999,MATCH(A26,Sheet1!$N$10:$N$999,0))),0)</f>
        <v>-201332.91634609312</v>
      </c>
      <c r="M26" s="136">
        <f ca="1">IFERROR(MAX(0,INDEX(Sheet1!$AE$10:$AE$999,MATCH(A26,Sheet1!$N$10:$N$999,0))),0)</f>
        <v>394644.48495765869</v>
      </c>
      <c r="N26" s="111">
        <f t="shared" si="2"/>
        <v>6900</v>
      </c>
      <c r="O26" s="138">
        <f ca="1">IFERROR(MIN(0,INDEX(Sheet1!$AP$10:$AP$999,MATCH(A26,Sheet1!$N$10:$N$999,0))),0)</f>
        <v>0</v>
      </c>
      <c r="P26" s="141">
        <f ca="1">IFERROR(MAX(0,INDEX(Sheet1!$AO$10:$AO$999,MATCH(A26,Sheet1!$N$10:$N$999,0))),0)</f>
        <v>6964.0116909503286</v>
      </c>
      <c r="Q26" s="111">
        <f t="shared" si="3"/>
        <v>6900</v>
      </c>
      <c r="R26" s="140">
        <f ca="1">IFERROR(MIN(0,INDEX(Sheet1!$BK$10:$BK$999,MATCH(A26,Sheet1!$N$10:$N$999,0))),0)</f>
        <v>-13857602.349455994</v>
      </c>
      <c r="S26" s="141">
        <f ca="1">IFERROR(MAX(0,INDEX(Sheet1!$BK$10:$BK$999,MATCH(A26,Sheet1!$N$10:$N$999,0))),0)</f>
        <v>0</v>
      </c>
      <c r="T26" s="111">
        <f t="shared" si="4"/>
        <v>6900</v>
      </c>
      <c r="AA26" s="96"/>
      <c r="AZ26" s="7">
        <v>6935</v>
      </c>
      <c r="BA26" s="7">
        <v>6935</v>
      </c>
      <c r="BB26" s="7">
        <v>6895</v>
      </c>
    </row>
    <row r="27" spans="1:54" x14ac:dyDescent="0.3">
      <c r="A27" s="44">
        <v>6895</v>
      </c>
      <c r="B27" s="187">
        <f ca="1">IFERROR(
    INDEX(
        CHOOSE(
            MATCH($C$1, {"All","Calls","Puts"}, 0),
            Sheet1!BN$10:BN$210,
            Sheet1!AR$10:AR$210,
            Sheet1!AS$10:AS$210
        ),
        MATCH($A27, Sheet1!N$10:N$210, 0)
    ),
"")</f>
        <v>55721.980269326305</v>
      </c>
      <c r="C27" s="152" t="str">
        <f>IFERROR(
    INDEX(
        CHOOSE(
            MATCH($C$1, {"All","Calls","Puts"}, 0),
            Sheet1!BN$213:BN$413,
            Sheet1!AR$213:AR$413,
            Sheet1!AS$213:AS$413
        ),
        MATCH($A27, Sheet1!N$213:N$413, 0)
    ),
"")</f>
        <v/>
      </c>
      <c r="D27" s="152" t="str">
        <f>IFERROR(
    INDEX(
        CHOOSE(
            MATCH($C$1, {"All","Calls","Puts"}, 0),
            Sheet1!BN$416:BN$616,
            Sheet1!AR$416:AR$616,
            Sheet1!AS$416:AS$616
        ),
        MATCH($A27, Sheet1!N$416:N$616, 0)
    ),
"")</f>
        <v/>
      </c>
      <c r="E27" s="152" t="str">
        <f>IFERROR(
    INDEX(
        CHOOSE(
            MATCH($C$1, {"All","Calls","Puts"}, 0),
            Sheet1!BN$619:BN$819,
            Sheet1!AR$619:AR$819,
            Sheet1!AS$619:AS$819
        ),
        MATCH($A27, Sheet1!N$619:N$819, 0)
    ),
"")</f>
        <v/>
      </c>
      <c r="F27" s="152" t="str">
        <f>IFERROR(
    INDEX(
        CHOOSE(
            MATCH($C$1, {"All","Calls","Puts"}, 0),
            Sheet1!BN$822:BN$1022,
            Sheet1!AR$822:AR$1022,
            Sheet1!AS$822:AS$1022
        ),
        MATCH($A27, Sheet1!N$822:N$1022, 0)
    ),
"")</f>
        <v/>
      </c>
      <c r="G27" s="152" t="str">
        <f>IFERROR(
    INDEX(
        CHOOSE(
            MATCH($C$1, {"All","Calls","Puts"}, 0),
            Sheet1!BN$1025:BN$1225,
            Sheet1!AR$1025:AR$1225,
            Sheet1!AS$1025:AS$1225
        ),
        MATCH($A27, Sheet1!N$1025:N$1225, 0)
    ),
"")</f>
        <v/>
      </c>
      <c r="H27" s="152" t="str">
        <f>IFERROR(
    INDEX(
        CHOOSE(
            MATCH($C$1, {"All","Calls","Puts"}, 0),
            Sheet1!BN$1228:BN$1428,
            Sheet1!AR$1228:AR$1428,
            Sheet1!AS$1228:AS$1428
        ),
        MATCH($A27, Sheet1!N$1228:N$1428, 0)
    ),
"")</f>
        <v/>
      </c>
      <c r="I27" s="152" t="str">
        <f>IFERROR(
    INDEX(
        CHOOSE(
            MATCH($C$1, {"All","Calls","Puts"}, 0),
            Sheet1!BN$1431:BN$1631,
            Sheet1!AR$1431:AR$1631,
            Sheet1!AS$1431:AS$1631
        ),
        MATCH($A27, Sheet1!N$1431:N$1631, 0)
    ),
"")</f>
        <v/>
      </c>
      <c r="J27" s="123">
        <f t="shared" si="0"/>
        <v>6895</v>
      </c>
      <c r="K27" s="97">
        <f t="shared" ca="1" si="1"/>
        <v>55721.980269326305</v>
      </c>
      <c r="L27" s="129">
        <f ca="1">IFERROR(MIN(0,INDEX(Sheet1!$AD$10:$AD$999,MATCH(A27,Sheet1!$N$10:$N$999,0))),0)</f>
        <v>-20303.084525512731</v>
      </c>
      <c r="M27" s="136">
        <f ca="1">IFERROR(MAX(0,INDEX(Sheet1!$AE$10:$AE$999,MATCH(A27,Sheet1!$N$10:$N$999,0))),0)</f>
        <v>77362.411726401217</v>
      </c>
      <c r="N27" s="111">
        <f t="shared" si="2"/>
        <v>6895</v>
      </c>
      <c r="O27" s="138">
        <f ca="1">IFERROR(MIN(0,INDEX(Sheet1!$AP$10:$AP$999,MATCH(A27,Sheet1!$N$10:$N$999,0))),0)</f>
        <v>0</v>
      </c>
      <c r="P27" s="141">
        <f ca="1">IFERROR(MAX(0,INDEX(Sheet1!$AO$10:$AO$999,MATCH(A27,Sheet1!$N$10:$N$999,0))),0)</f>
        <v>1706.0420274452276</v>
      </c>
      <c r="Q27" s="111">
        <f t="shared" si="3"/>
        <v>6895</v>
      </c>
      <c r="R27" s="140">
        <f ca="1">IFERROR(MIN(0,INDEX(Sheet1!$BK$10:$BK$999,MATCH(A27,Sheet1!$N$10:$N$999,0))),0)</f>
        <v>-1418213.8077847897</v>
      </c>
      <c r="S27" s="141">
        <f ca="1">IFERROR(MAX(0,INDEX(Sheet1!$BK$10:$BK$999,MATCH(A27,Sheet1!$N$10:$N$999,0))),0)</f>
        <v>0</v>
      </c>
      <c r="T27" s="111">
        <f t="shared" si="4"/>
        <v>6895</v>
      </c>
      <c r="AA27" s="96"/>
      <c r="AZ27" s="7">
        <v>6940</v>
      </c>
      <c r="BA27" s="7">
        <v>6940</v>
      </c>
      <c r="BB27" s="7">
        <v>6890</v>
      </c>
    </row>
    <row r="28" spans="1:54" x14ac:dyDescent="0.3">
      <c r="A28" s="44">
        <v>6890</v>
      </c>
      <c r="B28" s="157">
        <f ca="1">IFERROR(
    INDEX(
        CHOOSE(
            MATCH($C$1, {"All","Calls","Puts"}, 0),
            Sheet1!BN$10:BN$210,
            Sheet1!AR$10:AR$210,
            Sheet1!AS$10:AS$210
        ),
        MATCH($A28, Sheet1!N$10:N$210, 0)
    ),
"")</f>
        <v>-30455.547558741149</v>
      </c>
      <c r="C28" s="152" t="str">
        <f>IFERROR(
    INDEX(
        CHOOSE(
            MATCH($C$1, {"All","Calls","Puts"}, 0),
            Sheet1!BN$213:BN$413,
            Sheet1!AR$213:AR$413,
            Sheet1!AS$213:AS$413
        ),
        MATCH($A28, Sheet1!N$213:N$413, 0)
    ),
"")</f>
        <v/>
      </c>
      <c r="D28" s="152" t="str">
        <f>IFERROR(
    INDEX(
        CHOOSE(
            MATCH($C$1, {"All","Calls","Puts"}, 0),
            Sheet1!BN$416:BN$616,
            Sheet1!AR$416:AR$616,
            Sheet1!AS$416:AS$616
        ),
        MATCH($A28, Sheet1!N$416:N$616, 0)
    ),
"")</f>
        <v/>
      </c>
      <c r="E28" s="152" t="str">
        <f>IFERROR(
    INDEX(
        CHOOSE(
            MATCH($C$1, {"All","Calls","Puts"}, 0),
            Sheet1!BN$619:BN$819,
            Sheet1!AR$619:AR$819,
            Sheet1!AS$619:AS$819
        ),
        MATCH($A28, Sheet1!N$619:N$819, 0)
    ),
"")</f>
        <v/>
      </c>
      <c r="F28" s="152" t="str">
        <f>IFERROR(
    INDEX(
        CHOOSE(
            MATCH($C$1, {"All","Calls","Puts"}, 0),
            Sheet1!BN$822:BN$1022,
            Sheet1!AR$822:AR$1022,
            Sheet1!AS$822:AS$1022
        ),
        MATCH($A28, Sheet1!N$822:N$1022, 0)
    ),
"")</f>
        <v/>
      </c>
      <c r="G28" s="152" t="str">
        <f>IFERROR(
    INDEX(
        CHOOSE(
            MATCH($C$1, {"All","Calls","Puts"}, 0),
            Sheet1!BN$1025:BN$1225,
            Sheet1!AR$1025:AR$1225,
            Sheet1!AS$1025:AS$1225
        ),
        MATCH($A28, Sheet1!N$1025:N$1225, 0)
    ),
"")</f>
        <v/>
      </c>
      <c r="H28" s="152" t="str">
        <f>IFERROR(
    INDEX(
        CHOOSE(
            MATCH($C$1, {"All","Calls","Puts"}, 0),
            Sheet1!BN$1228:BN$1428,
            Sheet1!AR$1228:AR$1428,
            Sheet1!AS$1228:AS$1428
        ),
        MATCH($A28, Sheet1!N$1228:N$1428, 0)
    ),
"")</f>
        <v/>
      </c>
      <c r="I28" s="152" t="str">
        <f>IFERROR(
    INDEX(
        CHOOSE(
            MATCH($C$1, {"All","Calls","Puts"}, 0),
            Sheet1!BN$1431:BN$1631,
            Sheet1!AR$1431:AR$1631,
            Sheet1!AS$1431:AS$1631
        ),
        MATCH($A28, Sheet1!N$1431:N$1631, 0)
    ),
"")</f>
        <v/>
      </c>
      <c r="J28" s="123">
        <f t="shared" si="0"/>
        <v>6890</v>
      </c>
      <c r="K28" s="97">
        <f t="shared" ca="1" si="1"/>
        <v>-30455.547558741149</v>
      </c>
      <c r="L28" s="129">
        <f ca="1">IFERROR(MIN(0,INDEX(Sheet1!$AD$10:$AD$999,MATCH(A28,Sheet1!$N$10:$N$999,0))),0)</f>
        <v>-23075.588605945955</v>
      </c>
      <c r="M28" s="136">
        <f ca="1">IFERROR(MAX(0,INDEX(Sheet1!$AE$10:$AE$999,MATCH(A28,Sheet1!$N$10:$N$999,0))),0)</f>
        <v>30825.193457781566</v>
      </c>
      <c r="N28" s="111">
        <f t="shared" si="2"/>
        <v>6890</v>
      </c>
      <c r="O28" s="138">
        <f ca="1">IFERROR(MIN(0,INDEX(Sheet1!$AP$10:$AP$999,MATCH(A28,Sheet1!$N$10:$N$999,0))),0)</f>
        <v>0</v>
      </c>
      <c r="P28" s="141">
        <f ca="1">IFERROR(MAX(0,INDEX(Sheet1!$AO$10:$AO$999,MATCH(A28,Sheet1!$N$10:$N$999,0))),0)</f>
        <v>821.82643913946936</v>
      </c>
      <c r="Q28" s="111">
        <f t="shared" si="3"/>
        <v>6890</v>
      </c>
      <c r="R28" s="140">
        <f ca="1">IFERROR(MIN(0,INDEX(Sheet1!$BK$10:$BK$999,MATCH(A28,Sheet1!$N$10:$N$999,0))),0)</f>
        <v>-638930.66718822741</v>
      </c>
      <c r="S28" s="141">
        <f ca="1">IFERROR(MAX(0,INDEX(Sheet1!$BK$10:$BK$999,MATCH(A28,Sheet1!$N$10:$N$999,0))),0)</f>
        <v>0</v>
      </c>
      <c r="T28" s="111">
        <f t="shared" si="4"/>
        <v>6890</v>
      </c>
      <c r="AA28" s="96"/>
      <c r="AZ28" s="7">
        <v>6945</v>
      </c>
      <c r="BA28" s="7">
        <v>6945</v>
      </c>
      <c r="BB28" s="7">
        <v>6885</v>
      </c>
    </row>
    <row r="29" spans="1:54" x14ac:dyDescent="0.3">
      <c r="A29" s="44">
        <v>6885</v>
      </c>
      <c r="B29" s="167">
        <f ca="1">IFERROR(
    INDEX(
        CHOOSE(
            MATCH($C$1, {"All","Calls","Puts"}, 0),
            Sheet1!BN$10:BN$210,
            Sheet1!AR$10:AR$210,
            Sheet1!AS$10:AS$210
        ),
        MATCH($A29, Sheet1!N$10:N$210, 0)
    ),
"")</f>
        <v>-9236.0439471965947</v>
      </c>
      <c r="C29" s="152" t="str">
        <f>IFERROR(
    INDEX(
        CHOOSE(
            MATCH($C$1, {"All","Calls","Puts"}, 0),
            Sheet1!BN$213:BN$413,
            Sheet1!AR$213:AR$413,
            Sheet1!AS$213:AS$413
        ),
        MATCH($A29, Sheet1!N$213:N$413, 0)
    ),
"")</f>
        <v/>
      </c>
      <c r="D29" s="152" t="str">
        <f>IFERROR(
    INDEX(
        CHOOSE(
            MATCH($C$1, {"All","Calls","Puts"}, 0),
            Sheet1!BN$416:BN$616,
            Sheet1!AR$416:AR$616,
            Sheet1!AS$416:AS$616
        ),
        MATCH($A29, Sheet1!N$416:N$616, 0)
    ),
"")</f>
        <v/>
      </c>
      <c r="E29" s="152" t="str">
        <f>IFERROR(
    INDEX(
        CHOOSE(
            MATCH($C$1, {"All","Calls","Puts"}, 0),
            Sheet1!BN$619:BN$819,
            Sheet1!AR$619:AR$819,
            Sheet1!AS$619:AS$819
        ),
        MATCH($A29, Sheet1!N$619:N$819, 0)
    ),
"")</f>
        <v/>
      </c>
      <c r="F29" s="152" t="str">
        <f>IFERROR(
    INDEX(
        CHOOSE(
            MATCH($C$1, {"All","Calls","Puts"}, 0),
            Sheet1!BN$822:BN$1022,
            Sheet1!AR$822:AR$1022,
            Sheet1!AS$822:AS$1022
        ),
        MATCH($A29, Sheet1!N$822:N$1022, 0)
    ),
"")</f>
        <v/>
      </c>
      <c r="G29" s="152" t="str">
        <f>IFERROR(
    INDEX(
        CHOOSE(
            MATCH($C$1, {"All","Calls","Puts"}, 0),
            Sheet1!BN$1025:BN$1225,
            Sheet1!AR$1025:AR$1225,
            Sheet1!AS$1025:AS$1225
        ),
        MATCH($A29, Sheet1!N$1025:N$1225, 0)
    ),
"")</f>
        <v/>
      </c>
      <c r="H29" s="152" t="str">
        <f>IFERROR(
    INDEX(
        CHOOSE(
            MATCH($C$1, {"All","Calls","Puts"}, 0),
            Sheet1!BN$1228:BN$1428,
            Sheet1!AR$1228:AR$1428,
            Sheet1!AS$1228:AS$1428
        ),
        MATCH($A29, Sheet1!N$1228:N$1428, 0)
    ),
"")</f>
        <v/>
      </c>
      <c r="I29" s="152" t="str">
        <f>IFERROR(
    INDEX(
        CHOOSE(
            MATCH($C$1, {"All","Calls","Puts"}, 0),
            Sheet1!BN$1431:BN$1631,
            Sheet1!AR$1431:AR$1631,
            Sheet1!AS$1431:AS$1631
        ),
        MATCH($A29, Sheet1!N$1431:N$1631, 0)
    ),
"")</f>
        <v/>
      </c>
      <c r="J29" s="123">
        <f t="shared" si="0"/>
        <v>6885</v>
      </c>
      <c r="K29" s="97">
        <f t="shared" ca="1" si="1"/>
        <v>-9236.0439471965947</v>
      </c>
      <c r="L29" s="129">
        <f ca="1">IFERROR(MIN(0,INDEX(Sheet1!$AD$10:$AD$999,MATCH(A29,Sheet1!$N$10:$N$999,0))),0)</f>
        <v>-13830.245320060687</v>
      </c>
      <c r="M29" s="136">
        <f ca="1">IFERROR(MAX(0,INDEX(Sheet1!$AE$10:$AE$999,MATCH(A29,Sheet1!$N$10:$N$999,0))),0)</f>
        <v>29994.476582039544</v>
      </c>
      <c r="N29" s="111">
        <f t="shared" si="2"/>
        <v>6885</v>
      </c>
      <c r="O29" s="138">
        <f ca="1">IFERROR(MIN(0,INDEX(Sheet1!$AP$10:$AP$999,MATCH(A29,Sheet1!$N$10:$N$999,0))),0)</f>
        <v>0</v>
      </c>
      <c r="P29" s="141">
        <f ca="1">IFERROR(MAX(0,INDEX(Sheet1!$AO$10:$AO$999,MATCH(A29,Sheet1!$N$10:$N$999,0))),0)</f>
        <v>945.61460180194047</v>
      </c>
      <c r="Q29" s="111">
        <f t="shared" si="3"/>
        <v>6885</v>
      </c>
      <c r="R29" s="140">
        <f ca="1">IFERROR(MIN(0,INDEX(Sheet1!$BK$10:$BK$999,MATCH(A29,Sheet1!$N$10:$N$999,0))),0)</f>
        <v>-144200.53294831573</v>
      </c>
      <c r="S29" s="141">
        <f ca="1">IFERROR(MAX(0,INDEX(Sheet1!$BK$10:$BK$999,MATCH(A29,Sheet1!$N$10:$N$999,0))),0)</f>
        <v>0</v>
      </c>
      <c r="T29" s="111">
        <f t="shared" si="4"/>
        <v>6885</v>
      </c>
      <c r="AA29" s="96"/>
      <c r="AZ29" s="7">
        <v>6950</v>
      </c>
      <c r="BA29" s="7">
        <v>6950</v>
      </c>
      <c r="BB29" s="7">
        <v>6880</v>
      </c>
    </row>
    <row r="30" spans="1:54" x14ac:dyDescent="0.3">
      <c r="A30" s="44">
        <v>6880</v>
      </c>
      <c r="B30" s="166">
        <f ca="1">IFERROR(
    INDEX(
        CHOOSE(
            MATCH($C$1, {"All","Calls","Puts"}, 0),
            Sheet1!BN$10:BN$210,
            Sheet1!AR$10:AR$210,
            Sheet1!AS$10:AS$210
        ),
        MATCH($A30, Sheet1!N$10:N$210, 0)
    ),
"")</f>
        <v>-60832.952602299192</v>
      </c>
      <c r="C30" s="152" t="str">
        <f>IFERROR(
    INDEX(
        CHOOSE(
            MATCH($C$1, {"All","Calls","Puts"}, 0),
            Sheet1!BN$213:BN$413,
            Sheet1!AR$213:AR$413,
            Sheet1!AS$213:AS$413
        ),
        MATCH($A30, Sheet1!N$213:N$413, 0)
    ),
"")</f>
        <v/>
      </c>
      <c r="D30" s="152" t="str">
        <f>IFERROR(
    INDEX(
        CHOOSE(
            MATCH($C$1, {"All","Calls","Puts"}, 0),
            Sheet1!BN$416:BN$616,
            Sheet1!AR$416:AR$616,
            Sheet1!AS$416:AS$616
        ),
        MATCH($A30, Sheet1!N$416:N$616, 0)
    ),
"")</f>
        <v/>
      </c>
      <c r="E30" s="152" t="str">
        <f>IFERROR(
    INDEX(
        CHOOSE(
            MATCH($C$1, {"All","Calls","Puts"}, 0),
            Sheet1!BN$619:BN$819,
            Sheet1!AR$619:AR$819,
            Sheet1!AS$619:AS$819
        ),
        MATCH($A30, Sheet1!N$619:N$819, 0)
    ),
"")</f>
        <v/>
      </c>
      <c r="F30" s="152" t="str">
        <f>IFERROR(
    INDEX(
        CHOOSE(
            MATCH($C$1, {"All","Calls","Puts"}, 0),
            Sheet1!BN$822:BN$1022,
            Sheet1!AR$822:AR$1022,
            Sheet1!AS$822:AS$1022
        ),
        MATCH($A30, Sheet1!N$822:N$1022, 0)
    ),
"")</f>
        <v/>
      </c>
      <c r="G30" s="152" t="str">
        <f>IFERROR(
    INDEX(
        CHOOSE(
            MATCH($C$1, {"All","Calls","Puts"}, 0),
            Sheet1!BN$1025:BN$1225,
            Sheet1!AR$1025:AR$1225,
            Sheet1!AS$1025:AS$1225
        ),
        MATCH($A30, Sheet1!N$1025:N$1225, 0)
    ),
"")</f>
        <v/>
      </c>
      <c r="H30" s="152" t="str">
        <f>IFERROR(
    INDEX(
        CHOOSE(
            MATCH($C$1, {"All","Calls","Puts"}, 0),
            Sheet1!BN$1228:BN$1428,
            Sheet1!AR$1228:AR$1428,
            Sheet1!AS$1228:AS$1428
        ),
        MATCH($A30, Sheet1!N$1228:N$1428, 0)
    ),
"")</f>
        <v/>
      </c>
      <c r="I30" s="152" t="str">
        <f>IFERROR(
    INDEX(
        CHOOSE(
            MATCH($C$1, {"All","Calls","Puts"}, 0),
            Sheet1!BN$1431:BN$1631,
            Sheet1!AR$1431:AR$1631,
            Sheet1!AS$1431:AS$1631
        ),
        MATCH($A30, Sheet1!N$1431:N$1631, 0)
    ),
"")</f>
        <v/>
      </c>
      <c r="J30" s="123">
        <f t="shared" si="0"/>
        <v>6880</v>
      </c>
      <c r="K30" s="97">
        <f t="shared" ca="1" si="1"/>
        <v>-60832.952602299192</v>
      </c>
      <c r="L30" s="129">
        <f ca="1">IFERROR(MIN(0,INDEX(Sheet1!$AD$10:$AD$999,MATCH(A30,Sheet1!$N$10:$N$999,0))),0)</f>
        <v>-31538.311116457866</v>
      </c>
      <c r="M30" s="136">
        <f ca="1">IFERROR(MAX(0,INDEX(Sheet1!$AE$10:$AE$999,MATCH(A30,Sheet1!$N$10:$N$999,0))),0)</f>
        <v>49583.960079558703</v>
      </c>
      <c r="N30" s="111">
        <f t="shared" si="2"/>
        <v>6880</v>
      </c>
      <c r="O30" s="138">
        <f ca="1">IFERROR(MIN(0,INDEX(Sheet1!$AP$10:$AP$999,MATCH(A30,Sheet1!$N$10:$N$999,0))),0)</f>
        <v>0</v>
      </c>
      <c r="P30" s="141">
        <f ca="1">IFERROR(MAX(0,INDEX(Sheet1!$AO$10:$AO$999,MATCH(A30,Sheet1!$N$10:$N$999,0))),0)</f>
        <v>1837.0416519633181</v>
      </c>
      <c r="Q30" s="111">
        <f t="shared" si="3"/>
        <v>6880</v>
      </c>
      <c r="R30" s="140">
        <f ca="1">IFERROR(MIN(0,INDEX(Sheet1!$BK$10:$BK$999,MATCH(A30,Sheet1!$N$10:$N$999,0))),0)</f>
        <v>0</v>
      </c>
      <c r="S30" s="141">
        <f ca="1">IFERROR(MAX(0,INDEX(Sheet1!$BK$10:$BK$999,MATCH(A30,Sheet1!$N$10:$N$999,0))),0)</f>
        <v>313582.58761205367</v>
      </c>
      <c r="T30" s="111">
        <f t="shared" si="4"/>
        <v>6880</v>
      </c>
      <c r="AA30" s="96"/>
      <c r="AZ30" s="7">
        <v>6955</v>
      </c>
      <c r="BA30" s="7">
        <v>6955</v>
      </c>
      <c r="BB30" s="7">
        <v>6875</v>
      </c>
    </row>
    <row r="31" spans="1:54" x14ac:dyDescent="0.3">
      <c r="A31" s="44">
        <v>6875</v>
      </c>
      <c r="B31" s="168">
        <f ca="1">IFERROR(
    INDEX(
        CHOOSE(
            MATCH($C$1, {"All","Calls","Puts"}, 0),
            Sheet1!BN$10:BN$210,
            Sheet1!AR$10:AR$210,
            Sheet1!AS$10:AS$210
        ),
        MATCH($A31, Sheet1!N$10:N$210, 0)
    ),
"")</f>
        <v>-92851.223065036815</v>
      </c>
      <c r="C31" s="152" t="str">
        <f>IFERROR(
    INDEX(
        CHOOSE(
            MATCH($C$1, {"All","Calls","Puts"}, 0),
            Sheet1!BN$213:BN$413,
            Sheet1!AR$213:AR$413,
            Sheet1!AS$213:AS$413
        ),
        MATCH($A31, Sheet1!N$213:N$413, 0)
    ),
"")</f>
        <v/>
      </c>
      <c r="D31" s="152" t="str">
        <f>IFERROR(
    INDEX(
        CHOOSE(
            MATCH($C$1, {"All","Calls","Puts"}, 0),
            Sheet1!BN$416:BN$616,
            Sheet1!AR$416:AR$616,
            Sheet1!AS$416:AS$616
        ),
        MATCH($A31, Sheet1!N$416:N$616, 0)
    ),
"")</f>
        <v/>
      </c>
      <c r="E31" s="152" t="str">
        <f>IFERROR(
    INDEX(
        CHOOSE(
            MATCH($C$1, {"All","Calls","Puts"}, 0),
            Sheet1!BN$619:BN$819,
            Sheet1!AR$619:AR$819,
            Sheet1!AS$619:AS$819
        ),
        MATCH($A31, Sheet1!N$619:N$819, 0)
    ),
"")</f>
        <v/>
      </c>
      <c r="F31" s="152" t="str">
        <f>IFERROR(
    INDEX(
        CHOOSE(
            MATCH($C$1, {"All","Calls","Puts"}, 0),
            Sheet1!BN$822:BN$1022,
            Sheet1!AR$822:AR$1022,
            Sheet1!AS$822:AS$1022
        ),
        MATCH($A31, Sheet1!N$822:N$1022, 0)
    ),
"")</f>
        <v/>
      </c>
      <c r="G31" s="152" t="str">
        <f>IFERROR(
    INDEX(
        CHOOSE(
            MATCH($C$1, {"All","Calls","Puts"}, 0),
            Sheet1!BN$1025:BN$1225,
            Sheet1!AR$1025:AR$1225,
            Sheet1!AS$1025:AS$1225
        ),
        MATCH($A31, Sheet1!N$1025:N$1225, 0)
    ),
"")</f>
        <v/>
      </c>
      <c r="H31" s="152" t="str">
        <f>IFERROR(
    INDEX(
        CHOOSE(
            MATCH($C$1, {"All","Calls","Puts"}, 0),
            Sheet1!BN$1228:BN$1428,
            Sheet1!AR$1228:AR$1428,
            Sheet1!AS$1228:AS$1428
        ),
        MATCH($A31, Sheet1!N$1228:N$1428, 0)
    ),
"")</f>
        <v/>
      </c>
      <c r="I31" s="152" t="str">
        <f>IFERROR(
    INDEX(
        CHOOSE(
            MATCH($C$1, {"All","Calls","Puts"}, 0),
            Sheet1!BN$1431:BN$1631,
            Sheet1!AR$1431:AR$1631,
            Sheet1!AS$1431:AS$1631
        ),
        MATCH($A31, Sheet1!N$1431:N$1631, 0)
    ),
"")</f>
        <v/>
      </c>
      <c r="J31" s="123">
        <f t="shared" si="0"/>
        <v>6875</v>
      </c>
      <c r="K31" s="97">
        <f t="shared" ca="1" si="1"/>
        <v>-92851.223065036815</v>
      </c>
      <c r="L31" s="129">
        <f ca="1">IFERROR(MIN(0,INDEX(Sheet1!$AD$10:$AD$999,MATCH(A31,Sheet1!$N$10:$N$999,0))),0)</f>
        <v>-36290.237581342451</v>
      </c>
      <c r="M31" s="136">
        <f ca="1">IFERROR(MAX(0,INDEX(Sheet1!$AE$10:$AE$999,MATCH(A31,Sheet1!$N$10:$N$999,0))),0)</f>
        <v>55841.87998995751</v>
      </c>
      <c r="N31" s="111">
        <f t="shared" si="2"/>
        <v>6875</v>
      </c>
      <c r="O31" s="138">
        <f ca="1">IFERROR(MIN(0,INDEX(Sheet1!$AP$10:$AP$999,MATCH(A31,Sheet1!$N$10:$N$999,0))),0)</f>
        <v>0</v>
      </c>
      <c r="P31" s="141">
        <f ca="1">IFERROR(MAX(0,INDEX(Sheet1!$AO$10:$AO$999,MATCH(A31,Sheet1!$N$10:$N$999,0))),0)</f>
        <v>2464.8454975529794</v>
      </c>
      <c r="Q31" s="111">
        <f t="shared" si="3"/>
        <v>6875</v>
      </c>
      <c r="R31" s="140">
        <f ca="1">IFERROR(MIN(0,INDEX(Sheet1!$BK$10:$BK$999,MATCH(A31,Sheet1!$N$10:$N$999,0))),0)</f>
        <v>0</v>
      </c>
      <c r="S31" s="141">
        <f ca="1">IFERROR(MAX(0,INDEX(Sheet1!$BK$10:$BK$999,MATCH(A31,Sheet1!$N$10:$N$999,0))),0)</f>
        <v>1210686.6846668248</v>
      </c>
      <c r="T31" s="111">
        <f t="shared" si="4"/>
        <v>6875</v>
      </c>
      <c r="AA31" s="96"/>
      <c r="AZ31" s="7">
        <v>6960</v>
      </c>
      <c r="BA31" s="7">
        <v>6960</v>
      </c>
      <c r="BB31" s="7">
        <v>6870</v>
      </c>
    </row>
    <row r="32" spans="1:54" x14ac:dyDescent="0.3">
      <c r="A32" s="44">
        <v>6870</v>
      </c>
      <c r="B32" s="188">
        <f ca="1">IFERROR(
    INDEX(
        CHOOSE(
            MATCH($C$1, {"All","Calls","Puts"}, 0),
            Sheet1!BN$10:BN$210,
            Sheet1!AR$10:AR$210,
            Sheet1!AS$10:AS$210
        ),
        MATCH($A32, Sheet1!N$10:N$210, 0)
    ),
"")</f>
        <v>-80366.693801793997</v>
      </c>
      <c r="C32" s="152" t="str">
        <f>IFERROR(
    INDEX(
        CHOOSE(
            MATCH($C$1, {"All","Calls","Puts"}, 0),
            Sheet1!BN$213:BN$413,
            Sheet1!AR$213:AR$413,
            Sheet1!AS$213:AS$413
        ),
        MATCH($A32, Sheet1!N$213:N$413, 0)
    ),
"")</f>
        <v/>
      </c>
      <c r="D32" s="152" t="str">
        <f>IFERROR(
    INDEX(
        CHOOSE(
            MATCH($C$1, {"All","Calls","Puts"}, 0),
            Sheet1!BN$416:BN$616,
            Sheet1!AR$416:AR$616,
            Sheet1!AS$416:AS$616
        ),
        MATCH($A32, Sheet1!N$416:N$616, 0)
    ),
"")</f>
        <v/>
      </c>
      <c r="E32" s="152" t="str">
        <f>IFERROR(
    INDEX(
        CHOOSE(
            MATCH($C$1, {"All","Calls","Puts"}, 0),
            Sheet1!BN$619:BN$819,
            Sheet1!AR$619:AR$819,
            Sheet1!AS$619:AS$819
        ),
        MATCH($A32, Sheet1!N$619:N$819, 0)
    ),
"")</f>
        <v/>
      </c>
      <c r="F32" s="152" t="str">
        <f>IFERROR(
    INDEX(
        CHOOSE(
            MATCH($C$1, {"All","Calls","Puts"}, 0),
            Sheet1!BN$822:BN$1022,
            Sheet1!AR$822:AR$1022,
            Sheet1!AS$822:AS$1022
        ),
        MATCH($A32, Sheet1!N$822:N$1022, 0)
    ),
"")</f>
        <v/>
      </c>
      <c r="G32" s="152" t="str">
        <f>IFERROR(
    INDEX(
        CHOOSE(
            MATCH($C$1, {"All","Calls","Puts"}, 0),
            Sheet1!BN$1025:BN$1225,
            Sheet1!AR$1025:AR$1225,
            Sheet1!AS$1025:AS$1225
        ),
        MATCH($A32, Sheet1!N$1025:N$1225, 0)
    ),
"")</f>
        <v/>
      </c>
      <c r="H32" s="152" t="str">
        <f>IFERROR(
    INDEX(
        CHOOSE(
            MATCH($C$1, {"All","Calls","Puts"}, 0),
            Sheet1!BN$1228:BN$1428,
            Sheet1!AR$1228:AR$1428,
            Sheet1!AS$1228:AS$1428
        ),
        MATCH($A32, Sheet1!N$1228:N$1428, 0)
    ),
"")</f>
        <v/>
      </c>
      <c r="I32" s="152" t="str">
        <f>IFERROR(
    INDEX(
        CHOOSE(
            MATCH($C$1, {"All","Calls","Puts"}, 0),
            Sheet1!BN$1431:BN$1631,
            Sheet1!AR$1431:AR$1631,
            Sheet1!AS$1431:AS$1631
        ),
        MATCH($A32, Sheet1!N$1431:N$1631, 0)
    ),
"")</f>
        <v/>
      </c>
      <c r="J32" s="123">
        <f t="shared" si="0"/>
        <v>6870</v>
      </c>
      <c r="K32" s="97">
        <f t="shared" ca="1" si="1"/>
        <v>-80366.693801793997</v>
      </c>
      <c r="L32" s="129">
        <f ca="1">IFERROR(MIN(0,INDEX(Sheet1!$AD$10:$AD$999,MATCH(A32,Sheet1!$N$10:$N$999,0))),0)</f>
        <v>-21131.014365451771</v>
      </c>
      <c r="M32" s="136">
        <f ca="1">IFERROR(MAX(0,INDEX(Sheet1!$AE$10:$AE$999,MATCH(A32,Sheet1!$N$10:$N$999,0))),0)</f>
        <v>18028.893874746562</v>
      </c>
      <c r="N32" s="111">
        <f t="shared" si="2"/>
        <v>6870</v>
      </c>
      <c r="O32" s="138">
        <f ca="1">IFERROR(MIN(0,INDEX(Sheet1!$AP$10:$AP$999,MATCH(A32,Sheet1!$N$10:$N$999,0))),0)</f>
        <v>0</v>
      </c>
      <c r="P32" s="141">
        <f ca="1">IFERROR(MAX(0,INDEX(Sheet1!$AO$10:$AO$999,MATCH(A32,Sheet1!$N$10:$N$999,0))),0)</f>
        <v>918.82895931118446</v>
      </c>
      <c r="Q32" s="111">
        <f t="shared" si="3"/>
        <v>6870</v>
      </c>
      <c r="R32" s="140">
        <f ca="1">IFERROR(MIN(0,INDEX(Sheet1!$BK$10:$BK$999,MATCH(A32,Sheet1!$N$10:$N$999,0))),0)</f>
        <v>0</v>
      </c>
      <c r="S32" s="141">
        <f ca="1">IFERROR(MAX(0,INDEX(Sheet1!$BK$10:$BK$999,MATCH(A32,Sheet1!$N$10:$N$999,0))),0)</f>
        <v>1050910.4459852814</v>
      </c>
      <c r="T32" s="111">
        <f t="shared" si="4"/>
        <v>6870</v>
      </c>
      <c r="AA32" s="96"/>
      <c r="AZ32" s="7">
        <v>6965</v>
      </c>
      <c r="BA32" s="7">
        <v>6965</v>
      </c>
      <c r="BB32" s="7">
        <v>6865</v>
      </c>
    </row>
    <row r="33" spans="1:54" x14ac:dyDescent="0.3">
      <c r="A33" s="44">
        <v>6865</v>
      </c>
      <c r="B33" s="170">
        <f ca="1">IFERROR(
    INDEX(
        CHOOSE(
            MATCH($C$1, {"All","Calls","Puts"}, 0),
            Sheet1!BN$10:BN$210,
            Sheet1!AR$10:AR$210,
            Sheet1!AS$10:AS$210
        ),
        MATCH($A33, Sheet1!N$10:N$210, 0)
    ),
"")</f>
        <v>-38416.986520535647</v>
      </c>
      <c r="C33" s="152" t="str">
        <f>IFERROR(
    INDEX(
        CHOOSE(
            MATCH($C$1, {"All","Calls","Puts"}, 0),
            Sheet1!BN$213:BN$413,
            Sheet1!AR$213:AR$413,
            Sheet1!AS$213:AS$413
        ),
        MATCH($A33, Sheet1!N$213:N$413, 0)
    ),
"")</f>
        <v/>
      </c>
      <c r="D33" s="152" t="str">
        <f>IFERROR(
    INDEX(
        CHOOSE(
            MATCH($C$1, {"All","Calls","Puts"}, 0),
            Sheet1!BN$416:BN$616,
            Sheet1!AR$416:AR$616,
            Sheet1!AS$416:AS$616
        ),
        MATCH($A33, Sheet1!N$416:N$616, 0)
    ),
"")</f>
        <v/>
      </c>
      <c r="E33" s="152" t="str">
        <f>IFERROR(
    INDEX(
        CHOOSE(
            MATCH($C$1, {"All","Calls","Puts"}, 0),
            Sheet1!BN$619:BN$819,
            Sheet1!AR$619:AR$819,
            Sheet1!AS$619:AS$819
        ),
        MATCH($A33, Sheet1!N$619:N$819, 0)
    ),
"")</f>
        <v/>
      </c>
      <c r="F33" s="152" t="str">
        <f>IFERROR(
    INDEX(
        CHOOSE(
            MATCH($C$1, {"All","Calls","Puts"}, 0),
            Sheet1!BN$822:BN$1022,
            Sheet1!AR$822:AR$1022,
            Sheet1!AS$822:AS$1022
        ),
        MATCH($A33, Sheet1!N$822:N$1022, 0)
    ),
"")</f>
        <v/>
      </c>
      <c r="G33" s="152" t="str">
        <f>IFERROR(
    INDEX(
        CHOOSE(
            MATCH($C$1, {"All","Calls","Puts"}, 0),
            Sheet1!BN$1025:BN$1225,
            Sheet1!AR$1025:AR$1225,
            Sheet1!AS$1025:AS$1225
        ),
        MATCH($A33, Sheet1!N$1025:N$1225, 0)
    ),
"")</f>
        <v/>
      </c>
      <c r="H33" s="152" t="str">
        <f>IFERROR(
    INDEX(
        CHOOSE(
            MATCH($C$1, {"All","Calls","Puts"}, 0),
            Sheet1!BN$1228:BN$1428,
            Sheet1!AR$1228:AR$1428,
            Sheet1!AS$1228:AS$1428
        ),
        MATCH($A33, Sheet1!N$1228:N$1428, 0)
    ),
"")</f>
        <v/>
      </c>
      <c r="I33" s="152" t="str">
        <f>IFERROR(
    INDEX(
        CHOOSE(
            MATCH($C$1, {"All","Calls","Puts"}, 0),
            Sheet1!BN$1431:BN$1631,
            Sheet1!AR$1431:AR$1631,
            Sheet1!AS$1431:AS$1631
        ),
        MATCH($A33, Sheet1!N$1431:N$1631, 0)
    ),
"")</f>
        <v/>
      </c>
      <c r="J33" s="123">
        <f t="shared" si="0"/>
        <v>6865</v>
      </c>
      <c r="K33" s="97">
        <f t="shared" ca="1" si="1"/>
        <v>-38416.986520535647</v>
      </c>
      <c r="L33" s="129">
        <f ca="1">IFERROR(MIN(0,INDEX(Sheet1!$AD$10:$AD$999,MATCH(A33,Sheet1!$N$10:$N$999,0))),0)</f>
        <v>-8887.6301759698308</v>
      </c>
      <c r="M33" s="136">
        <f ca="1">IFERROR(MAX(0,INDEX(Sheet1!$AE$10:$AE$999,MATCH(A33,Sheet1!$N$10:$N$999,0))),0)</f>
        <v>7774.8133972278565</v>
      </c>
      <c r="N33" s="111">
        <f t="shared" si="2"/>
        <v>6865</v>
      </c>
      <c r="O33" s="138">
        <f ca="1">IFERROR(MIN(0,INDEX(Sheet1!$AP$10:$AP$999,MATCH(A33,Sheet1!$N$10:$N$999,0))),0)</f>
        <v>0</v>
      </c>
      <c r="P33" s="141">
        <f ca="1">IFERROR(MAX(0,INDEX(Sheet1!$AO$10:$AO$999,MATCH(A33,Sheet1!$N$10:$N$999,0))),0)</f>
        <v>500.64827016985544</v>
      </c>
      <c r="Q33" s="111">
        <f t="shared" si="3"/>
        <v>6865</v>
      </c>
      <c r="R33" s="140">
        <f ca="1">IFERROR(MIN(0,INDEX(Sheet1!$BK$10:$BK$999,MATCH(A33,Sheet1!$N$10:$N$999,0))),0)</f>
        <v>0</v>
      </c>
      <c r="S33" s="141">
        <f ca="1">IFERROR(MAX(0,INDEX(Sheet1!$BK$10:$BK$999,MATCH(A33,Sheet1!$N$10:$N$999,0))),0)</f>
        <v>694192.4145469846</v>
      </c>
      <c r="T33" s="111">
        <f t="shared" si="4"/>
        <v>6865</v>
      </c>
      <c r="AA33" s="96"/>
      <c r="AZ33" s="7">
        <v>6970</v>
      </c>
      <c r="BA33" s="7">
        <v>6970</v>
      </c>
      <c r="BB33" s="7">
        <v>6860</v>
      </c>
    </row>
    <row r="34" spans="1:54" x14ac:dyDescent="0.3">
      <c r="A34" s="44">
        <v>6860</v>
      </c>
      <c r="B34" s="171">
        <f ca="1">IFERROR(
    INDEX(
        CHOOSE(
            MATCH($C$1, {"All","Calls","Puts"}, 0),
            Sheet1!BN$10:BN$210,
            Sheet1!AR$10:AR$210,
            Sheet1!AS$10:AS$210
        ),
        MATCH($A34, Sheet1!N$10:N$210, 0)
    ),
"")</f>
        <v>-102714.39801394541</v>
      </c>
      <c r="C34" s="152" t="str">
        <f>IFERROR(
    INDEX(
        CHOOSE(
            MATCH($C$1, {"All","Calls","Puts"}, 0),
            Sheet1!BN$213:BN$413,
            Sheet1!AR$213:AR$413,
            Sheet1!AS$213:AS$413
        ),
        MATCH($A34, Sheet1!N$213:N$413, 0)
    ),
"")</f>
        <v/>
      </c>
      <c r="D34" s="152" t="str">
        <f>IFERROR(
    INDEX(
        CHOOSE(
            MATCH($C$1, {"All","Calls","Puts"}, 0),
            Sheet1!BN$416:BN$616,
            Sheet1!AR$416:AR$616,
            Sheet1!AS$416:AS$616
        ),
        MATCH($A34, Sheet1!N$416:N$616, 0)
    ),
"")</f>
        <v/>
      </c>
      <c r="E34" s="152" t="str">
        <f>IFERROR(
    INDEX(
        CHOOSE(
            MATCH($C$1, {"All","Calls","Puts"}, 0),
            Sheet1!BN$619:BN$819,
            Sheet1!AR$619:AR$819,
            Sheet1!AS$619:AS$819
        ),
        MATCH($A34, Sheet1!N$619:N$819, 0)
    ),
"")</f>
        <v/>
      </c>
      <c r="F34" s="152" t="str">
        <f>IFERROR(
    INDEX(
        CHOOSE(
            MATCH($C$1, {"All","Calls","Puts"}, 0),
            Sheet1!BN$822:BN$1022,
            Sheet1!AR$822:AR$1022,
            Sheet1!AS$822:AS$1022
        ),
        MATCH($A34, Sheet1!N$822:N$1022, 0)
    ),
"")</f>
        <v/>
      </c>
      <c r="G34" s="152" t="str">
        <f>IFERROR(
    INDEX(
        CHOOSE(
            MATCH($C$1, {"All","Calls","Puts"}, 0),
            Sheet1!BN$1025:BN$1225,
            Sheet1!AR$1025:AR$1225,
            Sheet1!AS$1025:AS$1225
        ),
        MATCH($A34, Sheet1!N$1025:N$1225, 0)
    ),
"")</f>
        <v/>
      </c>
      <c r="H34" s="152" t="str">
        <f>IFERROR(
    INDEX(
        CHOOSE(
            MATCH($C$1, {"All","Calls","Puts"}, 0),
            Sheet1!BN$1228:BN$1428,
            Sheet1!AR$1228:AR$1428,
            Sheet1!AS$1228:AS$1428
        ),
        MATCH($A34, Sheet1!N$1228:N$1428, 0)
    ),
"")</f>
        <v/>
      </c>
      <c r="I34" s="152" t="str">
        <f>IFERROR(
    INDEX(
        CHOOSE(
            MATCH($C$1, {"All","Calls","Puts"}, 0),
            Sheet1!BN$1431:BN$1631,
            Sheet1!AR$1431:AR$1631,
            Sheet1!AS$1431:AS$1631
        ),
        MATCH($A34, Sheet1!N$1431:N$1631, 0)
    ),
"")</f>
        <v/>
      </c>
      <c r="J34" s="123">
        <f t="shared" si="0"/>
        <v>6860</v>
      </c>
      <c r="K34" s="97">
        <f t="shared" ca="1" si="1"/>
        <v>-102714.39801394541</v>
      </c>
      <c r="L34" s="129">
        <f ca="1">IFERROR(MIN(0,INDEX(Sheet1!$AD$10:$AD$999,MATCH(A34,Sheet1!$N$10:$N$999,0))),0)</f>
        <v>-18717.085170096823</v>
      </c>
      <c r="M34" s="136">
        <f ca="1">IFERROR(MAX(0,INDEX(Sheet1!$AE$10:$AE$999,MATCH(A34,Sheet1!$N$10:$N$999,0))),0)</f>
        <v>7164.5198970254032</v>
      </c>
      <c r="N34" s="111">
        <f t="shared" si="2"/>
        <v>6860</v>
      </c>
      <c r="O34" s="138">
        <f ca="1">IFERROR(MIN(0,INDEX(Sheet1!$AP$10:$AP$999,MATCH(A34,Sheet1!$N$10:$N$999,0))),0)</f>
        <v>0</v>
      </c>
      <c r="P34" s="141">
        <f ca="1">IFERROR(MAX(0,INDEX(Sheet1!$AO$10:$AO$999,MATCH(A34,Sheet1!$N$10:$N$999,0))),0)</f>
        <v>701.37634550534369</v>
      </c>
      <c r="Q34" s="111">
        <f t="shared" si="3"/>
        <v>6860</v>
      </c>
      <c r="R34" s="140">
        <f ca="1">IFERROR(MIN(0,INDEX(Sheet1!$BK$10:$BK$999,MATCH(A34,Sheet1!$N$10:$N$999,0))),0)</f>
        <v>0</v>
      </c>
      <c r="S34" s="141">
        <f ca="1">IFERROR(MAX(0,INDEX(Sheet1!$BK$10:$BK$999,MATCH(A34,Sheet1!$N$10:$N$999,0))),0)</f>
        <v>1871147.2068929477</v>
      </c>
      <c r="T34" s="111">
        <f t="shared" si="4"/>
        <v>6860</v>
      </c>
      <c r="AA34" s="96"/>
      <c r="AZ34" s="7">
        <v>6975</v>
      </c>
      <c r="BA34" s="7">
        <v>6975</v>
      </c>
      <c r="BB34" s="7">
        <v>6855</v>
      </c>
    </row>
    <row r="35" spans="1:54" x14ac:dyDescent="0.3">
      <c r="A35" s="44">
        <v>6855</v>
      </c>
      <c r="B35" s="156">
        <f ca="1">IFERROR(
    INDEX(
        CHOOSE(
            MATCH($C$1, {"All","Calls","Puts"}, 0),
            Sheet1!BN$10:BN$210,
            Sheet1!AR$10:AR$210,
            Sheet1!AS$10:AS$210
        ),
        MATCH($A35, Sheet1!N$10:N$210, 0)
    ),
"")</f>
        <v>-29236.478890530787</v>
      </c>
      <c r="C35" s="152" t="str">
        <f>IFERROR(
    INDEX(
        CHOOSE(
            MATCH($C$1, {"All","Calls","Puts"}, 0),
            Sheet1!BN$213:BN$413,
            Sheet1!AR$213:AR$413,
            Sheet1!AS$213:AS$413
        ),
        MATCH($A35, Sheet1!N$213:N$413, 0)
    ),
"")</f>
        <v/>
      </c>
      <c r="D35" s="152" t="str">
        <f>IFERROR(
    INDEX(
        CHOOSE(
            MATCH($C$1, {"All","Calls","Puts"}, 0),
            Sheet1!BN$416:BN$616,
            Sheet1!AR$416:AR$616,
            Sheet1!AS$416:AS$616
        ),
        MATCH($A35, Sheet1!N$416:N$616, 0)
    ),
"")</f>
        <v/>
      </c>
      <c r="E35" s="152" t="str">
        <f>IFERROR(
    INDEX(
        CHOOSE(
            MATCH($C$1, {"All","Calls","Puts"}, 0),
            Sheet1!BN$619:BN$819,
            Sheet1!AR$619:AR$819,
            Sheet1!AS$619:AS$819
        ),
        MATCH($A35, Sheet1!N$619:N$819, 0)
    ),
"")</f>
        <v/>
      </c>
      <c r="F35" s="152" t="str">
        <f>IFERROR(
    INDEX(
        CHOOSE(
            MATCH($C$1, {"All","Calls","Puts"}, 0),
            Sheet1!BN$822:BN$1022,
            Sheet1!AR$822:AR$1022,
            Sheet1!AS$822:AS$1022
        ),
        MATCH($A35, Sheet1!N$822:N$1022, 0)
    ),
"")</f>
        <v/>
      </c>
      <c r="G35" s="152" t="str">
        <f>IFERROR(
    INDEX(
        CHOOSE(
            MATCH($C$1, {"All","Calls","Puts"}, 0),
            Sheet1!BN$1025:BN$1225,
            Sheet1!AR$1025:AR$1225,
            Sheet1!AS$1025:AS$1225
        ),
        MATCH($A35, Sheet1!N$1025:N$1225, 0)
    ),
"")</f>
        <v/>
      </c>
      <c r="H35" s="152" t="str">
        <f>IFERROR(
    INDEX(
        CHOOSE(
            MATCH($C$1, {"All","Calls","Puts"}, 0),
            Sheet1!BN$1228:BN$1428,
            Sheet1!AR$1228:AR$1428,
            Sheet1!AS$1228:AS$1428
        ),
        MATCH($A35, Sheet1!N$1228:N$1428, 0)
    ),
"")</f>
        <v/>
      </c>
      <c r="I35" s="152" t="str">
        <f>IFERROR(
    INDEX(
        CHOOSE(
            MATCH($C$1, {"All","Calls","Puts"}, 0),
            Sheet1!BN$1431:BN$1631,
            Sheet1!AR$1431:AR$1631,
            Sheet1!AS$1431:AS$1631
        ),
        MATCH($A35, Sheet1!N$1431:N$1631, 0)
    ),
"")</f>
        <v/>
      </c>
      <c r="J35" s="123">
        <f t="shared" si="0"/>
        <v>6855</v>
      </c>
      <c r="K35" s="97">
        <f t="shared" ca="1" si="1"/>
        <v>-29236.478890530787</v>
      </c>
      <c r="L35" s="129">
        <f ca="1">IFERROR(MIN(0,INDEX(Sheet1!$AD$10:$AD$999,MATCH(A35,Sheet1!$N$10:$N$999,0))),0)</f>
        <v>-4385.4718335796179</v>
      </c>
      <c r="M35" s="136">
        <f ca="1">IFERROR(MAX(0,INDEX(Sheet1!$AE$10:$AE$999,MATCH(A35,Sheet1!$N$10:$N$999,0))),0)</f>
        <v>1.2230835631178991E-72</v>
      </c>
      <c r="N35" s="111">
        <f t="shared" si="2"/>
        <v>6855</v>
      </c>
      <c r="O35" s="138">
        <f ca="1">IFERROR(MIN(0,INDEX(Sheet1!$AP$10:$AP$999,MATCH(A35,Sheet1!$N$10:$N$999,0))),0)</f>
        <v>0</v>
      </c>
      <c r="P35" s="141">
        <f ca="1">IFERROR(MAX(0,INDEX(Sheet1!$AO$10:$AO$999,MATCH(A35,Sheet1!$N$10:$N$999,0))),0)</f>
        <v>8.1847367139496398E-72</v>
      </c>
      <c r="Q35" s="111">
        <f t="shared" si="3"/>
        <v>6855</v>
      </c>
      <c r="R35" s="140">
        <f ca="1">IFERROR(MIN(0,INDEX(Sheet1!$BK$10:$BK$999,MATCH(A35,Sheet1!$N$10:$N$999,0))),0)</f>
        <v>0</v>
      </c>
      <c r="S35" s="141">
        <f ca="1">IFERROR(MAX(0,INDEX(Sheet1!$BK$10:$BK$999,MATCH(A35,Sheet1!$N$10:$N$999,0))),0)</f>
        <v>548969.22516351799</v>
      </c>
      <c r="T35" s="111">
        <f t="shared" si="4"/>
        <v>6855</v>
      </c>
      <c r="AA35" s="96"/>
      <c r="AZ35" s="7">
        <v>6980</v>
      </c>
      <c r="BA35" s="7">
        <v>6980</v>
      </c>
      <c r="BB35" s="7">
        <v>6850</v>
      </c>
    </row>
    <row r="36" spans="1:54" x14ac:dyDescent="0.3">
      <c r="A36" s="44">
        <v>6850</v>
      </c>
      <c r="B36" s="189">
        <f ca="1">IFERROR(
    INDEX(
        CHOOSE(
            MATCH($C$1, {"All","Calls","Puts"}, 0),
            Sheet1!BN$10:BN$210,
            Sheet1!AR$10:AR$210,
            Sheet1!AS$10:AS$210
        ),
        MATCH($A36, Sheet1!N$10:N$210, 0)
    ),
"")</f>
        <v>-268804.08046253206</v>
      </c>
      <c r="C36" s="152" t="str">
        <f>IFERROR(
    INDEX(
        CHOOSE(
            MATCH($C$1, {"All","Calls","Puts"}, 0),
            Sheet1!BN$213:BN$413,
            Sheet1!AR$213:AR$413,
            Sheet1!AS$213:AS$413
        ),
        MATCH($A36, Sheet1!N$213:N$413, 0)
    ),
"")</f>
        <v/>
      </c>
      <c r="D36" s="152" t="str">
        <f>IFERROR(
    INDEX(
        CHOOSE(
            MATCH($C$1, {"All","Calls","Puts"}, 0),
            Sheet1!BN$416:BN$616,
            Sheet1!AR$416:AR$616,
            Sheet1!AS$416:AS$616
        ),
        MATCH($A36, Sheet1!N$416:N$616, 0)
    ),
"")</f>
        <v/>
      </c>
      <c r="E36" s="152" t="str">
        <f>IFERROR(
    INDEX(
        CHOOSE(
            MATCH($C$1, {"All","Calls","Puts"}, 0),
            Sheet1!BN$619:BN$819,
            Sheet1!AR$619:AR$819,
            Sheet1!AS$619:AS$819
        ),
        MATCH($A36, Sheet1!N$619:N$819, 0)
    ),
"")</f>
        <v/>
      </c>
      <c r="F36" s="152" t="str">
        <f>IFERROR(
    INDEX(
        CHOOSE(
            MATCH($C$1, {"All","Calls","Puts"}, 0),
            Sheet1!BN$822:BN$1022,
            Sheet1!AR$822:AR$1022,
            Sheet1!AS$822:AS$1022
        ),
        MATCH($A36, Sheet1!N$822:N$1022, 0)
    ),
"")</f>
        <v/>
      </c>
      <c r="G36" s="152" t="str">
        <f>IFERROR(
    INDEX(
        CHOOSE(
            MATCH($C$1, {"All","Calls","Puts"}, 0),
            Sheet1!BN$1025:BN$1225,
            Sheet1!AR$1025:AR$1225,
            Sheet1!AS$1025:AS$1225
        ),
        MATCH($A36, Sheet1!N$1025:N$1225, 0)
    ),
"")</f>
        <v/>
      </c>
      <c r="H36" s="152" t="str">
        <f>IFERROR(
    INDEX(
        CHOOSE(
            MATCH($C$1, {"All","Calls","Puts"}, 0),
            Sheet1!BN$1228:BN$1428,
            Sheet1!AR$1228:AR$1428,
            Sheet1!AS$1228:AS$1428
        ),
        MATCH($A36, Sheet1!N$1228:N$1428, 0)
    ),
"")</f>
        <v/>
      </c>
      <c r="I36" s="152" t="str">
        <f>IFERROR(
    INDEX(
        CHOOSE(
            MATCH($C$1, {"All","Calls","Puts"}, 0),
            Sheet1!BN$1431:BN$1631,
            Sheet1!AR$1431:AR$1631,
            Sheet1!AS$1431:AS$1631
        ),
        MATCH($A36, Sheet1!N$1431:N$1631, 0)
    ),
"")</f>
        <v/>
      </c>
      <c r="J36" s="123">
        <f t="shared" si="0"/>
        <v>6850</v>
      </c>
      <c r="K36" s="97">
        <f t="shared" ca="1" si="1"/>
        <v>-268804.08046253206</v>
      </c>
      <c r="L36" s="129">
        <f ca="1">IFERROR(MIN(0,INDEX(Sheet1!$AD$10:$AD$999,MATCH(A36,Sheet1!$N$10:$N$999,0))),0)</f>
        <v>-34944.530460129172</v>
      </c>
      <c r="M36" s="136">
        <f ca="1">IFERROR(MAX(0,INDEX(Sheet1!$AE$10:$AE$999,MATCH(A36,Sheet1!$N$10:$N$999,0))),0)</f>
        <v>7.3059034337663598E-84</v>
      </c>
      <c r="N36" s="111">
        <f t="shared" si="2"/>
        <v>6850</v>
      </c>
      <c r="O36" s="138">
        <f ca="1">IFERROR(MIN(0,INDEX(Sheet1!$AP$10:$AP$999,MATCH(A36,Sheet1!$N$10:$N$999,0))),0)</f>
        <v>0</v>
      </c>
      <c r="P36" s="141">
        <f ca="1">IFERROR(MAX(0,INDEX(Sheet1!$AO$10:$AO$999,MATCH(A36,Sheet1!$N$10:$N$999,0))),0)</f>
        <v>5.2630854662840486E-83</v>
      </c>
      <c r="Q36" s="111">
        <f t="shared" si="3"/>
        <v>6850</v>
      </c>
      <c r="R36" s="140">
        <f ca="1">IFERROR(MIN(0,INDEX(Sheet1!$BK$10:$BK$999,MATCH(A36,Sheet1!$N$10:$N$999,0))),0)</f>
        <v>0</v>
      </c>
      <c r="S36" s="141">
        <f ca="1">IFERROR(MAX(0,INDEX(Sheet1!$BK$10:$BK$999,MATCH(A36,Sheet1!$N$10:$N$999,0))),0)</f>
        <v>6041134.7880290505</v>
      </c>
      <c r="T36" s="111">
        <f t="shared" si="4"/>
        <v>6850</v>
      </c>
      <c r="AA36" s="96"/>
      <c r="AZ36" s="7">
        <v>6985</v>
      </c>
      <c r="BA36" s="7">
        <v>6985</v>
      </c>
      <c r="BB36" s="7">
        <v>6845</v>
      </c>
    </row>
    <row r="37" spans="1:54" x14ac:dyDescent="0.3">
      <c r="A37" s="44">
        <v>6845</v>
      </c>
      <c r="B37" s="172">
        <f ca="1">IFERROR(
    INDEX(
        CHOOSE(
            MATCH($C$1, {"All","Calls","Puts"}, 0),
            Sheet1!BN$10:BN$210,
            Sheet1!AR$10:AR$210,
            Sheet1!AS$10:AS$210
        ),
        MATCH($A37, Sheet1!N$10:N$210, 0)
    ),
"")</f>
        <v>-41253.046952885925</v>
      </c>
      <c r="C37" s="152" t="str">
        <f>IFERROR(
    INDEX(
        CHOOSE(
            MATCH($C$1, {"All","Calls","Puts"}, 0),
            Sheet1!BN$213:BN$413,
            Sheet1!AR$213:AR$413,
            Sheet1!AS$213:AS$413
        ),
        MATCH($A37, Sheet1!N$213:N$413, 0)
    ),
"")</f>
        <v/>
      </c>
      <c r="D37" s="152" t="str">
        <f>IFERROR(
    INDEX(
        CHOOSE(
            MATCH($C$1, {"All","Calls","Puts"}, 0),
            Sheet1!BN$416:BN$616,
            Sheet1!AR$416:AR$616,
            Sheet1!AS$416:AS$616
        ),
        MATCH($A37, Sheet1!N$416:N$616, 0)
    ),
"")</f>
        <v/>
      </c>
      <c r="E37" s="152" t="str">
        <f>IFERROR(
    INDEX(
        CHOOSE(
            MATCH($C$1, {"All","Calls","Puts"}, 0),
            Sheet1!BN$619:BN$819,
            Sheet1!AR$619:AR$819,
            Sheet1!AS$619:AS$819
        ),
        MATCH($A37, Sheet1!N$619:N$819, 0)
    ),
"")</f>
        <v/>
      </c>
      <c r="F37" s="152" t="str">
        <f>IFERROR(
    INDEX(
        CHOOSE(
            MATCH($C$1, {"All","Calls","Puts"}, 0),
            Sheet1!BN$822:BN$1022,
            Sheet1!AR$822:AR$1022,
            Sheet1!AS$822:AS$1022
        ),
        MATCH($A37, Sheet1!N$822:N$1022, 0)
    ),
"")</f>
        <v/>
      </c>
      <c r="G37" s="152" t="str">
        <f>IFERROR(
    INDEX(
        CHOOSE(
            MATCH($C$1, {"All","Calls","Puts"}, 0),
            Sheet1!BN$1025:BN$1225,
            Sheet1!AR$1025:AR$1225,
            Sheet1!AS$1025:AS$1225
        ),
        MATCH($A37, Sheet1!N$1025:N$1225, 0)
    ),
"")</f>
        <v/>
      </c>
      <c r="H37" s="152" t="str">
        <f>IFERROR(
    INDEX(
        CHOOSE(
            MATCH($C$1, {"All","Calls","Puts"}, 0),
            Sheet1!BN$1228:BN$1428,
            Sheet1!AR$1228:AR$1428,
            Sheet1!AS$1228:AS$1428
        ),
        MATCH($A37, Sheet1!N$1228:N$1428, 0)
    ),
"")</f>
        <v/>
      </c>
      <c r="I37" s="152" t="str">
        <f>IFERROR(
    INDEX(
        CHOOSE(
            MATCH($C$1, {"All","Calls","Puts"}, 0),
            Sheet1!BN$1431:BN$1631,
            Sheet1!AR$1431:AR$1631,
            Sheet1!AS$1431:AS$1631
        ),
        MATCH($A37, Sheet1!N$1431:N$1631, 0)
    ),
"")</f>
        <v/>
      </c>
      <c r="J37" s="123">
        <f t="shared" si="0"/>
        <v>6845</v>
      </c>
      <c r="K37" s="97">
        <f t="shared" ca="1" si="1"/>
        <v>-41253.046952885925</v>
      </c>
      <c r="L37" s="129">
        <f ca="1">IFERROR(MIN(0,INDEX(Sheet1!$AD$10:$AD$999,MATCH(A37,Sheet1!$N$10:$N$999,0))),0)</f>
        <v>-4950.3656343463108</v>
      </c>
      <c r="M37" s="136">
        <f ca="1">IFERROR(MAX(0,INDEX(Sheet1!$AE$10:$AE$999,MATCH(A37,Sheet1!$N$10:$N$999,0))),0)</f>
        <v>8.5040161274450639E-98</v>
      </c>
      <c r="N37" s="111">
        <f t="shared" si="2"/>
        <v>6845</v>
      </c>
      <c r="O37" s="138">
        <f ca="1">IFERROR(MIN(0,INDEX(Sheet1!$AP$10:$AP$999,MATCH(A37,Sheet1!$N$10:$N$999,0))),0)</f>
        <v>0</v>
      </c>
      <c r="P37" s="141">
        <f ca="1">IFERROR(MAX(0,INDEX(Sheet1!$AO$10:$AO$999,MATCH(A37,Sheet1!$N$10:$N$999,0))),0)</f>
        <v>6.5619096718439976E-97</v>
      </c>
      <c r="Q37" s="111">
        <f t="shared" si="3"/>
        <v>6845</v>
      </c>
      <c r="R37" s="140">
        <f ca="1">IFERROR(MIN(0,INDEX(Sheet1!$BK$10:$BK$999,MATCH(A37,Sheet1!$N$10:$N$999,0))),0)</f>
        <v>0</v>
      </c>
      <c r="S37" s="141">
        <f ca="1">IFERROR(MAX(0,INDEX(Sheet1!$BK$10:$BK$999,MATCH(A37,Sheet1!$N$10:$N$999,0))),0)</f>
        <v>1079299.7908861525</v>
      </c>
      <c r="T37" s="111">
        <f t="shared" si="4"/>
        <v>6845</v>
      </c>
      <c r="AA37" s="96"/>
      <c r="AZ37" s="7">
        <v>6990</v>
      </c>
      <c r="BA37" s="7">
        <v>6990</v>
      </c>
      <c r="BB37" s="7">
        <v>6840</v>
      </c>
    </row>
    <row r="38" spans="1:54" x14ac:dyDescent="0.3">
      <c r="A38" s="44">
        <v>6840</v>
      </c>
      <c r="B38" s="169">
        <f ca="1">IFERROR(
    INDEX(
        CHOOSE(
            MATCH($C$1, {"All","Calls","Puts"}, 0),
            Sheet1!BN$10:BN$210,
            Sheet1!AR$10:AR$210,
            Sheet1!AS$10:AS$210
        ),
        MATCH($A38, Sheet1!N$10:N$210, 0)
    ),
"")</f>
        <v>-80132.09953304482</v>
      </c>
      <c r="C38" s="152" t="str">
        <f>IFERROR(
    INDEX(
        CHOOSE(
            MATCH($C$1, {"All","Calls","Puts"}, 0),
            Sheet1!BN$213:BN$413,
            Sheet1!AR$213:AR$413,
            Sheet1!AS$213:AS$413
        ),
        MATCH($A38, Sheet1!N$213:N$413, 0)
    ),
"")</f>
        <v/>
      </c>
      <c r="D38" s="152" t="str">
        <f>IFERROR(
    INDEX(
        CHOOSE(
            MATCH($C$1, {"All","Calls","Puts"}, 0),
            Sheet1!BN$416:BN$616,
            Sheet1!AR$416:AR$616,
            Sheet1!AS$416:AS$616
        ),
        MATCH($A38, Sheet1!N$416:N$616, 0)
    ),
"")</f>
        <v/>
      </c>
      <c r="E38" s="152" t="str">
        <f>IFERROR(
    INDEX(
        CHOOSE(
            MATCH($C$1, {"All","Calls","Puts"}, 0),
            Sheet1!BN$619:BN$819,
            Sheet1!AR$619:AR$819,
            Sheet1!AS$619:AS$819
        ),
        MATCH($A38, Sheet1!N$619:N$819, 0)
    ),
"")</f>
        <v/>
      </c>
      <c r="F38" s="152" t="str">
        <f>IFERROR(
    INDEX(
        CHOOSE(
            MATCH($C$1, {"All","Calls","Puts"}, 0),
            Sheet1!BN$822:BN$1022,
            Sheet1!AR$822:AR$1022,
            Sheet1!AS$822:AS$1022
        ),
        MATCH($A38, Sheet1!N$822:N$1022, 0)
    ),
"")</f>
        <v/>
      </c>
      <c r="G38" s="152" t="str">
        <f>IFERROR(
    INDEX(
        CHOOSE(
            MATCH($C$1, {"All","Calls","Puts"}, 0),
            Sheet1!BN$1025:BN$1225,
            Sheet1!AR$1025:AR$1225,
            Sheet1!AS$1025:AS$1225
        ),
        MATCH($A38, Sheet1!N$1025:N$1225, 0)
    ),
"")</f>
        <v/>
      </c>
      <c r="H38" s="152" t="str">
        <f>IFERROR(
    INDEX(
        CHOOSE(
            MATCH($C$1, {"All","Calls","Puts"}, 0),
            Sheet1!BN$1228:BN$1428,
            Sheet1!AR$1228:AR$1428,
            Sheet1!AS$1228:AS$1428
        ),
        MATCH($A38, Sheet1!N$1228:N$1428, 0)
    ),
"")</f>
        <v/>
      </c>
      <c r="I38" s="152" t="str">
        <f>IFERROR(
    INDEX(
        CHOOSE(
            MATCH($C$1, {"All","Calls","Puts"}, 0),
            Sheet1!BN$1431:BN$1631,
            Sheet1!AR$1431:AR$1631,
            Sheet1!AS$1431:AS$1631
        ),
        MATCH($A38, Sheet1!N$1431:N$1631, 0)
    ),
"")</f>
        <v/>
      </c>
      <c r="J38" s="123">
        <f t="shared" si="0"/>
        <v>6840</v>
      </c>
      <c r="K38" s="119">
        <f t="shared" ca="1" si="1"/>
        <v>-80132.09953304482</v>
      </c>
      <c r="L38" s="129">
        <f ca="1">IFERROR(MIN(0,INDEX(Sheet1!$AD$10:$AD$999,MATCH(A38,Sheet1!$N$10:$N$999,0))),0)</f>
        <v>-8814.5309486349306</v>
      </c>
      <c r="M38" s="136">
        <f ca="1">IFERROR(MAX(0,INDEX(Sheet1!$AE$10:$AE$999,MATCH(A38,Sheet1!$N$10:$N$999,0))),0)</f>
        <v>8.3125670633582739E-112</v>
      </c>
      <c r="N38" s="111">
        <f t="shared" si="2"/>
        <v>6840</v>
      </c>
      <c r="O38" s="138">
        <f ca="1">IFERROR(MIN(0,INDEX(Sheet1!$AP$10:$AP$999,MATCH(A38,Sheet1!$N$10:$N$999,0))),0)</f>
        <v>0</v>
      </c>
      <c r="P38" s="141">
        <f ca="1">IFERROR(MAX(0,INDEX(Sheet1!$AO$10:$AO$999,MATCH(A38,Sheet1!$N$10:$N$999,0))),0)</f>
        <v>6.8404029716616217E-111</v>
      </c>
      <c r="Q38" s="111">
        <f t="shared" si="3"/>
        <v>6840</v>
      </c>
      <c r="R38" s="140">
        <f ca="1">IFERROR(MIN(0,INDEX(Sheet1!$BK$10:$BK$999,MATCH(A38,Sheet1!$N$10:$N$999,0))),0)</f>
        <v>0</v>
      </c>
      <c r="S38" s="141">
        <f ca="1">IFERROR(MAX(0,INDEX(Sheet1!$BK$10:$BK$999,MATCH(A38,Sheet1!$N$10:$N$999,0))),0)</f>
        <v>2390677.3661444033</v>
      </c>
      <c r="T38" s="111">
        <f t="shared" si="4"/>
        <v>6840</v>
      </c>
      <c r="AA38" s="96"/>
      <c r="AZ38" s="7">
        <v>6995</v>
      </c>
      <c r="BA38" s="7">
        <v>6995</v>
      </c>
      <c r="BB38" s="7">
        <v>6835</v>
      </c>
    </row>
    <row r="39" spans="1:54" x14ac:dyDescent="0.3">
      <c r="A39" s="44">
        <v>6835</v>
      </c>
      <c r="B39" s="160">
        <f ca="1">IFERROR(
    INDEX(
        CHOOSE(
            MATCH($C$1, {"All","Calls","Puts"}, 0),
            Sheet1!BN$10:BN$210,
            Sheet1!AR$10:AR$210,
            Sheet1!AS$10:AS$210
        ),
        MATCH($A39, Sheet1!N$10:N$210, 0)
    ),
"")</f>
        <v>-39026.889469670459</v>
      </c>
      <c r="C39" s="152" t="str">
        <f>IFERROR(
    INDEX(
        CHOOSE(
            MATCH($C$1, {"All","Calls","Puts"}, 0),
            Sheet1!BN$213:BN$413,
            Sheet1!AR$213:AR$413,
            Sheet1!AS$213:AS$413
        ),
        MATCH($A39, Sheet1!N$213:N$413, 0)
    ),
"")</f>
        <v/>
      </c>
      <c r="D39" s="152" t="str">
        <f>IFERROR(
    INDEX(
        CHOOSE(
            MATCH($C$1, {"All","Calls","Puts"}, 0),
            Sheet1!BN$416:BN$616,
            Sheet1!AR$416:AR$616,
            Sheet1!AS$416:AS$616
        ),
        MATCH($A39, Sheet1!N$416:N$616, 0)
    ),
"")</f>
        <v/>
      </c>
      <c r="E39" s="152" t="str">
        <f>IFERROR(
    INDEX(
        CHOOSE(
            MATCH($C$1, {"All","Calls","Puts"}, 0),
            Sheet1!BN$619:BN$819,
            Sheet1!AR$619:AR$819,
            Sheet1!AS$619:AS$819
        ),
        MATCH($A39, Sheet1!N$619:N$819, 0)
    ),
"")</f>
        <v/>
      </c>
      <c r="F39" s="152" t="str">
        <f>IFERROR(
    INDEX(
        CHOOSE(
            MATCH($C$1, {"All","Calls","Puts"}, 0),
            Sheet1!BN$822:BN$1022,
            Sheet1!AR$822:AR$1022,
            Sheet1!AS$822:AS$1022
        ),
        MATCH($A39, Sheet1!N$822:N$1022, 0)
    ),
"")</f>
        <v/>
      </c>
      <c r="G39" s="152" t="str">
        <f>IFERROR(
    INDEX(
        CHOOSE(
            MATCH($C$1, {"All","Calls","Puts"}, 0),
            Sheet1!BN$1025:BN$1225,
            Sheet1!AR$1025:AR$1225,
            Sheet1!AS$1025:AS$1225
        ),
        MATCH($A39, Sheet1!N$1025:N$1225, 0)
    ),
"")</f>
        <v/>
      </c>
      <c r="H39" s="152" t="str">
        <f>IFERROR(
    INDEX(
        CHOOSE(
            MATCH($C$1, {"All","Calls","Puts"}, 0),
            Sheet1!BN$1228:BN$1428,
            Sheet1!AR$1228:AR$1428,
            Sheet1!AS$1228:AS$1428
        ),
        MATCH($A39, Sheet1!N$1228:N$1428, 0)
    ),
"")</f>
        <v/>
      </c>
      <c r="I39" s="152" t="str">
        <f>IFERROR(
    INDEX(
        CHOOSE(
            MATCH($C$1, {"All","Calls","Puts"}, 0),
            Sheet1!BN$1431:BN$1631,
            Sheet1!AR$1431:AR$1631,
            Sheet1!AS$1431:AS$1631
        ),
        MATCH($A39, Sheet1!N$1431:N$1631, 0)
    ),
"")</f>
        <v/>
      </c>
      <c r="J39" s="123">
        <f t="shared" si="0"/>
        <v>6835</v>
      </c>
      <c r="K39" s="119">
        <f t="shared" ca="1" si="1"/>
        <v>-39026.889469670459</v>
      </c>
      <c r="L39" s="129">
        <f ca="1">IFERROR(MIN(0,INDEX(Sheet1!$AD$10:$AD$999,MATCH(A39,Sheet1!$N$10:$N$999,0))),0)</f>
        <v>-3902.6889469670459</v>
      </c>
      <c r="M39" s="136">
        <f ca="1">IFERROR(MAX(0,INDEX(Sheet1!$AE$10:$AE$999,MATCH(A39,Sheet1!$N$10:$N$999,0))),0)</f>
        <v>7.6687733639534615E-127</v>
      </c>
      <c r="N39" s="111">
        <f t="shared" si="2"/>
        <v>6835</v>
      </c>
      <c r="O39" s="138">
        <f ca="1">IFERROR(MIN(0,INDEX(Sheet1!$AP$10:$AP$999,MATCH(A39,Sheet1!$N$10:$N$999,0))),0)</f>
        <v>0</v>
      </c>
      <c r="P39" s="141">
        <f ca="1">IFERROR(MAX(0,INDEX(Sheet1!$AO$10:$AO$999,MATCH(A39,Sheet1!$N$10:$N$999,0))),0)</f>
        <v>6.7041234748880011E-126</v>
      </c>
      <c r="Q39" s="111">
        <f t="shared" si="3"/>
        <v>6835</v>
      </c>
      <c r="R39" s="140">
        <f ca="1">IFERROR(MIN(0,INDEX(Sheet1!$BK$10:$BK$999,MATCH(A39,Sheet1!$N$10:$N$999,0))),0)</f>
        <v>0</v>
      </c>
      <c r="S39" s="141">
        <f ca="1">IFERROR(MAX(0,INDEX(Sheet1!$BK$10:$BK$999,MATCH(A39,Sheet1!$N$10:$N$999,0))),0)</f>
        <v>1306584.0004338112</v>
      </c>
      <c r="T39" s="111">
        <f t="shared" si="4"/>
        <v>6835</v>
      </c>
      <c r="AA39" s="96"/>
      <c r="AZ39" s="7">
        <v>7000</v>
      </c>
      <c r="BA39" s="7">
        <v>7000</v>
      </c>
      <c r="BB39" s="7">
        <v>6830</v>
      </c>
    </row>
    <row r="40" spans="1:54" x14ac:dyDescent="0.3">
      <c r="A40" s="44">
        <v>6830</v>
      </c>
      <c r="B40" s="159">
        <f ca="1">IFERROR(
    INDEX(
        CHOOSE(
            MATCH($C$1, {"All","Calls","Puts"}, 0),
            Sheet1!BN$10:BN$210,
            Sheet1!AR$10:AR$210,
            Sheet1!AS$10:AS$210
        ),
        MATCH($A40, Sheet1!N$10:N$210, 0)
    ),
"")</f>
        <v>-74854.146559058951</v>
      </c>
      <c r="C40" s="152" t="str">
        <f>IFERROR(
    INDEX(
        CHOOSE(
            MATCH($C$1, {"All","Calls","Puts"}, 0),
            Sheet1!BN$213:BN$413,
            Sheet1!AR$213:AR$413,
            Sheet1!AS$213:AS$413
        ),
        MATCH($A40, Sheet1!N$213:N$413, 0)
    ),
"")</f>
        <v/>
      </c>
      <c r="D40" s="152" t="str">
        <f>IFERROR(
    INDEX(
        CHOOSE(
            MATCH($C$1, {"All","Calls","Puts"}, 0),
            Sheet1!BN$416:BN$616,
            Sheet1!AR$416:AR$616,
            Sheet1!AS$416:AS$616
        ),
        MATCH($A40, Sheet1!N$416:N$616, 0)
    ),
"")</f>
        <v/>
      </c>
      <c r="E40" s="152" t="str">
        <f>IFERROR(
    INDEX(
        CHOOSE(
            MATCH($C$1, {"All","Calls","Puts"}, 0),
            Sheet1!BN$619:BN$819,
            Sheet1!AR$619:AR$819,
            Sheet1!AS$619:AS$819
        ),
        MATCH($A40, Sheet1!N$619:N$819, 0)
    ),
"")</f>
        <v/>
      </c>
      <c r="F40" s="152" t="str">
        <f>IFERROR(
    INDEX(
        CHOOSE(
            MATCH($C$1, {"All","Calls","Puts"}, 0),
            Sheet1!BN$822:BN$1022,
            Sheet1!AR$822:AR$1022,
            Sheet1!AS$822:AS$1022
        ),
        MATCH($A40, Sheet1!N$822:N$1022, 0)
    ),
"")</f>
        <v/>
      </c>
      <c r="G40" s="152" t="str">
        <f>IFERROR(
    INDEX(
        CHOOSE(
            MATCH($C$1, {"All","Calls","Puts"}, 0),
            Sheet1!BN$1025:BN$1225,
            Sheet1!AR$1025:AR$1225,
            Sheet1!AS$1025:AS$1225
        ),
        MATCH($A40, Sheet1!N$1025:N$1225, 0)
    ),
"")</f>
        <v/>
      </c>
      <c r="H40" s="152" t="str">
        <f>IFERROR(
    INDEX(
        CHOOSE(
            MATCH($C$1, {"All","Calls","Puts"}, 0),
            Sheet1!BN$1228:BN$1428,
            Sheet1!AR$1228:AR$1428,
            Sheet1!AS$1228:AS$1428
        ),
        MATCH($A40, Sheet1!N$1228:N$1428, 0)
    ),
"")</f>
        <v/>
      </c>
      <c r="I40" s="152" t="str">
        <f>IFERROR(
    INDEX(
        CHOOSE(
            MATCH($C$1, {"All","Calls","Puts"}, 0),
            Sheet1!BN$1431:BN$1631,
            Sheet1!AR$1431:AR$1631,
            Sheet1!AS$1431:AS$1631
        ),
        MATCH($A40, Sheet1!N$1431:N$1631, 0)
    ),
"")</f>
        <v/>
      </c>
      <c r="J40" s="123">
        <f t="shared" si="0"/>
        <v>6830</v>
      </c>
      <c r="K40" s="119">
        <f t="shared" ca="1" si="1"/>
        <v>-74854.146559058951</v>
      </c>
      <c r="L40" s="129">
        <f ca="1">IFERROR(MIN(0,INDEX(Sheet1!$AD$10:$AD$999,MATCH(A40,Sheet1!$N$10:$N$999,0))),0)</f>
        <v>-6736.8731903153057</v>
      </c>
      <c r="M40" s="136">
        <f ca="1">IFERROR(MAX(0,INDEX(Sheet1!$AE$10:$AE$999,MATCH(A40,Sheet1!$N$10:$N$999,0))),0)</f>
        <v>1.7493135636443934E-142</v>
      </c>
      <c r="N40" s="111">
        <f t="shared" si="2"/>
        <v>6830</v>
      </c>
      <c r="O40" s="138">
        <f ca="1">IFERROR(MIN(0,INDEX(Sheet1!$AP$10:$AP$999,MATCH(A40,Sheet1!$N$10:$N$999,0))),0)</f>
        <v>0</v>
      </c>
      <c r="P40" s="141">
        <f ca="1">IFERROR(MAX(0,INDEX(Sheet1!$AO$10:$AO$999,MATCH(A40,Sheet1!$N$10:$N$999,0))),0)</f>
        <v>1.6190944893587871E-141</v>
      </c>
      <c r="Q40" s="111">
        <f t="shared" si="3"/>
        <v>6830</v>
      </c>
      <c r="R40" s="140">
        <f ca="1">IFERROR(MIN(0,INDEX(Sheet1!$BK$10:$BK$999,MATCH(A40,Sheet1!$N$10:$N$999,0))),0)</f>
        <v>0</v>
      </c>
      <c r="S40" s="141">
        <f ca="1">IFERROR(MAX(0,INDEX(Sheet1!$BK$10:$BK$999,MATCH(A40,Sheet1!$N$10:$N$999,0))),0)</f>
        <v>2776702.5831649685</v>
      </c>
      <c r="T40" s="111">
        <f t="shared" si="4"/>
        <v>6830</v>
      </c>
      <c r="AA40" s="96"/>
      <c r="AZ40" s="7">
        <v>7005</v>
      </c>
      <c r="BA40" s="7">
        <v>7005</v>
      </c>
      <c r="BB40" s="7">
        <v>6825</v>
      </c>
    </row>
    <row r="41" spans="1:54" x14ac:dyDescent="0.3">
      <c r="A41" s="44">
        <v>6825</v>
      </c>
      <c r="B41" s="165">
        <f ca="1">IFERROR(
    INDEX(
        CHOOSE(
            MATCH($C$1, {"All","Calls","Puts"}, 0),
            Sheet1!BN$10:BN$210,
            Sheet1!AR$10:AR$210,
            Sheet1!AS$10:AS$210
        ),
        MATCH($A41, Sheet1!N$10:N$210, 0)
    ),
"")</f>
        <v>-67713.813869881429</v>
      </c>
      <c r="C41" s="152" t="str">
        <f>IFERROR(
    INDEX(
        CHOOSE(
            MATCH($C$1, {"All","Calls","Puts"}, 0),
            Sheet1!BN$213:BN$413,
            Sheet1!AR$213:AR$413,
            Sheet1!AS$213:AS$413
        ),
        MATCH($A41, Sheet1!N$213:N$413, 0)
    ),
"")</f>
        <v/>
      </c>
      <c r="D41" s="152" t="str">
        <f>IFERROR(
    INDEX(
        CHOOSE(
            MATCH($C$1, {"All","Calls","Puts"}, 0),
            Sheet1!BN$416:BN$616,
            Sheet1!AR$416:AR$616,
            Sheet1!AS$416:AS$616
        ),
        MATCH($A41, Sheet1!N$416:N$616, 0)
    ),
"")</f>
        <v/>
      </c>
      <c r="E41" s="152" t="str">
        <f>IFERROR(
    INDEX(
        CHOOSE(
            MATCH($C$1, {"All","Calls","Puts"}, 0),
            Sheet1!BN$619:BN$819,
            Sheet1!AR$619:AR$819,
            Sheet1!AS$619:AS$819
        ),
        MATCH($A41, Sheet1!N$619:N$819, 0)
    ),
"")</f>
        <v/>
      </c>
      <c r="F41" s="152" t="str">
        <f>IFERROR(
    INDEX(
        CHOOSE(
            MATCH($C$1, {"All","Calls","Puts"}, 0),
            Sheet1!BN$822:BN$1022,
            Sheet1!AR$822:AR$1022,
            Sheet1!AS$822:AS$1022
        ),
        MATCH($A41, Sheet1!N$822:N$1022, 0)
    ),
"")</f>
        <v/>
      </c>
      <c r="G41" s="152" t="str">
        <f>IFERROR(
    INDEX(
        CHOOSE(
            MATCH($C$1, {"All","Calls","Puts"}, 0),
            Sheet1!BN$1025:BN$1225,
            Sheet1!AR$1025:AR$1225,
            Sheet1!AS$1025:AS$1225
        ),
        MATCH($A41, Sheet1!N$1025:N$1225, 0)
    ),
"")</f>
        <v/>
      </c>
      <c r="H41" s="152" t="str">
        <f>IFERROR(
    INDEX(
        CHOOSE(
            MATCH($C$1, {"All","Calls","Puts"}, 0),
            Sheet1!BN$1228:BN$1428,
            Sheet1!AR$1228:AR$1428,
            Sheet1!AS$1228:AS$1428
        ),
        MATCH($A41, Sheet1!N$1228:N$1428, 0)
    ),
"")</f>
        <v/>
      </c>
      <c r="I41" s="152" t="str">
        <f>IFERROR(
    INDEX(
        CHOOSE(
            MATCH($C$1, {"All","Calls","Puts"}, 0),
            Sheet1!BN$1431:BN$1631,
            Sheet1!AR$1431:AR$1631,
            Sheet1!AS$1431:AS$1631
        ),
        MATCH($A41, Sheet1!N$1431:N$1631, 0)
    ),
"")</f>
        <v/>
      </c>
      <c r="J41" s="123">
        <f t="shared" si="0"/>
        <v>6825</v>
      </c>
      <c r="K41" s="119">
        <f t="shared" ca="1" si="1"/>
        <v>-67713.813869881429</v>
      </c>
      <c r="L41" s="129">
        <f ca="1">IFERROR(MIN(0,INDEX(Sheet1!$AD$10:$AD$999,MATCH(A41,Sheet1!$N$10:$N$999,0))),0)</f>
        <v>-5417.1051095905141</v>
      </c>
      <c r="M41" s="136">
        <f ca="1">IFERROR(MAX(0,INDEX(Sheet1!$AE$10:$AE$999,MATCH(A41,Sheet1!$N$10:$N$999,0))),0)</f>
        <v>1.2436172636491985E-158</v>
      </c>
      <c r="N41" s="111">
        <f t="shared" si="2"/>
        <v>6825</v>
      </c>
      <c r="O41" s="138">
        <f ca="1">IFERROR(MIN(0,INDEX(Sheet1!$AP$10:$AP$999,MATCH(A41,Sheet1!$N$10:$N$999,0))),0)</f>
        <v>0</v>
      </c>
      <c r="P41" s="141">
        <f ca="1">IFERROR(MAX(0,INDEX(Sheet1!$AO$10:$AO$999,MATCH(A41,Sheet1!$N$10:$N$999,0))),0)</f>
        <v>1.2149478324280517E-157</v>
      </c>
      <c r="Q41" s="111">
        <f t="shared" si="3"/>
        <v>6825</v>
      </c>
      <c r="R41" s="140">
        <f ca="1">IFERROR(MIN(0,INDEX(Sheet1!$BK$10:$BK$999,MATCH(A41,Sheet1!$N$10:$N$999,0))),0)</f>
        <v>0</v>
      </c>
      <c r="S41" s="141">
        <f ca="1">IFERROR(MAX(0,INDEX(Sheet1!$BK$10:$BK$999,MATCH(A41,Sheet1!$N$10:$N$999,0))),0)</f>
        <v>2755013.395156025</v>
      </c>
      <c r="T41" s="111">
        <f t="shared" si="4"/>
        <v>6825</v>
      </c>
      <c r="AA41" s="96"/>
      <c r="AZ41" s="7">
        <v>7010</v>
      </c>
      <c r="BA41" s="7">
        <v>7010</v>
      </c>
      <c r="BB41" s="7">
        <v>6820</v>
      </c>
    </row>
    <row r="42" spans="1:54" x14ac:dyDescent="0.3">
      <c r="A42" s="44">
        <v>6820</v>
      </c>
      <c r="B42" s="173">
        <f ca="1">IFERROR(
    INDEX(
        CHOOSE(
            MATCH($C$1, {"All","Calls","Puts"}, 0),
            Sheet1!BN$10:BN$210,
            Sheet1!AR$10:AR$210,
            Sheet1!AS$10:AS$210
        ),
        MATCH($A42, Sheet1!N$10:N$210, 0)
    ),
"")</f>
        <v>-34998.766232202521</v>
      </c>
      <c r="C42" s="152" t="str">
        <f>IFERROR(
    INDEX(
        CHOOSE(
            MATCH($C$1, {"All","Calls","Puts"}, 0),
            Sheet1!BN$213:BN$413,
            Sheet1!AR$213:AR$413,
            Sheet1!AS$213:AS$413
        ),
        MATCH($A42, Sheet1!N$213:N$413, 0)
    ),
"")</f>
        <v/>
      </c>
      <c r="D42" s="152" t="str">
        <f>IFERROR(
    INDEX(
        CHOOSE(
            MATCH($C$1, {"All","Calls","Puts"}, 0),
            Sheet1!BN$416:BN$616,
            Sheet1!AR$416:AR$616,
            Sheet1!AS$416:AS$616
        ),
        MATCH($A42, Sheet1!N$416:N$616, 0)
    ),
"")</f>
        <v/>
      </c>
      <c r="E42" s="152" t="str">
        <f>IFERROR(
    INDEX(
        CHOOSE(
            MATCH($C$1, {"All","Calls","Puts"}, 0),
            Sheet1!BN$619:BN$819,
            Sheet1!AR$619:AR$819,
            Sheet1!AS$619:AS$819
        ),
        MATCH($A42, Sheet1!N$619:N$819, 0)
    ),
"")</f>
        <v/>
      </c>
      <c r="F42" s="152" t="str">
        <f>IFERROR(
    INDEX(
        CHOOSE(
            MATCH($C$1, {"All","Calls","Puts"}, 0),
            Sheet1!BN$822:BN$1022,
            Sheet1!AR$822:AR$1022,
            Sheet1!AS$822:AS$1022
        ),
        MATCH($A42, Sheet1!N$822:N$1022, 0)
    ),
"")</f>
        <v/>
      </c>
      <c r="G42" s="152" t="str">
        <f>IFERROR(
    INDEX(
        CHOOSE(
            MATCH($C$1, {"All","Calls","Puts"}, 0),
            Sheet1!BN$1025:BN$1225,
            Sheet1!AR$1025:AR$1225,
            Sheet1!AS$1025:AS$1225
        ),
        MATCH($A42, Sheet1!N$1025:N$1225, 0)
    ),
"")</f>
        <v/>
      </c>
      <c r="H42" s="152" t="str">
        <f>IFERROR(
    INDEX(
        CHOOSE(
            MATCH($C$1, {"All","Calls","Puts"}, 0),
            Sheet1!BN$1228:BN$1428,
            Sheet1!AR$1228:AR$1428,
            Sheet1!AS$1228:AS$1428
        ),
        MATCH($A42, Sheet1!N$1228:N$1428, 0)
    ),
"")</f>
        <v/>
      </c>
      <c r="I42" s="152" t="str">
        <f>IFERROR(
    INDEX(
        CHOOSE(
            MATCH($C$1, {"All","Calls","Puts"}, 0),
            Sheet1!BN$1431:BN$1631,
            Sheet1!AR$1431:AR$1631,
            Sheet1!AS$1431:AS$1631
        ),
        MATCH($A42, Sheet1!N$1431:N$1631, 0)
    ),
"")</f>
        <v/>
      </c>
      <c r="J42" s="123">
        <f t="shared" si="0"/>
        <v>6820</v>
      </c>
      <c r="K42" s="119">
        <f t="shared" ca="1" si="1"/>
        <v>-34998.766232202521</v>
      </c>
      <c r="L42" s="129">
        <f ca="1">IFERROR(MIN(0,INDEX(Sheet1!$AD$10:$AD$999,MATCH(A42,Sheet1!$N$10:$N$999,0))),0)</f>
        <v>-2449.9136362541767</v>
      </c>
      <c r="M42" s="136">
        <f ca="1">IFERROR(MAX(0,INDEX(Sheet1!$AE$10:$AE$999,MATCH(A42,Sheet1!$N$10:$N$999,0))),0)</f>
        <v>1.1929213111180934E-176</v>
      </c>
      <c r="N42" s="111">
        <f t="shared" si="2"/>
        <v>6820</v>
      </c>
      <c r="O42" s="138">
        <f ca="1">IFERROR(MIN(0,INDEX(Sheet1!$AP$10:$AP$999,MATCH(A42,Sheet1!$N$10:$N$999,0))),0)</f>
        <v>0</v>
      </c>
      <c r="P42" s="141">
        <f ca="1">IFERROR(MAX(0,INDEX(Sheet1!$AO$10:$AO$999,MATCH(A42,Sheet1!$N$10:$N$999,0))),0)</f>
        <v>1.2267659678781748E-175</v>
      </c>
      <c r="Q42" s="111">
        <f t="shared" si="3"/>
        <v>6820</v>
      </c>
      <c r="R42" s="140">
        <f ca="1">IFERROR(MIN(0,INDEX(Sheet1!$BK$10:$BK$999,MATCH(A42,Sheet1!$N$10:$N$999,0))),0)</f>
        <v>0</v>
      </c>
      <c r="S42" s="141">
        <f ca="1">IFERROR(MAX(0,INDEX(Sheet1!$BK$10:$BK$999,MATCH(A42,Sheet1!$N$10:$N$999,0))),0)</f>
        <v>1547025.9657398132</v>
      </c>
      <c r="T42" s="111">
        <f t="shared" si="4"/>
        <v>6820</v>
      </c>
      <c r="AA42" s="96"/>
      <c r="AZ42" s="7">
        <v>7015</v>
      </c>
      <c r="BA42" s="7">
        <v>7015</v>
      </c>
      <c r="BB42" s="7">
        <v>6815</v>
      </c>
    </row>
    <row r="43" spans="1:54" x14ac:dyDescent="0.3">
      <c r="A43" s="44">
        <v>6815</v>
      </c>
      <c r="B43" s="174">
        <f ca="1">IFERROR(
    INDEX(
        CHOOSE(
            MATCH($C$1, {"All","Calls","Puts"}, 0),
            Sheet1!BN$10:BN$210,
            Sheet1!AR$10:AR$210,
            Sheet1!AS$10:AS$210
        ),
        MATCH($A43, Sheet1!N$10:N$210, 0)
    ),
"")</f>
        <v>-21515.316642003454</v>
      </c>
      <c r="C43" s="152" t="str">
        <f>IFERROR(
    INDEX(
        CHOOSE(
            MATCH($C$1, {"All","Calls","Puts"}, 0),
            Sheet1!BN$213:BN$413,
            Sheet1!AR$213:AR$413,
            Sheet1!AS$213:AS$413
        ),
        MATCH($A43, Sheet1!N$213:N$413, 0)
    ),
"")</f>
        <v/>
      </c>
      <c r="D43" s="152" t="str">
        <f>IFERROR(
    INDEX(
        CHOOSE(
            MATCH($C$1, {"All","Calls","Puts"}, 0),
            Sheet1!BN$416:BN$616,
            Sheet1!AR$416:AR$616,
            Sheet1!AS$416:AS$616
        ),
        MATCH($A43, Sheet1!N$416:N$616, 0)
    ),
"")</f>
        <v/>
      </c>
      <c r="E43" s="152" t="str">
        <f>IFERROR(
    INDEX(
        CHOOSE(
            MATCH($C$1, {"All","Calls","Puts"}, 0),
            Sheet1!BN$619:BN$819,
            Sheet1!AR$619:AR$819,
            Sheet1!AS$619:AS$819
        ),
        MATCH($A43, Sheet1!N$619:N$819, 0)
    ),
"")</f>
        <v/>
      </c>
      <c r="F43" s="152" t="str">
        <f>IFERROR(
    INDEX(
        CHOOSE(
            MATCH($C$1, {"All","Calls","Puts"}, 0),
            Sheet1!BN$822:BN$1022,
            Sheet1!AR$822:AR$1022,
            Sheet1!AS$822:AS$1022
        ),
        MATCH($A43, Sheet1!N$822:N$1022, 0)
    ),
"")</f>
        <v/>
      </c>
      <c r="G43" s="152" t="str">
        <f>IFERROR(
    INDEX(
        CHOOSE(
            MATCH($C$1, {"All","Calls","Puts"}, 0),
            Sheet1!BN$1025:BN$1225,
            Sheet1!AR$1025:AR$1225,
            Sheet1!AS$1025:AS$1225
        ),
        MATCH($A43, Sheet1!N$1025:N$1225, 0)
    ),
"")</f>
        <v/>
      </c>
      <c r="H43" s="152" t="str">
        <f>IFERROR(
    INDEX(
        CHOOSE(
            MATCH($C$1, {"All","Calls","Puts"}, 0),
            Sheet1!BN$1228:BN$1428,
            Sheet1!AR$1228:AR$1428,
            Sheet1!AS$1228:AS$1428
        ),
        MATCH($A43, Sheet1!N$1228:N$1428, 0)
    ),
"")</f>
        <v/>
      </c>
      <c r="I43" s="152" t="str">
        <f>IFERROR(
    INDEX(
        CHOOSE(
            MATCH($C$1, {"All","Calls","Puts"}, 0),
            Sheet1!BN$1431:BN$1631,
            Sheet1!AR$1431:AR$1631,
            Sheet1!AS$1431:AS$1631
        ),
        MATCH($A43, Sheet1!N$1431:N$1631, 0)
    ),
"")</f>
        <v/>
      </c>
      <c r="J43" s="123">
        <f t="shared" si="0"/>
        <v>6815</v>
      </c>
      <c r="K43" s="119">
        <f t="shared" ca="1" si="1"/>
        <v>-21515.316642003454</v>
      </c>
      <c r="L43" s="129">
        <f ca="1">IFERROR(MIN(0,INDEX(Sheet1!$AD$10:$AD$999,MATCH(A43,Sheet1!$N$10:$N$999,0))),0)</f>
        <v>-1290.9189985202072</v>
      </c>
      <c r="M43" s="136">
        <f ca="1">IFERROR(MAX(0,INDEX(Sheet1!$AE$10:$AE$999,MATCH(A43,Sheet1!$N$10:$N$999,0))),0)</f>
        <v>1.0969272850885137E-195</v>
      </c>
      <c r="N43" s="111">
        <f t="shared" si="2"/>
        <v>6815</v>
      </c>
      <c r="O43" s="138">
        <f ca="1">IFERROR(MIN(0,INDEX(Sheet1!$AP$10:$AP$999,MATCH(A43,Sheet1!$N$10:$N$999,0))),0)</f>
        <v>0</v>
      </c>
      <c r="P43" s="141">
        <f ca="1">IFERROR(MAX(0,INDEX(Sheet1!$AO$10:$AO$999,MATCH(A43,Sheet1!$N$10:$N$999,0))),0)</f>
        <v>1.1844987793220659E-194</v>
      </c>
      <c r="Q43" s="111">
        <f t="shared" si="3"/>
        <v>6815</v>
      </c>
      <c r="R43" s="140">
        <f ca="1">IFERROR(MIN(0,INDEX(Sheet1!$BK$10:$BK$999,MATCH(A43,Sheet1!$N$10:$N$999,0))),0)</f>
        <v>0</v>
      </c>
      <c r="S43" s="141">
        <f ca="1">IFERROR(MAX(0,INDEX(Sheet1!$BK$10:$BK$999,MATCH(A43,Sheet1!$N$10:$N$999,0))),0)</f>
        <v>1025003.6532788581</v>
      </c>
      <c r="T43" s="111">
        <f t="shared" si="4"/>
        <v>6815</v>
      </c>
      <c r="AA43" s="96"/>
    </row>
    <row r="44" spans="1:54" x14ac:dyDescent="0.3">
      <c r="A44" s="44"/>
      <c r="B44" s="152" t="str">
        <f>IFERROR(
    INDEX(
        CHOOSE(
            MATCH($C$1, {"All","Calls","Puts"}, 0),
            Sheet1!BN$10:BN$210,
            Sheet1!AR$10:AR$210,
            Sheet1!AS$10:AS$210
        ),
        MATCH($A44, Sheet1!N$10:N$210, 0)
    ),
"")</f>
        <v/>
      </c>
      <c r="C44" s="152" t="str">
        <f>IFERROR(
    INDEX(
        CHOOSE(
            MATCH($C$1, {"All","Calls","Puts"}, 0),
            Sheet1!BN$213:BN$413,
            Sheet1!AR$213:AR$413,
            Sheet1!AS$213:AS$413
        ),
        MATCH($A44, Sheet1!N$213:N$413, 0)
    ),
"")</f>
        <v/>
      </c>
      <c r="D44" s="152" t="str">
        <f>IFERROR(
    INDEX(
        CHOOSE(
            MATCH($C$1, {"All","Calls","Puts"}, 0),
            Sheet1!BN$416:BN$616,
            Sheet1!AR$416:AR$616,
            Sheet1!AS$416:AS$616
        ),
        MATCH($A44, Sheet1!N$416:N$616, 0)
    ),
"")</f>
        <v/>
      </c>
      <c r="E44" s="152" t="str">
        <f>IFERROR(
    INDEX(
        CHOOSE(
            MATCH($C$1, {"All","Calls","Puts"}, 0),
            Sheet1!BN$619:BN$819,
            Sheet1!AR$619:AR$819,
            Sheet1!AS$619:AS$819
        ),
        MATCH($A44, Sheet1!N$619:N$819, 0)
    ),
"")</f>
        <v/>
      </c>
      <c r="F44" s="152" t="str">
        <f>IFERROR(
    INDEX(
        CHOOSE(
            MATCH($C$1, {"All","Calls","Puts"}, 0),
            Sheet1!BN$822:BN$1022,
            Sheet1!AR$822:AR$1022,
            Sheet1!AS$822:AS$1022
        ),
        MATCH($A44, Sheet1!N$822:N$1022, 0)
    ),
"")</f>
        <v/>
      </c>
      <c r="G44" s="152" t="str">
        <f>IFERROR(
    INDEX(
        CHOOSE(
            MATCH($C$1, {"All","Calls","Puts"}, 0),
            Sheet1!BN$1025:BN$1225,
            Sheet1!AR$1025:AR$1225,
            Sheet1!AS$1025:AS$1225
        ),
        MATCH($A44, Sheet1!N$1025:N$1225, 0)
    ),
"")</f>
        <v/>
      </c>
      <c r="H44" s="152" t="str">
        <f>IFERROR(
    INDEX(
        CHOOSE(
            MATCH($C$1, {"All","Calls","Puts"}, 0),
            Sheet1!BN$1228:BN$1428,
            Sheet1!AR$1228:AR$1428,
            Sheet1!AS$1228:AS$1428
        ),
        MATCH($A44, Sheet1!N$1228:N$1428, 0)
    ),
"")</f>
        <v/>
      </c>
      <c r="I44" s="152" t="str">
        <f>IFERROR(
    INDEX(
        CHOOSE(
            MATCH($C$1, {"All","Calls","Puts"}, 0),
            Sheet1!BN$1431:BN$1631,
            Sheet1!AR$1431:AR$1631,
            Sheet1!AS$1431:AS$1631
        ),
        MATCH($A44, Sheet1!N$1431:N$1631, 0)
    ),
"")</f>
        <v/>
      </c>
      <c r="J44" s="123" t="str">
        <f t="shared" si="0"/>
        <v/>
      </c>
      <c r="K44" s="119" t="str">
        <f t="shared" si="1"/>
        <v/>
      </c>
      <c r="L44" s="129">
        <f>IFERROR(MIN(0,INDEX(Sheet1!$AD$10:$AD$999,MATCH(A44,Sheet1!$N$10:$N$999,0))),0)</f>
        <v>0</v>
      </c>
      <c r="M44" s="136">
        <f>IFERROR(MAX(0,INDEX(Sheet1!$AE$10:$AE$999,MATCH(A44,Sheet1!$N$10:$N$999,0))),0)</f>
        <v>0</v>
      </c>
      <c r="N44" s="111" t="str">
        <f t="shared" si="2"/>
        <v/>
      </c>
      <c r="O44" s="138">
        <f>IFERROR(MIN(0,INDEX(Sheet1!$AP$10:$AP$999,MATCH(A44,Sheet1!$N$10:$N$999,0))),0)</f>
        <v>0</v>
      </c>
      <c r="P44" s="141">
        <f>IFERROR(MAX(0,INDEX(Sheet1!$AO$10:$AO$999,MATCH(A44,Sheet1!$N$10:$N$999,0))),0)</f>
        <v>0</v>
      </c>
      <c r="Q44" s="111" t="str">
        <f t="shared" si="3"/>
        <v/>
      </c>
      <c r="R44" s="140">
        <f>IFERROR(MIN(0,INDEX(Sheet1!$BK$10:$BK$999,MATCH(A44,Sheet1!$N$10:$N$999,0))),0)</f>
        <v>0</v>
      </c>
      <c r="S44" s="141">
        <f>IFERROR(MAX(0,INDEX(Sheet1!$BK$10:$BK$999,MATCH(A44,Sheet1!$N$10:$N$999,0))),0)</f>
        <v>0</v>
      </c>
      <c r="T44" s="111" t="str">
        <f t="shared" si="4"/>
        <v/>
      </c>
      <c r="AA44" s="96"/>
    </row>
    <row r="45" spans="1:54" x14ac:dyDescent="0.3">
      <c r="A45" s="44"/>
      <c r="B45" s="152" t="str">
        <f>IFERROR(
    INDEX(
        CHOOSE(
            MATCH($C$1, {"All","Calls","Puts"}, 0),
            Sheet1!BN$10:BN$210,
            Sheet1!AR$10:AR$210,
            Sheet1!AS$10:AS$210
        ),
        MATCH($A45, Sheet1!N$10:N$210, 0)
    ),
"")</f>
        <v/>
      </c>
      <c r="C45" s="152" t="str">
        <f>IFERROR(
    INDEX(
        CHOOSE(
            MATCH($C$1, {"All","Calls","Puts"}, 0),
            Sheet1!BN$213:BN$413,
            Sheet1!AR$213:AR$413,
            Sheet1!AS$213:AS$413
        ),
        MATCH($A45, Sheet1!N$213:N$413, 0)
    ),
"")</f>
        <v/>
      </c>
      <c r="D45" s="152" t="str">
        <f>IFERROR(
    INDEX(
        CHOOSE(
            MATCH($C$1, {"All","Calls","Puts"}, 0),
            Sheet1!BN$416:BN$616,
            Sheet1!AR$416:AR$616,
            Sheet1!AS$416:AS$616
        ),
        MATCH($A45, Sheet1!N$416:N$616, 0)
    ),
"")</f>
        <v/>
      </c>
      <c r="E45" s="152" t="str">
        <f>IFERROR(
    INDEX(
        CHOOSE(
            MATCH($C$1, {"All","Calls","Puts"}, 0),
            Sheet1!BN$619:BN$819,
            Sheet1!AR$619:AR$819,
            Sheet1!AS$619:AS$819
        ),
        MATCH($A45, Sheet1!N$619:N$819, 0)
    ),
"")</f>
        <v/>
      </c>
      <c r="F45" s="152" t="str">
        <f>IFERROR(
    INDEX(
        CHOOSE(
            MATCH($C$1, {"All","Calls","Puts"}, 0),
            Sheet1!BN$822:BN$1022,
            Sheet1!AR$822:AR$1022,
            Sheet1!AS$822:AS$1022
        ),
        MATCH($A45, Sheet1!N$822:N$1022, 0)
    ),
"")</f>
        <v/>
      </c>
      <c r="G45" s="152" t="str">
        <f>IFERROR(
    INDEX(
        CHOOSE(
            MATCH($C$1, {"All","Calls","Puts"}, 0),
            Sheet1!BN$1025:BN$1225,
            Sheet1!AR$1025:AR$1225,
            Sheet1!AS$1025:AS$1225
        ),
        MATCH($A45, Sheet1!N$1025:N$1225, 0)
    ),
"")</f>
        <v/>
      </c>
      <c r="H45" s="152" t="str">
        <f>IFERROR(
    INDEX(
        CHOOSE(
            MATCH($C$1, {"All","Calls","Puts"}, 0),
            Sheet1!BN$1228:BN$1428,
            Sheet1!AR$1228:AR$1428,
            Sheet1!AS$1228:AS$1428
        ),
        MATCH($A45, Sheet1!N$1228:N$1428, 0)
    ),
"")</f>
        <v/>
      </c>
      <c r="I45" s="152" t="str">
        <f>IFERROR(
    INDEX(
        CHOOSE(
            MATCH($C$1, {"All","Calls","Puts"}, 0),
            Sheet1!BN$1431:BN$1631,
            Sheet1!AR$1431:AR$1631,
            Sheet1!AS$1431:AS$1631
        ),
        MATCH($A45, Sheet1!N$1431:N$1631, 0)
    ),
"")</f>
        <v/>
      </c>
      <c r="J45" s="123" t="str">
        <f t="shared" si="0"/>
        <v/>
      </c>
      <c r="K45" s="119" t="str">
        <f t="shared" si="1"/>
        <v/>
      </c>
      <c r="L45" s="129">
        <f>IFERROR(MIN(0,INDEX(Sheet1!$AD$10:$AD$999,MATCH(A45,Sheet1!$N$10:$N$999,0))),0)</f>
        <v>0</v>
      </c>
      <c r="M45" s="136">
        <f>IFERROR(MAX(0,INDEX(Sheet1!$AE$10:$AE$999,MATCH(A45,Sheet1!$N$10:$N$999,0))),0)</f>
        <v>0</v>
      </c>
      <c r="N45" s="111" t="str">
        <f t="shared" si="2"/>
        <v/>
      </c>
      <c r="O45" s="138">
        <f>IFERROR(MIN(0,INDEX(Sheet1!$AP$10:$AP$999,MATCH(A45,Sheet1!$N$10:$N$999,0))),0)</f>
        <v>0</v>
      </c>
      <c r="P45" s="141">
        <f>IFERROR(MAX(0,INDEX(Sheet1!$AO$10:$AO$999,MATCH(A45,Sheet1!$N$10:$N$999,0))),0)</f>
        <v>0</v>
      </c>
      <c r="Q45" s="111" t="str">
        <f t="shared" si="3"/>
        <v/>
      </c>
      <c r="R45" s="140">
        <f>IFERROR(MIN(0,INDEX(Sheet1!$BK$10:$BK$999,MATCH(A45,Sheet1!$N$10:$N$999,0))),0)</f>
        <v>0</v>
      </c>
      <c r="S45" s="141">
        <f>IFERROR(MAX(0,INDEX(Sheet1!$BK$10:$BK$999,MATCH(A45,Sheet1!$N$10:$N$999,0))),0)</f>
        <v>0</v>
      </c>
      <c r="T45" s="111" t="str">
        <f t="shared" si="4"/>
        <v/>
      </c>
      <c r="AA45" s="96"/>
    </row>
    <row r="46" spans="1:54" x14ac:dyDescent="0.3">
      <c r="A46" s="44"/>
      <c r="B46" s="152" t="str">
        <f>IFERROR(
    INDEX(
        CHOOSE(
            MATCH($C$1, {"All","Calls","Puts"}, 0),
            Sheet1!BN$10:BN$210,
            Sheet1!AR$10:AR$210,
            Sheet1!AS$10:AS$210
        ),
        MATCH($A46, Sheet1!N$10:N$210, 0)
    ),
"")</f>
        <v/>
      </c>
      <c r="C46" s="152" t="str">
        <f>IFERROR(
    INDEX(
        CHOOSE(
            MATCH($C$1, {"All","Calls","Puts"}, 0),
            Sheet1!BN$213:BN$413,
            Sheet1!AR$213:AR$413,
            Sheet1!AS$213:AS$413
        ),
        MATCH($A46, Sheet1!N$213:N$413, 0)
    ),
"")</f>
        <v/>
      </c>
      <c r="D46" s="152" t="str">
        <f>IFERROR(
    INDEX(
        CHOOSE(
            MATCH($C$1, {"All","Calls","Puts"}, 0),
            Sheet1!BN$416:BN$616,
            Sheet1!AR$416:AR$616,
            Sheet1!AS$416:AS$616
        ),
        MATCH($A46, Sheet1!N$416:N$616, 0)
    ),
"")</f>
        <v/>
      </c>
      <c r="E46" s="152" t="str">
        <f>IFERROR(
    INDEX(
        CHOOSE(
            MATCH($C$1, {"All","Calls","Puts"}, 0),
            Sheet1!BN$619:BN$819,
            Sheet1!AR$619:AR$819,
            Sheet1!AS$619:AS$819
        ),
        MATCH($A46, Sheet1!N$619:N$819, 0)
    ),
"")</f>
        <v/>
      </c>
      <c r="F46" s="152" t="str">
        <f>IFERROR(
    INDEX(
        CHOOSE(
            MATCH($C$1, {"All","Calls","Puts"}, 0),
            Sheet1!BN$822:BN$1022,
            Sheet1!AR$822:AR$1022,
            Sheet1!AS$822:AS$1022
        ),
        MATCH($A46, Sheet1!N$822:N$1022, 0)
    ),
"")</f>
        <v/>
      </c>
      <c r="G46" s="152" t="str">
        <f>IFERROR(
    INDEX(
        CHOOSE(
            MATCH($C$1, {"All","Calls","Puts"}, 0),
            Sheet1!BN$1025:BN$1225,
            Sheet1!AR$1025:AR$1225,
            Sheet1!AS$1025:AS$1225
        ),
        MATCH($A46, Sheet1!N$1025:N$1225, 0)
    ),
"")</f>
        <v/>
      </c>
      <c r="H46" s="152" t="str">
        <f>IFERROR(
    INDEX(
        CHOOSE(
            MATCH($C$1, {"All","Calls","Puts"}, 0),
            Sheet1!BN$1228:BN$1428,
            Sheet1!AR$1228:AR$1428,
            Sheet1!AS$1228:AS$1428
        ),
        MATCH($A46, Sheet1!N$1228:N$1428, 0)
    ),
"")</f>
        <v/>
      </c>
      <c r="I46" s="152" t="str">
        <f>IFERROR(
    INDEX(
        CHOOSE(
            MATCH($C$1, {"All","Calls","Puts"}, 0),
            Sheet1!BN$1431:BN$1631,
            Sheet1!AR$1431:AR$1631,
            Sheet1!AS$1431:AS$1631
        ),
        MATCH($A46, Sheet1!N$1431:N$1631, 0)
    ),
"")</f>
        <v/>
      </c>
      <c r="J46" s="123" t="str">
        <f t="shared" si="0"/>
        <v/>
      </c>
      <c r="K46" s="119" t="str">
        <f t="shared" si="1"/>
        <v/>
      </c>
      <c r="L46" s="129">
        <f>IFERROR(MIN(0,INDEX(Sheet1!$AD$10:$AD$999,MATCH(A46,Sheet1!$N$10:$N$999,0))),0)</f>
        <v>0</v>
      </c>
      <c r="M46" s="136">
        <f>IFERROR(MAX(0,INDEX(Sheet1!$AE$10:$AE$999,MATCH(A46,Sheet1!$N$10:$N$999,0))),0)</f>
        <v>0</v>
      </c>
      <c r="N46" s="111" t="str">
        <f t="shared" si="2"/>
        <v/>
      </c>
      <c r="O46" s="138">
        <f>IFERROR(MIN(0,INDEX(Sheet1!$AP$10:$AP$999,MATCH(A46,Sheet1!$N$10:$N$999,0))),0)</f>
        <v>0</v>
      </c>
      <c r="P46" s="141">
        <f>IFERROR(MAX(0,INDEX(Sheet1!$AO$10:$AO$999,MATCH(A46,Sheet1!$N$10:$N$999,0))),0)</f>
        <v>0</v>
      </c>
      <c r="Q46" s="111" t="str">
        <f t="shared" si="3"/>
        <v/>
      </c>
      <c r="R46" s="140">
        <f>IFERROR(MIN(0,INDEX(Sheet1!$BK$10:$BK$999,MATCH(A46,Sheet1!$N$10:$N$999,0))),0)</f>
        <v>0</v>
      </c>
      <c r="S46" s="141">
        <f>IFERROR(MAX(0,INDEX(Sheet1!$BK$10:$BK$999,MATCH(A46,Sheet1!$N$10:$N$999,0))),0)</f>
        <v>0</v>
      </c>
      <c r="T46" s="111" t="str">
        <f t="shared" si="4"/>
        <v/>
      </c>
      <c r="AA46" s="96"/>
    </row>
    <row r="47" spans="1:54" x14ac:dyDescent="0.3">
      <c r="A47" s="44"/>
      <c r="B47" s="152" t="str">
        <f>IFERROR(
    INDEX(
        CHOOSE(
            MATCH($C$1, {"All","Calls","Puts"}, 0),
            Sheet1!BN$10:BN$210,
            Sheet1!AR$10:AR$210,
            Sheet1!AS$10:AS$210
        ),
        MATCH($A47, Sheet1!N$10:N$210, 0)
    ),
"")</f>
        <v/>
      </c>
      <c r="C47" s="152" t="str">
        <f>IFERROR(
    INDEX(
        CHOOSE(
            MATCH($C$1, {"All","Calls","Puts"}, 0),
            Sheet1!BN$213:BN$413,
            Sheet1!AR$213:AR$413,
            Sheet1!AS$213:AS$413
        ),
        MATCH($A47, Sheet1!N$213:N$413, 0)
    ),
"")</f>
        <v/>
      </c>
      <c r="D47" s="152" t="str">
        <f>IFERROR(
    INDEX(
        CHOOSE(
            MATCH($C$1, {"All","Calls","Puts"}, 0),
            Sheet1!BN$416:BN$616,
            Sheet1!AR$416:AR$616,
            Sheet1!AS$416:AS$616
        ),
        MATCH($A47, Sheet1!N$416:N$616, 0)
    ),
"")</f>
        <v/>
      </c>
      <c r="E47" s="152" t="str">
        <f>IFERROR(
    INDEX(
        CHOOSE(
            MATCH($C$1, {"All","Calls","Puts"}, 0),
            Sheet1!BN$619:BN$819,
            Sheet1!AR$619:AR$819,
            Sheet1!AS$619:AS$819
        ),
        MATCH($A47, Sheet1!N$619:N$819, 0)
    ),
"")</f>
        <v/>
      </c>
      <c r="F47" s="152" t="str">
        <f>IFERROR(
    INDEX(
        CHOOSE(
            MATCH($C$1, {"All","Calls","Puts"}, 0),
            Sheet1!BN$822:BN$1022,
            Sheet1!AR$822:AR$1022,
            Sheet1!AS$822:AS$1022
        ),
        MATCH($A47, Sheet1!N$822:N$1022, 0)
    ),
"")</f>
        <v/>
      </c>
      <c r="G47" s="152" t="str">
        <f>IFERROR(
    INDEX(
        CHOOSE(
            MATCH($C$1, {"All","Calls","Puts"}, 0),
            Sheet1!BN$1025:BN$1225,
            Sheet1!AR$1025:AR$1225,
            Sheet1!AS$1025:AS$1225
        ),
        MATCH($A47, Sheet1!N$1025:N$1225, 0)
    ),
"")</f>
        <v/>
      </c>
      <c r="H47" s="152" t="str">
        <f>IFERROR(
    INDEX(
        CHOOSE(
            MATCH($C$1, {"All","Calls","Puts"}, 0),
            Sheet1!BN$1228:BN$1428,
            Sheet1!AR$1228:AR$1428,
            Sheet1!AS$1228:AS$1428
        ),
        MATCH($A47, Sheet1!N$1228:N$1428, 0)
    ),
"")</f>
        <v/>
      </c>
      <c r="I47" s="152" t="str">
        <f>IFERROR(
    INDEX(
        CHOOSE(
            MATCH($C$1, {"All","Calls","Puts"}, 0),
            Sheet1!BN$1431:BN$1631,
            Sheet1!AR$1431:AR$1631,
            Sheet1!AS$1431:AS$1631
        ),
        MATCH($A47, Sheet1!N$1431:N$1631, 0)
    ),
"")</f>
        <v/>
      </c>
      <c r="J47" s="123" t="str">
        <f t="shared" si="0"/>
        <v/>
      </c>
      <c r="K47" s="119" t="str">
        <f t="shared" si="1"/>
        <v/>
      </c>
      <c r="L47" s="129">
        <f>IFERROR(MIN(0,INDEX(Sheet1!$AD$10:$AD$999,MATCH(A47,Sheet1!$N$10:$N$999,0))),0)</f>
        <v>0</v>
      </c>
      <c r="M47" s="136">
        <f>IFERROR(MAX(0,INDEX(Sheet1!$AE$10:$AE$999,MATCH(A47,Sheet1!$N$10:$N$999,0))),0)</f>
        <v>0</v>
      </c>
      <c r="N47" s="111" t="str">
        <f t="shared" si="2"/>
        <v/>
      </c>
      <c r="O47" s="138">
        <f>IFERROR(MIN(0,INDEX(Sheet1!$AP$10:$AP$999,MATCH(A47,Sheet1!$N$10:$N$999,0))),0)</f>
        <v>0</v>
      </c>
      <c r="P47" s="141">
        <f>IFERROR(MAX(0,INDEX(Sheet1!$AO$10:$AO$999,MATCH(A47,Sheet1!$N$10:$N$999,0))),0)</f>
        <v>0</v>
      </c>
      <c r="Q47" s="111" t="str">
        <f t="shared" si="3"/>
        <v/>
      </c>
      <c r="R47" s="140">
        <f>IFERROR(MIN(0,INDEX(Sheet1!$BK$10:$BK$999,MATCH(A47,Sheet1!$N$10:$N$999,0))),0)</f>
        <v>0</v>
      </c>
      <c r="S47" s="141">
        <f>IFERROR(MAX(0,INDEX(Sheet1!$BK$10:$BK$999,MATCH(A47,Sheet1!$N$10:$N$999,0))),0)</f>
        <v>0</v>
      </c>
      <c r="T47" s="111" t="str">
        <f t="shared" si="4"/>
        <v/>
      </c>
      <c r="AA47" s="96"/>
    </row>
    <row r="48" spans="1:54" x14ac:dyDescent="0.3">
      <c r="A48" s="44"/>
      <c r="B48" s="152" t="str">
        <f>IFERROR(
    INDEX(
        CHOOSE(
            MATCH($C$1, {"All","Calls","Puts"}, 0),
            Sheet1!BN$10:BN$210,
            Sheet1!AR$10:AR$210,
            Sheet1!AS$10:AS$210
        ),
        MATCH($A48, Sheet1!N$10:N$210, 0)
    ),
"")</f>
        <v/>
      </c>
      <c r="C48" s="152" t="str">
        <f>IFERROR(
    INDEX(
        CHOOSE(
            MATCH($C$1, {"All","Calls","Puts"}, 0),
            Sheet1!BN$213:BN$413,
            Sheet1!AR$213:AR$413,
            Sheet1!AS$213:AS$413
        ),
        MATCH($A48, Sheet1!N$213:N$413, 0)
    ),
"")</f>
        <v/>
      </c>
      <c r="D48" s="152" t="str">
        <f>IFERROR(
    INDEX(
        CHOOSE(
            MATCH($C$1, {"All","Calls","Puts"}, 0),
            Sheet1!BN$416:BN$616,
            Sheet1!AR$416:AR$616,
            Sheet1!AS$416:AS$616
        ),
        MATCH($A48, Sheet1!N$416:N$616, 0)
    ),
"")</f>
        <v/>
      </c>
      <c r="E48" s="152" t="str">
        <f>IFERROR(
    INDEX(
        CHOOSE(
            MATCH($C$1, {"All","Calls","Puts"}, 0),
            Sheet1!BN$619:BN$819,
            Sheet1!AR$619:AR$819,
            Sheet1!AS$619:AS$819
        ),
        MATCH($A48, Sheet1!N$619:N$819, 0)
    ),
"")</f>
        <v/>
      </c>
      <c r="F48" s="152" t="str">
        <f>IFERROR(
    INDEX(
        CHOOSE(
            MATCH($C$1, {"All","Calls","Puts"}, 0),
            Sheet1!BN$822:BN$1022,
            Sheet1!AR$822:AR$1022,
            Sheet1!AS$822:AS$1022
        ),
        MATCH($A48, Sheet1!N$822:N$1022, 0)
    ),
"")</f>
        <v/>
      </c>
      <c r="G48" s="152" t="str">
        <f>IFERROR(
    INDEX(
        CHOOSE(
            MATCH($C$1, {"All","Calls","Puts"}, 0),
            Sheet1!BN$1025:BN$1225,
            Sheet1!AR$1025:AR$1225,
            Sheet1!AS$1025:AS$1225
        ),
        MATCH($A48, Sheet1!N$1025:N$1225, 0)
    ),
"")</f>
        <v/>
      </c>
      <c r="H48" s="152" t="str">
        <f>IFERROR(
    INDEX(
        CHOOSE(
            MATCH($C$1, {"All","Calls","Puts"}, 0),
            Sheet1!BN$1228:BN$1428,
            Sheet1!AR$1228:AR$1428,
            Sheet1!AS$1228:AS$1428
        ),
        MATCH($A48, Sheet1!N$1228:N$1428, 0)
    ),
"")</f>
        <v/>
      </c>
      <c r="I48" s="152" t="str">
        <f>IFERROR(
    INDEX(
        CHOOSE(
            MATCH($C$1, {"All","Calls","Puts"}, 0),
            Sheet1!BN$1431:BN$1631,
            Sheet1!AR$1431:AR$1631,
            Sheet1!AS$1431:AS$1631
        ),
        MATCH($A48, Sheet1!N$1431:N$1631, 0)
    ),
"")</f>
        <v/>
      </c>
      <c r="J48" s="73" t="str">
        <f t="shared" si="0"/>
        <v/>
      </c>
      <c r="K48" s="97" t="str">
        <f t="shared" si="1"/>
        <v/>
      </c>
      <c r="L48" s="129">
        <f>IFERROR(MIN(0,INDEX(Sheet1!$AD$10:$AD$999,MATCH(A48,Sheet1!$N$10:$N$999,0))),0)</f>
        <v>0</v>
      </c>
      <c r="M48" s="136">
        <f>IFERROR(MAX(0,INDEX(Sheet1!$AE$10:$AE$999,MATCH(A48,Sheet1!$N$10:$N$999,0))),0)</f>
        <v>0</v>
      </c>
      <c r="N48" s="111" t="str">
        <f t="shared" si="2"/>
        <v/>
      </c>
      <c r="O48" s="138">
        <f>IFERROR(MIN(0,INDEX(Sheet1!$AP$10:$AP$999,MATCH(A48,Sheet1!$N$10:$N$999,0))),0)</f>
        <v>0</v>
      </c>
      <c r="P48" s="141">
        <f>IFERROR(MAX(0,INDEX(Sheet1!$AO$10:$AO$999,MATCH(A48,Sheet1!$N$10:$N$999,0))),0)</f>
        <v>0</v>
      </c>
      <c r="Q48" s="111" t="str">
        <f t="shared" si="3"/>
        <v/>
      </c>
      <c r="R48" s="140">
        <f>IFERROR(MIN(0,INDEX(Sheet1!$BK$10:$BK$999,MATCH(A48,Sheet1!$N$10:$N$999,0))),0)</f>
        <v>0</v>
      </c>
      <c r="S48" s="141">
        <f>IFERROR(MAX(0,INDEX(Sheet1!$BK$10:$BK$999,MATCH(A48,Sheet1!$N$10:$N$999,0))),0)</f>
        <v>0</v>
      </c>
      <c r="T48" s="111" t="str">
        <f t="shared" si="4"/>
        <v/>
      </c>
      <c r="AA48" s="96"/>
    </row>
    <row r="49" spans="1:27" x14ac:dyDescent="0.3">
      <c r="A49" s="44"/>
      <c r="B49" s="152" t="str">
        <f>IFERROR(
    INDEX(
        CHOOSE(
            MATCH($C$1, {"All","Calls","Puts"}, 0),
            Sheet1!BN$10:BN$210,
            Sheet1!AR$10:AR$210,
            Sheet1!AS$10:AS$210
        ),
        MATCH($A49, Sheet1!N$10:N$210, 0)
    ),
"")</f>
        <v/>
      </c>
      <c r="C49" s="152" t="str">
        <f>IFERROR(
    INDEX(
        CHOOSE(
            MATCH($C$1, {"All","Calls","Puts"}, 0),
            Sheet1!BN$213:BN$413,
            Sheet1!AR$213:AR$413,
            Sheet1!AS$213:AS$413
        ),
        MATCH($A49, Sheet1!N$213:N$413, 0)
    ),
"")</f>
        <v/>
      </c>
      <c r="D49" s="152" t="str">
        <f>IFERROR(
    INDEX(
        CHOOSE(
            MATCH($C$1, {"All","Calls","Puts"}, 0),
            Sheet1!BN$416:BN$616,
            Sheet1!AR$416:AR$616,
            Sheet1!AS$416:AS$616
        ),
        MATCH($A49, Sheet1!N$416:N$616, 0)
    ),
"")</f>
        <v/>
      </c>
      <c r="E49" s="152" t="str">
        <f>IFERROR(
    INDEX(
        CHOOSE(
            MATCH($C$1, {"All","Calls","Puts"}, 0),
            Sheet1!BN$619:BN$819,
            Sheet1!AR$619:AR$819,
            Sheet1!AS$619:AS$819
        ),
        MATCH($A49, Sheet1!N$619:N$819, 0)
    ),
"")</f>
        <v/>
      </c>
      <c r="F49" s="152" t="str">
        <f>IFERROR(
    INDEX(
        CHOOSE(
            MATCH($C$1, {"All","Calls","Puts"}, 0),
            Sheet1!BN$822:BN$1022,
            Sheet1!AR$822:AR$1022,
            Sheet1!AS$822:AS$1022
        ),
        MATCH($A49, Sheet1!N$822:N$1022, 0)
    ),
"")</f>
        <v/>
      </c>
      <c r="G49" s="152" t="str">
        <f>IFERROR(
    INDEX(
        CHOOSE(
            MATCH($C$1, {"All","Calls","Puts"}, 0),
            Sheet1!BN$1025:BN$1225,
            Sheet1!AR$1025:AR$1225,
            Sheet1!AS$1025:AS$1225
        ),
        MATCH($A49, Sheet1!N$1025:N$1225, 0)
    ),
"")</f>
        <v/>
      </c>
      <c r="H49" s="152" t="str">
        <f>IFERROR(
    INDEX(
        CHOOSE(
            MATCH($C$1, {"All","Calls","Puts"}, 0),
            Sheet1!BN$1228:BN$1428,
            Sheet1!AR$1228:AR$1428,
            Sheet1!AS$1228:AS$1428
        ),
        MATCH($A49, Sheet1!N$1228:N$1428, 0)
    ),
"")</f>
        <v/>
      </c>
      <c r="I49" s="152" t="str">
        <f>IFERROR(
    INDEX(
        CHOOSE(
            MATCH($C$1, {"All","Calls","Puts"}, 0),
            Sheet1!BN$1431:BN$1631,
            Sheet1!AR$1431:AR$1631,
            Sheet1!AS$1431:AS$1631
        ),
        MATCH($A49, Sheet1!N$1431:N$1631, 0)
    ),
"")</f>
        <v/>
      </c>
      <c r="J49" s="73" t="str">
        <f t="shared" si="0"/>
        <v/>
      </c>
      <c r="K49" s="97" t="str">
        <f t="shared" si="1"/>
        <v/>
      </c>
      <c r="L49" s="129">
        <f>IFERROR(MIN(0,INDEX(Sheet1!$AD$10:$AD$999,MATCH(A49,Sheet1!$N$10:$N$999,0))),0)</f>
        <v>0</v>
      </c>
      <c r="M49" s="136">
        <f>IFERROR(MAX(0,INDEX(Sheet1!$AE$10:$AE$999,MATCH(A49,Sheet1!$N$10:$N$999,0))),0)</f>
        <v>0</v>
      </c>
      <c r="N49" s="111" t="str">
        <f t="shared" si="2"/>
        <v/>
      </c>
      <c r="O49" s="138">
        <f>IFERROR(MIN(0,INDEX(Sheet1!$AP$10:$AP$999,MATCH(A49,Sheet1!$N$10:$N$999,0))),0)</f>
        <v>0</v>
      </c>
      <c r="P49" s="141">
        <f>IFERROR(MAX(0,INDEX(Sheet1!$AO$10:$AO$999,MATCH(A49,Sheet1!$N$10:$N$999,0))),0)</f>
        <v>0</v>
      </c>
      <c r="Q49" s="111" t="str">
        <f t="shared" si="3"/>
        <v/>
      </c>
      <c r="R49" s="140">
        <f>IFERROR(MIN(0,INDEX(Sheet1!$BK$10:$BK$999,MATCH(A49,Sheet1!$N$10:$N$999,0))),0)</f>
        <v>0</v>
      </c>
      <c r="S49" s="141">
        <f>IFERROR(MAX(0,INDEX(Sheet1!$BK$10:$BK$999,MATCH(A49,Sheet1!$N$10:$N$999,0))),0)</f>
        <v>0</v>
      </c>
      <c r="T49" s="111" t="str">
        <f t="shared" si="4"/>
        <v/>
      </c>
      <c r="AA49" s="96"/>
    </row>
    <row r="50" spans="1:27" x14ac:dyDescent="0.3">
      <c r="A50" s="44"/>
      <c r="B50" s="152" t="str">
        <f>IFERROR(
    INDEX(
        CHOOSE(
            MATCH($C$1, {"All","Calls","Puts"}, 0),
            Sheet1!BN$10:BN$210,
            Sheet1!AR$10:AR$210,
            Sheet1!AS$10:AS$210
        ),
        MATCH($A50, Sheet1!N$10:N$210, 0)
    ),
"")</f>
        <v/>
      </c>
      <c r="C50" s="152" t="str">
        <f>IFERROR(
    INDEX(
        CHOOSE(
            MATCH($C$1, {"All","Calls","Puts"}, 0),
            Sheet1!BN$213:BN$413,
            Sheet1!AR$213:AR$413,
            Sheet1!AS$213:AS$413
        ),
        MATCH($A50, Sheet1!N$213:N$413, 0)
    ),
"")</f>
        <v/>
      </c>
      <c r="D50" s="152" t="str">
        <f>IFERROR(
    INDEX(
        CHOOSE(
            MATCH($C$1, {"All","Calls","Puts"}, 0),
            Sheet1!BN$416:BN$616,
            Sheet1!AR$416:AR$616,
            Sheet1!AS$416:AS$616
        ),
        MATCH($A50, Sheet1!N$416:N$616, 0)
    ),
"")</f>
        <v/>
      </c>
      <c r="E50" s="152" t="str">
        <f>IFERROR(
    INDEX(
        CHOOSE(
            MATCH($C$1, {"All","Calls","Puts"}, 0),
            Sheet1!BN$619:BN$819,
            Sheet1!AR$619:AR$819,
            Sheet1!AS$619:AS$819
        ),
        MATCH($A50, Sheet1!N$619:N$819, 0)
    ),
"")</f>
        <v/>
      </c>
      <c r="F50" s="152" t="str">
        <f>IFERROR(
    INDEX(
        CHOOSE(
            MATCH($C$1, {"All","Calls","Puts"}, 0),
            Sheet1!BN$822:BN$1022,
            Sheet1!AR$822:AR$1022,
            Sheet1!AS$822:AS$1022
        ),
        MATCH($A50, Sheet1!N$822:N$1022, 0)
    ),
"")</f>
        <v/>
      </c>
      <c r="G50" s="152" t="str">
        <f>IFERROR(
    INDEX(
        CHOOSE(
            MATCH($C$1, {"All","Calls","Puts"}, 0),
            Sheet1!BN$1025:BN$1225,
            Sheet1!AR$1025:AR$1225,
            Sheet1!AS$1025:AS$1225
        ),
        MATCH($A50, Sheet1!N$1025:N$1225, 0)
    ),
"")</f>
        <v/>
      </c>
      <c r="H50" s="152" t="str">
        <f>IFERROR(
    INDEX(
        CHOOSE(
            MATCH($C$1, {"All","Calls","Puts"}, 0),
            Sheet1!BN$1228:BN$1428,
            Sheet1!AR$1228:AR$1428,
            Sheet1!AS$1228:AS$1428
        ),
        MATCH($A50, Sheet1!N$1228:N$1428, 0)
    ),
"")</f>
        <v/>
      </c>
      <c r="I50" s="152" t="str">
        <f>IFERROR(
    INDEX(
        CHOOSE(
            MATCH($C$1, {"All","Calls","Puts"}, 0),
            Sheet1!BN$1431:BN$1631,
            Sheet1!AR$1431:AR$1631,
            Sheet1!AS$1431:AS$1631
        ),
        MATCH($A50, Sheet1!N$1431:N$1631, 0)
    ),
"")</f>
        <v/>
      </c>
      <c r="J50" s="73" t="str">
        <f t="shared" si="0"/>
        <v/>
      </c>
      <c r="K50" s="97" t="str">
        <f t="shared" si="1"/>
        <v/>
      </c>
      <c r="L50" s="129">
        <f>IFERROR(MIN(0,INDEX(Sheet1!$AD$10:$AD$999,MATCH(A50,Sheet1!$N$10:$N$999,0))),0)</f>
        <v>0</v>
      </c>
      <c r="M50" s="136">
        <f>IFERROR(MAX(0,INDEX(Sheet1!$AE$10:$AE$999,MATCH(A50,Sheet1!$N$10:$N$999,0))),0)</f>
        <v>0</v>
      </c>
      <c r="N50" s="111" t="str">
        <f t="shared" si="2"/>
        <v/>
      </c>
      <c r="O50" s="138">
        <f>IFERROR(MIN(0,INDEX(Sheet1!$AP$10:$AP$999,MATCH(A50,Sheet1!$N$10:$N$999,0))),0)</f>
        <v>0</v>
      </c>
      <c r="P50" s="141">
        <f>IFERROR(MAX(0,INDEX(Sheet1!$AO$10:$AO$999,MATCH(A50,Sheet1!$N$10:$N$999,0))),0)</f>
        <v>0</v>
      </c>
      <c r="Q50" s="111" t="str">
        <f t="shared" si="3"/>
        <v/>
      </c>
      <c r="R50" s="140">
        <f>IFERROR(MIN(0,INDEX(Sheet1!$BK$10:$BK$999,MATCH(A50,Sheet1!$N$10:$N$999,0))),0)</f>
        <v>0</v>
      </c>
      <c r="S50" s="141">
        <f>IFERROR(MAX(0,INDEX(Sheet1!$BK$10:$BK$999,MATCH(A50,Sheet1!$N$10:$N$999,0))),0)</f>
        <v>0</v>
      </c>
      <c r="T50" s="111" t="str">
        <f t="shared" si="4"/>
        <v/>
      </c>
      <c r="AA50" s="96"/>
    </row>
    <row r="51" spans="1:27" x14ac:dyDescent="0.3">
      <c r="A51" s="44"/>
      <c r="B51" s="152" t="str">
        <f>IFERROR(
    INDEX(
        CHOOSE(
            MATCH($C$1, {"All","Calls","Puts"}, 0),
            Sheet1!BN$10:BN$210,
            Sheet1!AR$10:AR$210,
            Sheet1!AS$10:AS$210
        ),
        MATCH($A51, Sheet1!N$10:N$210, 0)
    ),
"")</f>
        <v/>
      </c>
      <c r="C51" s="152" t="str">
        <f>IFERROR(
    INDEX(
        CHOOSE(
            MATCH($C$1, {"All","Calls","Puts"}, 0),
            Sheet1!BN$213:BN$413,
            Sheet1!AR$213:AR$413,
            Sheet1!AS$213:AS$413
        ),
        MATCH($A51, Sheet1!N$213:N$413, 0)
    ),
"")</f>
        <v/>
      </c>
      <c r="D51" s="152" t="str">
        <f>IFERROR(
    INDEX(
        CHOOSE(
            MATCH($C$1, {"All","Calls","Puts"}, 0),
            Sheet1!BN$416:BN$616,
            Sheet1!AR$416:AR$616,
            Sheet1!AS$416:AS$616
        ),
        MATCH($A51, Sheet1!N$416:N$616, 0)
    ),
"")</f>
        <v/>
      </c>
      <c r="E51" s="152" t="str">
        <f>IFERROR(
    INDEX(
        CHOOSE(
            MATCH($C$1, {"All","Calls","Puts"}, 0),
            Sheet1!BN$619:BN$819,
            Sheet1!AR$619:AR$819,
            Sheet1!AS$619:AS$819
        ),
        MATCH($A51, Sheet1!N$619:N$819, 0)
    ),
"")</f>
        <v/>
      </c>
      <c r="F51" s="152" t="str">
        <f>IFERROR(
    INDEX(
        CHOOSE(
            MATCH($C$1, {"All","Calls","Puts"}, 0),
            Sheet1!BN$822:BN$1022,
            Sheet1!AR$822:AR$1022,
            Sheet1!AS$822:AS$1022
        ),
        MATCH($A51, Sheet1!N$822:N$1022, 0)
    ),
"")</f>
        <v/>
      </c>
      <c r="G51" s="152" t="str">
        <f>IFERROR(
    INDEX(
        CHOOSE(
            MATCH($C$1, {"All","Calls","Puts"}, 0),
            Sheet1!BN$1025:BN$1225,
            Sheet1!AR$1025:AR$1225,
            Sheet1!AS$1025:AS$1225
        ),
        MATCH($A51, Sheet1!N$1025:N$1225, 0)
    ),
"")</f>
        <v/>
      </c>
      <c r="H51" s="152" t="str">
        <f>IFERROR(
    INDEX(
        CHOOSE(
            MATCH($C$1, {"All","Calls","Puts"}, 0),
            Sheet1!BN$1228:BN$1428,
            Sheet1!AR$1228:AR$1428,
            Sheet1!AS$1228:AS$1428
        ),
        MATCH($A51, Sheet1!N$1228:N$1428, 0)
    ),
"")</f>
        <v/>
      </c>
      <c r="I51" s="152" t="str">
        <f>IFERROR(
    INDEX(
        CHOOSE(
            MATCH($C$1, {"All","Calls","Puts"}, 0),
            Sheet1!BN$1431:BN$1631,
            Sheet1!AR$1431:AR$1631,
            Sheet1!AS$1431:AS$1631
        ),
        MATCH($A51, Sheet1!N$1431:N$1631, 0)
    ),
"")</f>
        <v/>
      </c>
      <c r="J51" s="73" t="str">
        <f t="shared" si="0"/>
        <v/>
      </c>
      <c r="K51" s="97" t="str">
        <f t="shared" si="1"/>
        <v/>
      </c>
      <c r="L51" s="129">
        <f>IFERROR(MIN(0,INDEX(Sheet1!$AD$10:$AD$999,MATCH(A51,Sheet1!$N$10:$N$999,0))),0)</f>
        <v>0</v>
      </c>
      <c r="M51" s="136">
        <f>IFERROR(MAX(0,INDEX(Sheet1!$AE$10:$AE$999,MATCH(A51,Sheet1!$N$10:$N$999,0))),0)</f>
        <v>0</v>
      </c>
      <c r="N51" s="111" t="str">
        <f t="shared" si="2"/>
        <v/>
      </c>
      <c r="O51" s="138">
        <f>IFERROR(MIN(0,INDEX(Sheet1!$AP$10:$AP$999,MATCH(A51,Sheet1!$N$10:$N$999,0))),0)</f>
        <v>0</v>
      </c>
      <c r="P51" s="141">
        <f>IFERROR(MAX(0,INDEX(Sheet1!$AO$10:$AO$999,MATCH(A51,Sheet1!$N$10:$N$999,0))),0)</f>
        <v>0</v>
      </c>
      <c r="Q51" s="111" t="str">
        <f t="shared" si="3"/>
        <v/>
      </c>
      <c r="R51" s="140">
        <f>IFERROR(MIN(0,INDEX(Sheet1!$BK$10:$BK$999,MATCH(A51,Sheet1!$N$10:$N$999,0))),0)</f>
        <v>0</v>
      </c>
      <c r="S51" s="141">
        <f>IFERROR(MAX(0,INDEX(Sheet1!$BK$10:$BK$999,MATCH(A51,Sheet1!$N$10:$N$999,0))),0)</f>
        <v>0</v>
      </c>
      <c r="T51" s="111" t="str">
        <f t="shared" si="4"/>
        <v/>
      </c>
      <c r="AA51" s="96"/>
    </row>
    <row r="52" spans="1:27" x14ac:dyDescent="0.3">
      <c r="A52" s="44"/>
      <c r="B52" s="152" t="str">
        <f>IFERROR(
    INDEX(
        CHOOSE(
            MATCH($C$1, {"All","Calls","Puts"}, 0),
            Sheet1!BN$10:BN$210,
            Sheet1!AR$10:AR$210,
            Sheet1!AS$10:AS$210
        ),
        MATCH($A52, Sheet1!N$10:N$210, 0)
    ),
"")</f>
        <v/>
      </c>
      <c r="C52" s="152" t="str">
        <f>IFERROR(
    INDEX(
        CHOOSE(
            MATCH($C$1, {"All","Calls","Puts"}, 0),
            Sheet1!BN$213:BN$413,
            Sheet1!AR$213:AR$413,
            Sheet1!AS$213:AS$413
        ),
        MATCH($A52, Sheet1!N$213:N$413, 0)
    ),
"")</f>
        <v/>
      </c>
      <c r="D52" s="152" t="str">
        <f>IFERROR(
    INDEX(
        CHOOSE(
            MATCH($C$1, {"All","Calls","Puts"}, 0),
            Sheet1!BN$416:BN$616,
            Sheet1!AR$416:AR$616,
            Sheet1!AS$416:AS$616
        ),
        MATCH($A52, Sheet1!N$416:N$616, 0)
    ),
"")</f>
        <v/>
      </c>
      <c r="E52" s="152" t="str">
        <f>IFERROR(
    INDEX(
        CHOOSE(
            MATCH($C$1, {"All","Calls","Puts"}, 0),
            Sheet1!BN$619:BN$819,
            Sheet1!AR$619:AR$819,
            Sheet1!AS$619:AS$819
        ),
        MATCH($A52, Sheet1!N$619:N$819, 0)
    ),
"")</f>
        <v/>
      </c>
      <c r="F52" s="152" t="str">
        <f>IFERROR(
    INDEX(
        CHOOSE(
            MATCH($C$1, {"All","Calls","Puts"}, 0),
            Sheet1!BN$822:BN$1022,
            Sheet1!AR$822:AR$1022,
            Sheet1!AS$822:AS$1022
        ),
        MATCH($A52, Sheet1!N$822:N$1022, 0)
    ),
"")</f>
        <v/>
      </c>
      <c r="G52" s="152" t="str">
        <f>IFERROR(
    INDEX(
        CHOOSE(
            MATCH($C$1, {"All","Calls","Puts"}, 0),
            Sheet1!BN$1025:BN$1225,
            Sheet1!AR$1025:AR$1225,
            Sheet1!AS$1025:AS$1225
        ),
        MATCH($A52, Sheet1!N$1025:N$1225, 0)
    ),
"")</f>
        <v/>
      </c>
      <c r="H52" s="152" t="str">
        <f>IFERROR(
    INDEX(
        CHOOSE(
            MATCH($C$1, {"All","Calls","Puts"}, 0),
            Sheet1!BN$1228:BN$1428,
            Sheet1!AR$1228:AR$1428,
            Sheet1!AS$1228:AS$1428
        ),
        MATCH($A52, Sheet1!N$1228:N$1428, 0)
    ),
"")</f>
        <v/>
      </c>
      <c r="I52" s="152" t="str">
        <f>IFERROR(
    INDEX(
        CHOOSE(
            MATCH($C$1, {"All","Calls","Puts"}, 0),
            Sheet1!BN$1431:BN$1631,
            Sheet1!AR$1431:AR$1631,
            Sheet1!AS$1431:AS$1631
        ),
        MATCH($A52, Sheet1!N$1431:N$1631, 0)
    ),
"")</f>
        <v/>
      </c>
      <c r="J52" s="73" t="str">
        <f t="shared" si="0"/>
        <v/>
      </c>
      <c r="K52" s="97" t="str">
        <f t="shared" si="1"/>
        <v/>
      </c>
      <c r="L52" s="129">
        <f>IFERROR(MIN(0,INDEX(Sheet1!$AD$10:$AD$999,MATCH(A52,Sheet1!$N$10:$N$999,0))),0)</f>
        <v>0</v>
      </c>
      <c r="M52" s="136">
        <f>IFERROR(MAX(0,INDEX(Sheet1!$AE$10:$AE$999,MATCH(A52,Sheet1!$N$10:$N$999,0))),0)</f>
        <v>0</v>
      </c>
      <c r="N52" s="111" t="str">
        <f t="shared" si="2"/>
        <v/>
      </c>
      <c r="O52" s="138">
        <f>IFERROR(MIN(0,INDEX(Sheet1!$AP$10:$AP$999,MATCH(A52,Sheet1!$N$10:$N$999,0))),0)</f>
        <v>0</v>
      </c>
      <c r="P52" s="141">
        <f>IFERROR(MAX(0,INDEX(Sheet1!$AO$10:$AO$999,MATCH(A52,Sheet1!$N$10:$N$999,0))),0)</f>
        <v>0</v>
      </c>
      <c r="Q52" s="111" t="str">
        <f t="shared" si="3"/>
        <v/>
      </c>
      <c r="R52" s="140">
        <f>IFERROR(MIN(0,INDEX(Sheet1!$BK$10:$BK$999,MATCH(A52,Sheet1!$N$10:$N$999,0))),0)</f>
        <v>0</v>
      </c>
      <c r="S52" s="141">
        <f>IFERROR(MAX(0,INDEX(Sheet1!$BK$10:$BK$999,MATCH(A52,Sheet1!$N$10:$N$999,0))),0)</f>
        <v>0</v>
      </c>
      <c r="T52" s="111" t="str">
        <f t="shared" si="4"/>
        <v/>
      </c>
      <c r="AA52" s="96"/>
    </row>
    <row r="53" spans="1:27" x14ac:dyDescent="0.3">
      <c r="A53" s="44"/>
      <c r="B53" s="152" t="str">
        <f>IFERROR(
    INDEX(
        CHOOSE(
            MATCH($C$1, {"All","Calls","Puts"}, 0),
            Sheet1!BN$10:BN$210,
            Sheet1!AR$10:AR$210,
            Sheet1!AS$10:AS$210
        ),
        MATCH($A53, Sheet1!N$10:N$210, 0)
    ),
"")</f>
        <v/>
      </c>
      <c r="C53" s="152" t="str">
        <f>IFERROR(
    INDEX(
        CHOOSE(
            MATCH($C$1, {"All","Calls","Puts"}, 0),
            Sheet1!BN$213:BN$413,
            Sheet1!AR$213:AR$413,
            Sheet1!AS$213:AS$413
        ),
        MATCH($A53, Sheet1!N$213:N$413, 0)
    ),
"")</f>
        <v/>
      </c>
      <c r="D53" s="152" t="str">
        <f>IFERROR(
    INDEX(
        CHOOSE(
            MATCH($C$1, {"All","Calls","Puts"}, 0),
            Sheet1!BN$416:BN$616,
            Sheet1!AR$416:AR$616,
            Sheet1!AS$416:AS$616
        ),
        MATCH($A53, Sheet1!N$416:N$616, 0)
    ),
"")</f>
        <v/>
      </c>
      <c r="E53" s="152" t="str">
        <f>IFERROR(
    INDEX(
        CHOOSE(
            MATCH($C$1, {"All","Calls","Puts"}, 0),
            Sheet1!BN$619:BN$819,
            Sheet1!AR$619:AR$819,
            Sheet1!AS$619:AS$819
        ),
        MATCH($A53, Sheet1!N$619:N$819, 0)
    ),
"")</f>
        <v/>
      </c>
      <c r="F53" s="152" t="str">
        <f>IFERROR(
    INDEX(
        CHOOSE(
            MATCH($C$1, {"All","Calls","Puts"}, 0),
            Sheet1!BN$822:BN$1022,
            Sheet1!AR$822:AR$1022,
            Sheet1!AS$822:AS$1022
        ),
        MATCH($A53, Sheet1!N$822:N$1022, 0)
    ),
"")</f>
        <v/>
      </c>
      <c r="G53" s="152" t="str">
        <f>IFERROR(
    INDEX(
        CHOOSE(
            MATCH($C$1, {"All","Calls","Puts"}, 0),
            Sheet1!BN$1025:BN$1225,
            Sheet1!AR$1025:AR$1225,
            Sheet1!AS$1025:AS$1225
        ),
        MATCH($A53, Sheet1!N$1025:N$1225, 0)
    ),
"")</f>
        <v/>
      </c>
      <c r="H53" s="152" t="str">
        <f>IFERROR(
    INDEX(
        CHOOSE(
            MATCH($C$1, {"All","Calls","Puts"}, 0),
            Sheet1!BN$1228:BN$1428,
            Sheet1!AR$1228:AR$1428,
            Sheet1!AS$1228:AS$1428
        ),
        MATCH($A53, Sheet1!N$1228:N$1428, 0)
    ),
"")</f>
        <v/>
      </c>
      <c r="I53" s="152" t="str">
        <f>IFERROR(
    INDEX(
        CHOOSE(
            MATCH($C$1, {"All","Calls","Puts"}, 0),
            Sheet1!BN$1431:BN$1631,
            Sheet1!AR$1431:AR$1631,
            Sheet1!AS$1431:AS$1631
        ),
        MATCH($A53, Sheet1!N$1431:N$1631, 0)
    ),
"")</f>
        <v/>
      </c>
      <c r="J53" s="73" t="str">
        <f t="shared" si="0"/>
        <v/>
      </c>
      <c r="K53" s="97" t="str">
        <f t="shared" si="1"/>
        <v/>
      </c>
      <c r="L53" s="129">
        <f>IFERROR(MIN(0,INDEX(Sheet1!$AD$10:$AD$999,MATCH(A53,Sheet1!$N$10:$N$999,0))),0)</f>
        <v>0</v>
      </c>
      <c r="M53" s="136">
        <f>IFERROR(MAX(0,INDEX(Sheet1!$AE$10:$AE$999,MATCH(A53,Sheet1!$N$10:$N$999,0))),0)</f>
        <v>0</v>
      </c>
      <c r="N53" s="111" t="str">
        <f t="shared" si="2"/>
        <v/>
      </c>
      <c r="O53" s="138">
        <f>IFERROR(MIN(0,INDEX(Sheet1!$AP$10:$AP$999,MATCH(A53,Sheet1!$N$10:$N$999,0))),0)</f>
        <v>0</v>
      </c>
      <c r="P53" s="141">
        <f>IFERROR(MAX(0,INDEX(Sheet1!$AO$10:$AO$999,MATCH(A53,Sheet1!$N$10:$N$999,0))),0)</f>
        <v>0</v>
      </c>
      <c r="Q53" s="111" t="str">
        <f t="shared" si="3"/>
        <v/>
      </c>
      <c r="R53" s="140">
        <f>IFERROR(MIN(0,INDEX(Sheet1!$BK$10:$BK$999,MATCH(A53,Sheet1!$N$10:$N$999,0))),0)</f>
        <v>0</v>
      </c>
      <c r="S53" s="141">
        <f>IFERROR(MAX(0,INDEX(Sheet1!$BK$10:$BK$999,MATCH(A53,Sheet1!$N$10:$N$999,0))),0)</f>
        <v>0</v>
      </c>
      <c r="T53" s="111" t="str">
        <f t="shared" si="4"/>
        <v/>
      </c>
      <c r="AA53" s="96"/>
    </row>
    <row r="54" spans="1:27" x14ac:dyDescent="0.3">
      <c r="A54" s="44"/>
      <c r="B54" s="152" t="str">
        <f>IFERROR(
    INDEX(
        CHOOSE(
            MATCH($C$1, {"All","Calls","Puts"}, 0),
            Sheet1!BN$10:BN$210,
            Sheet1!AR$10:AR$210,
            Sheet1!AS$10:AS$210
        ),
        MATCH($A54, Sheet1!N$10:N$210, 0)
    ),
"")</f>
        <v/>
      </c>
      <c r="C54" s="152" t="str">
        <f>IFERROR(
    INDEX(
        CHOOSE(
            MATCH($C$1, {"All","Calls","Puts"}, 0),
            Sheet1!BN$213:BN$413,
            Sheet1!AR$213:AR$413,
            Sheet1!AS$213:AS$413
        ),
        MATCH($A54, Sheet1!N$213:N$413, 0)
    ),
"")</f>
        <v/>
      </c>
      <c r="D54" s="152" t="str">
        <f>IFERROR(
    INDEX(
        CHOOSE(
            MATCH($C$1, {"All","Calls","Puts"}, 0),
            Sheet1!BN$416:BN$616,
            Sheet1!AR$416:AR$616,
            Sheet1!AS$416:AS$616
        ),
        MATCH($A54, Sheet1!N$416:N$616, 0)
    ),
"")</f>
        <v/>
      </c>
      <c r="E54" s="152" t="str">
        <f>IFERROR(
    INDEX(
        CHOOSE(
            MATCH($C$1, {"All","Calls","Puts"}, 0),
            Sheet1!BN$619:BN$819,
            Sheet1!AR$619:AR$819,
            Sheet1!AS$619:AS$819
        ),
        MATCH($A54, Sheet1!N$619:N$819, 0)
    ),
"")</f>
        <v/>
      </c>
      <c r="F54" s="152" t="str">
        <f>IFERROR(
    INDEX(
        CHOOSE(
            MATCH($C$1, {"All","Calls","Puts"}, 0),
            Sheet1!BN$822:BN$1022,
            Sheet1!AR$822:AR$1022,
            Sheet1!AS$822:AS$1022
        ),
        MATCH($A54, Sheet1!N$822:N$1022, 0)
    ),
"")</f>
        <v/>
      </c>
      <c r="G54" s="152" t="str">
        <f>IFERROR(
    INDEX(
        CHOOSE(
            MATCH($C$1, {"All","Calls","Puts"}, 0),
            Sheet1!BN$1025:BN$1225,
            Sheet1!AR$1025:AR$1225,
            Sheet1!AS$1025:AS$1225
        ),
        MATCH($A54, Sheet1!N$1025:N$1225, 0)
    ),
"")</f>
        <v/>
      </c>
      <c r="H54" s="152" t="str">
        <f>IFERROR(
    INDEX(
        CHOOSE(
            MATCH($C$1, {"All","Calls","Puts"}, 0),
            Sheet1!BN$1228:BN$1428,
            Sheet1!AR$1228:AR$1428,
            Sheet1!AS$1228:AS$1428
        ),
        MATCH($A54, Sheet1!N$1228:N$1428, 0)
    ),
"")</f>
        <v/>
      </c>
      <c r="I54" s="152" t="str">
        <f>IFERROR(
    INDEX(
        CHOOSE(
            MATCH($C$1, {"All","Calls","Puts"}, 0),
            Sheet1!BN$1431:BN$1631,
            Sheet1!AR$1431:AR$1631,
            Sheet1!AS$1431:AS$1631
        ),
        MATCH($A54, Sheet1!N$1431:N$1631, 0)
    ),
"")</f>
        <v/>
      </c>
      <c r="J54" s="73" t="str">
        <f t="shared" si="0"/>
        <v/>
      </c>
      <c r="K54" s="97" t="str">
        <f t="shared" si="1"/>
        <v/>
      </c>
      <c r="L54" s="129">
        <f>IFERROR(MIN(0,INDEX(Sheet1!$AD$10:$AD$999,MATCH(A54,Sheet1!$N$10:$N$999,0))),0)</f>
        <v>0</v>
      </c>
      <c r="M54" s="136">
        <f>IFERROR(MAX(0,INDEX(Sheet1!$AE$10:$AE$999,MATCH(A54,Sheet1!$N$10:$N$999,0))),0)</f>
        <v>0</v>
      </c>
      <c r="N54" s="111" t="str">
        <f t="shared" si="2"/>
        <v/>
      </c>
      <c r="O54" s="138">
        <f>IFERROR(MIN(0,INDEX(Sheet1!$AP$10:$AP$999,MATCH(A54,Sheet1!$N$10:$N$999,0))),0)</f>
        <v>0</v>
      </c>
      <c r="P54" s="141">
        <f>IFERROR(MAX(0,INDEX(Sheet1!$AO$10:$AO$999,MATCH(A54,Sheet1!$N$10:$N$999,0))),0)</f>
        <v>0</v>
      </c>
      <c r="Q54" s="111" t="str">
        <f t="shared" si="3"/>
        <v/>
      </c>
      <c r="R54" s="140">
        <f>IFERROR(MIN(0,INDEX(Sheet1!$BK$10:$BK$999,MATCH(A54,Sheet1!$N$10:$N$999,0))),0)</f>
        <v>0</v>
      </c>
      <c r="S54" s="141">
        <f>IFERROR(MAX(0,INDEX(Sheet1!$BK$10:$BK$999,MATCH(A54,Sheet1!$N$10:$N$999,0))),0)</f>
        <v>0</v>
      </c>
      <c r="T54" s="111" t="str">
        <f t="shared" si="4"/>
        <v/>
      </c>
      <c r="AA54" s="96"/>
    </row>
    <row r="55" spans="1:27" x14ac:dyDescent="0.3">
      <c r="A55" s="44"/>
      <c r="B55" s="152" t="str">
        <f>IFERROR(
    INDEX(
        CHOOSE(
            MATCH($C$1, {"All","Calls","Puts"}, 0),
            Sheet1!BN$10:BN$210,
            Sheet1!AR$10:AR$210,
            Sheet1!AS$10:AS$210
        ),
        MATCH($A55, Sheet1!N$10:N$210, 0)
    ),
"")</f>
        <v/>
      </c>
      <c r="C55" s="152" t="str">
        <f>IFERROR(
    INDEX(
        CHOOSE(
            MATCH($C$1, {"All","Calls","Puts"}, 0),
            Sheet1!BN$213:BN$413,
            Sheet1!AR$213:AR$413,
            Sheet1!AS$213:AS$413
        ),
        MATCH($A55, Sheet1!N$213:N$413, 0)
    ),
"")</f>
        <v/>
      </c>
      <c r="D55" s="152" t="str">
        <f>IFERROR(
    INDEX(
        CHOOSE(
            MATCH($C$1, {"All","Calls","Puts"}, 0),
            Sheet1!BN$416:BN$616,
            Sheet1!AR$416:AR$616,
            Sheet1!AS$416:AS$616
        ),
        MATCH($A55, Sheet1!N$416:N$616, 0)
    ),
"")</f>
        <v/>
      </c>
      <c r="E55" s="152" t="str">
        <f>IFERROR(
    INDEX(
        CHOOSE(
            MATCH($C$1, {"All","Calls","Puts"}, 0),
            Sheet1!BN$619:BN$819,
            Sheet1!AR$619:AR$819,
            Sheet1!AS$619:AS$819
        ),
        MATCH($A55, Sheet1!N$619:N$819, 0)
    ),
"")</f>
        <v/>
      </c>
      <c r="F55" s="152" t="str">
        <f>IFERROR(
    INDEX(
        CHOOSE(
            MATCH($C$1, {"All","Calls","Puts"}, 0),
            Sheet1!BN$822:BN$1022,
            Sheet1!AR$822:AR$1022,
            Sheet1!AS$822:AS$1022
        ),
        MATCH($A55, Sheet1!N$822:N$1022, 0)
    ),
"")</f>
        <v/>
      </c>
      <c r="G55" s="152" t="str">
        <f>IFERROR(
    INDEX(
        CHOOSE(
            MATCH($C$1, {"All","Calls","Puts"}, 0),
            Sheet1!BN$1025:BN$1225,
            Sheet1!AR$1025:AR$1225,
            Sheet1!AS$1025:AS$1225
        ),
        MATCH($A55, Sheet1!N$1025:N$1225, 0)
    ),
"")</f>
        <v/>
      </c>
      <c r="H55" s="152" t="str">
        <f>IFERROR(
    INDEX(
        CHOOSE(
            MATCH($C$1, {"All","Calls","Puts"}, 0),
            Sheet1!BN$1228:BN$1428,
            Sheet1!AR$1228:AR$1428,
            Sheet1!AS$1228:AS$1428
        ),
        MATCH($A55, Sheet1!N$1228:N$1428, 0)
    ),
"")</f>
        <v/>
      </c>
      <c r="I55" s="152" t="str">
        <f>IFERROR(
    INDEX(
        CHOOSE(
            MATCH($C$1, {"All","Calls","Puts"}, 0),
            Sheet1!BN$1431:BN$1631,
            Sheet1!AR$1431:AR$1631,
            Sheet1!AS$1431:AS$1631
        ),
        MATCH($A55, Sheet1!N$1431:N$1631, 0)
    ),
"")</f>
        <v/>
      </c>
      <c r="J55" s="73" t="str">
        <f t="shared" si="0"/>
        <v/>
      </c>
      <c r="K55" s="97" t="str">
        <f t="shared" si="1"/>
        <v/>
      </c>
      <c r="L55" s="129">
        <f>IFERROR(MIN(0,INDEX(Sheet1!$AD$10:$AD$999,MATCH(A55,Sheet1!$N$10:$N$999,0))),0)</f>
        <v>0</v>
      </c>
      <c r="M55" s="136">
        <f>IFERROR(MAX(0,INDEX(Sheet1!$AE$10:$AE$999,MATCH(A55,Sheet1!$N$10:$N$999,0))),0)</f>
        <v>0</v>
      </c>
      <c r="N55" s="111" t="str">
        <f t="shared" si="2"/>
        <v/>
      </c>
      <c r="O55" s="138">
        <f>IFERROR(MIN(0,INDEX(Sheet1!$AP$10:$AP$999,MATCH(A55,Sheet1!$N$10:$N$999,0))),0)</f>
        <v>0</v>
      </c>
      <c r="P55" s="141">
        <f>IFERROR(MAX(0,INDEX(Sheet1!$AO$10:$AO$999,MATCH(A55,Sheet1!$N$10:$N$999,0))),0)</f>
        <v>0</v>
      </c>
      <c r="Q55" s="111" t="str">
        <f t="shared" si="3"/>
        <v/>
      </c>
      <c r="R55" s="140">
        <f>IFERROR(MIN(0,INDEX(Sheet1!$BK$10:$BK$999,MATCH(A55,Sheet1!$N$10:$N$999,0))),0)</f>
        <v>0</v>
      </c>
      <c r="S55" s="141">
        <f>IFERROR(MAX(0,INDEX(Sheet1!$BK$10:$BK$999,MATCH(A55,Sheet1!$N$10:$N$999,0))),0)</f>
        <v>0</v>
      </c>
      <c r="T55" s="111" t="str">
        <f t="shared" si="4"/>
        <v/>
      </c>
      <c r="AA55" s="96"/>
    </row>
    <row r="56" spans="1:27" x14ac:dyDescent="0.3">
      <c r="A56" s="44"/>
      <c r="B56" s="152" t="str">
        <f>IFERROR(
    INDEX(
        CHOOSE(
            MATCH($C$1, {"All","Calls","Puts"}, 0),
            Sheet1!BN$10:BN$210,
            Sheet1!AR$10:AR$210,
            Sheet1!AS$10:AS$210
        ),
        MATCH($A56, Sheet1!N$10:N$210, 0)
    ),
"")</f>
        <v/>
      </c>
      <c r="C56" s="152" t="str">
        <f>IFERROR(
    INDEX(
        CHOOSE(
            MATCH($C$1, {"All","Calls","Puts"}, 0),
            Sheet1!BN$213:BN$413,
            Sheet1!AR$213:AR$413,
            Sheet1!AS$213:AS$413
        ),
        MATCH($A56, Sheet1!N$213:N$413, 0)
    ),
"")</f>
        <v/>
      </c>
      <c r="D56" s="152" t="str">
        <f>IFERROR(
    INDEX(
        CHOOSE(
            MATCH($C$1, {"All","Calls","Puts"}, 0),
            Sheet1!BN$416:BN$616,
            Sheet1!AR$416:AR$616,
            Sheet1!AS$416:AS$616
        ),
        MATCH($A56, Sheet1!N$416:N$616, 0)
    ),
"")</f>
        <v/>
      </c>
      <c r="E56" s="152" t="str">
        <f>IFERROR(
    INDEX(
        CHOOSE(
            MATCH($C$1, {"All","Calls","Puts"}, 0),
            Sheet1!BN$619:BN$819,
            Sheet1!AR$619:AR$819,
            Sheet1!AS$619:AS$819
        ),
        MATCH($A56, Sheet1!N$619:N$819, 0)
    ),
"")</f>
        <v/>
      </c>
      <c r="F56" s="152" t="str">
        <f>IFERROR(
    INDEX(
        CHOOSE(
            MATCH($C$1, {"All","Calls","Puts"}, 0),
            Sheet1!BN$822:BN$1022,
            Sheet1!AR$822:AR$1022,
            Sheet1!AS$822:AS$1022
        ),
        MATCH($A56, Sheet1!N$822:N$1022, 0)
    ),
"")</f>
        <v/>
      </c>
      <c r="G56" s="152" t="str">
        <f>IFERROR(
    INDEX(
        CHOOSE(
            MATCH($C$1, {"All","Calls","Puts"}, 0),
            Sheet1!BN$1025:BN$1225,
            Sheet1!AR$1025:AR$1225,
            Sheet1!AS$1025:AS$1225
        ),
        MATCH($A56, Sheet1!N$1025:N$1225, 0)
    ),
"")</f>
        <v/>
      </c>
      <c r="H56" s="152" t="str">
        <f>IFERROR(
    INDEX(
        CHOOSE(
            MATCH($C$1, {"All","Calls","Puts"}, 0),
            Sheet1!BN$1228:BN$1428,
            Sheet1!AR$1228:AR$1428,
            Sheet1!AS$1228:AS$1428
        ),
        MATCH($A56, Sheet1!N$1228:N$1428, 0)
    ),
"")</f>
        <v/>
      </c>
      <c r="I56" s="152" t="str">
        <f>IFERROR(
    INDEX(
        CHOOSE(
            MATCH($C$1, {"All","Calls","Puts"}, 0),
            Sheet1!BN$1431:BN$1631,
            Sheet1!AR$1431:AR$1631,
            Sheet1!AS$1431:AS$1631
        ),
        MATCH($A56, Sheet1!N$1431:N$1631, 0)
    ),
"")</f>
        <v/>
      </c>
      <c r="J56" s="73" t="str">
        <f t="shared" si="0"/>
        <v/>
      </c>
      <c r="K56" s="97" t="str">
        <f t="shared" si="1"/>
        <v/>
      </c>
      <c r="L56" s="129">
        <f>IFERROR(MIN(0,INDEX(Sheet1!$AD$10:$AD$999,MATCH(A56,Sheet1!$N$10:$N$999,0))),0)</f>
        <v>0</v>
      </c>
      <c r="M56" s="136">
        <f>IFERROR(MAX(0,INDEX(Sheet1!$AE$10:$AE$999,MATCH(A56,Sheet1!$N$10:$N$999,0))),0)</f>
        <v>0</v>
      </c>
      <c r="N56" s="111" t="str">
        <f t="shared" si="2"/>
        <v/>
      </c>
      <c r="O56" s="138">
        <f>IFERROR(MIN(0,INDEX(Sheet1!$AP$10:$AP$999,MATCH(A56,Sheet1!$N$10:$N$999,0))),0)</f>
        <v>0</v>
      </c>
      <c r="P56" s="141">
        <f>IFERROR(MAX(0,INDEX(Sheet1!$AO$10:$AO$999,MATCH(A56,Sheet1!$N$10:$N$999,0))),0)</f>
        <v>0</v>
      </c>
      <c r="Q56" s="111" t="str">
        <f t="shared" si="3"/>
        <v/>
      </c>
      <c r="R56" s="140">
        <f>IFERROR(MIN(0,INDEX(Sheet1!$BK$10:$BK$999,MATCH(A56,Sheet1!$N$10:$N$999,0))),0)</f>
        <v>0</v>
      </c>
      <c r="S56" s="141">
        <f>IFERROR(MAX(0,INDEX(Sheet1!$BK$10:$BK$999,MATCH(A56,Sheet1!$N$10:$N$999,0))),0)</f>
        <v>0</v>
      </c>
      <c r="T56" s="111" t="str">
        <f t="shared" si="4"/>
        <v/>
      </c>
      <c r="AA56" s="96"/>
    </row>
    <row r="57" spans="1:27" x14ac:dyDescent="0.3">
      <c r="A57" s="44"/>
      <c r="B57" s="152" t="str">
        <f>IFERROR(
    INDEX(
        CHOOSE(
            MATCH($C$1, {"All","Calls","Puts"}, 0),
            Sheet1!BN$10:BN$210,
            Sheet1!AR$10:AR$210,
            Sheet1!AS$10:AS$210
        ),
        MATCH($A57, Sheet1!N$10:N$210, 0)
    ),
"")</f>
        <v/>
      </c>
      <c r="C57" s="152" t="str">
        <f>IFERROR(
    INDEX(
        CHOOSE(
            MATCH($C$1, {"All","Calls","Puts"}, 0),
            Sheet1!BN$213:BN$413,
            Sheet1!AR$213:AR$413,
            Sheet1!AS$213:AS$413
        ),
        MATCH($A57, Sheet1!N$213:N$413, 0)
    ),
"")</f>
        <v/>
      </c>
      <c r="D57" s="152" t="str">
        <f>IFERROR(
    INDEX(
        CHOOSE(
            MATCH($C$1, {"All","Calls","Puts"}, 0),
            Sheet1!BN$416:BN$616,
            Sheet1!AR$416:AR$616,
            Sheet1!AS$416:AS$616
        ),
        MATCH($A57, Sheet1!N$416:N$616, 0)
    ),
"")</f>
        <v/>
      </c>
      <c r="E57" s="152" t="str">
        <f>IFERROR(
    INDEX(
        CHOOSE(
            MATCH($C$1, {"All","Calls","Puts"}, 0),
            Sheet1!BN$619:BN$819,
            Sheet1!AR$619:AR$819,
            Sheet1!AS$619:AS$819
        ),
        MATCH($A57, Sheet1!N$619:N$819, 0)
    ),
"")</f>
        <v/>
      </c>
      <c r="F57" s="152" t="str">
        <f>IFERROR(
    INDEX(
        CHOOSE(
            MATCH($C$1, {"All","Calls","Puts"}, 0),
            Sheet1!BN$822:BN$1022,
            Sheet1!AR$822:AR$1022,
            Sheet1!AS$822:AS$1022
        ),
        MATCH($A57, Sheet1!N$822:N$1022, 0)
    ),
"")</f>
        <v/>
      </c>
      <c r="G57" s="152" t="str">
        <f>IFERROR(
    INDEX(
        CHOOSE(
            MATCH($C$1, {"All","Calls","Puts"}, 0),
            Sheet1!BN$1025:BN$1225,
            Sheet1!AR$1025:AR$1225,
            Sheet1!AS$1025:AS$1225
        ),
        MATCH($A57, Sheet1!N$1025:N$1225, 0)
    ),
"")</f>
        <v/>
      </c>
      <c r="H57" s="152" t="str">
        <f>IFERROR(
    INDEX(
        CHOOSE(
            MATCH($C$1, {"All","Calls","Puts"}, 0),
            Sheet1!BN$1228:BN$1428,
            Sheet1!AR$1228:AR$1428,
            Sheet1!AS$1228:AS$1428
        ),
        MATCH($A57, Sheet1!N$1228:N$1428, 0)
    ),
"")</f>
        <v/>
      </c>
      <c r="I57" s="152" t="str">
        <f>IFERROR(
    INDEX(
        CHOOSE(
            MATCH($C$1, {"All","Calls","Puts"}, 0),
            Sheet1!BN$1431:BN$1631,
            Sheet1!AR$1431:AR$1631,
            Sheet1!AS$1431:AS$1631
        ),
        MATCH($A57, Sheet1!N$1431:N$1631, 0)
    ),
"")</f>
        <v/>
      </c>
      <c r="J57" s="73" t="str">
        <f t="shared" si="0"/>
        <v/>
      </c>
      <c r="K57" s="97" t="str">
        <f t="shared" si="1"/>
        <v/>
      </c>
      <c r="L57" s="129">
        <f>IFERROR(MIN(0,INDEX(Sheet1!$AD$10:$AD$999,MATCH(A57,Sheet1!$N$10:$N$999,0))),0)</f>
        <v>0</v>
      </c>
      <c r="M57" s="136">
        <f>IFERROR(MAX(0,INDEX(Sheet1!$AE$10:$AE$999,MATCH(A57,Sheet1!$N$10:$N$999,0))),0)</f>
        <v>0</v>
      </c>
      <c r="N57" s="111" t="str">
        <f t="shared" si="2"/>
        <v/>
      </c>
      <c r="O57" s="138">
        <f>IFERROR(MIN(0,INDEX(Sheet1!$AP$10:$AP$999,MATCH(A57,Sheet1!$N$10:$N$999,0))),0)</f>
        <v>0</v>
      </c>
      <c r="P57" s="141">
        <f>IFERROR(MAX(0,INDEX(Sheet1!$AO$10:$AO$999,MATCH(A57,Sheet1!$N$10:$N$999,0))),0)</f>
        <v>0</v>
      </c>
      <c r="Q57" s="111" t="str">
        <f t="shared" si="3"/>
        <v/>
      </c>
      <c r="R57" s="140">
        <f>IFERROR(MIN(0,INDEX(Sheet1!$BK$10:$BK$999,MATCH(A57,Sheet1!$N$10:$N$999,0))),0)</f>
        <v>0</v>
      </c>
      <c r="S57" s="141">
        <f>IFERROR(MAX(0,INDEX(Sheet1!$BK$10:$BK$999,MATCH(A57,Sheet1!$N$10:$N$999,0))),0)</f>
        <v>0</v>
      </c>
      <c r="T57" s="111" t="str">
        <f t="shared" si="4"/>
        <v/>
      </c>
      <c r="AA57" s="96"/>
    </row>
    <row r="58" spans="1:27" x14ac:dyDescent="0.3">
      <c r="A58" s="44"/>
      <c r="B58" s="152" t="str">
        <f>IFERROR(
    INDEX(
        CHOOSE(
            MATCH($C$1, {"All","Calls","Puts"}, 0),
            Sheet1!BN$10:BN$210,
            Sheet1!AR$10:AR$210,
            Sheet1!AS$10:AS$210
        ),
        MATCH($A58, Sheet1!N$10:N$210, 0)
    ),
"")</f>
        <v/>
      </c>
      <c r="C58" s="152" t="str">
        <f>IFERROR(
    INDEX(
        CHOOSE(
            MATCH($C$1, {"All","Calls","Puts"}, 0),
            Sheet1!BN$213:BN$413,
            Sheet1!AR$213:AR$413,
            Sheet1!AS$213:AS$413
        ),
        MATCH($A58, Sheet1!N$213:N$413, 0)
    ),
"")</f>
        <v/>
      </c>
      <c r="D58" s="152" t="str">
        <f>IFERROR(
    INDEX(
        CHOOSE(
            MATCH($C$1, {"All","Calls","Puts"}, 0),
            Sheet1!BN$416:BN$616,
            Sheet1!AR$416:AR$616,
            Sheet1!AS$416:AS$616
        ),
        MATCH($A58, Sheet1!N$416:N$616, 0)
    ),
"")</f>
        <v/>
      </c>
      <c r="E58" s="152" t="str">
        <f>IFERROR(
    INDEX(
        CHOOSE(
            MATCH($C$1, {"All","Calls","Puts"}, 0),
            Sheet1!BN$619:BN$819,
            Sheet1!AR$619:AR$819,
            Sheet1!AS$619:AS$819
        ),
        MATCH($A58, Sheet1!N$619:N$819, 0)
    ),
"")</f>
        <v/>
      </c>
      <c r="F58" s="152" t="str">
        <f>IFERROR(
    INDEX(
        CHOOSE(
            MATCH($C$1, {"All","Calls","Puts"}, 0),
            Sheet1!BN$822:BN$1022,
            Sheet1!AR$822:AR$1022,
            Sheet1!AS$822:AS$1022
        ),
        MATCH($A58, Sheet1!N$822:N$1022, 0)
    ),
"")</f>
        <v/>
      </c>
      <c r="G58" s="152" t="str">
        <f>IFERROR(
    INDEX(
        CHOOSE(
            MATCH($C$1, {"All","Calls","Puts"}, 0),
            Sheet1!BN$1025:BN$1225,
            Sheet1!AR$1025:AR$1225,
            Sheet1!AS$1025:AS$1225
        ),
        MATCH($A58, Sheet1!N$1025:N$1225, 0)
    ),
"")</f>
        <v/>
      </c>
      <c r="H58" s="152" t="str">
        <f>IFERROR(
    INDEX(
        CHOOSE(
            MATCH($C$1, {"All","Calls","Puts"}, 0),
            Sheet1!BN$1228:BN$1428,
            Sheet1!AR$1228:AR$1428,
            Sheet1!AS$1228:AS$1428
        ),
        MATCH($A58, Sheet1!N$1228:N$1428, 0)
    ),
"")</f>
        <v/>
      </c>
      <c r="I58" s="152" t="str">
        <f>IFERROR(
    INDEX(
        CHOOSE(
            MATCH($C$1, {"All","Calls","Puts"}, 0),
            Sheet1!BN$1431:BN$1631,
            Sheet1!AR$1431:AR$1631,
            Sheet1!AS$1431:AS$1631
        ),
        MATCH($A58, Sheet1!N$1431:N$1631, 0)
    ),
"")</f>
        <v/>
      </c>
      <c r="J58" s="73" t="str">
        <f t="shared" si="0"/>
        <v/>
      </c>
      <c r="K58" s="97" t="str">
        <f t="shared" si="1"/>
        <v/>
      </c>
      <c r="L58" s="129">
        <f>IFERROR(MIN(0,INDEX(Sheet1!$AD$10:$AD$999,MATCH(A58,Sheet1!$N$10:$N$999,0))),0)</f>
        <v>0</v>
      </c>
      <c r="M58" s="136">
        <f>IFERROR(MAX(0,INDEX(Sheet1!$AE$10:$AE$999,MATCH(A58,Sheet1!$N$10:$N$999,0))),0)</f>
        <v>0</v>
      </c>
      <c r="N58" s="111" t="str">
        <f t="shared" si="2"/>
        <v/>
      </c>
      <c r="O58" s="138">
        <f>IFERROR(MIN(0,INDEX(Sheet1!$AP$10:$AP$999,MATCH(A58,Sheet1!$N$10:$N$999,0))),0)</f>
        <v>0</v>
      </c>
      <c r="P58" s="141">
        <f>IFERROR(MAX(0,INDEX(Sheet1!$AO$10:$AO$999,MATCH(A58,Sheet1!$N$10:$N$999,0))),0)</f>
        <v>0</v>
      </c>
      <c r="Q58" s="111" t="str">
        <f t="shared" si="3"/>
        <v/>
      </c>
      <c r="R58" s="140">
        <f>IFERROR(MIN(0,INDEX(Sheet1!$BK$10:$BK$999,MATCH(A58,Sheet1!$N$10:$N$999,0))),0)</f>
        <v>0</v>
      </c>
      <c r="S58" s="141">
        <f>IFERROR(MAX(0,INDEX(Sheet1!$BK$10:$BK$999,MATCH(A58,Sheet1!$N$10:$N$999,0))),0)</f>
        <v>0</v>
      </c>
      <c r="T58" s="111" t="str">
        <f t="shared" si="4"/>
        <v/>
      </c>
      <c r="AA58" s="96"/>
    </row>
    <row r="59" spans="1:27" x14ac:dyDescent="0.3">
      <c r="A59" s="44"/>
      <c r="B59" s="152" t="str">
        <f>IFERROR(
    INDEX(
        CHOOSE(
            MATCH($C$1, {"All","Calls","Puts"}, 0),
            Sheet1!BN$10:BN$210,
            Sheet1!AR$10:AR$210,
            Sheet1!AS$10:AS$210
        ),
        MATCH($A59, Sheet1!N$10:N$210, 0)
    ),
"")</f>
        <v/>
      </c>
      <c r="C59" s="152" t="str">
        <f>IFERROR(
    INDEX(
        CHOOSE(
            MATCH($C$1, {"All","Calls","Puts"}, 0),
            Sheet1!BN$213:BN$413,
            Sheet1!AR$213:AR$413,
            Sheet1!AS$213:AS$413
        ),
        MATCH($A59, Sheet1!N$213:N$413, 0)
    ),
"")</f>
        <v/>
      </c>
      <c r="D59" s="152" t="str">
        <f>IFERROR(
    INDEX(
        CHOOSE(
            MATCH($C$1, {"All","Calls","Puts"}, 0),
            Sheet1!BN$416:BN$616,
            Sheet1!AR$416:AR$616,
            Sheet1!AS$416:AS$616
        ),
        MATCH($A59, Sheet1!N$416:N$616, 0)
    ),
"")</f>
        <v/>
      </c>
      <c r="E59" s="152" t="str">
        <f>IFERROR(
    INDEX(
        CHOOSE(
            MATCH($C$1, {"All","Calls","Puts"}, 0),
            Sheet1!BN$619:BN$819,
            Sheet1!AR$619:AR$819,
            Sheet1!AS$619:AS$819
        ),
        MATCH($A59, Sheet1!N$619:N$819, 0)
    ),
"")</f>
        <v/>
      </c>
      <c r="F59" s="152" t="str">
        <f>IFERROR(
    INDEX(
        CHOOSE(
            MATCH($C$1, {"All","Calls","Puts"}, 0),
            Sheet1!BN$822:BN$1022,
            Sheet1!AR$822:AR$1022,
            Sheet1!AS$822:AS$1022
        ),
        MATCH($A59, Sheet1!N$822:N$1022, 0)
    ),
"")</f>
        <v/>
      </c>
      <c r="G59" s="152" t="str">
        <f>IFERROR(
    INDEX(
        CHOOSE(
            MATCH($C$1, {"All","Calls","Puts"}, 0),
            Sheet1!BN$1025:BN$1225,
            Sheet1!AR$1025:AR$1225,
            Sheet1!AS$1025:AS$1225
        ),
        MATCH($A59, Sheet1!N$1025:N$1225, 0)
    ),
"")</f>
        <v/>
      </c>
      <c r="H59" s="152" t="str">
        <f>IFERROR(
    INDEX(
        CHOOSE(
            MATCH($C$1, {"All","Calls","Puts"}, 0),
            Sheet1!BN$1228:BN$1428,
            Sheet1!AR$1228:AR$1428,
            Sheet1!AS$1228:AS$1428
        ),
        MATCH($A59, Sheet1!N$1228:N$1428, 0)
    ),
"")</f>
        <v/>
      </c>
      <c r="I59" s="152" t="str">
        <f>IFERROR(
    INDEX(
        CHOOSE(
            MATCH($C$1, {"All","Calls","Puts"}, 0),
            Sheet1!BN$1431:BN$1631,
            Sheet1!AR$1431:AR$1631,
            Sheet1!AS$1431:AS$1631
        ),
        MATCH($A59, Sheet1!N$1431:N$1631, 0)
    ),
"")</f>
        <v/>
      </c>
      <c r="J59" s="73" t="str">
        <f t="shared" si="0"/>
        <v/>
      </c>
      <c r="K59" s="97" t="str">
        <f t="shared" si="1"/>
        <v/>
      </c>
      <c r="L59" s="129">
        <f>IFERROR(MIN(0,INDEX(Sheet1!$AD$10:$AD$999,MATCH(A59,Sheet1!$N$10:$N$999,0))),0)</f>
        <v>0</v>
      </c>
      <c r="M59" s="136">
        <f>IFERROR(MAX(0,INDEX(Sheet1!$AE$10:$AE$999,MATCH(A59,Sheet1!$N$10:$N$999,0))),0)</f>
        <v>0</v>
      </c>
      <c r="N59" s="111" t="str">
        <f t="shared" si="2"/>
        <v/>
      </c>
      <c r="O59" s="138">
        <f>IFERROR(MIN(0,INDEX(Sheet1!$AP$10:$AP$999,MATCH(A59,Sheet1!$N$10:$N$999,0))),0)</f>
        <v>0</v>
      </c>
      <c r="P59" s="141">
        <f>IFERROR(MAX(0,INDEX(Sheet1!$AO$10:$AO$999,MATCH(A59,Sheet1!$N$10:$N$999,0))),0)</f>
        <v>0</v>
      </c>
      <c r="Q59" s="111" t="str">
        <f t="shared" si="3"/>
        <v/>
      </c>
      <c r="R59" s="140">
        <f>IFERROR(MIN(0,INDEX(Sheet1!$BK$10:$BK$999,MATCH(A59,Sheet1!$N$10:$N$999,0))),0)</f>
        <v>0</v>
      </c>
      <c r="S59" s="141">
        <f>IFERROR(MAX(0,INDEX(Sheet1!$BK$10:$BK$999,MATCH(A59,Sheet1!$N$10:$N$999,0))),0)</f>
        <v>0</v>
      </c>
      <c r="T59" s="111" t="str">
        <f t="shared" si="4"/>
        <v/>
      </c>
      <c r="AA59" s="96"/>
    </row>
    <row r="60" spans="1:27" x14ac:dyDescent="0.3">
      <c r="A60" s="44"/>
      <c r="B60" s="152" t="str">
        <f>IFERROR(
    INDEX(
        CHOOSE(
            MATCH($C$1, {"All","Calls","Puts"}, 0),
            Sheet1!BN$10:BN$210,
            Sheet1!AR$10:AR$210,
            Sheet1!AS$10:AS$210
        ),
        MATCH($A60, Sheet1!N$10:N$210, 0)
    ),
"")</f>
        <v/>
      </c>
      <c r="C60" s="152" t="str">
        <f>IFERROR(
    INDEX(
        CHOOSE(
            MATCH($C$1, {"All","Calls","Puts"}, 0),
            Sheet1!BN$213:BN$413,
            Sheet1!AR$213:AR$413,
            Sheet1!AS$213:AS$413
        ),
        MATCH($A60, Sheet1!N$213:N$413, 0)
    ),
"")</f>
        <v/>
      </c>
      <c r="D60" s="152" t="str">
        <f>IFERROR(
    INDEX(
        CHOOSE(
            MATCH($C$1, {"All","Calls","Puts"}, 0),
            Sheet1!BN$416:BN$616,
            Sheet1!AR$416:AR$616,
            Sheet1!AS$416:AS$616
        ),
        MATCH($A60, Sheet1!N$416:N$616, 0)
    ),
"")</f>
        <v/>
      </c>
      <c r="E60" s="152" t="str">
        <f>IFERROR(
    INDEX(
        CHOOSE(
            MATCH($C$1, {"All","Calls","Puts"}, 0),
            Sheet1!BN$619:BN$819,
            Sheet1!AR$619:AR$819,
            Sheet1!AS$619:AS$819
        ),
        MATCH($A60, Sheet1!N$619:N$819, 0)
    ),
"")</f>
        <v/>
      </c>
      <c r="F60" s="152" t="str">
        <f>IFERROR(
    INDEX(
        CHOOSE(
            MATCH($C$1, {"All","Calls","Puts"}, 0),
            Sheet1!BN$822:BN$1022,
            Sheet1!AR$822:AR$1022,
            Sheet1!AS$822:AS$1022
        ),
        MATCH($A60, Sheet1!N$822:N$1022, 0)
    ),
"")</f>
        <v/>
      </c>
      <c r="G60" s="152" t="str">
        <f>IFERROR(
    INDEX(
        CHOOSE(
            MATCH($C$1, {"All","Calls","Puts"}, 0),
            Sheet1!BN$1025:BN$1225,
            Sheet1!AR$1025:AR$1225,
            Sheet1!AS$1025:AS$1225
        ),
        MATCH($A60, Sheet1!N$1025:N$1225, 0)
    ),
"")</f>
        <v/>
      </c>
      <c r="H60" s="152" t="str">
        <f>IFERROR(
    INDEX(
        CHOOSE(
            MATCH($C$1, {"All","Calls","Puts"}, 0),
            Sheet1!BN$1228:BN$1428,
            Sheet1!AR$1228:AR$1428,
            Sheet1!AS$1228:AS$1428
        ),
        MATCH($A60, Sheet1!N$1228:N$1428, 0)
    ),
"")</f>
        <v/>
      </c>
      <c r="I60" s="152" t="str">
        <f>IFERROR(
    INDEX(
        CHOOSE(
            MATCH($C$1, {"All","Calls","Puts"}, 0),
            Sheet1!BN$1431:BN$1631,
            Sheet1!AR$1431:AR$1631,
            Sheet1!AS$1431:AS$1631
        ),
        MATCH($A60, Sheet1!N$1431:N$1631, 0)
    ),
"")</f>
        <v/>
      </c>
      <c r="J60" s="73" t="str">
        <f t="shared" si="0"/>
        <v/>
      </c>
      <c r="K60" s="97" t="str">
        <f t="shared" si="1"/>
        <v/>
      </c>
      <c r="L60" s="129">
        <f>IFERROR(MIN(0,INDEX(Sheet1!$AD$10:$AD$999,MATCH(A60,Sheet1!$N$10:$N$999,0))),0)</f>
        <v>0</v>
      </c>
      <c r="M60" s="136">
        <f>IFERROR(MAX(0,INDEX(Sheet1!$AE$10:$AE$999,MATCH(A60,Sheet1!$N$10:$N$999,0))),0)</f>
        <v>0</v>
      </c>
      <c r="N60" s="111" t="str">
        <f t="shared" si="2"/>
        <v/>
      </c>
      <c r="O60" s="138">
        <f>IFERROR(MIN(0,INDEX(Sheet1!$AP$10:$AP$999,MATCH(A60,Sheet1!$N$10:$N$999,0))),0)</f>
        <v>0</v>
      </c>
      <c r="P60" s="141">
        <f>IFERROR(MAX(0,INDEX(Sheet1!$AO$10:$AO$999,MATCH(A60,Sheet1!$N$10:$N$999,0))),0)</f>
        <v>0</v>
      </c>
      <c r="Q60" s="111" t="str">
        <f t="shared" si="3"/>
        <v/>
      </c>
      <c r="R60" s="140">
        <f>IFERROR(MIN(0,INDEX(Sheet1!$BK$10:$BK$999,MATCH(A60,Sheet1!$N$10:$N$999,0))),0)</f>
        <v>0</v>
      </c>
      <c r="S60" s="141">
        <f>IFERROR(MAX(0,INDEX(Sheet1!$BK$10:$BK$999,MATCH(A60,Sheet1!$N$10:$N$999,0))),0)</f>
        <v>0</v>
      </c>
      <c r="T60" s="111" t="str">
        <f t="shared" si="4"/>
        <v/>
      </c>
      <c r="AA60" s="96"/>
    </row>
    <row r="61" spans="1:27" x14ac:dyDescent="0.3">
      <c r="A61" s="44"/>
      <c r="B61" s="152" t="str">
        <f>IFERROR(
    INDEX(
        CHOOSE(
            MATCH($C$1, {"All","Calls","Puts"}, 0),
            Sheet1!BN$10:BN$210,
            Sheet1!AR$10:AR$210,
            Sheet1!AS$10:AS$210
        ),
        MATCH($A61, Sheet1!N$10:N$210, 0)
    ),
"")</f>
        <v/>
      </c>
      <c r="C61" s="152" t="str">
        <f>IFERROR(
    INDEX(
        CHOOSE(
            MATCH($C$1, {"All","Calls","Puts"}, 0),
            Sheet1!BN$213:BN$413,
            Sheet1!AR$213:AR$413,
            Sheet1!AS$213:AS$413
        ),
        MATCH($A61, Sheet1!N$213:N$413, 0)
    ),
"")</f>
        <v/>
      </c>
      <c r="D61" s="152" t="str">
        <f>IFERROR(
    INDEX(
        CHOOSE(
            MATCH($C$1, {"All","Calls","Puts"}, 0),
            Sheet1!BN$416:BN$616,
            Sheet1!AR$416:AR$616,
            Sheet1!AS$416:AS$616
        ),
        MATCH($A61, Sheet1!N$416:N$616, 0)
    ),
"")</f>
        <v/>
      </c>
      <c r="E61" s="152" t="str">
        <f>IFERROR(
    INDEX(
        CHOOSE(
            MATCH($C$1, {"All","Calls","Puts"}, 0),
            Sheet1!BN$619:BN$819,
            Sheet1!AR$619:AR$819,
            Sheet1!AS$619:AS$819
        ),
        MATCH($A61, Sheet1!N$619:N$819, 0)
    ),
"")</f>
        <v/>
      </c>
      <c r="F61" s="152" t="str">
        <f>IFERROR(
    INDEX(
        CHOOSE(
            MATCH($C$1, {"All","Calls","Puts"}, 0),
            Sheet1!BN$822:BN$1022,
            Sheet1!AR$822:AR$1022,
            Sheet1!AS$822:AS$1022
        ),
        MATCH($A61, Sheet1!N$822:N$1022, 0)
    ),
"")</f>
        <v/>
      </c>
      <c r="G61" s="152" t="str">
        <f>IFERROR(
    INDEX(
        CHOOSE(
            MATCH($C$1, {"All","Calls","Puts"}, 0),
            Sheet1!BN$1025:BN$1225,
            Sheet1!AR$1025:AR$1225,
            Sheet1!AS$1025:AS$1225
        ),
        MATCH($A61, Sheet1!N$1025:N$1225, 0)
    ),
"")</f>
        <v/>
      </c>
      <c r="H61" s="152" t="str">
        <f>IFERROR(
    INDEX(
        CHOOSE(
            MATCH($C$1, {"All","Calls","Puts"}, 0),
            Sheet1!BN$1228:BN$1428,
            Sheet1!AR$1228:AR$1428,
            Sheet1!AS$1228:AS$1428
        ),
        MATCH($A61, Sheet1!N$1228:N$1428, 0)
    ),
"")</f>
        <v/>
      </c>
      <c r="I61" s="152" t="str">
        <f>IFERROR(
    INDEX(
        CHOOSE(
            MATCH($C$1, {"All","Calls","Puts"}, 0),
            Sheet1!BN$1431:BN$1631,
            Sheet1!AR$1431:AR$1631,
            Sheet1!AS$1431:AS$1631
        ),
        MATCH($A61, Sheet1!N$1431:N$1631, 0)
    ),
"")</f>
        <v/>
      </c>
      <c r="J61" s="73" t="str">
        <f t="shared" si="0"/>
        <v/>
      </c>
      <c r="K61" s="97" t="str">
        <f t="shared" si="1"/>
        <v/>
      </c>
      <c r="L61" s="129">
        <f>IFERROR(MIN(0,INDEX(Sheet1!$AD$10:$AD$999,MATCH(A61,Sheet1!$N$10:$N$999,0))),0)</f>
        <v>0</v>
      </c>
      <c r="M61" s="136">
        <f>IFERROR(MAX(0,INDEX(Sheet1!$AE$10:$AE$999,MATCH(A61,Sheet1!$N$10:$N$999,0))),0)</f>
        <v>0</v>
      </c>
      <c r="N61" s="111" t="str">
        <f t="shared" si="2"/>
        <v/>
      </c>
      <c r="O61" s="138">
        <f>IFERROR(MIN(0,INDEX(Sheet1!$AP$10:$AP$999,MATCH(A61,Sheet1!$N$10:$N$999,0))),0)</f>
        <v>0</v>
      </c>
      <c r="P61" s="141">
        <f>IFERROR(MAX(0,INDEX(Sheet1!$AO$10:$AO$999,MATCH(A61,Sheet1!$N$10:$N$999,0))),0)</f>
        <v>0</v>
      </c>
      <c r="Q61" s="111" t="str">
        <f t="shared" si="3"/>
        <v/>
      </c>
      <c r="R61" s="140">
        <f>IFERROR(MIN(0,INDEX(Sheet1!$BK$10:$BK$999,MATCH(A61,Sheet1!$N$10:$N$999,0))),0)</f>
        <v>0</v>
      </c>
      <c r="S61" s="141">
        <f>IFERROR(MAX(0,INDEX(Sheet1!$BK$10:$BK$999,MATCH(A61,Sheet1!$N$10:$N$999,0))),0)</f>
        <v>0</v>
      </c>
      <c r="T61" s="111" t="str">
        <f t="shared" si="4"/>
        <v/>
      </c>
      <c r="AA61" s="96"/>
    </row>
    <row r="62" spans="1:27" x14ac:dyDescent="0.3">
      <c r="A62" s="44"/>
      <c r="B62" s="152" t="str">
        <f>IFERROR(
    INDEX(
        CHOOSE(
            MATCH($C$1, {"All","Calls","Puts"}, 0),
            Sheet1!BN$10:BN$210,
            Sheet1!AR$10:AR$210,
            Sheet1!AS$10:AS$210
        ),
        MATCH($A62, Sheet1!N$10:N$210, 0)
    ),
"")</f>
        <v/>
      </c>
      <c r="C62" s="152" t="str">
        <f>IFERROR(
    INDEX(
        CHOOSE(
            MATCH($C$1, {"All","Calls","Puts"}, 0),
            Sheet1!BN$213:BN$413,
            Sheet1!AR$213:AR$413,
            Sheet1!AS$213:AS$413
        ),
        MATCH($A62, Sheet1!N$213:N$413, 0)
    ),
"")</f>
        <v/>
      </c>
      <c r="D62" s="152" t="str">
        <f>IFERROR(
    INDEX(
        CHOOSE(
            MATCH($C$1, {"All","Calls","Puts"}, 0),
            Sheet1!BN$416:BN$616,
            Sheet1!AR$416:AR$616,
            Sheet1!AS$416:AS$616
        ),
        MATCH($A62, Sheet1!N$416:N$616, 0)
    ),
"")</f>
        <v/>
      </c>
      <c r="E62" s="152" t="str">
        <f>IFERROR(
    INDEX(
        CHOOSE(
            MATCH($C$1, {"All","Calls","Puts"}, 0),
            Sheet1!BN$619:BN$819,
            Sheet1!AR$619:AR$819,
            Sheet1!AS$619:AS$819
        ),
        MATCH($A62, Sheet1!N$619:N$819, 0)
    ),
"")</f>
        <v/>
      </c>
      <c r="F62" s="152" t="str">
        <f>IFERROR(
    INDEX(
        CHOOSE(
            MATCH($C$1, {"All","Calls","Puts"}, 0),
            Sheet1!BN$822:BN$1022,
            Sheet1!AR$822:AR$1022,
            Sheet1!AS$822:AS$1022
        ),
        MATCH($A62, Sheet1!N$822:N$1022, 0)
    ),
"")</f>
        <v/>
      </c>
      <c r="G62" s="152" t="str">
        <f>IFERROR(
    INDEX(
        CHOOSE(
            MATCH($C$1, {"All","Calls","Puts"}, 0),
            Sheet1!BN$1025:BN$1225,
            Sheet1!AR$1025:AR$1225,
            Sheet1!AS$1025:AS$1225
        ),
        MATCH($A62, Sheet1!N$1025:N$1225, 0)
    ),
"")</f>
        <v/>
      </c>
      <c r="H62" s="152" t="str">
        <f>IFERROR(
    INDEX(
        CHOOSE(
            MATCH($C$1, {"All","Calls","Puts"}, 0),
            Sheet1!BN$1228:BN$1428,
            Sheet1!AR$1228:AR$1428,
            Sheet1!AS$1228:AS$1428
        ),
        MATCH($A62, Sheet1!N$1228:N$1428, 0)
    ),
"")</f>
        <v/>
      </c>
      <c r="I62" s="152" t="str">
        <f>IFERROR(
    INDEX(
        CHOOSE(
            MATCH($C$1, {"All","Calls","Puts"}, 0),
            Sheet1!BN$1431:BN$1631,
            Sheet1!AR$1431:AR$1631,
            Sheet1!AS$1431:AS$1631
        ),
        MATCH($A62, Sheet1!N$1431:N$1631, 0)
    ),
"")</f>
        <v/>
      </c>
      <c r="J62" s="73" t="str">
        <f t="shared" si="0"/>
        <v/>
      </c>
      <c r="K62" s="97" t="str">
        <f t="shared" si="1"/>
        <v/>
      </c>
      <c r="L62" s="129">
        <f>IFERROR(MIN(0,INDEX(Sheet1!$AD$10:$AD$999,MATCH(A62,Sheet1!$N$10:$N$999,0))),0)</f>
        <v>0</v>
      </c>
      <c r="M62" s="136">
        <f>IFERROR(MAX(0,INDEX(Sheet1!$AE$10:$AE$999,MATCH(A62,Sheet1!$N$10:$N$999,0))),0)</f>
        <v>0</v>
      </c>
      <c r="N62" s="111" t="str">
        <f t="shared" si="2"/>
        <v/>
      </c>
      <c r="O62" s="138">
        <f>IFERROR(MIN(0,INDEX(Sheet1!$AP$10:$AP$999,MATCH(A62,Sheet1!$N$10:$N$999,0))),0)</f>
        <v>0</v>
      </c>
      <c r="P62" s="142">
        <f>IFERROR(MAX(0,INDEX(Sheet1!$AO$10:$AO$999,MATCH(A62,Sheet1!$N$10:$N$999,0))),0)</f>
        <v>0</v>
      </c>
      <c r="Q62" s="111" t="str">
        <f t="shared" si="3"/>
        <v/>
      </c>
      <c r="R62" s="140">
        <f>IFERROR(MIN(0,INDEX(Sheet1!$BK$10:$BK$999,MATCH(A62,Sheet1!$N$10:$N$999,0))),0)</f>
        <v>0</v>
      </c>
      <c r="S62" s="141">
        <f>IFERROR(MAX(0,INDEX(Sheet1!$BK$10:$BK$999,MATCH(A62,Sheet1!$N$10:$N$999,0))),0)</f>
        <v>0</v>
      </c>
      <c r="T62" s="111" t="str">
        <f t="shared" si="4"/>
        <v/>
      </c>
      <c r="AA62" s="96"/>
    </row>
    <row r="63" spans="1:27" x14ac:dyDescent="0.3">
      <c r="A63" s="44"/>
      <c r="B63" s="152" t="str">
        <f>IFERROR(
    INDEX(
        CHOOSE(
            MATCH($C$1, {"All","Calls","Puts"}, 0),
            Sheet1!BN$10:BN$210,
            Sheet1!AR$10:AR$210,
            Sheet1!AS$10:AS$210
        ),
        MATCH($A63, Sheet1!N$10:N$210, 0)
    ),
"")</f>
        <v/>
      </c>
      <c r="C63" s="152" t="str">
        <f>IFERROR(
    INDEX(
        CHOOSE(
            MATCH($C$1, {"All","Calls","Puts"}, 0),
            Sheet1!BN$213:BN$413,
            Sheet1!AR$213:AR$413,
            Sheet1!AS$213:AS$413
        ),
        MATCH($A63, Sheet1!N$213:N$413, 0)
    ),
"")</f>
        <v/>
      </c>
      <c r="D63" s="152" t="str">
        <f>IFERROR(
    INDEX(
        CHOOSE(
            MATCH($C$1, {"All","Calls","Puts"}, 0),
            Sheet1!BN$416:BN$616,
            Sheet1!AR$416:AR$616,
            Sheet1!AS$416:AS$616
        ),
        MATCH($A63, Sheet1!N$416:N$616, 0)
    ),
"")</f>
        <v/>
      </c>
      <c r="E63" s="152" t="str">
        <f>IFERROR(
    INDEX(
        CHOOSE(
            MATCH($C$1, {"All","Calls","Puts"}, 0),
            Sheet1!BN$619:BN$819,
            Sheet1!AR$619:AR$819,
            Sheet1!AS$619:AS$819
        ),
        MATCH($A63, Sheet1!N$619:N$819, 0)
    ),
"")</f>
        <v/>
      </c>
      <c r="F63" s="152" t="str">
        <f>IFERROR(
    INDEX(
        CHOOSE(
            MATCH($C$1, {"All","Calls","Puts"}, 0),
            Sheet1!BN$822:BN$1022,
            Sheet1!AR$822:AR$1022,
            Sheet1!AS$822:AS$1022
        ),
        MATCH($A63, Sheet1!N$822:N$1022, 0)
    ),
"")</f>
        <v/>
      </c>
      <c r="G63" s="152" t="str">
        <f>IFERROR(
    INDEX(
        CHOOSE(
            MATCH($C$1, {"All","Calls","Puts"}, 0),
            Sheet1!BN$1025:BN$1225,
            Sheet1!AR$1025:AR$1225,
            Sheet1!AS$1025:AS$1225
        ),
        MATCH($A63, Sheet1!N$1025:N$1225, 0)
    ),
"")</f>
        <v/>
      </c>
      <c r="H63" s="152" t="str">
        <f>IFERROR(
    INDEX(
        CHOOSE(
            MATCH($C$1, {"All","Calls","Puts"}, 0),
            Sheet1!BN$1228:BN$1428,
            Sheet1!AR$1228:AR$1428,
            Sheet1!AS$1228:AS$1428
        ),
        MATCH($A63, Sheet1!N$1228:N$1428, 0)
    ),
"")</f>
        <v/>
      </c>
      <c r="I63" s="152" t="str">
        <f>IFERROR(
    INDEX(
        CHOOSE(
            MATCH($C$1, {"All","Calls","Puts"}, 0),
            Sheet1!BN$1431:BN$1631,
            Sheet1!AR$1431:AR$1631,
            Sheet1!AS$1431:AS$1631
        ),
        MATCH($A63, Sheet1!N$1431:N$1631, 0)
    ),
"")</f>
        <v/>
      </c>
      <c r="J63" s="73" t="str">
        <f t="shared" si="0"/>
        <v/>
      </c>
      <c r="K63" s="97" t="str">
        <f t="shared" si="1"/>
        <v/>
      </c>
      <c r="L63" s="131">
        <f>IFERROR(MIN(0,INDEX(Sheet1!$AD$10:$AD$999,MATCH(A63,Sheet1!$N$10:$N$999,0))),0)</f>
        <v>0</v>
      </c>
      <c r="M63" s="136">
        <f>IFERROR(MAX(0,INDEX(Sheet1!$AE$10:$AE$999,MATCH(A63,Sheet1!$N$10:$N$999,0))),0)</f>
        <v>0</v>
      </c>
      <c r="N63" s="111" t="str">
        <f t="shared" si="2"/>
        <v/>
      </c>
      <c r="O63" s="138">
        <f>IFERROR(MIN(0,INDEX(Sheet1!$AP$10:$AP$999,MATCH(A63,Sheet1!$N$10:$N$999,0))),0)</f>
        <v>0</v>
      </c>
      <c r="P63" s="143">
        <f>IFERROR(MAX(0,INDEX(Sheet1!$AO$10:$AO$999,MATCH(A63,Sheet1!$N$10:$N$999,0))),0)</f>
        <v>0</v>
      </c>
      <c r="Q63" s="111" t="str">
        <f t="shared" si="3"/>
        <v/>
      </c>
      <c r="R63" s="140">
        <f>IFERROR(MIN(0,INDEX(Sheet1!$BK$10:$BK$999,MATCH(A63,Sheet1!$N$10:$N$999,0))),0)</f>
        <v>0</v>
      </c>
      <c r="S63" s="141">
        <f>IFERROR(MAX(0,INDEX(Sheet1!$BK$10:$BK$999,MATCH(A63,Sheet1!$N$10:$N$999,0))),0)</f>
        <v>0</v>
      </c>
      <c r="T63" s="111" t="str">
        <f t="shared" si="4"/>
        <v/>
      </c>
      <c r="AA63" s="96"/>
    </row>
    <row r="64" spans="1:27" x14ac:dyDescent="0.3">
      <c r="A64" s="44"/>
      <c r="B64" s="152" t="str">
        <f>IFERROR(
    INDEX(
        CHOOSE(
            MATCH($C$1, {"All","Calls","Puts"}, 0),
            Sheet1!BN$10:BN$210,
            Sheet1!AR$10:AR$210,
            Sheet1!AS$10:AS$210
        ),
        MATCH($A64, Sheet1!N$10:N$210, 0)
    ),
"")</f>
        <v/>
      </c>
      <c r="C64" s="152" t="str">
        <f>IFERROR(
    INDEX(
        CHOOSE(
            MATCH($C$1, {"All","Calls","Puts"}, 0),
            Sheet1!BN$213:BN$413,
            Sheet1!AR$213:AR$413,
            Sheet1!AS$213:AS$413
        ),
        MATCH($A64, Sheet1!N$213:N$413, 0)
    ),
"")</f>
        <v/>
      </c>
      <c r="D64" s="152" t="str">
        <f>IFERROR(
    INDEX(
        CHOOSE(
            MATCH($C$1, {"All","Calls","Puts"}, 0),
            Sheet1!BN$416:BN$616,
            Sheet1!AR$416:AR$616,
            Sheet1!AS$416:AS$616
        ),
        MATCH($A64, Sheet1!N$416:N$616, 0)
    ),
"")</f>
        <v/>
      </c>
      <c r="E64" s="152" t="str">
        <f>IFERROR(
    INDEX(
        CHOOSE(
            MATCH($C$1, {"All","Calls","Puts"}, 0),
            Sheet1!BN$619:BN$819,
            Sheet1!AR$619:AR$819,
            Sheet1!AS$619:AS$819
        ),
        MATCH($A64, Sheet1!N$619:N$819, 0)
    ),
"")</f>
        <v/>
      </c>
      <c r="F64" s="152" t="str">
        <f>IFERROR(
    INDEX(
        CHOOSE(
            MATCH($C$1, {"All","Calls","Puts"}, 0),
            Sheet1!BN$822:BN$1022,
            Sheet1!AR$822:AR$1022,
            Sheet1!AS$822:AS$1022
        ),
        MATCH($A64, Sheet1!N$822:N$1022, 0)
    ),
"")</f>
        <v/>
      </c>
      <c r="G64" s="152" t="str">
        <f>IFERROR(
    INDEX(
        CHOOSE(
            MATCH($C$1, {"All","Calls","Puts"}, 0),
            Sheet1!BN$1025:BN$1225,
            Sheet1!AR$1025:AR$1225,
            Sheet1!AS$1025:AS$1225
        ),
        MATCH($A64, Sheet1!N$1025:N$1225, 0)
    ),
"")</f>
        <v/>
      </c>
      <c r="H64" s="152" t="str">
        <f>IFERROR(
    INDEX(
        CHOOSE(
            MATCH($C$1, {"All","Calls","Puts"}, 0),
            Sheet1!BN$1228:BN$1428,
            Sheet1!AR$1228:AR$1428,
            Sheet1!AS$1228:AS$1428
        ),
        MATCH($A64, Sheet1!N$1228:N$1428, 0)
    ),
"")</f>
        <v/>
      </c>
      <c r="I64" s="152" t="str">
        <f>IFERROR(
    INDEX(
        CHOOSE(
            MATCH($C$1, {"All","Calls","Puts"}, 0),
            Sheet1!BN$1431:BN$1631,
            Sheet1!AR$1431:AR$1631,
            Sheet1!AS$1431:AS$1631
        ),
        MATCH($A64, Sheet1!N$1431:N$1631, 0)
    ),
"")</f>
        <v/>
      </c>
      <c r="J64" s="73" t="str">
        <f t="shared" si="0"/>
        <v/>
      </c>
      <c r="K64" s="97" t="str">
        <f t="shared" si="1"/>
        <v/>
      </c>
      <c r="L64" s="131">
        <f>IFERROR(MIN(0,INDEX(Sheet1!$AD$10:$AD$999,MATCH(A64,Sheet1!$N$10:$N$999,0))),0)</f>
        <v>0</v>
      </c>
      <c r="M64" s="136">
        <f>IFERROR(MAX(0,INDEX(Sheet1!$AE$10:$AE$999,MATCH(A64,Sheet1!$N$10:$N$999,0))),0)</f>
        <v>0</v>
      </c>
      <c r="N64" s="111" t="str">
        <f t="shared" si="2"/>
        <v/>
      </c>
      <c r="O64" s="138">
        <f>IFERROR(MIN(0,INDEX(Sheet1!$AP$10:$AP$999,MATCH(A64,Sheet1!$N$10:$N$999,0))),0)</f>
        <v>0</v>
      </c>
      <c r="P64" s="143">
        <f>IFERROR(MAX(0,INDEX(Sheet1!$AO$10:$AO$999,MATCH(A64,Sheet1!$N$10:$N$999,0))),0)</f>
        <v>0</v>
      </c>
      <c r="Q64" s="111" t="str">
        <f t="shared" si="3"/>
        <v/>
      </c>
      <c r="R64" s="140">
        <f>IFERROR(MIN(0,INDEX(Sheet1!$BK$10:$BK$999,MATCH(A64,Sheet1!$N$10:$N$999,0))),0)</f>
        <v>0</v>
      </c>
      <c r="S64" s="141">
        <f>IFERROR(MAX(0,INDEX(Sheet1!$BK$10:$BK$999,MATCH(A64,Sheet1!$N$10:$N$999,0))),0)</f>
        <v>0</v>
      </c>
      <c r="T64" s="111" t="str">
        <f t="shared" si="4"/>
        <v/>
      </c>
      <c r="AA64" s="96"/>
    </row>
    <row r="65" spans="1:27" x14ac:dyDescent="0.3">
      <c r="A65" s="44"/>
      <c r="B65" s="152" t="str">
        <f>IFERROR(
    INDEX(
        CHOOSE(
            MATCH($C$1, {"All","Calls","Puts"}, 0),
            Sheet1!BN$10:BN$210,
            Sheet1!AR$10:AR$210,
            Sheet1!AS$10:AS$210
        ),
        MATCH($A65, Sheet1!N$10:N$210, 0)
    ),
"")</f>
        <v/>
      </c>
      <c r="C65" s="152" t="str">
        <f>IFERROR(
    INDEX(
        CHOOSE(
            MATCH($C$1, {"All","Calls","Puts"}, 0),
            Sheet1!BN$213:BN$413,
            Sheet1!AR$213:AR$413,
            Sheet1!AS$213:AS$413
        ),
        MATCH($A65, Sheet1!N$213:N$413, 0)
    ),
"")</f>
        <v/>
      </c>
      <c r="D65" s="152" t="str">
        <f>IFERROR(
    INDEX(
        CHOOSE(
            MATCH($C$1, {"All","Calls","Puts"}, 0),
            Sheet1!BN$416:BN$616,
            Sheet1!AR$416:AR$616,
            Sheet1!AS$416:AS$616
        ),
        MATCH($A65, Sheet1!N$416:N$616, 0)
    ),
"")</f>
        <v/>
      </c>
      <c r="E65" s="152" t="str">
        <f>IFERROR(
    INDEX(
        CHOOSE(
            MATCH($C$1, {"All","Calls","Puts"}, 0),
            Sheet1!BN$619:BN$819,
            Sheet1!AR$619:AR$819,
            Sheet1!AS$619:AS$819
        ),
        MATCH($A65, Sheet1!N$619:N$819, 0)
    ),
"")</f>
        <v/>
      </c>
      <c r="F65" s="152" t="str">
        <f>IFERROR(
    INDEX(
        CHOOSE(
            MATCH($C$1, {"All","Calls","Puts"}, 0),
            Sheet1!BN$822:BN$1022,
            Sheet1!AR$822:AR$1022,
            Sheet1!AS$822:AS$1022
        ),
        MATCH($A65, Sheet1!N$822:N$1022, 0)
    ),
"")</f>
        <v/>
      </c>
      <c r="G65" s="152" t="str">
        <f>IFERROR(
    INDEX(
        CHOOSE(
            MATCH($C$1, {"All","Calls","Puts"}, 0),
            Sheet1!BN$1025:BN$1225,
            Sheet1!AR$1025:AR$1225,
            Sheet1!AS$1025:AS$1225
        ),
        MATCH($A65, Sheet1!N$1025:N$1225, 0)
    ),
"")</f>
        <v/>
      </c>
      <c r="H65" s="152" t="str">
        <f>IFERROR(
    INDEX(
        CHOOSE(
            MATCH($C$1, {"All","Calls","Puts"}, 0),
            Sheet1!BN$1228:BN$1428,
            Sheet1!AR$1228:AR$1428,
            Sheet1!AS$1228:AS$1428
        ),
        MATCH($A65, Sheet1!N$1228:N$1428, 0)
    ),
"")</f>
        <v/>
      </c>
      <c r="I65" s="152" t="str">
        <f>IFERROR(
    INDEX(
        CHOOSE(
            MATCH($C$1, {"All","Calls","Puts"}, 0),
            Sheet1!BN$1431:BN$1631,
            Sheet1!AR$1431:AR$1631,
            Sheet1!AS$1431:AS$1631
        ),
        MATCH($A65, Sheet1!N$1431:N$1631, 0)
    ),
"")</f>
        <v/>
      </c>
      <c r="J65" s="73" t="str">
        <f t="shared" si="0"/>
        <v/>
      </c>
      <c r="K65" s="97" t="str">
        <f t="shared" si="1"/>
        <v/>
      </c>
      <c r="L65" s="131">
        <f>IFERROR(MIN(0,INDEX(Sheet1!$AD$10:$AD$999,MATCH(A65,Sheet1!$N$10:$N$999,0))),0)</f>
        <v>0</v>
      </c>
      <c r="M65" s="136">
        <f>IFERROR(MAX(0,INDEX(Sheet1!$AE$10:$AE$999,MATCH(A65,Sheet1!$N$10:$N$999,0))),0)</f>
        <v>0</v>
      </c>
      <c r="N65" s="111" t="str">
        <f t="shared" si="2"/>
        <v/>
      </c>
      <c r="O65" s="138">
        <f>IFERROR(MIN(0,INDEX(Sheet1!$AP$10:$AP$999,MATCH(A65,Sheet1!$N$10:$N$999,0))),0)</f>
        <v>0</v>
      </c>
      <c r="P65" s="143">
        <f>IFERROR(MAX(0,INDEX(Sheet1!$AO$10:$AO$999,MATCH(A65,Sheet1!$N$10:$N$999,0))),0)</f>
        <v>0</v>
      </c>
      <c r="Q65" s="111" t="str">
        <f t="shared" si="3"/>
        <v/>
      </c>
      <c r="R65" s="140">
        <f>IFERROR(MIN(0,INDEX(Sheet1!$BK$10:$BK$999,MATCH(A65,Sheet1!$N$10:$N$999,0))),0)</f>
        <v>0</v>
      </c>
      <c r="S65" s="141">
        <f>IFERROR(MAX(0,INDEX(Sheet1!$BK$10:$BK$999,MATCH(A65,Sheet1!$N$10:$N$999,0))),0)</f>
        <v>0</v>
      </c>
      <c r="T65" s="111" t="str">
        <f t="shared" si="4"/>
        <v/>
      </c>
      <c r="AA65" s="96"/>
    </row>
    <row r="66" spans="1:27" x14ac:dyDescent="0.3">
      <c r="A66" s="44"/>
      <c r="B66" s="152" t="str">
        <f>IFERROR(
    INDEX(
        CHOOSE(
            MATCH($C$1, {"All","Calls","Puts"}, 0),
            Sheet1!BN$10:BN$210,
            Sheet1!AR$10:AR$210,
            Sheet1!AS$10:AS$210
        ),
        MATCH($A66, Sheet1!N$10:N$210, 0)
    ),
"")</f>
        <v/>
      </c>
      <c r="C66" s="152" t="str">
        <f>IFERROR(
    INDEX(
        CHOOSE(
            MATCH($C$1, {"All","Calls","Puts"}, 0),
            Sheet1!BN$213:BN$413,
            Sheet1!AR$213:AR$413,
            Sheet1!AS$213:AS$413
        ),
        MATCH($A66, Sheet1!N$213:N$413, 0)
    ),
"")</f>
        <v/>
      </c>
      <c r="D66" s="152" t="str">
        <f>IFERROR(
    INDEX(
        CHOOSE(
            MATCH($C$1, {"All","Calls","Puts"}, 0),
            Sheet1!BN$416:BN$616,
            Sheet1!AR$416:AR$616,
            Sheet1!AS$416:AS$616
        ),
        MATCH($A66, Sheet1!N$416:N$616, 0)
    ),
"")</f>
        <v/>
      </c>
      <c r="E66" s="152" t="str">
        <f>IFERROR(
    INDEX(
        CHOOSE(
            MATCH($C$1, {"All","Calls","Puts"}, 0),
            Sheet1!BN$619:BN$819,
            Sheet1!AR$619:AR$819,
            Sheet1!AS$619:AS$819
        ),
        MATCH($A66, Sheet1!N$619:N$819, 0)
    ),
"")</f>
        <v/>
      </c>
      <c r="F66" s="152" t="str">
        <f>IFERROR(
    INDEX(
        CHOOSE(
            MATCH($C$1, {"All","Calls","Puts"}, 0),
            Sheet1!BN$822:BN$1022,
            Sheet1!AR$822:AR$1022,
            Sheet1!AS$822:AS$1022
        ),
        MATCH($A66, Sheet1!N$822:N$1022, 0)
    ),
"")</f>
        <v/>
      </c>
      <c r="G66" s="152" t="str">
        <f>IFERROR(
    INDEX(
        CHOOSE(
            MATCH($C$1, {"All","Calls","Puts"}, 0),
            Sheet1!BN$1025:BN$1225,
            Sheet1!AR$1025:AR$1225,
            Sheet1!AS$1025:AS$1225
        ),
        MATCH($A66, Sheet1!N$1025:N$1225, 0)
    ),
"")</f>
        <v/>
      </c>
      <c r="H66" s="152" t="str">
        <f>IFERROR(
    INDEX(
        CHOOSE(
            MATCH($C$1, {"All","Calls","Puts"}, 0),
            Sheet1!BN$1228:BN$1428,
            Sheet1!AR$1228:AR$1428,
            Sheet1!AS$1228:AS$1428
        ),
        MATCH($A66, Sheet1!N$1228:N$1428, 0)
    ),
"")</f>
        <v/>
      </c>
      <c r="I66" s="152" t="str">
        <f>IFERROR(
    INDEX(
        CHOOSE(
            MATCH($C$1, {"All","Calls","Puts"}, 0),
            Sheet1!BN$1431:BN$1631,
            Sheet1!AR$1431:AR$1631,
            Sheet1!AS$1431:AS$1631
        ),
        MATCH($A66, Sheet1!N$1431:N$1631, 0)
    ),
"")</f>
        <v/>
      </c>
      <c r="J66" s="73" t="str">
        <f t="shared" si="0"/>
        <v/>
      </c>
      <c r="K66" s="97" t="str">
        <f t="shared" si="1"/>
        <v/>
      </c>
      <c r="L66" s="131">
        <f>IFERROR(MIN(0,INDEX(Sheet1!$AD$10:$AD$999,MATCH(A66,Sheet1!$N$10:$N$999,0))),0)</f>
        <v>0</v>
      </c>
      <c r="M66" s="136">
        <f>IFERROR(MAX(0,INDEX(Sheet1!$AE$10:$AE$999,MATCH(A66,Sheet1!$N$10:$N$999,0))),0)</f>
        <v>0</v>
      </c>
      <c r="N66" s="111" t="str">
        <f t="shared" si="2"/>
        <v/>
      </c>
      <c r="O66" s="138">
        <f>IFERROR(MIN(0,INDEX(Sheet1!$AP$10:$AP$999,MATCH(A66,Sheet1!$N$10:$N$999,0))),0)</f>
        <v>0</v>
      </c>
      <c r="P66" s="143">
        <f>IFERROR(MAX(0,INDEX(Sheet1!$AO$10:$AO$999,MATCH(A66,Sheet1!$N$10:$N$999,0))),0)</f>
        <v>0</v>
      </c>
      <c r="Q66" s="111" t="str">
        <f t="shared" si="3"/>
        <v/>
      </c>
      <c r="R66" s="140">
        <f>IFERROR(MIN(0,INDEX(Sheet1!$BK$10:$BK$999,MATCH(A66,Sheet1!$N$10:$N$999,0))),0)</f>
        <v>0</v>
      </c>
      <c r="S66" s="141">
        <f>IFERROR(MAX(0,INDEX(Sheet1!$BK$10:$BK$999,MATCH(A66,Sheet1!$N$10:$N$999,0))),0)</f>
        <v>0</v>
      </c>
      <c r="T66" s="111" t="str">
        <f t="shared" si="4"/>
        <v/>
      </c>
      <c r="AA66" s="96"/>
    </row>
    <row r="67" spans="1:27" x14ac:dyDescent="0.3">
      <c r="A67" s="44"/>
      <c r="B67" s="152" t="str">
        <f>IFERROR(
    INDEX(
        CHOOSE(
            MATCH($C$1, {"All","Calls","Puts"}, 0),
            Sheet1!BN$10:BN$210,
            Sheet1!AR$10:AR$210,
            Sheet1!AS$10:AS$210
        ),
        MATCH($A67, Sheet1!N$10:N$210, 0)
    ),
"")</f>
        <v/>
      </c>
      <c r="C67" s="152" t="str">
        <f>IFERROR(
    INDEX(
        CHOOSE(
            MATCH($C$1, {"All","Calls","Puts"}, 0),
            Sheet1!BN$213:BN$413,
            Sheet1!AR$213:AR$413,
            Sheet1!AS$213:AS$413
        ),
        MATCH($A67, Sheet1!N$213:N$413, 0)
    ),
"")</f>
        <v/>
      </c>
      <c r="D67" s="152" t="str">
        <f>IFERROR(
    INDEX(
        CHOOSE(
            MATCH($C$1, {"All","Calls","Puts"}, 0),
            Sheet1!BN$416:BN$616,
            Sheet1!AR$416:AR$616,
            Sheet1!AS$416:AS$616
        ),
        MATCH($A67, Sheet1!N$416:N$616, 0)
    ),
"")</f>
        <v/>
      </c>
      <c r="E67" s="152" t="str">
        <f>IFERROR(
    INDEX(
        CHOOSE(
            MATCH($C$1, {"All","Calls","Puts"}, 0),
            Sheet1!BN$619:BN$819,
            Sheet1!AR$619:AR$819,
            Sheet1!AS$619:AS$819
        ),
        MATCH($A67, Sheet1!N$619:N$819, 0)
    ),
"")</f>
        <v/>
      </c>
      <c r="F67" s="152" t="str">
        <f>IFERROR(
    INDEX(
        CHOOSE(
            MATCH($C$1, {"All","Calls","Puts"}, 0),
            Sheet1!BN$822:BN$1022,
            Sheet1!AR$822:AR$1022,
            Sheet1!AS$822:AS$1022
        ),
        MATCH($A67, Sheet1!N$822:N$1022, 0)
    ),
"")</f>
        <v/>
      </c>
      <c r="G67" s="152" t="str">
        <f>IFERROR(
    INDEX(
        CHOOSE(
            MATCH($C$1, {"All","Calls","Puts"}, 0),
            Sheet1!BN$1025:BN$1225,
            Sheet1!AR$1025:AR$1225,
            Sheet1!AS$1025:AS$1225
        ),
        MATCH($A67, Sheet1!N$1025:N$1225, 0)
    ),
"")</f>
        <v/>
      </c>
      <c r="H67" s="152" t="str">
        <f>IFERROR(
    INDEX(
        CHOOSE(
            MATCH($C$1, {"All","Calls","Puts"}, 0),
            Sheet1!BN$1228:BN$1428,
            Sheet1!AR$1228:AR$1428,
            Sheet1!AS$1228:AS$1428
        ),
        MATCH($A67, Sheet1!N$1228:N$1428, 0)
    ),
"")</f>
        <v/>
      </c>
      <c r="I67" s="152" t="str">
        <f>IFERROR(
    INDEX(
        CHOOSE(
            MATCH($C$1, {"All","Calls","Puts"}, 0),
            Sheet1!BN$1431:BN$1631,
            Sheet1!AR$1431:AR$1631,
            Sheet1!AS$1431:AS$1631
        ),
        MATCH($A67, Sheet1!N$1431:N$1631, 0)
    ),
"")</f>
        <v/>
      </c>
      <c r="J67" s="73" t="str">
        <f t="shared" si="0"/>
        <v/>
      </c>
      <c r="K67" s="97" t="str">
        <f t="shared" si="1"/>
        <v/>
      </c>
      <c r="L67" s="131">
        <f>IFERROR(MIN(0,INDEX(Sheet1!$AD$10:$AD$999,MATCH(A67,Sheet1!$N$10:$N$999,0))),0)</f>
        <v>0</v>
      </c>
      <c r="M67" s="136">
        <f>IFERROR(MAX(0,INDEX(Sheet1!$AE$10:$AE$999,MATCH(A67,Sheet1!$N$10:$N$999,0))),0)</f>
        <v>0</v>
      </c>
      <c r="N67" s="111" t="str">
        <f t="shared" si="2"/>
        <v/>
      </c>
      <c r="O67" s="138">
        <f>IFERROR(MIN(0,INDEX(Sheet1!$AP$10:$AP$999,MATCH(A67,Sheet1!$N$10:$N$999,0))),0)</f>
        <v>0</v>
      </c>
      <c r="P67" s="143">
        <f>IFERROR(MAX(0,INDEX(Sheet1!$AO$10:$AO$999,MATCH(A67,Sheet1!$N$10:$N$999,0))),0)</f>
        <v>0</v>
      </c>
      <c r="Q67" s="111" t="str">
        <f t="shared" si="3"/>
        <v/>
      </c>
      <c r="R67" s="140">
        <f>IFERROR(MIN(0,INDEX(Sheet1!$BK$10:$BK$999,MATCH(A67,Sheet1!$N$10:$N$999,0))),0)</f>
        <v>0</v>
      </c>
      <c r="S67" s="141">
        <f>IFERROR(MAX(0,INDEX(Sheet1!$BK$10:$BK$999,MATCH(A67,Sheet1!$N$10:$N$999,0))),0)</f>
        <v>0</v>
      </c>
      <c r="T67" s="111" t="str">
        <f t="shared" si="4"/>
        <v/>
      </c>
      <c r="AA67" s="96"/>
    </row>
    <row r="68" spans="1:27" x14ac:dyDescent="0.3">
      <c r="A68" s="44"/>
      <c r="B68" s="152" t="str">
        <f>IFERROR(
    INDEX(
        CHOOSE(
            MATCH($C$1, {"All","Calls","Puts"}, 0),
            Sheet1!BN$10:BN$210,
            Sheet1!AR$10:AR$210,
            Sheet1!AS$10:AS$210
        ),
        MATCH($A68, Sheet1!N$10:N$210, 0)
    ),
"")</f>
        <v/>
      </c>
      <c r="C68" s="152" t="str">
        <f>IFERROR(
    INDEX(
        CHOOSE(
            MATCH($C$1, {"All","Calls","Puts"}, 0),
            Sheet1!BN$213:BN$413,
            Sheet1!AR$213:AR$413,
            Sheet1!AS$213:AS$413
        ),
        MATCH($A68, Sheet1!N$213:N$413, 0)
    ),
"")</f>
        <v/>
      </c>
      <c r="D68" s="152" t="str">
        <f>IFERROR(
    INDEX(
        CHOOSE(
            MATCH($C$1, {"All","Calls","Puts"}, 0),
            Sheet1!BN$416:BN$616,
            Sheet1!AR$416:AR$616,
            Sheet1!AS$416:AS$616
        ),
        MATCH($A68, Sheet1!N$416:N$616, 0)
    ),
"")</f>
        <v/>
      </c>
      <c r="E68" s="152" t="str">
        <f>IFERROR(
    INDEX(
        CHOOSE(
            MATCH($C$1, {"All","Calls","Puts"}, 0),
            Sheet1!BN$619:BN$819,
            Sheet1!AR$619:AR$819,
            Sheet1!AS$619:AS$819
        ),
        MATCH($A68, Sheet1!N$619:N$819, 0)
    ),
"")</f>
        <v/>
      </c>
      <c r="F68" s="152" t="str">
        <f>IFERROR(
    INDEX(
        CHOOSE(
            MATCH($C$1, {"All","Calls","Puts"}, 0),
            Sheet1!BN$822:BN$1022,
            Sheet1!AR$822:AR$1022,
            Sheet1!AS$822:AS$1022
        ),
        MATCH($A68, Sheet1!N$822:N$1022, 0)
    ),
"")</f>
        <v/>
      </c>
      <c r="G68" s="152" t="str">
        <f>IFERROR(
    INDEX(
        CHOOSE(
            MATCH($C$1, {"All","Calls","Puts"}, 0),
            Sheet1!BN$1025:BN$1225,
            Sheet1!AR$1025:AR$1225,
            Sheet1!AS$1025:AS$1225
        ),
        MATCH($A68, Sheet1!N$1025:N$1225, 0)
    ),
"")</f>
        <v/>
      </c>
      <c r="H68" s="152" t="str">
        <f>IFERROR(
    INDEX(
        CHOOSE(
            MATCH($C$1, {"All","Calls","Puts"}, 0),
            Sheet1!BN$1228:BN$1428,
            Sheet1!AR$1228:AR$1428,
            Sheet1!AS$1228:AS$1428
        ),
        MATCH($A68, Sheet1!N$1228:N$1428, 0)
    ),
"")</f>
        <v/>
      </c>
      <c r="I68" s="152" t="str">
        <f>IFERROR(
    INDEX(
        CHOOSE(
            MATCH($C$1, {"All","Calls","Puts"}, 0),
            Sheet1!BN$1431:BN$1631,
            Sheet1!AR$1431:AR$1631,
            Sheet1!AS$1431:AS$1631
        ),
        MATCH($A68, Sheet1!N$1431:N$1631, 0)
    ),
"")</f>
        <v/>
      </c>
      <c r="J68" s="73" t="str">
        <f t="shared" ref="J68:J131" si="5">IF(A68="","",A68)</f>
        <v/>
      </c>
      <c r="K68" s="97" t="str">
        <f t="shared" ref="K68:K129" si="6">IF(A68="", "", SUM(B68:I68))</f>
        <v/>
      </c>
      <c r="L68" s="131">
        <f>IFERROR(MIN(0,INDEX(Sheet1!$AD$10:$AD$999,MATCH(A68,Sheet1!$N$10:$N$999,0))),0)</f>
        <v>0</v>
      </c>
      <c r="M68" s="136">
        <f>IFERROR(MAX(0,INDEX(Sheet1!$AE$10:$AE$999,MATCH(A68,Sheet1!$N$10:$N$999,0))),0)</f>
        <v>0</v>
      </c>
      <c r="N68" s="111" t="str">
        <f t="shared" ref="N68:N131" si="7">IF(A68="","",A68)</f>
        <v/>
      </c>
      <c r="O68" s="138">
        <f>IFERROR(MIN(0,INDEX(Sheet1!$AP$10:$AP$999,MATCH(A68,Sheet1!$N$10:$N$999,0))),0)</f>
        <v>0</v>
      </c>
      <c r="P68" s="143">
        <f>IFERROR(MAX(0,INDEX(Sheet1!$AO$10:$AO$999,MATCH(A68,Sheet1!$N$10:$N$999,0))),0)</f>
        <v>0</v>
      </c>
      <c r="Q68" s="111" t="str">
        <f t="shared" ref="Q68:Q131" si="8">IF(A68="","",A68)</f>
        <v/>
      </c>
      <c r="R68" s="140">
        <f>IFERROR(MIN(0,INDEX(Sheet1!$BK$10:$BK$999,MATCH(A68,Sheet1!$N$10:$N$999,0))),0)</f>
        <v>0</v>
      </c>
      <c r="S68" s="141">
        <f>IFERROR(MAX(0,INDEX(Sheet1!$BK$10:$BK$999,MATCH(A68,Sheet1!$N$10:$N$999,0))),0)</f>
        <v>0</v>
      </c>
      <c r="T68" s="111" t="str">
        <f t="shared" ref="T68:T131" si="9">IF(A68="","",A68)</f>
        <v/>
      </c>
      <c r="AA68" s="96"/>
    </row>
    <row r="69" spans="1:27" x14ac:dyDescent="0.3">
      <c r="A69" s="44"/>
      <c r="B69" s="152" t="str">
        <f>IFERROR(
    INDEX(
        CHOOSE(
            MATCH($C$1, {"All","Calls","Puts"}, 0),
            Sheet1!BN$10:BN$210,
            Sheet1!AR$10:AR$210,
            Sheet1!AS$10:AS$210
        ),
        MATCH($A69, Sheet1!N$10:N$210, 0)
    ),
"")</f>
        <v/>
      </c>
      <c r="C69" s="152" t="str">
        <f>IFERROR(
    INDEX(
        CHOOSE(
            MATCH($C$1, {"All","Calls","Puts"}, 0),
            Sheet1!BN$213:BN$413,
            Sheet1!AR$213:AR$413,
            Sheet1!AS$213:AS$413
        ),
        MATCH($A69, Sheet1!N$213:N$413, 0)
    ),
"")</f>
        <v/>
      </c>
      <c r="D69" s="152" t="str">
        <f>IFERROR(
    INDEX(
        CHOOSE(
            MATCH($C$1, {"All","Calls","Puts"}, 0),
            Sheet1!BN$416:BN$616,
            Sheet1!AR$416:AR$616,
            Sheet1!AS$416:AS$616
        ),
        MATCH($A69, Sheet1!N$416:N$616, 0)
    ),
"")</f>
        <v/>
      </c>
      <c r="E69" s="152" t="str">
        <f>IFERROR(
    INDEX(
        CHOOSE(
            MATCH($C$1, {"All","Calls","Puts"}, 0),
            Sheet1!BN$619:BN$819,
            Sheet1!AR$619:AR$819,
            Sheet1!AS$619:AS$819
        ),
        MATCH($A69, Sheet1!N$619:N$819, 0)
    ),
"")</f>
        <v/>
      </c>
      <c r="F69" s="152" t="str">
        <f>IFERROR(
    INDEX(
        CHOOSE(
            MATCH($C$1, {"All","Calls","Puts"}, 0),
            Sheet1!BN$822:BN$1022,
            Sheet1!AR$822:AR$1022,
            Sheet1!AS$822:AS$1022
        ),
        MATCH($A69, Sheet1!N$822:N$1022, 0)
    ),
"")</f>
        <v/>
      </c>
      <c r="G69" s="152" t="str">
        <f>IFERROR(
    INDEX(
        CHOOSE(
            MATCH($C$1, {"All","Calls","Puts"}, 0),
            Sheet1!BN$1025:BN$1225,
            Sheet1!AR$1025:AR$1225,
            Sheet1!AS$1025:AS$1225
        ),
        MATCH($A69, Sheet1!N$1025:N$1225, 0)
    ),
"")</f>
        <v/>
      </c>
      <c r="H69" s="152" t="str">
        <f>IFERROR(
    INDEX(
        CHOOSE(
            MATCH($C$1, {"All","Calls","Puts"}, 0),
            Sheet1!BN$1228:BN$1428,
            Sheet1!AR$1228:AR$1428,
            Sheet1!AS$1228:AS$1428
        ),
        MATCH($A69, Sheet1!N$1228:N$1428, 0)
    ),
"")</f>
        <v/>
      </c>
      <c r="I69" s="152" t="str">
        <f>IFERROR(
    INDEX(
        CHOOSE(
            MATCH($C$1, {"All","Calls","Puts"}, 0),
            Sheet1!BN$1431:BN$1631,
            Sheet1!AR$1431:AR$1631,
            Sheet1!AS$1431:AS$1631
        ),
        MATCH($A69, Sheet1!N$1431:N$1631, 0)
    ),
"")</f>
        <v/>
      </c>
      <c r="J69" s="73" t="str">
        <f t="shared" si="5"/>
        <v/>
      </c>
      <c r="K69" s="97" t="str">
        <f t="shared" si="6"/>
        <v/>
      </c>
      <c r="L69" s="131">
        <f>IFERROR(MIN(0,INDEX(Sheet1!$AD$10:$AD$999,MATCH(A69,Sheet1!$N$10:$N$999,0))),0)</f>
        <v>0</v>
      </c>
      <c r="M69" s="136">
        <f>IFERROR(MAX(0,INDEX(Sheet1!$AE$10:$AE$999,MATCH(A69,Sheet1!$N$10:$N$999,0))),0)</f>
        <v>0</v>
      </c>
      <c r="N69" s="111" t="str">
        <f t="shared" si="7"/>
        <v/>
      </c>
      <c r="O69" s="138">
        <f>IFERROR(MIN(0,INDEX(Sheet1!$AP$10:$AP$999,MATCH(A69,Sheet1!$N$10:$N$999,0))),0)</f>
        <v>0</v>
      </c>
      <c r="P69" s="143">
        <f>IFERROR(MAX(0,INDEX(Sheet1!$AO$10:$AO$999,MATCH(A69,Sheet1!$N$10:$N$999,0))),0)</f>
        <v>0</v>
      </c>
      <c r="Q69" s="111" t="str">
        <f t="shared" si="8"/>
        <v/>
      </c>
      <c r="R69" s="140">
        <f>IFERROR(MIN(0,INDEX(Sheet1!$BK$10:$BK$999,MATCH(A69,Sheet1!$N$10:$N$999,0))),0)</f>
        <v>0</v>
      </c>
      <c r="S69" s="141">
        <f>IFERROR(MAX(0,INDEX(Sheet1!$BK$10:$BK$999,MATCH(A69,Sheet1!$N$10:$N$999,0))),0)</f>
        <v>0</v>
      </c>
      <c r="T69" s="111" t="str">
        <f t="shared" si="9"/>
        <v/>
      </c>
      <c r="AA69" s="96"/>
    </row>
    <row r="70" spans="1:27" x14ac:dyDescent="0.3">
      <c r="A70" s="44"/>
      <c r="B70" s="152" t="str">
        <f>IFERROR(
    INDEX(
        CHOOSE(
            MATCH($C$1, {"All","Calls","Puts"}, 0),
            Sheet1!BN$10:BN$210,
            Sheet1!AR$10:AR$210,
            Sheet1!AS$10:AS$210
        ),
        MATCH($A70, Sheet1!N$10:N$210, 0)
    ),
"")</f>
        <v/>
      </c>
      <c r="C70" s="152" t="str">
        <f>IFERROR(
    INDEX(
        CHOOSE(
            MATCH($C$1, {"All","Calls","Puts"}, 0),
            Sheet1!BN$213:BN$413,
            Sheet1!AR$213:AR$413,
            Sheet1!AS$213:AS$413
        ),
        MATCH($A70, Sheet1!N$213:N$413, 0)
    ),
"")</f>
        <v/>
      </c>
      <c r="D70" s="152" t="str">
        <f>IFERROR(
    INDEX(
        CHOOSE(
            MATCH($C$1, {"All","Calls","Puts"}, 0),
            Sheet1!BN$416:BN$616,
            Sheet1!AR$416:AR$616,
            Sheet1!AS$416:AS$616
        ),
        MATCH($A70, Sheet1!N$416:N$616, 0)
    ),
"")</f>
        <v/>
      </c>
      <c r="E70" s="152" t="str">
        <f>IFERROR(
    INDEX(
        CHOOSE(
            MATCH($C$1, {"All","Calls","Puts"}, 0),
            Sheet1!BN$619:BN$819,
            Sheet1!AR$619:AR$819,
            Sheet1!AS$619:AS$819
        ),
        MATCH($A70, Sheet1!N$619:N$819, 0)
    ),
"")</f>
        <v/>
      </c>
      <c r="F70" s="152" t="str">
        <f>IFERROR(
    INDEX(
        CHOOSE(
            MATCH($C$1, {"All","Calls","Puts"}, 0),
            Sheet1!BN$822:BN$1022,
            Sheet1!AR$822:AR$1022,
            Sheet1!AS$822:AS$1022
        ),
        MATCH($A70, Sheet1!N$822:N$1022, 0)
    ),
"")</f>
        <v/>
      </c>
      <c r="G70" s="152" t="str">
        <f>IFERROR(
    INDEX(
        CHOOSE(
            MATCH($C$1, {"All","Calls","Puts"}, 0),
            Sheet1!BN$1025:BN$1225,
            Sheet1!AR$1025:AR$1225,
            Sheet1!AS$1025:AS$1225
        ),
        MATCH($A70, Sheet1!N$1025:N$1225, 0)
    ),
"")</f>
        <v/>
      </c>
      <c r="H70" s="152" t="str">
        <f>IFERROR(
    INDEX(
        CHOOSE(
            MATCH($C$1, {"All","Calls","Puts"}, 0),
            Sheet1!BN$1228:BN$1428,
            Sheet1!AR$1228:AR$1428,
            Sheet1!AS$1228:AS$1428
        ),
        MATCH($A70, Sheet1!N$1228:N$1428, 0)
    ),
"")</f>
        <v/>
      </c>
      <c r="I70" s="152" t="str">
        <f>IFERROR(
    INDEX(
        CHOOSE(
            MATCH($C$1, {"All","Calls","Puts"}, 0),
            Sheet1!BN$1431:BN$1631,
            Sheet1!AR$1431:AR$1631,
            Sheet1!AS$1431:AS$1631
        ),
        MATCH($A70, Sheet1!N$1431:N$1631, 0)
    ),
"")</f>
        <v/>
      </c>
      <c r="J70" s="73" t="str">
        <f t="shared" si="5"/>
        <v/>
      </c>
      <c r="K70" s="97" t="str">
        <f t="shared" si="6"/>
        <v/>
      </c>
      <c r="L70" s="131">
        <f>IFERROR(MIN(0,INDEX(Sheet1!$AD$10:$AD$999,MATCH(A70,Sheet1!$N$10:$N$999,0))),0)</f>
        <v>0</v>
      </c>
      <c r="M70" s="136">
        <f>IFERROR(MAX(0,INDEX(Sheet1!$AE$10:$AE$999,MATCH(A70,Sheet1!$N$10:$N$999,0))),0)</f>
        <v>0</v>
      </c>
      <c r="N70" s="111" t="str">
        <f t="shared" si="7"/>
        <v/>
      </c>
      <c r="O70" s="138">
        <f>IFERROR(MIN(0,INDEX(Sheet1!$AP$10:$AP$999,MATCH(A70,Sheet1!$N$10:$N$999,0))),0)</f>
        <v>0</v>
      </c>
      <c r="P70" s="143">
        <f>IFERROR(MAX(0,INDEX(Sheet1!$AO$10:$AO$999,MATCH(A70,Sheet1!$N$10:$N$999,0))),0)</f>
        <v>0</v>
      </c>
      <c r="Q70" s="111" t="str">
        <f t="shared" si="8"/>
        <v/>
      </c>
      <c r="R70" s="140">
        <f>IFERROR(MIN(0,INDEX(Sheet1!$BK$10:$BK$999,MATCH(A70,Sheet1!$N$10:$N$999,0))),0)</f>
        <v>0</v>
      </c>
      <c r="S70" s="141">
        <f>IFERROR(MAX(0,INDEX(Sheet1!$BK$10:$BK$999,MATCH(A70,Sheet1!$N$10:$N$999,0))),0)</f>
        <v>0</v>
      </c>
      <c r="T70" s="111" t="str">
        <f t="shared" si="9"/>
        <v/>
      </c>
      <c r="AA70" s="96"/>
    </row>
    <row r="71" spans="1:27" x14ac:dyDescent="0.3">
      <c r="A71" s="44"/>
      <c r="B71" s="152" t="str">
        <f>IFERROR(
    INDEX(
        CHOOSE(
            MATCH($C$1, {"All","Calls","Puts"}, 0),
            Sheet1!BN$10:BN$210,
            Sheet1!AR$10:AR$210,
            Sheet1!AS$10:AS$210
        ),
        MATCH($A71, Sheet1!N$10:N$210, 0)
    ),
"")</f>
        <v/>
      </c>
      <c r="C71" s="152" t="str">
        <f>IFERROR(
    INDEX(
        CHOOSE(
            MATCH($C$1, {"All","Calls","Puts"}, 0),
            Sheet1!BN$213:BN$413,
            Sheet1!AR$213:AR$413,
            Sheet1!AS$213:AS$413
        ),
        MATCH($A71, Sheet1!N$213:N$413, 0)
    ),
"")</f>
        <v/>
      </c>
      <c r="D71" s="152" t="str">
        <f>IFERROR(
    INDEX(
        CHOOSE(
            MATCH($C$1, {"All","Calls","Puts"}, 0),
            Sheet1!BN$416:BN$616,
            Sheet1!AR$416:AR$616,
            Sheet1!AS$416:AS$616
        ),
        MATCH($A71, Sheet1!N$416:N$616, 0)
    ),
"")</f>
        <v/>
      </c>
      <c r="E71" s="152" t="str">
        <f>IFERROR(
    INDEX(
        CHOOSE(
            MATCH($C$1, {"All","Calls","Puts"}, 0),
            Sheet1!BN$619:BN$819,
            Sheet1!AR$619:AR$819,
            Sheet1!AS$619:AS$819
        ),
        MATCH($A71, Sheet1!N$619:N$819, 0)
    ),
"")</f>
        <v/>
      </c>
      <c r="F71" s="152" t="str">
        <f>IFERROR(
    INDEX(
        CHOOSE(
            MATCH($C$1, {"All","Calls","Puts"}, 0),
            Sheet1!BN$822:BN$1022,
            Sheet1!AR$822:AR$1022,
            Sheet1!AS$822:AS$1022
        ),
        MATCH($A71, Sheet1!N$822:N$1022, 0)
    ),
"")</f>
        <v/>
      </c>
      <c r="G71" s="152" t="str">
        <f>IFERROR(
    INDEX(
        CHOOSE(
            MATCH($C$1, {"All","Calls","Puts"}, 0),
            Sheet1!BN$1025:BN$1225,
            Sheet1!AR$1025:AR$1225,
            Sheet1!AS$1025:AS$1225
        ),
        MATCH($A71, Sheet1!N$1025:N$1225, 0)
    ),
"")</f>
        <v/>
      </c>
      <c r="H71" s="152" t="str">
        <f>IFERROR(
    INDEX(
        CHOOSE(
            MATCH($C$1, {"All","Calls","Puts"}, 0),
            Sheet1!BN$1228:BN$1428,
            Sheet1!AR$1228:AR$1428,
            Sheet1!AS$1228:AS$1428
        ),
        MATCH($A71, Sheet1!N$1228:N$1428, 0)
    ),
"")</f>
        <v/>
      </c>
      <c r="I71" s="152" t="str">
        <f>IFERROR(
    INDEX(
        CHOOSE(
            MATCH($C$1, {"All","Calls","Puts"}, 0),
            Sheet1!BN$1431:BN$1631,
            Sheet1!AR$1431:AR$1631,
            Sheet1!AS$1431:AS$1631
        ),
        MATCH($A71, Sheet1!N$1431:N$1631, 0)
    ),
"")</f>
        <v/>
      </c>
      <c r="J71" s="73" t="str">
        <f t="shared" si="5"/>
        <v/>
      </c>
      <c r="K71" s="97" t="str">
        <f t="shared" si="6"/>
        <v/>
      </c>
      <c r="L71" s="131">
        <f>IFERROR(MIN(0,INDEX(Sheet1!$AD$10:$AD$999,MATCH(A71,Sheet1!$N$10:$N$999,0))),0)</f>
        <v>0</v>
      </c>
      <c r="M71" s="136">
        <f>IFERROR(MAX(0,INDEX(Sheet1!$AE$10:$AE$999,MATCH(A71,Sheet1!$N$10:$N$999,0))),0)</f>
        <v>0</v>
      </c>
      <c r="N71" s="111" t="str">
        <f t="shared" si="7"/>
        <v/>
      </c>
      <c r="O71" s="138">
        <f>IFERROR(MIN(0,INDEX(Sheet1!$AP$10:$AP$999,MATCH(A71,Sheet1!$N$10:$N$999,0))),0)</f>
        <v>0</v>
      </c>
      <c r="P71" s="143">
        <f>IFERROR(MAX(0,INDEX(Sheet1!$AO$10:$AO$999,MATCH(A71,Sheet1!$N$10:$N$999,0))),0)</f>
        <v>0</v>
      </c>
      <c r="Q71" s="111" t="str">
        <f t="shared" si="8"/>
        <v/>
      </c>
      <c r="R71" s="140">
        <f>IFERROR(MIN(0,INDEX(Sheet1!$BK$10:$BK$999,MATCH(A71,Sheet1!$N$10:$N$999,0))),0)</f>
        <v>0</v>
      </c>
      <c r="S71" s="141">
        <f>IFERROR(MAX(0,INDEX(Sheet1!$BK$10:$BK$999,MATCH(A71,Sheet1!$N$10:$N$999,0))),0)</f>
        <v>0</v>
      </c>
      <c r="T71" s="111" t="str">
        <f t="shared" si="9"/>
        <v/>
      </c>
      <c r="AA71" s="96"/>
    </row>
    <row r="72" spans="1:27" x14ac:dyDescent="0.3">
      <c r="A72" s="44"/>
      <c r="B72" s="152" t="str">
        <f>IFERROR(
    INDEX(
        CHOOSE(
            MATCH($C$1, {"All","Calls","Puts"}, 0),
            Sheet1!BN$10:BN$210,
            Sheet1!AR$10:AR$210,
            Sheet1!AS$10:AS$210
        ),
        MATCH($A72, Sheet1!N$10:N$210, 0)
    ),
"")</f>
        <v/>
      </c>
      <c r="C72" s="152" t="str">
        <f>IFERROR(
    INDEX(
        CHOOSE(
            MATCH($C$1, {"All","Calls","Puts"}, 0),
            Sheet1!BN$213:BN$413,
            Sheet1!AR$213:AR$413,
            Sheet1!AS$213:AS$413
        ),
        MATCH($A72, Sheet1!N$213:N$413, 0)
    ),
"")</f>
        <v/>
      </c>
      <c r="D72" s="152" t="str">
        <f>IFERROR(
    INDEX(
        CHOOSE(
            MATCH($C$1, {"All","Calls","Puts"}, 0),
            Sheet1!BN$416:BN$616,
            Sheet1!AR$416:AR$616,
            Sheet1!AS$416:AS$616
        ),
        MATCH($A72, Sheet1!N$416:N$616, 0)
    ),
"")</f>
        <v/>
      </c>
      <c r="E72" s="152" t="str">
        <f>IFERROR(
    INDEX(
        CHOOSE(
            MATCH($C$1, {"All","Calls","Puts"}, 0),
            Sheet1!BN$619:BN$819,
            Sheet1!AR$619:AR$819,
            Sheet1!AS$619:AS$819
        ),
        MATCH($A72, Sheet1!N$619:N$819, 0)
    ),
"")</f>
        <v/>
      </c>
      <c r="F72" s="152" t="str">
        <f>IFERROR(
    INDEX(
        CHOOSE(
            MATCH($C$1, {"All","Calls","Puts"}, 0),
            Sheet1!BN$822:BN$1022,
            Sheet1!AR$822:AR$1022,
            Sheet1!AS$822:AS$1022
        ),
        MATCH($A72, Sheet1!N$822:N$1022, 0)
    ),
"")</f>
        <v/>
      </c>
      <c r="G72" s="152" t="str">
        <f>IFERROR(
    INDEX(
        CHOOSE(
            MATCH($C$1, {"All","Calls","Puts"}, 0),
            Sheet1!BN$1025:BN$1225,
            Sheet1!AR$1025:AR$1225,
            Sheet1!AS$1025:AS$1225
        ),
        MATCH($A72, Sheet1!N$1025:N$1225, 0)
    ),
"")</f>
        <v/>
      </c>
      <c r="H72" s="152" t="str">
        <f>IFERROR(
    INDEX(
        CHOOSE(
            MATCH($C$1, {"All","Calls","Puts"}, 0),
            Sheet1!BN$1228:BN$1428,
            Sheet1!AR$1228:AR$1428,
            Sheet1!AS$1228:AS$1428
        ),
        MATCH($A72, Sheet1!N$1228:N$1428, 0)
    ),
"")</f>
        <v/>
      </c>
      <c r="I72" s="152" t="str">
        <f>IFERROR(
    INDEX(
        CHOOSE(
            MATCH($C$1, {"All","Calls","Puts"}, 0),
            Sheet1!BN$1431:BN$1631,
            Sheet1!AR$1431:AR$1631,
            Sheet1!AS$1431:AS$1631
        ),
        MATCH($A72, Sheet1!N$1431:N$1631, 0)
    ),
"")</f>
        <v/>
      </c>
      <c r="J72" s="73" t="str">
        <f t="shared" si="5"/>
        <v/>
      </c>
      <c r="K72" s="97" t="str">
        <f t="shared" si="6"/>
        <v/>
      </c>
      <c r="L72" s="131">
        <f>IFERROR(MIN(0,INDEX(Sheet1!$AD$10:$AD$999,MATCH(A72,Sheet1!$N$10:$N$999,0))),0)</f>
        <v>0</v>
      </c>
      <c r="M72" s="136">
        <f>IFERROR(MAX(0,INDEX(Sheet1!$AE$10:$AE$999,MATCH(A72,Sheet1!$N$10:$N$999,0))),0)</f>
        <v>0</v>
      </c>
      <c r="N72" s="111" t="str">
        <f t="shared" si="7"/>
        <v/>
      </c>
      <c r="O72" s="138">
        <f>IFERROR(MIN(0,INDEX(Sheet1!$AP$10:$AP$999,MATCH(A72,Sheet1!$N$10:$N$999,0))),0)</f>
        <v>0</v>
      </c>
      <c r="P72" s="143">
        <f>IFERROR(MAX(0,INDEX(Sheet1!$AO$10:$AO$999,MATCH(A72,Sheet1!$N$10:$N$999,0))),0)</f>
        <v>0</v>
      </c>
      <c r="Q72" s="111" t="str">
        <f t="shared" si="8"/>
        <v/>
      </c>
      <c r="R72" s="140">
        <f>IFERROR(MIN(0,INDEX(Sheet1!$BK$10:$BK$999,MATCH(A72,Sheet1!$N$10:$N$999,0))),0)</f>
        <v>0</v>
      </c>
      <c r="S72" s="141">
        <f>IFERROR(MAX(0,INDEX(Sheet1!$BK$10:$BK$999,MATCH(A72,Sheet1!$N$10:$N$999,0))),0)</f>
        <v>0</v>
      </c>
      <c r="T72" s="111" t="str">
        <f t="shared" si="9"/>
        <v/>
      </c>
      <c r="AA72" s="96"/>
    </row>
    <row r="73" spans="1:27" x14ac:dyDescent="0.3">
      <c r="A73" s="44"/>
      <c r="B73" s="152" t="str">
        <f>IFERROR(
    INDEX(
        CHOOSE(
            MATCH($C$1, {"All","Calls","Puts"}, 0),
            Sheet1!BN$10:BN$210,
            Sheet1!AR$10:AR$210,
            Sheet1!AS$10:AS$210
        ),
        MATCH($A73, Sheet1!N$10:N$210, 0)
    ),
"")</f>
        <v/>
      </c>
      <c r="C73" s="152" t="str">
        <f>IFERROR(
    INDEX(
        CHOOSE(
            MATCH($C$1, {"All","Calls","Puts"}, 0),
            Sheet1!BN$213:BN$413,
            Sheet1!AR$213:AR$413,
            Sheet1!AS$213:AS$413
        ),
        MATCH($A73, Sheet1!N$213:N$413, 0)
    ),
"")</f>
        <v/>
      </c>
      <c r="D73" s="152" t="str">
        <f>IFERROR(
    INDEX(
        CHOOSE(
            MATCH($C$1, {"All","Calls","Puts"}, 0),
            Sheet1!BN$416:BN$616,
            Sheet1!AR$416:AR$616,
            Sheet1!AS$416:AS$616
        ),
        MATCH($A73, Sheet1!N$416:N$616, 0)
    ),
"")</f>
        <v/>
      </c>
      <c r="E73" s="152" t="str">
        <f>IFERROR(
    INDEX(
        CHOOSE(
            MATCH($C$1, {"All","Calls","Puts"}, 0),
            Sheet1!BN$619:BN$819,
            Sheet1!AR$619:AR$819,
            Sheet1!AS$619:AS$819
        ),
        MATCH($A73, Sheet1!N$619:N$819, 0)
    ),
"")</f>
        <v/>
      </c>
      <c r="F73" s="152" t="str">
        <f>IFERROR(
    INDEX(
        CHOOSE(
            MATCH($C$1, {"All","Calls","Puts"}, 0),
            Sheet1!BN$822:BN$1022,
            Sheet1!AR$822:AR$1022,
            Sheet1!AS$822:AS$1022
        ),
        MATCH($A73, Sheet1!N$822:N$1022, 0)
    ),
"")</f>
        <v/>
      </c>
      <c r="G73" s="152" t="str">
        <f>IFERROR(
    INDEX(
        CHOOSE(
            MATCH($C$1, {"All","Calls","Puts"}, 0),
            Sheet1!BN$1025:BN$1225,
            Sheet1!AR$1025:AR$1225,
            Sheet1!AS$1025:AS$1225
        ),
        MATCH($A73, Sheet1!N$1025:N$1225, 0)
    ),
"")</f>
        <v/>
      </c>
      <c r="H73" s="152" t="str">
        <f>IFERROR(
    INDEX(
        CHOOSE(
            MATCH($C$1, {"All","Calls","Puts"}, 0),
            Sheet1!BN$1228:BN$1428,
            Sheet1!AR$1228:AR$1428,
            Sheet1!AS$1228:AS$1428
        ),
        MATCH($A73, Sheet1!N$1228:N$1428, 0)
    ),
"")</f>
        <v/>
      </c>
      <c r="I73" s="152" t="str">
        <f>IFERROR(
    INDEX(
        CHOOSE(
            MATCH($C$1, {"All","Calls","Puts"}, 0),
            Sheet1!BN$1431:BN$1631,
            Sheet1!AR$1431:AR$1631,
            Sheet1!AS$1431:AS$1631
        ),
        MATCH($A73, Sheet1!N$1431:N$1631, 0)
    ),
"")</f>
        <v/>
      </c>
      <c r="J73" s="73" t="str">
        <f t="shared" si="5"/>
        <v/>
      </c>
      <c r="K73" s="97" t="str">
        <f t="shared" si="6"/>
        <v/>
      </c>
      <c r="L73" s="131">
        <f>IFERROR(MIN(0,INDEX(Sheet1!$AD$10:$AD$999,MATCH(A73,Sheet1!$N$10:$N$999,0))),0)</f>
        <v>0</v>
      </c>
      <c r="M73" s="136">
        <f>IFERROR(MAX(0,INDEX(Sheet1!$AE$10:$AE$999,MATCH(A73,Sheet1!$N$10:$N$999,0))),0)</f>
        <v>0</v>
      </c>
      <c r="N73" s="111" t="str">
        <f t="shared" si="7"/>
        <v/>
      </c>
      <c r="O73" s="138">
        <f>IFERROR(MIN(0,INDEX(Sheet1!$AP$10:$AP$999,MATCH(A73,Sheet1!$N$10:$N$999,0))),0)</f>
        <v>0</v>
      </c>
      <c r="P73" s="143">
        <f>IFERROR(MAX(0,INDEX(Sheet1!$AO$10:$AO$999,MATCH(A73,Sheet1!$N$10:$N$999,0))),0)</f>
        <v>0</v>
      </c>
      <c r="Q73" s="111" t="str">
        <f t="shared" si="8"/>
        <v/>
      </c>
      <c r="R73" s="140">
        <f>IFERROR(MIN(0,INDEX(Sheet1!$BK$10:$BK$999,MATCH(A73,Sheet1!$N$10:$N$999,0))),0)</f>
        <v>0</v>
      </c>
      <c r="S73" s="141">
        <f>IFERROR(MAX(0,INDEX(Sheet1!$BK$10:$BK$999,MATCH(A73,Sheet1!$N$10:$N$999,0))),0)</f>
        <v>0</v>
      </c>
      <c r="T73" s="111" t="str">
        <f t="shared" si="9"/>
        <v/>
      </c>
      <c r="AA73" s="96"/>
    </row>
    <row r="74" spans="1:27" x14ac:dyDescent="0.3">
      <c r="A74" s="44"/>
      <c r="B74" s="152" t="str">
        <f>IFERROR(
    INDEX(
        CHOOSE(
            MATCH($C$1, {"All","Calls","Puts"}, 0),
            Sheet1!BN$10:BN$210,
            Sheet1!AR$10:AR$210,
            Sheet1!AS$10:AS$210
        ),
        MATCH($A74, Sheet1!N$10:N$210, 0)
    ),
"")</f>
        <v/>
      </c>
      <c r="C74" s="152" t="str">
        <f>IFERROR(
    INDEX(
        CHOOSE(
            MATCH($C$1, {"All","Calls","Puts"}, 0),
            Sheet1!BN$213:BN$413,
            Sheet1!AR$213:AR$413,
            Sheet1!AS$213:AS$413
        ),
        MATCH($A74, Sheet1!N$213:N$413, 0)
    ),
"")</f>
        <v/>
      </c>
      <c r="D74" s="152" t="str">
        <f>IFERROR(
    INDEX(
        CHOOSE(
            MATCH($C$1, {"All","Calls","Puts"}, 0),
            Sheet1!BN$416:BN$616,
            Sheet1!AR$416:AR$616,
            Sheet1!AS$416:AS$616
        ),
        MATCH($A74, Sheet1!N$416:N$616, 0)
    ),
"")</f>
        <v/>
      </c>
      <c r="E74" s="152" t="str">
        <f>IFERROR(
    INDEX(
        CHOOSE(
            MATCH($C$1, {"All","Calls","Puts"}, 0),
            Sheet1!BN$619:BN$819,
            Sheet1!AR$619:AR$819,
            Sheet1!AS$619:AS$819
        ),
        MATCH($A74, Sheet1!N$619:N$819, 0)
    ),
"")</f>
        <v/>
      </c>
      <c r="F74" s="152" t="str">
        <f>IFERROR(
    INDEX(
        CHOOSE(
            MATCH($C$1, {"All","Calls","Puts"}, 0),
            Sheet1!BN$822:BN$1022,
            Sheet1!AR$822:AR$1022,
            Sheet1!AS$822:AS$1022
        ),
        MATCH($A74, Sheet1!N$822:N$1022, 0)
    ),
"")</f>
        <v/>
      </c>
      <c r="G74" s="152" t="str">
        <f>IFERROR(
    INDEX(
        CHOOSE(
            MATCH($C$1, {"All","Calls","Puts"}, 0),
            Sheet1!BN$1025:BN$1225,
            Sheet1!AR$1025:AR$1225,
            Sheet1!AS$1025:AS$1225
        ),
        MATCH($A74, Sheet1!N$1025:N$1225, 0)
    ),
"")</f>
        <v/>
      </c>
      <c r="H74" s="152" t="str">
        <f>IFERROR(
    INDEX(
        CHOOSE(
            MATCH($C$1, {"All","Calls","Puts"}, 0),
            Sheet1!BN$1228:BN$1428,
            Sheet1!AR$1228:AR$1428,
            Sheet1!AS$1228:AS$1428
        ),
        MATCH($A74, Sheet1!N$1228:N$1428, 0)
    ),
"")</f>
        <v/>
      </c>
      <c r="I74" s="152" t="str">
        <f>IFERROR(
    INDEX(
        CHOOSE(
            MATCH($C$1, {"All","Calls","Puts"}, 0),
            Sheet1!BN$1431:BN$1631,
            Sheet1!AR$1431:AR$1631,
            Sheet1!AS$1431:AS$1631
        ),
        MATCH($A74, Sheet1!N$1431:N$1631, 0)
    ),
"")</f>
        <v/>
      </c>
      <c r="J74" s="73" t="str">
        <f t="shared" si="5"/>
        <v/>
      </c>
      <c r="K74" s="97" t="str">
        <f t="shared" si="6"/>
        <v/>
      </c>
      <c r="L74" s="131">
        <f>IFERROR(MIN(0,INDEX(Sheet1!$AD$10:$AD$999,MATCH(A74,Sheet1!$N$10:$N$999,0))),0)</f>
        <v>0</v>
      </c>
      <c r="M74" s="136">
        <f>IFERROR(MAX(0,INDEX(Sheet1!$AE$10:$AE$999,MATCH(A74,Sheet1!$N$10:$N$999,0))),0)</f>
        <v>0</v>
      </c>
      <c r="N74" s="111" t="str">
        <f t="shared" si="7"/>
        <v/>
      </c>
      <c r="O74" s="138">
        <f>IFERROR(MIN(0,INDEX(Sheet1!$AP$10:$AP$999,MATCH(A74,Sheet1!$N$10:$N$999,0))),0)</f>
        <v>0</v>
      </c>
      <c r="P74" s="143">
        <f>IFERROR(MAX(0,INDEX(Sheet1!$AO$10:$AO$999,MATCH(A74,Sheet1!$N$10:$N$999,0))),0)</f>
        <v>0</v>
      </c>
      <c r="Q74" s="111" t="str">
        <f t="shared" si="8"/>
        <v/>
      </c>
      <c r="R74" s="140">
        <f>IFERROR(MIN(0,INDEX(Sheet1!$BK$10:$BK$999,MATCH(A74,Sheet1!$N$10:$N$999,0))),0)</f>
        <v>0</v>
      </c>
      <c r="S74" s="141">
        <f>IFERROR(MAX(0,INDEX(Sheet1!$BK$10:$BK$999,MATCH(A74,Sheet1!$N$10:$N$999,0))),0)</f>
        <v>0</v>
      </c>
      <c r="T74" s="111" t="str">
        <f t="shared" si="9"/>
        <v/>
      </c>
      <c r="AA74" s="96"/>
    </row>
    <row r="75" spans="1:27" x14ac:dyDescent="0.3">
      <c r="A75" s="44"/>
      <c r="B75" s="152" t="str">
        <f>IFERROR(
    INDEX(
        CHOOSE(
            MATCH($C$1, {"All","Calls","Puts"}, 0),
            Sheet1!BN$10:BN$210,
            Sheet1!AR$10:AR$210,
            Sheet1!AS$10:AS$210
        ),
        MATCH($A75, Sheet1!N$10:N$210, 0)
    ),
"")</f>
        <v/>
      </c>
      <c r="C75" s="152" t="str">
        <f>IFERROR(
    INDEX(
        CHOOSE(
            MATCH($C$1, {"All","Calls","Puts"}, 0),
            Sheet1!BN$213:BN$413,
            Sheet1!AR$213:AR$413,
            Sheet1!AS$213:AS$413
        ),
        MATCH($A75, Sheet1!N$213:N$413, 0)
    ),
"")</f>
        <v/>
      </c>
      <c r="D75" s="152" t="str">
        <f>IFERROR(
    INDEX(
        CHOOSE(
            MATCH($C$1, {"All","Calls","Puts"}, 0),
            Sheet1!BN$416:BN$616,
            Sheet1!AR$416:AR$616,
            Sheet1!AS$416:AS$616
        ),
        MATCH($A75, Sheet1!N$416:N$616, 0)
    ),
"")</f>
        <v/>
      </c>
      <c r="E75" s="152" t="str">
        <f>IFERROR(
    INDEX(
        CHOOSE(
            MATCH($C$1, {"All","Calls","Puts"}, 0),
            Sheet1!BN$619:BN$819,
            Sheet1!AR$619:AR$819,
            Sheet1!AS$619:AS$819
        ),
        MATCH($A75, Sheet1!N$619:N$819, 0)
    ),
"")</f>
        <v/>
      </c>
      <c r="F75" s="152" t="str">
        <f>IFERROR(
    INDEX(
        CHOOSE(
            MATCH($C$1, {"All","Calls","Puts"}, 0),
            Sheet1!BN$822:BN$1022,
            Sheet1!AR$822:AR$1022,
            Sheet1!AS$822:AS$1022
        ),
        MATCH($A75, Sheet1!N$822:N$1022, 0)
    ),
"")</f>
        <v/>
      </c>
      <c r="G75" s="152" t="str">
        <f>IFERROR(
    INDEX(
        CHOOSE(
            MATCH($C$1, {"All","Calls","Puts"}, 0),
            Sheet1!BN$1025:BN$1225,
            Sheet1!AR$1025:AR$1225,
            Sheet1!AS$1025:AS$1225
        ),
        MATCH($A75, Sheet1!N$1025:N$1225, 0)
    ),
"")</f>
        <v/>
      </c>
      <c r="H75" s="152" t="str">
        <f>IFERROR(
    INDEX(
        CHOOSE(
            MATCH($C$1, {"All","Calls","Puts"}, 0),
            Sheet1!BN$1228:BN$1428,
            Sheet1!AR$1228:AR$1428,
            Sheet1!AS$1228:AS$1428
        ),
        MATCH($A75, Sheet1!N$1228:N$1428, 0)
    ),
"")</f>
        <v/>
      </c>
      <c r="I75" s="152" t="str">
        <f>IFERROR(
    INDEX(
        CHOOSE(
            MATCH($C$1, {"All","Calls","Puts"}, 0),
            Sheet1!BN$1431:BN$1631,
            Sheet1!AR$1431:AR$1631,
            Sheet1!AS$1431:AS$1631
        ),
        MATCH($A75, Sheet1!N$1431:N$1631, 0)
    ),
"")</f>
        <v/>
      </c>
      <c r="J75" s="73" t="str">
        <f t="shared" si="5"/>
        <v/>
      </c>
      <c r="K75" s="97" t="str">
        <f t="shared" si="6"/>
        <v/>
      </c>
      <c r="L75" s="131">
        <f>IFERROR(MIN(0,INDEX(Sheet1!$AD$10:$AD$999,MATCH(A75,Sheet1!$N$10:$N$999,0))),0)</f>
        <v>0</v>
      </c>
      <c r="M75" s="136">
        <f>IFERROR(MAX(0,INDEX(Sheet1!$AE$10:$AE$999,MATCH(A75,Sheet1!$N$10:$N$999,0))),0)</f>
        <v>0</v>
      </c>
      <c r="N75" s="111" t="str">
        <f t="shared" si="7"/>
        <v/>
      </c>
      <c r="O75" s="138">
        <f>IFERROR(MIN(0,INDEX(Sheet1!$AP$10:$AP$999,MATCH(A75,Sheet1!$N$10:$N$999,0))),0)</f>
        <v>0</v>
      </c>
      <c r="P75" s="143">
        <f>IFERROR(MAX(0,INDEX(Sheet1!$AO$10:$AO$999,MATCH(A75,Sheet1!$N$10:$N$999,0))),0)</f>
        <v>0</v>
      </c>
      <c r="Q75" s="111" t="str">
        <f t="shared" si="8"/>
        <v/>
      </c>
      <c r="R75" s="140">
        <f>IFERROR(MIN(0,INDEX(Sheet1!$BK$10:$BK$999,MATCH(A75,Sheet1!$N$10:$N$999,0))),0)</f>
        <v>0</v>
      </c>
      <c r="S75" s="141">
        <f>IFERROR(MAX(0,INDEX(Sheet1!$BK$10:$BK$999,MATCH(A75,Sheet1!$N$10:$N$999,0))),0)</f>
        <v>0</v>
      </c>
      <c r="T75" s="111" t="str">
        <f t="shared" si="9"/>
        <v/>
      </c>
      <c r="AA75" s="96"/>
    </row>
    <row r="76" spans="1:27" x14ac:dyDescent="0.3">
      <c r="A76" s="44"/>
      <c r="B76" s="152" t="str">
        <f>IFERROR(
    INDEX(
        CHOOSE(
            MATCH($C$1, {"All","Calls","Puts"}, 0),
            Sheet1!BN$10:BN$210,
            Sheet1!AR$10:AR$210,
            Sheet1!AS$10:AS$210
        ),
        MATCH($A76, Sheet1!N$10:N$210, 0)
    ),
"")</f>
        <v/>
      </c>
      <c r="C76" s="152" t="str">
        <f>IFERROR(
    INDEX(
        CHOOSE(
            MATCH($C$1, {"All","Calls","Puts"}, 0),
            Sheet1!BN$213:BN$413,
            Sheet1!AR$213:AR$413,
            Sheet1!AS$213:AS$413
        ),
        MATCH($A76, Sheet1!N$213:N$413, 0)
    ),
"")</f>
        <v/>
      </c>
      <c r="D76" s="152" t="str">
        <f>IFERROR(
    INDEX(
        CHOOSE(
            MATCH($C$1, {"All","Calls","Puts"}, 0),
            Sheet1!BN$416:BN$616,
            Sheet1!AR$416:AR$616,
            Sheet1!AS$416:AS$616
        ),
        MATCH($A76, Sheet1!N$416:N$616, 0)
    ),
"")</f>
        <v/>
      </c>
      <c r="E76" s="152" t="str">
        <f>IFERROR(
    INDEX(
        CHOOSE(
            MATCH($C$1, {"All","Calls","Puts"}, 0),
            Sheet1!BN$619:BN$819,
            Sheet1!AR$619:AR$819,
            Sheet1!AS$619:AS$819
        ),
        MATCH($A76, Sheet1!N$619:N$819, 0)
    ),
"")</f>
        <v/>
      </c>
      <c r="F76" s="152" t="str">
        <f>IFERROR(
    INDEX(
        CHOOSE(
            MATCH($C$1, {"All","Calls","Puts"}, 0),
            Sheet1!BN$822:BN$1022,
            Sheet1!AR$822:AR$1022,
            Sheet1!AS$822:AS$1022
        ),
        MATCH($A76, Sheet1!N$822:N$1022, 0)
    ),
"")</f>
        <v/>
      </c>
      <c r="G76" s="152" t="str">
        <f>IFERROR(
    INDEX(
        CHOOSE(
            MATCH($C$1, {"All","Calls","Puts"}, 0),
            Sheet1!BN$1025:BN$1225,
            Sheet1!AR$1025:AR$1225,
            Sheet1!AS$1025:AS$1225
        ),
        MATCH($A76, Sheet1!N$1025:N$1225, 0)
    ),
"")</f>
        <v/>
      </c>
      <c r="H76" s="152" t="str">
        <f>IFERROR(
    INDEX(
        CHOOSE(
            MATCH($C$1, {"All","Calls","Puts"}, 0),
            Sheet1!BN$1228:BN$1428,
            Sheet1!AR$1228:AR$1428,
            Sheet1!AS$1228:AS$1428
        ),
        MATCH($A76, Sheet1!N$1228:N$1428, 0)
    ),
"")</f>
        <v/>
      </c>
      <c r="I76" s="152" t="str">
        <f>IFERROR(
    INDEX(
        CHOOSE(
            MATCH($C$1, {"All","Calls","Puts"}, 0),
            Sheet1!BN$1431:BN$1631,
            Sheet1!AR$1431:AR$1631,
            Sheet1!AS$1431:AS$1631
        ),
        MATCH($A76, Sheet1!N$1431:N$1631, 0)
    ),
"")</f>
        <v/>
      </c>
      <c r="J76" s="73" t="str">
        <f t="shared" si="5"/>
        <v/>
      </c>
      <c r="K76" s="97" t="str">
        <f t="shared" si="6"/>
        <v/>
      </c>
      <c r="L76" s="131">
        <f>IFERROR(MIN(0,INDEX(Sheet1!$AD$10:$AD$999,MATCH(A76,Sheet1!$N$10:$N$999,0))),0)</f>
        <v>0</v>
      </c>
      <c r="M76" s="136">
        <f>IFERROR(MAX(0,INDEX(Sheet1!$AE$10:$AE$999,MATCH(A76,Sheet1!$N$10:$N$999,0))),0)</f>
        <v>0</v>
      </c>
      <c r="N76" s="111" t="str">
        <f t="shared" si="7"/>
        <v/>
      </c>
      <c r="O76" s="138">
        <f>IFERROR(MIN(0,INDEX(Sheet1!$AP$10:$AP$999,MATCH(A76,Sheet1!$N$10:$N$999,0))),0)</f>
        <v>0</v>
      </c>
      <c r="P76" s="143">
        <f>IFERROR(MAX(0,INDEX(Sheet1!$AO$10:$AO$999,MATCH(A76,Sheet1!$N$10:$N$999,0))),0)</f>
        <v>0</v>
      </c>
      <c r="Q76" s="111" t="str">
        <f t="shared" si="8"/>
        <v/>
      </c>
      <c r="R76" s="140">
        <f>IFERROR(MIN(0,INDEX(Sheet1!$BK$10:$BK$999,MATCH(A76,Sheet1!$N$10:$N$999,0))),0)</f>
        <v>0</v>
      </c>
      <c r="S76" s="141">
        <f>IFERROR(MAX(0,INDEX(Sheet1!$BK$10:$BK$999,MATCH(A76,Sheet1!$N$10:$N$999,0))),0)</f>
        <v>0</v>
      </c>
      <c r="T76" s="111" t="str">
        <f t="shared" si="9"/>
        <v/>
      </c>
      <c r="AA76" s="96"/>
    </row>
    <row r="77" spans="1:27" x14ac:dyDescent="0.3">
      <c r="A77" s="44"/>
      <c r="B77" s="152" t="str">
        <f>IFERROR(
    INDEX(
        CHOOSE(
            MATCH($C$1, {"All","Calls","Puts"}, 0),
            Sheet1!BN$10:BN$210,
            Sheet1!AR$10:AR$210,
            Sheet1!AS$10:AS$210
        ),
        MATCH($A77, Sheet1!N$10:N$210, 0)
    ),
"")</f>
        <v/>
      </c>
      <c r="C77" s="152" t="str">
        <f>IFERROR(
    INDEX(
        CHOOSE(
            MATCH($C$1, {"All","Calls","Puts"}, 0),
            Sheet1!BN$213:BN$413,
            Sheet1!AR$213:AR$413,
            Sheet1!AS$213:AS$413
        ),
        MATCH($A77, Sheet1!N$213:N$413, 0)
    ),
"")</f>
        <v/>
      </c>
      <c r="D77" s="152" t="str">
        <f>IFERROR(
    INDEX(
        CHOOSE(
            MATCH($C$1, {"All","Calls","Puts"}, 0),
            Sheet1!BN$416:BN$616,
            Sheet1!AR$416:AR$616,
            Sheet1!AS$416:AS$616
        ),
        MATCH($A77, Sheet1!N$416:N$616, 0)
    ),
"")</f>
        <v/>
      </c>
      <c r="E77" s="152" t="str">
        <f>IFERROR(
    INDEX(
        CHOOSE(
            MATCH($C$1, {"All","Calls","Puts"}, 0),
            Sheet1!BN$619:BN$819,
            Sheet1!AR$619:AR$819,
            Sheet1!AS$619:AS$819
        ),
        MATCH($A77, Sheet1!N$619:N$819, 0)
    ),
"")</f>
        <v/>
      </c>
      <c r="F77" s="152" t="str">
        <f>IFERROR(
    INDEX(
        CHOOSE(
            MATCH($C$1, {"All","Calls","Puts"}, 0),
            Sheet1!BN$822:BN$1022,
            Sheet1!AR$822:AR$1022,
            Sheet1!AS$822:AS$1022
        ),
        MATCH($A77, Sheet1!N$822:N$1022, 0)
    ),
"")</f>
        <v/>
      </c>
      <c r="G77" s="152" t="str">
        <f>IFERROR(
    INDEX(
        CHOOSE(
            MATCH($C$1, {"All","Calls","Puts"}, 0),
            Sheet1!BN$1025:BN$1225,
            Sheet1!AR$1025:AR$1225,
            Sheet1!AS$1025:AS$1225
        ),
        MATCH($A77, Sheet1!N$1025:N$1225, 0)
    ),
"")</f>
        <v/>
      </c>
      <c r="H77" s="152" t="str">
        <f>IFERROR(
    INDEX(
        CHOOSE(
            MATCH($C$1, {"All","Calls","Puts"}, 0),
            Sheet1!BN$1228:BN$1428,
            Sheet1!AR$1228:AR$1428,
            Sheet1!AS$1228:AS$1428
        ),
        MATCH($A77, Sheet1!N$1228:N$1428, 0)
    ),
"")</f>
        <v/>
      </c>
      <c r="I77" s="152" t="str">
        <f>IFERROR(
    INDEX(
        CHOOSE(
            MATCH($C$1, {"All","Calls","Puts"}, 0),
            Sheet1!BN$1431:BN$1631,
            Sheet1!AR$1431:AR$1631,
            Sheet1!AS$1431:AS$1631
        ),
        MATCH($A77, Sheet1!N$1431:N$1631, 0)
    ),
"")</f>
        <v/>
      </c>
      <c r="J77" s="73" t="str">
        <f t="shared" si="5"/>
        <v/>
      </c>
      <c r="K77" s="97" t="str">
        <f t="shared" si="6"/>
        <v/>
      </c>
      <c r="L77" s="131">
        <f>IFERROR(MIN(0,INDEX(Sheet1!$AD$10:$AD$999,MATCH(A77,Sheet1!$N$10:$N$999,0))),0)</f>
        <v>0</v>
      </c>
      <c r="M77" s="136">
        <f>IFERROR(MAX(0,INDEX(Sheet1!$AE$10:$AE$999,MATCH(A77,Sheet1!$N$10:$N$999,0))),0)</f>
        <v>0</v>
      </c>
      <c r="N77" s="111" t="str">
        <f t="shared" si="7"/>
        <v/>
      </c>
      <c r="O77" s="138">
        <f>IFERROR(MIN(0,INDEX(Sheet1!$AP$10:$AP$999,MATCH(A77,Sheet1!$N$10:$N$999,0))),0)</f>
        <v>0</v>
      </c>
      <c r="P77" s="143">
        <f>IFERROR(MAX(0,INDEX(Sheet1!$AO$10:$AO$999,MATCH(A77,Sheet1!$N$10:$N$999,0))),0)</f>
        <v>0</v>
      </c>
      <c r="Q77" s="111" t="str">
        <f t="shared" si="8"/>
        <v/>
      </c>
      <c r="R77" s="140">
        <f>IFERROR(MIN(0,INDEX(Sheet1!$BK$10:$BK$999,MATCH(A77,Sheet1!$N$10:$N$999,0))),0)</f>
        <v>0</v>
      </c>
      <c r="S77" s="141">
        <f>IFERROR(MAX(0,INDEX(Sheet1!$BK$10:$BK$999,MATCH(A77,Sheet1!$N$10:$N$999,0))),0)</f>
        <v>0</v>
      </c>
      <c r="T77" s="111" t="str">
        <f t="shared" si="9"/>
        <v/>
      </c>
      <c r="AA77" s="96"/>
    </row>
    <row r="78" spans="1:27" x14ac:dyDescent="0.3">
      <c r="A78" s="44"/>
      <c r="B78" s="152" t="str">
        <f>IFERROR(
    INDEX(
        CHOOSE(
            MATCH($C$1, {"All","Calls","Puts"}, 0),
            Sheet1!BN$10:BN$210,
            Sheet1!AR$10:AR$210,
            Sheet1!AS$10:AS$210
        ),
        MATCH($A78, Sheet1!N$10:N$210, 0)
    ),
"")</f>
        <v/>
      </c>
      <c r="C78" s="152" t="str">
        <f>IFERROR(
    INDEX(
        CHOOSE(
            MATCH($C$1, {"All","Calls","Puts"}, 0),
            Sheet1!BN$213:BN$413,
            Sheet1!AR$213:AR$413,
            Sheet1!AS$213:AS$413
        ),
        MATCH($A78, Sheet1!N$213:N$413, 0)
    ),
"")</f>
        <v/>
      </c>
      <c r="D78" s="152" t="str">
        <f>IFERROR(
    INDEX(
        CHOOSE(
            MATCH($C$1, {"All","Calls","Puts"}, 0),
            Sheet1!BN$416:BN$616,
            Sheet1!AR$416:AR$616,
            Sheet1!AS$416:AS$616
        ),
        MATCH($A78, Sheet1!N$416:N$616, 0)
    ),
"")</f>
        <v/>
      </c>
      <c r="E78" s="152" t="str">
        <f>IFERROR(
    INDEX(
        CHOOSE(
            MATCH($C$1, {"All","Calls","Puts"}, 0),
            Sheet1!BN$619:BN$819,
            Sheet1!AR$619:AR$819,
            Sheet1!AS$619:AS$819
        ),
        MATCH($A78, Sheet1!N$619:N$819, 0)
    ),
"")</f>
        <v/>
      </c>
      <c r="F78" s="152" t="str">
        <f>IFERROR(
    INDEX(
        CHOOSE(
            MATCH($C$1, {"All","Calls","Puts"}, 0),
            Sheet1!BN$822:BN$1022,
            Sheet1!AR$822:AR$1022,
            Sheet1!AS$822:AS$1022
        ),
        MATCH($A78, Sheet1!N$822:N$1022, 0)
    ),
"")</f>
        <v/>
      </c>
      <c r="G78" s="152" t="str">
        <f>IFERROR(
    INDEX(
        CHOOSE(
            MATCH($C$1, {"All","Calls","Puts"}, 0),
            Sheet1!BN$1025:BN$1225,
            Sheet1!AR$1025:AR$1225,
            Sheet1!AS$1025:AS$1225
        ),
        MATCH($A78, Sheet1!N$1025:N$1225, 0)
    ),
"")</f>
        <v/>
      </c>
      <c r="H78" s="152" t="str">
        <f>IFERROR(
    INDEX(
        CHOOSE(
            MATCH($C$1, {"All","Calls","Puts"}, 0),
            Sheet1!BN$1228:BN$1428,
            Sheet1!AR$1228:AR$1428,
            Sheet1!AS$1228:AS$1428
        ),
        MATCH($A78, Sheet1!N$1228:N$1428, 0)
    ),
"")</f>
        <v/>
      </c>
      <c r="I78" s="152" t="str">
        <f>IFERROR(
    INDEX(
        CHOOSE(
            MATCH($C$1, {"All","Calls","Puts"}, 0),
            Sheet1!BN$1431:BN$1631,
            Sheet1!AR$1431:AR$1631,
            Sheet1!AS$1431:AS$1631
        ),
        MATCH($A78, Sheet1!N$1431:N$1631, 0)
    ),
"")</f>
        <v/>
      </c>
      <c r="J78" s="73" t="str">
        <f t="shared" si="5"/>
        <v/>
      </c>
      <c r="K78" s="97" t="str">
        <f t="shared" si="6"/>
        <v/>
      </c>
      <c r="L78" s="131">
        <f>IFERROR(MIN(0,INDEX(Sheet1!$AD$10:$AD$999,MATCH(A78,Sheet1!$N$10:$N$999,0))),0)</f>
        <v>0</v>
      </c>
      <c r="M78" s="136">
        <f>IFERROR(MAX(0,INDEX(Sheet1!$AE$10:$AE$999,MATCH(A78,Sheet1!$N$10:$N$999,0))),0)</f>
        <v>0</v>
      </c>
      <c r="N78" s="111" t="str">
        <f t="shared" si="7"/>
        <v/>
      </c>
      <c r="O78" s="138">
        <f>IFERROR(MIN(0,INDEX(Sheet1!$AP$10:$AP$999,MATCH(A78,Sheet1!$N$10:$N$999,0))),0)</f>
        <v>0</v>
      </c>
      <c r="P78" s="143">
        <f>IFERROR(MAX(0,INDEX(Sheet1!$AO$10:$AO$999,MATCH(A78,Sheet1!$N$10:$N$999,0))),0)</f>
        <v>0</v>
      </c>
      <c r="Q78" s="111" t="str">
        <f t="shared" si="8"/>
        <v/>
      </c>
      <c r="R78" s="140">
        <f>IFERROR(MIN(0,INDEX(Sheet1!$BK$10:$BK$999,MATCH(A78,Sheet1!$N$10:$N$999,0))),0)</f>
        <v>0</v>
      </c>
      <c r="S78" s="141">
        <f>IFERROR(MAX(0,INDEX(Sheet1!$BK$10:$BK$999,MATCH(A78,Sheet1!$N$10:$N$999,0))),0)</f>
        <v>0</v>
      </c>
      <c r="T78" s="111" t="str">
        <f t="shared" si="9"/>
        <v/>
      </c>
      <c r="AA78" s="96"/>
    </row>
    <row r="79" spans="1:27" x14ac:dyDescent="0.3">
      <c r="A79" s="44"/>
      <c r="B79" s="152" t="str">
        <f>IFERROR(
    INDEX(
        CHOOSE(
            MATCH($C$1, {"All","Calls","Puts"}, 0),
            Sheet1!BN$10:BN$210,
            Sheet1!AR$10:AR$210,
            Sheet1!AS$10:AS$210
        ),
        MATCH($A79, Sheet1!N$10:N$210, 0)
    ),
"")</f>
        <v/>
      </c>
      <c r="C79" s="152" t="str">
        <f>IFERROR(
    INDEX(
        CHOOSE(
            MATCH($C$1, {"All","Calls","Puts"}, 0),
            Sheet1!BN$213:BN$413,
            Sheet1!AR$213:AR$413,
            Sheet1!AS$213:AS$413
        ),
        MATCH($A79, Sheet1!N$213:N$413, 0)
    ),
"")</f>
        <v/>
      </c>
      <c r="D79" s="152" t="str">
        <f>IFERROR(
    INDEX(
        CHOOSE(
            MATCH($C$1, {"All","Calls","Puts"}, 0),
            Sheet1!BN$416:BN$616,
            Sheet1!AR$416:AR$616,
            Sheet1!AS$416:AS$616
        ),
        MATCH($A79, Sheet1!N$416:N$616, 0)
    ),
"")</f>
        <v/>
      </c>
      <c r="E79" s="152" t="str">
        <f>IFERROR(
    INDEX(
        CHOOSE(
            MATCH($C$1, {"All","Calls","Puts"}, 0),
            Sheet1!BN$619:BN$819,
            Sheet1!AR$619:AR$819,
            Sheet1!AS$619:AS$819
        ),
        MATCH($A79, Sheet1!N$619:N$819, 0)
    ),
"")</f>
        <v/>
      </c>
      <c r="F79" s="152" t="str">
        <f>IFERROR(
    INDEX(
        CHOOSE(
            MATCH($C$1, {"All","Calls","Puts"}, 0),
            Sheet1!BN$822:BN$1022,
            Sheet1!AR$822:AR$1022,
            Sheet1!AS$822:AS$1022
        ),
        MATCH($A79, Sheet1!N$822:N$1022, 0)
    ),
"")</f>
        <v/>
      </c>
      <c r="G79" s="152" t="str">
        <f>IFERROR(
    INDEX(
        CHOOSE(
            MATCH($C$1, {"All","Calls","Puts"}, 0),
            Sheet1!BN$1025:BN$1225,
            Sheet1!AR$1025:AR$1225,
            Sheet1!AS$1025:AS$1225
        ),
        MATCH($A79, Sheet1!N$1025:N$1225, 0)
    ),
"")</f>
        <v/>
      </c>
      <c r="H79" s="152" t="str">
        <f>IFERROR(
    INDEX(
        CHOOSE(
            MATCH($C$1, {"All","Calls","Puts"}, 0),
            Sheet1!BN$1228:BN$1428,
            Sheet1!AR$1228:AR$1428,
            Sheet1!AS$1228:AS$1428
        ),
        MATCH($A79, Sheet1!N$1228:N$1428, 0)
    ),
"")</f>
        <v/>
      </c>
      <c r="I79" s="152" t="str">
        <f>IFERROR(
    INDEX(
        CHOOSE(
            MATCH($C$1, {"All","Calls","Puts"}, 0),
            Sheet1!BN$1431:BN$1631,
            Sheet1!AR$1431:AR$1631,
            Sheet1!AS$1431:AS$1631
        ),
        MATCH($A79, Sheet1!N$1431:N$1631, 0)
    ),
"")</f>
        <v/>
      </c>
      <c r="J79" s="73" t="str">
        <f t="shared" si="5"/>
        <v/>
      </c>
      <c r="K79" s="97" t="str">
        <f t="shared" si="6"/>
        <v/>
      </c>
      <c r="L79" s="131">
        <f>IFERROR(MIN(0,INDEX(Sheet1!$AD$10:$AD$999,MATCH(A79,Sheet1!$N$10:$N$999,0))),0)</f>
        <v>0</v>
      </c>
      <c r="M79" s="136">
        <f>IFERROR(MAX(0,INDEX(Sheet1!$AE$10:$AE$999,MATCH(A79,Sheet1!$N$10:$N$999,0))),0)</f>
        <v>0</v>
      </c>
      <c r="N79" s="111" t="str">
        <f t="shared" si="7"/>
        <v/>
      </c>
      <c r="O79" s="138">
        <f>IFERROR(MIN(0,INDEX(Sheet1!$AP$10:$AP$999,MATCH(A79,Sheet1!$N$10:$N$999,0))),0)</f>
        <v>0</v>
      </c>
      <c r="P79" s="143">
        <f>IFERROR(MAX(0,INDEX(Sheet1!$AO$10:$AO$999,MATCH(A79,Sheet1!$N$10:$N$999,0))),0)</f>
        <v>0</v>
      </c>
      <c r="Q79" s="111" t="str">
        <f t="shared" si="8"/>
        <v/>
      </c>
      <c r="R79" s="140">
        <f>IFERROR(MIN(0,INDEX(Sheet1!$BK$10:$BK$999,MATCH(A79,Sheet1!$N$10:$N$999,0))),0)</f>
        <v>0</v>
      </c>
      <c r="S79" s="141">
        <f>IFERROR(MAX(0,INDEX(Sheet1!$BK$10:$BK$999,MATCH(A79,Sheet1!$N$10:$N$999,0))),0)</f>
        <v>0</v>
      </c>
      <c r="T79" s="111" t="str">
        <f t="shared" si="9"/>
        <v/>
      </c>
      <c r="AA79" s="96"/>
    </row>
    <row r="80" spans="1:27" x14ac:dyDescent="0.3">
      <c r="A80" s="44"/>
      <c r="B80" s="152" t="str">
        <f>IFERROR(
    INDEX(
        CHOOSE(
            MATCH($C$1, {"All","Calls","Puts"}, 0),
            Sheet1!BN$10:BN$210,
            Sheet1!AR$10:AR$210,
            Sheet1!AS$10:AS$210
        ),
        MATCH($A80, Sheet1!N$10:N$210, 0)
    ),
"")</f>
        <v/>
      </c>
      <c r="C80" s="152" t="str">
        <f>IFERROR(
    INDEX(
        CHOOSE(
            MATCH($C$1, {"All","Calls","Puts"}, 0),
            Sheet1!BN$213:BN$413,
            Sheet1!AR$213:AR$413,
            Sheet1!AS$213:AS$413
        ),
        MATCH($A80, Sheet1!N$213:N$413, 0)
    ),
"")</f>
        <v/>
      </c>
      <c r="D80" s="152" t="str">
        <f>IFERROR(
    INDEX(
        CHOOSE(
            MATCH($C$1, {"All","Calls","Puts"}, 0),
            Sheet1!BN$416:BN$616,
            Sheet1!AR$416:AR$616,
            Sheet1!AS$416:AS$616
        ),
        MATCH($A80, Sheet1!N$416:N$616, 0)
    ),
"")</f>
        <v/>
      </c>
      <c r="E80" s="152" t="str">
        <f>IFERROR(
    INDEX(
        CHOOSE(
            MATCH($C$1, {"All","Calls","Puts"}, 0),
            Sheet1!BN$619:BN$819,
            Sheet1!AR$619:AR$819,
            Sheet1!AS$619:AS$819
        ),
        MATCH($A80, Sheet1!N$619:N$819, 0)
    ),
"")</f>
        <v/>
      </c>
      <c r="F80" s="152" t="str">
        <f>IFERROR(
    INDEX(
        CHOOSE(
            MATCH($C$1, {"All","Calls","Puts"}, 0),
            Sheet1!BN$822:BN$1022,
            Sheet1!AR$822:AR$1022,
            Sheet1!AS$822:AS$1022
        ),
        MATCH($A80, Sheet1!N$822:N$1022, 0)
    ),
"")</f>
        <v/>
      </c>
      <c r="G80" s="152" t="str">
        <f>IFERROR(
    INDEX(
        CHOOSE(
            MATCH($C$1, {"All","Calls","Puts"}, 0),
            Sheet1!BN$1025:BN$1225,
            Sheet1!AR$1025:AR$1225,
            Sheet1!AS$1025:AS$1225
        ),
        MATCH($A80, Sheet1!N$1025:N$1225, 0)
    ),
"")</f>
        <v/>
      </c>
      <c r="H80" s="152" t="str">
        <f>IFERROR(
    INDEX(
        CHOOSE(
            MATCH($C$1, {"All","Calls","Puts"}, 0),
            Sheet1!BN$1228:BN$1428,
            Sheet1!AR$1228:AR$1428,
            Sheet1!AS$1228:AS$1428
        ),
        MATCH($A80, Sheet1!N$1228:N$1428, 0)
    ),
"")</f>
        <v/>
      </c>
      <c r="I80" s="152" t="str">
        <f>IFERROR(
    INDEX(
        CHOOSE(
            MATCH($C$1, {"All","Calls","Puts"}, 0),
            Sheet1!BN$1431:BN$1631,
            Sheet1!AR$1431:AR$1631,
            Sheet1!AS$1431:AS$1631
        ),
        MATCH($A80, Sheet1!N$1431:N$1631, 0)
    ),
"")</f>
        <v/>
      </c>
      <c r="J80" s="73" t="str">
        <f t="shared" si="5"/>
        <v/>
      </c>
      <c r="K80" s="97" t="str">
        <f t="shared" si="6"/>
        <v/>
      </c>
      <c r="L80" s="131">
        <f>IFERROR(MIN(0,INDEX(Sheet1!$AD$10:$AD$999,MATCH(A80,Sheet1!$N$10:$N$999,0))),0)</f>
        <v>0</v>
      </c>
      <c r="M80" s="136">
        <f>IFERROR(MAX(0,INDEX(Sheet1!$AE$10:$AE$999,MATCH(A80,Sheet1!$N$10:$N$999,0))),0)</f>
        <v>0</v>
      </c>
      <c r="N80" s="111" t="str">
        <f t="shared" si="7"/>
        <v/>
      </c>
      <c r="O80" s="138">
        <f>IFERROR(MIN(0,INDEX(Sheet1!$AP$10:$AP$999,MATCH(A80,Sheet1!$N$10:$N$999,0))),0)</f>
        <v>0</v>
      </c>
      <c r="P80" s="143">
        <f>IFERROR(MAX(0,INDEX(Sheet1!$AO$10:$AO$999,MATCH(A80,Sheet1!$N$10:$N$999,0))),0)</f>
        <v>0</v>
      </c>
      <c r="Q80" s="111" t="str">
        <f t="shared" si="8"/>
        <v/>
      </c>
      <c r="R80" s="140">
        <f>IFERROR(MIN(0,INDEX(Sheet1!$BK$10:$BK$999,MATCH(A80,Sheet1!$N$10:$N$999,0))),0)</f>
        <v>0</v>
      </c>
      <c r="S80" s="141">
        <f>IFERROR(MAX(0,INDEX(Sheet1!$BK$10:$BK$999,MATCH(A80,Sheet1!$N$10:$N$999,0))),0)</f>
        <v>0</v>
      </c>
      <c r="T80" s="111" t="str">
        <f t="shared" si="9"/>
        <v/>
      </c>
      <c r="AA80" s="96"/>
    </row>
    <row r="81" spans="1:27" x14ac:dyDescent="0.3">
      <c r="A81" s="44"/>
      <c r="B81" s="152" t="str">
        <f>IFERROR(
    INDEX(
        CHOOSE(
            MATCH($C$1, {"All","Calls","Puts"}, 0),
            Sheet1!BN$10:BN$210,
            Sheet1!AR$10:AR$210,
            Sheet1!AS$10:AS$210
        ),
        MATCH($A81, Sheet1!N$10:N$210, 0)
    ),
"")</f>
        <v/>
      </c>
      <c r="C81" s="152" t="str">
        <f>IFERROR(
    INDEX(
        CHOOSE(
            MATCH($C$1, {"All","Calls","Puts"}, 0),
            Sheet1!BN$213:BN$413,
            Sheet1!AR$213:AR$413,
            Sheet1!AS$213:AS$413
        ),
        MATCH($A81, Sheet1!N$213:N$413, 0)
    ),
"")</f>
        <v/>
      </c>
      <c r="D81" s="152" t="str">
        <f>IFERROR(
    INDEX(
        CHOOSE(
            MATCH($C$1, {"All","Calls","Puts"}, 0),
            Sheet1!BN$416:BN$616,
            Sheet1!AR$416:AR$616,
            Sheet1!AS$416:AS$616
        ),
        MATCH($A81, Sheet1!N$416:N$616, 0)
    ),
"")</f>
        <v/>
      </c>
      <c r="E81" s="152" t="str">
        <f>IFERROR(
    INDEX(
        CHOOSE(
            MATCH($C$1, {"All","Calls","Puts"}, 0),
            Sheet1!BN$619:BN$819,
            Sheet1!AR$619:AR$819,
            Sheet1!AS$619:AS$819
        ),
        MATCH($A81, Sheet1!N$619:N$819, 0)
    ),
"")</f>
        <v/>
      </c>
      <c r="F81" s="152" t="str">
        <f>IFERROR(
    INDEX(
        CHOOSE(
            MATCH($C$1, {"All","Calls","Puts"}, 0),
            Sheet1!BN$822:BN$1022,
            Sheet1!AR$822:AR$1022,
            Sheet1!AS$822:AS$1022
        ),
        MATCH($A81, Sheet1!N$822:N$1022, 0)
    ),
"")</f>
        <v/>
      </c>
      <c r="G81" s="152" t="str">
        <f>IFERROR(
    INDEX(
        CHOOSE(
            MATCH($C$1, {"All","Calls","Puts"}, 0),
            Sheet1!BN$1025:BN$1225,
            Sheet1!AR$1025:AR$1225,
            Sheet1!AS$1025:AS$1225
        ),
        MATCH($A81, Sheet1!N$1025:N$1225, 0)
    ),
"")</f>
        <v/>
      </c>
      <c r="H81" s="152" t="str">
        <f>IFERROR(
    INDEX(
        CHOOSE(
            MATCH($C$1, {"All","Calls","Puts"}, 0),
            Sheet1!BN$1228:BN$1428,
            Sheet1!AR$1228:AR$1428,
            Sheet1!AS$1228:AS$1428
        ),
        MATCH($A81, Sheet1!N$1228:N$1428, 0)
    ),
"")</f>
        <v/>
      </c>
      <c r="I81" s="152" t="str">
        <f>IFERROR(
    INDEX(
        CHOOSE(
            MATCH($C$1, {"All","Calls","Puts"}, 0),
            Sheet1!BN$1431:BN$1631,
            Sheet1!AR$1431:AR$1631,
            Sheet1!AS$1431:AS$1631
        ),
        MATCH($A81, Sheet1!N$1431:N$1631, 0)
    ),
"")</f>
        <v/>
      </c>
      <c r="J81" s="73" t="str">
        <f t="shared" si="5"/>
        <v/>
      </c>
      <c r="K81" s="97" t="str">
        <f t="shared" si="6"/>
        <v/>
      </c>
      <c r="L81" s="131">
        <f>IFERROR(MIN(0,INDEX(Sheet1!$AD$10:$AD$999,MATCH(A81,Sheet1!$N$10:$N$999,0))),0)</f>
        <v>0</v>
      </c>
      <c r="M81" s="136">
        <f>IFERROR(MAX(0,INDEX(Sheet1!$AE$10:$AE$999,MATCH(A81,Sheet1!$N$10:$N$999,0))),0)</f>
        <v>0</v>
      </c>
      <c r="N81" s="111" t="str">
        <f t="shared" si="7"/>
        <v/>
      </c>
      <c r="O81" s="138">
        <f>IFERROR(MIN(0,INDEX(Sheet1!$AP$10:$AP$999,MATCH(A81,Sheet1!$N$10:$N$999,0))),0)</f>
        <v>0</v>
      </c>
      <c r="P81" s="143">
        <f>IFERROR(MAX(0,INDEX(Sheet1!$AO$10:$AO$999,MATCH(A81,Sheet1!$N$10:$N$999,0))),0)</f>
        <v>0</v>
      </c>
      <c r="Q81" s="111" t="str">
        <f t="shared" si="8"/>
        <v/>
      </c>
      <c r="R81" s="140">
        <f>IFERROR(MIN(0,INDEX(Sheet1!$BK$10:$BK$999,MATCH(A81,Sheet1!$N$10:$N$999,0))),0)</f>
        <v>0</v>
      </c>
      <c r="S81" s="141">
        <f>IFERROR(MAX(0,INDEX(Sheet1!$BK$10:$BK$999,MATCH(A81,Sheet1!$N$10:$N$999,0))),0)</f>
        <v>0</v>
      </c>
      <c r="T81" s="111" t="str">
        <f t="shared" si="9"/>
        <v/>
      </c>
      <c r="AA81" s="96"/>
    </row>
    <row r="82" spans="1:27" x14ac:dyDescent="0.3">
      <c r="A82" s="44"/>
      <c r="B82" s="152" t="str">
        <f>IFERROR(
    INDEX(
        CHOOSE(
            MATCH($C$1, {"All","Calls","Puts"}, 0),
            Sheet1!BN$10:BN$210,
            Sheet1!AR$10:AR$210,
            Sheet1!AS$10:AS$210
        ),
        MATCH($A82, Sheet1!N$10:N$210, 0)
    ),
"")</f>
        <v/>
      </c>
      <c r="C82" s="152" t="str">
        <f>IFERROR(
    INDEX(
        CHOOSE(
            MATCH($C$1, {"All","Calls","Puts"}, 0),
            Sheet1!BN$213:BN$413,
            Sheet1!AR$213:AR$413,
            Sheet1!AS$213:AS$413
        ),
        MATCH($A82, Sheet1!N$213:N$413, 0)
    ),
"")</f>
        <v/>
      </c>
      <c r="D82" s="152" t="str">
        <f>IFERROR(
    INDEX(
        CHOOSE(
            MATCH($C$1, {"All","Calls","Puts"}, 0),
            Sheet1!BN$416:BN$616,
            Sheet1!AR$416:AR$616,
            Sheet1!AS$416:AS$616
        ),
        MATCH($A82, Sheet1!N$416:N$616, 0)
    ),
"")</f>
        <v/>
      </c>
      <c r="E82" s="152" t="str">
        <f>IFERROR(
    INDEX(
        CHOOSE(
            MATCH($C$1, {"All","Calls","Puts"}, 0),
            Sheet1!BN$619:BN$819,
            Sheet1!AR$619:AR$819,
            Sheet1!AS$619:AS$819
        ),
        MATCH($A82, Sheet1!N$619:N$819, 0)
    ),
"")</f>
        <v/>
      </c>
      <c r="F82" s="152" t="str">
        <f>IFERROR(
    INDEX(
        CHOOSE(
            MATCH($C$1, {"All","Calls","Puts"}, 0),
            Sheet1!BN$822:BN$1022,
            Sheet1!AR$822:AR$1022,
            Sheet1!AS$822:AS$1022
        ),
        MATCH($A82, Sheet1!N$822:N$1022, 0)
    ),
"")</f>
        <v/>
      </c>
      <c r="G82" s="152" t="str">
        <f>IFERROR(
    INDEX(
        CHOOSE(
            MATCH($C$1, {"All","Calls","Puts"}, 0),
            Sheet1!BN$1025:BN$1225,
            Sheet1!AR$1025:AR$1225,
            Sheet1!AS$1025:AS$1225
        ),
        MATCH($A82, Sheet1!N$1025:N$1225, 0)
    ),
"")</f>
        <v/>
      </c>
      <c r="H82" s="152" t="str">
        <f>IFERROR(
    INDEX(
        CHOOSE(
            MATCH($C$1, {"All","Calls","Puts"}, 0),
            Sheet1!BN$1228:BN$1428,
            Sheet1!AR$1228:AR$1428,
            Sheet1!AS$1228:AS$1428
        ),
        MATCH($A82, Sheet1!N$1228:N$1428, 0)
    ),
"")</f>
        <v/>
      </c>
      <c r="I82" s="152" t="str">
        <f>IFERROR(
    INDEX(
        CHOOSE(
            MATCH($C$1, {"All","Calls","Puts"}, 0),
            Sheet1!BN$1431:BN$1631,
            Sheet1!AR$1431:AR$1631,
            Sheet1!AS$1431:AS$1631
        ),
        MATCH($A82, Sheet1!N$1431:N$1631, 0)
    ),
"")</f>
        <v/>
      </c>
      <c r="J82" s="73" t="str">
        <f t="shared" si="5"/>
        <v/>
      </c>
      <c r="K82" s="97" t="str">
        <f t="shared" si="6"/>
        <v/>
      </c>
      <c r="L82" s="131">
        <f>IFERROR(MIN(0,INDEX(Sheet1!$AD$10:$AD$999,MATCH(A82,Sheet1!$N$10:$N$999,0))),0)</f>
        <v>0</v>
      </c>
      <c r="M82" s="136">
        <f>IFERROR(MAX(0,INDEX(Sheet1!$AE$10:$AE$999,MATCH(A82,Sheet1!$N$10:$N$999,0))),0)</f>
        <v>0</v>
      </c>
      <c r="N82" s="111" t="str">
        <f t="shared" si="7"/>
        <v/>
      </c>
      <c r="O82" s="138">
        <f>IFERROR(MIN(0,INDEX(Sheet1!$AP$10:$AP$999,MATCH(A82,Sheet1!$N$10:$N$999,0))),0)</f>
        <v>0</v>
      </c>
      <c r="P82" s="143">
        <f>IFERROR(MAX(0,INDEX(Sheet1!$AO$10:$AO$999,MATCH(A82,Sheet1!$N$10:$N$999,0))),0)</f>
        <v>0</v>
      </c>
      <c r="Q82" s="111" t="str">
        <f t="shared" si="8"/>
        <v/>
      </c>
      <c r="R82" s="140">
        <f>IFERROR(MIN(0,INDEX(Sheet1!$BK$10:$BK$999,MATCH(A82,Sheet1!$N$10:$N$999,0))),0)</f>
        <v>0</v>
      </c>
      <c r="S82" s="141">
        <f>IFERROR(MAX(0,INDEX(Sheet1!$BK$10:$BK$999,MATCH(A82,Sheet1!$N$10:$N$999,0))),0)</f>
        <v>0</v>
      </c>
      <c r="T82" s="111" t="str">
        <f t="shared" si="9"/>
        <v/>
      </c>
      <c r="AA82" s="96"/>
    </row>
    <row r="83" spans="1:27" x14ac:dyDescent="0.3">
      <c r="A83" s="44"/>
      <c r="B83" s="152" t="str">
        <f>IFERROR(
    INDEX(
        CHOOSE(
            MATCH($C$1, {"All","Calls","Puts"}, 0),
            Sheet1!BN$10:BN$210,
            Sheet1!AR$10:AR$210,
            Sheet1!AS$10:AS$210
        ),
        MATCH($A83, Sheet1!N$10:N$210, 0)
    ),
"")</f>
        <v/>
      </c>
      <c r="C83" s="152" t="str">
        <f>IFERROR(
    INDEX(
        CHOOSE(
            MATCH($C$1, {"All","Calls","Puts"}, 0),
            Sheet1!BN$213:BN$413,
            Sheet1!AR$213:AR$413,
            Sheet1!AS$213:AS$413
        ),
        MATCH($A83, Sheet1!N$213:N$413, 0)
    ),
"")</f>
        <v/>
      </c>
      <c r="D83" s="152" t="str">
        <f>IFERROR(
    INDEX(
        CHOOSE(
            MATCH($C$1, {"All","Calls","Puts"}, 0),
            Sheet1!BN$416:BN$616,
            Sheet1!AR$416:AR$616,
            Sheet1!AS$416:AS$616
        ),
        MATCH($A83, Sheet1!N$416:N$616, 0)
    ),
"")</f>
        <v/>
      </c>
      <c r="E83" s="152" t="str">
        <f>IFERROR(
    INDEX(
        CHOOSE(
            MATCH($C$1, {"All","Calls","Puts"}, 0),
            Sheet1!BN$619:BN$819,
            Sheet1!AR$619:AR$819,
            Sheet1!AS$619:AS$819
        ),
        MATCH($A83, Sheet1!N$619:N$819, 0)
    ),
"")</f>
        <v/>
      </c>
      <c r="F83" s="152" t="str">
        <f>IFERROR(
    INDEX(
        CHOOSE(
            MATCH($C$1, {"All","Calls","Puts"}, 0),
            Sheet1!BN$822:BN$1022,
            Sheet1!AR$822:AR$1022,
            Sheet1!AS$822:AS$1022
        ),
        MATCH($A83, Sheet1!N$822:N$1022, 0)
    ),
"")</f>
        <v/>
      </c>
      <c r="G83" s="152" t="str">
        <f>IFERROR(
    INDEX(
        CHOOSE(
            MATCH($C$1, {"All","Calls","Puts"}, 0),
            Sheet1!BN$1025:BN$1225,
            Sheet1!AR$1025:AR$1225,
            Sheet1!AS$1025:AS$1225
        ),
        MATCH($A83, Sheet1!N$1025:N$1225, 0)
    ),
"")</f>
        <v/>
      </c>
      <c r="H83" s="152" t="str">
        <f>IFERROR(
    INDEX(
        CHOOSE(
            MATCH($C$1, {"All","Calls","Puts"}, 0),
            Sheet1!BN$1228:BN$1428,
            Sheet1!AR$1228:AR$1428,
            Sheet1!AS$1228:AS$1428
        ),
        MATCH($A83, Sheet1!N$1228:N$1428, 0)
    ),
"")</f>
        <v/>
      </c>
      <c r="I83" s="152" t="str">
        <f>IFERROR(
    INDEX(
        CHOOSE(
            MATCH($C$1, {"All","Calls","Puts"}, 0),
            Sheet1!BN$1431:BN$1631,
            Sheet1!AR$1431:AR$1631,
            Sheet1!AS$1431:AS$1631
        ),
        MATCH($A83, Sheet1!N$1431:N$1631, 0)
    ),
"")</f>
        <v/>
      </c>
      <c r="J83" s="73" t="str">
        <f t="shared" si="5"/>
        <v/>
      </c>
      <c r="K83" s="97" t="str">
        <f t="shared" si="6"/>
        <v/>
      </c>
      <c r="L83" s="131">
        <f>IFERROR(MIN(0,INDEX(Sheet1!$AD$10:$AD$999,MATCH(A83,Sheet1!$N$10:$N$999,0))),0)</f>
        <v>0</v>
      </c>
      <c r="M83" s="136">
        <f>IFERROR(MAX(0,INDEX(Sheet1!$AE$10:$AE$999,MATCH(A83,Sheet1!$N$10:$N$999,0))),0)</f>
        <v>0</v>
      </c>
      <c r="N83" s="111" t="str">
        <f t="shared" si="7"/>
        <v/>
      </c>
      <c r="O83" s="138">
        <f>IFERROR(MIN(0,INDEX(Sheet1!$AP$10:$AP$999,MATCH(A83,Sheet1!$N$10:$N$999,0))),0)</f>
        <v>0</v>
      </c>
      <c r="P83" s="143">
        <f>IFERROR(MAX(0,INDEX(Sheet1!$AO$10:$AO$999,MATCH(A83,Sheet1!$N$10:$N$999,0))),0)</f>
        <v>0</v>
      </c>
      <c r="Q83" s="111" t="str">
        <f t="shared" si="8"/>
        <v/>
      </c>
      <c r="R83" s="140">
        <f>IFERROR(MIN(0,INDEX(Sheet1!$BK$10:$BK$999,MATCH(A83,Sheet1!$N$10:$N$999,0))),0)</f>
        <v>0</v>
      </c>
      <c r="S83" s="141">
        <f>IFERROR(MAX(0,INDEX(Sheet1!$BK$10:$BK$999,MATCH(A83,Sheet1!$N$10:$N$999,0))),0)</f>
        <v>0</v>
      </c>
      <c r="T83" s="111" t="str">
        <f t="shared" si="9"/>
        <v/>
      </c>
      <c r="AA83" s="96"/>
    </row>
    <row r="84" spans="1:27" x14ac:dyDescent="0.3">
      <c r="A84" s="44"/>
      <c r="B84" s="152" t="str">
        <f>IFERROR(
    INDEX(
        CHOOSE(
            MATCH($C$1, {"All","Calls","Puts"}, 0),
            Sheet1!BN$10:BN$210,
            Sheet1!AR$10:AR$210,
            Sheet1!AS$10:AS$210
        ),
        MATCH($A84, Sheet1!N$10:N$210, 0)
    ),
"")</f>
        <v/>
      </c>
      <c r="C84" s="152" t="str">
        <f>IFERROR(
    INDEX(
        CHOOSE(
            MATCH($C$1, {"All","Calls","Puts"}, 0),
            Sheet1!BN$213:BN$413,
            Sheet1!AR$213:AR$413,
            Sheet1!AS$213:AS$413
        ),
        MATCH($A84, Sheet1!N$213:N$413, 0)
    ),
"")</f>
        <v/>
      </c>
      <c r="D84" s="152" t="str">
        <f>IFERROR(
    INDEX(
        CHOOSE(
            MATCH($C$1, {"All","Calls","Puts"}, 0),
            Sheet1!BN$416:BN$616,
            Sheet1!AR$416:AR$616,
            Sheet1!AS$416:AS$616
        ),
        MATCH($A84, Sheet1!N$416:N$616, 0)
    ),
"")</f>
        <v/>
      </c>
      <c r="E84" s="152" t="str">
        <f>IFERROR(
    INDEX(
        CHOOSE(
            MATCH($C$1, {"All","Calls","Puts"}, 0),
            Sheet1!BN$619:BN$819,
            Sheet1!AR$619:AR$819,
            Sheet1!AS$619:AS$819
        ),
        MATCH($A84, Sheet1!N$619:N$819, 0)
    ),
"")</f>
        <v/>
      </c>
      <c r="F84" s="152" t="str">
        <f>IFERROR(
    INDEX(
        CHOOSE(
            MATCH($C$1, {"All","Calls","Puts"}, 0),
            Sheet1!BN$822:BN$1022,
            Sheet1!AR$822:AR$1022,
            Sheet1!AS$822:AS$1022
        ),
        MATCH($A84, Sheet1!N$822:N$1022, 0)
    ),
"")</f>
        <v/>
      </c>
      <c r="G84" s="152" t="str">
        <f>IFERROR(
    INDEX(
        CHOOSE(
            MATCH($C$1, {"All","Calls","Puts"}, 0),
            Sheet1!BN$1025:BN$1225,
            Sheet1!AR$1025:AR$1225,
            Sheet1!AS$1025:AS$1225
        ),
        MATCH($A84, Sheet1!N$1025:N$1225, 0)
    ),
"")</f>
        <v/>
      </c>
      <c r="H84" s="152" t="str">
        <f>IFERROR(
    INDEX(
        CHOOSE(
            MATCH($C$1, {"All","Calls","Puts"}, 0),
            Sheet1!BN$1228:BN$1428,
            Sheet1!AR$1228:AR$1428,
            Sheet1!AS$1228:AS$1428
        ),
        MATCH($A84, Sheet1!N$1228:N$1428, 0)
    ),
"")</f>
        <v/>
      </c>
      <c r="I84" s="152" t="str">
        <f>IFERROR(
    INDEX(
        CHOOSE(
            MATCH($C$1, {"All","Calls","Puts"}, 0),
            Sheet1!BN$1431:BN$1631,
            Sheet1!AR$1431:AR$1631,
            Sheet1!AS$1431:AS$1631
        ),
        MATCH($A84, Sheet1!N$1431:N$1631, 0)
    ),
"")</f>
        <v/>
      </c>
      <c r="J84" s="73" t="str">
        <f t="shared" si="5"/>
        <v/>
      </c>
      <c r="K84" s="97" t="str">
        <f t="shared" si="6"/>
        <v/>
      </c>
      <c r="L84" s="131">
        <f>IFERROR(MIN(0,INDEX(Sheet1!$AD$10:$AD$999,MATCH(A84,Sheet1!$N$10:$N$999,0))),0)</f>
        <v>0</v>
      </c>
      <c r="M84" s="136">
        <f>IFERROR(MAX(0,INDEX(Sheet1!$AE$10:$AE$999,MATCH(A84,Sheet1!$N$10:$N$999,0))),0)</f>
        <v>0</v>
      </c>
      <c r="N84" s="111" t="str">
        <f t="shared" si="7"/>
        <v/>
      </c>
      <c r="O84" s="138">
        <f>IFERROR(MIN(0,INDEX(Sheet1!$AP$10:$AP$999,MATCH(A84,Sheet1!$N$10:$N$999,0))),0)</f>
        <v>0</v>
      </c>
      <c r="P84" s="143">
        <f>IFERROR(MAX(0,INDEX(Sheet1!$AO$10:$AO$999,MATCH(A84,Sheet1!$N$10:$N$999,0))),0)</f>
        <v>0</v>
      </c>
      <c r="Q84" s="111" t="str">
        <f t="shared" si="8"/>
        <v/>
      </c>
      <c r="R84" s="140">
        <f>IFERROR(MIN(0,INDEX(Sheet1!$BK$10:$BK$999,MATCH(A84,Sheet1!$N$10:$N$999,0))),0)</f>
        <v>0</v>
      </c>
      <c r="S84" s="141">
        <f>IFERROR(MAX(0,INDEX(Sheet1!$BK$10:$BK$999,MATCH(A84,Sheet1!$N$10:$N$999,0))),0)</f>
        <v>0</v>
      </c>
      <c r="T84" s="111" t="str">
        <f t="shared" si="9"/>
        <v/>
      </c>
      <c r="AA84" s="96"/>
    </row>
    <row r="85" spans="1:27" x14ac:dyDescent="0.3">
      <c r="A85" s="44"/>
      <c r="B85" s="152" t="str">
        <f>IFERROR(
    INDEX(
        CHOOSE(
            MATCH($C$1, {"All","Calls","Puts"}, 0),
            Sheet1!BN$10:BN$210,
            Sheet1!AR$10:AR$210,
            Sheet1!AS$10:AS$210
        ),
        MATCH($A85, Sheet1!N$10:N$210, 0)
    ),
"")</f>
        <v/>
      </c>
      <c r="C85" s="152" t="str">
        <f>IFERROR(
    INDEX(
        CHOOSE(
            MATCH($C$1, {"All","Calls","Puts"}, 0),
            Sheet1!BN$213:BN$413,
            Sheet1!AR$213:AR$413,
            Sheet1!AS$213:AS$413
        ),
        MATCH($A85, Sheet1!N$213:N$413, 0)
    ),
"")</f>
        <v/>
      </c>
      <c r="D85" s="152" t="str">
        <f>IFERROR(
    INDEX(
        CHOOSE(
            MATCH($C$1, {"All","Calls","Puts"}, 0),
            Sheet1!BN$416:BN$616,
            Sheet1!AR$416:AR$616,
            Sheet1!AS$416:AS$616
        ),
        MATCH($A85, Sheet1!N$416:N$616, 0)
    ),
"")</f>
        <v/>
      </c>
      <c r="E85" s="152" t="str">
        <f>IFERROR(
    INDEX(
        CHOOSE(
            MATCH($C$1, {"All","Calls","Puts"}, 0),
            Sheet1!BN$619:BN$819,
            Sheet1!AR$619:AR$819,
            Sheet1!AS$619:AS$819
        ),
        MATCH($A85, Sheet1!N$619:N$819, 0)
    ),
"")</f>
        <v/>
      </c>
      <c r="F85" s="152" t="str">
        <f>IFERROR(
    INDEX(
        CHOOSE(
            MATCH($C$1, {"All","Calls","Puts"}, 0),
            Sheet1!BN$822:BN$1022,
            Sheet1!AR$822:AR$1022,
            Sheet1!AS$822:AS$1022
        ),
        MATCH($A85, Sheet1!N$822:N$1022, 0)
    ),
"")</f>
        <v/>
      </c>
      <c r="G85" s="152" t="str">
        <f>IFERROR(
    INDEX(
        CHOOSE(
            MATCH($C$1, {"All","Calls","Puts"}, 0),
            Sheet1!BN$1025:BN$1225,
            Sheet1!AR$1025:AR$1225,
            Sheet1!AS$1025:AS$1225
        ),
        MATCH($A85, Sheet1!N$1025:N$1225, 0)
    ),
"")</f>
        <v/>
      </c>
      <c r="H85" s="152" t="str">
        <f>IFERROR(
    INDEX(
        CHOOSE(
            MATCH($C$1, {"All","Calls","Puts"}, 0),
            Sheet1!BN$1228:BN$1428,
            Sheet1!AR$1228:AR$1428,
            Sheet1!AS$1228:AS$1428
        ),
        MATCH($A85, Sheet1!N$1228:N$1428, 0)
    ),
"")</f>
        <v/>
      </c>
      <c r="I85" s="152" t="str">
        <f>IFERROR(
    INDEX(
        CHOOSE(
            MATCH($C$1, {"All","Calls","Puts"}, 0),
            Sheet1!BN$1431:BN$1631,
            Sheet1!AR$1431:AR$1631,
            Sheet1!AS$1431:AS$1631
        ),
        MATCH($A85, Sheet1!N$1431:N$1631, 0)
    ),
"")</f>
        <v/>
      </c>
      <c r="J85" s="73" t="str">
        <f t="shared" si="5"/>
        <v/>
      </c>
      <c r="K85" s="97" t="str">
        <f t="shared" si="6"/>
        <v/>
      </c>
      <c r="L85" s="131">
        <f>IFERROR(MIN(0,INDEX(Sheet1!$AD$10:$AD$999,MATCH(A85,Sheet1!$N$10:$N$999,0))),0)</f>
        <v>0</v>
      </c>
      <c r="M85" s="136">
        <f>IFERROR(MAX(0,INDEX(Sheet1!$AE$10:$AE$999,MATCH(A85,Sheet1!$N$10:$N$999,0))),0)</f>
        <v>0</v>
      </c>
      <c r="N85" s="111" t="str">
        <f t="shared" si="7"/>
        <v/>
      </c>
      <c r="O85" s="138">
        <f>IFERROR(MIN(0,INDEX(Sheet1!$AP$10:$AP$999,MATCH(A85,Sheet1!$N$10:$N$999,0))),0)</f>
        <v>0</v>
      </c>
      <c r="P85" s="143">
        <f>IFERROR(MAX(0,INDEX(Sheet1!$AO$10:$AO$999,MATCH(A85,Sheet1!$N$10:$N$999,0))),0)</f>
        <v>0</v>
      </c>
      <c r="Q85" s="111" t="str">
        <f t="shared" si="8"/>
        <v/>
      </c>
      <c r="R85" s="140">
        <f>IFERROR(MIN(0,INDEX(Sheet1!$BK$10:$BK$999,MATCH(A85,Sheet1!$N$10:$N$999,0))),0)</f>
        <v>0</v>
      </c>
      <c r="S85" s="141">
        <f>IFERROR(MAX(0,INDEX(Sheet1!$BK$10:$BK$999,MATCH(A85,Sheet1!$N$10:$N$999,0))),0)</f>
        <v>0</v>
      </c>
      <c r="T85" s="111" t="str">
        <f t="shared" si="9"/>
        <v/>
      </c>
      <c r="AA85" s="96"/>
    </row>
    <row r="86" spans="1:27" x14ac:dyDescent="0.3">
      <c r="A86" s="44"/>
      <c r="B86" s="152" t="str">
        <f>IFERROR(
    INDEX(
        CHOOSE(
            MATCH($C$1, {"All","Calls","Puts"}, 0),
            Sheet1!BN$10:BN$210,
            Sheet1!AR$10:AR$210,
            Sheet1!AS$10:AS$210
        ),
        MATCH($A86, Sheet1!N$10:N$210, 0)
    ),
"")</f>
        <v/>
      </c>
      <c r="C86" s="152" t="str">
        <f>IFERROR(
    INDEX(
        CHOOSE(
            MATCH($C$1, {"All","Calls","Puts"}, 0),
            Sheet1!BN$213:BN$413,
            Sheet1!AR$213:AR$413,
            Sheet1!AS$213:AS$413
        ),
        MATCH($A86, Sheet1!N$213:N$413, 0)
    ),
"")</f>
        <v/>
      </c>
      <c r="D86" s="152" t="str">
        <f>IFERROR(
    INDEX(
        CHOOSE(
            MATCH($C$1, {"All","Calls","Puts"}, 0),
            Sheet1!BN$416:BN$616,
            Sheet1!AR$416:AR$616,
            Sheet1!AS$416:AS$616
        ),
        MATCH($A86, Sheet1!N$416:N$616, 0)
    ),
"")</f>
        <v/>
      </c>
      <c r="E86" s="152" t="str">
        <f>IFERROR(
    INDEX(
        CHOOSE(
            MATCH($C$1, {"All","Calls","Puts"}, 0),
            Sheet1!BN$619:BN$819,
            Sheet1!AR$619:AR$819,
            Sheet1!AS$619:AS$819
        ),
        MATCH($A86, Sheet1!N$619:N$819, 0)
    ),
"")</f>
        <v/>
      </c>
      <c r="F86" s="152" t="str">
        <f>IFERROR(
    INDEX(
        CHOOSE(
            MATCH($C$1, {"All","Calls","Puts"}, 0),
            Sheet1!BN$822:BN$1022,
            Sheet1!AR$822:AR$1022,
            Sheet1!AS$822:AS$1022
        ),
        MATCH($A86, Sheet1!N$822:N$1022, 0)
    ),
"")</f>
        <v/>
      </c>
      <c r="G86" s="152" t="str">
        <f>IFERROR(
    INDEX(
        CHOOSE(
            MATCH($C$1, {"All","Calls","Puts"}, 0),
            Sheet1!BN$1025:BN$1225,
            Sheet1!AR$1025:AR$1225,
            Sheet1!AS$1025:AS$1225
        ),
        MATCH($A86, Sheet1!N$1025:N$1225, 0)
    ),
"")</f>
        <v/>
      </c>
      <c r="H86" s="152" t="str">
        <f>IFERROR(
    INDEX(
        CHOOSE(
            MATCH($C$1, {"All","Calls","Puts"}, 0),
            Sheet1!BN$1228:BN$1428,
            Sheet1!AR$1228:AR$1428,
            Sheet1!AS$1228:AS$1428
        ),
        MATCH($A86, Sheet1!N$1228:N$1428, 0)
    ),
"")</f>
        <v/>
      </c>
      <c r="I86" s="152" t="str">
        <f>IFERROR(
    INDEX(
        CHOOSE(
            MATCH($C$1, {"All","Calls","Puts"}, 0),
            Sheet1!BN$1431:BN$1631,
            Sheet1!AR$1431:AR$1631,
            Sheet1!AS$1431:AS$1631
        ),
        MATCH($A86, Sheet1!N$1431:N$1631, 0)
    ),
"")</f>
        <v/>
      </c>
      <c r="J86" s="73" t="str">
        <f t="shared" si="5"/>
        <v/>
      </c>
      <c r="K86" s="97" t="str">
        <f t="shared" si="6"/>
        <v/>
      </c>
      <c r="L86" s="131">
        <f>IFERROR(MIN(0,INDEX(Sheet1!$AD$10:$AD$999,MATCH(A86,Sheet1!$N$10:$N$999,0))),0)</f>
        <v>0</v>
      </c>
      <c r="M86" s="136">
        <f>IFERROR(MAX(0,INDEX(Sheet1!$AE$10:$AE$999,MATCH(A86,Sheet1!$N$10:$N$999,0))),0)</f>
        <v>0</v>
      </c>
      <c r="N86" s="111" t="str">
        <f t="shared" si="7"/>
        <v/>
      </c>
      <c r="O86" s="138">
        <f>IFERROR(MIN(0,INDEX(Sheet1!$AP$10:$AP$999,MATCH(A86,Sheet1!$N$10:$N$999,0))),0)</f>
        <v>0</v>
      </c>
      <c r="P86" s="143">
        <f>IFERROR(MAX(0,INDEX(Sheet1!$AO$10:$AO$999,MATCH(A86,Sheet1!$N$10:$N$999,0))),0)</f>
        <v>0</v>
      </c>
      <c r="Q86" s="111" t="str">
        <f t="shared" si="8"/>
        <v/>
      </c>
      <c r="R86" s="140">
        <f>IFERROR(MIN(0,INDEX(Sheet1!$BK$10:$BK$999,MATCH(A86,Sheet1!$N$10:$N$999,0))),0)</f>
        <v>0</v>
      </c>
      <c r="S86" s="141">
        <f>IFERROR(MAX(0,INDEX(Sheet1!$BK$10:$BK$999,MATCH(A86,Sheet1!$N$10:$N$999,0))),0)</f>
        <v>0</v>
      </c>
      <c r="T86" s="111" t="str">
        <f t="shared" si="9"/>
        <v/>
      </c>
      <c r="AA86" s="96"/>
    </row>
    <row r="87" spans="1:27" x14ac:dyDescent="0.3">
      <c r="A87" s="44"/>
      <c r="B87" s="152" t="str">
        <f>IFERROR(
    INDEX(
        CHOOSE(
            MATCH($C$1, {"All","Calls","Puts"}, 0),
            Sheet1!BN$10:BN$210,
            Sheet1!AR$10:AR$210,
            Sheet1!AS$10:AS$210
        ),
        MATCH($A87, Sheet1!N$10:N$210, 0)
    ),
"")</f>
        <v/>
      </c>
      <c r="C87" s="152" t="str">
        <f>IFERROR(
    INDEX(
        CHOOSE(
            MATCH($C$1, {"All","Calls","Puts"}, 0),
            Sheet1!BN$213:BN$413,
            Sheet1!AR$213:AR$413,
            Sheet1!AS$213:AS$413
        ),
        MATCH($A87, Sheet1!N$213:N$413, 0)
    ),
"")</f>
        <v/>
      </c>
      <c r="D87" s="152" t="str">
        <f>IFERROR(
    INDEX(
        CHOOSE(
            MATCH($C$1, {"All","Calls","Puts"}, 0),
            Sheet1!BN$416:BN$616,
            Sheet1!AR$416:AR$616,
            Sheet1!AS$416:AS$616
        ),
        MATCH($A87, Sheet1!N$416:N$616, 0)
    ),
"")</f>
        <v/>
      </c>
      <c r="E87" s="152" t="str">
        <f>IFERROR(
    INDEX(
        CHOOSE(
            MATCH($C$1, {"All","Calls","Puts"}, 0),
            Sheet1!BN$619:BN$819,
            Sheet1!AR$619:AR$819,
            Sheet1!AS$619:AS$819
        ),
        MATCH($A87, Sheet1!N$619:N$819, 0)
    ),
"")</f>
        <v/>
      </c>
      <c r="F87" s="152" t="str">
        <f>IFERROR(
    INDEX(
        CHOOSE(
            MATCH($C$1, {"All","Calls","Puts"}, 0),
            Sheet1!BN$822:BN$1022,
            Sheet1!AR$822:AR$1022,
            Sheet1!AS$822:AS$1022
        ),
        MATCH($A87, Sheet1!N$822:N$1022, 0)
    ),
"")</f>
        <v/>
      </c>
      <c r="G87" s="152" t="str">
        <f>IFERROR(
    INDEX(
        CHOOSE(
            MATCH($C$1, {"All","Calls","Puts"}, 0),
            Sheet1!BN$1025:BN$1225,
            Sheet1!AR$1025:AR$1225,
            Sheet1!AS$1025:AS$1225
        ),
        MATCH($A87, Sheet1!N$1025:N$1225, 0)
    ),
"")</f>
        <v/>
      </c>
      <c r="H87" s="152" t="str">
        <f>IFERROR(
    INDEX(
        CHOOSE(
            MATCH($C$1, {"All","Calls","Puts"}, 0),
            Sheet1!BN$1228:BN$1428,
            Sheet1!AR$1228:AR$1428,
            Sheet1!AS$1228:AS$1428
        ),
        MATCH($A87, Sheet1!N$1228:N$1428, 0)
    ),
"")</f>
        <v/>
      </c>
      <c r="I87" s="152" t="str">
        <f>IFERROR(
    INDEX(
        CHOOSE(
            MATCH($C$1, {"All","Calls","Puts"}, 0),
            Sheet1!BN$1431:BN$1631,
            Sheet1!AR$1431:AR$1631,
            Sheet1!AS$1431:AS$1631
        ),
        MATCH($A87, Sheet1!N$1431:N$1631, 0)
    ),
"")</f>
        <v/>
      </c>
      <c r="J87" s="73" t="str">
        <f t="shared" si="5"/>
        <v/>
      </c>
      <c r="K87" s="97" t="str">
        <f t="shared" si="6"/>
        <v/>
      </c>
      <c r="L87" s="131">
        <f>IFERROR(MIN(0,INDEX(Sheet1!$AD$10:$AD$999,MATCH(A87,Sheet1!$N$10:$N$999,0))),0)</f>
        <v>0</v>
      </c>
      <c r="M87" s="136">
        <f>IFERROR(MAX(0,INDEX(Sheet1!$AE$10:$AE$999,MATCH(A87,Sheet1!$N$10:$N$999,0))),0)</f>
        <v>0</v>
      </c>
      <c r="N87" s="111" t="str">
        <f t="shared" si="7"/>
        <v/>
      </c>
      <c r="O87" s="138">
        <f>IFERROR(MIN(0,INDEX(Sheet1!$AP$10:$AP$999,MATCH(A87,Sheet1!$N$10:$N$999,0))),0)</f>
        <v>0</v>
      </c>
      <c r="P87" s="143">
        <f>IFERROR(MAX(0,INDEX(Sheet1!$AO$10:$AO$999,MATCH(A87,Sheet1!$N$10:$N$999,0))),0)</f>
        <v>0</v>
      </c>
      <c r="Q87" s="111" t="str">
        <f t="shared" si="8"/>
        <v/>
      </c>
      <c r="R87" s="140">
        <f>IFERROR(MIN(0,INDEX(Sheet1!$BK$10:$BK$999,MATCH(A87,Sheet1!$N$10:$N$999,0))),0)</f>
        <v>0</v>
      </c>
      <c r="S87" s="141">
        <f>IFERROR(MAX(0,INDEX(Sheet1!$BK$10:$BK$999,MATCH(A87,Sheet1!$N$10:$N$999,0))),0)</f>
        <v>0</v>
      </c>
      <c r="T87" s="111" t="str">
        <f t="shared" si="9"/>
        <v/>
      </c>
      <c r="AA87" s="96"/>
    </row>
    <row r="88" spans="1:27" x14ac:dyDescent="0.3">
      <c r="A88" s="44"/>
      <c r="B88" s="152" t="str">
        <f>IFERROR(
    INDEX(
        CHOOSE(
            MATCH($C$1, {"All","Calls","Puts"}, 0),
            Sheet1!BN$10:BN$210,
            Sheet1!AR$10:AR$210,
            Sheet1!AS$10:AS$210
        ),
        MATCH($A88, Sheet1!N$10:N$210, 0)
    ),
"")</f>
        <v/>
      </c>
      <c r="C88" s="152" t="str">
        <f>IFERROR(
    INDEX(
        CHOOSE(
            MATCH($C$1, {"All","Calls","Puts"}, 0),
            Sheet1!BN$213:BN$413,
            Sheet1!AR$213:AR$413,
            Sheet1!AS$213:AS$413
        ),
        MATCH($A88, Sheet1!N$213:N$413, 0)
    ),
"")</f>
        <v/>
      </c>
      <c r="D88" s="152" t="str">
        <f>IFERROR(
    INDEX(
        CHOOSE(
            MATCH($C$1, {"All","Calls","Puts"}, 0),
            Sheet1!BN$416:BN$616,
            Sheet1!AR$416:AR$616,
            Sheet1!AS$416:AS$616
        ),
        MATCH($A88, Sheet1!N$416:N$616, 0)
    ),
"")</f>
        <v/>
      </c>
      <c r="E88" s="152" t="str">
        <f>IFERROR(
    INDEX(
        CHOOSE(
            MATCH($C$1, {"All","Calls","Puts"}, 0),
            Sheet1!BN$619:BN$819,
            Sheet1!AR$619:AR$819,
            Sheet1!AS$619:AS$819
        ),
        MATCH($A88, Sheet1!N$619:N$819, 0)
    ),
"")</f>
        <v/>
      </c>
      <c r="F88" s="152" t="str">
        <f>IFERROR(
    INDEX(
        CHOOSE(
            MATCH($C$1, {"All","Calls","Puts"}, 0),
            Sheet1!BN$822:BN$1022,
            Sheet1!AR$822:AR$1022,
            Sheet1!AS$822:AS$1022
        ),
        MATCH($A88, Sheet1!N$822:N$1022, 0)
    ),
"")</f>
        <v/>
      </c>
      <c r="G88" s="152" t="str">
        <f>IFERROR(
    INDEX(
        CHOOSE(
            MATCH($C$1, {"All","Calls","Puts"}, 0),
            Sheet1!BN$1025:BN$1225,
            Sheet1!AR$1025:AR$1225,
            Sheet1!AS$1025:AS$1225
        ),
        MATCH($A88, Sheet1!N$1025:N$1225, 0)
    ),
"")</f>
        <v/>
      </c>
      <c r="H88" s="152" t="str">
        <f>IFERROR(
    INDEX(
        CHOOSE(
            MATCH($C$1, {"All","Calls","Puts"}, 0),
            Sheet1!BN$1228:BN$1428,
            Sheet1!AR$1228:AR$1428,
            Sheet1!AS$1228:AS$1428
        ),
        MATCH($A88, Sheet1!N$1228:N$1428, 0)
    ),
"")</f>
        <v/>
      </c>
      <c r="I88" s="152" t="str">
        <f>IFERROR(
    INDEX(
        CHOOSE(
            MATCH($C$1, {"All","Calls","Puts"}, 0),
            Sheet1!BN$1431:BN$1631,
            Sheet1!AR$1431:AR$1631,
            Sheet1!AS$1431:AS$1631
        ),
        MATCH($A88, Sheet1!N$1431:N$1631, 0)
    ),
"")</f>
        <v/>
      </c>
      <c r="J88" s="73" t="str">
        <f t="shared" si="5"/>
        <v/>
      </c>
      <c r="K88" s="97" t="str">
        <f t="shared" si="6"/>
        <v/>
      </c>
      <c r="L88" s="131">
        <f>IFERROR(MIN(0,INDEX(Sheet1!$AD$10:$AD$999,MATCH(A88,Sheet1!$N$10:$N$999,0))),0)</f>
        <v>0</v>
      </c>
      <c r="M88" s="136">
        <f>IFERROR(MAX(0,INDEX(Sheet1!$AE$10:$AE$999,MATCH(A88,Sheet1!$N$10:$N$999,0))),0)</f>
        <v>0</v>
      </c>
      <c r="N88" s="111" t="str">
        <f t="shared" si="7"/>
        <v/>
      </c>
      <c r="O88" s="138">
        <f>IFERROR(MIN(0,INDEX(Sheet1!$AP$10:$AP$999,MATCH(A88,Sheet1!$N$10:$N$999,0))),0)</f>
        <v>0</v>
      </c>
      <c r="P88" s="143">
        <f>IFERROR(MAX(0,INDEX(Sheet1!$AO$10:$AO$999,MATCH(A88,Sheet1!$N$10:$N$999,0))),0)</f>
        <v>0</v>
      </c>
      <c r="Q88" s="111" t="str">
        <f t="shared" si="8"/>
        <v/>
      </c>
      <c r="R88" s="140">
        <f>IFERROR(MIN(0,INDEX(Sheet1!$BK$10:$BK$999,MATCH(A88,Sheet1!$N$10:$N$999,0))),0)</f>
        <v>0</v>
      </c>
      <c r="S88" s="141">
        <f>IFERROR(MAX(0,INDEX(Sheet1!$BK$10:$BK$999,MATCH(A88,Sheet1!$N$10:$N$999,0))),0)</f>
        <v>0</v>
      </c>
      <c r="T88" s="111" t="str">
        <f t="shared" si="9"/>
        <v/>
      </c>
      <c r="AA88" s="96"/>
    </row>
    <row r="89" spans="1:27" x14ac:dyDescent="0.3">
      <c r="A89" s="44"/>
      <c r="B89" s="152" t="str">
        <f>IFERROR(
    INDEX(
        CHOOSE(
            MATCH($C$1, {"All","Calls","Puts"}, 0),
            Sheet1!BN$10:BN$210,
            Sheet1!AR$10:AR$210,
            Sheet1!AS$10:AS$210
        ),
        MATCH($A89, Sheet1!N$10:N$210, 0)
    ),
"")</f>
        <v/>
      </c>
      <c r="C89" s="152" t="str">
        <f>IFERROR(
    INDEX(
        CHOOSE(
            MATCH($C$1, {"All","Calls","Puts"}, 0),
            Sheet1!BN$213:BN$413,
            Sheet1!AR$213:AR$413,
            Sheet1!AS$213:AS$413
        ),
        MATCH($A89, Sheet1!N$213:N$413, 0)
    ),
"")</f>
        <v/>
      </c>
      <c r="D89" s="152" t="str">
        <f>IFERROR(
    INDEX(
        CHOOSE(
            MATCH($C$1, {"All","Calls","Puts"}, 0),
            Sheet1!BN$416:BN$616,
            Sheet1!AR$416:AR$616,
            Sheet1!AS$416:AS$616
        ),
        MATCH($A89, Sheet1!N$416:N$616, 0)
    ),
"")</f>
        <v/>
      </c>
      <c r="E89" s="152" t="str">
        <f>IFERROR(
    INDEX(
        CHOOSE(
            MATCH($C$1, {"All","Calls","Puts"}, 0),
            Sheet1!BN$619:BN$819,
            Sheet1!AR$619:AR$819,
            Sheet1!AS$619:AS$819
        ),
        MATCH($A89, Sheet1!N$619:N$819, 0)
    ),
"")</f>
        <v/>
      </c>
      <c r="F89" s="152" t="str">
        <f>IFERROR(
    INDEX(
        CHOOSE(
            MATCH($C$1, {"All","Calls","Puts"}, 0),
            Sheet1!BN$822:BN$1022,
            Sheet1!AR$822:AR$1022,
            Sheet1!AS$822:AS$1022
        ),
        MATCH($A89, Sheet1!N$822:N$1022, 0)
    ),
"")</f>
        <v/>
      </c>
      <c r="G89" s="152" t="str">
        <f>IFERROR(
    INDEX(
        CHOOSE(
            MATCH($C$1, {"All","Calls","Puts"}, 0),
            Sheet1!BN$1025:BN$1225,
            Sheet1!AR$1025:AR$1225,
            Sheet1!AS$1025:AS$1225
        ),
        MATCH($A89, Sheet1!N$1025:N$1225, 0)
    ),
"")</f>
        <v/>
      </c>
      <c r="H89" s="152" t="str">
        <f>IFERROR(
    INDEX(
        CHOOSE(
            MATCH($C$1, {"All","Calls","Puts"}, 0),
            Sheet1!BN$1228:BN$1428,
            Sheet1!AR$1228:AR$1428,
            Sheet1!AS$1228:AS$1428
        ),
        MATCH($A89, Sheet1!N$1228:N$1428, 0)
    ),
"")</f>
        <v/>
      </c>
      <c r="I89" s="152" t="str">
        <f>IFERROR(
    INDEX(
        CHOOSE(
            MATCH($C$1, {"All","Calls","Puts"}, 0),
            Sheet1!BN$1431:BN$1631,
            Sheet1!AR$1431:AR$1631,
            Sheet1!AS$1431:AS$1631
        ),
        MATCH($A89, Sheet1!N$1431:N$1631, 0)
    ),
"")</f>
        <v/>
      </c>
      <c r="J89" s="73" t="str">
        <f t="shared" si="5"/>
        <v/>
      </c>
      <c r="K89" s="97" t="str">
        <f t="shared" si="6"/>
        <v/>
      </c>
      <c r="L89" s="131">
        <f>IFERROR(MIN(0,INDEX(Sheet1!$AD$10:$AD$999,MATCH(A89,Sheet1!$N$10:$N$999,0))),0)</f>
        <v>0</v>
      </c>
      <c r="M89" s="136">
        <f>IFERROR(MAX(0,INDEX(Sheet1!$AE$10:$AE$999,MATCH(A89,Sheet1!$N$10:$N$999,0))),0)</f>
        <v>0</v>
      </c>
      <c r="N89" s="111" t="str">
        <f t="shared" si="7"/>
        <v/>
      </c>
      <c r="O89" s="138">
        <f>IFERROR(MIN(0,INDEX(Sheet1!$AP$10:$AP$999,MATCH(A89,Sheet1!$N$10:$N$999,0))),0)</f>
        <v>0</v>
      </c>
      <c r="P89" s="143">
        <f>IFERROR(MAX(0,INDEX(Sheet1!$AO$10:$AO$999,MATCH(A89,Sheet1!$N$10:$N$999,0))),0)</f>
        <v>0</v>
      </c>
      <c r="Q89" s="111" t="str">
        <f t="shared" si="8"/>
        <v/>
      </c>
      <c r="R89" s="140">
        <f>IFERROR(MIN(0,INDEX(Sheet1!$BK$10:$BK$999,MATCH(A89,Sheet1!$N$10:$N$999,0))),0)</f>
        <v>0</v>
      </c>
      <c r="S89" s="141">
        <f>IFERROR(MAX(0,INDEX(Sheet1!$BK$10:$BK$999,MATCH(A89,Sheet1!$N$10:$N$999,0))),0)</f>
        <v>0</v>
      </c>
      <c r="T89" s="111" t="str">
        <f t="shared" si="9"/>
        <v/>
      </c>
      <c r="AA89" s="96"/>
    </row>
    <row r="90" spans="1:27" x14ac:dyDescent="0.3">
      <c r="A90" s="44"/>
      <c r="B90" s="152" t="str">
        <f>IFERROR(
    INDEX(
        CHOOSE(
            MATCH($C$1, {"All","Calls","Puts"}, 0),
            Sheet1!BN$10:BN$210,
            Sheet1!AR$10:AR$210,
            Sheet1!AS$10:AS$210
        ),
        MATCH($A90, Sheet1!N$10:N$210, 0)
    ),
"")</f>
        <v/>
      </c>
      <c r="C90" s="152" t="str">
        <f>IFERROR(
    INDEX(
        CHOOSE(
            MATCH($C$1, {"All","Calls","Puts"}, 0),
            Sheet1!BN$213:BN$413,
            Sheet1!AR$213:AR$413,
            Sheet1!AS$213:AS$413
        ),
        MATCH($A90, Sheet1!N$213:N$413, 0)
    ),
"")</f>
        <v/>
      </c>
      <c r="D90" s="152" t="str">
        <f>IFERROR(
    INDEX(
        CHOOSE(
            MATCH($C$1, {"All","Calls","Puts"}, 0),
            Sheet1!BN$416:BN$616,
            Sheet1!AR$416:AR$616,
            Sheet1!AS$416:AS$616
        ),
        MATCH($A90, Sheet1!N$416:N$616, 0)
    ),
"")</f>
        <v/>
      </c>
      <c r="E90" s="152" t="str">
        <f>IFERROR(
    INDEX(
        CHOOSE(
            MATCH($C$1, {"All","Calls","Puts"}, 0),
            Sheet1!BN$619:BN$819,
            Sheet1!AR$619:AR$819,
            Sheet1!AS$619:AS$819
        ),
        MATCH($A90, Sheet1!N$619:N$819, 0)
    ),
"")</f>
        <v/>
      </c>
      <c r="F90" s="152" t="str">
        <f>IFERROR(
    INDEX(
        CHOOSE(
            MATCH($C$1, {"All","Calls","Puts"}, 0),
            Sheet1!BN$822:BN$1022,
            Sheet1!AR$822:AR$1022,
            Sheet1!AS$822:AS$1022
        ),
        MATCH($A90, Sheet1!N$822:N$1022, 0)
    ),
"")</f>
        <v/>
      </c>
      <c r="G90" s="152" t="str">
        <f>IFERROR(
    INDEX(
        CHOOSE(
            MATCH($C$1, {"All","Calls","Puts"}, 0),
            Sheet1!BN$1025:BN$1225,
            Sheet1!AR$1025:AR$1225,
            Sheet1!AS$1025:AS$1225
        ),
        MATCH($A90, Sheet1!N$1025:N$1225, 0)
    ),
"")</f>
        <v/>
      </c>
      <c r="H90" s="152" t="str">
        <f>IFERROR(
    INDEX(
        CHOOSE(
            MATCH($C$1, {"All","Calls","Puts"}, 0),
            Sheet1!BN$1228:BN$1428,
            Sheet1!AR$1228:AR$1428,
            Sheet1!AS$1228:AS$1428
        ),
        MATCH($A90, Sheet1!N$1228:N$1428, 0)
    ),
"")</f>
        <v/>
      </c>
      <c r="I90" s="152" t="str">
        <f>IFERROR(
    INDEX(
        CHOOSE(
            MATCH($C$1, {"All","Calls","Puts"}, 0),
            Sheet1!BN$1431:BN$1631,
            Sheet1!AR$1431:AR$1631,
            Sheet1!AS$1431:AS$1631
        ),
        MATCH($A90, Sheet1!N$1431:N$1631, 0)
    ),
"")</f>
        <v/>
      </c>
      <c r="J90" s="73" t="str">
        <f t="shared" si="5"/>
        <v/>
      </c>
      <c r="K90" s="97" t="str">
        <f t="shared" si="6"/>
        <v/>
      </c>
      <c r="L90" s="131">
        <f>IFERROR(MIN(0,INDEX(Sheet1!$AD$10:$AD$999,MATCH(A90,Sheet1!$N$10:$N$999,0))),0)</f>
        <v>0</v>
      </c>
      <c r="M90" s="136">
        <f>IFERROR(MAX(0,INDEX(Sheet1!$AE$10:$AE$999,MATCH(A90,Sheet1!$N$10:$N$999,0))),0)</f>
        <v>0</v>
      </c>
      <c r="N90" s="111" t="str">
        <f t="shared" si="7"/>
        <v/>
      </c>
      <c r="O90" s="138">
        <f>IFERROR(MIN(0,INDEX(Sheet1!$AP$10:$AP$999,MATCH(A90,Sheet1!$N$10:$N$999,0))),0)</f>
        <v>0</v>
      </c>
      <c r="P90" s="143">
        <f>IFERROR(MAX(0,INDEX(Sheet1!$AO$10:$AO$999,MATCH(A90,Sheet1!$N$10:$N$999,0))),0)</f>
        <v>0</v>
      </c>
      <c r="Q90" s="111" t="str">
        <f t="shared" si="8"/>
        <v/>
      </c>
      <c r="R90" s="140">
        <f>IFERROR(MIN(0,INDEX(Sheet1!$BK$10:$BK$999,MATCH(A90,Sheet1!$N$10:$N$999,0))),0)</f>
        <v>0</v>
      </c>
      <c r="S90" s="141">
        <f>IFERROR(MAX(0,INDEX(Sheet1!$BK$10:$BK$999,MATCH(A90,Sheet1!$N$10:$N$999,0))),0)</f>
        <v>0</v>
      </c>
      <c r="T90" s="111" t="str">
        <f t="shared" si="9"/>
        <v/>
      </c>
      <c r="AA90" s="96"/>
    </row>
    <row r="91" spans="1:27" x14ac:dyDescent="0.3">
      <c r="A91" s="44"/>
      <c r="B91" s="152" t="str">
        <f>IFERROR(
    INDEX(
        CHOOSE(
            MATCH($C$1, {"All","Calls","Puts"}, 0),
            Sheet1!BN$10:BN$210,
            Sheet1!AR$10:AR$210,
            Sheet1!AS$10:AS$210
        ),
        MATCH($A91, Sheet1!N$10:N$210, 0)
    ),
"")</f>
        <v/>
      </c>
      <c r="C91" s="152" t="str">
        <f>IFERROR(
    INDEX(
        CHOOSE(
            MATCH($C$1, {"All","Calls","Puts"}, 0),
            Sheet1!BN$213:BN$413,
            Sheet1!AR$213:AR$413,
            Sheet1!AS$213:AS$413
        ),
        MATCH($A91, Sheet1!N$213:N$413, 0)
    ),
"")</f>
        <v/>
      </c>
      <c r="D91" s="152" t="str">
        <f>IFERROR(
    INDEX(
        CHOOSE(
            MATCH($C$1, {"All","Calls","Puts"}, 0),
            Sheet1!BN$416:BN$616,
            Sheet1!AR$416:AR$616,
            Sheet1!AS$416:AS$616
        ),
        MATCH($A91, Sheet1!N$416:N$616, 0)
    ),
"")</f>
        <v/>
      </c>
      <c r="E91" s="152" t="str">
        <f>IFERROR(
    INDEX(
        CHOOSE(
            MATCH($C$1, {"All","Calls","Puts"}, 0),
            Sheet1!BN$619:BN$819,
            Sheet1!AR$619:AR$819,
            Sheet1!AS$619:AS$819
        ),
        MATCH($A91, Sheet1!N$619:N$819, 0)
    ),
"")</f>
        <v/>
      </c>
      <c r="F91" s="152" t="str">
        <f>IFERROR(
    INDEX(
        CHOOSE(
            MATCH($C$1, {"All","Calls","Puts"}, 0),
            Sheet1!BN$822:BN$1022,
            Sheet1!AR$822:AR$1022,
            Sheet1!AS$822:AS$1022
        ),
        MATCH($A91, Sheet1!N$822:N$1022, 0)
    ),
"")</f>
        <v/>
      </c>
      <c r="G91" s="152" t="str">
        <f>IFERROR(
    INDEX(
        CHOOSE(
            MATCH($C$1, {"All","Calls","Puts"}, 0),
            Sheet1!BN$1025:BN$1225,
            Sheet1!AR$1025:AR$1225,
            Sheet1!AS$1025:AS$1225
        ),
        MATCH($A91, Sheet1!N$1025:N$1225, 0)
    ),
"")</f>
        <v/>
      </c>
      <c r="H91" s="152" t="str">
        <f>IFERROR(
    INDEX(
        CHOOSE(
            MATCH($C$1, {"All","Calls","Puts"}, 0),
            Sheet1!BN$1228:BN$1428,
            Sheet1!AR$1228:AR$1428,
            Sheet1!AS$1228:AS$1428
        ),
        MATCH($A91, Sheet1!N$1228:N$1428, 0)
    ),
"")</f>
        <v/>
      </c>
      <c r="I91" s="152" t="str">
        <f>IFERROR(
    INDEX(
        CHOOSE(
            MATCH($C$1, {"All","Calls","Puts"}, 0),
            Sheet1!BN$1431:BN$1631,
            Sheet1!AR$1431:AR$1631,
            Sheet1!AS$1431:AS$1631
        ),
        MATCH($A91, Sheet1!N$1431:N$1631, 0)
    ),
"")</f>
        <v/>
      </c>
      <c r="J91" s="73" t="str">
        <f t="shared" si="5"/>
        <v/>
      </c>
      <c r="K91" s="97" t="str">
        <f t="shared" si="6"/>
        <v/>
      </c>
      <c r="L91" s="131">
        <f>IFERROR(MIN(0,INDEX(Sheet1!$AD$10:$AD$999,MATCH(A91,Sheet1!$N$10:$N$999,0))),0)</f>
        <v>0</v>
      </c>
      <c r="M91" s="136">
        <f>IFERROR(MAX(0,INDEX(Sheet1!$AE$10:$AE$999,MATCH(A91,Sheet1!$N$10:$N$999,0))),0)</f>
        <v>0</v>
      </c>
      <c r="N91" s="111" t="str">
        <f t="shared" si="7"/>
        <v/>
      </c>
      <c r="O91" s="138">
        <f>IFERROR(MIN(0,INDEX(Sheet1!$AP$10:$AP$999,MATCH(A91,Sheet1!$N$10:$N$999,0))),0)</f>
        <v>0</v>
      </c>
      <c r="P91" s="143">
        <f>IFERROR(MAX(0,INDEX(Sheet1!$AO$10:$AO$999,MATCH(A91,Sheet1!$N$10:$N$999,0))),0)</f>
        <v>0</v>
      </c>
      <c r="Q91" s="111" t="str">
        <f t="shared" si="8"/>
        <v/>
      </c>
      <c r="R91" s="140">
        <f>IFERROR(MIN(0,INDEX(Sheet1!$BK$10:$BK$999,MATCH(A91,Sheet1!$N$10:$N$999,0))),0)</f>
        <v>0</v>
      </c>
      <c r="S91" s="141">
        <f>IFERROR(MAX(0,INDEX(Sheet1!$BK$10:$BK$999,MATCH(A91,Sheet1!$N$10:$N$999,0))),0)</f>
        <v>0</v>
      </c>
      <c r="T91" s="111" t="str">
        <f t="shared" si="9"/>
        <v/>
      </c>
      <c r="AA91" s="96"/>
    </row>
    <row r="92" spans="1:27" x14ac:dyDescent="0.3">
      <c r="A92" s="44"/>
      <c r="B92" s="152" t="str">
        <f>IFERROR(
    INDEX(
        CHOOSE(
            MATCH($C$1, {"All","Calls","Puts"}, 0),
            Sheet1!BN$10:BN$210,
            Sheet1!AR$10:AR$210,
            Sheet1!AS$10:AS$210
        ),
        MATCH($A92, Sheet1!N$10:N$210, 0)
    ),
"")</f>
        <v/>
      </c>
      <c r="C92" s="152" t="str">
        <f>IFERROR(
    INDEX(
        CHOOSE(
            MATCH($C$1, {"All","Calls","Puts"}, 0),
            Sheet1!BN$213:BN$413,
            Sheet1!AR$213:AR$413,
            Sheet1!AS$213:AS$413
        ),
        MATCH($A92, Sheet1!N$213:N$413, 0)
    ),
"")</f>
        <v/>
      </c>
      <c r="D92" s="152" t="str">
        <f>IFERROR(
    INDEX(
        CHOOSE(
            MATCH($C$1, {"All","Calls","Puts"}, 0),
            Sheet1!BN$416:BN$616,
            Sheet1!AR$416:AR$616,
            Sheet1!AS$416:AS$616
        ),
        MATCH($A92, Sheet1!N$416:N$616, 0)
    ),
"")</f>
        <v/>
      </c>
      <c r="E92" s="152" t="str">
        <f>IFERROR(
    INDEX(
        CHOOSE(
            MATCH($C$1, {"All","Calls","Puts"}, 0),
            Sheet1!BN$619:BN$819,
            Sheet1!AR$619:AR$819,
            Sheet1!AS$619:AS$819
        ),
        MATCH($A92, Sheet1!N$619:N$819, 0)
    ),
"")</f>
        <v/>
      </c>
      <c r="F92" s="152" t="str">
        <f>IFERROR(
    INDEX(
        CHOOSE(
            MATCH($C$1, {"All","Calls","Puts"}, 0),
            Sheet1!BN$822:BN$1022,
            Sheet1!AR$822:AR$1022,
            Sheet1!AS$822:AS$1022
        ),
        MATCH($A92, Sheet1!N$822:N$1022, 0)
    ),
"")</f>
        <v/>
      </c>
      <c r="G92" s="152" t="str">
        <f>IFERROR(
    INDEX(
        CHOOSE(
            MATCH($C$1, {"All","Calls","Puts"}, 0),
            Sheet1!BN$1025:BN$1225,
            Sheet1!AR$1025:AR$1225,
            Sheet1!AS$1025:AS$1225
        ),
        MATCH($A92, Sheet1!N$1025:N$1225, 0)
    ),
"")</f>
        <v/>
      </c>
      <c r="H92" s="152" t="str">
        <f>IFERROR(
    INDEX(
        CHOOSE(
            MATCH($C$1, {"All","Calls","Puts"}, 0),
            Sheet1!BN$1228:BN$1428,
            Sheet1!AR$1228:AR$1428,
            Sheet1!AS$1228:AS$1428
        ),
        MATCH($A92, Sheet1!N$1228:N$1428, 0)
    ),
"")</f>
        <v/>
      </c>
      <c r="I92" s="152" t="str">
        <f>IFERROR(
    INDEX(
        CHOOSE(
            MATCH($C$1, {"All","Calls","Puts"}, 0),
            Sheet1!BN$1431:BN$1631,
            Sheet1!AR$1431:AR$1631,
            Sheet1!AS$1431:AS$1631
        ),
        MATCH($A92, Sheet1!N$1431:N$1631, 0)
    ),
"")</f>
        <v/>
      </c>
      <c r="J92" s="73" t="str">
        <f t="shared" si="5"/>
        <v/>
      </c>
      <c r="K92" s="97" t="str">
        <f t="shared" si="6"/>
        <v/>
      </c>
      <c r="L92" s="131">
        <f>IFERROR(MIN(0,INDEX(Sheet1!$AD$10:$AD$999,MATCH(A92,Sheet1!$N$10:$N$999,0))),0)</f>
        <v>0</v>
      </c>
      <c r="M92" s="136">
        <f>IFERROR(MAX(0,INDEX(Sheet1!$AE$10:$AE$999,MATCH(A92,Sheet1!$N$10:$N$999,0))),0)</f>
        <v>0</v>
      </c>
      <c r="N92" s="111" t="str">
        <f t="shared" si="7"/>
        <v/>
      </c>
      <c r="O92" s="138">
        <f>IFERROR(MIN(0,INDEX(Sheet1!$AP$10:$AP$999,MATCH(A92,Sheet1!$N$10:$N$999,0))),0)</f>
        <v>0</v>
      </c>
      <c r="P92" s="143">
        <f>IFERROR(MAX(0,INDEX(Sheet1!$AO$10:$AO$999,MATCH(A92,Sheet1!$N$10:$N$999,0))),0)</f>
        <v>0</v>
      </c>
      <c r="Q92" s="111" t="str">
        <f t="shared" si="8"/>
        <v/>
      </c>
      <c r="R92" s="140">
        <f>IFERROR(MIN(0,INDEX(Sheet1!$BK$10:$BK$999,MATCH(A92,Sheet1!$N$10:$N$999,0))),0)</f>
        <v>0</v>
      </c>
      <c r="S92" s="141">
        <f>IFERROR(MAX(0,INDEX(Sheet1!$BK$10:$BK$999,MATCH(A92,Sheet1!$N$10:$N$999,0))),0)</f>
        <v>0</v>
      </c>
      <c r="T92" s="111" t="str">
        <f t="shared" si="9"/>
        <v/>
      </c>
      <c r="AA92" s="96"/>
    </row>
    <row r="93" spans="1:27" x14ac:dyDescent="0.3">
      <c r="A93" s="44"/>
      <c r="B93" s="152" t="str">
        <f>IFERROR(
    INDEX(
        CHOOSE(
            MATCH($C$1, {"All","Calls","Puts"}, 0),
            Sheet1!BN$10:BN$210,
            Sheet1!AR$10:AR$210,
            Sheet1!AS$10:AS$210
        ),
        MATCH($A93, Sheet1!N$10:N$210, 0)
    ),
"")</f>
        <v/>
      </c>
      <c r="C93" s="152" t="str">
        <f>IFERROR(
    INDEX(
        CHOOSE(
            MATCH($C$1, {"All","Calls","Puts"}, 0),
            Sheet1!BN$213:BN$413,
            Sheet1!AR$213:AR$413,
            Sheet1!AS$213:AS$413
        ),
        MATCH($A93, Sheet1!N$213:N$413, 0)
    ),
"")</f>
        <v/>
      </c>
      <c r="D93" s="152" t="str">
        <f>IFERROR(
    INDEX(
        CHOOSE(
            MATCH($C$1, {"All","Calls","Puts"}, 0),
            Sheet1!BN$416:BN$616,
            Sheet1!AR$416:AR$616,
            Sheet1!AS$416:AS$616
        ),
        MATCH($A93, Sheet1!N$416:N$616, 0)
    ),
"")</f>
        <v/>
      </c>
      <c r="E93" s="152" t="str">
        <f>IFERROR(
    INDEX(
        CHOOSE(
            MATCH($C$1, {"All","Calls","Puts"}, 0),
            Sheet1!BN$619:BN$819,
            Sheet1!AR$619:AR$819,
            Sheet1!AS$619:AS$819
        ),
        MATCH($A93, Sheet1!N$619:N$819, 0)
    ),
"")</f>
        <v/>
      </c>
      <c r="F93" s="152" t="str">
        <f>IFERROR(
    INDEX(
        CHOOSE(
            MATCH($C$1, {"All","Calls","Puts"}, 0),
            Sheet1!BN$822:BN$1022,
            Sheet1!AR$822:AR$1022,
            Sheet1!AS$822:AS$1022
        ),
        MATCH($A93, Sheet1!N$822:N$1022, 0)
    ),
"")</f>
        <v/>
      </c>
      <c r="G93" s="152" t="str">
        <f>IFERROR(
    INDEX(
        CHOOSE(
            MATCH($C$1, {"All","Calls","Puts"}, 0),
            Sheet1!BN$1025:BN$1225,
            Sheet1!AR$1025:AR$1225,
            Sheet1!AS$1025:AS$1225
        ),
        MATCH($A93, Sheet1!N$1025:N$1225, 0)
    ),
"")</f>
        <v/>
      </c>
      <c r="H93" s="152" t="str">
        <f>IFERROR(
    INDEX(
        CHOOSE(
            MATCH($C$1, {"All","Calls","Puts"}, 0),
            Sheet1!BN$1228:BN$1428,
            Sheet1!AR$1228:AR$1428,
            Sheet1!AS$1228:AS$1428
        ),
        MATCH($A93, Sheet1!N$1228:N$1428, 0)
    ),
"")</f>
        <v/>
      </c>
      <c r="I93" s="152" t="str">
        <f>IFERROR(
    INDEX(
        CHOOSE(
            MATCH($C$1, {"All","Calls","Puts"}, 0),
            Sheet1!BN$1431:BN$1631,
            Sheet1!AR$1431:AR$1631,
            Sheet1!AS$1431:AS$1631
        ),
        MATCH($A93, Sheet1!N$1431:N$1631, 0)
    ),
"")</f>
        <v/>
      </c>
      <c r="J93" s="73" t="str">
        <f t="shared" si="5"/>
        <v/>
      </c>
      <c r="K93" s="97" t="str">
        <f t="shared" si="6"/>
        <v/>
      </c>
      <c r="L93" s="131">
        <f>IFERROR(MIN(0,INDEX(Sheet1!$AD$10:$AD$999,MATCH(A93,Sheet1!$N$10:$N$999,0))),0)</f>
        <v>0</v>
      </c>
      <c r="M93" s="136">
        <f>IFERROR(MAX(0,INDEX(Sheet1!$AE$10:$AE$999,MATCH(A93,Sheet1!$N$10:$N$999,0))),0)</f>
        <v>0</v>
      </c>
      <c r="N93" s="111" t="str">
        <f t="shared" si="7"/>
        <v/>
      </c>
      <c r="O93" s="138">
        <f>IFERROR(MIN(0,INDEX(Sheet1!$AP$10:$AP$999,MATCH(A93,Sheet1!$N$10:$N$999,0))),0)</f>
        <v>0</v>
      </c>
      <c r="P93" s="143">
        <f>IFERROR(MAX(0,INDEX(Sheet1!$AO$10:$AO$999,MATCH(A93,Sheet1!$N$10:$N$999,0))),0)</f>
        <v>0</v>
      </c>
      <c r="Q93" s="111" t="str">
        <f t="shared" si="8"/>
        <v/>
      </c>
      <c r="R93" s="140">
        <f>IFERROR(MIN(0,INDEX(Sheet1!$BK$10:$BK$999,MATCH(A93,Sheet1!$N$10:$N$999,0))),0)</f>
        <v>0</v>
      </c>
      <c r="S93" s="141">
        <f>IFERROR(MAX(0,INDEX(Sheet1!$BK$10:$BK$999,MATCH(A93,Sheet1!$N$10:$N$999,0))),0)</f>
        <v>0</v>
      </c>
      <c r="T93" s="111" t="str">
        <f t="shared" si="9"/>
        <v/>
      </c>
      <c r="AA93" s="96"/>
    </row>
    <row r="94" spans="1:27" x14ac:dyDescent="0.3">
      <c r="A94" s="44"/>
      <c r="B94" s="152" t="str">
        <f>IFERROR(
    INDEX(
        CHOOSE(
            MATCH($C$1, {"All","Calls","Puts"}, 0),
            Sheet1!BN$10:BN$210,
            Sheet1!AR$10:AR$210,
            Sheet1!AS$10:AS$210
        ),
        MATCH($A94, Sheet1!N$10:N$210, 0)
    ),
"")</f>
        <v/>
      </c>
      <c r="C94" s="152" t="str">
        <f>IFERROR(
    INDEX(
        CHOOSE(
            MATCH($C$1, {"All","Calls","Puts"}, 0),
            Sheet1!BN$213:BN$413,
            Sheet1!AR$213:AR$413,
            Sheet1!AS$213:AS$413
        ),
        MATCH($A94, Sheet1!N$213:N$413, 0)
    ),
"")</f>
        <v/>
      </c>
      <c r="D94" s="152" t="str">
        <f>IFERROR(
    INDEX(
        CHOOSE(
            MATCH($C$1, {"All","Calls","Puts"}, 0),
            Sheet1!BN$416:BN$616,
            Sheet1!AR$416:AR$616,
            Sheet1!AS$416:AS$616
        ),
        MATCH($A94, Sheet1!N$416:N$616, 0)
    ),
"")</f>
        <v/>
      </c>
      <c r="E94" s="152" t="str">
        <f>IFERROR(
    INDEX(
        CHOOSE(
            MATCH($C$1, {"All","Calls","Puts"}, 0),
            Sheet1!BN$619:BN$819,
            Sheet1!AR$619:AR$819,
            Sheet1!AS$619:AS$819
        ),
        MATCH($A94, Sheet1!N$619:N$819, 0)
    ),
"")</f>
        <v/>
      </c>
      <c r="F94" s="152" t="str">
        <f>IFERROR(
    INDEX(
        CHOOSE(
            MATCH($C$1, {"All","Calls","Puts"}, 0),
            Sheet1!BN$822:BN$1022,
            Sheet1!AR$822:AR$1022,
            Sheet1!AS$822:AS$1022
        ),
        MATCH($A94, Sheet1!N$822:N$1022, 0)
    ),
"")</f>
        <v/>
      </c>
      <c r="G94" s="152" t="str">
        <f>IFERROR(
    INDEX(
        CHOOSE(
            MATCH($C$1, {"All","Calls","Puts"}, 0),
            Sheet1!BN$1025:BN$1225,
            Sheet1!AR$1025:AR$1225,
            Sheet1!AS$1025:AS$1225
        ),
        MATCH($A94, Sheet1!N$1025:N$1225, 0)
    ),
"")</f>
        <v/>
      </c>
      <c r="H94" s="152" t="str">
        <f>IFERROR(
    INDEX(
        CHOOSE(
            MATCH($C$1, {"All","Calls","Puts"}, 0),
            Sheet1!BN$1228:BN$1428,
            Sheet1!AR$1228:AR$1428,
            Sheet1!AS$1228:AS$1428
        ),
        MATCH($A94, Sheet1!N$1228:N$1428, 0)
    ),
"")</f>
        <v/>
      </c>
      <c r="I94" s="152" t="str">
        <f>IFERROR(
    INDEX(
        CHOOSE(
            MATCH($C$1, {"All","Calls","Puts"}, 0),
            Sheet1!BN$1431:BN$1631,
            Sheet1!AR$1431:AR$1631,
            Sheet1!AS$1431:AS$1631
        ),
        MATCH($A94, Sheet1!N$1431:N$1631, 0)
    ),
"")</f>
        <v/>
      </c>
      <c r="J94" s="73" t="str">
        <f t="shared" si="5"/>
        <v/>
      </c>
      <c r="K94" s="97" t="str">
        <f t="shared" si="6"/>
        <v/>
      </c>
      <c r="L94" s="131">
        <f>IFERROR(MIN(0,INDEX(Sheet1!$AD$10:$AD$999,MATCH(A94,Sheet1!$N$10:$N$999,0))),0)</f>
        <v>0</v>
      </c>
      <c r="M94" s="136">
        <f>IFERROR(MAX(0,INDEX(Sheet1!$AE$10:$AE$999,MATCH(A94,Sheet1!$N$10:$N$999,0))),0)</f>
        <v>0</v>
      </c>
      <c r="N94" s="111" t="str">
        <f t="shared" si="7"/>
        <v/>
      </c>
      <c r="O94" s="138">
        <f>IFERROR(MIN(0,INDEX(Sheet1!$AP$10:$AP$999,MATCH(A94,Sheet1!$N$10:$N$999,0))),0)</f>
        <v>0</v>
      </c>
      <c r="P94" s="143">
        <f>IFERROR(MAX(0,INDEX(Sheet1!$AO$10:$AO$999,MATCH(A94,Sheet1!$N$10:$N$999,0))),0)</f>
        <v>0</v>
      </c>
      <c r="Q94" s="111" t="str">
        <f t="shared" si="8"/>
        <v/>
      </c>
      <c r="R94" s="140">
        <f>IFERROR(MIN(0,INDEX(Sheet1!$BK$10:$BK$999,MATCH(A94,Sheet1!$N$10:$N$999,0))),0)</f>
        <v>0</v>
      </c>
      <c r="S94" s="141">
        <f>IFERROR(MAX(0,INDEX(Sheet1!$BK$10:$BK$999,MATCH(A94,Sheet1!$N$10:$N$999,0))),0)</f>
        <v>0</v>
      </c>
      <c r="T94" s="111" t="str">
        <f t="shared" si="9"/>
        <v/>
      </c>
      <c r="AA94" s="96"/>
    </row>
    <row r="95" spans="1:27" x14ac:dyDescent="0.3">
      <c r="A95" s="44"/>
      <c r="B95" s="152" t="str">
        <f>IFERROR(
    INDEX(
        CHOOSE(
            MATCH($C$1, {"All","Calls","Puts"}, 0),
            Sheet1!BN$10:BN$210,
            Sheet1!AR$10:AR$210,
            Sheet1!AS$10:AS$210
        ),
        MATCH($A95, Sheet1!N$10:N$210, 0)
    ),
"")</f>
        <v/>
      </c>
      <c r="C95" s="152" t="str">
        <f>IFERROR(
    INDEX(
        CHOOSE(
            MATCH($C$1, {"All","Calls","Puts"}, 0),
            Sheet1!BN$213:BN$413,
            Sheet1!AR$213:AR$413,
            Sheet1!AS$213:AS$413
        ),
        MATCH($A95, Sheet1!N$213:N$413, 0)
    ),
"")</f>
        <v/>
      </c>
      <c r="D95" s="152" t="str">
        <f>IFERROR(
    INDEX(
        CHOOSE(
            MATCH($C$1, {"All","Calls","Puts"}, 0),
            Sheet1!BN$416:BN$616,
            Sheet1!AR$416:AR$616,
            Sheet1!AS$416:AS$616
        ),
        MATCH($A95, Sheet1!N$416:N$616, 0)
    ),
"")</f>
        <v/>
      </c>
      <c r="E95" s="152" t="str">
        <f>IFERROR(
    INDEX(
        CHOOSE(
            MATCH($C$1, {"All","Calls","Puts"}, 0),
            Sheet1!BN$619:BN$819,
            Sheet1!AR$619:AR$819,
            Sheet1!AS$619:AS$819
        ),
        MATCH($A95, Sheet1!N$619:N$819, 0)
    ),
"")</f>
        <v/>
      </c>
      <c r="F95" s="152" t="str">
        <f>IFERROR(
    INDEX(
        CHOOSE(
            MATCH($C$1, {"All","Calls","Puts"}, 0),
            Sheet1!BN$822:BN$1022,
            Sheet1!AR$822:AR$1022,
            Sheet1!AS$822:AS$1022
        ),
        MATCH($A95, Sheet1!N$822:N$1022, 0)
    ),
"")</f>
        <v/>
      </c>
      <c r="G95" s="152" t="str">
        <f>IFERROR(
    INDEX(
        CHOOSE(
            MATCH($C$1, {"All","Calls","Puts"}, 0),
            Sheet1!BN$1025:BN$1225,
            Sheet1!AR$1025:AR$1225,
            Sheet1!AS$1025:AS$1225
        ),
        MATCH($A95, Sheet1!N$1025:N$1225, 0)
    ),
"")</f>
        <v/>
      </c>
      <c r="H95" s="152" t="str">
        <f>IFERROR(
    INDEX(
        CHOOSE(
            MATCH($C$1, {"All","Calls","Puts"}, 0),
            Sheet1!BN$1228:BN$1428,
            Sheet1!AR$1228:AR$1428,
            Sheet1!AS$1228:AS$1428
        ),
        MATCH($A95, Sheet1!N$1228:N$1428, 0)
    ),
"")</f>
        <v/>
      </c>
      <c r="I95" s="152" t="str">
        <f>IFERROR(
    INDEX(
        CHOOSE(
            MATCH($C$1, {"All","Calls","Puts"}, 0),
            Sheet1!BN$1431:BN$1631,
            Sheet1!AR$1431:AR$1631,
            Sheet1!AS$1431:AS$1631
        ),
        MATCH($A95, Sheet1!N$1431:N$1631, 0)
    ),
"")</f>
        <v/>
      </c>
      <c r="J95" s="73" t="str">
        <f t="shared" si="5"/>
        <v/>
      </c>
      <c r="K95" s="97" t="str">
        <f t="shared" si="6"/>
        <v/>
      </c>
      <c r="L95" s="131">
        <f>IFERROR(MIN(0,INDEX(Sheet1!$AD$10:$AD$999,MATCH(A95,Sheet1!$N$10:$N$999,0))),0)</f>
        <v>0</v>
      </c>
      <c r="M95" s="136">
        <f>IFERROR(MAX(0,INDEX(Sheet1!$AE$10:$AE$999,MATCH(A95,Sheet1!$N$10:$N$999,0))),0)</f>
        <v>0</v>
      </c>
      <c r="N95" s="111" t="str">
        <f t="shared" si="7"/>
        <v/>
      </c>
      <c r="O95" s="138">
        <f>IFERROR(MIN(0,INDEX(Sheet1!$AP$10:$AP$999,MATCH(A95,Sheet1!$N$10:$N$999,0))),0)</f>
        <v>0</v>
      </c>
      <c r="P95" s="143">
        <f>IFERROR(MAX(0,INDEX(Sheet1!$AO$10:$AO$999,MATCH(A95,Sheet1!$N$10:$N$999,0))),0)</f>
        <v>0</v>
      </c>
      <c r="Q95" s="111" t="str">
        <f t="shared" si="8"/>
        <v/>
      </c>
      <c r="R95" s="140">
        <f>IFERROR(MIN(0,INDEX(Sheet1!$BK$10:$BK$999,MATCH(A95,Sheet1!$N$10:$N$999,0))),0)</f>
        <v>0</v>
      </c>
      <c r="S95" s="141">
        <f>IFERROR(MAX(0,INDEX(Sheet1!$BK$10:$BK$999,MATCH(A95,Sheet1!$N$10:$N$999,0))),0)</f>
        <v>0</v>
      </c>
      <c r="T95" s="111" t="str">
        <f t="shared" si="9"/>
        <v/>
      </c>
      <c r="AA95" s="96"/>
    </row>
    <row r="96" spans="1:27" x14ac:dyDescent="0.3">
      <c r="A96" s="44"/>
      <c r="B96" s="152" t="str">
        <f>IFERROR(
    INDEX(
        CHOOSE(
            MATCH($C$1, {"All","Calls","Puts"}, 0),
            Sheet1!BN$10:BN$210,
            Sheet1!AR$10:AR$210,
            Sheet1!AS$10:AS$210
        ),
        MATCH($A96, Sheet1!N$10:N$210, 0)
    ),
"")</f>
        <v/>
      </c>
      <c r="C96" s="152" t="str">
        <f>IFERROR(
    INDEX(
        CHOOSE(
            MATCH($C$1, {"All","Calls","Puts"}, 0),
            Sheet1!BN$213:BN$413,
            Sheet1!AR$213:AR$413,
            Sheet1!AS$213:AS$413
        ),
        MATCH($A96, Sheet1!N$213:N$413, 0)
    ),
"")</f>
        <v/>
      </c>
      <c r="D96" s="152" t="str">
        <f>IFERROR(
    INDEX(
        CHOOSE(
            MATCH($C$1, {"All","Calls","Puts"}, 0),
            Sheet1!BN$416:BN$616,
            Sheet1!AR$416:AR$616,
            Sheet1!AS$416:AS$616
        ),
        MATCH($A96, Sheet1!N$416:N$616, 0)
    ),
"")</f>
        <v/>
      </c>
      <c r="E96" s="152" t="str">
        <f>IFERROR(
    INDEX(
        CHOOSE(
            MATCH($C$1, {"All","Calls","Puts"}, 0),
            Sheet1!BN$619:BN$819,
            Sheet1!AR$619:AR$819,
            Sheet1!AS$619:AS$819
        ),
        MATCH($A96, Sheet1!N$619:N$819, 0)
    ),
"")</f>
        <v/>
      </c>
      <c r="F96" s="152" t="str">
        <f>IFERROR(
    INDEX(
        CHOOSE(
            MATCH($C$1, {"All","Calls","Puts"}, 0),
            Sheet1!BN$822:BN$1022,
            Sheet1!AR$822:AR$1022,
            Sheet1!AS$822:AS$1022
        ),
        MATCH($A96, Sheet1!N$822:N$1022, 0)
    ),
"")</f>
        <v/>
      </c>
      <c r="G96" s="152" t="str">
        <f>IFERROR(
    INDEX(
        CHOOSE(
            MATCH($C$1, {"All","Calls","Puts"}, 0),
            Sheet1!BN$1025:BN$1225,
            Sheet1!AR$1025:AR$1225,
            Sheet1!AS$1025:AS$1225
        ),
        MATCH($A96, Sheet1!N$1025:N$1225, 0)
    ),
"")</f>
        <v/>
      </c>
      <c r="H96" s="152" t="str">
        <f>IFERROR(
    INDEX(
        CHOOSE(
            MATCH($C$1, {"All","Calls","Puts"}, 0),
            Sheet1!BN$1228:BN$1428,
            Sheet1!AR$1228:AR$1428,
            Sheet1!AS$1228:AS$1428
        ),
        MATCH($A96, Sheet1!N$1228:N$1428, 0)
    ),
"")</f>
        <v/>
      </c>
      <c r="I96" s="152" t="str">
        <f>IFERROR(
    INDEX(
        CHOOSE(
            MATCH($C$1, {"All","Calls","Puts"}, 0),
            Sheet1!BN$1431:BN$1631,
            Sheet1!AR$1431:AR$1631,
            Sheet1!AS$1431:AS$1631
        ),
        MATCH($A96, Sheet1!N$1431:N$1631, 0)
    ),
"")</f>
        <v/>
      </c>
      <c r="J96" s="73" t="str">
        <f t="shared" si="5"/>
        <v/>
      </c>
      <c r="K96" s="97" t="str">
        <f t="shared" si="6"/>
        <v/>
      </c>
      <c r="L96" s="131">
        <f>IFERROR(MIN(0,INDEX(Sheet1!$AD$10:$AD$999,MATCH(A96,Sheet1!$N$10:$N$999,0))),0)</f>
        <v>0</v>
      </c>
      <c r="M96" s="136">
        <f>IFERROR(MAX(0,INDEX(Sheet1!$AE$10:$AE$999,MATCH(A96,Sheet1!$N$10:$N$999,0))),0)</f>
        <v>0</v>
      </c>
      <c r="N96" s="111" t="str">
        <f t="shared" si="7"/>
        <v/>
      </c>
      <c r="O96" s="138">
        <f>IFERROR(MIN(0,INDEX(Sheet1!$AP$10:$AP$999,MATCH(A96,Sheet1!$N$10:$N$999,0))),0)</f>
        <v>0</v>
      </c>
      <c r="P96" s="143">
        <f>IFERROR(MAX(0,INDEX(Sheet1!$AO$10:$AO$999,MATCH(A96,Sheet1!$N$10:$N$999,0))),0)</f>
        <v>0</v>
      </c>
      <c r="Q96" s="111" t="str">
        <f t="shared" si="8"/>
        <v/>
      </c>
      <c r="R96" s="140">
        <f>IFERROR(MIN(0,INDEX(Sheet1!$BK$10:$BK$999,MATCH(A96,Sheet1!$N$10:$N$999,0))),0)</f>
        <v>0</v>
      </c>
      <c r="S96" s="141">
        <f>IFERROR(MAX(0,INDEX(Sheet1!$BK$10:$BK$999,MATCH(A96,Sheet1!$N$10:$N$999,0))),0)</f>
        <v>0</v>
      </c>
      <c r="T96" s="111" t="str">
        <f t="shared" si="9"/>
        <v/>
      </c>
      <c r="AA96" s="96"/>
    </row>
    <row r="97" spans="1:27" x14ac:dyDescent="0.3">
      <c r="A97" s="44"/>
      <c r="B97" s="152" t="str">
        <f>IFERROR(
    INDEX(
        CHOOSE(
            MATCH($C$1, {"All","Calls","Puts"}, 0),
            Sheet1!BN$10:BN$210,
            Sheet1!AR$10:AR$210,
            Sheet1!AS$10:AS$210
        ),
        MATCH($A97, Sheet1!N$10:N$210, 0)
    ),
"")</f>
        <v/>
      </c>
      <c r="C97" s="152" t="str">
        <f>IFERROR(
    INDEX(
        CHOOSE(
            MATCH($C$1, {"All","Calls","Puts"}, 0),
            Sheet1!BN$213:BN$413,
            Sheet1!AR$213:AR$413,
            Sheet1!AS$213:AS$413
        ),
        MATCH($A97, Sheet1!N$213:N$413, 0)
    ),
"")</f>
        <v/>
      </c>
      <c r="D97" s="152" t="str">
        <f>IFERROR(
    INDEX(
        CHOOSE(
            MATCH($C$1, {"All","Calls","Puts"}, 0),
            Sheet1!BN$416:BN$616,
            Sheet1!AR$416:AR$616,
            Sheet1!AS$416:AS$616
        ),
        MATCH($A97, Sheet1!N$416:N$616, 0)
    ),
"")</f>
        <v/>
      </c>
      <c r="E97" s="152" t="str">
        <f>IFERROR(
    INDEX(
        CHOOSE(
            MATCH($C$1, {"All","Calls","Puts"}, 0),
            Sheet1!BN$619:BN$819,
            Sheet1!AR$619:AR$819,
            Sheet1!AS$619:AS$819
        ),
        MATCH($A97, Sheet1!N$619:N$819, 0)
    ),
"")</f>
        <v/>
      </c>
      <c r="F97" s="152" t="str">
        <f>IFERROR(
    INDEX(
        CHOOSE(
            MATCH($C$1, {"All","Calls","Puts"}, 0),
            Sheet1!BN$822:BN$1022,
            Sheet1!AR$822:AR$1022,
            Sheet1!AS$822:AS$1022
        ),
        MATCH($A97, Sheet1!N$822:N$1022, 0)
    ),
"")</f>
        <v/>
      </c>
      <c r="G97" s="152" t="str">
        <f>IFERROR(
    INDEX(
        CHOOSE(
            MATCH($C$1, {"All","Calls","Puts"}, 0),
            Sheet1!BN$1025:BN$1225,
            Sheet1!AR$1025:AR$1225,
            Sheet1!AS$1025:AS$1225
        ),
        MATCH($A97, Sheet1!N$1025:N$1225, 0)
    ),
"")</f>
        <v/>
      </c>
      <c r="H97" s="152" t="str">
        <f>IFERROR(
    INDEX(
        CHOOSE(
            MATCH($C$1, {"All","Calls","Puts"}, 0),
            Sheet1!BN$1228:BN$1428,
            Sheet1!AR$1228:AR$1428,
            Sheet1!AS$1228:AS$1428
        ),
        MATCH($A97, Sheet1!N$1228:N$1428, 0)
    ),
"")</f>
        <v/>
      </c>
      <c r="I97" s="152" t="str">
        <f>IFERROR(
    INDEX(
        CHOOSE(
            MATCH($C$1, {"All","Calls","Puts"}, 0),
            Sheet1!BN$1431:BN$1631,
            Sheet1!AR$1431:AR$1631,
            Sheet1!AS$1431:AS$1631
        ),
        MATCH($A97, Sheet1!N$1431:N$1631, 0)
    ),
"")</f>
        <v/>
      </c>
      <c r="J97" s="73" t="str">
        <f t="shared" si="5"/>
        <v/>
      </c>
      <c r="K97" s="97" t="str">
        <f t="shared" si="6"/>
        <v/>
      </c>
      <c r="L97" s="131">
        <f>IFERROR(MIN(0,INDEX(Sheet1!$AD$10:$AD$999,MATCH(A97,Sheet1!$N$10:$N$999,0))),0)</f>
        <v>0</v>
      </c>
      <c r="M97" s="136">
        <f>IFERROR(MAX(0,INDEX(Sheet1!$AE$10:$AE$999,MATCH(A97,Sheet1!$N$10:$N$999,0))),0)</f>
        <v>0</v>
      </c>
      <c r="N97" s="111" t="str">
        <f t="shared" si="7"/>
        <v/>
      </c>
      <c r="O97" s="138">
        <f>IFERROR(MIN(0,INDEX(Sheet1!$AP$10:$AP$999,MATCH(A97,Sheet1!$N$10:$N$999,0))),0)</f>
        <v>0</v>
      </c>
      <c r="P97" s="143">
        <f>IFERROR(MAX(0,INDEX(Sheet1!$AO$10:$AO$999,MATCH(A97,Sheet1!$N$10:$N$999,0))),0)</f>
        <v>0</v>
      </c>
      <c r="Q97" s="111" t="str">
        <f t="shared" si="8"/>
        <v/>
      </c>
      <c r="R97" s="140">
        <f>IFERROR(MIN(0,INDEX(Sheet1!$BK$10:$BK$999,MATCH(A97,Sheet1!$N$10:$N$999,0))),0)</f>
        <v>0</v>
      </c>
      <c r="S97" s="141">
        <f>IFERROR(MAX(0,INDEX(Sheet1!$BK$10:$BK$999,MATCH(A97,Sheet1!$N$10:$N$999,0))),0)</f>
        <v>0</v>
      </c>
      <c r="T97" s="111" t="str">
        <f t="shared" si="9"/>
        <v/>
      </c>
      <c r="AA97" s="96"/>
    </row>
    <row r="98" spans="1:27" x14ac:dyDescent="0.3">
      <c r="A98" s="44"/>
      <c r="B98" s="152" t="str">
        <f>IFERROR(
    INDEX(
        CHOOSE(
            MATCH($C$1, {"All","Calls","Puts"}, 0),
            Sheet1!BN$10:BN$210,
            Sheet1!AR$10:AR$210,
            Sheet1!AS$10:AS$210
        ),
        MATCH($A98, Sheet1!N$10:N$210, 0)
    ),
"")</f>
        <v/>
      </c>
      <c r="C98" s="152" t="str">
        <f>IFERROR(
    INDEX(
        CHOOSE(
            MATCH($C$1, {"All","Calls","Puts"}, 0),
            Sheet1!BN$213:BN$413,
            Sheet1!AR$213:AR$413,
            Sheet1!AS$213:AS$413
        ),
        MATCH($A98, Sheet1!N$213:N$413, 0)
    ),
"")</f>
        <v/>
      </c>
      <c r="D98" s="152" t="str">
        <f>IFERROR(
    INDEX(
        CHOOSE(
            MATCH($C$1, {"All","Calls","Puts"}, 0),
            Sheet1!BN$416:BN$616,
            Sheet1!AR$416:AR$616,
            Sheet1!AS$416:AS$616
        ),
        MATCH($A98, Sheet1!N$416:N$616, 0)
    ),
"")</f>
        <v/>
      </c>
      <c r="E98" s="152" t="str">
        <f>IFERROR(
    INDEX(
        CHOOSE(
            MATCH($C$1, {"All","Calls","Puts"}, 0),
            Sheet1!BN$619:BN$819,
            Sheet1!AR$619:AR$819,
            Sheet1!AS$619:AS$819
        ),
        MATCH($A98, Sheet1!N$619:N$819, 0)
    ),
"")</f>
        <v/>
      </c>
      <c r="F98" s="152" t="str">
        <f>IFERROR(
    INDEX(
        CHOOSE(
            MATCH($C$1, {"All","Calls","Puts"}, 0),
            Sheet1!BN$822:BN$1022,
            Sheet1!AR$822:AR$1022,
            Sheet1!AS$822:AS$1022
        ),
        MATCH($A98, Sheet1!N$822:N$1022, 0)
    ),
"")</f>
        <v/>
      </c>
      <c r="G98" s="152" t="str">
        <f>IFERROR(
    INDEX(
        CHOOSE(
            MATCH($C$1, {"All","Calls","Puts"}, 0),
            Sheet1!BN$1025:BN$1225,
            Sheet1!AR$1025:AR$1225,
            Sheet1!AS$1025:AS$1225
        ),
        MATCH($A98, Sheet1!N$1025:N$1225, 0)
    ),
"")</f>
        <v/>
      </c>
      <c r="H98" s="152" t="str">
        <f>IFERROR(
    INDEX(
        CHOOSE(
            MATCH($C$1, {"All","Calls","Puts"}, 0),
            Sheet1!BN$1228:BN$1428,
            Sheet1!AR$1228:AR$1428,
            Sheet1!AS$1228:AS$1428
        ),
        MATCH($A98, Sheet1!N$1228:N$1428, 0)
    ),
"")</f>
        <v/>
      </c>
      <c r="I98" s="152" t="str">
        <f>IFERROR(
    INDEX(
        CHOOSE(
            MATCH($C$1, {"All","Calls","Puts"}, 0),
            Sheet1!BN$1431:BN$1631,
            Sheet1!AR$1431:AR$1631,
            Sheet1!AS$1431:AS$1631
        ),
        MATCH($A98, Sheet1!N$1431:N$1631, 0)
    ),
"")</f>
        <v/>
      </c>
      <c r="J98" s="73" t="str">
        <f t="shared" si="5"/>
        <v/>
      </c>
      <c r="K98" s="97" t="str">
        <f t="shared" si="6"/>
        <v/>
      </c>
      <c r="L98" s="131">
        <f>IFERROR(MIN(0,INDEX(Sheet1!$AD$10:$AD$999,MATCH(A98,Sheet1!$N$10:$N$999,0))),0)</f>
        <v>0</v>
      </c>
      <c r="M98" s="136">
        <f>IFERROR(MAX(0,INDEX(Sheet1!$AE$10:$AE$999,MATCH(A98,Sheet1!$N$10:$N$999,0))),0)</f>
        <v>0</v>
      </c>
      <c r="N98" s="111" t="str">
        <f t="shared" si="7"/>
        <v/>
      </c>
      <c r="O98" s="138">
        <f>IFERROR(MIN(0,INDEX(Sheet1!$AP$10:$AP$999,MATCH(A98,Sheet1!$N$10:$N$999,0))),0)</f>
        <v>0</v>
      </c>
      <c r="P98" s="143">
        <f>IFERROR(MAX(0,INDEX(Sheet1!$AO$10:$AO$999,MATCH(A98,Sheet1!$N$10:$N$999,0))),0)</f>
        <v>0</v>
      </c>
      <c r="Q98" s="111" t="str">
        <f t="shared" si="8"/>
        <v/>
      </c>
      <c r="R98" s="140">
        <f>IFERROR(MIN(0,INDEX(Sheet1!$BK$10:$BK$999,MATCH(A98,Sheet1!$N$10:$N$999,0))),0)</f>
        <v>0</v>
      </c>
      <c r="S98" s="141">
        <f>IFERROR(MAX(0,INDEX(Sheet1!$BK$10:$BK$999,MATCH(A98,Sheet1!$N$10:$N$999,0))),0)</f>
        <v>0</v>
      </c>
      <c r="T98" s="111" t="str">
        <f t="shared" si="9"/>
        <v/>
      </c>
      <c r="AA98" s="96"/>
    </row>
    <row r="99" spans="1:27" x14ac:dyDescent="0.3">
      <c r="A99" s="44"/>
      <c r="B99" s="152" t="str">
        <f>IFERROR(
    INDEX(
        CHOOSE(
            MATCH($C$1, {"All","Calls","Puts"}, 0),
            Sheet1!BN$10:BN$210,
            Sheet1!AR$10:AR$210,
            Sheet1!AS$10:AS$210
        ),
        MATCH($A99, Sheet1!N$10:N$210, 0)
    ),
"")</f>
        <v/>
      </c>
      <c r="C99" s="152" t="str">
        <f>IFERROR(
    INDEX(
        CHOOSE(
            MATCH($C$1, {"All","Calls","Puts"}, 0),
            Sheet1!BN$213:BN$413,
            Sheet1!AR$213:AR$413,
            Sheet1!AS$213:AS$413
        ),
        MATCH($A99, Sheet1!N$213:N$413, 0)
    ),
"")</f>
        <v/>
      </c>
      <c r="D99" s="152" t="str">
        <f>IFERROR(
    INDEX(
        CHOOSE(
            MATCH($C$1, {"All","Calls","Puts"}, 0),
            Sheet1!BN$416:BN$616,
            Sheet1!AR$416:AR$616,
            Sheet1!AS$416:AS$616
        ),
        MATCH($A99, Sheet1!N$416:N$616, 0)
    ),
"")</f>
        <v/>
      </c>
      <c r="E99" s="152" t="str">
        <f>IFERROR(
    INDEX(
        CHOOSE(
            MATCH($C$1, {"All","Calls","Puts"}, 0),
            Sheet1!BN$619:BN$819,
            Sheet1!AR$619:AR$819,
            Sheet1!AS$619:AS$819
        ),
        MATCH($A99, Sheet1!N$619:N$819, 0)
    ),
"")</f>
        <v/>
      </c>
      <c r="F99" s="152" t="str">
        <f>IFERROR(
    INDEX(
        CHOOSE(
            MATCH($C$1, {"All","Calls","Puts"}, 0),
            Sheet1!BN$822:BN$1022,
            Sheet1!AR$822:AR$1022,
            Sheet1!AS$822:AS$1022
        ),
        MATCH($A99, Sheet1!N$822:N$1022, 0)
    ),
"")</f>
        <v/>
      </c>
      <c r="G99" s="152" t="str">
        <f>IFERROR(
    INDEX(
        CHOOSE(
            MATCH($C$1, {"All","Calls","Puts"}, 0),
            Sheet1!BN$1025:BN$1225,
            Sheet1!AR$1025:AR$1225,
            Sheet1!AS$1025:AS$1225
        ),
        MATCH($A99, Sheet1!N$1025:N$1225, 0)
    ),
"")</f>
        <v/>
      </c>
      <c r="H99" s="152" t="str">
        <f>IFERROR(
    INDEX(
        CHOOSE(
            MATCH($C$1, {"All","Calls","Puts"}, 0),
            Sheet1!BN$1228:BN$1428,
            Sheet1!AR$1228:AR$1428,
            Sheet1!AS$1228:AS$1428
        ),
        MATCH($A99, Sheet1!N$1228:N$1428, 0)
    ),
"")</f>
        <v/>
      </c>
      <c r="I99" s="152" t="str">
        <f>IFERROR(
    INDEX(
        CHOOSE(
            MATCH($C$1, {"All","Calls","Puts"}, 0),
            Sheet1!BN$1431:BN$1631,
            Sheet1!AR$1431:AR$1631,
            Sheet1!AS$1431:AS$1631
        ),
        MATCH($A99, Sheet1!N$1431:N$1631, 0)
    ),
"")</f>
        <v/>
      </c>
      <c r="J99" s="73" t="str">
        <f t="shared" si="5"/>
        <v/>
      </c>
      <c r="K99" s="97" t="str">
        <f t="shared" si="6"/>
        <v/>
      </c>
      <c r="L99" s="131">
        <f>IFERROR(MIN(0,INDEX(Sheet1!$AD$10:$AD$999,MATCH(A99,Sheet1!$N$10:$N$999,0))),0)</f>
        <v>0</v>
      </c>
      <c r="M99" s="136">
        <f>IFERROR(MAX(0,INDEX(Sheet1!$AE$10:$AE$999,MATCH(A99,Sheet1!$N$10:$N$999,0))),0)</f>
        <v>0</v>
      </c>
      <c r="N99" s="111" t="str">
        <f t="shared" si="7"/>
        <v/>
      </c>
      <c r="O99" s="138">
        <f>IFERROR(MIN(0,INDEX(Sheet1!$AP$10:$AP$999,MATCH(A99,Sheet1!$N$10:$N$999,0))),0)</f>
        <v>0</v>
      </c>
      <c r="P99" s="143">
        <f>IFERROR(MAX(0,INDEX(Sheet1!$AO$10:$AO$999,MATCH(A99,Sheet1!$N$10:$N$999,0))),0)</f>
        <v>0</v>
      </c>
      <c r="Q99" s="111" t="str">
        <f t="shared" si="8"/>
        <v/>
      </c>
      <c r="R99" s="140">
        <f>IFERROR(MIN(0,INDEX(Sheet1!$BK$10:$BK$999,MATCH(A99,Sheet1!$N$10:$N$999,0))),0)</f>
        <v>0</v>
      </c>
      <c r="S99" s="141">
        <f>IFERROR(MAX(0,INDEX(Sheet1!$BK$10:$BK$999,MATCH(A99,Sheet1!$N$10:$N$999,0))),0)</f>
        <v>0</v>
      </c>
      <c r="T99" s="111" t="str">
        <f t="shared" si="9"/>
        <v/>
      </c>
      <c r="AA99" s="96"/>
    </row>
    <row r="100" spans="1:27" x14ac:dyDescent="0.3">
      <c r="A100" s="44"/>
      <c r="B100" s="152" t="str">
        <f>IFERROR(
    INDEX(
        CHOOSE(
            MATCH($C$1, {"All","Calls","Puts"}, 0),
            Sheet1!BN$10:BN$210,
            Sheet1!AR$10:AR$210,
            Sheet1!AS$10:AS$210
        ),
        MATCH($A100, Sheet1!N$10:N$210, 0)
    ),
"")</f>
        <v/>
      </c>
      <c r="C100" s="152" t="str">
        <f>IFERROR(
    INDEX(
        CHOOSE(
            MATCH($C$1, {"All","Calls","Puts"}, 0),
            Sheet1!BN$213:BN$413,
            Sheet1!AR$213:AR$413,
            Sheet1!AS$213:AS$413
        ),
        MATCH($A100, Sheet1!N$213:N$413, 0)
    ),
"")</f>
        <v/>
      </c>
      <c r="D100" s="152" t="str">
        <f>IFERROR(
    INDEX(
        CHOOSE(
            MATCH($C$1, {"All","Calls","Puts"}, 0),
            Sheet1!BN$416:BN$616,
            Sheet1!AR$416:AR$616,
            Sheet1!AS$416:AS$616
        ),
        MATCH($A100, Sheet1!N$416:N$616, 0)
    ),
"")</f>
        <v/>
      </c>
      <c r="E100" s="152" t="str">
        <f>IFERROR(
    INDEX(
        CHOOSE(
            MATCH($C$1, {"All","Calls","Puts"}, 0),
            Sheet1!BN$619:BN$819,
            Sheet1!AR$619:AR$819,
            Sheet1!AS$619:AS$819
        ),
        MATCH($A100, Sheet1!N$619:N$819, 0)
    ),
"")</f>
        <v/>
      </c>
      <c r="F100" s="152" t="str">
        <f>IFERROR(
    INDEX(
        CHOOSE(
            MATCH($C$1, {"All","Calls","Puts"}, 0),
            Sheet1!BN$822:BN$1022,
            Sheet1!AR$822:AR$1022,
            Sheet1!AS$822:AS$1022
        ),
        MATCH($A100, Sheet1!N$822:N$1022, 0)
    ),
"")</f>
        <v/>
      </c>
      <c r="G100" s="152" t="str">
        <f>IFERROR(
    INDEX(
        CHOOSE(
            MATCH($C$1, {"All","Calls","Puts"}, 0),
            Sheet1!BN$1025:BN$1225,
            Sheet1!AR$1025:AR$1225,
            Sheet1!AS$1025:AS$1225
        ),
        MATCH($A100, Sheet1!N$1025:N$1225, 0)
    ),
"")</f>
        <v/>
      </c>
      <c r="H100" s="152" t="str">
        <f>IFERROR(
    INDEX(
        CHOOSE(
            MATCH($C$1, {"All","Calls","Puts"}, 0),
            Sheet1!BN$1228:BN$1428,
            Sheet1!AR$1228:AR$1428,
            Sheet1!AS$1228:AS$1428
        ),
        MATCH($A100, Sheet1!N$1228:N$1428, 0)
    ),
"")</f>
        <v/>
      </c>
      <c r="I100" s="152" t="str">
        <f>IFERROR(
    INDEX(
        CHOOSE(
            MATCH($C$1, {"All","Calls","Puts"}, 0),
            Sheet1!BN$1431:BN$1631,
            Sheet1!AR$1431:AR$1631,
            Sheet1!AS$1431:AS$1631
        ),
        MATCH($A100, Sheet1!N$1431:N$1631, 0)
    ),
"")</f>
        <v/>
      </c>
      <c r="J100" s="73" t="str">
        <f t="shared" si="5"/>
        <v/>
      </c>
      <c r="K100" s="97" t="str">
        <f t="shared" si="6"/>
        <v/>
      </c>
      <c r="L100" s="131">
        <f>IFERROR(MIN(0,INDEX(Sheet1!$AD$10:$AD$999,MATCH(A100,Sheet1!$N$10:$N$999,0))),0)</f>
        <v>0</v>
      </c>
      <c r="M100" s="136">
        <f>IFERROR(MAX(0,INDEX(Sheet1!$AE$10:$AE$999,MATCH(A100,Sheet1!$N$10:$N$999,0))),0)</f>
        <v>0</v>
      </c>
      <c r="N100" s="111" t="str">
        <f t="shared" si="7"/>
        <v/>
      </c>
      <c r="O100" s="138">
        <f>IFERROR(MIN(0,INDEX(Sheet1!$AP$10:$AP$999,MATCH(A100,Sheet1!$N$10:$N$999,0))),0)</f>
        <v>0</v>
      </c>
      <c r="P100" s="143">
        <f>IFERROR(MAX(0,INDEX(Sheet1!$AO$10:$AO$999,MATCH(A100,Sheet1!$N$10:$N$999,0))),0)</f>
        <v>0</v>
      </c>
      <c r="Q100" s="111" t="str">
        <f t="shared" si="8"/>
        <v/>
      </c>
      <c r="R100" s="140">
        <f>IFERROR(MIN(0,INDEX(Sheet1!$BK$10:$BK$999,MATCH(A100,Sheet1!$N$10:$N$999,0))),0)</f>
        <v>0</v>
      </c>
      <c r="S100" s="141">
        <f>IFERROR(MAX(0,INDEX(Sheet1!$BK$10:$BK$999,MATCH(A100,Sheet1!$N$10:$N$999,0))),0)</f>
        <v>0</v>
      </c>
      <c r="T100" s="111" t="str">
        <f t="shared" si="9"/>
        <v/>
      </c>
      <c r="AA100" s="96"/>
    </row>
    <row r="101" spans="1:27" x14ac:dyDescent="0.3">
      <c r="A101" s="44"/>
      <c r="B101" s="152" t="str">
        <f>IFERROR(
    INDEX(
        CHOOSE(
            MATCH($C$1, {"All","Calls","Puts"}, 0),
            Sheet1!BN$10:BN$210,
            Sheet1!AR$10:AR$210,
            Sheet1!AS$10:AS$210
        ),
        MATCH($A101, Sheet1!N$10:N$210, 0)
    ),
"")</f>
        <v/>
      </c>
      <c r="C101" s="152" t="str">
        <f>IFERROR(
    INDEX(
        CHOOSE(
            MATCH($C$1, {"All","Calls","Puts"}, 0),
            Sheet1!BN$213:BN$413,
            Sheet1!AR$213:AR$413,
            Sheet1!AS$213:AS$413
        ),
        MATCH($A101, Sheet1!N$213:N$413, 0)
    ),
"")</f>
        <v/>
      </c>
      <c r="D101" s="152" t="str">
        <f>IFERROR(
    INDEX(
        CHOOSE(
            MATCH($C$1, {"All","Calls","Puts"}, 0),
            Sheet1!BN$416:BN$616,
            Sheet1!AR$416:AR$616,
            Sheet1!AS$416:AS$616
        ),
        MATCH($A101, Sheet1!N$416:N$616, 0)
    ),
"")</f>
        <v/>
      </c>
      <c r="E101" s="152" t="str">
        <f>IFERROR(
    INDEX(
        CHOOSE(
            MATCH($C$1, {"All","Calls","Puts"}, 0),
            Sheet1!BN$619:BN$819,
            Sheet1!AR$619:AR$819,
            Sheet1!AS$619:AS$819
        ),
        MATCH($A101, Sheet1!N$619:N$819, 0)
    ),
"")</f>
        <v/>
      </c>
      <c r="F101" s="152" t="str">
        <f>IFERROR(
    INDEX(
        CHOOSE(
            MATCH($C$1, {"All","Calls","Puts"}, 0),
            Sheet1!BN$822:BN$1022,
            Sheet1!AR$822:AR$1022,
            Sheet1!AS$822:AS$1022
        ),
        MATCH($A101, Sheet1!N$822:N$1022, 0)
    ),
"")</f>
        <v/>
      </c>
      <c r="G101" s="152" t="str">
        <f>IFERROR(
    INDEX(
        CHOOSE(
            MATCH($C$1, {"All","Calls","Puts"}, 0),
            Sheet1!BN$1025:BN$1225,
            Sheet1!AR$1025:AR$1225,
            Sheet1!AS$1025:AS$1225
        ),
        MATCH($A101, Sheet1!N$1025:N$1225, 0)
    ),
"")</f>
        <v/>
      </c>
      <c r="H101" s="152" t="str">
        <f>IFERROR(
    INDEX(
        CHOOSE(
            MATCH($C$1, {"All","Calls","Puts"}, 0),
            Sheet1!BN$1228:BN$1428,
            Sheet1!AR$1228:AR$1428,
            Sheet1!AS$1228:AS$1428
        ),
        MATCH($A101, Sheet1!N$1228:N$1428, 0)
    ),
"")</f>
        <v/>
      </c>
      <c r="I101" s="152" t="str">
        <f>IFERROR(
    INDEX(
        CHOOSE(
            MATCH($C$1, {"All","Calls","Puts"}, 0),
            Sheet1!BN$1431:BN$1631,
            Sheet1!AR$1431:AR$1631,
            Sheet1!AS$1431:AS$1631
        ),
        MATCH($A101, Sheet1!N$1431:N$1631, 0)
    ),
"")</f>
        <v/>
      </c>
      <c r="J101" s="73" t="str">
        <f t="shared" si="5"/>
        <v/>
      </c>
      <c r="K101" s="97" t="str">
        <f t="shared" si="6"/>
        <v/>
      </c>
      <c r="L101" s="131">
        <f>IFERROR(MIN(0,INDEX(Sheet1!$AD$10:$AD$999,MATCH(A101,Sheet1!$N$10:$N$999,0))),0)</f>
        <v>0</v>
      </c>
      <c r="M101" s="136">
        <f>IFERROR(MAX(0,INDEX(Sheet1!$AE$10:$AE$999,MATCH(A101,Sheet1!$N$10:$N$999,0))),0)</f>
        <v>0</v>
      </c>
      <c r="N101" s="111" t="str">
        <f t="shared" si="7"/>
        <v/>
      </c>
      <c r="O101" s="138">
        <f>IFERROR(MIN(0,INDEX(Sheet1!$AP$10:$AP$999,MATCH(A101,Sheet1!$N$10:$N$999,0))),0)</f>
        <v>0</v>
      </c>
      <c r="P101" s="143">
        <f>IFERROR(MAX(0,INDEX(Sheet1!$AO$10:$AO$999,MATCH(A101,Sheet1!$N$10:$N$999,0))),0)</f>
        <v>0</v>
      </c>
      <c r="Q101" s="111" t="str">
        <f t="shared" si="8"/>
        <v/>
      </c>
      <c r="R101" s="140">
        <f>IFERROR(MIN(0,INDEX(Sheet1!$BK$10:$BK$999,MATCH(A101,Sheet1!$N$10:$N$999,0))),0)</f>
        <v>0</v>
      </c>
      <c r="S101" s="141">
        <f>IFERROR(MAX(0,INDEX(Sheet1!$BK$10:$BK$999,MATCH(A101,Sheet1!$N$10:$N$999,0))),0)</f>
        <v>0</v>
      </c>
      <c r="T101" s="111" t="str">
        <f t="shared" si="9"/>
        <v/>
      </c>
      <c r="AA101" s="96"/>
    </row>
    <row r="102" spans="1:27" x14ac:dyDescent="0.3">
      <c r="A102" s="44"/>
      <c r="B102" s="152" t="str">
        <f>IFERROR(
    INDEX(
        CHOOSE(
            MATCH($C$1, {"All","Calls","Puts"}, 0),
            Sheet1!BN$10:BN$210,
            Sheet1!AR$10:AR$210,
            Sheet1!AS$10:AS$210
        ),
        MATCH($A102, Sheet1!N$10:N$210, 0)
    ),
"")</f>
        <v/>
      </c>
      <c r="C102" s="152" t="str">
        <f>IFERROR(
    INDEX(
        CHOOSE(
            MATCH($C$1, {"All","Calls","Puts"}, 0),
            Sheet1!BN$213:BN$413,
            Sheet1!AR$213:AR$413,
            Sheet1!AS$213:AS$413
        ),
        MATCH($A102, Sheet1!N$213:N$413, 0)
    ),
"")</f>
        <v/>
      </c>
      <c r="D102" s="152" t="str">
        <f>IFERROR(
    INDEX(
        CHOOSE(
            MATCH($C$1, {"All","Calls","Puts"}, 0),
            Sheet1!BN$416:BN$616,
            Sheet1!AR$416:AR$616,
            Sheet1!AS$416:AS$616
        ),
        MATCH($A102, Sheet1!N$416:N$616, 0)
    ),
"")</f>
        <v/>
      </c>
      <c r="E102" s="152" t="str">
        <f>IFERROR(
    INDEX(
        CHOOSE(
            MATCH($C$1, {"All","Calls","Puts"}, 0),
            Sheet1!BN$619:BN$819,
            Sheet1!AR$619:AR$819,
            Sheet1!AS$619:AS$819
        ),
        MATCH($A102, Sheet1!N$619:N$819, 0)
    ),
"")</f>
        <v/>
      </c>
      <c r="F102" s="152" t="str">
        <f>IFERROR(
    INDEX(
        CHOOSE(
            MATCH($C$1, {"All","Calls","Puts"}, 0),
            Sheet1!BN$822:BN$1022,
            Sheet1!AR$822:AR$1022,
            Sheet1!AS$822:AS$1022
        ),
        MATCH($A102, Sheet1!N$822:N$1022, 0)
    ),
"")</f>
        <v/>
      </c>
      <c r="G102" s="152" t="str">
        <f>IFERROR(
    INDEX(
        CHOOSE(
            MATCH($C$1, {"All","Calls","Puts"}, 0),
            Sheet1!BN$1025:BN$1225,
            Sheet1!AR$1025:AR$1225,
            Sheet1!AS$1025:AS$1225
        ),
        MATCH($A102, Sheet1!N$1025:N$1225, 0)
    ),
"")</f>
        <v/>
      </c>
      <c r="H102" s="152" t="str">
        <f>IFERROR(
    INDEX(
        CHOOSE(
            MATCH($C$1, {"All","Calls","Puts"}, 0),
            Sheet1!BN$1228:BN$1428,
            Sheet1!AR$1228:AR$1428,
            Sheet1!AS$1228:AS$1428
        ),
        MATCH($A102, Sheet1!N$1228:N$1428, 0)
    ),
"")</f>
        <v/>
      </c>
      <c r="I102" s="152" t="str">
        <f>IFERROR(
    INDEX(
        CHOOSE(
            MATCH($C$1, {"All","Calls","Puts"}, 0),
            Sheet1!BN$1431:BN$1631,
            Sheet1!AR$1431:AR$1631,
            Sheet1!AS$1431:AS$1631
        ),
        MATCH($A102, Sheet1!N$1431:N$1631, 0)
    ),
"")</f>
        <v/>
      </c>
      <c r="J102" s="73" t="str">
        <f t="shared" si="5"/>
        <v/>
      </c>
      <c r="K102" s="97" t="str">
        <f t="shared" si="6"/>
        <v/>
      </c>
      <c r="L102" s="131">
        <f>IFERROR(MIN(0,INDEX(Sheet1!$AD$10:$AD$999,MATCH(A102,Sheet1!$N$10:$N$999,0))),0)</f>
        <v>0</v>
      </c>
      <c r="M102" s="136">
        <f>IFERROR(MAX(0,INDEX(Sheet1!$AE$10:$AE$999,MATCH(A102,Sheet1!$N$10:$N$999,0))),0)</f>
        <v>0</v>
      </c>
      <c r="N102" s="111" t="str">
        <f t="shared" si="7"/>
        <v/>
      </c>
      <c r="O102" s="138">
        <f>IFERROR(MIN(0,INDEX(Sheet1!$AP$10:$AP$999,MATCH(A102,Sheet1!$N$10:$N$999,0))),0)</f>
        <v>0</v>
      </c>
      <c r="P102" s="143">
        <f>IFERROR(MAX(0,INDEX(Sheet1!$AO$10:$AO$999,MATCH(A102,Sheet1!$N$10:$N$999,0))),0)</f>
        <v>0</v>
      </c>
      <c r="Q102" s="111" t="str">
        <f t="shared" si="8"/>
        <v/>
      </c>
      <c r="R102" s="140">
        <f>IFERROR(MIN(0,INDEX(Sheet1!$BK$10:$BK$999,MATCH(A102,Sheet1!$N$10:$N$999,0))),0)</f>
        <v>0</v>
      </c>
      <c r="S102" s="141">
        <f>IFERROR(MAX(0,INDEX(Sheet1!$BK$10:$BK$999,MATCH(A102,Sheet1!$N$10:$N$999,0))),0)</f>
        <v>0</v>
      </c>
      <c r="T102" s="111" t="str">
        <f t="shared" si="9"/>
        <v/>
      </c>
      <c r="AA102" s="96"/>
    </row>
    <row r="103" spans="1:27" x14ac:dyDescent="0.3">
      <c r="A103" s="44"/>
      <c r="B103" s="152" t="str">
        <f>IFERROR(
    INDEX(
        CHOOSE(
            MATCH($C$1, {"All","Calls","Puts"}, 0),
            Sheet1!BN$10:BN$210,
            Sheet1!AR$10:AR$210,
            Sheet1!AS$10:AS$210
        ),
        MATCH($A103, Sheet1!N$10:N$210, 0)
    ),
"")</f>
        <v/>
      </c>
      <c r="C103" s="152" t="str">
        <f>IFERROR(
    INDEX(
        CHOOSE(
            MATCH($C$1, {"All","Calls","Puts"}, 0),
            Sheet1!BN$213:BN$413,
            Sheet1!AR$213:AR$413,
            Sheet1!AS$213:AS$413
        ),
        MATCH($A103, Sheet1!N$213:N$413, 0)
    ),
"")</f>
        <v/>
      </c>
      <c r="D103" s="152" t="str">
        <f>IFERROR(
    INDEX(
        CHOOSE(
            MATCH($C$1, {"All","Calls","Puts"}, 0),
            Sheet1!BN$416:BN$616,
            Sheet1!AR$416:AR$616,
            Sheet1!AS$416:AS$616
        ),
        MATCH($A103, Sheet1!N$416:N$616, 0)
    ),
"")</f>
        <v/>
      </c>
      <c r="E103" s="152" t="str">
        <f>IFERROR(
    INDEX(
        CHOOSE(
            MATCH($C$1, {"All","Calls","Puts"}, 0),
            Sheet1!BN$619:BN$819,
            Sheet1!AR$619:AR$819,
            Sheet1!AS$619:AS$819
        ),
        MATCH($A103, Sheet1!N$619:N$819, 0)
    ),
"")</f>
        <v/>
      </c>
      <c r="F103" s="152" t="str">
        <f>IFERROR(
    INDEX(
        CHOOSE(
            MATCH($C$1, {"All","Calls","Puts"}, 0),
            Sheet1!BN$822:BN$1022,
            Sheet1!AR$822:AR$1022,
            Sheet1!AS$822:AS$1022
        ),
        MATCH($A103, Sheet1!N$822:N$1022, 0)
    ),
"")</f>
        <v/>
      </c>
      <c r="G103" s="152" t="str">
        <f>IFERROR(
    INDEX(
        CHOOSE(
            MATCH($C$1, {"All","Calls","Puts"}, 0),
            Sheet1!BN$1025:BN$1225,
            Sheet1!AR$1025:AR$1225,
            Sheet1!AS$1025:AS$1225
        ),
        MATCH($A103, Sheet1!N$1025:N$1225, 0)
    ),
"")</f>
        <v/>
      </c>
      <c r="H103" s="152" t="str">
        <f>IFERROR(
    INDEX(
        CHOOSE(
            MATCH($C$1, {"All","Calls","Puts"}, 0),
            Sheet1!BN$1228:BN$1428,
            Sheet1!AR$1228:AR$1428,
            Sheet1!AS$1228:AS$1428
        ),
        MATCH($A103, Sheet1!N$1228:N$1428, 0)
    ),
"")</f>
        <v/>
      </c>
      <c r="I103" s="152" t="str">
        <f>IFERROR(
    INDEX(
        CHOOSE(
            MATCH($C$1, {"All","Calls","Puts"}, 0),
            Sheet1!BN$1431:BN$1631,
            Sheet1!AR$1431:AR$1631,
            Sheet1!AS$1431:AS$1631
        ),
        MATCH($A103, Sheet1!N$1431:N$1631, 0)
    ),
"")</f>
        <v/>
      </c>
      <c r="J103" s="73" t="str">
        <f t="shared" si="5"/>
        <v/>
      </c>
      <c r="K103" s="97" t="str">
        <f t="shared" si="6"/>
        <v/>
      </c>
      <c r="L103" s="131">
        <f>IFERROR(MIN(0,INDEX(Sheet1!$AD$10:$AD$999,MATCH(A103,Sheet1!$N$10:$N$999,0))),0)</f>
        <v>0</v>
      </c>
      <c r="M103" s="136">
        <f>IFERROR(MAX(0,INDEX(Sheet1!$AE$10:$AE$999,MATCH(A103,Sheet1!$N$10:$N$999,0))),0)</f>
        <v>0</v>
      </c>
      <c r="N103" s="111" t="str">
        <f t="shared" si="7"/>
        <v/>
      </c>
      <c r="O103" s="138">
        <f>IFERROR(MIN(0,INDEX(Sheet1!$AP$10:$AP$999,MATCH(A103,Sheet1!$N$10:$N$999,0))),0)</f>
        <v>0</v>
      </c>
      <c r="P103" s="143">
        <f>IFERROR(MAX(0,INDEX(Sheet1!$AO$10:$AO$999,MATCH(A103,Sheet1!$N$10:$N$999,0))),0)</f>
        <v>0</v>
      </c>
      <c r="Q103" s="111" t="str">
        <f t="shared" si="8"/>
        <v/>
      </c>
      <c r="R103" s="140">
        <f>IFERROR(MIN(0,INDEX(Sheet1!$BK$10:$BK$999,MATCH(A103,Sheet1!$N$10:$N$999,0))),0)</f>
        <v>0</v>
      </c>
      <c r="S103" s="141">
        <f>IFERROR(MAX(0,INDEX(Sheet1!$BK$10:$BK$999,MATCH(A103,Sheet1!$N$10:$N$999,0))),0)</f>
        <v>0</v>
      </c>
      <c r="T103" s="111" t="str">
        <f t="shared" si="9"/>
        <v/>
      </c>
      <c r="AA103" s="96"/>
    </row>
    <row r="104" spans="1:27" x14ac:dyDescent="0.3">
      <c r="A104" s="44"/>
      <c r="B104" s="152" t="str">
        <f>IFERROR(
    INDEX(
        CHOOSE(
            MATCH($C$1, {"All","Calls","Puts"}, 0),
            Sheet1!BN$10:BN$210,
            Sheet1!AR$10:AR$210,
            Sheet1!AS$10:AS$210
        ),
        MATCH($A104, Sheet1!N$10:N$210, 0)
    ),
"")</f>
        <v/>
      </c>
      <c r="C104" s="152" t="str">
        <f>IFERROR(
    INDEX(
        CHOOSE(
            MATCH($C$1, {"All","Calls","Puts"}, 0),
            Sheet1!BN$213:BN$413,
            Sheet1!AR$213:AR$413,
            Sheet1!AS$213:AS$413
        ),
        MATCH($A104, Sheet1!N$213:N$413, 0)
    ),
"")</f>
        <v/>
      </c>
      <c r="D104" s="152" t="str">
        <f>IFERROR(
    INDEX(
        CHOOSE(
            MATCH($C$1, {"All","Calls","Puts"}, 0),
            Sheet1!BN$416:BN$616,
            Sheet1!AR$416:AR$616,
            Sheet1!AS$416:AS$616
        ),
        MATCH($A104, Sheet1!N$416:N$616, 0)
    ),
"")</f>
        <v/>
      </c>
      <c r="E104" s="152" t="str">
        <f>IFERROR(
    INDEX(
        CHOOSE(
            MATCH($C$1, {"All","Calls","Puts"}, 0),
            Sheet1!BN$619:BN$819,
            Sheet1!AR$619:AR$819,
            Sheet1!AS$619:AS$819
        ),
        MATCH($A104, Sheet1!N$619:N$819, 0)
    ),
"")</f>
        <v/>
      </c>
      <c r="F104" s="152" t="str">
        <f>IFERROR(
    INDEX(
        CHOOSE(
            MATCH($C$1, {"All","Calls","Puts"}, 0),
            Sheet1!BN$822:BN$1022,
            Sheet1!AR$822:AR$1022,
            Sheet1!AS$822:AS$1022
        ),
        MATCH($A104, Sheet1!N$822:N$1022, 0)
    ),
"")</f>
        <v/>
      </c>
      <c r="G104" s="152" t="str">
        <f>IFERROR(
    INDEX(
        CHOOSE(
            MATCH($C$1, {"All","Calls","Puts"}, 0),
            Sheet1!BN$1025:BN$1225,
            Sheet1!AR$1025:AR$1225,
            Sheet1!AS$1025:AS$1225
        ),
        MATCH($A104, Sheet1!N$1025:N$1225, 0)
    ),
"")</f>
        <v/>
      </c>
      <c r="H104" s="152" t="str">
        <f>IFERROR(
    INDEX(
        CHOOSE(
            MATCH($C$1, {"All","Calls","Puts"}, 0),
            Sheet1!BN$1228:BN$1428,
            Sheet1!AR$1228:AR$1428,
            Sheet1!AS$1228:AS$1428
        ),
        MATCH($A104, Sheet1!N$1228:N$1428, 0)
    ),
"")</f>
        <v/>
      </c>
      <c r="I104" s="152" t="str">
        <f>IFERROR(
    INDEX(
        CHOOSE(
            MATCH($C$1, {"All","Calls","Puts"}, 0),
            Sheet1!BN$1431:BN$1631,
            Sheet1!AR$1431:AR$1631,
            Sheet1!AS$1431:AS$1631
        ),
        MATCH($A104, Sheet1!N$1431:N$1631, 0)
    ),
"")</f>
        <v/>
      </c>
      <c r="J104" s="73" t="str">
        <f t="shared" si="5"/>
        <v/>
      </c>
      <c r="K104" s="97" t="str">
        <f t="shared" si="6"/>
        <v/>
      </c>
      <c r="L104" s="131">
        <f>IFERROR(MIN(0,INDEX(Sheet1!$AD$10:$AD$999,MATCH(A104,Sheet1!$N$10:$N$999,0))),0)</f>
        <v>0</v>
      </c>
      <c r="M104" s="136">
        <f>IFERROR(MAX(0,INDEX(Sheet1!$AE$10:$AE$999,MATCH(A104,Sheet1!$N$10:$N$999,0))),0)</f>
        <v>0</v>
      </c>
      <c r="N104" s="111" t="str">
        <f t="shared" si="7"/>
        <v/>
      </c>
      <c r="O104" s="138">
        <f>IFERROR(MIN(0,INDEX(Sheet1!$AP$10:$AP$999,MATCH(A104,Sheet1!$N$10:$N$999,0))),0)</f>
        <v>0</v>
      </c>
      <c r="P104" s="143">
        <f>IFERROR(MAX(0,INDEX(Sheet1!$AO$10:$AO$999,MATCH(A104,Sheet1!$N$10:$N$999,0))),0)</f>
        <v>0</v>
      </c>
      <c r="Q104" s="111" t="str">
        <f t="shared" si="8"/>
        <v/>
      </c>
      <c r="R104" s="140">
        <f>IFERROR(MIN(0,INDEX(Sheet1!$BK$10:$BK$999,MATCH(A104,Sheet1!$N$10:$N$999,0))),0)</f>
        <v>0</v>
      </c>
      <c r="S104" s="141">
        <f>IFERROR(MAX(0,INDEX(Sheet1!$BK$10:$BK$999,MATCH(A104,Sheet1!$N$10:$N$999,0))),0)</f>
        <v>0</v>
      </c>
      <c r="T104" s="111" t="str">
        <f t="shared" si="9"/>
        <v/>
      </c>
      <c r="AA104" s="96"/>
    </row>
    <row r="105" spans="1:27" x14ac:dyDescent="0.3">
      <c r="A105" s="44"/>
      <c r="B105" s="152" t="str">
        <f>IFERROR(
    INDEX(
        CHOOSE(
            MATCH($C$1, {"All","Calls","Puts"}, 0),
            Sheet1!BN$10:BN$210,
            Sheet1!AR$10:AR$210,
            Sheet1!AS$10:AS$210
        ),
        MATCH($A105, Sheet1!N$10:N$210, 0)
    ),
"")</f>
        <v/>
      </c>
      <c r="C105" s="152" t="str">
        <f>IFERROR(
    INDEX(
        CHOOSE(
            MATCH($C$1, {"All","Calls","Puts"}, 0),
            Sheet1!BN$213:BN$413,
            Sheet1!AR$213:AR$413,
            Sheet1!AS$213:AS$413
        ),
        MATCH($A105, Sheet1!N$213:N$413, 0)
    ),
"")</f>
        <v/>
      </c>
      <c r="D105" s="152" t="str">
        <f>IFERROR(
    INDEX(
        CHOOSE(
            MATCH($C$1, {"All","Calls","Puts"}, 0),
            Sheet1!BN$416:BN$616,
            Sheet1!AR$416:AR$616,
            Sheet1!AS$416:AS$616
        ),
        MATCH($A105, Sheet1!N$416:N$616, 0)
    ),
"")</f>
        <v/>
      </c>
      <c r="E105" s="152" t="str">
        <f>IFERROR(
    INDEX(
        CHOOSE(
            MATCH($C$1, {"All","Calls","Puts"}, 0),
            Sheet1!BN$619:BN$819,
            Sheet1!AR$619:AR$819,
            Sheet1!AS$619:AS$819
        ),
        MATCH($A105, Sheet1!N$619:N$819, 0)
    ),
"")</f>
        <v/>
      </c>
      <c r="F105" s="152" t="str">
        <f>IFERROR(
    INDEX(
        CHOOSE(
            MATCH($C$1, {"All","Calls","Puts"}, 0),
            Sheet1!BN$822:BN$1022,
            Sheet1!AR$822:AR$1022,
            Sheet1!AS$822:AS$1022
        ),
        MATCH($A105, Sheet1!N$822:N$1022, 0)
    ),
"")</f>
        <v/>
      </c>
      <c r="G105" s="152" t="str">
        <f>IFERROR(
    INDEX(
        CHOOSE(
            MATCH($C$1, {"All","Calls","Puts"}, 0),
            Sheet1!BN$1025:BN$1225,
            Sheet1!AR$1025:AR$1225,
            Sheet1!AS$1025:AS$1225
        ),
        MATCH($A105, Sheet1!N$1025:N$1225, 0)
    ),
"")</f>
        <v/>
      </c>
      <c r="H105" s="152" t="str">
        <f>IFERROR(
    INDEX(
        CHOOSE(
            MATCH($C$1, {"All","Calls","Puts"}, 0),
            Sheet1!BN$1228:BN$1428,
            Sheet1!AR$1228:AR$1428,
            Sheet1!AS$1228:AS$1428
        ),
        MATCH($A105, Sheet1!N$1228:N$1428, 0)
    ),
"")</f>
        <v/>
      </c>
      <c r="I105" s="152" t="str">
        <f>IFERROR(
    INDEX(
        CHOOSE(
            MATCH($C$1, {"All","Calls","Puts"}, 0),
            Sheet1!BN$1431:BN$1631,
            Sheet1!AR$1431:AR$1631,
            Sheet1!AS$1431:AS$1631
        ),
        MATCH($A105, Sheet1!N$1431:N$1631, 0)
    ),
"")</f>
        <v/>
      </c>
      <c r="J105" s="73" t="str">
        <f t="shared" si="5"/>
        <v/>
      </c>
      <c r="K105" s="97" t="str">
        <f t="shared" si="6"/>
        <v/>
      </c>
      <c r="L105" s="131">
        <f>IFERROR(MIN(0,INDEX(Sheet1!$AD$10:$AD$999,MATCH(A105,Sheet1!$N$10:$N$999,0))),0)</f>
        <v>0</v>
      </c>
      <c r="M105" s="136">
        <f>IFERROR(MAX(0,INDEX(Sheet1!$AE$10:$AE$999,MATCH(A105,Sheet1!$N$10:$N$999,0))),0)</f>
        <v>0</v>
      </c>
      <c r="N105" s="111" t="str">
        <f t="shared" si="7"/>
        <v/>
      </c>
      <c r="O105" s="138">
        <f>IFERROR(MIN(0,INDEX(Sheet1!$AP$10:$AP$999,MATCH(A105,Sheet1!$N$10:$N$999,0))),0)</f>
        <v>0</v>
      </c>
      <c r="P105" s="143">
        <f>IFERROR(MAX(0,INDEX(Sheet1!$AO$10:$AO$999,MATCH(A105,Sheet1!$N$10:$N$999,0))),0)</f>
        <v>0</v>
      </c>
      <c r="Q105" s="111" t="str">
        <f t="shared" si="8"/>
        <v/>
      </c>
      <c r="R105" s="140">
        <f>IFERROR(MIN(0,INDEX(Sheet1!$BK$10:$BK$999,MATCH(A105,Sheet1!$N$10:$N$999,0))),0)</f>
        <v>0</v>
      </c>
      <c r="S105" s="141">
        <f>IFERROR(MAX(0,INDEX(Sheet1!$BK$10:$BK$999,MATCH(A105,Sheet1!$N$10:$N$999,0))),0)</f>
        <v>0</v>
      </c>
      <c r="T105" s="111" t="str">
        <f t="shared" si="9"/>
        <v/>
      </c>
      <c r="AA105" s="96"/>
    </row>
    <row r="106" spans="1:27" x14ac:dyDescent="0.3">
      <c r="A106" s="44"/>
      <c r="B106" s="152" t="str">
        <f>IFERROR(
    INDEX(
        CHOOSE(
            MATCH($C$1, {"All","Calls","Puts"}, 0),
            Sheet1!BN$10:BN$210,
            Sheet1!AR$10:AR$210,
            Sheet1!AS$10:AS$210
        ),
        MATCH($A106, Sheet1!N$10:N$210, 0)
    ),
"")</f>
        <v/>
      </c>
      <c r="C106" s="152" t="str">
        <f>IFERROR(
    INDEX(
        CHOOSE(
            MATCH($C$1, {"All","Calls","Puts"}, 0),
            Sheet1!BN$213:BN$413,
            Sheet1!AR$213:AR$413,
            Sheet1!AS$213:AS$413
        ),
        MATCH($A106, Sheet1!N$213:N$413, 0)
    ),
"")</f>
        <v/>
      </c>
      <c r="D106" s="152" t="str">
        <f>IFERROR(
    INDEX(
        CHOOSE(
            MATCH($C$1, {"All","Calls","Puts"}, 0),
            Sheet1!BN$416:BN$616,
            Sheet1!AR$416:AR$616,
            Sheet1!AS$416:AS$616
        ),
        MATCH($A106, Sheet1!N$416:N$616, 0)
    ),
"")</f>
        <v/>
      </c>
      <c r="E106" s="152" t="str">
        <f>IFERROR(
    INDEX(
        CHOOSE(
            MATCH($C$1, {"All","Calls","Puts"}, 0),
            Sheet1!BN$619:BN$819,
            Sheet1!AR$619:AR$819,
            Sheet1!AS$619:AS$819
        ),
        MATCH($A106, Sheet1!N$619:N$819, 0)
    ),
"")</f>
        <v/>
      </c>
      <c r="F106" s="152" t="str">
        <f>IFERROR(
    INDEX(
        CHOOSE(
            MATCH($C$1, {"All","Calls","Puts"}, 0),
            Sheet1!BN$822:BN$1022,
            Sheet1!AR$822:AR$1022,
            Sheet1!AS$822:AS$1022
        ),
        MATCH($A106, Sheet1!N$822:N$1022, 0)
    ),
"")</f>
        <v/>
      </c>
      <c r="G106" s="152" t="str">
        <f>IFERROR(
    INDEX(
        CHOOSE(
            MATCH($C$1, {"All","Calls","Puts"}, 0),
            Sheet1!BN$1025:BN$1225,
            Sheet1!AR$1025:AR$1225,
            Sheet1!AS$1025:AS$1225
        ),
        MATCH($A106, Sheet1!N$1025:N$1225, 0)
    ),
"")</f>
        <v/>
      </c>
      <c r="H106" s="152" t="str">
        <f>IFERROR(
    INDEX(
        CHOOSE(
            MATCH($C$1, {"All","Calls","Puts"}, 0),
            Sheet1!BN$1228:BN$1428,
            Sheet1!AR$1228:AR$1428,
            Sheet1!AS$1228:AS$1428
        ),
        MATCH($A106, Sheet1!N$1228:N$1428, 0)
    ),
"")</f>
        <v/>
      </c>
      <c r="I106" s="152" t="str">
        <f>IFERROR(
    INDEX(
        CHOOSE(
            MATCH($C$1, {"All","Calls","Puts"}, 0),
            Sheet1!BN$1431:BN$1631,
            Sheet1!AR$1431:AR$1631,
            Sheet1!AS$1431:AS$1631
        ),
        MATCH($A106, Sheet1!N$1431:N$1631, 0)
    ),
"")</f>
        <v/>
      </c>
      <c r="J106" s="73" t="str">
        <f t="shared" si="5"/>
        <v/>
      </c>
      <c r="K106" s="97" t="str">
        <f t="shared" si="6"/>
        <v/>
      </c>
      <c r="L106" s="131">
        <f>IFERROR(MIN(0,INDEX(Sheet1!$AD$10:$AD$999,MATCH(A106,Sheet1!$N$10:$N$999,0))),0)</f>
        <v>0</v>
      </c>
      <c r="M106" s="136">
        <f>IFERROR(MAX(0,INDEX(Sheet1!$AE$10:$AE$999,MATCH(A106,Sheet1!$N$10:$N$999,0))),0)</f>
        <v>0</v>
      </c>
      <c r="N106" s="111" t="str">
        <f t="shared" si="7"/>
        <v/>
      </c>
      <c r="O106" s="138">
        <f>IFERROR(MIN(0,INDEX(Sheet1!$AP$10:$AP$999,MATCH(A106,Sheet1!$N$10:$N$999,0))),0)</f>
        <v>0</v>
      </c>
      <c r="P106" s="143">
        <f>IFERROR(MAX(0,INDEX(Sheet1!$AO$10:$AO$999,MATCH(A106,Sheet1!$N$10:$N$999,0))),0)</f>
        <v>0</v>
      </c>
      <c r="Q106" s="111" t="str">
        <f t="shared" si="8"/>
        <v/>
      </c>
      <c r="R106" s="140">
        <f>IFERROR(MIN(0,INDEX(Sheet1!$BK$10:$BK$999,MATCH(A106,Sheet1!$N$10:$N$999,0))),0)</f>
        <v>0</v>
      </c>
      <c r="S106" s="141">
        <f>IFERROR(MAX(0,INDEX(Sheet1!$BK$10:$BK$999,MATCH(A106,Sheet1!$N$10:$N$999,0))),0)</f>
        <v>0</v>
      </c>
      <c r="T106" s="111" t="str">
        <f t="shared" si="9"/>
        <v/>
      </c>
      <c r="AA106" s="96"/>
    </row>
    <row r="107" spans="1:27" x14ac:dyDescent="0.3">
      <c r="A107" s="44"/>
      <c r="B107" s="152" t="str">
        <f>IFERROR(
    INDEX(
        CHOOSE(
            MATCH($C$1, {"All","Calls","Puts"}, 0),
            Sheet1!BN$10:BN$210,
            Sheet1!AR$10:AR$210,
            Sheet1!AS$10:AS$210
        ),
        MATCH($A107, Sheet1!N$10:N$210, 0)
    ),
"")</f>
        <v/>
      </c>
      <c r="C107" s="152" t="str">
        <f>IFERROR(
    INDEX(
        CHOOSE(
            MATCH($C$1, {"All","Calls","Puts"}, 0),
            Sheet1!BN$213:BN$413,
            Sheet1!AR$213:AR$413,
            Sheet1!AS$213:AS$413
        ),
        MATCH($A107, Sheet1!N$213:N$413, 0)
    ),
"")</f>
        <v/>
      </c>
      <c r="D107" s="152" t="str">
        <f>IFERROR(
    INDEX(
        CHOOSE(
            MATCH($C$1, {"All","Calls","Puts"}, 0),
            Sheet1!BN$416:BN$616,
            Sheet1!AR$416:AR$616,
            Sheet1!AS$416:AS$616
        ),
        MATCH($A107, Sheet1!N$416:N$616, 0)
    ),
"")</f>
        <v/>
      </c>
      <c r="E107" s="152" t="str">
        <f>IFERROR(
    INDEX(
        CHOOSE(
            MATCH($C$1, {"All","Calls","Puts"}, 0),
            Sheet1!BN$619:BN$819,
            Sheet1!AR$619:AR$819,
            Sheet1!AS$619:AS$819
        ),
        MATCH($A107, Sheet1!N$619:N$819, 0)
    ),
"")</f>
        <v/>
      </c>
      <c r="F107" s="152" t="str">
        <f>IFERROR(
    INDEX(
        CHOOSE(
            MATCH($C$1, {"All","Calls","Puts"}, 0),
            Sheet1!BN$822:BN$1022,
            Sheet1!AR$822:AR$1022,
            Sheet1!AS$822:AS$1022
        ),
        MATCH($A107, Sheet1!N$822:N$1022, 0)
    ),
"")</f>
        <v/>
      </c>
      <c r="G107" s="152" t="str">
        <f>IFERROR(
    INDEX(
        CHOOSE(
            MATCH($C$1, {"All","Calls","Puts"}, 0),
            Sheet1!BN$1025:BN$1225,
            Sheet1!AR$1025:AR$1225,
            Sheet1!AS$1025:AS$1225
        ),
        MATCH($A107, Sheet1!N$1025:N$1225, 0)
    ),
"")</f>
        <v/>
      </c>
      <c r="H107" s="152" t="str">
        <f>IFERROR(
    INDEX(
        CHOOSE(
            MATCH($C$1, {"All","Calls","Puts"}, 0),
            Sheet1!BN$1228:BN$1428,
            Sheet1!AR$1228:AR$1428,
            Sheet1!AS$1228:AS$1428
        ),
        MATCH($A107, Sheet1!N$1228:N$1428, 0)
    ),
"")</f>
        <v/>
      </c>
      <c r="I107" s="152" t="str">
        <f>IFERROR(
    INDEX(
        CHOOSE(
            MATCH($C$1, {"All","Calls","Puts"}, 0),
            Sheet1!BN$1431:BN$1631,
            Sheet1!AR$1431:AR$1631,
            Sheet1!AS$1431:AS$1631
        ),
        MATCH($A107, Sheet1!N$1431:N$1631, 0)
    ),
"")</f>
        <v/>
      </c>
      <c r="J107" s="73" t="str">
        <f t="shared" si="5"/>
        <v/>
      </c>
      <c r="K107" s="97" t="str">
        <f t="shared" si="6"/>
        <v/>
      </c>
      <c r="L107" s="131">
        <f>IFERROR(MIN(0,INDEX(Sheet1!$AD$10:$AD$999,MATCH(A107,Sheet1!$N$10:$N$999,0))),0)</f>
        <v>0</v>
      </c>
      <c r="M107" s="136">
        <f>IFERROR(MAX(0,INDEX(Sheet1!$AE$10:$AE$999,MATCH(A107,Sheet1!$N$10:$N$999,0))),0)</f>
        <v>0</v>
      </c>
      <c r="N107" s="111" t="str">
        <f t="shared" si="7"/>
        <v/>
      </c>
      <c r="O107" s="138">
        <f>IFERROR(MIN(0,INDEX(Sheet1!$AP$10:$AP$999,MATCH(A107,Sheet1!$N$10:$N$999,0))),0)</f>
        <v>0</v>
      </c>
      <c r="P107" s="143">
        <f>IFERROR(MAX(0,INDEX(Sheet1!$AO$10:$AO$999,MATCH(A107,Sheet1!$N$10:$N$999,0))),0)</f>
        <v>0</v>
      </c>
      <c r="Q107" s="111" t="str">
        <f t="shared" si="8"/>
        <v/>
      </c>
      <c r="R107" s="140">
        <f>IFERROR(MIN(0,INDEX(Sheet1!$BK$10:$BK$999,MATCH(A107,Sheet1!$N$10:$N$999,0))),0)</f>
        <v>0</v>
      </c>
      <c r="S107" s="141">
        <f>IFERROR(MAX(0,INDEX(Sheet1!$BK$10:$BK$999,MATCH(A107,Sheet1!$N$10:$N$999,0))),0)</f>
        <v>0</v>
      </c>
      <c r="T107" s="111" t="str">
        <f t="shared" si="9"/>
        <v/>
      </c>
      <c r="AA107" s="96"/>
    </row>
    <row r="108" spans="1:27" x14ac:dyDescent="0.3">
      <c r="A108" s="44"/>
      <c r="B108" s="152" t="str">
        <f>IFERROR(
    INDEX(
        CHOOSE(
            MATCH($C$1, {"All","Calls","Puts"}, 0),
            Sheet1!BN$10:BN$210,
            Sheet1!AR$10:AR$210,
            Sheet1!AS$10:AS$210
        ),
        MATCH($A108, Sheet1!N$10:N$210, 0)
    ),
"")</f>
        <v/>
      </c>
      <c r="C108" s="152" t="str">
        <f>IFERROR(
    INDEX(
        CHOOSE(
            MATCH($C$1, {"All","Calls","Puts"}, 0),
            Sheet1!BN$213:BN$413,
            Sheet1!AR$213:AR$413,
            Sheet1!AS$213:AS$413
        ),
        MATCH($A108, Sheet1!N$213:N$413, 0)
    ),
"")</f>
        <v/>
      </c>
      <c r="D108" s="152" t="str">
        <f>IFERROR(
    INDEX(
        CHOOSE(
            MATCH($C$1, {"All","Calls","Puts"}, 0),
            Sheet1!BN$416:BN$616,
            Sheet1!AR$416:AR$616,
            Sheet1!AS$416:AS$616
        ),
        MATCH($A108, Sheet1!N$416:N$616, 0)
    ),
"")</f>
        <v/>
      </c>
      <c r="E108" s="152" t="str">
        <f>IFERROR(
    INDEX(
        CHOOSE(
            MATCH($C$1, {"All","Calls","Puts"}, 0),
            Sheet1!BN$619:BN$819,
            Sheet1!AR$619:AR$819,
            Sheet1!AS$619:AS$819
        ),
        MATCH($A108, Sheet1!N$619:N$819, 0)
    ),
"")</f>
        <v/>
      </c>
      <c r="F108" s="152" t="str">
        <f>IFERROR(
    INDEX(
        CHOOSE(
            MATCH($C$1, {"All","Calls","Puts"}, 0),
            Sheet1!BN$822:BN$1022,
            Sheet1!AR$822:AR$1022,
            Sheet1!AS$822:AS$1022
        ),
        MATCH($A108, Sheet1!N$822:N$1022, 0)
    ),
"")</f>
        <v/>
      </c>
      <c r="G108" s="152" t="str">
        <f>IFERROR(
    INDEX(
        CHOOSE(
            MATCH($C$1, {"All","Calls","Puts"}, 0),
            Sheet1!BN$1025:BN$1225,
            Sheet1!AR$1025:AR$1225,
            Sheet1!AS$1025:AS$1225
        ),
        MATCH($A108, Sheet1!N$1025:N$1225, 0)
    ),
"")</f>
        <v/>
      </c>
      <c r="H108" s="152" t="str">
        <f>IFERROR(
    INDEX(
        CHOOSE(
            MATCH($C$1, {"All","Calls","Puts"}, 0),
            Sheet1!BN$1228:BN$1428,
            Sheet1!AR$1228:AR$1428,
            Sheet1!AS$1228:AS$1428
        ),
        MATCH($A108, Sheet1!N$1228:N$1428, 0)
    ),
"")</f>
        <v/>
      </c>
      <c r="I108" s="152" t="str">
        <f>IFERROR(
    INDEX(
        CHOOSE(
            MATCH($C$1, {"All","Calls","Puts"}, 0),
            Sheet1!BN$1431:BN$1631,
            Sheet1!AR$1431:AR$1631,
            Sheet1!AS$1431:AS$1631
        ),
        MATCH($A108, Sheet1!N$1431:N$1631, 0)
    ),
"")</f>
        <v/>
      </c>
      <c r="J108" s="73" t="str">
        <f t="shared" si="5"/>
        <v/>
      </c>
      <c r="K108" s="97" t="str">
        <f t="shared" si="6"/>
        <v/>
      </c>
      <c r="L108" s="131">
        <f>IFERROR(MIN(0,INDEX(Sheet1!$AD$10:$AD$999,MATCH(A108,Sheet1!$N$10:$N$999,0))),0)</f>
        <v>0</v>
      </c>
      <c r="M108" s="136">
        <f>IFERROR(MAX(0,INDEX(Sheet1!$AE$10:$AE$999,MATCH(A108,Sheet1!$N$10:$N$999,0))),0)</f>
        <v>0</v>
      </c>
      <c r="N108" s="111" t="str">
        <f t="shared" si="7"/>
        <v/>
      </c>
      <c r="O108" s="138">
        <f>IFERROR(MIN(0,INDEX(Sheet1!$AP$10:$AP$999,MATCH(A108,Sheet1!$N$10:$N$999,0))),0)</f>
        <v>0</v>
      </c>
      <c r="P108" s="143">
        <f>IFERROR(MAX(0,INDEX(Sheet1!$AO$10:$AO$999,MATCH(A108,Sheet1!$N$10:$N$999,0))),0)</f>
        <v>0</v>
      </c>
      <c r="Q108" s="111" t="str">
        <f t="shared" si="8"/>
        <v/>
      </c>
      <c r="R108" s="140">
        <f>IFERROR(MIN(0,INDEX(Sheet1!$BK$10:$BK$999,MATCH(A108,Sheet1!$N$10:$N$999,0))),0)</f>
        <v>0</v>
      </c>
      <c r="S108" s="141">
        <f>IFERROR(MAX(0,INDEX(Sheet1!$BK$10:$BK$999,MATCH(A108,Sheet1!$N$10:$N$999,0))),0)</f>
        <v>0</v>
      </c>
      <c r="T108" s="111" t="str">
        <f t="shared" si="9"/>
        <v/>
      </c>
      <c r="AA108" s="96"/>
    </row>
    <row r="109" spans="1:27" x14ac:dyDescent="0.3">
      <c r="A109" s="44"/>
      <c r="B109" s="152" t="str">
        <f>IFERROR(
    INDEX(
        CHOOSE(
            MATCH($C$1, {"All","Calls","Puts"}, 0),
            Sheet1!BN$10:BN$210,
            Sheet1!AR$10:AR$210,
            Sheet1!AS$10:AS$210
        ),
        MATCH($A109, Sheet1!N$10:N$210, 0)
    ),
"")</f>
        <v/>
      </c>
      <c r="C109" s="152" t="str">
        <f>IFERROR(
    INDEX(
        CHOOSE(
            MATCH($C$1, {"All","Calls","Puts"}, 0),
            Sheet1!BN$213:BN$413,
            Sheet1!AR$213:AR$413,
            Sheet1!AS$213:AS$413
        ),
        MATCH($A109, Sheet1!N$213:N$413, 0)
    ),
"")</f>
        <v/>
      </c>
      <c r="D109" s="152" t="str">
        <f>IFERROR(
    INDEX(
        CHOOSE(
            MATCH($C$1, {"All","Calls","Puts"}, 0),
            Sheet1!BN$416:BN$616,
            Sheet1!AR$416:AR$616,
            Sheet1!AS$416:AS$616
        ),
        MATCH($A109, Sheet1!N$416:N$616, 0)
    ),
"")</f>
        <v/>
      </c>
      <c r="E109" s="152" t="str">
        <f>IFERROR(
    INDEX(
        CHOOSE(
            MATCH($C$1, {"All","Calls","Puts"}, 0),
            Sheet1!BN$619:BN$819,
            Sheet1!AR$619:AR$819,
            Sheet1!AS$619:AS$819
        ),
        MATCH($A109, Sheet1!N$619:N$819, 0)
    ),
"")</f>
        <v/>
      </c>
      <c r="F109" s="152" t="str">
        <f>IFERROR(
    INDEX(
        CHOOSE(
            MATCH($C$1, {"All","Calls","Puts"}, 0),
            Sheet1!BN$822:BN$1022,
            Sheet1!AR$822:AR$1022,
            Sheet1!AS$822:AS$1022
        ),
        MATCH($A109, Sheet1!N$822:N$1022, 0)
    ),
"")</f>
        <v/>
      </c>
      <c r="G109" s="152" t="str">
        <f>IFERROR(
    INDEX(
        CHOOSE(
            MATCH($C$1, {"All","Calls","Puts"}, 0),
            Sheet1!BN$1025:BN$1225,
            Sheet1!AR$1025:AR$1225,
            Sheet1!AS$1025:AS$1225
        ),
        MATCH($A109, Sheet1!N$1025:N$1225, 0)
    ),
"")</f>
        <v/>
      </c>
      <c r="H109" s="152" t="str">
        <f>IFERROR(
    INDEX(
        CHOOSE(
            MATCH($C$1, {"All","Calls","Puts"}, 0),
            Sheet1!BN$1228:BN$1428,
            Sheet1!AR$1228:AR$1428,
            Sheet1!AS$1228:AS$1428
        ),
        MATCH($A109, Sheet1!N$1228:N$1428, 0)
    ),
"")</f>
        <v/>
      </c>
      <c r="I109" s="152" t="str">
        <f>IFERROR(
    INDEX(
        CHOOSE(
            MATCH($C$1, {"All","Calls","Puts"}, 0),
            Sheet1!BN$1431:BN$1631,
            Sheet1!AR$1431:AR$1631,
            Sheet1!AS$1431:AS$1631
        ),
        MATCH($A109, Sheet1!N$1431:N$1631, 0)
    ),
"")</f>
        <v/>
      </c>
      <c r="J109" s="73" t="str">
        <f t="shared" si="5"/>
        <v/>
      </c>
      <c r="K109" s="97" t="str">
        <f t="shared" si="6"/>
        <v/>
      </c>
      <c r="L109" s="131">
        <f>IFERROR(MIN(0,INDEX(Sheet1!$AD$10:$AD$999,MATCH(A109,Sheet1!$N$10:$N$999,0))),0)</f>
        <v>0</v>
      </c>
      <c r="M109" s="136">
        <f>IFERROR(MAX(0,INDEX(Sheet1!$AE$10:$AE$999,MATCH(A109,Sheet1!$N$10:$N$999,0))),0)</f>
        <v>0</v>
      </c>
      <c r="N109" s="111" t="str">
        <f t="shared" si="7"/>
        <v/>
      </c>
      <c r="O109" s="138">
        <f>IFERROR(MIN(0,INDEX(Sheet1!$AP$10:$AP$999,MATCH(A109,Sheet1!$N$10:$N$999,0))),0)</f>
        <v>0</v>
      </c>
      <c r="P109" s="143">
        <f>IFERROR(MAX(0,INDEX(Sheet1!$AO$10:$AO$999,MATCH(A109,Sheet1!$N$10:$N$999,0))),0)</f>
        <v>0</v>
      </c>
      <c r="Q109" s="111" t="str">
        <f t="shared" si="8"/>
        <v/>
      </c>
      <c r="R109" s="140">
        <f>IFERROR(MIN(0,INDEX(Sheet1!$BK$10:$BK$999,MATCH(A109,Sheet1!$N$10:$N$999,0))),0)</f>
        <v>0</v>
      </c>
      <c r="S109" s="141">
        <f>IFERROR(MAX(0,INDEX(Sheet1!$BK$10:$BK$999,MATCH(A109,Sheet1!$N$10:$N$999,0))),0)</f>
        <v>0</v>
      </c>
      <c r="T109" s="111" t="str">
        <f t="shared" si="9"/>
        <v/>
      </c>
      <c r="AA109" s="96"/>
    </row>
    <row r="110" spans="1:27" x14ac:dyDescent="0.3">
      <c r="A110" s="44"/>
      <c r="B110" s="152" t="str">
        <f>IFERROR(
    INDEX(
        CHOOSE(
            MATCH($C$1, {"All","Calls","Puts"}, 0),
            Sheet1!BN$10:BN$210,
            Sheet1!AR$10:AR$210,
            Sheet1!AS$10:AS$210
        ),
        MATCH($A110, Sheet1!N$10:N$210, 0)
    ),
"")</f>
        <v/>
      </c>
      <c r="C110" s="152" t="str">
        <f>IFERROR(
    INDEX(
        CHOOSE(
            MATCH($C$1, {"All","Calls","Puts"}, 0),
            Sheet1!BN$213:BN$413,
            Sheet1!AR$213:AR$413,
            Sheet1!AS$213:AS$413
        ),
        MATCH($A110, Sheet1!N$213:N$413, 0)
    ),
"")</f>
        <v/>
      </c>
      <c r="D110" s="152" t="str">
        <f>IFERROR(
    INDEX(
        CHOOSE(
            MATCH($C$1, {"All","Calls","Puts"}, 0),
            Sheet1!BN$416:BN$616,
            Sheet1!AR$416:AR$616,
            Sheet1!AS$416:AS$616
        ),
        MATCH($A110, Sheet1!N$416:N$616, 0)
    ),
"")</f>
        <v/>
      </c>
      <c r="E110" s="152" t="str">
        <f>IFERROR(
    INDEX(
        CHOOSE(
            MATCH($C$1, {"All","Calls","Puts"}, 0),
            Sheet1!BN$619:BN$819,
            Sheet1!AR$619:AR$819,
            Sheet1!AS$619:AS$819
        ),
        MATCH($A110, Sheet1!N$619:N$819, 0)
    ),
"")</f>
        <v/>
      </c>
      <c r="F110" s="152" t="str">
        <f>IFERROR(
    INDEX(
        CHOOSE(
            MATCH($C$1, {"All","Calls","Puts"}, 0),
            Sheet1!BN$822:BN$1022,
            Sheet1!AR$822:AR$1022,
            Sheet1!AS$822:AS$1022
        ),
        MATCH($A110, Sheet1!N$822:N$1022, 0)
    ),
"")</f>
        <v/>
      </c>
      <c r="G110" s="152" t="str">
        <f>IFERROR(
    INDEX(
        CHOOSE(
            MATCH($C$1, {"All","Calls","Puts"}, 0),
            Sheet1!BN$1025:BN$1225,
            Sheet1!AR$1025:AR$1225,
            Sheet1!AS$1025:AS$1225
        ),
        MATCH($A110, Sheet1!N$1025:N$1225, 0)
    ),
"")</f>
        <v/>
      </c>
      <c r="H110" s="152" t="str">
        <f>IFERROR(
    INDEX(
        CHOOSE(
            MATCH($C$1, {"All","Calls","Puts"}, 0),
            Sheet1!BN$1228:BN$1428,
            Sheet1!AR$1228:AR$1428,
            Sheet1!AS$1228:AS$1428
        ),
        MATCH($A110, Sheet1!N$1228:N$1428, 0)
    ),
"")</f>
        <v/>
      </c>
      <c r="I110" s="152" t="str">
        <f>IFERROR(
    INDEX(
        CHOOSE(
            MATCH($C$1, {"All","Calls","Puts"}, 0),
            Sheet1!BN$1431:BN$1631,
            Sheet1!AR$1431:AR$1631,
            Sheet1!AS$1431:AS$1631
        ),
        MATCH($A110, Sheet1!N$1431:N$1631, 0)
    ),
"")</f>
        <v/>
      </c>
      <c r="J110" s="73" t="str">
        <f t="shared" si="5"/>
        <v/>
      </c>
      <c r="K110" s="97" t="str">
        <f t="shared" si="6"/>
        <v/>
      </c>
      <c r="L110" s="131">
        <f>IFERROR(MIN(0,INDEX(Sheet1!$AD$10:$AD$999,MATCH(A110,Sheet1!$N$10:$N$999,0))),0)</f>
        <v>0</v>
      </c>
      <c r="M110" s="136">
        <f>IFERROR(MAX(0,INDEX(Sheet1!$AE$10:$AE$999,MATCH(A110,Sheet1!$N$10:$N$999,0))),0)</f>
        <v>0</v>
      </c>
      <c r="N110" s="111" t="str">
        <f t="shared" si="7"/>
        <v/>
      </c>
      <c r="O110" s="138">
        <f>IFERROR(MIN(0,INDEX(Sheet1!$AP$10:$AP$999,MATCH(A110,Sheet1!$N$10:$N$999,0))),0)</f>
        <v>0</v>
      </c>
      <c r="P110" s="143">
        <f>IFERROR(MAX(0,INDEX(Sheet1!$AO$10:$AO$999,MATCH(A110,Sheet1!$N$10:$N$999,0))),0)</f>
        <v>0</v>
      </c>
      <c r="Q110" s="111" t="str">
        <f t="shared" si="8"/>
        <v/>
      </c>
      <c r="R110" s="140">
        <f>IFERROR(MIN(0,INDEX(Sheet1!$BK$10:$BK$999,MATCH(A110,Sheet1!$N$10:$N$999,0))),0)</f>
        <v>0</v>
      </c>
      <c r="S110" s="141">
        <f>IFERROR(MAX(0,INDEX(Sheet1!$BK$10:$BK$999,MATCH(A110,Sheet1!$N$10:$N$999,0))),0)</f>
        <v>0</v>
      </c>
      <c r="T110" s="111" t="str">
        <f t="shared" si="9"/>
        <v/>
      </c>
      <c r="AA110" s="96"/>
    </row>
    <row r="111" spans="1:27" x14ac:dyDescent="0.3">
      <c r="A111" s="44"/>
      <c r="B111" s="152" t="str">
        <f>IFERROR(
    INDEX(
        CHOOSE(
            MATCH($C$1, {"All","Calls","Puts"}, 0),
            Sheet1!BN$10:BN$210,
            Sheet1!AR$10:AR$210,
            Sheet1!AS$10:AS$210
        ),
        MATCH($A111, Sheet1!N$10:N$210, 0)
    ),
"")</f>
        <v/>
      </c>
      <c r="C111" s="152" t="str">
        <f>IFERROR(
    INDEX(
        CHOOSE(
            MATCH($C$1, {"All","Calls","Puts"}, 0),
            Sheet1!BN$213:BN$413,
            Sheet1!AR$213:AR$413,
            Sheet1!AS$213:AS$413
        ),
        MATCH($A111, Sheet1!N$213:N$413, 0)
    ),
"")</f>
        <v/>
      </c>
      <c r="D111" s="152" t="str">
        <f>IFERROR(
    INDEX(
        CHOOSE(
            MATCH($C$1, {"All","Calls","Puts"}, 0),
            Sheet1!BN$416:BN$616,
            Sheet1!AR$416:AR$616,
            Sheet1!AS$416:AS$616
        ),
        MATCH($A111, Sheet1!N$416:N$616, 0)
    ),
"")</f>
        <v/>
      </c>
      <c r="E111" s="152" t="str">
        <f>IFERROR(
    INDEX(
        CHOOSE(
            MATCH($C$1, {"All","Calls","Puts"}, 0),
            Sheet1!BN$619:BN$819,
            Sheet1!AR$619:AR$819,
            Sheet1!AS$619:AS$819
        ),
        MATCH($A111, Sheet1!N$619:N$819, 0)
    ),
"")</f>
        <v/>
      </c>
      <c r="F111" s="152" t="str">
        <f>IFERROR(
    INDEX(
        CHOOSE(
            MATCH($C$1, {"All","Calls","Puts"}, 0),
            Sheet1!BN$822:BN$1022,
            Sheet1!AR$822:AR$1022,
            Sheet1!AS$822:AS$1022
        ),
        MATCH($A111, Sheet1!N$822:N$1022, 0)
    ),
"")</f>
        <v/>
      </c>
      <c r="G111" s="152" t="str">
        <f>IFERROR(
    INDEX(
        CHOOSE(
            MATCH($C$1, {"All","Calls","Puts"}, 0),
            Sheet1!BN$1025:BN$1225,
            Sheet1!AR$1025:AR$1225,
            Sheet1!AS$1025:AS$1225
        ),
        MATCH($A111, Sheet1!N$1025:N$1225, 0)
    ),
"")</f>
        <v/>
      </c>
      <c r="H111" s="152" t="str">
        <f>IFERROR(
    INDEX(
        CHOOSE(
            MATCH($C$1, {"All","Calls","Puts"}, 0),
            Sheet1!BN$1228:BN$1428,
            Sheet1!AR$1228:AR$1428,
            Sheet1!AS$1228:AS$1428
        ),
        MATCH($A111, Sheet1!N$1228:N$1428, 0)
    ),
"")</f>
        <v/>
      </c>
      <c r="I111" s="152" t="str">
        <f>IFERROR(
    INDEX(
        CHOOSE(
            MATCH($C$1, {"All","Calls","Puts"}, 0),
            Sheet1!BN$1431:BN$1631,
            Sheet1!AR$1431:AR$1631,
            Sheet1!AS$1431:AS$1631
        ),
        MATCH($A111, Sheet1!N$1431:N$1631, 0)
    ),
"")</f>
        <v/>
      </c>
      <c r="J111" s="73" t="str">
        <f t="shared" si="5"/>
        <v/>
      </c>
      <c r="K111" s="97" t="str">
        <f t="shared" si="6"/>
        <v/>
      </c>
      <c r="L111" s="131">
        <f>IFERROR(MIN(0,INDEX(Sheet1!$AD$10:$AD$999,MATCH(A111,Sheet1!$N$10:$N$999,0))),0)</f>
        <v>0</v>
      </c>
      <c r="M111" s="136">
        <f>IFERROR(MAX(0,INDEX(Sheet1!$AE$10:$AE$999,MATCH(A111,Sheet1!$N$10:$N$999,0))),0)</f>
        <v>0</v>
      </c>
      <c r="N111" s="111" t="str">
        <f t="shared" si="7"/>
        <v/>
      </c>
      <c r="O111" s="138">
        <f>IFERROR(MIN(0,INDEX(Sheet1!$AP$10:$AP$999,MATCH(A111,Sheet1!$N$10:$N$999,0))),0)</f>
        <v>0</v>
      </c>
      <c r="P111" s="143">
        <f>IFERROR(MAX(0,INDEX(Sheet1!$AO$10:$AO$999,MATCH(A111,Sheet1!$N$10:$N$999,0))),0)</f>
        <v>0</v>
      </c>
      <c r="Q111" s="111" t="str">
        <f t="shared" si="8"/>
        <v/>
      </c>
      <c r="R111" s="140">
        <f>IFERROR(MIN(0,INDEX(Sheet1!$BK$10:$BK$999,MATCH(A111,Sheet1!$N$10:$N$999,0))),0)</f>
        <v>0</v>
      </c>
      <c r="S111" s="141">
        <f>IFERROR(MAX(0,INDEX(Sheet1!$BK$10:$BK$999,MATCH(A111,Sheet1!$N$10:$N$999,0))),0)</f>
        <v>0</v>
      </c>
      <c r="T111" s="111" t="str">
        <f t="shared" si="9"/>
        <v/>
      </c>
      <c r="AA111" s="96"/>
    </row>
    <row r="112" spans="1:27" x14ac:dyDescent="0.3">
      <c r="A112" s="44"/>
      <c r="B112" s="152" t="str">
        <f>IFERROR(
    INDEX(
        CHOOSE(
            MATCH($C$1, {"All","Calls","Puts"}, 0),
            Sheet1!BN$10:BN$210,
            Sheet1!AR$10:AR$210,
            Sheet1!AS$10:AS$210
        ),
        MATCH($A112, Sheet1!N$10:N$210, 0)
    ),
"")</f>
        <v/>
      </c>
      <c r="C112" s="152" t="str">
        <f>IFERROR(
    INDEX(
        CHOOSE(
            MATCH($C$1, {"All","Calls","Puts"}, 0),
            Sheet1!BN$213:BN$413,
            Sheet1!AR$213:AR$413,
            Sheet1!AS$213:AS$413
        ),
        MATCH($A112, Sheet1!N$213:N$413, 0)
    ),
"")</f>
        <v/>
      </c>
      <c r="D112" s="152" t="str">
        <f>IFERROR(
    INDEX(
        CHOOSE(
            MATCH($C$1, {"All","Calls","Puts"}, 0),
            Sheet1!BN$416:BN$616,
            Sheet1!AR$416:AR$616,
            Sheet1!AS$416:AS$616
        ),
        MATCH($A112, Sheet1!N$416:N$616, 0)
    ),
"")</f>
        <v/>
      </c>
      <c r="E112" s="152" t="str">
        <f>IFERROR(
    INDEX(
        CHOOSE(
            MATCH($C$1, {"All","Calls","Puts"}, 0),
            Sheet1!BN$619:BN$819,
            Sheet1!AR$619:AR$819,
            Sheet1!AS$619:AS$819
        ),
        MATCH($A112, Sheet1!N$619:N$819, 0)
    ),
"")</f>
        <v/>
      </c>
      <c r="F112" s="152" t="str">
        <f>IFERROR(
    INDEX(
        CHOOSE(
            MATCH($C$1, {"All","Calls","Puts"}, 0),
            Sheet1!BN$822:BN$1022,
            Sheet1!AR$822:AR$1022,
            Sheet1!AS$822:AS$1022
        ),
        MATCH($A112, Sheet1!N$822:N$1022, 0)
    ),
"")</f>
        <v/>
      </c>
      <c r="G112" s="152" t="str">
        <f>IFERROR(
    INDEX(
        CHOOSE(
            MATCH($C$1, {"All","Calls","Puts"}, 0),
            Sheet1!BN$1025:BN$1225,
            Sheet1!AR$1025:AR$1225,
            Sheet1!AS$1025:AS$1225
        ),
        MATCH($A112, Sheet1!N$1025:N$1225, 0)
    ),
"")</f>
        <v/>
      </c>
      <c r="H112" s="152" t="str">
        <f>IFERROR(
    INDEX(
        CHOOSE(
            MATCH($C$1, {"All","Calls","Puts"}, 0),
            Sheet1!BN$1228:BN$1428,
            Sheet1!AR$1228:AR$1428,
            Sheet1!AS$1228:AS$1428
        ),
        MATCH($A112, Sheet1!N$1228:N$1428, 0)
    ),
"")</f>
        <v/>
      </c>
      <c r="I112" s="152" t="str">
        <f>IFERROR(
    INDEX(
        CHOOSE(
            MATCH($C$1, {"All","Calls","Puts"}, 0),
            Sheet1!BN$1431:BN$1631,
            Sheet1!AR$1431:AR$1631,
            Sheet1!AS$1431:AS$1631
        ),
        MATCH($A112, Sheet1!N$1431:N$1631, 0)
    ),
"")</f>
        <v/>
      </c>
      <c r="J112" s="73" t="str">
        <f t="shared" si="5"/>
        <v/>
      </c>
      <c r="K112" s="97" t="str">
        <f t="shared" si="6"/>
        <v/>
      </c>
      <c r="L112" s="131">
        <f>IFERROR(MIN(0,INDEX(Sheet1!$AD$10:$AD$999,MATCH(A112,Sheet1!$N$10:$N$999,0))),0)</f>
        <v>0</v>
      </c>
      <c r="M112" s="136">
        <f>IFERROR(MAX(0,INDEX(Sheet1!$AE$10:$AE$999,MATCH(A112,Sheet1!$N$10:$N$999,0))),0)</f>
        <v>0</v>
      </c>
      <c r="N112" s="111" t="str">
        <f t="shared" si="7"/>
        <v/>
      </c>
      <c r="O112" s="138">
        <f>IFERROR(MIN(0,INDEX(Sheet1!$AP$10:$AP$999,MATCH(A112,Sheet1!$N$10:$N$999,0))),0)</f>
        <v>0</v>
      </c>
      <c r="P112" s="143">
        <f>IFERROR(MAX(0,INDEX(Sheet1!$AO$10:$AO$999,MATCH(A112,Sheet1!$N$10:$N$999,0))),0)</f>
        <v>0</v>
      </c>
      <c r="Q112" s="111" t="str">
        <f t="shared" si="8"/>
        <v/>
      </c>
      <c r="R112" s="140">
        <f>IFERROR(MIN(0,INDEX(Sheet1!$BK$10:$BK$999,MATCH(A112,Sheet1!$N$10:$N$999,0))),0)</f>
        <v>0</v>
      </c>
      <c r="S112" s="141">
        <f>IFERROR(MAX(0,INDEX(Sheet1!$BK$10:$BK$999,MATCH(A112,Sheet1!$N$10:$N$999,0))),0)</f>
        <v>0</v>
      </c>
      <c r="T112" s="111" t="str">
        <f t="shared" si="9"/>
        <v/>
      </c>
      <c r="AA112" s="96"/>
    </row>
    <row r="113" spans="1:27" x14ac:dyDescent="0.3">
      <c r="A113" s="44"/>
      <c r="B113" s="152" t="str">
        <f>IFERROR(
    INDEX(
        CHOOSE(
            MATCH($C$1, {"All","Calls","Puts"}, 0),
            Sheet1!BN$10:BN$210,
            Sheet1!AR$10:AR$210,
            Sheet1!AS$10:AS$210
        ),
        MATCH($A113, Sheet1!N$10:N$210, 0)
    ),
"")</f>
        <v/>
      </c>
      <c r="C113" s="152" t="str">
        <f>IFERROR(
    INDEX(
        CHOOSE(
            MATCH($C$1, {"All","Calls","Puts"}, 0),
            Sheet1!BN$213:BN$413,
            Sheet1!AR$213:AR$413,
            Sheet1!AS$213:AS$413
        ),
        MATCH($A113, Sheet1!N$213:N$413, 0)
    ),
"")</f>
        <v/>
      </c>
      <c r="D113" s="152" t="str">
        <f>IFERROR(
    INDEX(
        CHOOSE(
            MATCH($C$1, {"All","Calls","Puts"}, 0),
            Sheet1!BN$416:BN$616,
            Sheet1!AR$416:AR$616,
            Sheet1!AS$416:AS$616
        ),
        MATCH($A113, Sheet1!N$416:N$616, 0)
    ),
"")</f>
        <v/>
      </c>
      <c r="E113" s="152" t="str">
        <f>IFERROR(
    INDEX(
        CHOOSE(
            MATCH($C$1, {"All","Calls","Puts"}, 0),
            Sheet1!BN$619:BN$819,
            Sheet1!AR$619:AR$819,
            Sheet1!AS$619:AS$819
        ),
        MATCH($A113, Sheet1!N$619:N$819, 0)
    ),
"")</f>
        <v/>
      </c>
      <c r="F113" s="152" t="str">
        <f>IFERROR(
    INDEX(
        CHOOSE(
            MATCH($C$1, {"All","Calls","Puts"}, 0),
            Sheet1!BN$822:BN$1022,
            Sheet1!AR$822:AR$1022,
            Sheet1!AS$822:AS$1022
        ),
        MATCH($A113, Sheet1!N$822:N$1022, 0)
    ),
"")</f>
        <v/>
      </c>
      <c r="G113" s="152" t="str">
        <f>IFERROR(
    INDEX(
        CHOOSE(
            MATCH($C$1, {"All","Calls","Puts"}, 0),
            Sheet1!BN$1025:BN$1225,
            Sheet1!AR$1025:AR$1225,
            Sheet1!AS$1025:AS$1225
        ),
        MATCH($A113, Sheet1!N$1025:N$1225, 0)
    ),
"")</f>
        <v/>
      </c>
      <c r="H113" s="152" t="str">
        <f>IFERROR(
    INDEX(
        CHOOSE(
            MATCH($C$1, {"All","Calls","Puts"}, 0),
            Sheet1!BN$1228:BN$1428,
            Sheet1!AR$1228:AR$1428,
            Sheet1!AS$1228:AS$1428
        ),
        MATCH($A113, Sheet1!N$1228:N$1428, 0)
    ),
"")</f>
        <v/>
      </c>
      <c r="I113" s="152" t="str">
        <f>IFERROR(
    INDEX(
        CHOOSE(
            MATCH($C$1, {"All","Calls","Puts"}, 0),
            Sheet1!BN$1431:BN$1631,
            Sheet1!AR$1431:AR$1631,
            Sheet1!AS$1431:AS$1631
        ),
        MATCH($A113, Sheet1!N$1431:N$1631, 0)
    ),
"")</f>
        <v/>
      </c>
      <c r="J113" s="73" t="str">
        <f t="shared" si="5"/>
        <v/>
      </c>
      <c r="K113" s="97" t="str">
        <f t="shared" si="6"/>
        <v/>
      </c>
      <c r="L113" s="131">
        <f>IFERROR(MIN(0,INDEX(Sheet1!$AD$10:$AD$999,MATCH(A113,Sheet1!$N$10:$N$999,0))),0)</f>
        <v>0</v>
      </c>
      <c r="M113" s="136">
        <f>IFERROR(MAX(0,INDEX(Sheet1!$AE$10:$AE$999,MATCH(A113,Sheet1!$N$10:$N$999,0))),0)</f>
        <v>0</v>
      </c>
      <c r="N113" s="111" t="str">
        <f t="shared" si="7"/>
        <v/>
      </c>
      <c r="O113" s="138">
        <f>IFERROR(MIN(0,INDEX(Sheet1!$AP$10:$AP$999,MATCH(A113,Sheet1!$N$10:$N$999,0))),0)</f>
        <v>0</v>
      </c>
      <c r="P113" s="143">
        <f>IFERROR(MAX(0,INDEX(Sheet1!$AO$10:$AO$999,MATCH(A113,Sheet1!$N$10:$N$999,0))),0)</f>
        <v>0</v>
      </c>
      <c r="Q113" s="111" t="str">
        <f t="shared" si="8"/>
        <v/>
      </c>
      <c r="R113" s="140">
        <f>IFERROR(MIN(0,INDEX(Sheet1!$BK$10:$BK$999,MATCH(A113,Sheet1!$N$10:$N$999,0))),0)</f>
        <v>0</v>
      </c>
      <c r="S113" s="141">
        <f>IFERROR(MAX(0,INDEX(Sheet1!$BK$10:$BK$999,MATCH(A113,Sheet1!$N$10:$N$999,0))),0)</f>
        <v>0</v>
      </c>
      <c r="T113" s="111" t="str">
        <f t="shared" si="9"/>
        <v/>
      </c>
      <c r="AA113" s="96"/>
    </row>
    <row r="114" spans="1:27" x14ac:dyDescent="0.3">
      <c r="A114" s="44"/>
      <c r="B114" s="152" t="str">
        <f>IFERROR(
    INDEX(
        CHOOSE(
            MATCH($C$1, {"All","Calls","Puts"}, 0),
            Sheet1!BN$10:BN$210,
            Sheet1!AR$10:AR$210,
            Sheet1!AS$10:AS$210
        ),
        MATCH($A114, Sheet1!N$10:N$210, 0)
    ),
"")</f>
        <v/>
      </c>
      <c r="C114" s="152" t="str">
        <f>IFERROR(
    INDEX(
        CHOOSE(
            MATCH($C$1, {"All","Calls","Puts"}, 0),
            Sheet1!BN$213:BN$413,
            Sheet1!AR$213:AR$413,
            Sheet1!AS$213:AS$413
        ),
        MATCH($A114, Sheet1!N$213:N$413, 0)
    ),
"")</f>
        <v/>
      </c>
      <c r="D114" s="152" t="str">
        <f>IFERROR(
    INDEX(
        CHOOSE(
            MATCH($C$1, {"All","Calls","Puts"}, 0),
            Sheet1!BN$416:BN$616,
            Sheet1!AR$416:AR$616,
            Sheet1!AS$416:AS$616
        ),
        MATCH($A114, Sheet1!N$416:N$616, 0)
    ),
"")</f>
        <v/>
      </c>
      <c r="E114" s="152" t="str">
        <f>IFERROR(
    INDEX(
        CHOOSE(
            MATCH($C$1, {"All","Calls","Puts"}, 0),
            Sheet1!BN$619:BN$819,
            Sheet1!AR$619:AR$819,
            Sheet1!AS$619:AS$819
        ),
        MATCH($A114, Sheet1!N$619:N$819, 0)
    ),
"")</f>
        <v/>
      </c>
      <c r="F114" s="152" t="str">
        <f>IFERROR(
    INDEX(
        CHOOSE(
            MATCH($C$1, {"All","Calls","Puts"}, 0),
            Sheet1!BN$822:BN$1022,
            Sheet1!AR$822:AR$1022,
            Sheet1!AS$822:AS$1022
        ),
        MATCH($A114, Sheet1!N$822:N$1022, 0)
    ),
"")</f>
        <v/>
      </c>
      <c r="G114" s="152" t="str">
        <f>IFERROR(
    INDEX(
        CHOOSE(
            MATCH($C$1, {"All","Calls","Puts"}, 0),
            Sheet1!BN$1025:BN$1225,
            Sheet1!AR$1025:AR$1225,
            Sheet1!AS$1025:AS$1225
        ),
        MATCH($A114, Sheet1!N$1025:N$1225, 0)
    ),
"")</f>
        <v/>
      </c>
      <c r="H114" s="152" t="str">
        <f>IFERROR(
    INDEX(
        CHOOSE(
            MATCH($C$1, {"All","Calls","Puts"}, 0),
            Sheet1!BN$1228:BN$1428,
            Sheet1!AR$1228:AR$1428,
            Sheet1!AS$1228:AS$1428
        ),
        MATCH($A114, Sheet1!N$1228:N$1428, 0)
    ),
"")</f>
        <v/>
      </c>
      <c r="I114" s="152" t="str">
        <f>IFERROR(
    INDEX(
        CHOOSE(
            MATCH($C$1, {"All","Calls","Puts"}, 0),
            Sheet1!BN$1431:BN$1631,
            Sheet1!AR$1431:AR$1631,
            Sheet1!AS$1431:AS$1631
        ),
        MATCH($A114, Sheet1!N$1431:N$1631, 0)
    ),
"")</f>
        <v/>
      </c>
      <c r="J114" s="73" t="str">
        <f t="shared" si="5"/>
        <v/>
      </c>
      <c r="K114" s="97" t="str">
        <f t="shared" si="6"/>
        <v/>
      </c>
      <c r="L114" s="131">
        <f>IFERROR(MIN(0,INDEX(Sheet1!$AD$10:$AD$999,MATCH(A114,Sheet1!$N$10:$N$999,0))),0)</f>
        <v>0</v>
      </c>
      <c r="M114" s="136">
        <f>IFERROR(MAX(0,INDEX(Sheet1!$AE$10:$AE$999,MATCH(A114,Sheet1!$N$10:$N$999,0))),0)</f>
        <v>0</v>
      </c>
      <c r="N114" s="111" t="str">
        <f t="shared" si="7"/>
        <v/>
      </c>
      <c r="O114" s="138">
        <f>IFERROR(MIN(0,INDEX(Sheet1!$AP$10:$AP$999,MATCH(A114,Sheet1!$N$10:$N$999,0))),0)</f>
        <v>0</v>
      </c>
      <c r="P114" s="143">
        <f>IFERROR(MAX(0,INDEX(Sheet1!$AO$10:$AO$999,MATCH(A114,Sheet1!$N$10:$N$999,0))),0)</f>
        <v>0</v>
      </c>
      <c r="Q114" s="111" t="str">
        <f t="shared" si="8"/>
        <v/>
      </c>
      <c r="R114" s="140">
        <f>IFERROR(MIN(0,INDEX(Sheet1!$BK$10:$BK$999,MATCH(A114,Sheet1!$N$10:$N$999,0))),0)</f>
        <v>0</v>
      </c>
      <c r="S114" s="141">
        <f>IFERROR(MAX(0,INDEX(Sheet1!$BK$10:$BK$999,MATCH(A114,Sheet1!$N$10:$N$999,0))),0)</f>
        <v>0</v>
      </c>
      <c r="T114" s="111" t="str">
        <f t="shared" si="9"/>
        <v/>
      </c>
      <c r="AA114" s="96"/>
    </row>
    <row r="115" spans="1:27" x14ac:dyDescent="0.3">
      <c r="A115" s="44"/>
      <c r="B115" s="152" t="str">
        <f>IFERROR(
    INDEX(
        CHOOSE(
            MATCH($C$1, {"All","Calls","Puts"}, 0),
            Sheet1!BN$10:BN$210,
            Sheet1!AR$10:AR$210,
            Sheet1!AS$10:AS$210
        ),
        MATCH($A115, Sheet1!N$10:N$210, 0)
    ),
"")</f>
        <v/>
      </c>
      <c r="C115" s="152" t="str">
        <f>IFERROR(
    INDEX(
        CHOOSE(
            MATCH($C$1, {"All","Calls","Puts"}, 0),
            Sheet1!BN$213:BN$413,
            Sheet1!AR$213:AR$413,
            Sheet1!AS$213:AS$413
        ),
        MATCH($A115, Sheet1!N$213:N$413, 0)
    ),
"")</f>
        <v/>
      </c>
      <c r="D115" s="152" t="str">
        <f>IFERROR(
    INDEX(
        CHOOSE(
            MATCH($C$1, {"All","Calls","Puts"}, 0),
            Sheet1!BN$416:BN$616,
            Sheet1!AR$416:AR$616,
            Sheet1!AS$416:AS$616
        ),
        MATCH($A115, Sheet1!N$416:N$616, 0)
    ),
"")</f>
        <v/>
      </c>
      <c r="E115" s="152" t="str">
        <f>IFERROR(
    INDEX(
        CHOOSE(
            MATCH($C$1, {"All","Calls","Puts"}, 0),
            Sheet1!BN$619:BN$819,
            Sheet1!AR$619:AR$819,
            Sheet1!AS$619:AS$819
        ),
        MATCH($A115, Sheet1!N$619:N$819, 0)
    ),
"")</f>
        <v/>
      </c>
      <c r="F115" s="152" t="str">
        <f>IFERROR(
    INDEX(
        CHOOSE(
            MATCH($C$1, {"All","Calls","Puts"}, 0),
            Sheet1!BN$822:BN$1022,
            Sheet1!AR$822:AR$1022,
            Sheet1!AS$822:AS$1022
        ),
        MATCH($A115, Sheet1!N$822:N$1022, 0)
    ),
"")</f>
        <v/>
      </c>
      <c r="G115" s="152" t="str">
        <f>IFERROR(
    INDEX(
        CHOOSE(
            MATCH($C$1, {"All","Calls","Puts"}, 0),
            Sheet1!BN$1025:BN$1225,
            Sheet1!AR$1025:AR$1225,
            Sheet1!AS$1025:AS$1225
        ),
        MATCH($A115, Sheet1!N$1025:N$1225, 0)
    ),
"")</f>
        <v/>
      </c>
      <c r="H115" s="152" t="str">
        <f>IFERROR(
    INDEX(
        CHOOSE(
            MATCH($C$1, {"All","Calls","Puts"}, 0),
            Sheet1!BN$1228:BN$1428,
            Sheet1!AR$1228:AR$1428,
            Sheet1!AS$1228:AS$1428
        ),
        MATCH($A115, Sheet1!N$1228:N$1428, 0)
    ),
"")</f>
        <v/>
      </c>
      <c r="I115" s="152" t="str">
        <f>IFERROR(
    INDEX(
        CHOOSE(
            MATCH($C$1, {"All","Calls","Puts"}, 0),
            Sheet1!BN$1431:BN$1631,
            Sheet1!AR$1431:AR$1631,
            Sheet1!AS$1431:AS$1631
        ),
        MATCH($A115, Sheet1!N$1431:N$1631, 0)
    ),
"")</f>
        <v/>
      </c>
      <c r="J115" s="73" t="str">
        <f t="shared" si="5"/>
        <v/>
      </c>
      <c r="K115" s="97" t="str">
        <f t="shared" si="6"/>
        <v/>
      </c>
      <c r="L115" s="131">
        <f>IFERROR(MIN(0,INDEX(Sheet1!$AD$10:$AD$999,MATCH(A115,Sheet1!$N$10:$N$999,0))),0)</f>
        <v>0</v>
      </c>
      <c r="M115" s="136">
        <f>IFERROR(MAX(0,INDEX(Sheet1!$AE$10:$AE$999,MATCH(A115,Sheet1!$N$10:$N$999,0))),0)</f>
        <v>0</v>
      </c>
      <c r="N115" s="111" t="str">
        <f t="shared" si="7"/>
        <v/>
      </c>
      <c r="O115" s="138">
        <f>IFERROR(MIN(0,INDEX(Sheet1!$AP$10:$AP$999,MATCH(A115,Sheet1!$N$10:$N$999,0))),0)</f>
        <v>0</v>
      </c>
      <c r="P115" s="143">
        <f>IFERROR(MAX(0,INDEX(Sheet1!$AO$10:$AO$999,MATCH(A115,Sheet1!$N$10:$N$999,0))),0)</f>
        <v>0</v>
      </c>
      <c r="Q115" s="111" t="str">
        <f t="shared" si="8"/>
        <v/>
      </c>
      <c r="R115" s="140">
        <f>IFERROR(MIN(0,INDEX(Sheet1!$BK$10:$BK$999,MATCH(A115,Sheet1!$N$10:$N$999,0))),0)</f>
        <v>0</v>
      </c>
      <c r="S115" s="141">
        <f>IFERROR(MAX(0,INDEX(Sheet1!$BK$10:$BK$999,MATCH(A115,Sheet1!$N$10:$N$999,0))),0)</f>
        <v>0</v>
      </c>
      <c r="T115" s="111" t="str">
        <f t="shared" si="9"/>
        <v/>
      </c>
      <c r="AA115" s="96"/>
    </row>
    <row r="116" spans="1:27" x14ac:dyDescent="0.3">
      <c r="A116" s="44"/>
      <c r="B116" s="152" t="str">
        <f>IFERROR(
    INDEX(
        CHOOSE(
            MATCH($C$1, {"All","Calls","Puts"}, 0),
            Sheet1!BN$10:BN$210,
            Sheet1!AR$10:AR$210,
            Sheet1!AS$10:AS$210
        ),
        MATCH($A116, Sheet1!N$10:N$210, 0)
    ),
"")</f>
        <v/>
      </c>
      <c r="C116" s="152" t="str">
        <f>IFERROR(
    INDEX(
        CHOOSE(
            MATCH($C$1, {"All","Calls","Puts"}, 0),
            Sheet1!BN$213:BN$413,
            Sheet1!AR$213:AR$413,
            Sheet1!AS$213:AS$413
        ),
        MATCH($A116, Sheet1!N$213:N$413, 0)
    ),
"")</f>
        <v/>
      </c>
      <c r="D116" s="152" t="str">
        <f>IFERROR(
    INDEX(
        CHOOSE(
            MATCH($C$1, {"All","Calls","Puts"}, 0),
            Sheet1!BN$416:BN$616,
            Sheet1!AR$416:AR$616,
            Sheet1!AS$416:AS$616
        ),
        MATCH($A116, Sheet1!N$416:N$616, 0)
    ),
"")</f>
        <v/>
      </c>
      <c r="E116" s="152" t="str">
        <f>IFERROR(
    INDEX(
        CHOOSE(
            MATCH($C$1, {"All","Calls","Puts"}, 0),
            Sheet1!BN$619:BN$819,
            Sheet1!AR$619:AR$819,
            Sheet1!AS$619:AS$819
        ),
        MATCH($A116, Sheet1!N$619:N$819, 0)
    ),
"")</f>
        <v/>
      </c>
      <c r="F116" s="152" t="str">
        <f>IFERROR(
    INDEX(
        CHOOSE(
            MATCH($C$1, {"All","Calls","Puts"}, 0),
            Sheet1!BN$822:BN$1022,
            Sheet1!AR$822:AR$1022,
            Sheet1!AS$822:AS$1022
        ),
        MATCH($A116, Sheet1!N$822:N$1022, 0)
    ),
"")</f>
        <v/>
      </c>
      <c r="G116" s="152" t="str">
        <f>IFERROR(
    INDEX(
        CHOOSE(
            MATCH($C$1, {"All","Calls","Puts"}, 0),
            Sheet1!BN$1025:BN$1225,
            Sheet1!AR$1025:AR$1225,
            Sheet1!AS$1025:AS$1225
        ),
        MATCH($A116, Sheet1!N$1025:N$1225, 0)
    ),
"")</f>
        <v/>
      </c>
      <c r="H116" s="152" t="str">
        <f>IFERROR(
    INDEX(
        CHOOSE(
            MATCH($C$1, {"All","Calls","Puts"}, 0),
            Sheet1!BN$1228:BN$1428,
            Sheet1!AR$1228:AR$1428,
            Sheet1!AS$1228:AS$1428
        ),
        MATCH($A116, Sheet1!N$1228:N$1428, 0)
    ),
"")</f>
        <v/>
      </c>
      <c r="I116" s="152" t="str">
        <f>IFERROR(
    INDEX(
        CHOOSE(
            MATCH($C$1, {"All","Calls","Puts"}, 0),
            Sheet1!BN$1431:BN$1631,
            Sheet1!AR$1431:AR$1631,
            Sheet1!AS$1431:AS$1631
        ),
        MATCH($A116, Sheet1!N$1431:N$1631, 0)
    ),
"")</f>
        <v/>
      </c>
      <c r="J116" s="73" t="str">
        <f t="shared" si="5"/>
        <v/>
      </c>
      <c r="K116" s="97" t="str">
        <f t="shared" si="6"/>
        <v/>
      </c>
      <c r="L116" s="131">
        <f>IFERROR(MIN(0,INDEX(Sheet1!$AD$10:$AD$999,MATCH(A116,Sheet1!$N$10:$N$999,0))),0)</f>
        <v>0</v>
      </c>
      <c r="M116" s="136">
        <f>IFERROR(MAX(0,INDEX(Sheet1!$AE$10:$AE$999,MATCH(A116,Sheet1!$N$10:$N$999,0))),0)</f>
        <v>0</v>
      </c>
      <c r="N116" s="111" t="str">
        <f t="shared" si="7"/>
        <v/>
      </c>
      <c r="O116" s="138">
        <f>IFERROR(MIN(0,INDEX(Sheet1!$AP$10:$AP$999,MATCH(A116,Sheet1!$N$10:$N$999,0))),0)</f>
        <v>0</v>
      </c>
      <c r="P116" s="143">
        <f>IFERROR(MAX(0,INDEX(Sheet1!$AO$10:$AO$999,MATCH(A116,Sheet1!$N$10:$N$999,0))),0)</f>
        <v>0</v>
      </c>
      <c r="Q116" s="111" t="str">
        <f t="shared" si="8"/>
        <v/>
      </c>
      <c r="R116" s="140">
        <f>IFERROR(MIN(0,INDEX(Sheet1!$BK$10:$BK$999,MATCH(A116,Sheet1!$N$10:$N$999,0))),0)</f>
        <v>0</v>
      </c>
      <c r="S116" s="141">
        <f>IFERROR(MAX(0,INDEX(Sheet1!$BK$10:$BK$999,MATCH(A116,Sheet1!$N$10:$N$999,0))),0)</f>
        <v>0</v>
      </c>
      <c r="T116" s="111" t="str">
        <f t="shared" si="9"/>
        <v/>
      </c>
      <c r="AA116" s="96"/>
    </row>
    <row r="117" spans="1:27" x14ac:dyDescent="0.3">
      <c r="A117" s="44"/>
      <c r="B117" s="152" t="str">
        <f>IFERROR(
    INDEX(
        CHOOSE(
            MATCH($C$1, {"All","Calls","Puts"}, 0),
            Sheet1!BN$10:BN$210,
            Sheet1!AR$10:AR$210,
            Sheet1!AS$10:AS$210
        ),
        MATCH($A117, Sheet1!N$10:N$210, 0)
    ),
"")</f>
        <v/>
      </c>
      <c r="C117" s="152" t="str">
        <f>IFERROR(
    INDEX(
        CHOOSE(
            MATCH($C$1, {"All","Calls","Puts"}, 0),
            Sheet1!BN$213:BN$413,
            Sheet1!AR$213:AR$413,
            Sheet1!AS$213:AS$413
        ),
        MATCH($A117, Sheet1!N$213:N$413, 0)
    ),
"")</f>
        <v/>
      </c>
      <c r="D117" s="152" t="str">
        <f>IFERROR(
    INDEX(
        CHOOSE(
            MATCH($C$1, {"All","Calls","Puts"}, 0),
            Sheet1!BN$416:BN$616,
            Sheet1!AR$416:AR$616,
            Sheet1!AS$416:AS$616
        ),
        MATCH($A117, Sheet1!N$416:N$616, 0)
    ),
"")</f>
        <v/>
      </c>
      <c r="E117" s="152" t="str">
        <f>IFERROR(
    INDEX(
        CHOOSE(
            MATCH($C$1, {"All","Calls","Puts"}, 0),
            Sheet1!BN$619:BN$819,
            Sheet1!AR$619:AR$819,
            Sheet1!AS$619:AS$819
        ),
        MATCH($A117, Sheet1!N$619:N$819, 0)
    ),
"")</f>
        <v/>
      </c>
      <c r="F117" s="152" t="str">
        <f>IFERROR(
    INDEX(
        CHOOSE(
            MATCH($C$1, {"All","Calls","Puts"}, 0),
            Sheet1!BN$822:BN$1022,
            Sheet1!AR$822:AR$1022,
            Sheet1!AS$822:AS$1022
        ),
        MATCH($A117, Sheet1!N$822:N$1022, 0)
    ),
"")</f>
        <v/>
      </c>
      <c r="G117" s="152" t="str">
        <f>IFERROR(
    INDEX(
        CHOOSE(
            MATCH($C$1, {"All","Calls","Puts"}, 0),
            Sheet1!BN$1025:BN$1225,
            Sheet1!AR$1025:AR$1225,
            Sheet1!AS$1025:AS$1225
        ),
        MATCH($A117, Sheet1!N$1025:N$1225, 0)
    ),
"")</f>
        <v/>
      </c>
      <c r="H117" s="152" t="str">
        <f>IFERROR(
    INDEX(
        CHOOSE(
            MATCH($C$1, {"All","Calls","Puts"}, 0),
            Sheet1!BN$1228:BN$1428,
            Sheet1!AR$1228:AR$1428,
            Sheet1!AS$1228:AS$1428
        ),
        MATCH($A117, Sheet1!N$1228:N$1428, 0)
    ),
"")</f>
        <v/>
      </c>
      <c r="I117" s="152" t="str">
        <f>IFERROR(
    INDEX(
        CHOOSE(
            MATCH($C$1, {"All","Calls","Puts"}, 0),
            Sheet1!BN$1431:BN$1631,
            Sheet1!AR$1431:AR$1631,
            Sheet1!AS$1431:AS$1631
        ),
        MATCH($A117, Sheet1!N$1431:N$1631, 0)
    ),
"")</f>
        <v/>
      </c>
      <c r="J117" s="73" t="str">
        <f t="shared" si="5"/>
        <v/>
      </c>
      <c r="K117" s="97" t="str">
        <f t="shared" si="6"/>
        <v/>
      </c>
      <c r="L117" s="131">
        <f>IFERROR(MIN(0,INDEX(Sheet1!$AD$10:$AD$999,MATCH(A117,Sheet1!$N$10:$N$999,0))),0)</f>
        <v>0</v>
      </c>
      <c r="M117" s="136">
        <f>IFERROR(MAX(0,INDEX(Sheet1!$AE$10:$AE$999,MATCH(A117,Sheet1!$N$10:$N$999,0))),0)</f>
        <v>0</v>
      </c>
      <c r="N117" s="111" t="str">
        <f t="shared" si="7"/>
        <v/>
      </c>
      <c r="O117" s="138">
        <f>IFERROR(MIN(0,INDEX(Sheet1!$AP$10:$AP$999,MATCH(A117,Sheet1!$N$10:$N$999,0))),0)</f>
        <v>0</v>
      </c>
      <c r="P117" s="143">
        <f>IFERROR(MAX(0,INDEX(Sheet1!$AO$10:$AO$999,MATCH(A117,Sheet1!$N$10:$N$999,0))),0)</f>
        <v>0</v>
      </c>
      <c r="Q117" s="111" t="str">
        <f t="shared" si="8"/>
        <v/>
      </c>
      <c r="R117" s="140">
        <f>IFERROR(MIN(0,INDEX(Sheet1!$BK$10:$BK$999,MATCH(A117,Sheet1!$N$10:$N$999,0))),0)</f>
        <v>0</v>
      </c>
      <c r="S117" s="141">
        <f>IFERROR(MAX(0,INDEX(Sheet1!$BK$10:$BK$999,MATCH(A117,Sheet1!$N$10:$N$999,0))),0)</f>
        <v>0</v>
      </c>
      <c r="T117" s="111" t="str">
        <f t="shared" si="9"/>
        <v/>
      </c>
      <c r="AA117" s="96"/>
    </row>
    <row r="118" spans="1:27" x14ac:dyDescent="0.3">
      <c r="A118" s="44"/>
      <c r="B118" s="152" t="str">
        <f>IFERROR(
    INDEX(
        CHOOSE(
            MATCH($C$1, {"All","Calls","Puts"}, 0),
            Sheet1!BN$10:BN$210,
            Sheet1!AR$10:AR$210,
            Sheet1!AS$10:AS$210
        ),
        MATCH($A118, Sheet1!N$10:N$210, 0)
    ),
"")</f>
        <v/>
      </c>
      <c r="C118" s="152" t="str">
        <f>IFERROR(
    INDEX(
        CHOOSE(
            MATCH($C$1, {"All","Calls","Puts"}, 0),
            Sheet1!BN$213:BN$413,
            Sheet1!AR$213:AR$413,
            Sheet1!AS$213:AS$413
        ),
        MATCH($A118, Sheet1!N$213:N$413, 0)
    ),
"")</f>
        <v/>
      </c>
      <c r="D118" s="152" t="str">
        <f>IFERROR(
    INDEX(
        CHOOSE(
            MATCH($C$1, {"All","Calls","Puts"}, 0),
            Sheet1!BN$416:BN$616,
            Sheet1!AR$416:AR$616,
            Sheet1!AS$416:AS$616
        ),
        MATCH($A118, Sheet1!N$416:N$616, 0)
    ),
"")</f>
        <v/>
      </c>
      <c r="E118" s="152" t="str">
        <f>IFERROR(
    INDEX(
        CHOOSE(
            MATCH($C$1, {"All","Calls","Puts"}, 0),
            Sheet1!BN$619:BN$819,
            Sheet1!AR$619:AR$819,
            Sheet1!AS$619:AS$819
        ),
        MATCH($A118, Sheet1!N$619:N$819, 0)
    ),
"")</f>
        <v/>
      </c>
      <c r="F118" s="152" t="str">
        <f>IFERROR(
    INDEX(
        CHOOSE(
            MATCH($C$1, {"All","Calls","Puts"}, 0),
            Sheet1!BN$822:BN$1022,
            Sheet1!AR$822:AR$1022,
            Sheet1!AS$822:AS$1022
        ),
        MATCH($A118, Sheet1!N$822:N$1022, 0)
    ),
"")</f>
        <v/>
      </c>
      <c r="G118" s="152" t="str">
        <f>IFERROR(
    INDEX(
        CHOOSE(
            MATCH($C$1, {"All","Calls","Puts"}, 0),
            Sheet1!BN$1025:BN$1225,
            Sheet1!AR$1025:AR$1225,
            Sheet1!AS$1025:AS$1225
        ),
        MATCH($A118, Sheet1!N$1025:N$1225, 0)
    ),
"")</f>
        <v/>
      </c>
      <c r="H118" s="152" t="str">
        <f>IFERROR(
    INDEX(
        CHOOSE(
            MATCH($C$1, {"All","Calls","Puts"}, 0),
            Sheet1!BN$1228:BN$1428,
            Sheet1!AR$1228:AR$1428,
            Sheet1!AS$1228:AS$1428
        ),
        MATCH($A118, Sheet1!N$1228:N$1428, 0)
    ),
"")</f>
        <v/>
      </c>
      <c r="I118" s="152" t="str">
        <f>IFERROR(
    INDEX(
        CHOOSE(
            MATCH($C$1, {"All","Calls","Puts"}, 0),
            Sheet1!BN$1431:BN$1631,
            Sheet1!AR$1431:AR$1631,
            Sheet1!AS$1431:AS$1631
        ),
        MATCH($A118, Sheet1!N$1431:N$1631, 0)
    ),
"")</f>
        <v/>
      </c>
      <c r="J118" s="73" t="str">
        <f t="shared" si="5"/>
        <v/>
      </c>
      <c r="K118" s="97" t="str">
        <f t="shared" si="6"/>
        <v/>
      </c>
      <c r="L118" s="131">
        <f>IFERROR(MIN(0,INDEX(Sheet1!$AD$10:$AD$999,MATCH(A118,Sheet1!$N$10:$N$999,0))),0)</f>
        <v>0</v>
      </c>
      <c r="M118" s="136">
        <f>IFERROR(MAX(0,INDEX(Sheet1!$AE$10:$AE$999,MATCH(A118,Sheet1!$N$10:$N$999,0))),0)</f>
        <v>0</v>
      </c>
      <c r="N118" s="111" t="str">
        <f t="shared" si="7"/>
        <v/>
      </c>
      <c r="O118" s="138">
        <f>IFERROR(MIN(0,INDEX(Sheet1!$AP$10:$AP$999,MATCH(A118,Sheet1!$N$10:$N$999,0))),0)</f>
        <v>0</v>
      </c>
      <c r="P118" s="143">
        <f>IFERROR(MAX(0,INDEX(Sheet1!$AO$10:$AO$999,MATCH(A118,Sheet1!$N$10:$N$999,0))),0)</f>
        <v>0</v>
      </c>
      <c r="Q118" s="111" t="str">
        <f t="shared" si="8"/>
        <v/>
      </c>
      <c r="R118" s="140">
        <f>IFERROR(MIN(0,INDEX(Sheet1!$BK$10:$BK$999,MATCH(A118,Sheet1!$N$10:$N$999,0))),0)</f>
        <v>0</v>
      </c>
      <c r="S118" s="141">
        <f>IFERROR(MAX(0,INDEX(Sheet1!$BK$10:$BK$999,MATCH(A118,Sheet1!$N$10:$N$999,0))),0)</f>
        <v>0</v>
      </c>
      <c r="T118" s="111" t="str">
        <f t="shared" si="9"/>
        <v/>
      </c>
      <c r="AA118" s="96"/>
    </row>
    <row r="119" spans="1:27" x14ac:dyDescent="0.3">
      <c r="A119" s="44"/>
      <c r="B119" s="152" t="str">
        <f>IFERROR(
    INDEX(
        CHOOSE(
            MATCH($C$1, {"All","Calls","Puts"}, 0),
            Sheet1!BN$10:BN$210,
            Sheet1!AR$10:AR$210,
            Sheet1!AS$10:AS$210
        ),
        MATCH($A119, Sheet1!N$10:N$210, 0)
    ),
"")</f>
        <v/>
      </c>
      <c r="C119" s="152" t="str">
        <f>IFERROR(
    INDEX(
        CHOOSE(
            MATCH($C$1, {"All","Calls","Puts"}, 0),
            Sheet1!BN$213:BN$413,
            Sheet1!AR$213:AR$413,
            Sheet1!AS$213:AS$413
        ),
        MATCH($A119, Sheet1!N$213:N$413, 0)
    ),
"")</f>
        <v/>
      </c>
      <c r="D119" s="152" t="str">
        <f>IFERROR(
    INDEX(
        CHOOSE(
            MATCH($C$1, {"All","Calls","Puts"}, 0),
            Sheet1!BN$416:BN$616,
            Sheet1!AR$416:AR$616,
            Sheet1!AS$416:AS$616
        ),
        MATCH($A119, Sheet1!N$416:N$616, 0)
    ),
"")</f>
        <v/>
      </c>
      <c r="E119" s="152" t="str">
        <f>IFERROR(
    INDEX(
        CHOOSE(
            MATCH($C$1, {"All","Calls","Puts"}, 0),
            Sheet1!BN$619:BN$819,
            Sheet1!AR$619:AR$819,
            Sheet1!AS$619:AS$819
        ),
        MATCH($A119, Sheet1!N$619:N$819, 0)
    ),
"")</f>
        <v/>
      </c>
      <c r="F119" s="152" t="str">
        <f>IFERROR(
    INDEX(
        CHOOSE(
            MATCH($C$1, {"All","Calls","Puts"}, 0),
            Sheet1!BN$822:BN$1022,
            Sheet1!AR$822:AR$1022,
            Sheet1!AS$822:AS$1022
        ),
        MATCH($A119, Sheet1!N$822:N$1022, 0)
    ),
"")</f>
        <v/>
      </c>
      <c r="G119" s="152" t="str">
        <f>IFERROR(
    INDEX(
        CHOOSE(
            MATCH($C$1, {"All","Calls","Puts"}, 0),
            Sheet1!BN$1025:BN$1225,
            Sheet1!AR$1025:AR$1225,
            Sheet1!AS$1025:AS$1225
        ),
        MATCH($A119, Sheet1!N$1025:N$1225, 0)
    ),
"")</f>
        <v/>
      </c>
      <c r="H119" s="152" t="str">
        <f>IFERROR(
    INDEX(
        CHOOSE(
            MATCH($C$1, {"All","Calls","Puts"}, 0),
            Sheet1!BN$1228:BN$1428,
            Sheet1!AR$1228:AR$1428,
            Sheet1!AS$1228:AS$1428
        ),
        MATCH($A119, Sheet1!N$1228:N$1428, 0)
    ),
"")</f>
        <v/>
      </c>
      <c r="I119" s="152" t="str">
        <f>IFERROR(
    INDEX(
        CHOOSE(
            MATCH($C$1, {"All","Calls","Puts"}, 0),
            Sheet1!BN$1431:BN$1631,
            Sheet1!AR$1431:AR$1631,
            Sheet1!AS$1431:AS$1631
        ),
        MATCH($A119, Sheet1!N$1431:N$1631, 0)
    ),
"")</f>
        <v/>
      </c>
      <c r="J119" s="73" t="str">
        <f t="shared" si="5"/>
        <v/>
      </c>
      <c r="K119" s="97" t="str">
        <f t="shared" si="6"/>
        <v/>
      </c>
      <c r="L119" s="131">
        <f>IFERROR(MIN(0,INDEX(Sheet1!$AD$10:$AD$999,MATCH(A119,Sheet1!$N$10:$N$999,0))),0)</f>
        <v>0</v>
      </c>
      <c r="M119" s="136">
        <f>IFERROR(MAX(0,INDEX(Sheet1!$AE$10:$AE$999,MATCH(A119,Sheet1!$N$10:$N$999,0))),0)</f>
        <v>0</v>
      </c>
      <c r="N119" s="111" t="str">
        <f t="shared" si="7"/>
        <v/>
      </c>
      <c r="O119" s="138">
        <f>IFERROR(MIN(0,INDEX(Sheet1!$AP$10:$AP$999,MATCH(A119,Sheet1!$N$10:$N$999,0))),0)</f>
        <v>0</v>
      </c>
      <c r="P119" s="143">
        <f>IFERROR(MAX(0,INDEX(Sheet1!$AO$10:$AO$999,MATCH(A119,Sheet1!$N$10:$N$999,0))),0)</f>
        <v>0</v>
      </c>
      <c r="Q119" s="111" t="str">
        <f t="shared" si="8"/>
        <v/>
      </c>
      <c r="R119" s="140">
        <f>IFERROR(MIN(0,INDEX(Sheet1!$BK$10:$BK$999,MATCH(A119,Sheet1!$N$10:$N$999,0))),0)</f>
        <v>0</v>
      </c>
      <c r="S119" s="141">
        <f>IFERROR(MAX(0,INDEX(Sheet1!$BK$10:$BK$999,MATCH(A119,Sheet1!$N$10:$N$999,0))),0)</f>
        <v>0</v>
      </c>
      <c r="T119" s="111" t="str">
        <f t="shared" si="9"/>
        <v/>
      </c>
      <c r="AA119" s="96"/>
    </row>
    <row r="120" spans="1:27" x14ac:dyDescent="0.3">
      <c r="A120" s="44"/>
      <c r="B120" s="152" t="str">
        <f>IFERROR(
    INDEX(
        CHOOSE(
            MATCH($C$1, {"All","Calls","Puts"}, 0),
            Sheet1!BN$10:BN$210,
            Sheet1!AR$10:AR$210,
            Sheet1!AS$10:AS$210
        ),
        MATCH($A120, Sheet1!N$10:N$210, 0)
    ),
"")</f>
        <v/>
      </c>
      <c r="C120" s="152" t="str">
        <f>IFERROR(
    INDEX(
        CHOOSE(
            MATCH($C$1, {"All","Calls","Puts"}, 0),
            Sheet1!BN$213:BN$413,
            Sheet1!AR$213:AR$413,
            Sheet1!AS$213:AS$413
        ),
        MATCH($A120, Sheet1!N$213:N$413, 0)
    ),
"")</f>
        <v/>
      </c>
      <c r="D120" s="152" t="str">
        <f>IFERROR(
    INDEX(
        CHOOSE(
            MATCH($C$1, {"All","Calls","Puts"}, 0),
            Sheet1!BN$416:BN$616,
            Sheet1!AR$416:AR$616,
            Sheet1!AS$416:AS$616
        ),
        MATCH($A120, Sheet1!N$416:N$616, 0)
    ),
"")</f>
        <v/>
      </c>
      <c r="E120" s="152" t="str">
        <f>IFERROR(
    INDEX(
        CHOOSE(
            MATCH($C$1, {"All","Calls","Puts"}, 0),
            Sheet1!BN$619:BN$819,
            Sheet1!AR$619:AR$819,
            Sheet1!AS$619:AS$819
        ),
        MATCH($A120, Sheet1!N$619:N$819, 0)
    ),
"")</f>
        <v/>
      </c>
      <c r="F120" s="152" t="str">
        <f>IFERROR(
    INDEX(
        CHOOSE(
            MATCH($C$1, {"All","Calls","Puts"}, 0),
            Sheet1!BN$822:BN$1022,
            Sheet1!AR$822:AR$1022,
            Sheet1!AS$822:AS$1022
        ),
        MATCH($A120, Sheet1!N$822:N$1022, 0)
    ),
"")</f>
        <v/>
      </c>
      <c r="G120" s="152" t="str">
        <f>IFERROR(
    INDEX(
        CHOOSE(
            MATCH($C$1, {"All","Calls","Puts"}, 0),
            Sheet1!BN$1025:BN$1225,
            Sheet1!AR$1025:AR$1225,
            Sheet1!AS$1025:AS$1225
        ),
        MATCH($A120, Sheet1!N$1025:N$1225, 0)
    ),
"")</f>
        <v/>
      </c>
      <c r="H120" s="152" t="str">
        <f>IFERROR(
    INDEX(
        CHOOSE(
            MATCH($C$1, {"All","Calls","Puts"}, 0),
            Sheet1!BN$1228:BN$1428,
            Sheet1!AR$1228:AR$1428,
            Sheet1!AS$1228:AS$1428
        ),
        MATCH($A120, Sheet1!N$1228:N$1428, 0)
    ),
"")</f>
        <v/>
      </c>
      <c r="I120" s="152" t="str">
        <f>IFERROR(
    INDEX(
        CHOOSE(
            MATCH($C$1, {"All","Calls","Puts"}, 0),
            Sheet1!BN$1431:BN$1631,
            Sheet1!AR$1431:AR$1631,
            Sheet1!AS$1431:AS$1631
        ),
        MATCH($A120, Sheet1!N$1431:N$1631, 0)
    ),
"")</f>
        <v/>
      </c>
      <c r="J120" s="73" t="str">
        <f t="shared" si="5"/>
        <v/>
      </c>
      <c r="K120" s="97" t="str">
        <f t="shared" si="6"/>
        <v/>
      </c>
      <c r="L120" s="131">
        <f>IFERROR(MIN(0,INDEX(Sheet1!$AD$10:$AD$999,MATCH(A120,Sheet1!$N$10:$N$999,0))),0)</f>
        <v>0</v>
      </c>
      <c r="M120" s="136">
        <f>IFERROR(MAX(0,INDEX(Sheet1!$AE$10:$AE$999,MATCH(A120,Sheet1!$N$10:$N$999,0))),0)</f>
        <v>0</v>
      </c>
      <c r="N120" s="111" t="str">
        <f t="shared" si="7"/>
        <v/>
      </c>
      <c r="O120" s="138">
        <f>IFERROR(MIN(0,INDEX(Sheet1!$AP$10:$AP$999,MATCH(A120,Sheet1!$N$10:$N$999,0))),0)</f>
        <v>0</v>
      </c>
      <c r="P120" s="143">
        <f>IFERROR(MAX(0,INDEX(Sheet1!$AO$10:$AO$999,MATCH(A120,Sheet1!$N$10:$N$999,0))),0)</f>
        <v>0</v>
      </c>
      <c r="Q120" s="111" t="str">
        <f t="shared" si="8"/>
        <v/>
      </c>
      <c r="R120" s="140">
        <f>IFERROR(MIN(0,INDEX(Sheet1!$BK$10:$BK$999,MATCH(A120,Sheet1!$N$10:$N$999,0))),0)</f>
        <v>0</v>
      </c>
      <c r="S120" s="141">
        <f>IFERROR(MAX(0,INDEX(Sheet1!$BK$10:$BK$999,MATCH(A120,Sheet1!$N$10:$N$999,0))),0)</f>
        <v>0</v>
      </c>
      <c r="T120" s="111" t="str">
        <f t="shared" si="9"/>
        <v/>
      </c>
      <c r="AA120" s="96"/>
    </row>
    <row r="121" spans="1:27" x14ac:dyDescent="0.3">
      <c r="A121" s="44"/>
      <c r="B121" s="152" t="str">
        <f>IFERROR(
    INDEX(
        CHOOSE(
            MATCH($C$1, {"All","Calls","Puts"}, 0),
            Sheet1!BN$10:BN$210,
            Sheet1!AR$10:AR$210,
            Sheet1!AS$10:AS$210
        ),
        MATCH($A121, Sheet1!N$10:N$210, 0)
    ),
"")</f>
        <v/>
      </c>
      <c r="C121" s="152" t="str">
        <f>IFERROR(
    INDEX(
        CHOOSE(
            MATCH($C$1, {"All","Calls","Puts"}, 0),
            Sheet1!BN$213:BN$413,
            Sheet1!AR$213:AR$413,
            Sheet1!AS$213:AS$413
        ),
        MATCH($A121, Sheet1!N$213:N$413, 0)
    ),
"")</f>
        <v/>
      </c>
      <c r="D121" s="152" t="str">
        <f>IFERROR(
    INDEX(
        CHOOSE(
            MATCH($C$1, {"All","Calls","Puts"}, 0),
            Sheet1!BN$416:BN$616,
            Sheet1!AR$416:AR$616,
            Sheet1!AS$416:AS$616
        ),
        MATCH($A121, Sheet1!N$416:N$616, 0)
    ),
"")</f>
        <v/>
      </c>
      <c r="E121" s="152" t="str">
        <f>IFERROR(
    INDEX(
        CHOOSE(
            MATCH($C$1, {"All","Calls","Puts"}, 0),
            Sheet1!BN$619:BN$819,
            Sheet1!AR$619:AR$819,
            Sheet1!AS$619:AS$819
        ),
        MATCH($A121, Sheet1!N$619:N$819, 0)
    ),
"")</f>
        <v/>
      </c>
      <c r="F121" s="152" t="str">
        <f>IFERROR(
    INDEX(
        CHOOSE(
            MATCH($C$1, {"All","Calls","Puts"}, 0),
            Sheet1!BN$822:BN$1022,
            Sheet1!AR$822:AR$1022,
            Sheet1!AS$822:AS$1022
        ),
        MATCH($A121, Sheet1!N$822:N$1022, 0)
    ),
"")</f>
        <v/>
      </c>
      <c r="G121" s="152" t="str">
        <f>IFERROR(
    INDEX(
        CHOOSE(
            MATCH($C$1, {"All","Calls","Puts"}, 0),
            Sheet1!BN$1025:BN$1225,
            Sheet1!AR$1025:AR$1225,
            Sheet1!AS$1025:AS$1225
        ),
        MATCH($A121, Sheet1!N$1025:N$1225, 0)
    ),
"")</f>
        <v/>
      </c>
      <c r="H121" s="152" t="str">
        <f>IFERROR(
    INDEX(
        CHOOSE(
            MATCH($C$1, {"All","Calls","Puts"}, 0),
            Sheet1!BN$1228:BN$1428,
            Sheet1!AR$1228:AR$1428,
            Sheet1!AS$1228:AS$1428
        ),
        MATCH($A121, Sheet1!N$1228:N$1428, 0)
    ),
"")</f>
        <v/>
      </c>
      <c r="I121" s="152" t="str">
        <f>IFERROR(
    INDEX(
        CHOOSE(
            MATCH($C$1, {"All","Calls","Puts"}, 0),
            Sheet1!BN$1431:BN$1631,
            Sheet1!AR$1431:AR$1631,
            Sheet1!AS$1431:AS$1631
        ),
        MATCH($A121, Sheet1!N$1431:N$1631, 0)
    ),
"")</f>
        <v/>
      </c>
      <c r="J121" s="73" t="str">
        <f t="shared" si="5"/>
        <v/>
      </c>
      <c r="K121" s="97" t="str">
        <f t="shared" si="6"/>
        <v/>
      </c>
      <c r="L121" s="131">
        <f>IFERROR(MIN(0,INDEX(Sheet1!$AD$10:$AD$999,MATCH(A121,Sheet1!$N$10:$N$999,0))),0)</f>
        <v>0</v>
      </c>
      <c r="M121" s="136">
        <f>IFERROR(MAX(0,INDEX(Sheet1!$AE$10:$AE$999,MATCH(A121,Sheet1!$N$10:$N$999,0))),0)</f>
        <v>0</v>
      </c>
      <c r="N121" s="111" t="str">
        <f t="shared" si="7"/>
        <v/>
      </c>
      <c r="O121" s="138">
        <f>IFERROR(MIN(0,INDEX(Sheet1!$AP$10:$AP$999,MATCH(A121,Sheet1!$N$10:$N$999,0))),0)</f>
        <v>0</v>
      </c>
      <c r="P121" s="143">
        <f>IFERROR(MAX(0,INDEX(Sheet1!$AO$10:$AO$999,MATCH(A121,Sheet1!$N$10:$N$999,0))),0)</f>
        <v>0</v>
      </c>
      <c r="Q121" s="111" t="str">
        <f t="shared" si="8"/>
        <v/>
      </c>
      <c r="R121" s="140">
        <f>IFERROR(MIN(0,INDEX(Sheet1!$BK$10:$BK$999,MATCH(A121,Sheet1!$N$10:$N$999,0))),0)</f>
        <v>0</v>
      </c>
      <c r="S121" s="141">
        <f>IFERROR(MAX(0,INDEX(Sheet1!$BK$10:$BK$999,MATCH(A121,Sheet1!$N$10:$N$999,0))),0)</f>
        <v>0</v>
      </c>
      <c r="T121" s="111" t="str">
        <f t="shared" si="9"/>
        <v/>
      </c>
      <c r="AA121" s="96"/>
    </row>
    <row r="122" spans="1:27" x14ac:dyDescent="0.3">
      <c r="A122" s="44"/>
      <c r="B122" s="152" t="str">
        <f>IFERROR(
    INDEX(
        CHOOSE(
            MATCH($C$1, {"All","Calls","Puts"}, 0),
            Sheet1!BN$10:BN$210,
            Sheet1!AR$10:AR$210,
            Sheet1!AS$10:AS$210
        ),
        MATCH($A122, Sheet1!N$10:N$210, 0)
    ),
"")</f>
        <v/>
      </c>
      <c r="C122" s="152" t="str">
        <f>IFERROR(
    INDEX(
        CHOOSE(
            MATCH($C$1, {"All","Calls","Puts"}, 0),
            Sheet1!BN$213:BN$413,
            Sheet1!AR$213:AR$413,
            Sheet1!AS$213:AS$413
        ),
        MATCH($A122, Sheet1!N$213:N$413, 0)
    ),
"")</f>
        <v/>
      </c>
      <c r="D122" s="152" t="str">
        <f>IFERROR(
    INDEX(
        CHOOSE(
            MATCH($C$1, {"All","Calls","Puts"}, 0),
            Sheet1!BN$416:BN$616,
            Sheet1!AR$416:AR$616,
            Sheet1!AS$416:AS$616
        ),
        MATCH($A122, Sheet1!N$416:N$616, 0)
    ),
"")</f>
        <v/>
      </c>
      <c r="E122" s="152" t="str">
        <f>IFERROR(
    INDEX(
        CHOOSE(
            MATCH($C$1, {"All","Calls","Puts"}, 0),
            Sheet1!BN$619:BN$819,
            Sheet1!AR$619:AR$819,
            Sheet1!AS$619:AS$819
        ),
        MATCH($A122, Sheet1!N$619:N$819, 0)
    ),
"")</f>
        <v/>
      </c>
      <c r="F122" s="152" t="str">
        <f>IFERROR(
    INDEX(
        CHOOSE(
            MATCH($C$1, {"All","Calls","Puts"}, 0),
            Sheet1!BN$822:BN$1022,
            Sheet1!AR$822:AR$1022,
            Sheet1!AS$822:AS$1022
        ),
        MATCH($A122, Sheet1!N$822:N$1022, 0)
    ),
"")</f>
        <v/>
      </c>
      <c r="G122" s="152" t="str">
        <f>IFERROR(
    INDEX(
        CHOOSE(
            MATCH($C$1, {"All","Calls","Puts"}, 0),
            Sheet1!BN$1025:BN$1225,
            Sheet1!AR$1025:AR$1225,
            Sheet1!AS$1025:AS$1225
        ),
        MATCH($A122, Sheet1!N$1025:N$1225, 0)
    ),
"")</f>
        <v/>
      </c>
      <c r="H122" s="152" t="str">
        <f>IFERROR(
    INDEX(
        CHOOSE(
            MATCH($C$1, {"All","Calls","Puts"}, 0),
            Sheet1!BN$1228:BN$1428,
            Sheet1!AR$1228:AR$1428,
            Sheet1!AS$1228:AS$1428
        ),
        MATCH($A122, Sheet1!N$1228:N$1428, 0)
    ),
"")</f>
        <v/>
      </c>
      <c r="I122" s="152" t="str">
        <f>IFERROR(
    INDEX(
        CHOOSE(
            MATCH($C$1, {"All","Calls","Puts"}, 0),
            Sheet1!BN$1431:BN$1631,
            Sheet1!AR$1431:AR$1631,
            Sheet1!AS$1431:AS$1631
        ),
        MATCH($A122, Sheet1!N$1431:N$1631, 0)
    ),
"")</f>
        <v/>
      </c>
      <c r="J122" s="73" t="str">
        <f t="shared" si="5"/>
        <v/>
      </c>
      <c r="K122" s="97" t="str">
        <f t="shared" si="6"/>
        <v/>
      </c>
      <c r="L122" s="131">
        <f>IFERROR(MIN(0,INDEX(Sheet1!$AD$10:$AD$999,MATCH(A122,Sheet1!$N$10:$N$999,0))),0)</f>
        <v>0</v>
      </c>
      <c r="M122" s="136">
        <f>IFERROR(MAX(0,INDEX(Sheet1!$AE$10:$AE$999,MATCH(A122,Sheet1!$N$10:$N$999,0))),0)</f>
        <v>0</v>
      </c>
      <c r="N122" s="111" t="str">
        <f t="shared" si="7"/>
        <v/>
      </c>
      <c r="O122" s="138">
        <f>IFERROR(MIN(0,INDEX(Sheet1!$AP$10:$AP$999,MATCH(A122,Sheet1!$N$10:$N$999,0))),0)</f>
        <v>0</v>
      </c>
      <c r="P122" s="143">
        <f>IFERROR(MAX(0,INDEX(Sheet1!$AO$10:$AO$999,MATCH(A122,Sheet1!$N$10:$N$999,0))),0)</f>
        <v>0</v>
      </c>
      <c r="Q122" s="111" t="str">
        <f t="shared" si="8"/>
        <v/>
      </c>
      <c r="R122" s="140">
        <f>IFERROR(MIN(0,INDEX(Sheet1!$BK$10:$BK$999,MATCH(A122,Sheet1!$N$10:$N$999,0))),0)</f>
        <v>0</v>
      </c>
      <c r="S122" s="141">
        <f>IFERROR(MAX(0,INDEX(Sheet1!$BK$10:$BK$999,MATCH(A122,Sheet1!$N$10:$N$999,0))),0)</f>
        <v>0</v>
      </c>
      <c r="T122" s="111" t="str">
        <f t="shared" si="9"/>
        <v/>
      </c>
      <c r="AA122" s="96"/>
    </row>
    <row r="123" spans="1:27" x14ac:dyDescent="0.3">
      <c r="A123" s="44"/>
      <c r="B123" s="152" t="str">
        <f>IFERROR(
    INDEX(
        CHOOSE(
            MATCH($C$1, {"All","Calls","Puts"}, 0),
            Sheet1!BN$10:BN$210,
            Sheet1!AR$10:AR$210,
            Sheet1!AS$10:AS$210
        ),
        MATCH($A123, Sheet1!N$10:N$210, 0)
    ),
"")</f>
        <v/>
      </c>
      <c r="C123" s="152" t="str">
        <f>IFERROR(
    INDEX(
        CHOOSE(
            MATCH($C$1, {"All","Calls","Puts"}, 0),
            Sheet1!BN$213:BN$413,
            Sheet1!AR$213:AR$413,
            Sheet1!AS$213:AS$413
        ),
        MATCH($A123, Sheet1!N$213:N$413, 0)
    ),
"")</f>
        <v/>
      </c>
      <c r="D123" s="152" t="str">
        <f>IFERROR(
    INDEX(
        CHOOSE(
            MATCH($C$1, {"All","Calls","Puts"}, 0),
            Sheet1!BN$416:BN$616,
            Sheet1!AR$416:AR$616,
            Sheet1!AS$416:AS$616
        ),
        MATCH($A123, Sheet1!N$416:N$616, 0)
    ),
"")</f>
        <v/>
      </c>
      <c r="E123" s="152" t="str">
        <f>IFERROR(
    INDEX(
        CHOOSE(
            MATCH($C$1, {"All","Calls","Puts"}, 0),
            Sheet1!BN$619:BN$819,
            Sheet1!AR$619:AR$819,
            Sheet1!AS$619:AS$819
        ),
        MATCH($A123, Sheet1!N$619:N$819, 0)
    ),
"")</f>
        <v/>
      </c>
      <c r="F123" s="152" t="str">
        <f>IFERROR(
    INDEX(
        CHOOSE(
            MATCH($C$1, {"All","Calls","Puts"}, 0),
            Sheet1!BN$822:BN$1022,
            Sheet1!AR$822:AR$1022,
            Sheet1!AS$822:AS$1022
        ),
        MATCH($A123, Sheet1!N$822:N$1022, 0)
    ),
"")</f>
        <v/>
      </c>
      <c r="G123" s="152" t="str">
        <f>IFERROR(
    INDEX(
        CHOOSE(
            MATCH($C$1, {"All","Calls","Puts"}, 0),
            Sheet1!BN$1025:BN$1225,
            Sheet1!AR$1025:AR$1225,
            Sheet1!AS$1025:AS$1225
        ),
        MATCH($A123, Sheet1!N$1025:N$1225, 0)
    ),
"")</f>
        <v/>
      </c>
      <c r="H123" s="152" t="str">
        <f>IFERROR(
    INDEX(
        CHOOSE(
            MATCH($C$1, {"All","Calls","Puts"}, 0),
            Sheet1!BN$1228:BN$1428,
            Sheet1!AR$1228:AR$1428,
            Sheet1!AS$1228:AS$1428
        ),
        MATCH($A123, Sheet1!N$1228:N$1428, 0)
    ),
"")</f>
        <v/>
      </c>
      <c r="I123" s="152" t="str">
        <f>IFERROR(
    INDEX(
        CHOOSE(
            MATCH($C$1, {"All","Calls","Puts"}, 0),
            Sheet1!BN$1431:BN$1631,
            Sheet1!AR$1431:AR$1631,
            Sheet1!AS$1431:AS$1631
        ),
        MATCH($A123, Sheet1!N$1431:N$1631, 0)
    ),
"")</f>
        <v/>
      </c>
      <c r="J123" s="73" t="str">
        <f t="shared" si="5"/>
        <v/>
      </c>
      <c r="K123" s="97" t="str">
        <f t="shared" si="6"/>
        <v/>
      </c>
      <c r="L123" s="131">
        <f>IFERROR(MIN(0,INDEX(Sheet1!$AD$10:$AD$999,MATCH(A123,Sheet1!$N$10:$N$999,0))),0)</f>
        <v>0</v>
      </c>
      <c r="M123" s="136">
        <f>IFERROR(MAX(0,INDEX(Sheet1!$AE$10:$AE$999,MATCH(A123,Sheet1!$N$10:$N$999,0))),0)</f>
        <v>0</v>
      </c>
      <c r="N123" s="111" t="str">
        <f t="shared" si="7"/>
        <v/>
      </c>
      <c r="O123" s="138">
        <f>IFERROR(MIN(0,INDEX(Sheet1!$AP$10:$AP$999,MATCH(A123,Sheet1!$N$10:$N$999,0))),0)</f>
        <v>0</v>
      </c>
      <c r="P123" s="143">
        <f>IFERROR(MAX(0,INDEX(Sheet1!$AO$10:$AO$999,MATCH(A123,Sheet1!$N$10:$N$999,0))),0)</f>
        <v>0</v>
      </c>
      <c r="Q123" s="111" t="str">
        <f t="shared" si="8"/>
        <v/>
      </c>
      <c r="R123" s="140">
        <f>IFERROR(MIN(0,INDEX(Sheet1!$BK$10:$BK$999,MATCH(A123,Sheet1!$N$10:$N$999,0))),0)</f>
        <v>0</v>
      </c>
      <c r="S123" s="141">
        <f>IFERROR(MAX(0,INDEX(Sheet1!$BK$10:$BK$999,MATCH(A123,Sheet1!$N$10:$N$999,0))),0)</f>
        <v>0</v>
      </c>
      <c r="T123" s="111" t="str">
        <f t="shared" si="9"/>
        <v/>
      </c>
      <c r="AA123" s="96"/>
    </row>
    <row r="124" spans="1:27" x14ac:dyDescent="0.3">
      <c r="A124" s="44"/>
      <c r="B124" s="152" t="str">
        <f>IFERROR(
    INDEX(
        CHOOSE(
            MATCH($C$1, {"All","Calls","Puts"}, 0),
            Sheet1!BN$10:BN$210,
            Sheet1!AR$10:AR$210,
            Sheet1!AS$10:AS$210
        ),
        MATCH($A124, Sheet1!N$10:N$210, 0)
    ),
"")</f>
        <v/>
      </c>
      <c r="C124" s="152" t="str">
        <f>IFERROR(
    INDEX(
        CHOOSE(
            MATCH($C$1, {"All","Calls","Puts"}, 0),
            Sheet1!BN$213:BN$413,
            Sheet1!AR$213:AR$413,
            Sheet1!AS$213:AS$413
        ),
        MATCH($A124, Sheet1!N$213:N$413, 0)
    ),
"")</f>
        <v/>
      </c>
      <c r="D124" s="152" t="str">
        <f>IFERROR(
    INDEX(
        CHOOSE(
            MATCH($C$1, {"All","Calls","Puts"}, 0),
            Sheet1!BN$416:BN$616,
            Sheet1!AR$416:AR$616,
            Sheet1!AS$416:AS$616
        ),
        MATCH($A124, Sheet1!N$416:N$616, 0)
    ),
"")</f>
        <v/>
      </c>
      <c r="E124" s="152" t="str">
        <f>IFERROR(
    INDEX(
        CHOOSE(
            MATCH($C$1, {"All","Calls","Puts"}, 0),
            Sheet1!BN$619:BN$819,
            Sheet1!AR$619:AR$819,
            Sheet1!AS$619:AS$819
        ),
        MATCH($A124, Sheet1!N$619:N$819, 0)
    ),
"")</f>
        <v/>
      </c>
      <c r="F124" s="152" t="str">
        <f>IFERROR(
    INDEX(
        CHOOSE(
            MATCH($C$1, {"All","Calls","Puts"}, 0),
            Sheet1!BN$822:BN$1022,
            Sheet1!AR$822:AR$1022,
            Sheet1!AS$822:AS$1022
        ),
        MATCH($A124, Sheet1!N$822:N$1022, 0)
    ),
"")</f>
        <v/>
      </c>
      <c r="G124" s="152" t="str">
        <f>IFERROR(
    INDEX(
        CHOOSE(
            MATCH($C$1, {"All","Calls","Puts"}, 0),
            Sheet1!BN$1025:BN$1225,
            Sheet1!AR$1025:AR$1225,
            Sheet1!AS$1025:AS$1225
        ),
        MATCH($A124, Sheet1!N$1025:N$1225, 0)
    ),
"")</f>
        <v/>
      </c>
      <c r="H124" s="152" t="str">
        <f>IFERROR(
    INDEX(
        CHOOSE(
            MATCH($C$1, {"All","Calls","Puts"}, 0),
            Sheet1!BN$1228:BN$1428,
            Sheet1!AR$1228:AR$1428,
            Sheet1!AS$1228:AS$1428
        ),
        MATCH($A124, Sheet1!N$1228:N$1428, 0)
    ),
"")</f>
        <v/>
      </c>
      <c r="I124" s="152" t="str">
        <f>IFERROR(
    INDEX(
        CHOOSE(
            MATCH($C$1, {"All","Calls","Puts"}, 0),
            Sheet1!BN$1431:BN$1631,
            Sheet1!AR$1431:AR$1631,
            Sheet1!AS$1431:AS$1631
        ),
        MATCH($A124, Sheet1!N$1431:N$1631, 0)
    ),
"")</f>
        <v/>
      </c>
      <c r="J124" s="73" t="str">
        <f t="shared" si="5"/>
        <v/>
      </c>
      <c r="K124" s="97" t="str">
        <f t="shared" si="6"/>
        <v/>
      </c>
      <c r="L124" s="131">
        <f>IFERROR(MIN(0,INDEX(Sheet1!$AD$10:$AD$999,MATCH(A124,Sheet1!$N$10:$N$999,0))),0)</f>
        <v>0</v>
      </c>
      <c r="M124" s="136">
        <f>IFERROR(MAX(0,INDEX(Sheet1!$AE$10:$AE$999,MATCH(A124,Sheet1!$N$10:$N$999,0))),0)</f>
        <v>0</v>
      </c>
      <c r="N124" s="111" t="str">
        <f t="shared" si="7"/>
        <v/>
      </c>
      <c r="O124" s="138">
        <f>IFERROR(MIN(0,INDEX(Sheet1!$AP$10:$AP$999,MATCH(A124,Sheet1!$N$10:$N$999,0))),0)</f>
        <v>0</v>
      </c>
      <c r="P124" s="143">
        <f>IFERROR(MAX(0,INDEX(Sheet1!$AO$10:$AO$999,MATCH(A124,Sheet1!$N$10:$N$999,0))),0)</f>
        <v>0</v>
      </c>
      <c r="Q124" s="111" t="str">
        <f t="shared" si="8"/>
        <v/>
      </c>
      <c r="R124" s="140">
        <f>IFERROR(MIN(0,INDEX(Sheet1!$BK$10:$BK$999,MATCH(A124,Sheet1!$N$10:$N$999,0))),0)</f>
        <v>0</v>
      </c>
      <c r="S124" s="141">
        <f>IFERROR(MAX(0,INDEX(Sheet1!$BK$10:$BK$999,MATCH(A124,Sheet1!$N$10:$N$999,0))),0)</f>
        <v>0</v>
      </c>
      <c r="T124" s="111" t="str">
        <f t="shared" si="9"/>
        <v/>
      </c>
      <c r="AA124" s="96"/>
    </row>
    <row r="125" spans="1:27" x14ac:dyDescent="0.3">
      <c r="A125" s="44"/>
      <c r="B125" s="152" t="str">
        <f>IFERROR(
    INDEX(
        CHOOSE(
            MATCH($C$1, {"All","Calls","Puts"}, 0),
            Sheet1!BN$10:BN$210,
            Sheet1!AR$10:AR$210,
            Sheet1!AS$10:AS$210
        ),
        MATCH($A125, Sheet1!N$10:N$210, 0)
    ),
"")</f>
        <v/>
      </c>
      <c r="C125" s="152" t="str">
        <f>IFERROR(
    INDEX(
        CHOOSE(
            MATCH($C$1, {"All","Calls","Puts"}, 0),
            Sheet1!BN$213:BN$413,
            Sheet1!AR$213:AR$413,
            Sheet1!AS$213:AS$413
        ),
        MATCH($A125, Sheet1!N$213:N$413, 0)
    ),
"")</f>
        <v/>
      </c>
      <c r="D125" s="152" t="str">
        <f>IFERROR(
    INDEX(
        CHOOSE(
            MATCH($C$1, {"All","Calls","Puts"}, 0),
            Sheet1!BN$416:BN$616,
            Sheet1!AR$416:AR$616,
            Sheet1!AS$416:AS$616
        ),
        MATCH($A125, Sheet1!N$416:N$616, 0)
    ),
"")</f>
        <v/>
      </c>
      <c r="E125" s="152" t="str">
        <f>IFERROR(
    INDEX(
        CHOOSE(
            MATCH($C$1, {"All","Calls","Puts"}, 0),
            Sheet1!BN$619:BN$819,
            Sheet1!AR$619:AR$819,
            Sheet1!AS$619:AS$819
        ),
        MATCH($A125, Sheet1!N$619:N$819, 0)
    ),
"")</f>
        <v/>
      </c>
      <c r="F125" s="152" t="str">
        <f>IFERROR(
    INDEX(
        CHOOSE(
            MATCH($C$1, {"All","Calls","Puts"}, 0),
            Sheet1!BN$822:BN$1022,
            Sheet1!AR$822:AR$1022,
            Sheet1!AS$822:AS$1022
        ),
        MATCH($A125, Sheet1!N$822:N$1022, 0)
    ),
"")</f>
        <v/>
      </c>
      <c r="G125" s="152" t="str">
        <f>IFERROR(
    INDEX(
        CHOOSE(
            MATCH($C$1, {"All","Calls","Puts"}, 0),
            Sheet1!BN$1025:BN$1225,
            Sheet1!AR$1025:AR$1225,
            Sheet1!AS$1025:AS$1225
        ),
        MATCH($A125, Sheet1!N$1025:N$1225, 0)
    ),
"")</f>
        <v/>
      </c>
      <c r="H125" s="152" t="str">
        <f>IFERROR(
    INDEX(
        CHOOSE(
            MATCH($C$1, {"All","Calls","Puts"}, 0),
            Sheet1!BN$1228:BN$1428,
            Sheet1!AR$1228:AR$1428,
            Sheet1!AS$1228:AS$1428
        ),
        MATCH($A125, Sheet1!N$1228:N$1428, 0)
    ),
"")</f>
        <v/>
      </c>
      <c r="I125" s="152" t="str">
        <f>IFERROR(
    INDEX(
        CHOOSE(
            MATCH($C$1, {"All","Calls","Puts"}, 0),
            Sheet1!BN$1431:BN$1631,
            Sheet1!AR$1431:AR$1631,
            Sheet1!AS$1431:AS$1631
        ),
        MATCH($A125, Sheet1!N$1431:N$1631, 0)
    ),
"")</f>
        <v/>
      </c>
      <c r="J125" s="73" t="str">
        <f t="shared" si="5"/>
        <v/>
      </c>
      <c r="K125" s="97" t="str">
        <f t="shared" si="6"/>
        <v/>
      </c>
      <c r="L125" s="131">
        <f>IFERROR(MIN(0,INDEX(Sheet1!$AD$10:$AD$999,MATCH(A125,Sheet1!$N$10:$N$999,0))),0)</f>
        <v>0</v>
      </c>
      <c r="M125" s="136">
        <f>IFERROR(MAX(0,INDEX(Sheet1!$AE$10:$AE$999,MATCH(A125,Sheet1!$N$10:$N$999,0))),0)</f>
        <v>0</v>
      </c>
      <c r="N125" s="111" t="str">
        <f t="shared" si="7"/>
        <v/>
      </c>
      <c r="O125" s="138">
        <f>IFERROR(MIN(0,INDEX(Sheet1!$AP$10:$AP$999,MATCH(A125,Sheet1!$N$10:$N$999,0))),0)</f>
        <v>0</v>
      </c>
      <c r="P125" s="143">
        <f>IFERROR(MAX(0,INDEX(Sheet1!$AO$10:$AO$999,MATCH(A125,Sheet1!$N$10:$N$999,0))),0)</f>
        <v>0</v>
      </c>
      <c r="Q125" s="111" t="str">
        <f t="shared" si="8"/>
        <v/>
      </c>
      <c r="R125" s="140">
        <f>IFERROR(MIN(0,INDEX(Sheet1!$BK$10:$BK$999,MATCH(A125,Sheet1!$N$10:$N$999,0))),0)</f>
        <v>0</v>
      </c>
      <c r="S125" s="141">
        <f>IFERROR(MAX(0,INDEX(Sheet1!$BK$10:$BK$999,MATCH(A125,Sheet1!$N$10:$N$999,0))),0)</f>
        <v>0</v>
      </c>
      <c r="T125" s="111" t="str">
        <f t="shared" si="9"/>
        <v/>
      </c>
      <c r="AA125" s="96"/>
    </row>
    <row r="126" spans="1:27" x14ac:dyDescent="0.3">
      <c r="A126" s="44"/>
      <c r="B126" s="152" t="str">
        <f>IFERROR(
    INDEX(
        CHOOSE(
            MATCH($C$1, {"All","Calls","Puts"}, 0),
            Sheet1!BN$10:BN$210,
            Sheet1!AR$10:AR$210,
            Sheet1!AS$10:AS$210
        ),
        MATCH($A126, Sheet1!N$10:N$210, 0)
    ),
"")</f>
        <v/>
      </c>
      <c r="C126" s="152" t="str">
        <f>IFERROR(
    INDEX(
        CHOOSE(
            MATCH($C$1, {"All","Calls","Puts"}, 0),
            Sheet1!BN$213:BN$413,
            Sheet1!AR$213:AR$413,
            Sheet1!AS$213:AS$413
        ),
        MATCH($A126, Sheet1!N$213:N$413, 0)
    ),
"")</f>
        <v/>
      </c>
      <c r="D126" s="152" t="str">
        <f>IFERROR(
    INDEX(
        CHOOSE(
            MATCH($C$1, {"All","Calls","Puts"}, 0),
            Sheet1!BN$416:BN$616,
            Sheet1!AR$416:AR$616,
            Sheet1!AS$416:AS$616
        ),
        MATCH($A126, Sheet1!N$416:N$616, 0)
    ),
"")</f>
        <v/>
      </c>
      <c r="E126" s="152" t="str">
        <f>IFERROR(
    INDEX(
        CHOOSE(
            MATCH($C$1, {"All","Calls","Puts"}, 0),
            Sheet1!BN$619:BN$819,
            Sheet1!AR$619:AR$819,
            Sheet1!AS$619:AS$819
        ),
        MATCH($A126, Sheet1!N$619:N$819, 0)
    ),
"")</f>
        <v/>
      </c>
      <c r="F126" s="152" t="str">
        <f>IFERROR(
    INDEX(
        CHOOSE(
            MATCH($C$1, {"All","Calls","Puts"}, 0),
            Sheet1!BN$822:BN$1022,
            Sheet1!AR$822:AR$1022,
            Sheet1!AS$822:AS$1022
        ),
        MATCH($A126, Sheet1!N$822:N$1022, 0)
    ),
"")</f>
        <v/>
      </c>
      <c r="G126" s="152" t="str">
        <f>IFERROR(
    INDEX(
        CHOOSE(
            MATCH($C$1, {"All","Calls","Puts"}, 0),
            Sheet1!BN$1025:BN$1225,
            Sheet1!AR$1025:AR$1225,
            Sheet1!AS$1025:AS$1225
        ),
        MATCH($A126, Sheet1!N$1025:N$1225, 0)
    ),
"")</f>
        <v/>
      </c>
      <c r="H126" s="152" t="str">
        <f>IFERROR(
    INDEX(
        CHOOSE(
            MATCH($C$1, {"All","Calls","Puts"}, 0),
            Sheet1!BN$1228:BN$1428,
            Sheet1!AR$1228:AR$1428,
            Sheet1!AS$1228:AS$1428
        ),
        MATCH($A126, Sheet1!N$1228:N$1428, 0)
    ),
"")</f>
        <v/>
      </c>
      <c r="I126" s="152" t="str">
        <f>IFERROR(
    INDEX(
        CHOOSE(
            MATCH($C$1, {"All","Calls","Puts"}, 0),
            Sheet1!BN$1431:BN$1631,
            Sheet1!AR$1431:AR$1631,
            Sheet1!AS$1431:AS$1631
        ),
        MATCH($A126, Sheet1!N$1431:N$1631, 0)
    ),
"")</f>
        <v/>
      </c>
      <c r="J126" s="73" t="str">
        <f t="shared" si="5"/>
        <v/>
      </c>
      <c r="K126" s="97" t="str">
        <f t="shared" si="6"/>
        <v/>
      </c>
      <c r="L126" s="131">
        <f>IFERROR(MIN(0,INDEX(Sheet1!$AD$10:$AD$999,MATCH(A126,Sheet1!$N$10:$N$999,0))),0)</f>
        <v>0</v>
      </c>
      <c r="M126" s="136">
        <f>IFERROR(MAX(0,INDEX(Sheet1!$AE$10:$AE$999,MATCH(A126,Sheet1!$N$10:$N$999,0))),0)</f>
        <v>0</v>
      </c>
      <c r="N126" s="111" t="str">
        <f t="shared" si="7"/>
        <v/>
      </c>
      <c r="O126" s="138">
        <f>IFERROR(MIN(0,INDEX(Sheet1!$AP$10:$AP$999,MATCH(A126,Sheet1!$N$10:$N$999,0))),0)</f>
        <v>0</v>
      </c>
      <c r="P126" s="143">
        <f>IFERROR(MAX(0,INDEX(Sheet1!$AO$10:$AO$999,MATCH(A126,Sheet1!$N$10:$N$999,0))),0)</f>
        <v>0</v>
      </c>
      <c r="Q126" s="111" t="str">
        <f t="shared" si="8"/>
        <v/>
      </c>
      <c r="R126" s="140">
        <f>IFERROR(MIN(0,INDEX(Sheet1!$BK$10:$BK$999,MATCH(A126,Sheet1!$N$10:$N$999,0))),0)</f>
        <v>0</v>
      </c>
      <c r="S126" s="141">
        <f>IFERROR(MAX(0,INDEX(Sheet1!$BK$10:$BK$999,MATCH(A126,Sheet1!$N$10:$N$999,0))),0)</f>
        <v>0</v>
      </c>
      <c r="T126" s="111" t="str">
        <f t="shared" si="9"/>
        <v/>
      </c>
      <c r="AA126" s="96"/>
    </row>
    <row r="127" spans="1:27" x14ac:dyDescent="0.3">
      <c r="A127" s="44"/>
      <c r="B127" s="152" t="str">
        <f>IFERROR(
    INDEX(
        CHOOSE(
            MATCH($C$1, {"All","Calls","Puts"}, 0),
            Sheet1!BN$10:BN$210,
            Sheet1!AR$10:AR$210,
            Sheet1!AS$10:AS$210
        ),
        MATCH($A127, Sheet1!N$10:N$210, 0)
    ),
"")</f>
        <v/>
      </c>
      <c r="C127" s="152" t="str">
        <f>IFERROR(
    INDEX(
        CHOOSE(
            MATCH($C$1, {"All","Calls","Puts"}, 0),
            Sheet1!BN$213:BN$413,
            Sheet1!AR$213:AR$413,
            Sheet1!AS$213:AS$413
        ),
        MATCH($A127, Sheet1!N$213:N$413, 0)
    ),
"")</f>
        <v/>
      </c>
      <c r="D127" s="152" t="str">
        <f>IFERROR(
    INDEX(
        CHOOSE(
            MATCH($C$1, {"All","Calls","Puts"}, 0),
            Sheet1!BN$416:BN$616,
            Sheet1!AR$416:AR$616,
            Sheet1!AS$416:AS$616
        ),
        MATCH($A127, Sheet1!N$416:N$616, 0)
    ),
"")</f>
        <v/>
      </c>
      <c r="E127" s="152" t="str">
        <f>IFERROR(
    INDEX(
        CHOOSE(
            MATCH($C$1, {"All","Calls","Puts"}, 0),
            Sheet1!BN$619:BN$819,
            Sheet1!AR$619:AR$819,
            Sheet1!AS$619:AS$819
        ),
        MATCH($A127, Sheet1!N$619:N$819, 0)
    ),
"")</f>
        <v/>
      </c>
      <c r="F127" s="152" t="str">
        <f>IFERROR(
    INDEX(
        CHOOSE(
            MATCH($C$1, {"All","Calls","Puts"}, 0),
            Sheet1!BN$822:BN$1022,
            Sheet1!AR$822:AR$1022,
            Sheet1!AS$822:AS$1022
        ),
        MATCH($A127, Sheet1!N$822:N$1022, 0)
    ),
"")</f>
        <v/>
      </c>
      <c r="G127" s="152" t="str">
        <f>IFERROR(
    INDEX(
        CHOOSE(
            MATCH($C$1, {"All","Calls","Puts"}, 0),
            Sheet1!BN$1025:BN$1225,
            Sheet1!AR$1025:AR$1225,
            Sheet1!AS$1025:AS$1225
        ),
        MATCH($A127, Sheet1!N$1025:N$1225, 0)
    ),
"")</f>
        <v/>
      </c>
      <c r="H127" s="152" t="str">
        <f>IFERROR(
    INDEX(
        CHOOSE(
            MATCH($C$1, {"All","Calls","Puts"}, 0),
            Sheet1!BN$1228:BN$1428,
            Sheet1!AR$1228:AR$1428,
            Sheet1!AS$1228:AS$1428
        ),
        MATCH($A127, Sheet1!N$1228:N$1428, 0)
    ),
"")</f>
        <v/>
      </c>
      <c r="I127" s="152" t="str">
        <f>IFERROR(
    INDEX(
        CHOOSE(
            MATCH($C$1, {"All","Calls","Puts"}, 0),
            Sheet1!BN$1431:BN$1631,
            Sheet1!AR$1431:AR$1631,
            Sheet1!AS$1431:AS$1631
        ),
        MATCH($A127, Sheet1!N$1431:N$1631, 0)
    ),
"")</f>
        <v/>
      </c>
      <c r="J127" s="73" t="str">
        <f t="shared" si="5"/>
        <v/>
      </c>
      <c r="K127" s="97" t="str">
        <f t="shared" si="6"/>
        <v/>
      </c>
      <c r="L127" s="131">
        <f>IFERROR(MIN(0,INDEX(Sheet1!$AD$10:$AD$999,MATCH(A127,Sheet1!$N$10:$N$999,0))),0)</f>
        <v>0</v>
      </c>
      <c r="M127" s="136">
        <f>IFERROR(MAX(0,INDEX(Sheet1!$AE$10:$AE$999,MATCH(A127,Sheet1!$N$10:$N$999,0))),0)</f>
        <v>0</v>
      </c>
      <c r="N127" s="111" t="str">
        <f t="shared" si="7"/>
        <v/>
      </c>
      <c r="O127" s="138">
        <f>IFERROR(MIN(0,INDEX(Sheet1!$AP$10:$AP$999,MATCH(A127,Sheet1!$N$10:$N$999,0))),0)</f>
        <v>0</v>
      </c>
      <c r="P127" s="143">
        <f>IFERROR(MAX(0,INDEX(Sheet1!$AO$10:$AO$999,MATCH(A127,Sheet1!$N$10:$N$999,0))),0)</f>
        <v>0</v>
      </c>
      <c r="Q127" s="111" t="str">
        <f t="shared" si="8"/>
        <v/>
      </c>
      <c r="R127" s="140">
        <f>IFERROR(MIN(0,INDEX(Sheet1!$BK$10:$BK$999,MATCH(A127,Sheet1!$N$10:$N$999,0))),0)</f>
        <v>0</v>
      </c>
      <c r="S127" s="141">
        <f>IFERROR(MAX(0,INDEX(Sheet1!$BK$10:$BK$999,MATCH(A127,Sheet1!$N$10:$N$999,0))),0)</f>
        <v>0</v>
      </c>
      <c r="T127" s="111" t="str">
        <f t="shared" si="9"/>
        <v/>
      </c>
      <c r="AA127" s="96"/>
    </row>
    <row r="128" spans="1:27" x14ac:dyDescent="0.3">
      <c r="A128" s="44"/>
      <c r="B128" s="152" t="str">
        <f>IFERROR(
    INDEX(
        CHOOSE(
            MATCH($C$1, {"All","Calls","Puts"}, 0),
            Sheet1!BN$10:BN$210,
            Sheet1!AR$10:AR$210,
            Sheet1!AS$10:AS$210
        ),
        MATCH($A128, Sheet1!N$10:N$210, 0)
    ),
"")</f>
        <v/>
      </c>
      <c r="C128" s="152" t="str">
        <f>IFERROR(
    INDEX(
        CHOOSE(
            MATCH($C$1, {"All","Calls","Puts"}, 0),
            Sheet1!BN$213:BN$413,
            Sheet1!AR$213:AR$413,
            Sheet1!AS$213:AS$413
        ),
        MATCH($A128, Sheet1!N$213:N$413, 0)
    ),
"")</f>
        <v/>
      </c>
      <c r="D128" s="152" t="str">
        <f>IFERROR(
    INDEX(
        CHOOSE(
            MATCH($C$1, {"All","Calls","Puts"}, 0),
            Sheet1!BN$416:BN$616,
            Sheet1!AR$416:AR$616,
            Sheet1!AS$416:AS$616
        ),
        MATCH($A128, Sheet1!N$416:N$616, 0)
    ),
"")</f>
        <v/>
      </c>
      <c r="E128" s="152" t="str">
        <f>IFERROR(
    INDEX(
        CHOOSE(
            MATCH($C$1, {"All","Calls","Puts"}, 0),
            Sheet1!BN$619:BN$819,
            Sheet1!AR$619:AR$819,
            Sheet1!AS$619:AS$819
        ),
        MATCH($A128, Sheet1!N$619:N$819, 0)
    ),
"")</f>
        <v/>
      </c>
      <c r="F128" s="152" t="str">
        <f>IFERROR(
    INDEX(
        CHOOSE(
            MATCH($C$1, {"All","Calls","Puts"}, 0),
            Sheet1!BN$822:BN$1022,
            Sheet1!AR$822:AR$1022,
            Sheet1!AS$822:AS$1022
        ),
        MATCH($A128, Sheet1!N$822:N$1022, 0)
    ),
"")</f>
        <v/>
      </c>
      <c r="G128" s="152" t="str">
        <f>IFERROR(
    INDEX(
        CHOOSE(
            MATCH($C$1, {"All","Calls","Puts"}, 0),
            Sheet1!BN$1025:BN$1225,
            Sheet1!AR$1025:AR$1225,
            Sheet1!AS$1025:AS$1225
        ),
        MATCH($A128, Sheet1!N$1025:N$1225, 0)
    ),
"")</f>
        <v/>
      </c>
      <c r="H128" s="152" t="str">
        <f>IFERROR(
    INDEX(
        CHOOSE(
            MATCH($C$1, {"All","Calls","Puts"}, 0),
            Sheet1!BN$1228:BN$1428,
            Sheet1!AR$1228:AR$1428,
            Sheet1!AS$1228:AS$1428
        ),
        MATCH($A128, Sheet1!N$1228:N$1428, 0)
    ),
"")</f>
        <v/>
      </c>
      <c r="I128" s="152" t="str">
        <f>IFERROR(
    INDEX(
        CHOOSE(
            MATCH($C$1, {"All","Calls","Puts"}, 0),
            Sheet1!BN$1431:BN$1631,
            Sheet1!AR$1431:AR$1631,
            Sheet1!AS$1431:AS$1631
        ),
        MATCH($A128, Sheet1!N$1431:N$1631, 0)
    ),
"")</f>
        <v/>
      </c>
      <c r="J128" s="73" t="str">
        <f t="shared" si="5"/>
        <v/>
      </c>
      <c r="K128" s="97" t="str">
        <f t="shared" si="6"/>
        <v/>
      </c>
      <c r="L128" s="131">
        <f>IFERROR(MIN(0,INDEX(Sheet1!$AD$10:$AD$999,MATCH(A128,Sheet1!$N$10:$N$999,0))),0)</f>
        <v>0</v>
      </c>
      <c r="M128" s="136">
        <f>IFERROR(MAX(0,INDEX(Sheet1!$AE$10:$AE$999,MATCH(A128,Sheet1!$N$10:$N$999,0))),0)</f>
        <v>0</v>
      </c>
      <c r="N128" s="111" t="str">
        <f t="shared" si="7"/>
        <v/>
      </c>
      <c r="O128" s="138">
        <f>IFERROR(MIN(0,INDEX(Sheet1!$AP$10:$AP$999,MATCH(A128,Sheet1!$N$10:$N$999,0))),0)</f>
        <v>0</v>
      </c>
      <c r="P128" s="143">
        <f>IFERROR(MAX(0,INDEX(Sheet1!$AO$10:$AO$999,MATCH(A128,Sheet1!$N$10:$N$999,0))),0)</f>
        <v>0</v>
      </c>
      <c r="Q128" s="111" t="str">
        <f t="shared" si="8"/>
        <v/>
      </c>
      <c r="R128" s="140">
        <f>IFERROR(MIN(0,INDEX(Sheet1!$BK$10:$BK$999,MATCH(A128,Sheet1!$N$10:$N$999,0))),0)</f>
        <v>0</v>
      </c>
      <c r="S128" s="141">
        <f>IFERROR(MAX(0,INDEX(Sheet1!$BK$10:$BK$999,MATCH(A128,Sheet1!$N$10:$N$999,0))),0)</f>
        <v>0</v>
      </c>
      <c r="T128" s="111" t="str">
        <f t="shared" si="9"/>
        <v/>
      </c>
      <c r="AA128" s="96"/>
    </row>
    <row r="129" spans="1:27" x14ac:dyDescent="0.3">
      <c r="A129" s="44"/>
      <c r="B129" s="152" t="str">
        <f>IFERROR(
    INDEX(
        CHOOSE(
            MATCH($C$1, {"All","Calls","Puts"}, 0),
            Sheet1!BN$10:BN$210,
            Sheet1!AR$10:AR$210,
            Sheet1!AS$10:AS$210
        ),
        MATCH($A129, Sheet1!N$10:N$210, 0)
    ),
"")</f>
        <v/>
      </c>
      <c r="C129" s="152" t="str">
        <f>IFERROR(
    INDEX(
        CHOOSE(
            MATCH($C$1, {"All","Calls","Puts"}, 0),
            Sheet1!BN$213:BN$413,
            Sheet1!AR$213:AR$413,
            Sheet1!AS$213:AS$413
        ),
        MATCH($A129, Sheet1!N$213:N$413, 0)
    ),
"")</f>
        <v/>
      </c>
      <c r="D129" s="152" t="str">
        <f>IFERROR(
    INDEX(
        CHOOSE(
            MATCH($C$1, {"All","Calls","Puts"}, 0),
            Sheet1!BN$416:BN$616,
            Sheet1!AR$416:AR$616,
            Sheet1!AS$416:AS$616
        ),
        MATCH($A129, Sheet1!N$416:N$616, 0)
    ),
"")</f>
        <v/>
      </c>
      <c r="E129" s="152" t="str">
        <f>IFERROR(
    INDEX(
        CHOOSE(
            MATCH($C$1, {"All","Calls","Puts"}, 0),
            Sheet1!BN$619:BN$819,
            Sheet1!AR$619:AR$819,
            Sheet1!AS$619:AS$819
        ),
        MATCH($A129, Sheet1!N$619:N$819, 0)
    ),
"")</f>
        <v/>
      </c>
      <c r="F129" s="152" t="str">
        <f>IFERROR(
    INDEX(
        CHOOSE(
            MATCH($C$1, {"All","Calls","Puts"}, 0),
            Sheet1!BN$822:BN$1022,
            Sheet1!AR$822:AR$1022,
            Sheet1!AS$822:AS$1022
        ),
        MATCH($A129, Sheet1!N$822:N$1022, 0)
    ),
"")</f>
        <v/>
      </c>
      <c r="G129" s="152" t="str">
        <f>IFERROR(
    INDEX(
        CHOOSE(
            MATCH($C$1, {"All","Calls","Puts"}, 0),
            Sheet1!BN$1025:BN$1225,
            Sheet1!AR$1025:AR$1225,
            Sheet1!AS$1025:AS$1225
        ),
        MATCH($A129, Sheet1!N$1025:N$1225, 0)
    ),
"")</f>
        <v/>
      </c>
      <c r="H129" s="152" t="str">
        <f>IFERROR(
    INDEX(
        CHOOSE(
            MATCH($C$1, {"All","Calls","Puts"}, 0),
            Sheet1!BN$1228:BN$1428,
            Sheet1!AR$1228:AR$1428,
            Sheet1!AS$1228:AS$1428
        ),
        MATCH($A129, Sheet1!N$1228:N$1428, 0)
    ),
"")</f>
        <v/>
      </c>
      <c r="I129" s="152" t="str">
        <f>IFERROR(
    INDEX(
        CHOOSE(
            MATCH($C$1, {"All","Calls","Puts"}, 0),
            Sheet1!BN$1431:BN$1631,
            Sheet1!AR$1431:AR$1631,
            Sheet1!AS$1431:AS$1631
        ),
        MATCH($A129, Sheet1!N$1431:N$1631, 0)
    ),
"")</f>
        <v/>
      </c>
      <c r="J129" s="73" t="str">
        <f t="shared" si="5"/>
        <v/>
      </c>
      <c r="K129" s="97" t="str">
        <f t="shared" si="6"/>
        <v/>
      </c>
      <c r="L129" s="131">
        <f>IFERROR(MIN(0,INDEX(Sheet1!$AD$10:$AD$999,MATCH(A129,Sheet1!$N$10:$N$999,0))),0)</f>
        <v>0</v>
      </c>
      <c r="M129" s="136">
        <f>IFERROR(MAX(0,INDEX(Sheet1!$AE$10:$AE$999,MATCH(A129,Sheet1!$N$10:$N$999,0))),0)</f>
        <v>0</v>
      </c>
      <c r="N129" s="111" t="str">
        <f t="shared" si="7"/>
        <v/>
      </c>
      <c r="O129" s="138">
        <f>IFERROR(MIN(0,INDEX(Sheet1!$AP$10:$AP$999,MATCH(A129,Sheet1!$N$10:$N$999,0))),0)</f>
        <v>0</v>
      </c>
      <c r="P129" s="143">
        <f>IFERROR(MAX(0,INDEX(Sheet1!$AO$10:$AO$999,MATCH(A129,Sheet1!$N$10:$N$999,0))),0)</f>
        <v>0</v>
      </c>
      <c r="Q129" s="111" t="str">
        <f t="shared" si="8"/>
        <v/>
      </c>
      <c r="R129" s="140">
        <f>IFERROR(MIN(0,INDEX(Sheet1!$BK$10:$BK$999,MATCH(A129,Sheet1!$N$10:$N$999,0))),0)</f>
        <v>0</v>
      </c>
      <c r="S129" s="141">
        <f>IFERROR(MAX(0,INDEX(Sheet1!$BK$10:$BK$999,MATCH(A129,Sheet1!$N$10:$N$999,0))),0)</f>
        <v>0</v>
      </c>
      <c r="T129" s="111" t="str">
        <f t="shared" si="9"/>
        <v/>
      </c>
      <c r="AA129" s="96"/>
    </row>
    <row r="130" spans="1:27" ht="18" x14ac:dyDescent="0.25">
      <c r="A130" s="44"/>
      <c r="B130" s="152" t="str">
        <f>IFERROR(
    INDEX(
        CHOOSE(
            MATCH($C$1, {"All","Calls","Puts"}, 0),
            Sheet1!BN$10:BN$210,
            Sheet1!AR$10:AR$210,
            Sheet1!AS$10:AS$210
        ),
        MATCH($A130, Sheet1!N$10:N$210, 0)
    ),
"")</f>
        <v/>
      </c>
      <c r="C130" s="152" t="str">
        <f>IFERROR(
    INDEX(
        CHOOSE(
            MATCH($C$1, {"All","Calls","Puts"}, 0),
            Sheet1!BN$213:BN$413,
            Sheet1!AR$213:AR$413,
            Sheet1!AS$213:AS$413
        ),
        MATCH($A130, Sheet1!N$213:N$413, 0)
    ),
"")</f>
        <v/>
      </c>
      <c r="D130" s="152" t="str">
        <f>IFERROR(
    INDEX(
        CHOOSE(
            MATCH($C$1, {"All","Calls","Puts"}, 0),
            Sheet1!BN$416:BN$616,
            Sheet1!AR$416:AR$616,
            Sheet1!AS$416:AS$616
        ),
        MATCH($A130, Sheet1!N$416:N$616, 0)
    ),
"")</f>
        <v/>
      </c>
      <c r="E130" s="152" t="str">
        <f>IFERROR(
    INDEX(
        CHOOSE(
            MATCH($C$1, {"All","Calls","Puts"}, 0),
            Sheet1!BN$619:BN$819,
            Sheet1!AR$619:AR$819,
            Sheet1!AS$619:AS$819
        ),
        MATCH($A130, Sheet1!N$619:N$819, 0)
    ),
"")</f>
        <v/>
      </c>
      <c r="F130" s="152" t="str">
        <f>IFERROR(
    INDEX(
        CHOOSE(
            MATCH($C$1, {"All","Calls","Puts"}, 0),
            Sheet1!BN$822:BN$1022,
            Sheet1!AR$822:AR$1022,
            Sheet1!AS$822:AS$1022
        ),
        MATCH($A130, Sheet1!N$822:N$1022, 0)
    ),
"")</f>
        <v/>
      </c>
      <c r="G130" s="152" t="str">
        <f>IFERROR(
    INDEX(
        CHOOSE(
            MATCH($C$1, {"All","Calls","Puts"}, 0),
            Sheet1!BN$1025:BN$1225,
            Sheet1!AR$1025:AR$1225,
            Sheet1!AS$1025:AS$1225
        ),
        MATCH($A130, Sheet1!N$1025:N$1225, 0)
    ),
"")</f>
        <v/>
      </c>
      <c r="H130" s="152" t="str">
        <f>IFERROR(
    INDEX(
        CHOOSE(
            MATCH($C$1, {"All","Calls","Puts"}, 0),
            Sheet1!BN$1228:BN$1428,
            Sheet1!AR$1228:AR$1428,
            Sheet1!AS$1228:AS$1428
        ),
        MATCH($A130, Sheet1!N$1228:N$1428, 0)
    ),
"")</f>
        <v/>
      </c>
      <c r="I130" s="152" t="str">
        <f>IFERROR(
    INDEX(
        CHOOSE(
            MATCH($C$1, {"All","Calls","Puts"}, 0),
            Sheet1!BN$1431:BN$1631,
            Sheet1!AR$1431:AR$1631,
            Sheet1!AS$1431:AS$1631
        ),
        MATCH($A130, Sheet1!N$1431:N$1631, 0)
    ),
"")</f>
        <v/>
      </c>
      <c r="J130" s="73" t="str">
        <f t="shared" si="5"/>
        <v/>
      </c>
      <c r="K130" s="98"/>
      <c r="L130" s="131">
        <f>IFERROR(MIN(0,INDEX(Sheet1!$AD$10:$AD$999,MATCH(A130,Sheet1!$N$10:$N$999,0))),0)</f>
        <v>0</v>
      </c>
      <c r="M130" s="136">
        <f>IFERROR(MAX(0,INDEX(Sheet1!$AE$10:$AE$999,MATCH(A130,Sheet1!$N$10:$N$999,0))),0)</f>
        <v>0</v>
      </c>
      <c r="N130" s="111" t="str">
        <f t="shared" si="7"/>
        <v/>
      </c>
      <c r="O130" s="138">
        <f>IFERROR(MIN(0,INDEX(Sheet1!$AP$10:$AP$999,MATCH(A130,Sheet1!$N$10:$N$999,0))),0)</f>
        <v>0</v>
      </c>
      <c r="P130" s="143">
        <f>IFERROR(MAX(0,INDEX(Sheet1!$AO$10:$AO$999,MATCH(A130,Sheet1!$N$10:$N$999,0))),0)</f>
        <v>0</v>
      </c>
      <c r="Q130" s="111" t="str">
        <f t="shared" si="8"/>
        <v/>
      </c>
      <c r="R130" s="140">
        <f>IFERROR(MIN(0,INDEX(Sheet1!$BK$10:$BK$999,MATCH(A130,Sheet1!$N$10:$N$999,0))),0)</f>
        <v>0</v>
      </c>
      <c r="S130" s="141">
        <f>IFERROR(MAX(0,INDEX(Sheet1!$BK$10:$BK$999,MATCH(A130,Sheet1!$N$10:$N$999,0))),0)</f>
        <v>0</v>
      </c>
      <c r="T130" s="111" t="str">
        <f t="shared" si="9"/>
        <v/>
      </c>
      <c r="AA130" s="96"/>
    </row>
    <row r="131" spans="1:27" ht="18" x14ac:dyDescent="0.25">
      <c r="A131" s="44"/>
      <c r="B131" s="152" t="str">
        <f>IFERROR(
    INDEX(
        CHOOSE(
            MATCH($C$1, {"All","Calls","Puts"}, 0),
            Sheet1!BN$10:BN$210,
            Sheet1!AR$10:AR$210,
            Sheet1!AS$10:AS$210
        ),
        MATCH($A131, Sheet1!N$10:N$210, 0)
    ),
"")</f>
        <v/>
      </c>
      <c r="C131" s="152" t="str">
        <f>IFERROR(
    INDEX(
        CHOOSE(
            MATCH($C$1, {"All","Calls","Puts"}, 0),
            Sheet1!BN$213:BN$413,
            Sheet1!AR$213:AR$413,
            Sheet1!AS$213:AS$413
        ),
        MATCH($A131, Sheet1!N$213:N$413, 0)
    ),
"")</f>
        <v/>
      </c>
      <c r="D131" s="152" t="str">
        <f>IFERROR(
    INDEX(
        CHOOSE(
            MATCH($C$1, {"All","Calls","Puts"}, 0),
            Sheet1!BN$416:BN$616,
            Sheet1!AR$416:AR$616,
            Sheet1!AS$416:AS$616
        ),
        MATCH($A131, Sheet1!N$416:N$616, 0)
    ),
"")</f>
        <v/>
      </c>
      <c r="E131" s="152" t="str">
        <f>IFERROR(
    INDEX(
        CHOOSE(
            MATCH($C$1, {"All","Calls","Puts"}, 0),
            Sheet1!BN$619:BN$819,
            Sheet1!AR$619:AR$819,
            Sheet1!AS$619:AS$819
        ),
        MATCH($A131, Sheet1!N$619:N$819, 0)
    ),
"")</f>
        <v/>
      </c>
      <c r="F131" s="152" t="str">
        <f>IFERROR(
    INDEX(
        CHOOSE(
            MATCH($C$1, {"All","Calls","Puts"}, 0),
            Sheet1!BN$822:BN$1022,
            Sheet1!AR$822:AR$1022,
            Sheet1!AS$822:AS$1022
        ),
        MATCH($A131, Sheet1!N$822:N$1022, 0)
    ),
"")</f>
        <v/>
      </c>
      <c r="G131" s="152" t="str">
        <f>IFERROR(
    INDEX(
        CHOOSE(
            MATCH($C$1, {"All","Calls","Puts"}, 0),
            Sheet1!BN$1025:BN$1225,
            Sheet1!AR$1025:AR$1225,
            Sheet1!AS$1025:AS$1225
        ),
        MATCH($A131, Sheet1!N$1025:N$1225, 0)
    ),
"")</f>
        <v/>
      </c>
      <c r="H131" s="152" t="str">
        <f>IFERROR(
    INDEX(
        CHOOSE(
            MATCH($C$1, {"All","Calls","Puts"}, 0),
            Sheet1!BN$1228:BN$1428,
            Sheet1!AR$1228:AR$1428,
            Sheet1!AS$1228:AS$1428
        ),
        MATCH($A131, Sheet1!N$1228:N$1428, 0)
    ),
"")</f>
        <v/>
      </c>
      <c r="I131" s="152" t="str">
        <f>IFERROR(
    INDEX(
        CHOOSE(
            MATCH($C$1, {"All","Calls","Puts"}, 0),
            Sheet1!BN$1431:BN$1631,
            Sheet1!AR$1431:AR$1631,
            Sheet1!AS$1431:AS$1631
        ),
        MATCH($A131, Sheet1!N$1431:N$1631, 0)
    ),
"")</f>
        <v/>
      </c>
      <c r="J131" s="73" t="str">
        <f t="shared" si="5"/>
        <v/>
      </c>
      <c r="K131" s="98"/>
      <c r="L131" s="131">
        <f>IFERROR(MIN(0,INDEX(Sheet1!$AD$10:$AD$999,MATCH(A131,Sheet1!$N$10:$N$999,0))),0)</f>
        <v>0</v>
      </c>
      <c r="M131" s="136">
        <f>IFERROR(MAX(0,INDEX(Sheet1!$AE$10:$AE$999,MATCH(A131,Sheet1!$N$10:$N$999,0))),0)</f>
        <v>0</v>
      </c>
      <c r="N131" s="111" t="str">
        <f t="shared" si="7"/>
        <v/>
      </c>
      <c r="O131" s="138">
        <f>IFERROR(MIN(0,INDEX(Sheet1!$AP$10:$AP$999,MATCH(A131,Sheet1!$N$10:$N$999,0))),0)</f>
        <v>0</v>
      </c>
      <c r="P131" s="143">
        <f>IFERROR(MAX(0,INDEX(Sheet1!$AO$10:$AO$999,MATCH(A131,Sheet1!$N$10:$N$999,0))),0)</f>
        <v>0</v>
      </c>
      <c r="Q131" s="111" t="str">
        <f t="shared" si="8"/>
        <v/>
      </c>
      <c r="R131" s="140">
        <f>IFERROR(MIN(0,INDEX(Sheet1!$BK$10:$BK$999,MATCH(A131,Sheet1!$N$10:$N$999,0))),0)</f>
        <v>0</v>
      </c>
      <c r="S131" s="141">
        <f>IFERROR(MAX(0,INDEX(Sheet1!$BK$10:$BK$999,MATCH(A131,Sheet1!$N$10:$N$999,0))),0)</f>
        <v>0</v>
      </c>
      <c r="T131" s="111" t="str">
        <f t="shared" si="9"/>
        <v/>
      </c>
      <c r="AA131" s="96"/>
    </row>
    <row r="132" spans="1:27" ht="18" x14ac:dyDescent="0.25">
      <c r="A132" s="44"/>
      <c r="B132" s="152" t="str">
        <f>IFERROR(
    INDEX(
        CHOOSE(
            MATCH($C$1, {"All","Calls","Puts"}, 0),
            Sheet1!BN$10:BN$210,
            Sheet1!AR$10:AR$210,
            Sheet1!AS$10:AS$210
        ),
        MATCH($A132, Sheet1!N$10:N$210, 0)
    ),
"")</f>
        <v/>
      </c>
      <c r="C132" s="152" t="str">
        <f>IFERROR(
    INDEX(
        CHOOSE(
            MATCH($C$1, {"All","Calls","Puts"}, 0),
            Sheet1!BN$213:BN$413,
            Sheet1!AR$213:AR$413,
            Sheet1!AS$213:AS$413
        ),
        MATCH($A132, Sheet1!N$213:N$413, 0)
    ),
"")</f>
        <v/>
      </c>
      <c r="D132" s="152" t="str">
        <f>IFERROR(
    INDEX(
        CHOOSE(
            MATCH($C$1, {"All","Calls","Puts"}, 0),
            Sheet1!BN$416:BN$616,
            Sheet1!AR$416:AR$616,
            Sheet1!AS$416:AS$616
        ),
        MATCH($A132, Sheet1!N$416:N$616, 0)
    ),
"")</f>
        <v/>
      </c>
      <c r="E132" s="152" t="str">
        <f>IFERROR(
    INDEX(
        CHOOSE(
            MATCH($C$1, {"All","Calls","Puts"}, 0),
            Sheet1!BN$619:BN$819,
            Sheet1!AR$619:AR$819,
            Sheet1!AS$619:AS$819
        ),
        MATCH($A132, Sheet1!N$619:N$819, 0)
    ),
"")</f>
        <v/>
      </c>
      <c r="F132" s="152" t="str">
        <f>IFERROR(
    INDEX(
        CHOOSE(
            MATCH($C$1, {"All","Calls","Puts"}, 0),
            Sheet1!BN$822:BN$1022,
            Sheet1!AR$822:AR$1022,
            Sheet1!AS$822:AS$1022
        ),
        MATCH($A132, Sheet1!N$822:N$1022, 0)
    ),
"")</f>
        <v/>
      </c>
      <c r="G132" s="152" t="str">
        <f>IFERROR(
    INDEX(
        CHOOSE(
            MATCH($C$1, {"All","Calls","Puts"}, 0),
            Sheet1!BN$1025:BN$1225,
            Sheet1!AR$1025:AR$1225,
            Sheet1!AS$1025:AS$1225
        ),
        MATCH($A132, Sheet1!N$1025:N$1225, 0)
    ),
"")</f>
        <v/>
      </c>
      <c r="H132" s="152" t="str">
        <f>IFERROR(
    INDEX(
        CHOOSE(
            MATCH($C$1, {"All","Calls","Puts"}, 0),
            Sheet1!BN$1228:BN$1428,
            Sheet1!AR$1228:AR$1428,
            Sheet1!AS$1228:AS$1428
        ),
        MATCH($A132, Sheet1!N$1228:N$1428, 0)
    ),
"")</f>
        <v/>
      </c>
      <c r="I132" s="152" t="str">
        <f>IFERROR(
    INDEX(
        CHOOSE(
            MATCH($C$1, {"All","Calls","Puts"}, 0),
            Sheet1!BN$1431:BN$1631,
            Sheet1!AR$1431:AR$1631,
            Sheet1!AS$1431:AS$1631
        ),
        MATCH($A132, Sheet1!N$1431:N$1631, 0)
    ),
"")</f>
        <v/>
      </c>
      <c r="J132" s="73" t="str">
        <f t="shared" ref="J132:J195" si="10">IF(A132="","",A132)</f>
        <v/>
      </c>
      <c r="K132" s="98"/>
      <c r="L132" s="131">
        <f>IFERROR(MIN(0,INDEX(Sheet1!$AD$10:$AD$999,MATCH(A132,Sheet1!$N$10:$N$999,0))),0)</f>
        <v>0</v>
      </c>
      <c r="M132" s="136">
        <f>IFERROR(MAX(0,INDEX(Sheet1!$AE$10:$AE$999,MATCH(A132,Sheet1!$N$10:$N$999,0))),0)</f>
        <v>0</v>
      </c>
      <c r="N132" s="111" t="str">
        <f t="shared" ref="N132:N182" si="11">IF(A132="","",A132)</f>
        <v/>
      </c>
      <c r="O132" s="138">
        <f>IFERROR(MIN(0,INDEX(Sheet1!$AP$10:$AP$999,MATCH(A132,Sheet1!$N$10:$N$999,0))),0)</f>
        <v>0</v>
      </c>
      <c r="P132" s="143">
        <f>IFERROR(MAX(0,INDEX(Sheet1!$AO$10:$AO$999,MATCH(A132,Sheet1!$N$10:$N$999,0))),0)</f>
        <v>0</v>
      </c>
      <c r="Q132" s="111" t="str">
        <f t="shared" ref="Q132:Q162" si="12">IF(A132="","",A132)</f>
        <v/>
      </c>
      <c r="R132" s="140">
        <f>IFERROR(MIN(0,INDEX(Sheet1!$BK$10:$BK$999,MATCH(A132,Sheet1!$N$10:$N$999,0))),0)</f>
        <v>0</v>
      </c>
      <c r="S132" s="141">
        <f>IFERROR(MAX(0,INDEX(Sheet1!$BK$10:$BK$999,MATCH(A132,Sheet1!$N$10:$N$999,0))),0)</f>
        <v>0</v>
      </c>
      <c r="T132" s="111" t="str">
        <f t="shared" ref="T132:T144" si="13">IF(A132="","",A132)</f>
        <v/>
      </c>
      <c r="AA132" s="96"/>
    </row>
    <row r="133" spans="1:27" ht="18" x14ac:dyDescent="0.25">
      <c r="A133" s="44"/>
      <c r="B133" s="152" t="str">
        <f>IFERROR(
    INDEX(
        CHOOSE(
            MATCH($C$1, {"All","Calls","Puts"}, 0),
            Sheet1!BN$10:BN$210,
            Sheet1!AR$10:AR$210,
            Sheet1!AS$10:AS$210
        ),
        MATCH($A133, Sheet1!N$10:N$210, 0)
    ),
"")</f>
        <v/>
      </c>
      <c r="C133" s="152" t="str">
        <f>IFERROR(
    INDEX(
        CHOOSE(
            MATCH($C$1, {"All","Calls","Puts"}, 0),
            Sheet1!BN$213:BN$413,
            Sheet1!AR$213:AR$413,
            Sheet1!AS$213:AS$413
        ),
        MATCH($A133, Sheet1!N$213:N$413, 0)
    ),
"")</f>
        <v/>
      </c>
      <c r="D133" s="152" t="str">
        <f>IFERROR(
    INDEX(
        CHOOSE(
            MATCH($C$1, {"All","Calls","Puts"}, 0),
            Sheet1!BN$416:BN$616,
            Sheet1!AR$416:AR$616,
            Sheet1!AS$416:AS$616
        ),
        MATCH($A133, Sheet1!N$416:N$616, 0)
    ),
"")</f>
        <v/>
      </c>
      <c r="E133" s="152" t="str">
        <f>IFERROR(
    INDEX(
        CHOOSE(
            MATCH($C$1, {"All","Calls","Puts"}, 0),
            Sheet1!BN$619:BN$819,
            Sheet1!AR$619:AR$819,
            Sheet1!AS$619:AS$819
        ),
        MATCH($A133, Sheet1!N$619:N$819, 0)
    ),
"")</f>
        <v/>
      </c>
      <c r="F133" s="152" t="str">
        <f>IFERROR(
    INDEX(
        CHOOSE(
            MATCH($C$1, {"All","Calls","Puts"}, 0),
            Sheet1!BN$822:BN$1022,
            Sheet1!AR$822:AR$1022,
            Sheet1!AS$822:AS$1022
        ),
        MATCH($A133, Sheet1!N$822:N$1022, 0)
    ),
"")</f>
        <v/>
      </c>
      <c r="G133" s="152" t="str">
        <f>IFERROR(
    INDEX(
        CHOOSE(
            MATCH($C$1, {"All","Calls","Puts"}, 0),
            Sheet1!BN$1025:BN$1225,
            Sheet1!AR$1025:AR$1225,
            Sheet1!AS$1025:AS$1225
        ),
        MATCH($A133, Sheet1!N$1025:N$1225, 0)
    ),
"")</f>
        <v/>
      </c>
      <c r="H133" s="152" t="str">
        <f>IFERROR(
    INDEX(
        CHOOSE(
            MATCH($C$1, {"All","Calls","Puts"}, 0),
            Sheet1!BN$1228:BN$1428,
            Sheet1!AR$1228:AR$1428,
            Sheet1!AS$1228:AS$1428
        ),
        MATCH($A133, Sheet1!N$1228:N$1428, 0)
    ),
"")</f>
        <v/>
      </c>
      <c r="I133" s="152" t="str">
        <f>IFERROR(
    INDEX(
        CHOOSE(
            MATCH($C$1, {"All","Calls","Puts"}, 0),
            Sheet1!BN$1431:BN$1631,
            Sheet1!AR$1431:AR$1631,
            Sheet1!AS$1431:AS$1631
        ),
        MATCH($A133, Sheet1!N$1431:N$1631, 0)
    ),
"")</f>
        <v/>
      </c>
      <c r="J133" s="73" t="str">
        <f t="shared" si="10"/>
        <v/>
      </c>
      <c r="K133" s="98"/>
      <c r="L133" s="131">
        <f>IFERROR(MIN(0,INDEX(Sheet1!$AD$10:$AD$999,MATCH(A133,Sheet1!$N$10:$N$999,0))),0)</f>
        <v>0</v>
      </c>
      <c r="M133" s="136">
        <f>IFERROR(MAX(0,INDEX(Sheet1!$AE$10:$AE$999,MATCH(A133,Sheet1!$N$10:$N$999,0))),0)</f>
        <v>0</v>
      </c>
      <c r="N133" s="111" t="str">
        <f t="shared" si="11"/>
        <v/>
      </c>
      <c r="O133" s="138">
        <f>IFERROR(MIN(0,INDEX(Sheet1!$AP$10:$AP$999,MATCH(A133,Sheet1!$N$10:$N$999,0))),0)</f>
        <v>0</v>
      </c>
      <c r="P133" s="143">
        <f>IFERROR(MAX(0,INDEX(Sheet1!$AO$10:$AO$999,MATCH(A133,Sheet1!$N$10:$N$999,0))),0)</f>
        <v>0</v>
      </c>
      <c r="Q133" s="111" t="str">
        <f t="shared" si="12"/>
        <v/>
      </c>
      <c r="R133" s="140">
        <f>IFERROR(MIN(0,INDEX(Sheet1!$BK$10:$BK$999,MATCH(A133,Sheet1!$N$10:$N$999,0))),0)</f>
        <v>0</v>
      </c>
      <c r="S133" s="141">
        <f>IFERROR(MAX(0,INDEX(Sheet1!$BK$10:$BK$999,MATCH(A133,Sheet1!$N$10:$N$999,0))),0)</f>
        <v>0</v>
      </c>
      <c r="T133" s="111" t="str">
        <f t="shared" si="13"/>
        <v/>
      </c>
      <c r="AA133" s="96"/>
    </row>
    <row r="134" spans="1:27" ht="18" x14ac:dyDescent="0.25">
      <c r="A134" s="44"/>
      <c r="B134" s="152" t="str">
        <f>IFERROR(
    INDEX(
        CHOOSE(
            MATCH($C$1, {"All","Calls","Puts"}, 0),
            Sheet1!BN$10:BN$210,
            Sheet1!AR$10:AR$210,
            Sheet1!AS$10:AS$210
        ),
        MATCH($A134, Sheet1!N$10:N$210, 0)
    ),
"")</f>
        <v/>
      </c>
      <c r="C134" s="152" t="str">
        <f>IFERROR(
    INDEX(
        CHOOSE(
            MATCH($C$1, {"All","Calls","Puts"}, 0),
            Sheet1!BN$213:BN$413,
            Sheet1!AR$213:AR$413,
            Sheet1!AS$213:AS$413
        ),
        MATCH($A134, Sheet1!N$213:N$413, 0)
    ),
"")</f>
        <v/>
      </c>
      <c r="D134" s="152" t="str">
        <f>IFERROR(
    INDEX(
        CHOOSE(
            MATCH($C$1, {"All","Calls","Puts"}, 0),
            Sheet1!BN$416:BN$616,
            Sheet1!AR$416:AR$616,
            Sheet1!AS$416:AS$616
        ),
        MATCH($A134, Sheet1!N$416:N$616, 0)
    ),
"")</f>
        <v/>
      </c>
      <c r="E134" s="152" t="str">
        <f>IFERROR(
    INDEX(
        CHOOSE(
            MATCH($C$1, {"All","Calls","Puts"}, 0),
            Sheet1!BN$619:BN$819,
            Sheet1!AR$619:AR$819,
            Sheet1!AS$619:AS$819
        ),
        MATCH($A134, Sheet1!N$619:N$819, 0)
    ),
"")</f>
        <v/>
      </c>
      <c r="F134" s="152" t="str">
        <f>IFERROR(
    INDEX(
        CHOOSE(
            MATCH($C$1, {"All","Calls","Puts"}, 0),
            Sheet1!BN$822:BN$1022,
            Sheet1!AR$822:AR$1022,
            Sheet1!AS$822:AS$1022
        ),
        MATCH($A134, Sheet1!N$822:N$1022, 0)
    ),
"")</f>
        <v/>
      </c>
      <c r="G134" s="152" t="str">
        <f>IFERROR(
    INDEX(
        CHOOSE(
            MATCH($C$1, {"All","Calls","Puts"}, 0),
            Sheet1!BN$1025:BN$1225,
            Sheet1!AR$1025:AR$1225,
            Sheet1!AS$1025:AS$1225
        ),
        MATCH($A134, Sheet1!N$1025:N$1225, 0)
    ),
"")</f>
        <v/>
      </c>
      <c r="H134" s="152" t="str">
        <f>IFERROR(
    INDEX(
        CHOOSE(
            MATCH($C$1, {"All","Calls","Puts"}, 0),
            Sheet1!BN$1228:BN$1428,
            Sheet1!AR$1228:AR$1428,
            Sheet1!AS$1228:AS$1428
        ),
        MATCH($A134, Sheet1!N$1228:N$1428, 0)
    ),
"")</f>
        <v/>
      </c>
      <c r="I134" s="152" t="str">
        <f>IFERROR(
    INDEX(
        CHOOSE(
            MATCH($C$1, {"All","Calls","Puts"}, 0),
            Sheet1!BN$1431:BN$1631,
            Sheet1!AR$1431:AR$1631,
            Sheet1!AS$1431:AS$1631
        ),
        MATCH($A134, Sheet1!N$1431:N$1631, 0)
    ),
"")</f>
        <v/>
      </c>
      <c r="J134" s="73" t="str">
        <f t="shared" si="10"/>
        <v/>
      </c>
      <c r="K134" s="98"/>
      <c r="L134" s="131">
        <f>IFERROR(MIN(0,INDEX(Sheet1!$AD$10:$AD$999,MATCH(A134,Sheet1!$N$10:$N$999,0))),0)</f>
        <v>0</v>
      </c>
      <c r="M134" s="136">
        <f>IFERROR(MAX(0,INDEX(Sheet1!$AE$10:$AE$999,MATCH(A134,Sheet1!$N$10:$N$999,0))),0)</f>
        <v>0</v>
      </c>
      <c r="N134" s="111" t="str">
        <f t="shared" si="11"/>
        <v/>
      </c>
      <c r="O134" s="138">
        <f>IFERROR(MIN(0,INDEX(Sheet1!$AP$10:$AP$999,MATCH(A134,Sheet1!$N$10:$N$999,0))),0)</f>
        <v>0</v>
      </c>
      <c r="P134" s="143">
        <f>IFERROR(MAX(0,INDEX(Sheet1!$AO$10:$AO$999,MATCH(A134,Sheet1!$N$10:$N$999,0))),0)</f>
        <v>0</v>
      </c>
      <c r="Q134" s="111" t="str">
        <f t="shared" si="12"/>
        <v/>
      </c>
      <c r="R134" s="140">
        <f>IFERROR(MIN(0,INDEX(Sheet1!$BK$10:$BK$999,MATCH(A134,Sheet1!$N$10:$N$999,0))),0)</f>
        <v>0</v>
      </c>
      <c r="S134" s="141">
        <f>IFERROR(MAX(0,INDEX(Sheet1!$BK$10:$BK$999,MATCH(A134,Sheet1!$N$10:$N$999,0))),0)</f>
        <v>0</v>
      </c>
      <c r="T134" s="111" t="str">
        <f t="shared" si="13"/>
        <v/>
      </c>
      <c r="AA134" s="96"/>
    </row>
    <row r="135" spans="1:27" ht="18" x14ac:dyDescent="0.25">
      <c r="A135" s="44"/>
      <c r="B135" s="152" t="str">
        <f>IFERROR(
    INDEX(
        CHOOSE(
            MATCH($C$1, {"All","Calls","Puts"}, 0),
            Sheet1!BN$10:BN$210,
            Sheet1!AR$10:AR$210,
            Sheet1!AS$10:AS$210
        ),
        MATCH($A135, Sheet1!N$10:N$210, 0)
    ),
"")</f>
        <v/>
      </c>
      <c r="C135" s="152" t="str">
        <f>IFERROR(
    INDEX(
        CHOOSE(
            MATCH($C$1, {"All","Calls","Puts"}, 0),
            Sheet1!BN$213:BN$413,
            Sheet1!AR$213:AR$413,
            Sheet1!AS$213:AS$413
        ),
        MATCH($A135, Sheet1!N$213:N$413, 0)
    ),
"")</f>
        <v/>
      </c>
      <c r="D135" s="152" t="str">
        <f>IFERROR(
    INDEX(
        CHOOSE(
            MATCH($C$1, {"All","Calls","Puts"}, 0),
            Sheet1!BN$416:BN$616,
            Sheet1!AR$416:AR$616,
            Sheet1!AS$416:AS$616
        ),
        MATCH($A135, Sheet1!N$416:N$616, 0)
    ),
"")</f>
        <v/>
      </c>
      <c r="E135" s="152" t="str">
        <f>IFERROR(
    INDEX(
        CHOOSE(
            MATCH($C$1, {"All","Calls","Puts"}, 0),
            Sheet1!BN$619:BN$819,
            Sheet1!AR$619:AR$819,
            Sheet1!AS$619:AS$819
        ),
        MATCH($A135, Sheet1!N$619:N$819, 0)
    ),
"")</f>
        <v/>
      </c>
      <c r="F135" s="152" t="str">
        <f>IFERROR(
    INDEX(
        CHOOSE(
            MATCH($C$1, {"All","Calls","Puts"}, 0),
            Sheet1!BN$822:BN$1022,
            Sheet1!AR$822:AR$1022,
            Sheet1!AS$822:AS$1022
        ),
        MATCH($A135, Sheet1!N$822:N$1022, 0)
    ),
"")</f>
        <v/>
      </c>
      <c r="G135" s="152" t="str">
        <f>IFERROR(
    INDEX(
        CHOOSE(
            MATCH($C$1, {"All","Calls","Puts"}, 0),
            Sheet1!BN$1025:BN$1225,
            Sheet1!AR$1025:AR$1225,
            Sheet1!AS$1025:AS$1225
        ),
        MATCH($A135, Sheet1!N$1025:N$1225, 0)
    ),
"")</f>
        <v/>
      </c>
      <c r="H135" s="152" t="str">
        <f>IFERROR(
    INDEX(
        CHOOSE(
            MATCH($C$1, {"All","Calls","Puts"}, 0),
            Sheet1!BN$1228:BN$1428,
            Sheet1!AR$1228:AR$1428,
            Sheet1!AS$1228:AS$1428
        ),
        MATCH($A135, Sheet1!N$1228:N$1428, 0)
    ),
"")</f>
        <v/>
      </c>
      <c r="I135" s="152" t="str">
        <f>IFERROR(
    INDEX(
        CHOOSE(
            MATCH($C$1, {"All","Calls","Puts"}, 0),
            Sheet1!BN$1431:BN$1631,
            Sheet1!AR$1431:AR$1631,
            Sheet1!AS$1431:AS$1631
        ),
        MATCH($A135, Sheet1!N$1431:N$1631, 0)
    ),
"")</f>
        <v/>
      </c>
      <c r="J135" s="73" t="str">
        <f t="shared" si="10"/>
        <v/>
      </c>
      <c r="K135" s="98"/>
      <c r="L135" s="131">
        <f>IFERROR(MIN(0,INDEX(Sheet1!$AD$10:$AD$999,MATCH(A135,Sheet1!$N$10:$N$999,0))),0)</f>
        <v>0</v>
      </c>
      <c r="M135" s="136">
        <f>IFERROR(MAX(0,INDEX(Sheet1!$AE$10:$AE$999,MATCH(A135,Sheet1!$N$10:$N$999,0))),0)</f>
        <v>0</v>
      </c>
      <c r="N135" s="111" t="str">
        <f t="shared" si="11"/>
        <v/>
      </c>
      <c r="O135" s="138">
        <f>IFERROR(MIN(0,INDEX(Sheet1!$AP$10:$AP$999,MATCH(A135,Sheet1!$N$10:$N$999,0))),0)</f>
        <v>0</v>
      </c>
      <c r="P135" s="143">
        <f>IFERROR(MAX(0,INDEX(Sheet1!$AO$10:$AO$999,MATCH(A135,Sheet1!$N$10:$N$999,0))),0)</f>
        <v>0</v>
      </c>
      <c r="Q135" s="111" t="str">
        <f t="shared" si="12"/>
        <v/>
      </c>
      <c r="R135" s="140">
        <f>IFERROR(MIN(0,INDEX(Sheet1!$BK$10:$BK$999,MATCH(A135,Sheet1!$N$10:$N$999,0))),0)</f>
        <v>0</v>
      </c>
      <c r="S135" s="141">
        <f>IFERROR(MAX(0,INDEX(Sheet1!$BK$10:$BK$999,MATCH(A135,Sheet1!$N$10:$N$999,0))),0)</f>
        <v>0</v>
      </c>
      <c r="T135" s="111" t="str">
        <f t="shared" si="13"/>
        <v/>
      </c>
      <c r="AA135" s="96"/>
    </row>
    <row r="136" spans="1:27" ht="18" x14ac:dyDescent="0.25">
      <c r="A136" s="44"/>
      <c r="B136" s="152" t="str">
        <f>IFERROR(
    INDEX(
        CHOOSE(
            MATCH($C$1, {"All","Calls","Puts"}, 0),
            Sheet1!BN$10:BN$210,
            Sheet1!AR$10:AR$210,
            Sheet1!AS$10:AS$210
        ),
        MATCH($A136, Sheet1!N$10:N$210, 0)
    ),
"")</f>
        <v/>
      </c>
      <c r="C136" s="152" t="str">
        <f>IFERROR(
    INDEX(
        CHOOSE(
            MATCH($C$1, {"All","Calls","Puts"}, 0),
            Sheet1!BN$213:BN$413,
            Sheet1!AR$213:AR$413,
            Sheet1!AS$213:AS$413
        ),
        MATCH($A136, Sheet1!N$213:N$413, 0)
    ),
"")</f>
        <v/>
      </c>
      <c r="D136" s="152" t="str">
        <f>IFERROR(
    INDEX(
        CHOOSE(
            MATCH($C$1, {"All","Calls","Puts"}, 0),
            Sheet1!BN$416:BN$616,
            Sheet1!AR$416:AR$616,
            Sheet1!AS$416:AS$616
        ),
        MATCH($A136, Sheet1!N$416:N$616, 0)
    ),
"")</f>
        <v/>
      </c>
      <c r="E136" s="152" t="str">
        <f>IFERROR(
    INDEX(
        CHOOSE(
            MATCH($C$1, {"All","Calls","Puts"}, 0),
            Sheet1!BN$619:BN$819,
            Sheet1!AR$619:AR$819,
            Sheet1!AS$619:AS$819
        ),
        MATCH($A136, Sheet1!N$619:N$819, 0)
    ),
"")</f>
        <v/>
      </c>
      <c r="F136" s="152" t="str">
        <f>IFERROR(
    INDEX(
        CHOOSE(
            MATCH($C$1, {"All","Calls","Puts"}, 0),
            Sheet1!BN$822:BN$1022,
            Sheet1!AR$822:AR$1022,
            Sheet1!AS$822:AS$1022
        ),
        MATCH($A136, Sheet1!N$822:N$1022, 0)
    ),
"")</f>
        <v/>
      </c>
      <c r="G136" s="152" t="str">
        <f>IFERROR(
    INDEX(
        CHOOSE(
            MATCH($C$1, {"All","Calls","Puts"}, 0),
            Sheet1!BN$1025:BN$1225,
            Sheet1!AR$1025:AR$1225,
            Sheet1!AS$1025:AS$1225
        ),
        MATCH($A136, Sheet1!N$1025:N$1225, 0)
    ),
"")</f>
        <v/>
      </c>
      <c r="H136" s="152" t="str">
        <f>IFERROR(
    INDEX(
        CHOOSE(
            MATCH($C$1, {"All","Calls","Puts"}, 0),
            Sheet1!BN$1228:BN$1428,
            Sheet1!AR$1228:AR$1428,
            Sheet1!AS$1228:AS$1428
        ),
        MATCH($A136, Sheet1!N$1228:N$1428, 0)
    ),
"")</f>
        <v/>
      </c>
      <c r="I136" s="152" t="str">
        <f>IFERROR(
    INDEX(
        CHOOSE(
            MATCH($C$1, {"All","Calls","Puts"}, 0),
            Sheet1!BN$1431:BN$1631,
            Sheet1!AR$1431:AR$1631,
            Sheet1!AS$1431:AS$1631
        ),
        MATCH($A136, Sheet1!N$1431:N$1631, 0)
    ),
"")</f>
        <v/>
      </c>
      <c r="J136" s="73" t="str">
        <f t="shared" si="10"/>
        <v/>
      </c>
      <c r="K136" s="98"/>
      <c r="L136" s="131">
        <f>IFERROR(MIN(0,INDEX(Sheet1!$AD$10:$AD$999,MATCH(A136,Sheet1!$N$10:$N$999,0))),0)</f>
        <v>0</v>
      </c>
      <c r="M136" s="136">
        <f>IFERROR(MAX(0,INDEX(Sheet1!$AE$10:$AE$999,MATCH(A136,Sheet1!$N$10:$N$999,0))),0)</f>
        <v>0</v>
      </c>
      <c r="N136" s="111" t="str">
        <f t="shared" si="11"/>
        <v/>
      </c>
      <c r="O136" s="138">
        <f>IFERROR(MIN(0,INDEX(Sheet1!$AP$10:$AP$999,MATCH(A136,Sheet1!$N$10:$N$999,0))),0)</f>
        <v>0</v>
      </c>
      <c r="P136" s="143">
        <f>IFERROR(MAX(0,INDEX(Sheet1!$AO$10:$AO$999,MATCH(A136,Sheet1!$N$10:$N$999,0))),0)</f>
        <v>0</v>
      </c>
      <c r="Q136" s="111" t="str">
        <f t="shared" si="12"/>
        <v/>
      </c>
      <c r="R136" s="140">
        <f>IFERROR(MIN(0,INDEX(Sheet1!$BK$10:$BK$999,MATCH(A136,Sheet1!$N$10:$N$999,0))),0)</f>
        <v>0</v>
      </c>
      <c r="S136" s="141">
        <f>IFERROR(MAX(0,INDEX(Sheet1!$BK$10:$BK$999,MATCH(A136,Sheet1!$N$10:$N$999,0))),0)</f>
        <v>0</v>
      </c>
      <c r="T136" s="111" t="str">
        <f t="shared" si="13"/>
        <v/>
      </c>
      <c r="AA136" s="96"/>
    </row>
    <row r="137" spans="1:27" ht="18" x14ac:dyDescent="0.25">
      <c r="A137" s="44"/>
      <c r="B137" s="152" t="str">
        <f>IFERROR(
    INDEX(
        CHOOSE(
            MATCH($C$1, {"All","Calls","Puts"}, 0),
            Sheet1!BN$10:BN$210,
            Sheet1!AR$10:AR$210,
            Sheet1!AS$10:AS$210
        ),
        MATCH($A137, Sheet1!N$10:N$210, 0)
    ),
"")</f>
        <v/>
      </c>
      <c r="C137" s="152" t="str">
        <f>IFERROR(
    INDEX(
        CHOOSE(
            MATCH($C$1, {"All","Calls","Puts"}, 0),
            Sheet1!BN$213:BN$413,
            Sheet1!AR$213:AR$413,
            Sheet1!AS$213:AS$413
        ),
        MATCH($A137, Sheet1!N$213:N$413, 0)
    ),
"")</f>
        <v/>
      </c>
      <c r="D137" s="152" t="str">
        <f>IFERROR(
    INDEX(
        CHOOSE(
            MATCH($C$1, {"All","Calls","Puts"}, 0),
            Sheet1!BN$416:BN$616,
            Sheet1!AR$416:AR$616,
            Sheet1!AS$416:AS$616
        ),
        MATCH($A137, Sheet1!N$416:N$616, 0)
    ),
"")</f>
        <v/>
      </c>
      <c r="E137" s="152" t="str">
        <f>IFERROR(
    INDEX(
        CHOOSE(
            MATCH($C$1, {"All","Calls","Puts"}, 0),
            Sheet1!BN$619:BN$819,
            Sheet1!AR$619:AR$819,
            Sheet1!AS$619:AS$819
        ),
        MATCH($A137, Sheet1!N$619:N$819, 0)
    ),
"")</f>
        <v/>
      </c>
      <c r="F137" s="152" t="str">
        <f>IFERROR(
    INDEX(
        CHOOSE(
            MATCH($C$1, {"All","Calls","Puts"}, 0),
            Sheet1!BN$822:BN$1022,
            Sheet1!AR$822:AR$1022,
            Sheet1!AS$822:AS$1022
        ),
        MATCH($A137, Sheet1!N$822:N$1022, 0)
    ),
"")</f>
        <v/>
      </c>
      <c r="G137" s="152" t="str">
        <f>IFERROR(
    INDEX(
        CHOOSE(
            MATCH($C$1, {"All","Calls","Puts"}, 0),
            Sheet1!BN$1025:BN$1225,
            Sheet1!AR$1025:AR$1225,
            Sheet1!AS$1025:AS$1225
        ),
        MATCH($A137, Sheet1!N$1025:N$1225, 0)
    ),
"")</f>
        <v/>
      </c>
      <c r="H137" s="152" t="str">
        <f>IFERROR(
    INDEX(
        CHOOSE(
            MATCH($C$1, {"All","Calls","Puts"}, 0),
            Sheet1!BN$1228:BN$1428,
            Sheet1!AR$1228:AR$1428,
            Sheet1!AS$1228:AS$1428
        ),
        MATCH($A137, Sheet1!N$1228:N$1428, 0)
    ),
"")</f>
        <v/>
      </c>
      <c r="I137" s="152" t="str">
        <f>IFERROR(
    INDEX(
        CHOOSE(
            MATCH($C$1, {"All","Calls","Puts"}, 0),
            Sheet1!BN$1431:BN$1631,
            Sheet1!AR$1431:AR$1631,
            Sheet1!AS$1431:AS$1631
        ),
        MATCH($A137, Sheet1!N$1431:N$1631, 0)
    ),
"")</f>
        <v/>
      </c>
      <c r="J137" s="73" t="str">
        <f t="shared" si="10"/>
        <v/>
      </c>
      <c r="K137" s="98"/>
      <c r="L137" s="131">
        <f>IFERROR(MIN(0,INDEX(Sheet1!$AD$10:$AD$999,MATCH(A137,Sheet1!$N$10:$N$999,0))),0)</f>
        <v>0</v>
      </c>
      <c r="M137" s="136">
        <f>IFERROR(MAX(0,INDEX(Sheet1!$AE$10:$AE$999,MATCH(A137,Sheet1!$N$10:$N$999,0))),0)</f>
        <v>0</v>
      </c>
      <c r="N137" s="111" t="str">
        <f t="shared" si="11"/>
        <v/>
      </c>
      <c r="O137" s="138">
        <f>IFERROR(MIN(0,INDEX(Sheet1!$AP$10:$AP$999,MATCH(A137,Sheet1!$N$10:$N$999,0))),0)</f>
        <v>0</v>
      </c>
      <c r="P137" s="143">
        <f>IFERROR(MAX(0,INDEX(Sheet1!$AO$10:$AO$999,MATCH(A137,Sheet1!$N$10:$N$999,0))),0)</f>
        <v>0</v>
      </c>
      <c r="Q137" s="111" t="str">
        <f t="shared" si="12"/>
        <v/>
      </c>
      <c r="R137" s="140">
        <f>IFERROR(MIN(0,INDEX(Sheet1!$BK$10:$BK$999,MATCH(A137,Sheet1!$N$10:$N$999,0))),0)</f>
        <v>0</v>
      </c>
      <c r="S137" s="141">
        <f>IFERROR(MAX(0,INDEX(Sheet1!$BK$10:$BK$999,MATCH(A137,Sheet1!$N$10:$N$999,0))),0)</f>
        <v>0</v>
      </c>
      <c r="T137" s="111" t="str">
        <f t="shared" si="13"/>
        <v/>
      </c>
      <c r="AA137" s="96"/>
    </row>
    <row r="138" spans="1:27" ht="18" x14ac:dyDescent="0.25">
      <c r="A138" s="44"/>
      <c r="B138" s="152" t="str">
        <f>IFERROR(
    INDEX(
        CHOOSE(
            MATCH($C$1, {"All","Calls","Puts"}, 0),
            Sheet1!BN$10:BN$210,
            Sheet1!AR$10:AR$210,
            Sheet1!AS$10:AS$210
        ),
        MATCH($A138, Sheet1!N$10:N$210, 0)
    ),
"")</f>
        <v/>
      </c>
      <c r="C138" s="152" t="str">
        <f>IFERROR(
    INDEX(
        CHOOSE(
            MATCH($C$1, {"All","Calls","Puts"}, 0),
            Sheet1!BN$213:BN$413,
            Sheet1!AR$213:AR$413,
            Sheet1!AS$213:AS$413
        ),
        MATCH($A138, Sheet1!N$213:N$413, 0)
    ),
"")</f>
        <v/>
      </c>
      <c r="D138" s="152" t="str">
        <f>IFERROR(
    INDEX(
        CHOOSE(
            MATCH($C$1, {"All","Calls","Puts"}, 0),
            Sheet1!BN$416:BN$616,
            Sheet1!AR$416:AR$616,
            Sheet1!AS$416:AS$616
        ),
        MATCH($A138, Sheet1!N$416:N$616, 0)
    ),
"")</f>
        <v/>
      </c>
      <c r="E138" s="152" t="str">
        <f>IFERROR(
    INDEX(
        CHOOSE(
            MATCH($C$1, {"All","Calls","Puts"}, 0),
            Sheet1!BN$619:BN$819,
            Sheet1!AR$619:AR$819,
            Sheet1!AS$619:AS$819
        ),
        MATCH($A138, Sheet1!N$619:N$819, 0)
    ),
"")</f>
        <v/>
      </c>
      <c r="F138" s="152" t="str">
        <f>IFERROR(
    INDEX(
        CHOOSE(
            MATCH($C$1, {"All","Calls","Puts"}, 0),
            Sheet1!BN$822:BN$1022,
            Sheet1!AR$822:AR$1022,
            Sheet1!AS$822:AS$1022
        ),
        MATCH($A138, Sheet1!N$822:N$1022, 0)
    ),
"")</f>
        <v/>
      </c>
      <c r="G138" s="152" t="str">
        <f>IFERROR(
    INDEX(
        CHOOSE(
            MATCH($C$1, {"All","Calls","Puts"}, 0),
            Sheet1!BN$1025:BN$1225,
            Sheet1!AR$1025:AR$1225,
            Sheet1!AS$1025:AS$1225
        ),
        MATCH($A138, Sheet1!N$1025:N$1225, 0)
    ),
"")</f>
        <v/>
      </c>
      <c r="H138" s="152" t="str">
        <f>IFERROR(
    INDEX(
        CHOOSE(
            MATCH($C$1, {"All","Calls","Puts"}, 0),
            Sheet1!BN$1228:BN$1428,
            Sheet1!AR$1228:AR$1428,
            Sheet1!AS$1228:AS$1428
        ),
        MATCH($A138, Sheet1!N$1228:N$1428, 0)
    ),
"")</f>
        <v/>
      </c>
      <c r="I138" s="152" t="str">
        <f>IFERROR(
    INDEX(
        CHOOSE(
            MATCH($C$1, {"All","Calls","Puts"}, 0),
            Sheet1!BN$1431:BN$1631,
            Sheet1!AR$1431:AR$1631,
            Sheet1!AS$1431:AS$1631
        ),
        MATCH($A138, Sheet1!N$1431:N$1631, 0)
    ),
"")</f>
        <v/>
      </c>
      <c r="J138" s="73" t="str">
        <f t="shared" si="10"/>
        <v/>
      </c>
      <c r="K138" s="98"/>
      <c r="L138" s="131">
        <f>IFERROR(MIN(0,INDEX(Sheet1!$AD$10:$AD$999,MATCH(A138,Sheet1!$N$10:$N$999,0))),0)</f>
        <v>0</v>
      </c>
      <c r="M138" s="136">
        <f>IFERROR(MAX(0,INDEX(Sheet1!$AE$10:$AE$999,MATCH(A138,Sheet1!$N$10:$N$999,0))),0)</f>
        <v>0</v>
      </c>
      <c r="N138" s="111" t="str">
        <f t="shared" si="11"/>
        <v/>
      </c>
      <c r="O138" s="138">
        <f>IFERROR(MIN(0,INDEX(Sheet1!$AP$10:$AP$999,MATCH(A138,Sheet1!$N$10:$N$999,0))),0)</f>
        <v>0</v>
      </c>
      <c r="P138" s="143">
        <f>IFERROR(MAX(0,INDEX(Sheet1!$AO$10:$AO$999,MATCH(A138,Sheet1!$N$10:$N$999,0))),0)</f>
        <v>0</v>
      </c>
      <c r="Q138" s="111" t="str">
        <f t="shared" si="12"/>
        <v/>
      </c>
      <c r="R138" s="140">
        <f>IFERROR(MIN(0,INDEX(Sheet1!$BK$10:$BK$999,MATCH(A138,Sheet1!$N$10:$N$999,0))),0)</f>
        <v>0</v>
      </c>
      <c r="S138" s="141">
        <f>IFERROR(MAX(0,INDEX(Sheet1!$BK$10:$BK$999,MATCH(A138,Sheet1!$N$10:$N$999,0))),0)</f>
        <v>0</v>
      </c>
      <c r="T138" s="111" t="str">
        <f t="shared" si="13"/>
        <v/>
      </c>
      <c r="AA138" s="96"/>
    </row>
    <row r="139" spans="1:27" ht="18" x14ac:dyDescent="0.25">
      <c r="A139" s="44"/>
      <c r="B139" s="152" t="str">
        <f>IFERROR(
    INDEX(
        CHOOSE(
            MATCH($C$1, {"All","Calls","Puts"}, 0),
            Sheet1!BN$10:BN$210,
            Sheet1!AR$10:AR$210,
            Sheet1!AS$10:AS$210
        ),
        MATCH($A139, Sheet1!N$10:N$210, 0)
    ),
"")</f>
        <v/>
      </c>
      <c r="C139" s="152" t="str">
        <f>IFERROR(
    INDEX(
        CHOOSE(
            MATCH($C$1, {"All","Calls","Puts"}, 0),
            Sheet1!BN$213:BN$413,
            Sheet1!AR$213:AR$413,
            Sheet1!AS$213:AS$413
        ),
        MATCH($A139, Sheet1!N$213:N$413, 0)
    ),
"")</f>
        <v/>
      </c>
      <c r="D139" s="152" t="str">
        <f>IFERROR(
    INDEX(
        CHOOSE(
            MATCH($C$1, {"All","Calls","Puts"}, 0),
            Sheet1!BN$416:BN$616,
            Sheet1!AR$416:AR$616,
            Sheet1!AS$416:AS$616
        ),
        MATCH($A139, Sheet1!N$416:N$616, 0)
    ),
"")</f>
        <v/>
      </c>
      <c r="E139" s="152" t="str">
        <f>IFERROR(
    INDEX(
        CHOOSE(
            MATCH($C$1, {"All","Calls","Puts"}, 0),
            Sheet1!BN$619:BN$819,
            Sheet1!AR$619:AR$819,
            Sheet1!AS$619:AS$819
        ),
        MATCH($A139, Sheet1!N$619:N$819, 0)
    ),
"")</f>
        <v/>
      </c>
      <c r="F139" s="152" t="str">
        <f>IFERROR(
    INDEX(
        CHOOSE(
            MATCH($C$1, {"All","Calls","Puts"}, 0),
            Sheet1!BN$822:BN$1022,
            Sheet1!AR$822:AR$1022,
            Sheet1!AS$822:AS$1022
        ),
        MATCH($A139, Sheet1!N$822:N$1022, 0)
    ),
"")</f>
        <v/>
      </c>
      <c r="G139" s="152" t="str">
        <f>IFERROR(
    INDEX(
        CHOOSE(
            MATCH($C$1, {"All","Calls","Puts"}, 0),
            Sheet1!BN$1025:BN$1225,
            Sheet1!AR$1025:AR$1225,
            Sheet1!AS$1025:AS$1225
        ),
        MATCH($A139, Sheet1!N$1025:N$1225, 0)
    ),
"")</f>
        <v/>
      </c>
      <c r="H139" s="152" t="str">
        <f>IFERROR(
    INDEX(
        CHOOSE(
            MATCH($C$1, {"All","Calls","Puts"}, 0),
            Sheet1!BN$1228:BN$1428,
            Sheet1!AR$1228:AR$1428,
            Sheet1!AS$1228:AS$1428
        ),
        MATCH($A139, Sheet1!N$1228:N$1428, 0)
    ),
"")</f>
        <v/>
      </c>
      <c r="I139" s="152" t="str">
        <f>IFERROR(
    INDEX(
        CHOOSE(
            MATCH($C$1, {"All","Calls","Puts"}, 0),
            Sheet1!BN$1431:BN$1631,
            Sheet1!AR$1431:AR$1631,
            Sheet1!AS$1431:AS$1631
        ),
        MATCH($A139, Sheet1!N$1431:N$1631, 0)
    ),
"")</f>
        <v/>
      </c>
      <c r="J139" s="73" t="str">
        <f t="shared" si="10"/>
        <v/>
      </c>
      <c r="K139" s="98"/>
      <c r="L139" s="131">
        <f>IFERROR(MIN(0,INDEX(Sheet1!$AD$10:$AD$999,MATCH(A139,Sheet1!$N$10:$N$999,0))),0)</f>
        <v>0</v>
      </c>
      <c r="M139" s="136">
        <f>IFERROR(MAX(0,INDEX(Sheet1!$AE$10:$AE$999,MATCH(A139,Sheet1!$N$10:$N$999,0))),0)</f>
        <v>0</v>
      </c>
      <c r="N139" s="111" t="str">
        <f t="shared" si="11"/>
        <v/>
      </c>
      <c r="O139" s="138">
        <f>IFERROR(MIN(0,INDEX(Sheet1!$AP$10:$AP$999,MATCH(A139,Sheet1!$N$10:$N$999,0))),0)</f>
        <v>0</v>
      </c>
      <c r="P139" s="143">
        <f>IFERROR(MAX(0,INDEX(Sheet1!$AO$10:$AO$999,MATCH(A139,Sheet1!$N$10:$N$999,0))),0)</f>
        <v>0</v>
      </c>
      <c r="Q139" s="111" t="str">
        <f t="shared" si="12"/>
        <v/>
      </c>
      <c r="R139" s="140">
        <f>IFERROR(MIN(0,INDEX(Sheet1!$BK$10:$BK$999,MATCH(A139,Sheet1!$N$10:$N$999,0))),0)</f>
        <v>0</v>
      </c>
      <c r="S139" s="141">
        <f>IFERROR(MAX(0,INDEX(Sheet1!$BK$10:$BK$999,MATCH(A139,Sheet1!$N$10:$N$999,0))),0)</f>
        <v>0</v>
      </c>
      <c r="T139" s="111" t="str">
        <f t="shared" si="13"/>
        <v/>
      </c>
      <c r="AA139" s="96"/>
    </row>
    <row r="140" spans="1:27" ht="18" x14ac:dyDescent="0.25">
      <c r="A140" s="44"/>
      <c r="B140" s="152" t="str">
        <f>IFERROR(
    INDEX(
        CHOOSE(
            MATCH($C$1, {"All","Calls","Puts"}, 0),
            Sheet1!BN$10:BN$210,
            Sheet1!AR$10:AR$210,
            Sheet1!AS$10:AS$210
        ),
        MATCH($A140, Sheet1!N$10:N$210, 0)
    ),
"")</f>
        <v/>
      </c>
      <c r="C140" s="152" t="str">
        <f>IFERROR(
    INDEX(
        CHOOSE(
            MATCH($C$1, {"All","Calls","Puts"}, 0),
            Sheet1!BN$213:BN$413,
            Sheet1!AR$213:AR$413,
            Sheet1!AS$213:AS$413
        ),
        MATCH($A140, Sheet1!N$213:N$413, 0)
    ),
"")</f>
        <v/>
      </c>
      <c r="D140" s="152" t="str">
        <f>IFERROR(
    INDEX(
        CHOOSE(
            MATCH($C$1, {"All","Calls","Puts"}, 0),
            Sheet1!BN$416:BN$616,
            Sheet1!AR$416:AR$616,
            Sheet1!AS$416:AS$616
        ),
        MATCH($A140, Sheet1!N$416:N$616, 0)
    ),
"")</f>
        <v/>
      </c>
      <c r="E140" s="152" t="str">
        <f>IFERROR(
    INDEX(
        CHOOSE(
            MATCH($C$1, {"All","Calls","Puts"}, 0),
            Sheet1!BN$619:BN$819,
            Sheet1!AR$619:AR$819,
            Sheet1!AS$619:AS$819
        ),
        MATCH($A140, Sheet1!N$619:N$819, 0)
    ),
"")</f>
        <v/>
      </c>
      <c r="F140" s="152" t="str">
        <f>IFERROR(
    INDEX(
        CHOOSE(
            MATCH($C$1, {"All","Calls","Puts"}, 0),
            Sheet1!BN$822:BN$1022,
            Sheet1!AR$822:AR$1022,
            Sheet1!AS$822:AS$1022
        ),
        MATCH($A140, Sheet1!N$822:N$1022, 0)
    ),
"")</f>
        <v/>
      </c>
      <c r="G140" s="152" t="str">
        <f>IFERROR(
    INDEX(
        CHOOSE(
            MATCH($C$1, {"All","Calls","Puts"}, 0),
            Sheet1!BN$1025:BN$1225,
            Sheet1!AR$1025:AR$1225,
            Sheet1!AS$1025:AS$1225
        ),
        MATCH($A140, Sheet1!N$1025:N$1225, 0)
    ),
"")</f>
        <v/>
      </c>
      <c r="H140" s="152" t="str">
        <f>IFERROR(
    INDEX(
        CHOOSE(
            MATCH($C$1, {"All","Calls","Puts"}, 0),
            Sheet1!BN$1228:BN$1428,
            Sheet1!AR$1228:AR$1428,
            Sheet1!AS$1228:AS$1428
        ),
        MATCH($A140, Sheet1!N$1228:N$1428, 0)
    ),
"")</f>
        <v/>
      </c>
      <c r="I140" s="152" t="str">
        <f>IFERROR(
    INDEX(
        CHOOSE(
            MATCH($C$1, {"All","Calls","Puts"}, 0),
            Sheet1!BN$1431:BN$1631,
            Sheet1!AR$1431:AR$1631,
            Sheet1!AS$1431:AS$1631
        ),
        MATCH($A140, Sheet1!N$1431:N$1631, 0)
    ),
"")</f>
        <v/>
      </c>
      <c r="J140" s="73" t="str">
        <f t="shared" si="10"/>
        <v/>
      </c>
      <c r="K140" s="98"/>
      <c r="L140" s="131">
        <f>IFERROR(MIN(0,INDEX(Sheet1!$AD$10:$AD$999,MATCH(A140,Sheet1!$N$10:$N$999,0))),0)</f>
        <v>0</v>
      </c>
      <c r="M140" s="136">
        <f>IFERROR(MAX(0,INDEX(Sheet1!$AE$10:$AE$999,MATCH(A140,Sheet1!$N$10:$N$999,0))),0)</f>
        <v>0</v>
      </c>
      <c r="N140" s="111" t="str">
        <f t="shared" si="11"/>
        <v/>
      </c>
      <c r="O140" s="138">
        <f>IFERROR(MIN(0,INDEX(Sheet1!$AP$10:$AP$999,MATCH(A140,Sheet1!$N$10:$N$999,0))),0)</f>
        <v>0</v>
      </c>
      <c r="P140" s="143">
        <f>IFERROR(MAX(0,INDEX(Sheet1!$AO$10:$AO$999,MATCH(A140,Sheet1!$N$10:$N$999,0))),0)</f>
        <v>0</v>
      </c>
      <c r="Q140" s="111" t="str">
        <f t="shared" si="12"/>
        <v/>
      </c>
      <c r="R140" s="140">
        <f>IFERROR(MIN(0,INDEX(Sheet1!$BK$10:$BK$999,MATCH(A140,Sheet1!$N$10:$N$999,0))),0)</f>
        <v>0</v>
      </c>
      <c r="S140" s="141">
        <f>IFERROR(MAX(0,INDEX(Sheet1!$BK$10:$BK$999,MATCH(A140,Sheet1!$N$10:$N$999,0))),0)</f>
        <v>0</v>
      </c>
      <c r="T140" s="111" t="str">
        <f t="shared" si="13"/>
        <v/>
      </c>
      <c r="AA140" s="96"/>
    </row>
    <row r="141" spans="1:27" ht="18" x14ac:dyDescent="0.25">
      <c r="A141" s="44"/>
      <c r="B141" s="152" t="str">
        <f>IFERROR(
    INDEX(
        CHOOSE(
            MATCH($C$1, {"All","Calls","Puts"}, 0),
            Sheet1!BN$10:BN$210,
            Sheet1!AR$10:AR$210,
            Sheet1!AS$10:AS$210
        ),
        MATCH($A141, Sheet1!N$10:N$210, 0)
    ),
"")</f>
        <v/>
      </c>
      <c r="C141" s="152" t="str">
        <f>IFERROR(
    INDEX(
        CHOOSE(
            MATCH($C$1, {"All","Calls","Puts"}, 0),
            Sheet1!BN$213:BN$413,
            Sheet1!AR$213:AR$413,
            Sheet1!AS$213:AS$413
        ),
        MATCH($A141, Sheet1!N$213:N$413, 0)
    ),
"")</f>
        <v/>
      </c>
      <c r="D141" s="152" t="str">
        <f>IFERROR(
    INDEX(
        CHOOSE(
            MATCH($C$1, {"All","Calls","Puts"}, 0),
            Sheet1!BN$416:BN$616,
            Sheet1!AR$416:AR$616,
            Sheet1!AS$416:AS$616
        ),
        MATCH($A141, Sheet1!N$416:N$616, 0)
    ),
"")</f>
        <v/>
      </c>
      <c r="E141" s="152" t="str">
        <f>IFERROR(
    INDEX(
        CHOOSE(
            MATCH($C$1, {"All","Calls","Puts"}, 0),
            Sheet1!BN$619:BN$819,
            Sheet1!AR$619:AR$819,
            Sheet1!AS$619:AS$819
        ),
        MATCH($A141, Sheet1!N$619:N$819, 0)
    ),
"")</f>
        <v/>
      </c>
      <c r="F141" s="152" t="str">
        <f>IFERROR(
    INDEX(
        CHOOSE(
            MATCH($C$1, {"All","Calls","Puts"}, 0),
            Sheet1!BN$822:BN$1022,
            Sheet1!AR$822:AR$1022,
            Sheet1!AS$822:AS$1022
        ),
        MATCH($A141, Sheet1!N$822:N$1022, 0)
    ),
"")</f>
        <v/>
      </c>
      <c r="G141" s="152" t="str">
        <f>IFERROR(
    INDEX(
        CHOOSE(
            MATCH($C$1, {"All","Calls","Puts"}, 0),
            Sheet1!BN$1025:BN$1225,
            Sheet1!AR$1025:AR$1225,
            Sheet1!AS$1025:AS$1225
        ),
        MATCH($A141, Sheet1!N$1025:N$1225, 0)
    ),
"")</f>
        <v/>
      </c>
      <c r="H141" s="152" t="str">
        <f>IFERROR(
    INDEX(
        CHOOSE(
            MATCH($C$1, {"All","Calls","Puts"}, 0),
            Sheet1!BN$1228:BN$1428,
            Sheet1!AR$1228:AR$1428,
            Sheet1!AS$1228:AS$1428
        ),
        MATCH($A141, Sheet1!N$1228:N$1428, 0)
    ),
"")</f>
        <v/>
      </c>
      <c r="I141" s="152" t="str">
        <f>IFERROR(
    INDEX(
        CHOOSE(
            MATCH($C$1, {"All","Calls","Puts"}, 0),
            Sheet1!BN$1431:BN$1631,
            Sheet1!AR$1431:AR$1631,
            Sheet1!AS$1431:AS$1631
        ),
        MATCH($A141, Sheet1!N$1431:N$1631, 0)
    ),
"")</f>
        <v/>
      </c>
      <c r="J141" s="73" t="str">
        <f t="shared" si="10"/>
        <v/>
      </c>
      <c r="K141" s="98"/>
      <c r="L141" s="131">
        <f>IFERROR(MIN(0,INDEX(Sheet1!$AD$10:$AD$999,MATCH(A141,Sheet1!$N$10:$N$999,0))),0)</f>
        <v>0</v>
      </c>
      <c r="M141" s="136">
        <f>IFERROR(MAX(0,INDEX(Sheet1!$AE$10:$AE$999,MATCH(A141,Sheet1!$N$10:$N$999,0))),0)</f>
        <v>0</v>
      </c>
      <c r="N141" s="111" t="str">
        <f t="shared" si="11"/>
        <v/>
      </c>
      <c r="O141" s="138">
        <f>IFERROR(MIN(0,INDEX(Sheet1!$AP$10:$AP$999,MATCH(A141,Sheet1!$N$10:$N$999,0))),0)</f>
        <v>0</v>
      </c>
      <c r="P141" s="143">
        <f>IFERROR(MAX(0,INDEX(Sheet1!$AO$10:$AO$999,MATCH(A141,Sheet1!$N$10:$N$999,0))),0)</f>
        <v>0</v>
      </c>
      <c r="Q141" s="111" t="str">
        <f t="shared" si="12"/>
        <v/>
      </c>
      <c r="R141" s="140">
        <f>IFERROR(MIN(0,INDEX(Sheet1!$BK$10:$BK$999,MATCH(A141,Sheet1!$N$10:$N$999,0))),0)</f>
        <v>0</v>
      </c>
      <c r="S141" s="141">
        <f>IFERROR(MAX(0,INDEX(Sheet1!$BK$10:$BK$999,MATCH(A141,Sheet1!$N$10:$N$999,0))),0)</f>
        <v>0</v>
      </c>
      <c r="T141" s="111" t="str">
        <f t="shared" si="13"/>
        <v/>
      </c>
      <c r="AA141" s="96"/>
    </row>
    <row r="142" spans="1:27" ht="18" x14ac:dyDescent="0.25">
      <c r="A142" s="44"/>
      <c r="B142" s="152" t="str">
        <f>IFERROR(
    INDEX(
        CHOOSE(
            MATCH($C$1, {"All","Calls","Puts"}, 0),
            Sheet1!BN$10:BN$210,
            Sheet1!AR$10:AR$210,
            Sheet1!AS$10:AS$210
        ),
        MATCH($A142, Sheet1!N$10:N$210, 0)
    ),
"")</f>
        <v/>
      </c>
      <c r="C142" s="152" t="str">
        <f>IFERROR(
    INDEX(
        CHOOSE(
            MATCH($C$1, {"All","Calls","Puts"}, 0),
            Sheet1!BN$213:BN$413,
            Sheet1!AR$213:AR$413,
            Sheet1!AS$213:AS$413
        ),
        MATCH($A142, Sheet1!N$213:N$413, 0)
    ),
"")</f>
        <v/>
      </c>
      <c r="D142" s="152" t="str">
        <f>IFERROR(
    INDEX(
        CHOOSE(
            MATCH($C$1, {"All","Calls","Puts"}, 0),
            Sheet1!BN$416:BN$616,
            Sheet1!AR$416:AR$616,
            Sheet1!AS$416:AS$616
        ),
        MATCH($A142, Sheet1!N$416:N$616, 0)
    ),
"")</f>
        <v/>
      </c>
      <c r="E142" s="152" t="str">
        <f>IFERROR(
    INDEX(
        CHOOSE(
            MATCH($C$1, {"All","Calls","Puts"}, 0),
            Sheet1!BN$619:BN$819,
            Sheet1!AR$619:AR$819,
            Sheet1!AS$619:AS$819
        ),
        MATCH($A142, Sheet1!N$619:N$819, 0)
    ),
"")</f>
        <v/>
      </c>
      <c r="F142" s="152" t="str">
        <f>IFERROR(
    INDEX(
        CHOOSE(
            MATCH($C$1, {"All","Calls","Puts"}, 0),
            Sheet1!BN$822:BN$1022,
            Sheet1!AR$822:AR$1022,
            Sheet1!AS$822:AS$1022
        ),
        MATCH($A142, Sheet1!N$822:N$1022, 0)
    ),
"")</f>
        <v/>
      </c>
      <c r="G142" s="152" t="str">
        <f>IFERROR(
    INDEX(
        CHOOSE(
            MATCH($C$1, {"All","Calls","Puts"}, 0),
            Sheet1!BN$1025:BN$1225,
            Sheet1!AR$1025:AR$1225,
            Sheet1!AS$1025:AS$1225
        ),
        MATCH($A142, Sheet1!N$1025:N$1225, 0)
    ),
"")</f>
        <v/>
      </c>
      <c r="H142" s="152" t="str">
        <f>IFERROR(
    INDEX(
        CHOOSE(
            MATCH($C$1, {"All","Calls","Puts"}, 0),
            Sheet1!BN$1228:BN$1428,
            Sheet1!AR$1228:AR$1428,
            Sheet1!AS$1228:AS$1428
        ),
        MATCH($A142, Sheet1!N$1228:N$1428, 0)
    ),
"")</f>
        <v/>
      </c>
      <c r="I142" s="152" t="str">
        <f>IFERROR(
    INDEX(
        CHOOSE(
            MATCH($C$1, {"All","Calls","Puts"}, 0),
            Sheet1!BN$1431:BN$1631,
            Sheet1!AR$1431:AR$1631,
            Sheet1!AS$1431:AS$1631
        ),
        MATCH($A142, Sheet1!N$1431:N$1631, 0)
    ),
"")</f>
        <v/>
      </c>
      <c r="J142" s="73" t="str">
        <f t="shared" si="10"/>
        <v/>
      </c>
      <c r="K142" s="98"/>
      <c r="L142" s="131">
        <f>IFERROR(MIN(0,INDEX(Sheet1!$AD$10:$AD$999,MATCH(A142,Sheet1!$N$10:$N$999,0))),0)</f>
        <v>0</v>
      </c>
      <c r="M142" s="136">
        <f>IFERROR(MAX(0,INDEX(Sheet1!$AE$10:$AE$999,MATCH(A142,Sheet1!$N$10:$N$999,0))),0)</f>
        <v>0</v>
      </c>
      <c r="N142" s="111" t="str">
        <f t="shared" si="11"/>
        <v/>
      </c>
      <c r="O142" s="138">
        <f>IFERROR(MIN(0,INDEX(Sheet1!$AP$10:$AP$999,MATCH(A142,Sheet1!$N$10:$N$999,0))),0)</f>
        <v>0</v>
      </c>
      <c r="P142" s="143">
        <f>IFERROR(MAX(0,INDEX(Sheet1!$AO$10:$AO$999,MATCH(A142,Sheet1!$N$10:$N$999,0))),0)</f>
        <v>0</v>
      </c>
      <c r="Q142" s="111" t="str">
        <f t="shared" si="12"/>
        <v/>
      </c>
      <c r="R142" s="140">
        <f>IFERROR(MIN(0,INDEX(Sheet1!$BK$10:$BK$999,MATCH(A142,Sheet1!$N$10:$N$999,0))),0)</f>
        <v>0</v>
      </c>
      <c r="S142" s="141">
        <f>IFERROR(MAX(0,INDEX(Sheet1!$BK$10:$BK$999,MATCH(A142,Sheet1!$N$10:$N$999,0))),0)</f>
        <v>0</v>
      </c>
      <c r="T142" s="111" t="str">
        <f t="shared" si="13"/>
        <v/>
      </c>
      <c r="AA142" s="96"/>
    </row>
    <row r="143" spans="1:27" ht="18" x14ac:dyDescent="0.25">
      <c r="A143" s="44"/>
      <c r="B143" s="152" t="str">
        <f>IFERROR(
    INDEX(
        CHOOSE(
            MATCH($C$1, {"All","Calls","Puts"}, 0),
            Sheet1!BN$10:BN$210,
            Sheet1!AR$10:AR$210,
            Sheet1!AS$10:AS$210
        ),
        MATCH($A143, Sheet1!N$10:N$210, 0)
    ),
"")</f>
        <v/>
      </c>
      <c r="C143" s="152" t="str">
        <f>IFERROR(
    INDEX(
        CHOOSE(
            MATCH($C$1, {"All","Calls","Puts"}, 0),
            Sheet1!BN$213:BN$413,
            Sheet1!AR$213:AR$413,
            Sheet1!AS$213:AS$413
        ),
        MATCH($A143, Sheet1!N$213:N$413, 0)
    ),
"")</f>
        <v/>
      </c>
      <c r="D143" s="152" t="str">
        <f>IFERROR(
    INDEX(
        CHOOSE(
            MATCH($C$1, {"All","Calls","Puts"}, 0),
            Sheet1!BN$416:BN$616,
            Sheet1!AR$416:AR$616,
            Sheet1!AS$416:AS$616
        ),
        MATCH($A143, Sheet1!N$416:N$616, 0)
    ),
"")</f>
        <v/>
      </c>
      <c r="E143" s="152" t="str">
        <f>IFERROR(
    INDEX(
        CHOOSE(
            MATCH($C$1, {"All","Calls","Puts"}, 0),
            Sheet1!BN$619:BN$819,
            Sheet1!AR$619:AR$819,
            Sheet1!AS$619:AS$819
        ),
        MATCH($A143, Sheet1!N$619:N$819, 0)
    ),
"")</f>
        <v/>
      </c>
      <c r="F143" s="152" t="str">
        <f>IFERROR(
    INDEX(
        CHOOSE(
            MATCH($C$1, {"All","Calls","Puts"}, 0),
            Sheet1!BN$822:BN$1022,
            Sheet1!AR$822:AR$1022,
            Sheet1!AS$822:AS$1022
        ),
        MATCH($A143, Sheet1!N$822:N$1022, 0)
    ),
"")</f>
        <v/>
      </c>
      <c r="G143" s="152" t="str">
        <f>IFERROR(
    INDEX(
        CHOOSE(
            MATCH($C$1, {"All","Calls","Puts"}, 0),
            Sheet1!BN$1025:BN$1225,
            Sheet1!AR$1025:AR$1225,
            Sheet1!AS$1025:AS$1225
        ),
        MATCH($A143, Sheet1!N$1025:N$1225, 0)
    ),
"")</f>
        <v/>
      </c>
      <c r="H143" s="152" t="str">
        <f>IFERROR(
    INDEX(
        CHOOSE(
            MATCH($C$1, {"All","Calls","Puts"}, 0),
            Sheet1!BN$1228:BN$1428,
            Sheet1!AR$1228:AR$1428,
            Sheet1!AS$1228:AS$1428
        ),
        MATCH($A143, Sheet1!N$1228:N$1428, 0)
    ),
"")</f>
        <v/>
      </c>
      <c r="I143" s="152" t="str">
        <f>IFERROR(
    INDEX(
        CHOOSE(
            MATCH($C$1, {"All","Calls","Puts"}, 0),
            Sheet1!BN$1431:BN$1631,
            Sheet1!AR$1431:AR$1631,
            Sheet1!AS$1431:AS$1631
        ),
        MATCH($A143, Sheet1!N$1431:N$1631, 0)
    ),
"")</f>
        <v/>
      </c>
      <c r="J143" s="73" t="str">
        <f t="shared" si="10"/>
        <v/>
      </c>
      <c r="K143" s="98"/>
      <c r="L143" s="131">
        <f>IFERROR(MIN(0,INDEX(Sheet1!$AD$10:$AD$999,MATCH(A143,Sheet1!$N$10:$N$999,0))),0)</f>
        <v>0</v>
      </c>
      <c r="M143" s="136">
        <f>IFERROR(MAX(0,INDEX(Sheet1!$AE$10:$AE$999,MATCH(A143,Sheet1!$N$10:$N$999,0))),0)</f>
        <v>0</v>
      </c>
      <c r="N143" s="111" t="str">
        <f t="shared" si="11"/>
        <v/>
      </c>
      <c r="O143" s="138">
        <f>IFERROR(MIN(0,INDEX(Sheet1!$AP$10:$AP$999,MATCH(A143,Sheet1!$N$10:$N$999,0))),0)</f>
        <v>0</v>
      </c>
      <c r="P143" s="143">
        <f>IFERROR(MAX(0,INDEX(Sheet1!$AO$10:$AO$999,MATCH(A143,Sheet1!$N$10:$N$999,0))),0)</f>
        <v>0</v>
      </c>
      <c r="Q143" s="111" t="str">
        <f t="shared" si="12"/>
        <v/>
      </c>
      <c r="R143" s="140">
        <f>IFERROR(MIN(0,INDEX(Sheet1!$BK$10:$BK$999,MATCH(A143,Sheet1!$N$10:$N$999,0))),0)</f>
        <v>0</v>
      </c>
      <c r="S143" s="141">
        <f>IFERROR(MAX(0,INDEX(Sheet1!$BK$10:$BK$999,MATCH(A143,Sheet1!$N$10:$N$999,0))),0)</f>
        <v>0</v>
      </c>
      <c r="T143" s="111" t="str">
        <f t="shared" si="13"/>
        <v/>
      </c>
      <c r="AA143" s="96"/>
    </row>
    <row r="144" spans="1:27" ht="18" x14ac:dyDescent="0.25">
      <c r="A144" s="44"/>
      <c r="B144" s="152" t="str">
        <f>IFERROR(
    INDEX(
        CHOOSE(
            MATCH($C$1, {"All","Calls","Puts"}, 0),
            Sheet1!BN$10:BN$210,
            Sheet1!AR$10:AR$210,
            Sheet1!AS$10:AS$210
        ),
        MATCH($A144, Sheet1!N$10:N$210, 0)
    ),
"")</f>
        <v/>
      </c>
      <c r="C144" s="152" t="str">
        <f>IFERROR(
    INDEX(
        CHOOSE(
            MATCH($C$1, {"All","Calls","Puts"}, 0),
            Sheet1!BN$213:BN$413,
            Sheet1!AR$213:AR$413,
            Sheet1!AS$213:AS$413
        ),
        MATCH($A144, Sheet1!N$213:N$413, 0)
    ),
"")</f>
        <v/>
      </c>
      <c r="D144" s="152" t="str">
        <f>IFERROR(
    INDEX(
        CHOOSE(
            MATCH($C$1, {"All","Calls","Puts"}, 0),
            Sheet1!BN$416:BN$616,
            Sheet1!AR$416:AR$616,
            Sheet1!AS$416:AS$616
        ),
        MATCH($A144, Sheet1!N$416:N$616, 0)
    ),
"")</f>
        <v/>
      </c>
      <c r="E144" s="152" t="str">
        <f>IFERROR(
    INDEX(
        CHOOSE(
            MATCH($C$1, {"All","Calls","Puts"}, 0),
            Sheet1!BN$619:BN$819,
            Sheet1!AR$619:AR$819,
            Sheet1!AS$619:AS$819
        ),
        MATCH($A144, Sheet1!N$619:N$819, 0)
    ),
"")</f>
        <v/>
      </c>
      <c r="F144" s="152" t="str">
        <f>IFERROR(
    INDEX(
        CHOOSE(
            MATCH($C$1, {"All","Calls","Puts"}, 0),
            Sheet1!BN$822:BN$1022,
            Sheet1!AR$822:AR$1022,
            Sheet1!AS$822:AS$1022
        ),
        MATCH($A144, Sheet1!N$822:N$1022, 0)
    ),
"")</f>
        <v/>
      </c>
      <c r="G144" s="152" t="str">
        <f>IFERROR(
    INDEX(
        CHOOSE(
            MATCH($C$1, {"All","Calls","Puts"}, 0),
            Sheet1!BN$1025:BN$1225,
            Sheet1!AR$1025:AR$1225,
            Sheet1!AS$1025:AS$1225
        ),
        MATCH($A144, Sheet1!N$1025:N$1225, 0)
    ),
"")</f>
        <v/>
      </c>
      <c r="H144" s="152" t="str">
        <f>IFERROR(
    INDEX(
        CHOOSE(
            MATCH($C$1, {"All","Calls","Puts"}, 0),
            Sheet1!BN$1228:BN$1428,
            Sheet1!AR$1228:AR$1428,
            Sheet1!AS$1228:AS$1428
        ),
        MATCH($A144, Sheet1!N$1228:N$1428, 0)
    ),
"")</f>
        <v/>
      </c>
      <c r="I144" s="152" t="str">
        <f>IFERROR(
    INDEX(
        CHOOSE(
            MATCH($C$1, {"All","Calls","Puts"}, 0),
            Sheet1!BN$1431:BN$1631,
            Sheet1!AR$1431:AR$1631,
            Sheet1!AS$1431:AS$1631
        ),
        MATCH($A144, Sheet1!N$1431:N$1631, 0)
    ),
"")</f>
        <v/>
      </c>
      <c r="J144" s="73" t="str">
        <f t="shared" si="10"/>
        <v/>
      </c>
      <c r="K144" s="98"/>
      <c r="L144" s="131">
        <f>IFERROR(MIN(0,INDEX(Sheet1!$AD$10:$AD$999,MATCH(A144,Sheet1!$N$10:$N$999,0))),0)</f>
        <v>0</v>
      </c>
      <c r="M144" s="136">
        <f>IFERROR(MAX(0,INDEX(Sheet1!$AE$10:$AE$999,MATCH(A144,Sheet1!$N$10:$N$999,0))),0)</f>
        <v>0</v>
      </c>
      <c r="N144" s="111" t="str">
        <f t="shared" si="11"/>
        <v/>
      </c>
      <c r="O144" s="138">
        <f>IFERROR(MIN(0,INDEX(Sheet1!$AP$10:$AP$999,MATCH(A144,Sheet1!$N$10:$N$999,0))),0)</f>
        <v>0</v>
      </c>
      <c r="P144" s="143">
        <f>IFERROR(MAX(0,INDEX(Sheet1!$AO$10:$AO$999,MATCH(A144,Sheet1!$N$10:$N$999,0))),0)</f>
        <v>0</v>
      </c>
      <c r="Q144" s="111" t="str">
        <f t="shared" si="12"/>
        <v/>
      </c>
      <c r="R144" s="140">
        <f>IFERROR(MIN(0,INDEX(Sheet1!$BK$10:$BK$999,MATCH(A144,Sheet1!$N$10:$N$999,0))),0)</f>
        <v>0</v>
      </c>
      <c r="S144" s="141">
        <f>IFERROR(MAX(0,INDEX(Sheet1!$BK$10:$BK$999,MATCH(A144,Sheet1!$N$10:$N$999,0))),0)</f>
        <v>0</v>
      </c>
      <c r="T144" s="111" t="str">
        <f t="shared" si="13"/>
        <v/>
      </c>
      <c r="AA144" s="96"/>
    </row>
    <row r="145" spans="1:27" ht="18" x14ac:dyDescent="0.25">
      <c r="A145" s="44"/>
      <c r="B145" s="152" t="str">
        <f>IFERROR(
    INDEX(
        CHOOSE(
            MATCH($C$1, {"All","Calls","Puts"}, 0),
            Sheet1!BN$10:BN$210,
            Sheet1!AR$10:AR$210,
            Sheet1!AS$10:AS$210
        ),
        MATCH($A145, Sheet1!N$10:N$210, 0)
    ),
"")</f>
        <v/>
      </c>
      <c r="C145" s="152" t="str">
        <f>IFERROR(
    INDEX(
        CHOOSE(
            MATCH($C$1, {"All","Calls","Puts"}, 0),
            Sheet1!BN$213:BN$413,
            Sheet1!AR$213:AR$413,
            Sheet1!AS$213:AS$413
        ),
        MATCH($A145, Sheet1!N$213:N$413, 0)
    ),
"")</f>
        <v/>
      </c>
      <c r="D145" s="152" t="str">
        <f>IFERROR(
    INDEX(
        CHOOSE(
            MATCH($C$1, {"All","Calls","Puts"}, 0),
            Sheet1!BN$416:BN$616,
            Sheet1!AR$416:AR$616,
            Sheet1!AS$416:AS$616
        ),
        MATCH($A145, Sheet1!N$416:N$616, 0)
    ),
"")</f>
        <v/>
      </c>
      <c r="E145" s="152" t="str">
        <f>IFERROR(
    INDEX(
        CHOOSE(
            MATCH($C$1, {"All","Calls","Puts"}, 0),
            Sheet1!BN$619:BN$819,
            Sheet1!AR$619:AR$819,
            Sheet1!AS$619:AS$819
        ),
        MATCH($A145, Sheet1!N$619:N$819, 0)
    ),
"")</f>
        <v/>
      </c>
      <c r="F145" s="152" t="str">
        <f>IFERROR(
    INDEX(
        CHOOSE(
            MATCH($C$1, {"All","Calls","Puts"}, 0),
            Sheet1!BN$822:BN$1022,
            Sheet1!AR$822:AR$1022,
            Sheet1!AS$822:AS$1022
        ),
        MATCH($A145, Sheet1!N$822:N$1022, 0)
    ),
"")</f>
        <v/>
      </c>
      <c r="G145" s="152" t="str">
        <f>IFERROR(
    INDEX(
        CHOOSE(
            MATCH($C$1, {"All","Calls","Puts"}, 0),
            Sheet1!BN$1025:BN$1225,
            Sheet1!AR$1025:AR$1225,
            Sheet1!AS$1025:AS$1225
        ),
        MATCH($A145, Sheet1!N$1025:N$1225, 0)
    ),
"")</f>
        <v/>
      </c>
      <c r="H145" s="152" t="str">
        <f>IFERROR(
    INDEX(
        CHOOSE(
            MATCH($C$1, {"All","Calls","Puts"}, 0),
            Sheet1!BN$1228:BN$1428,
            Sheet1!AR$1228:AR$1428,
            Sheet1!AS$1228:AS$1428
        ),
        MATCH($A145, Sheet1!N$1228:N$1428, 0)
    ),
"")</f>
        <v/>
      </c>
      <c r="I145" s="152" t="str">
        <f>IFERROR(
    INDEX(
        CHOOSE(
            MATCH($C$1, {"All","Calls","Puts"}, 0),
            Sheet1!BN$1431:BN$1631,
            Sheet1!AR$1431:AR$1631,
            Sheet1!AS$1431:AS$1631
        ),
        MATCH($A145, Sheet1!N$1431:N$1631, 0)
    ),
"")</f>
        <v/>
      </c>
      <c r="J145" s="73" t="str">
        <f t="shared" si="10"/>
        <v/>
      </c>
      <c r="K145" s="98"/>
      <c r="L145" s="131">
        <f>IFERROR(MIN(0,INDEX(Sheet1!$AD$10:$AD$999,MATCH(A145,Sheet1!$N$10:$N$999,0))),0)</f>
        <v>0</v>
      </c>
      <c r="M145" s="136">
        <f>IFERROR(MAX(0,INDEX(Sheet1!$AE$10:$AE$999,MATCH(A145,Sheet1!$N$10:$N$999,0))),0)</f>
        <v>0</v>
      </c>
      <c r="N145" s="111" t="str">
        <f t="shared" si="11"/>
        <v/>
      </c>
      <c r="O145" s="139">
        <f>IFERROR(MIN(0,INDEX(Sheet1!$AP$10:$AP$999,MATCH(A145,Sheet1!$N$10:$N$999,0))),0)</f>
        <v>0</v>
      </c>
      <c r="P145" s="143">
        <f>IFERROR(MAX(0,INDEX(Sheet1!$AO$10:$AO$999,MATCH(A145,Sheet1!$N$10:$N$999,0))),0)</f>
        <v>0</v>
      </c>
      <c r="Q145" s="111" t="str">
        <f t="shared" si="12"/>
        <v/>
      </c>
      <c r="R145" s="140">
        <f>IFERROR(MIN(0,INDEX(Sheet1!$BK$10:$BK$999,MATCH(A145,Sheet1!$N$10:$N$999,0))),0)</f>
        <v>0</v>
      </c>
      <c r="S145" s="141">
        <f>IFERROR(MAX(0,INDEX(Sheet1!$BK$10:$BK$999,MATCH(A145,Sheet1!$N$10:$N$999,0))),0)</f>
        <v>0</v>
      </c>
      <c r="T145" s="116"/>
      <c r="AA145" s="96"/>
    </row>
    <row r="146" spans="1:27" ht="18" x14ac:dyDescent="0.25">
      <c r="A146" s="44"/>
      <c r="B146" s="152" t="str">
        <f>IFERROR(
    INDEX(
        CHOOSE(
            MATCH($C$1, {"All","Calls","Puts"}, 0),
            Sheet1!BN$10:BN$210,
            Sheet1!AR$10:AR$210,
            Sheet1!AS$10:AS$210
        ),
        MATCH($A146, Sheet1!N$10:N$210, 0)
    ),
"")</f>
        <v/>
      </c>
      <c r="C146" s="152" t="str">
        <f>IFERROR(
    INDEX(
        CHOOSE(
            MATCH($C$1, {"All","Calls","Puts"}, 0),
            Sheet1!BN$213:BN$413,
            Sheet1!AR$213:AR$413,
            Sheet1!AS$213:AS$413
        ),
        MATCH($A146, Sheet1!N$213:N$413, 0)
    ),
"")</f>
        <v/>
      </c>
      <c r="D146" s="152" t="str">
        <f>IFERROR(
    INDEX(
        CHOOSE(
            MATCH($C$1, {"All","Calls","Puts"}, 0),
            Sheet1!BN$416:BN$616,
            Sheet1!AR$416:AR$616,
            Sheet1!AS$416:AS$616
        ),
        MATCH($A146, Sheet1!N$416:N$616, 0)
    ),
"")</f>
        <v/>
      </c>
      <c r="E146" s="152" t="str">
        <f>IFERROR(
    INDEX(
        CHOOSE(
            MATCH($C$1, {"All","Calls","Puts"}, 0),
            Sheet1!BN$619:BN$819,
            Sheet1!AR$619:AR$819,
            Sheet1!AS$619:AS$819
        ),
        MATCH($A146, Sheet1!N$619:N$819, 0)
    ),
"")</f>
        <v/>
      </c>
      <c r="F146" s="152" t="str">
        <f>IFERROR(
    INDEX(
        CHOOSE(
            MATCH($C$1, {"All","Calls","Puts"}, 0),
            Sheet1!BN$822:BN$1022,
            Sheet1!AR$822:AR$1022,
            Sheet1!AS$822:AS$1022
        ),
        MATCH($A146, Sheet1!N$822:N$1022, 0)
    ),
"")</f>
        <v/>
      </c>
      <c r="G146" s="152" t="str">
        <f>IFERROR(
    INDEX(
        CHOOSE(
            MATCH($C$1, {"All","Calls","Puts"}, 0),
            Sheet1!BN$1025:BN$1225,
            Sheet1!AR$1025:AR$1225,
            Sheet1!AS$1025:AS$1225
        ),
        MATCH($A146, Sheet1!N$1025:N$1225, 0)
    ),
"")</f>
        <v/>
      </c>
      <c r="H146" s="152" t="str">
        <f>IFERROR(
    INDEX(
        CHOOSE(
            MATCH($C$1, {"All","Calls","Puts"}, 0),
            Sheet1!BN$1228:BN$1428,
            Sheet1!AR$1228:AR$1428,
            Sheet1!AS$1228:AS$1428
        ),
        MATCH($A146, Sheet1!N$1228:N$1428, 0)
    ),
"")</f>
        <v/>
      </c>
      <c r="I146" s="152" t="str">
        <f>IFERROR(
    INDEX(
        CHOOSE(
            MATCH($C$1, {"All","Calls","Puts"}, 0),
            Sheet1!BN$1431:BN$1631,
            Sheet1!AR$1431:AR$1631,
            Sheet1!AS$1431:AS$1631
        ),
        MATCH($A146, Sheet1!N$1431:N$1631, 0)
    ),
"")</f>
        <v/>
      </c>
      <c r="J146" s="73" t="str">
        <f t="shared" si="10"/>
        <v/>
      </c>
      <c r="K146" s="98"/>
      <c r="L146" s="131">
        <f>IFERROR(MIN(0,INDEX(Sheet1!$AD$10:$AD$999,MATCH(A146,Sheet1!$N$10:$N$999,0))),0)</f>
        <v>0</v>
      </c>
      <c r="M146" s="136">
        <f>IFERROR(MAX(0,INDEX(Sheet1!$AE$10:$AE$999,MATCH(A146,Sheet1!$N$10:$N$999,0))),0)</f>
        <v>0</v>
      </c>
      <c r="N146" s="111" t="str">
        <f t="shared" si="11"/>
        <v/>
      </c>
      <c r="O146" s="139">
        <f>IFERROR(MIN(0,INDEX(Sheet1!$AP$10:$AP$999,MATCH(A146,Sheet1!$N$10:$N$999,0))),0)</f>
        <v>0</v>
      </c>
      <c r="P146" s="143">
        <f>IFERROR(MAX(0,INDEX(Sheet1!$AO$10:$AO$999,MATCH(A146,Sheet1!$N$10:$N$999,0))),0)</f>
        <v>0</v>
      </c>
      <c r="Q146" s="111" t="str">
        <f t="shared" si="12"/>
        <v/>
      </c>
      <c r="R146" s="140">
        <f>IFERROR(MIN(0,INDEX(Sheet1!$BK$10:$BK$999,MATCH(A146,Sheet1!$N$10:$N$999,0))),0)</f>
        <v>0</v>
      </c>
      <c r="S146" s="141">
        <f>IFERROR(MAX(0,INDEX(Sheet1!$BK$10:$BK$999,MATCH(A146,Sheet1!$N$10:$N$999,0))),0)</f>
        <v>0</v>
      </c>
      <c r="T146" s="116"/>
      <c r="AA146" s="96"/>
    </row>
    <row r="147" spans="1:27" ht="18" x14ac:dyDescent="0.25">
      <c r="A147" s="44"/>
      <c r="B147" s="152" t="str">
        <f>IFERROR(
    INDEX(
        CHOOSE(
            MATCH($C$1, {"All","Calls","Puts"}, 0),
            Sheet1!BN$10:BN$210,
            Sheet1!AR$10:AR$210,
            Sheet1!AS$10:AS$210
        ),
        MATCH($A147, Sheet1!N$10:N$210, 0)
    ),
"")</f>
        <v/>
      </c>
      <c r="C147" s="152" t="str">
        <f>IFERROR(
    INDEX(
        CHOOSE(
            MATCH($C$1, {"All","Calls","Puts"}, 0),
            Sheet1!BN$213:BN$413,
            Sheet1!AR$213:AR$413,
            Sheet1!AS$213:AS$413
        ),
        MATCH($A147, Sheet1!N$213:N$413, 0)
    ),
"")</f>
        <v/>
      </c>
      <c r="D147" s="152" t="str">
        <f>IFERROR(
    INDEX(
        CHOOSE(
            MATCH($C$1, {"All","Calls","Puts"}, 0),
            Sheet1!BN$416:BN$616,
            Sheet1!AR$416:AR$616,
            Sheet1!AS$416:AS$616
        ),
        MATCH($A147, Sheet1!N$416:N$616, 0)
    ),
"")</f>
        <v/>
      </c>
      <c r="E147" s="152" t="str">
        <f>IFERROR(
    INDEX(
        CHOOSE(
            MATCH($C$1, {"All","Calls","Puts"}, 0),
            Sheet1!BN$619:BN$819,
            Sheet1!AR$619:AR$819,
            Sheet1!AS$619:AS$819
        ),
        MATCH($A147, Sheet1!N$619:N$819, 0)
    ),
"")</f>
        <v/>
      </c>
      <c r="F147" s="152" t="str">
        <f>IFERROR(
    INDEX(
        CHOOSE(
            MATCH($C$1, {"All","Calls","Puts"}, 0),
            Sheet1!BN$822:BN$1022,
            Sheet1!AR$822:AR$1022,
            Sheet1!AS$822:AS$1022
        ),
        MATCH($A147, Sheet1!N$822:N$1022, 0)
    ),
"")</f>
        <v/>
      </c>
      <c r="G147" s="152" t="str">
        <f>IFERROR(
    INDEX(
        CHOOSE(
            MATCH($C$1, {"All","Calls","Puts"}, 0),
            Sheet1!BN$1025:BN$1225,
            Sheet1!AR$1025:AR$1225,
            Sheet1!AS$1025:AS$1225
        ),
        MATCH($A147, Sheet1!N$1025:N$1225, 0)
    ),
"")</f>
        <v/>
      </c>
      <c r="H147" s="152" t="str">
        <f>IFERROR(
    INDEX(
        CHOOSE(
            MATCH($C$1, {"All","Calls","Puts"}, 0),
            Sheet1!BN$1228:BN$1428,
            Sheet1!AR$1228:AR$1428,
            Sheet1!AS$1228:AS$1428
        ),
        MATCH($A147, Sheet1!N$1228:N$1428, 0)
    ),
"")</f>
        <v/>
      </c>
      <c r="I147" s="152" t="str">
        <f>IFERROR(
    INDEX(
        CHOOSE(
            MATCH($C$1, {"All","Calls","Puts"}, 0),
            Sheet1!BN$1431:BN$1631,
            Sheet1!AR$1431:AR$1631,
            Sheet1!AS$1431:AS$1631
        ),
        MATCH($A147, Sheet1!N$1431:N$1631, 0)
    ),
"")</f>
        <v/>
      </c>
      <c r="J147" s="73" t="str">
        <f t="shared" si="10"/>
        <v/>
      </c>
      <c r="K147" s="98"/>
      <c r="L147" s="131">
        <f>IFERROR(MIN(0,INDEX(Sheet1!$AD$10:$AD$999,MATCH(A147,Sheet1!$N$10:$N$999,0))),0)</f>
        <v>0</v>
      </c>
      <c r="M147" s="136">
        <f>IFERROR(MAX(0,INDEX(Sheet1!$AE$10:$AE$999,MATCH(A147,Sheet1!$N$10:$N$999,0))),0)</f>
        <v>0</v>
      </c>
      <c r="N147" s="111" t="str">
        <f t="shared" si="11"/>
        <v/>
      </c>
      <c r="O147" s="139">
        <f>IFERROR(MIN(0,INDEX(Sheet1!$AP$10:$AP$999,MATCH(A147,Sheet1!$N$10:$N$999,0))),0)</f>
        <v>0</v>
      </c>
      <c r="P147" s="143">
        <f>IFERROR(MAX(0,INDEX(Sheet1!$AO$10:$AO$999,MATCH(A147,Sheet1!$N$10:$N$999,0))),0)</f>
        <v>0</v>
      </c>
      <c r="Q147" s="111" t="str">
        <f t="shared" si="12"/>
        <v/>
      </c>
      <c r="R147" s="140">
        <f>IFERROR(MIN(0,INDEX(Sheet1!$BK$10:$BK$999,MATCH(A147,Sheet1!$N$10:$N$999,0))),0)</f>
        <v>0</v>
      </c>
      <c r="S147" s="141">
        <f>IFERROR(MAX(0,INDEX(Sheet1!$BK$10:$BK$999,MATCH(A147,Sheet1!$N$10:$N$999,0))),0)</f>
        <v>0</v>
      </c>
      <c r="T147" s="116"/>
      <c r="AA147" s="96"/>
    </row>
    <row r="148" spans="1:27" ht="18" x14ac:dyDescent="0.25">
      <c r="A148" s="44"/>
      <c r="B148" s="152" t="str">
        <f>IFERROR(
    INDEX(
        CHOOSE(
            MATCH($C$1, {"All","Calls","Puts"}, 0),
            Sheet1!BN$10:BN$210,
            Sheet1!AR$10:AR$210,
            Sheet1!AS$10:AS$210
        ),
        MATCH($A148, Sheet1!N$10:N$210, 0)
    ),
"")</f>
        <v/>
      </c>
      <c r="C148" s="152" t="str">
        <f>IFERROR(
    INDEX(
        CHOOSE(
            MATCH($C$1, {"All","Calls","Puts"}, 0),
            Sheet1!BN$213:BN$413,
            Sheet1!AR$213:AR$413,
            Sheet1!AS$213:AS$413
        ),
        MATCH($A148, Sheet1!N$213:N$413, 0)
    ),
"")</f>
        <v/>
      </c>
      <c r="D148" s="152" t="str">
        <f>IFERROR(
    INDEX(
        CHOOSE(
            MATCH($C$1, {"All","Calls","Puts"}, 0),
            Sheet1!BN$416:BN$616,
            Sheet1!AR$416:AR$616,
            Sheet1!AS$416:AS$616
        ),
        MATCH($A148, Sheet1!N$416:N$616, 0)
    ),
"")</f>
        <v/>
      </c>
      <c r="E148" s="152" t="str">
        <f>IFERROR(
    INDEX(
        CHOOSE(
            MATCH($C$1, {"All","Calls","Puts"}, 0),
            Sheet1!BN$619:BN$819,
            Sheet1!AR$619:AR$819,
            Sheet1!AS$619:AS$819
        ),
        MATCH($A148, Sheet1!N$619:N$819, 0)
    ),
"")</f>
        <v/>
      </c>
      <c r="F148" s="152" t="str">
        <f>IFERROR(
    INDEX(
        CHOOSE(
            MATCH($C$1, {"All","Calls","Puts"}, 0),
            Sheet1!BN$822:BN$1022,
            Sheet1!AR$822:AR$1022,
            Sheet1!AS$822:AS$1022
        ),
        MATCH($A148, Sheet1!N$822:N$1022, 0)
    ),
"")</f>
        <v/>
      </c>
      <c r="G148" s="152" t="str">
        <f>IFERROR(
    INDEX(
        CHOOSE(
            MATCH($C$1, {"All","Calls","Puts"}, 0),
            Sheet1!BN$1025:BN$1225,
            Sheet1!AR$1025:AR$1225,
            Sheet1!AS$1025:AS$1225
        ),
        MATCH($A148, Sheet1!N$1025:N$1225, 0)
    ),
"")</f>
        <v/>
      </c>
      <c r="H148" s="152" t="str">
        <f>IFERROR(
    INDEX(
        CHOOSE(
            MATCH($C$1, {"All","Calls","Puts"}, 0),
            Sheet1!BN$1228:BN$1428,
            Sheet1!AR$1228:AR$1428,
            Sheet1!AS$1228:AS$1428
        ),
        MATCH($A148, Sheet1!N$1228:N$1428, 0)
    ),
"")</f>
        <v/>
      </c>
      <c r="I148" s="152" t="str">
        <f>IFERROR(
    INDEX(
        CHOOSE(
            MATCH($C$1, {"All","Calls","Puts"}, 0),
            Sheet1!BN$1431:BN$1631,
            Sheet1!AR$1431:AR$1631,
            Sheet1!AS$1431:AS$1631
        ),
        MATCH($A148, Sheet1!N$1431:N$1631, 0)
    ),
"")</f>
        <v/>
      </c>
      <c r="J148" s="73" t="str">
        <f t="shared" si="10"/>
        <v/>
      </c>
      <c r="K148" s="98"/>
      <c r="L148" s="131">
        <f>IFERROR(MIN(0,INDEX(Sheet1!$AD$10:$AD$999,MATCH(A148,Sheet1!$N$10:$N$999,0))),0)</f>
        <v>0</v>
      </c>
      <c r="M148" s="136">
        <f>IFERROR(MAX(0,INDEX(Sheet1!$AE$10:$AE$999,MATCH(A148,Sheet1!$N$10:$N$999,0))),0)</f>
        <v>0</v>
      </c>
      <c r="N148" s="111" t="str">
        <f t="shared" si="11"/>
        <v/>
      </c>
      <c r="O148" s="139">
        <f>IFERROR(MIN(0,INDEX(Sheet1!$AP$10:$AP$999,MATCH(A148,Sheet1!$N$10:$N$999,0))),0)</f>
        <v>0</v>
      </c>
      <c r="P148" s="143">
        <f>IFERROR(MAX(0,INDEX(Sheet1!$AO$10:$AO$999,MATCH(A148,Sheet1!$N$10:$N$999,0))),0)</f>
        <v>0</v>
      </c>
      <c r="Q148" s="111" t="str">
        <f t="shared" si="12"/>
        <v/>
      </c>
      <c r="R148" s="140">
        <f>IFERROR(MIN(0,INDEX(Sheet1!$BK$10:$BK$999,MATCH(A148,Sheet1!$N$10:$N$999,0))),0)</f>
        <v>0</v>
      </c>
      <c r="S148" s="141">
        <f>IFERROR(MAX(0,INDEX(Sheet1!$BK$10:$BK$999,MATCH(A148,Sheet1!$N$10:$N$999,0))),0)</f>
        <v>0</v>
      </c>
      <c r="T148" s="116"/>
      <c r="AA148" s="96"/>
    </row>
    <row r="149" spans="1:27" ht="18" x14ac:dyDescent="0.25">
      <c r="A149" s="44"/>
      <c r="B149" s="152" t="str">
        <f>IFERROR(
    INDEX(
        CHOOSE(
            MATCH($C$1, {"All","Calls","Puts"}, 0),
            Sheet1!BN$10:BN$210,
            Sheet1!AR$10:AR$210,
            Sheet1!AS$10:AS$210
        ),
        MATCH($A149, Sheet1!N$10:N$210, 0)
    ),
"")</f>
        <v/>
      </c>
      <c r="C149" s="152" t="str">
        <f>IFERROR(
    INDEX(
        CHOOSE(
            MATCH($C$1, {"All","Calls","Puts"}, 0),
            Sheet1!BN$213:BN$413,
            Sheet1!AR$213:AR$413,
            Sheet1!AS$213:AS$413
        ),
        MATCH($A149, Sheet1!N$213:N$413, 0)
    ),
"")</f>
        <v/>
      </c>
      <c r="D149" s="152" t="str">
        <f>IFERROR(
    INDEX(
        CHOOSE(
            MATCH($C$1, {"All","Calls","Puts"}, 0),
            Sheet1!BN$416:BN$616,
            Sheet1!AR$416:AR$616,
            Sheet1!AS$416:AS$616
        ),
        MATCH($A149, Sheet1!N$416:N$616, 0)
    ),
"")</f>
        <v/>
      </c>
      <c r="E149" s="152" t="str">
        <f>IFERROR(
    INDEX(
        CHOOSE(
            MATCH($C$1, {"All","Calls","Puts"}, 0),
            Sheet1!BN$619:BN$819,
            Sheet1!AR$619:AR$819,
            Sheet1!AS$619:AS$819
        ),
        MATCH($A149, Sheet1!N$619:N$819, 0)
    ),
"")</f>
        <v/>
      </c>
      <c r="F149" s="152" t="str">
        <f>IFERROR(
    INDEX(
        CHOOSE(
            MATCH($C$1, {"All","Calls","Puts"}, 0),
            Sheet1!BN$822:BN$1022,
            Sheet1!AR$822:AR$1022,
            Sheet1!AS$822:AS$1022
        ),
        MATCH($A149, Sheet1!N$822:N$1022, 0)
    ),
"")</f>
        <v/>
      </c>
      <c r="G149" s="152" t="str">
        <f>IFERROR(
    INDEX(
        CHOOSE(
            MATCH($C$1, {"All","Calls","Puts"}, 0),
            Sheet1!BN$1025:BN$1225,
            Sheet1!AR$1025:AR$1225,
            Sheet1!AS$1025:AS$1225
        ),
        MATCH($A149, Sheet1!N$1025:N$1225, 0)
    ),
"")</f>
        <v/>
      </c>
      <c r="H149" s="152" t="str">
        <f>IFERROR(
    INDEX(
        CHOOSE(
            MATCH($C$1, {"All","Calls","Puts"}, 0),
            Sheet1!BN$1228:BN$1428,
            Sheet1!AR$1228:AR$1428,
            Sheet1!AS$1228:AS$1428
        ),
        MATCH($A149, Sheet1!N$1228:N$1428, 0)
    ),
"")</f>
        <v/>
      </c>
      <c r="I149" s="152" t="str">
        <f>IFERROR(
    INDEX(
        CHOOSE(
            MATCH($C$1, {"All","Calls","Puts"}, 0),
            Sheet1!BN$1431:BN$1631,
            Sheet1!AR$1431:AR$1631,
            Sheet1!AS$1431:AS$1631
        ),
        MATCH($A149, Sheet1!N$1431:N$1631, 0)
    ),
"")</f>
        <v/>
      </c>
      <c r="J149" s="73" t="str">
        <f t="shared" si="10"/>
        <v/>
      </c>
      <c r="K149" s="98"/>
      <c r="L149" s="131">
        <f>IFERROR(MIN(0,INDEX(Sheet1!$AD$10:$AD$999,MATCH(A149,Sheet1!$N$10:$N$999,0))),0)</f>
        <v>0</v>
      </c>
      <c r="M149" s="136">
        <f>IFERROR(MAX(0,INDEX(Sheet1!$AE$10:$AE$999,MATCH(A149,Sheet1!$N$10:$N$999,0))),0)</f>
        <v>0</v>
      </c>
      <c r="N149" s="111" t="str">
        <f t="shared" si="11"/>
        <v/>
      </c>
      <c r="O149" s="139">
        <f>IFERROR(MIN(0,INDEX(Sheet1!$AP$10:$AP$999,MATCH(A149,Sheet1!$N$10:$N$999,0))),0)</f>
        <v>0</v>
      </c>
      <c r="P149" s="143">
        <f>IFERROR(MAX(0,INDEX(Sheet1!$AO$10:$AO$999,MATCH(A149,Sheet1!$N$10:$N$999,0))),0)</f>
        <v>0</v>
      </c>
      <c r="Q149" s="111" t="str">
        <f t="shared" si="12"/>
        <v/>
      </c>
      <c r="R149" s="140">
        <f>IFERROR(MIN(0,INDEX(Sheet1!$BK$10:$BK$999,MATCH(A149,Sheet1!$N$10:$N$999,0))),0)</f>
        <v>0</v>
      </c>
      <c r="S149" s="141">
        <f>IFERROR(MAX(0,INDEX(Sheet1!$BK$10:$BK$999,MATCH(A149,Sheet1!$N$10:$N$999,0))),0)</f>
        <v>0</v>
      </c>
      <c r="T149" s="116"/>
      <c r="AA149" s="96"/>
    </row>
    <row r="150" spans="1:27" ht="18" x14ac:dyDescent="0.25">
      <c r="A150" s="44"/>
      <c r="B150" s="152" t="str">
        <f>IFERROR(
    INDEX(
        CHOOSE(
            MATCH($C$1, {"All","Calls","Puts"}, 0),
            Sheet1!BN$10:BN$210,
            Sheet1!AR$10:AR$210,
            Sheet1!AS$10:AS$210
        ),
        MATCH($A150, Sheet1!N$10:N$210, 0)
    ),
"")</f>
        <v/>
      </c>
      <c r="C150" s="152" t="str">
        <f>IFERROR(
    INDEX(
        CHOOSE(
            MATCH($C$1, {"All","Calls","Puts"}, 0),
            Sheet1!BN$213:BN$413,
            Sheet1!AR$213:AR$413,
            Sheet1!AS$213:AS$413
        ),
        MATCH($A150, Sheet1!N$213:N$413, 0)
    ),
"")</f>
        <v/>
      </c>
      <c r="D150" s="152" t="str">
        <f>IFERROR(
    INDEX(
        CHOOSE(
            MATCH($C$1, {"All","Calls","Puts"}, 0),
            Sheet1!BN$416:BN$616,
            Sheet1!AR$416:AR$616,
            Sheet1!AS$416:AS$616
        ),
        MATCH($A150, Sheet1!N$416:N$616, 0)
    ),
"")</f>
        <v/>
      </c>
      <c r="E150" s="152" t="str">
        <f>IFERROR(
    INDEX(
        CHOOSE(
            MATCH($C$1, {"All","Calls","Puts"}, 0),
            Sheet1!BN$619:BN$819,
            Sheet1!AR$619:AR$819,
            Sheet1!AS$619:AS$819
        ),
        MATCH($A150, Sheet1!N$619:N$819, 0)
    ),
"")</f>
        <v/>
      </c>
      <c r="F150" s="152" t="str">
        <f>IFERROR(
    INDEX(
        CHOOSE(
            MATCH($C$1, {"All","Calls","Puts"}, 0),
            Sheet1!BN$822:BN$1022,
            Sheet1!AR$822:AR$1022,
            Sheet1!AS$822:AS$1022
        ),
        MATCH($A150, Sheet1!N$822:N$1022, 0)
    ),
"")</f>
        <v/>
      </c>
      <c r="G150" s="152" t="str">
        <f>IFERROR(
    INDEX(
        CHOOSE(
            MATCH($C$1, {"All","Calls","Puts"}, 0),
            Sheet1!BN$1025:BN$1225,
            Sheet1!AR$1025:AR$1225,
            Sheet1!AS$1025:AS$1225
        ),
        MATCH($A150, Sheet1!N$1025:N$1225, 0)
    ),
"")</f>
        <v/>
      </c>
      <c r="H150" s="152" t="str">
        <f>IFERROR(
    INDEX(
        CHOOSE(
            MATCH($C$1, {"All","Calls","Puts"}, 0),
            Sheet1!BN$1228:BN$1428,
            Sheet1!AR$1228:AR$1428,
            Sheet1!AS$1228:AS$1428
        ),
        MATCH($A150, Sheet1!N$1228:N$1428, 0)
    ),
"")</f>
        <v/>
      </c>
      <c r="I150" s="152" t="str">
        <f>IFERROR(
    INDEX(
        CHOOSE(
            MATCH($C$1, {"All","Calls","Puts"}, 0),
            Sheet1!BN$1431:BN$1631,
            Sheet1!AR$1431:AR$1631,
            Sheet1!AS$1431:AS$1631
        ),
        MATCH($A150, Sheet1!N$1431:N$1631, 0)
    ),
"")</f>
        <v/>
      </c>
      <c r="J150" s="73" t="str">
        <f t="shared" si="10"/>
        <v/>
      </c>
      <c r="K150" s="98"/>
      <c r="L150" s="131">
        <f>IFERROR(MIN(0,INDEX(Sheet1!$AD$10:$AD$999,MATCH(A150,Sheet1!$N$10:$N$999,0))),0)</f>
        <v>0</v>
      </c>
      <c r="M150" s="136">
        <f>IFERROR(MAX(0,INDEX(Sheet1!$AE$10:$AE$999,MATCH(A150,Sheet1!$N$10:$N$999,0))),0)</f>
        <v>0</v>
      </c>
      <c r="N150" s="111" t="str">
        <f t="shared" si="11"/>
        <v/>
      </c>
      <c r="O150" s="139">
        <f>IFERROR(MIN(0,INDEX(Sheet1!$AP$10:$AP$999,MATCH(A150,Sheet1!$N$10:$N$999,0))),0)</f>
        <v>0</v>
      </c>
      <c r="P150" s="143">
        <f>IFERROR(MAX(0,INDEX(Sheet1!$AO$10:$AO$999,MATCH(A150,Sheet1!$N$10:$N$999,0))),0)</f>
        <v>0</v>
      </c>
      <c r="Q150" s="111" t="str">
        <f t="shared" si="12"/>
        <v/>
      </c>
      <c r="R150" s="140">
        <f>IFERROR(MIN(0,INDEX(Sheet1!$BK$10:$BK$999,MATCH(A150,Sheet1!$N$10:$N$999,0))),0)</f>
        <v>0</v>
      </c>
      <c r="S150" s="141">
        <f>IFERROR(MAX(0,INDEX(Sheet1!$BK$10:$BK$999,MATCH(A150,Sheet1!$N$10:$N$999,0))),0)</f>
        <v>0</v>
      </c>
      <c r="T150" s="116"/>
      <c r="AA150" s="96"/>
    </row>
    <row r="151" spans="1:27" ht="18" x14ac:dyDescent="0.25">
      <c r="A151" s="44"/>
      <c r="B151" s="152" t="str">
        <f>IFERROR(
    INDEX(
        CHOOSE(
            MATCH($C$1, {"All","Calls","Puts"}, 0),
            Sheet1!BN$10:BN$210,
            Sheet1!AR$10:AR$210,
            Sheet1!AS$10:AS$210
        ),
        MATCH($A151, Sheet1!N$10:N$210, 0)
    ),
"")</f>
        <v/>
      </c>
      <c r="C151" s="152" t="str">
        <f>IFERROR(
    INDEX(
        CHOOSE(
            MATCH($C$1, {"All","Calls","Puts"}, 0),
            Sheet1!BN$213:BN$413,
            Sheet1!AR$213:AR$413,
            Sheet1!AS$213:AS$413
        ),
        MATCH($A151, Sheet1!N$213:N$413, 0)
    ),
"")</f>
        <v/>
      </c>
      <c r="D151" s="152" t="str">
        <f>IFERROR(
    INDEX(
        CHOOSE(
            MATCH($C$1, {"All","Calls","Puts"}, 0),
            Sheet1!BN$416:BN$616,
            Sheet1!AR$416:AR$616,
            Sheet1!AS$416:AS$616
        ),
        MATCH($A151, Sheet1!N$416:N$616, 0)
    ),
"")</f>
        <v/>
      </c>
      <c r="E151" s="152" t="str">
        <f>IFERROR(
    INDEX(
        CHOOSE(
            MATCH($C$1, {"All","Calls","Puts"}, 0),
            Sheet1!BN$619:BN$819,
            Sheet1!AR$619:AR$819,
            Sheet1!AS$619:AS$819
        ),
        MATCH($A151, Sheet1!N$619:N$819, 0)
    ),
"")</f>
        <v/>
      </c>
      <c r="F151" s="152" t="str">
        <f>IFERROR(
    INDEX(
        CHOOSE(
            MATCH($C$1, {"All","Calls","Puts"}, 0),
            Sheet1!BN$822:BN$1022,
            Sheet1!AR$822:AR$1022,
            Sheet1!AS$822:AS$1022
        ),
        MATCH($A151, Sheet1!N$822:N$1022, 0)
    ),
"")</f>
        <v/>
      </c>
      <c r="G151" s="152" t="str">
        <f>IFERROR(
    INDEX(
        CHOOSE(
            MATCH($C$1, {"All","Calls","Puts"}, 0),
            Sheet1!BN$1025:BN$1225,
            Sheet1!AR$1025:AR$1225,
            Sheet1!AS$1025:AS$1225
        ),
        MATCH($A151, Sheet1!N$1025:N$1225, 0)
    ),
"")</f>
        <v/>
      </c>
      <c r="H151" s="152" t="str">
        <f>IFERROR(
    INDEX(
        CHOOSE(
            MATCH($C$1, {"All","Calls","Puts"}, 0),
            Sheet1!BN$1228:BN$1428,
            Sheet1!AR$1228:AR$1428,
            Sheet1!AS$1228:AS$1428
        ),
        MATCH($A151, Sheet1!N$1228:N$1428, 0)
    ),
"")</f>
        <v/>
      </c>
      <c r="I151" s="152" t="str">
        <f>IFERROR(
    INDEX(
        CHOOSE(
            MATCH($C$1, {"All","Calls","Puts"}, 0),
            Sheet1!BN$1431:BN$1631,
            Sheet1!AR$1431:AR$1631,
            Sheet1!AS$1431:AS$1631
        ),
        MATCH($A151, Sheet1!N$1431:N$1631, 0)
    ),
"")</f>
        <v/>
      </c>
      <c r="J151" s="73" t="str">
        <f t="shared" si="10"/>
        <v/>
      </c>
      <c r="K151" s="98"/>
      <c r="L151" s="131">
        <f>IFERROR(MIN(0,INDEX(Sheet1!$AD$10:$AD$999,MATCH(A151,Sheet1!$N$10:$N$999,0))),0)</f>
        <v>0</v>
      </c>
      <c r="M151" s="136">
        <f>IFERROR(MAX(0,INDEX(Sheet1!$AE$10:$AE$999,MATCH(A151,Sheet1!$N$10:$N$999,0))),0)</f>
        <v>0</v>
      </c>
      <c r="N151" s="111" t="str">
        <f t="shared" si="11"/>
        <v/>
      </c>
      <c r="O151" s="139">
        <f>IFERROR(MIN(0,INDEX(Sheet1!$AP$10:$AP$999,MATCH(A151,Sheet1!$N$10:$N$999,0))),0)</f>
        <v>0</v>
      </c>
      <c r="P151" s="143">
        <f>IFERROR(MAX(0,INDEX(Sheet1!$AO$10:$AO$999,MATCH(A151,Sheet1!$N$10:$N$999,0))),0)</f>
        <v>0</v>
      </c>
      <c r="Q151" s="111" t="str">
        <f t="shared" si="12"/>
        <v/>
      </c>
      <c r="R151" s="140">
        <f>IFERROR(MIN(0,INDEX(Sheet1!$BK$10:$BK$999,MATCH(A151,Sheet1!$N$10:$N$999,0))),0)</f>
        <v>0</v>
      </c>
      <c r="S151" s="141">
        <f>IFERROR(MAX(0,INDEX(Sheet1!$BK$10:$BK$999,MATCH(A151,Sheet1!$N$10:$N$999,0))),0)</f>
        <v>0</v>
      </c>
      <c r="T151" s="116"/>
      <c r="AA151" s="96"/>
    </row>
    <row r="152" spans="1:27" ht="18" x14ac:dyDescent="0.25">
      <c r="A152" s="44"/>
      <c r="B152" s="152" t="str">
        <f>IFERROR(
    INDEX(
        CHOOSE(
            MATCH($C$1, {"All","Calls","Puts"}, 0),
            Sheet1!BN$10:BN$210,
            Sheet1!AR$10:AR$210,
            Sheet1!AS$10:AS$210
        ),
        MATCH($A152, Sheet1!N$10:N$210, 0)
    ),
"")</f>
        <v/>
      </c>
      <c r="C152" s="152" t="str">
        <f>IFERROR(
    INDEX(
        CHOOSE(
            MATCH($C$1, {"All","Calls","Puts"}, 0),
            Sheet1!BN$213:BN$413,
            Sheet1!AR$213:AR$413,
            Sheet1!AS$213:AS$413
        ),
        MATCH($A152, Sheet1!N$213:N$413, 0)
    ),
"")</f>
        <v/>
      </c>
      <c r="D152" s="152" t="str">
        <f>IFERROR(
    INDEX(
        CHOOSE(
            MATCH($C$1, {"All","Calls","Puts"}, 0),
            Sheet1!BN$416:BN$616,
            Sheet1!AR$416:AR$616,
            Sheet1!AS$416:AS$616
        ),
        MATCH($A152, Sheet1!N$416:N$616, 0)
    ),
"")</f>
        <v/>
      </c>
      <c r="E152" s="152" t="str">
        <f>IFERROR(
    INDEX(
        CHOOSE(
            MATCH($C$1, {"All","Calls","Puts"}, 0),
            Sheet1!BN$619:BN$819,
            Sheet1!AR$619:AR$819,
            Sheet1!AS$619:AS$819
        ),
        MATCH($A152, Sheet1!N$619:N$819, 0)
    ),
"")</f>
        <v/>
      </c>
      <c r="F152" s="152" t="str">
        <f>IFERROR(
    INDEX(
        CHOOSE(
            MATCH($C$1, {"All","Calls","Puts"}, 0),
            Sheet1!BN$822:BN$1022,
            Sheet1!AR$822:AR$1022,
            Sheet1!AS$822:AS$1022
        ),
        MATCH($A152, Sheet1!N$822:N$1022, 0)
    ),
"")</f>
        <v/>
      </c>
      <c r="G152" s="152" t="str">
        <f>IFERROR(
    INDEX(
        CHOOSE(
            MATCH($C$1, {"All","Calls","Puts"}, 0),
            Sheet1!BN$1025:BN$1225,
            Sheet1!AR$1025:AR$1225,
            Sheet1!AS$1025:AS$1225
        ),
        MATCH($A152, Sheet1!N$1025:N$1225, 0)
    ),
"")</f>
        <v/>
      </c>
      <c r="H152" s="152" t="str">
        <f>IFERROR(
    INDEX(
        CHOOSE(
            MATCH($C$1, {"All","Calls","Puts"}, 0),
            Sheet1!BN$1228:BN$1428,
            Sheet1!AR$1228:AR$1428,
            Sheet1!AS$1228:AS$1428
        ),
        MATCH($A152, Sheet1!N$1228:N$1428, 0)
    ),
"")</f>
        <v/>
      </c>
      <c r="I152" s="152" t="str">
        <f>IFERROR(
    INDEX(
        CHOOSE(
            MATCH($C$1, {"All","Calls","Puts"}, 0),
            Sheet1!BN$1431:BN$1631,
            Sheet1!AR$1431:AR$1631,
            Sheet1!AS$1431:AS$1631
        ),
        MATCH($A152, Sheet1!N$1431:N$1631, 0)
    ),
"")</f>
        <v/>
      </c>
      <c r="J152" s="73" t="str">
        <f t="shared" si="10"/>
        <v/>
      </c>
      <c r="K152" s="98"/>
      <c r="L152" s="131">
        <f>IFERROR(MIN(0,INDEX(Sheet1!$AD$10:$AD$999,MATCH(A152,Sheet1!$N$10:$N$999,0))),0)</f>
        <v>0</v>
      </c>
      <c r="M152" s="136">
        <f>IFERROR(MAX(0,INDEX(Sheet1!$AE$10:$AE$999,MATCH(A152,Sheet1!$N$10:$N$999,0))),0)</f>
        <v>0</v>
      </c>
      <c r="N152" s="111" t="str">
        <f t="shared" si="11"/>
        <v/>
      </c>
      <c r="O152" s="139">
        <f>IFERROR(MIN(0,INDEX(Sheet1!$AP$10:$AP$999,MATCH(A152,Sheet1!$N$10:$N$999,0))),0)</f>
        <v>0</v>
      </c>
      <c r="P152" s="143">
        <f>IFERROR(MAX(0,INDEX(Sheet1!$AO$10:$AO$999,MATCH(A152,Sheet1!$N$10:$N$999,0))),0)</f>
        <v>0</v>
      </c>
      <c r="Q152" s="111" t="str">
        <f t="shared" si="12"/>
        <v/>
      </c>
      <c r="R152" s="140">
        <f>IFERROR(MIN(0,INDEX(Sheet1!$BK$10:$BK$999,MATCH(A152,Sheet1!$N$10:$N$999,0))),0)</f>
        <v>0</v>
      </c>
      <c r="S152" s="141">
        <f>IFERROR(MAX(0,INDEX(Sheet1!$BK$10:$BK$999,MATCH(A152,Sheet1!$N$10:$N$999,0))),0)</f>
        <v>0</v>
      </c>
      <c r="T152" s="116"/>
      <c r="AA152" s="96"/>
    </row>
    <row r="153" spans="1:27" ht="18" x14ac:dyDescent="0.25">
      <c r="A153" s="44"/>
      <c r="B153" s="152" t="str">
        <f>IFERROR(
    INDEX(
        CHOOSE(
            MATCH($C$1, {"All","Calls","Puts"}, 0),
            Sheet1!BN$10:BN$210,
            Sheet1!AR$10:AR$210,
            Sheet1!AS$10:AS$210
        ),
        MATCH($A153, Sheet1!N$10:N$210, 0)
    ),
"")</f>
        <v/>
      </c>
      <c r="C153" s="152" t="str">
        <f>IFERROR(
    INDEX(
        CHOOSE(
            MATCH($C$1, {"All","Calls","Puts"}, 0),
            Sheet1!BN$213:BN$413,
            Sheet1!AR$213:AR$413,
            Sheet1!AS$213:AS$413
        ),
        MATCH($A153, Sheet1!N$213:N$413, 0)
    ),
"")</f>
        <v/>
      </c>
      <c r="D153" s="152" t="str">
        <f>IFERROR(
    INDEX(
        CHOOSE(
            MATCH($C$1, {"All","Calls","Puts"}, 0),
            Sheet1!BN$416:BN$616,
            Sheet1!AR$416:AR$616,
            Sheet1!AS$416:AS$616
        ),
        MATCH($A153, Sheet1!N$416:N$616, 0)
    ),
"")</f>
        <v/>
      </c>
      <c r="E153" s="152" t="str">
        <f>IFERROR(
    INDEX(
        CHOOSE(
            MATCH($C$1, {"All","Calls","Puts"}, 0),
            Sheet1!BN$619:BN$819,
            Sheet1!AR$619:AR$819,
            Sheet1!AS$619:AS$819
        ),
        MATCH($A153, Sheet1!N$619:N$819, 0)
    ),
"")</f>
        <v/>
      </c>
      <c r="F153" s="152" t="str">
        <f>IFERROR(
    INDEX(
        CHOOSE(
            MATCH($C$1, {"All","Calls","Puts"}, 0),
            Sheet1!BN$822:BN$1022,
            Sheet1!AR$822:AR$1022,
            Sheet1!AS$822:AS$1022
        ),
        MATCH($A153, Sheet1!N$822:N$1022, 0)
    ),
"")</f>
        <v/>
      </c>
      <c r="G153" s="152" t="str">
        <f>IFERROR(
    INDEX(
        CHOOSE(
            MATCH($C$1, {"All","Calls","Puts"}, 0),
            Sheet1!BN$1025:BN$1225,
            Sheet1!AR$1025:AR$1225,
            Sheet1!AS$1025:AS$1225
        ),
        MATCH($A153, Sheet1!N$1025:N$1225, 0)
    ),
"")</f>
        <v/>
      </c>
      <c r="H153" s="152" t="str">
        <f>IFERROR(
    INDEX(
        CHOOSE(
            MATCH($C$1, {"All","Calls","Puts"}, 0),
            Sheet1!BN$1228:BN$1428,
            Sheet1!AR$1228:AR$1428,
            Sheet1!AS$1228:AS$1428
        ),
        MATCH($A153, Sheet1!N$1228:N$1428, 0)
    ),
"")</f>
        <v/>
      </c>
      <c r="I153" s="152" t="str">
        <f>IFERROR(
    INDEX(
        CHOOSE(
            MATCH($C$1, {"All","Calls","Puts"}, 0),
            Sheet1!BN$1431:BN$1631,
            Sheet1!AR$1431:AR$1631,
            Sheet1!AS$1431:AS$1631
        ),
        MATCH($A153, Sheet1!N$1431:N$1631, 0)
    ),
"")</f>
        <v/>
      </c>
      <c r="J153" s="73" t="str">
        <f t="shared" si="10"/>
        <v/>
      </c>
      <c r="K153" s="98"/>
      <c r="L153" s="131">
        <f>IFERROR(MIN(0,INDEX(Sheet1!$AD$10:$AD$999,MATCH(A153,Sheet1!$N$10:$N$999,0))),0)</f>
        <v>0</v>
      </c>
      <c r="M153" s="136">
        <f>IFERROR(MAX(0,INDEX(Sheet1!$AE$10:$AE$999,MATCH(A153,Sheet1!$N$10:$N$999,0))),0)</f>
        <v>0</v>
      </c>
      <c r="N153" s="111" t="str">
        <f t="shared" si="11"/>
        <v/>
      </c>
      <c r="O153" s="139">
        <f>IFERROR(MIN(0,INDEX(Sheet1!$AP$10:$AP$999,MATCH(A153,Sheet1!$N$10:$N$999,0))),0)</f>
        <v>0</v>
      </c>
      <c r="P153" s="143">
        <f>IFERROR(MAX(0,INDEX(Sheet1!$AO$10:$AO$999,MATCH(A153,Sheet1!$N$10:$N$999,0))),0)</f>
        <v>0</v>
      </c>
      <c r="Q153" s="111" t="str">
        <f t="shared" si="12"/>
        <v/>
      </c>
      <c r="R153" s="140">
        <f>IFERROR(MIN(0,INDEX(Sheet1!$BK$10:$BK$999,MATCH(A153,Sheet1!$N$10:$N$999,0))),0)</f>
        <v>0</v>
      </c>
      <c r="S153" s="141">
        <f>IFERROR(MAX(0,INDEX(Sheet1!$BK$10:$BK$999,MATCH(A153,Sheet1!$N$10:$N$999,0))),0)</f>
        <v>0</v>
      </c>
      <c r="T153" s="116"/>
      <c r="AA153" s="96"/>
    </row>
    <row r="154" spans="1:27" ht="18" x14ac:dyDescent="0.25">
      <c r="A154" s="44"/>
      <c r="B154" s="152" t="str">
        <f>IFERROR(
    INDEX(
        CHOOSE(
            MATCH($C$1, {"All","Calls","Puts"}, 0),
            Sheet1!BN$10:BN$210,
            Sheet1!AR$10:AR$210,
            Sheet1!AS$10:AS$210
        ),
        MATCH($A154, Sheet1!N$10:N$210, 0)
    ),
"")</f>
        <v/>
      </c>
      <c r="C154" s="152" t="str">
        <f>IFERROR(
    INDEX(
        CHOOSE(
            MATCH($C$1, {"All","Calls","Puts"}, 0),
            Sheet1!BN$213:BN$413,
            Sheet1!AR$213:AR$413,
            Sheet1!AS$213:AS$413
        ),
        MATCH($A154, Sheet1!N$213:N$413, 0)
    ),
"")</f>
        <v/>
      </c>
      <c r="D154" s="152" t="str">
        <f>IFERROR(
    INDEX(
        CHOOSE(
            MATCH($C$1, {"All","Calls","Puts"}, 0),
            Sheet1!BN$416:BN$616,
            Sheet1!AR$416:AR$616,
            Sheet1!AS$416:AS$616
        ),
        MATCH($A154, Sheet1!N$416:N$616, 0)
    ),
"")</f>
        <v/>
      </c>
      <c r="E154" s="152" t="str">
        <f>IFERROR(
    INDEX(
        CHOOSE(
            MATCH($C$1, {"All","Calls","Puts"}, 0),
            Sheet1!BN$619:BN$819,
            Sheet1!AR$619:AR$819,
            Sheet1!AS$619:AS$819
        ),
        MATCH($A154, Sheet1!N$619:N$819, 0)
    ),
"")</f>
        <v/>
      </c>
      <c r="F154" s="152" t="str">
        <f>IFERROR(
    INDEX(
        CHOOSE(
            MATCH($C$1, {"All","Calls","Puts"}, 0),
            Sheet1!BN$822:BN$1022,
            Sheet1!AR$822:AR$1022,
            Sheet1!AS$822:AS$1022
        ),
        MATCH($A154, Sheet1!N$822:N$1022, 0)
    ),
"")</f>
        <v/>
      </c>
      <c r="G154" s="152" t="str">
        <f>IFERROR(
    INDEX(
        CHOOSE(
            MATCH($C$1, {"All","Calls","Puts"}, 0),
            Sheet1!BN$1025:BN$1225,
            Sheet1!AR$1025:AR$1225,
            Sheet1!AS$1025:AS$1225
        ),
        MATCH($A154, Sheet1!N$1025:N$1225, 0)
    ),
"")</f>
        <v/>
      </c>
      <c r="H154" s="152" t="str">
        <f>IFERROR(
    INDEX(
        CHOOSE(
            MATCH($C$1, {"All","Calls","Puts"}, 0),
            Sheet1!BN$1228:BN$1428,
            Sheet1!AR$1228:AR$1428,
            Sheet1!AS$1228:AS$1428
        ),
        MATCH($A154, Sheet1!N$1228:N$1428, 0)
    ),
"")</f>
        <v/>
      </c>
      <c r="I154" s="152" t="str">
        <f>IFERROR(
    INDEX(
        CHOOSE(
            MATCH($C$1, {"All","Calls","Puts"}, 0),
            Sheet1!BN$1431:BN$1631,
            Sheet1!AR$1431:AR$1631,
            Sheet1!AS$1431:AS$1631
        ),
        MATCH($A154, Sheet1!N$1431:N$1631, 0)
    ),
"")</f>
        <v/>
      </c>
      <c r="J154" s="73" t="str">
        <f t="shared" si="10"/>
        <v/>
      </c>
      <c r="K154" s="98"/>
      <c r="L154" s="131">
        <f>IFERROR(MIN(0,INDEX(Sheet1!$AD$10:$AD$999,MATCH(A154,Sheet1!$N$10:$N$999,0))),0)</f>
        <v>0</v>
      </c>
      <c r="M154" s="136">
        <f>IFERROR(MAX(0,INDEX(Sheet1!$AE$10:$AE$999,MATCH(A154,Sheet1!$N$10:$N$999,0))),0)</f>
        <v>0</v>
      </c>
      <c r="N154" s="111" t="str">
        <f t="shared" si="11"/>
        <v/>
      </c>
      <c r="O154" s="139">
        <f>IFERROR(MIN(0,INDEX(Sheet1!$AP$10:$AP$999,MATCH(A154,Sheet1!$N$10:$N$999,0))),0)</f>
        <v>0</v>
      </c>
      <c r="P154" s="143">
        <f>IFERROR(MAX(0,INDEX(Sheet1!$AO$10:$AO$999,MATCH(A154,Sheet1!$N$10:$N$999,0))),0)</f>
        <v>0</v>
      </c>
      <c r="Q154" s="111" t="str">
        <f t="shared" si="12"/>
        <v/>
      </c>
      <c r="R154" s="140">
        <f>IFERROR(MIN(0,INDEX(Sheet1!$BK$10:$BK$999,MATCH(A154,Sheet1!$N$10:$N$999,0))),0)</f>
        <v>0</v>
      </c>
      <c r="S154" s="141">
        <f>IFERROR(MAX(0,INDEX(Sheet1!$BK$10:$BK$999,MATCH(A154,Sheet1!$N$10:$N$999,0))),0)</f>
        <v>0</v>
      </c>
      <c r="T154" s="116"/>
      <c r="AA154" s="96"/>
    </row>
    <row r="155" spans="1:27" ht="18" x14ac:dyDescent="0.25">
      <c r="A155" s="44"/>
      <c r="B155" s="152" t="str">
        <f>IFERROR(
    INDEX(
        CHOOSE(
            MATCH($C$1, {"All","Calls","Puts"}, 0),
            Sheet1!BN$10:BN$210,
            Sheet1!AR$10:AR$210,
            Sheet1!AS$10:AS$210
        ),
        MATCH($A155, Sheet1!N$10:N$210, 0)
    ),
"")</f>
        <v/>
      </c>
      <c r="C155" s="152" t="str">
        <f>IFERROR(
    INDEX(
        CHOOSE(
            MATCH($C$1, {"All","Calls","Puts"}, 0),
            Sheet1!BN$213:BN$413,
            Sheet1!AR$213:AR$413,
            Sheet1!AS$213:AS$413
        ),
        MATCH($A155, Sheet1!N$213:N$413, 0)
    ),
"")</f>
        <v/>
      </c>
      <c r="D155" s="152" t="str">
        <f>IFERROR(
    INDEX(
        CHOOSE(
            MATCH($C$1, {"All","Calls","Puts"}, 0),
            Sheet1!BN$416:BN$616,
            Sheet1!AR$416:AR$616,
            Sheet1!AS$416:AS$616
        ),
        MATCH($A155, Sheet1!N$416:N$616, 0)
    ),
"")</f>
        <v/>
      </c>
      <c r="E155" s="152" t="str">
        <f>IFERROR(
    INDEX(
        CHOOSE(
            MATCH($C$1, {"All","Calls","Puts"}, 0),
            Sheet1!BN$619:BN$819,
            Sheet1!AR$619:AR$819,
            Sheet1!AS$619:AS$819
        ),
        MATCH($A155, Sheet1!N$619:N$819, 0)
    ),
"")</f>
        <v/>
      </c>
      <c r="F155" s="152" t="str">
        <f>IFERROR(
    INDEX(
        CHOOSE(
            MATCH($C$1, {"All","Calls","Puts"}, 0),
            Sheet1!BN$822:BN$1022,
            Sheet1!AR$822:AR$1022,
            Sheet1!AS$822:AS$1022
        ),
        MATCH($A155, Sheet1!N$822:N$1022, 0)
    ),
"")</f>
        <v/>
      </c>
      <c r="G155" s="152" t="str">
        <f>IFERROR(
    INDEX(
        CHOOSE(
            MATCH($C$1, {"All","Calls","Puts"}, 0),
            Sheet1!BN$1025:BN$1225,
            Sheet1!AR$1025:AR$1225,
            Sheet1!AS$1025:AS$1225
        ),
        MATCH($A155, Sheet1!N$1025:N$1225, 0)
    ),
"")</f>
        <v/>
      </c>
      <c r="H155" s="152" t="str">
        <f>IFERROR(
    INDEX(
        CHOOSE(
            MATCH($C$1, {"All","Calls","Puts"}, 0),
            Sheet1!BN$1228:BN$1428,
            Sheet1!AR$1228:AR$1428,
            Sheet1!AS$1228:AS$1428
        ),
        MATCH($A155, Sheet1!N$1228:N$1428, 0)
    ),
"")</f>
        <v/>
      </c>
      <c r="I155" s="152" t="str">
        <f>IFERROR(
    INDEX(
        CHOOSE(
            MATCH($C$1, {"All","Calls","Puts"}, 0),
            Sheet1!BN$1431:BN$1631,
            Sheet1!AR$1431:AR$1631,
            Sheet1!AS$1431:AS$1631
        ),
        MATCH($A155, Sheet1!N$1431:N$1631, 0)
    ),
"")</f>
        <v/>
      </c>
      <c r="J155" s="73" t="str">
        <f t="shared" si="10"/>
        <v/>
      </c>
      <c r="K155" s="98"/>
      <c r="L155" s="131">
        <f>IFERROR(MIN(0,INDEX(Sheet1!$AD$10:$AD$999,MATCH(A155,Sheet1!$N$10:$N$999,0))),0)</f>
        <v>0</v>
      </c>
      <c r="M155" s="136">
        <f>IFERROR(MAX(0,INDEX(Sheet1!$AE$10:$AE$999,MATCH(A155,Sheet1!$N$10:$N$999,0))),0)</f>
        <v>0</v>
      </c>
      <c r="N155" s="111" t="str">
        <f t="shared" si="11"/>
        <v/>
      </c>
      <c r="O155" s="139">
        <f>IFERROR(MIN(0,INDEX(Sheet1!$AP$10:$AP$999,MATCH(A155,Sheet1!$N$10:$N$999,0))),0)</f>
        <v>0</v>
      </c>
      <c r="P155" s="143">
        <f>IFERROR(MAX(0,INDEX(Sheet1!$AO$10:$AO$999,MATCH(A155,Sheet1!$N$10:$N$999,0))),0)</f>
        <v>0</v>
      </c>
      <c r="Q155" s="111" t="str">
        <f t="shared" si="12"/>
        <v/>
      </c>
      <c r="R155" s="140">
        <f>IFERROR(MIN(0,INDEX(Sheet1!$BK$10:$BK$999,MATCH(A155,Sheet1!$N$10:$N$999,0))),0)</f>
        <v>0</v>
      </c>
      <c r="S155" s="141">
        <f>IFERROR(MAX(0,INDEX(Sheet1!$BK$10:$BK$999,MATCH(A155,Sheet1!$N$10:$N$999,0))),0)</f>
        <v>0</v>
      </c>
      <c r="T155" s="116"/>
      <c r="AA155" s="96"/>
    </row>
    <row r="156" spans="1:27" ht="18" x14ac:dyDescent="0.25">
      <c r="A156" s="44"/>
      <c r="B156" s="152" t="str">
        <f>IFERROR(
    INDEX(
        CHOOSE(
            MATCH($C$1, {"All","Calls","Puts"}, 0),
            Sheet1!BN$10:BN$210,
            Sheet1!AR$10:AR$210,
            Sheet1!AS$10:AS$210
        ),
        MATCH($A156, Sheet1!N$10:N$210, 0)
    ),
"")</f>
        <v/>
      </c>
      <c r="C156" s="152" t="str">
        <f>IFERROR(
    INDEX(
        CHOOSE(
            MATCH($C$1, {"All","Calls","Puts"}, 0),
            Sheet1!BN$213:BN$413,
            Sheet1!AR$213:AR$413,
            Sheet1!AS$213:AS$413
        ),
        MATCH($A156, Sheet1!N$213:N$413, 0)
    ),
"")</f>
        <v/>
      </c>
      <c r="D156" s="152" t="str">
        <f>IFERROR(
    INDEX(
        CHOOSE(
            MATCH($C$1, {"All","Calls","Puts"}, 0),
            Sheet1!BN$416:BN$616,
            Sheet1!AR$416:AR$616,
            Sheet1!AS$416:AS$616
        ),
        MATCH($A156, Sheet1!N$416:N$616, 0)
    ),
"")</f>
        <v/>
      </c>
      <c r="E156" s="152" t="str">
        <f>IFERROR(
    INDEX(
        CHOOSE(
            MATCH($C$1, {"All","Calls","Puts"}, 0),
            Sheet1!BN$619:BN$819,
            Sheet1!AR$619:AR$819,
            Sheet1!AS$619:AS$819
        ),
        MATCH($A156, Sheet1!N$619:N$819, 0)
    ),
"")</f>
        <v/>
      </c>
      <c r="F156" s="152" t="str">
        <f>IFERROR(
    INDEX(
        CHOOSE(
            MATCH($C$1, {"All","Calls","Puts"}, 0),
            Sheet1!BN$822:BN$1022,
            Sheet1!AR$822:AR$1022,
            Sheet1!AS$822:AS$1022
        ),
        MATCH($A156, Sheet1!N$822:N$1022, 0)
    ),
"")</f>
        <v/>
      </c>
      <c r="G156" s="152" t="str">
        <f>IFERROR(
    INDEX(
        CHOOSE(
            MATCH($C$1, {"All","Calls","Puts"}, 0),
            Sheet1!BN$1025:BN$1225,
            Sheet1!AR$1025:AR$1225,
            Sheet1!AS$1025:AS$1225
        ),
        MATCH($A156, Sheet1!N$1025:N$1225, 0)
    ),
"")</f>
        <v/>
      </c>
      <c r="H156" s="152" t="str">
        <f>IFERROR(
    INDEX(
        CHOOSE(
            MATCH($C$1, {"All","Calls","Puts"}, 0),
            Sheet1!BN$1228:BN$1428,
            Sheet1!AR$1228:AR$1428,
            Sheet1!AS$1228:AS$1428
        ),
        MATCH($A156, Sheet1!N$1228:N$1428, 0)
    ),
"")</f>
        <v/>
      </c>
      <c r="I156" s="152" t="str">
        <f>IFERROR(
    INDEX(
        CHOOSE(
            MATCH($C$1, {"All","Calls","Puts"}, 0),
            Sheet1!BN$1431:BN$1631,
            Sheet1!AR$1431:AR$1631,
            Sheet1!AS$1431:AS$1631
        ),
        MATCH($A156, Sheet1!N$1431:N$1631, 0)
    ),
"")</f>
        <v/>
      </c>
      <c r="J156" s="73" t="str">
        <f t="shared" si="10"/>
        <v/>
      </c>
      <c r="K156" s="98"/>
      <c r="L156" s="131">
        <f>IFERROR(MIN(0,INDEX(Sheet1!$AD$10:$AD$999,MATCH(A156,Sheet1!$N$10:$N$999,0))),0)</f>
        <v>0</v>
      </c>
      <c r="M156" s="136">
        <f>IFERROR(MAX(0,INDEX(Sheet1!$AE$10:$AE$999,MATCH(A156,Sheet1!$N$10:$N$999,0))),0)</f>
        <v>0</v>
      </c>
      <c r="N156" s="111" t="str">
        <f t="shared" si="11"/>
        <v/>
      </c>
      <c r="O156" s="139">
        <f>IFERROR(MIN(0,INDEX(Sheet1!$AP$10:$AP$999,MATCH(A156,Sheet1!$N$10:$N$999,0))),0)</f>
        <v>0</v>
      </c>
      <c r="P156" s="143">
        <f>IFERROR(MAX(0,INDEX(Sheet1!$AO$10:$AO$999,MATCH(A156,Sheet1!$N$10:$N$999,0))),0)</f>
        <v>0</v>
      </c>
      <c r="Q156" s="111" t="str">
        <f t="shared" si="12"/>
        <v/>
      </c>
      <c r="R156" s="140">
        <f>IFERROR(MIN(0,INDEX(Sheet1!$BK$10:$BK$999,MATCH(A156,Sheet1!$N$10:$N$999,0))),0)</f>
        <v>0</v>
      </c>
      <c r="S156" s="141">
        <f>IFERROR(MAX(0,INDEX(Sheet1!$BK$10:$BK$999,MATCH(A156,Sheet1!$N$10:$N$999,0))),0)</f>
        <v>0</v>
      </c>
      <c r="T156" s="116"/>
      <c r="AA156" s="96"/>
    </row>
    <row r="157" spans="1:27" ht="18" x14ac:dyDescent="0.25">
      <c r="A157" s="44"/>
      <c r="B157" s="152" t="str">
        <f>IFERROR(
    INDEX(
        CHOOSE(
            MATCH($C$1, {"All","Calls","Puts"}, 0),
            Sheet1!BN$10:BN$210,
            Sheet1!AR$10:AR$210,
            Sheet1!AS$10:AS$210
        ),
        MATCH($A157, Sheet1!N$10:N$210, 0)
    ),
"")</f>
        <v/>
      </c>
      <c r="C157" s="152" t="str">
        <f>IFERROR(
    INDEX(
        CHOOSE(
            MATCH($C$1, {"All","Calls","Puts"}, 0),
            Sheet1!BN$213:BN$413,
            Sheet1!AR$213:AR$413,
            Sheet1!AS$213:AS$413
        ),
        MATCH($A157, Sheet1!N$213:N$413, 0)
    ),
"")</f>
        <v/>
      </c>
      <c r="D157" s="152" t="str">
        <f>IFERROR(
    INDEX(
        CHOOSE(
            MATCH($C$1, {"All","Calls","Puts"}, 0),
            Sheet1!BN$416:BN$616,
            Sheet1!AR$416:AR$616,
            Sheet1!AS$416:AS$616
        ),
        MATCH($A157, Sheet1!N$416:N$616, 0)
    ),
"")</f>
        <v/>
      </c>
      <c r="E157" s="152" t="str">
        <f>IFERROR(
    INDEX(
        CHOOSE(
            MATCH($C$1, {"All","Calls","Puts"}, 0),
            Sheet1!BN$619:BN$819,
            Sheet1!AR$619:AR$819,
            Sheet1!AS$619:AS$819
        ),
        MATCH($A157, Sheet1!N$619:N$819, 0)
    ),
"")</f>
        <v/>
      </c>
      <c r="F157" s="152" t="str">
        <f>IFERROR(
    INDEX(
        CHOOSE(
            MATCH($C$1, {"All","Calls","Puts"}, 0),
            Sheet1!BN$822:BN$1022,
            Sheet1!AR$822:AR$1022,
            Sheet1!AS$822:AS$1022
        ),
        MATCH($A157, Sheet1!N$822:N$1022, 0)
    ),
"")</f>
        <v/>
      </c>
      <c r="G157" s="152" t="str">
        <f>IFERROR(
    INDEX(
        CHOOSE(
            MATCH($C$1, {"All","Calls","Puts"}, 0),
            Sheet1!BN$1025:BN$1225,
            Sheet1!AR$1025:AR$1225,
            Sheet1!AS$1025:AS$1225
        ),
        MATCH($A157, Sheet1!N$1025:N$1225, 0)
    ),
"")</f>
        <v/>
      </c>
      <c r="H157" s="152" t="str">
        <f>IFERROR(
    INDEX(
        CHOOSE(
            MATCH($C$1, {"All","Calls","Puts"}, 0),
            Sheet1!BN$1228:BN$1428,
            Sheet1!AR$1228:AR$1428,
            Sheet1!AS$1228:AS$1428
        ),
        MATCH($A157, Sheet1!N$1228:N$1428, 0)
    ),
"")</f>
        <v/>
      </c>
      <c r="I157" s="152" t="str">
        <f>IFERROR(
    INDEX(
        CHOOSE(
            MATCH($C$1, {"All","Calls","Puts"}, 0),
            Sheet1!BN$1431:BN$1631,
            Sheet1!AR$1431:AR$1631,
            Sheet1!AS$1431:AS$1631
        ),
        MATCH($A157, Sheet1!N$1431:N$1631, 0)
    ),
"")</f>
        <v/>
      </c>
      <c r="J157" s="73" t="str">
        <f t="shared" si="10"/>
        <v/>
      </c>
      <c r="K157" s="98"/>
      <c r="L157" s="131">
        <f>IFERROR(MIN(0,INDEX(Sheet1!$AD$10:$AD$999,MATCH(A157,Sheet1!$N$10:$N$999,0))),0)</f>
        <v>0</v>
      </c>
      <c r="M157" s="136">
        <f>IFERROR(MAX(0,INDEX(Sheet1!$AE$10:$AE$999,MATCH(A157,Sheet1!$N$10:$N$999,0))),0)</f>
        <v>0</v>
      </c>
      <c r="N157" s="111" t="str">
        <f t="shared" si="11"/>
        <v/>
      </c>
      <c r="O157" s="139">
        <f>IFERROR(MIN(0,INDEX(Sheet1!$AP$10:$AP$999,MATCH(A157,Sheet1!$N$10:$N$999,0))),0)</f>
        <v>0</v>
      </c>
      <c r="P157" s="143">
        <f>IFERROR(MAX(0,INDEX(Sheet1!$AO$10:$AO$999,MATCH(A157,Sheet1!$N$10:$N$999,0))),0)</f>
        <v>0</v>
      </c>
      <c r="Q157" s="111" t="str">
        <f t="shared" si="12"/>
        <v/>
      </c>
      <c r="R157" s="140">
        <f>IFERROR(MIN(0,INDEX(Sheet1!$BK$10:$BK$999,MATCH(A157,Sheet1!$N$10:$N$999,0))),0)</f>
        <v>0</v>
      </c>
      <c r="S157" s="141">
        <f>IFERROR(MAX(0,INDEX(Sheet1!$BK$10:$BK$999,MATCH(A157,Sheet1!$N$10:$N$999,0))),0)</f>
        <v>0</v>
      </c>
      <c r="T157" s="116"/>
      <c r="AA157" s="96"/>
    </row>
    <row r="158" spans="1:27" ht="18" x14ac:dyDescent="0.25">
      <c r="A158" s="44"/>
      <c r="B158" s="152" t="str">
        <f>IFERROR(
    INDEX(
        CHOOSE(
            MATCH($C$1, {"All","Calls","Puts"}, 0),
            Sheet1!BN$10:BN$210,
            Sheet1!AR$10:AR$210,
            Sheet1!AS$10:AS$210
        ),
        MATCH($A158, Sheet1!N$10:N$210, 0)
    ),
"")</f>
        <v/>
      </c>
      <c r="C158" s="152" t="str">
        <f>IFERROR(
    INDEX(
        CHOOSE(
            MATCH($C$1, {"All","Calls","Puts"}, 0),
            Sheet1!BN$213:BN$413,
            Sheet1!AR$213:AR$413,
            Sheet1!AS$213:AS$413
        ),
        MATCH($A158, Sheet1!N$213:N$413, 0)
    ),
"")</f>
        <v/>
      </c>
      <c r="D158" s="152" t="str">
        <f>IFERROR(
    INDEX(
        CHOOSE(
            MATCH($C$1, {"All","Calls","Puts"}, 0),
            Sheet1!BN$416:BN$616,
            Sheet1!AR$416:AR$616,
            Sheet1!AS$416:AS$616
        ),
        MATCH($A158, Sheet1!N$416:N$616, 0)
    ),
"")</f>
        <v/>
      </c>
      <c r="E158" s="152" t="str">
        <f>IFERROR(
    INDEX(
        CHOOSE(
            MATCH($C$1, {"All","Calls","Puts"}, 0),
            Sheet1!BN$619:BN$819,
            Sheet1!AR$619:AR$819,
            Sheet1!AS$619:AS$819
        ),
        MATCH($A158, Sheet1!N$619:N$819, 0)
    ),
"")</f>
        <v/>
      </c>
      <c r="F158" s="152" t="str">
        <f>IFERROR(
    INDEX(
        CHOOSE(
            MATCH($C$1, {"All","Calls","Puts"}, 0),
            Sheet1!BN$822:BN$1022,
            Sheet1!AR$822:AR$1022,
            Sheet1!AS$822:AS$1022
        ),
        MATCH($A158, Sheet1!N$822:N$1022, 0)
    ),
"")</f>
        <v/>
      </c>
      <c r="G158" s="152" t="str">
        <f>IFERROR(
    INDEX(
        CHOOSE(
            MATCH($C$1, {"All","Calls","Puts"}, 0),
            Sheet1!BN$1025:BN$1225,
            Sheet1!AR$1025:AR$1225,
            Sheet1!AS$1025:AS$1225
        ),
        MATCH($A158, Sheet1!N$1025:N$1225, 0)
    ),
"")</f>
        <v/>
      </c>
      <c r="H158" s="152" t="str">
        <f>IFERROR(
    INDEX(
        CHOOSE(
            MATCH($C$1, {"All","Calls","Puts"}, 0),
            Sheet1!BN$1228:BN$1428,
            Sheet1!AR$1228:AR$1428,
            Sheet1!AS$1228:AS$1428
        ),
        MATCH($A158, Sheet1!N$1228:N$1428, 0)
    ),
"")</f>
        <v/>
      </c>
      <c r="I158" s="152" t="str">
        <f>IFERROR(
    INDEX(
        CHOOSE(
            MATCH($C$1, {"All","Calls","Puts"}, 0),
            Sheet1!BN$1431:BN$1631,
            Sheet1!AR$1431:AR$1631,
            Sheet1!AS$1431:AS$1631
        ),
        MATCH($A158, Sheet1!N$1431:N$1631, 0)
    ),
"")</f>
        <v/>
      </c>
      <c r="J158" s="73" t="str">
        <f t="shared" si="10"/>
        <v/>
      </c>
      <c r="K158" s="98"/>
      <c r="L158" s="131">
        <f>IFERROR(MIN(0,INDEX(Sheet1!$AD$10:$AD$999,MATCH(A158,Sheet1!$N$10:$N$999,0))),0)</f>
        <v>0</v>
      </c>
      <c r="M158" s="136">
        <f>IFERROR(MAX(0,INDEX(Sheet1!$AE$10:$AE$999,MATCH(A158,Sheet1!$N$10:$N$999,0))),0)</f>
        <v>0</v>
      </c>
      <c r="N158" s="111" t="str">
        <f t="shared" si="11"/>
        <v/>
      </c>
      <c r="O158" s="139">
        <f>IFERROR(MIN(0,INDEX(Sheet1!$AP$10:$AP$999,MATCH(A158,Sheet1!$N$10:$N$999,0))),0)</f>
        <v>0</v>
      </c>
      <c r="P158" s="143">
        <f>IFERROR(MAX(0,INDEX(Sheet1!$AO$10:$AO$999,MATCH(A158,Sheet1!$N$10:$N$999,0))),0)</f>
        <v>0</v>
      </c>
      <c r="Q158" s="111" t="str">
        <f t="shared" si="12"/>
        <v/>
      </c>
      <c r="R158" s="140">
        <f>IFERROR(MIN(0,INDEX(Sheet1!$BK$10:$BK$999,MATCH(A158,Sheet1!$N$10:$N$999,0))),0)</f>
        <v>0</v>
      </c>
      <c r="S158" s="141">
        <f>IFERROR(MAX(0,INDEX(Sheet1!$BK$10:$BK$999,MATCH(A158,Sheet1!$N$10:$N$999,0))),0)</f>
        <v>0</v>
      </c>
      <c r="T158" s="116"/>
      <c r="AA158" s="96"/>
    </row>
    <row r="159" spans="1:27" ht="18" x14ac:dyDescent="0.25">
      <c r="A159" s="44"/>
      <c r="B159" s="152" t="str">
        <f>IFERROR(
    INDEX(
        CHOOSE(
            MATCH($C$1, {"All","Calls","Puts"}, 0),
            Sheet1!BN$10:BN$210,
            Sheet1!AR$10:AR$210,
            Sheet1!AS$10:AS$210
        ),
        MATCH($A159, Sheet1!N$10:N$210, 0)
    ),
"")</f>
        <v/>
      </c>
      <c r="C159" s="152" t="str">
        <f>IFERROR(
    INDEX(
        CHOOSE(
            MATCH($C$1, {"All","Calls","Puts"}, 0),
            Sheet1!BN$213:BN$413,
            Sheet1!AR$213:AR$413,
            Sheet1!AS$213:AS$413
        ),
        MATCH($A159, Sheet1!N$213:N$413, 0)
    ),
"")</f>
        <v/>
      </c>
      <c r="D159" s="152" t="str">
        <f>IFERROR(
    INDEX(
        CHOOSE(
            MATCH($C$1, {"All","Calls","Puts"}, 0),
            Sheet1!BN$416:BN$616,
            Sheet1!AR$416:AR$616,
            Sheet1!AS$416:AS$616
        ),
        MATCH($A159, Sheet1!N$416:N$616, 0)
    ),
"")</f>
        <v/>
      </c>
      <c r="E159" s="152" t="str">
        <f>IFERROR(
    INDEX(
        CHOOSE(
            MATCH($C$1, {"All","Calls","Puts"}, 0),
            Sheet1!BN$619:BN$819,
            Sheet1!AR$619:AR$819,
            Sheet1!AS$619:AS$819
        ),
        MATCH($A159, Sheet1!N$619:N$819, 0)
    ),
"")</f>
        <v/>
      </c>
      <c r="F159" s="152" t="str">
        <f>IFERROR(
    INDEX(
        CHOOSE(
            MATCH($C$1, {"All","Calls","Puts"}, 0),
            Sheet1!BN$822:BN$1022,
            Sheet1!AR$822:AR$1022,
            Sheet1!AS$822:AS$1022
        ),
        MATCH($A159, Sheet1!N$822:N$1022, 0)
    ),
"")</f>
        <v/>
      </c>
      <c r="G159" s="152" t="str">
        <f>IFERROR(
    INDEX(
        CHOOSE(
            MATCH($C$1, {"All","Calls","Puts"}, 0),
            Sheet1!BN$1025:BN$1225,
            Sheet1!AR$1025:AR$1225,
            Sheet1!AS$1025:AS$1225
        ),
        MATCH($A159, Sheet1!N$1025:N$1225, 0)
    ),
"")</f>
        <v/>
      </c>
      <c r="H159" s="152" t="str">
        <f>IFERROR(
    INDEX(
        CHOOSE(
            MATCH($C$1, {"All","Calls","Puts"}, 0),
            Sheet1!BN$1228:BN$1428,
            Sheet1!AR$1228:AR$1428,
            Sheet1!AS$1228:AS$1428
        ),
        MATCH($A159, Sheet1!N$1228:N$1428, 0)
    ),
"")</f>
        <v/>
      </c>
      <c r="I159" s="152" t="str">
        <f>IFERROR(
    INDEX(
        CHOOSE(
            MATCH($C$1, {"All","Calls","Puts"}, 0),
            Sheet1!BN$1431:BN$1631,
            Sheet1!AR$1431:AR$1631,
            Sheet1!AS$1431:AS$1631
        ),
        MATCH($A159, Sheet1!N$1431:N$1631, 0)
    ),
"")</f>
        <v/>
      </c>
      <c r="J159" s="73" t="str">
        <f t="shared" si="10"/>
        <v/>
      </c>
      <c r="K159" s="98"/>
      <c r="L159" s="131">
        <f>IFERROR(MIN(0,INDEX(Sheet1!$AD$10:$AD$999,MATCH(A159,Sheet1!$N$10:$N$999,0))),0)</f>
        <v>0</v>
      </c>
      <c r="M159" s="136">
        <f>IFERROR(MAX(0,INDEX(Sheet1!$AE$10:$AE$999,MATCH(A159,Sheet1!$N$10:$N$999,0))),0)</f>
        <v>0</v>
      </c>
      <c r="N159" s="111" t="str">
        <f t="shared" si="11"/>
        <v/>
      </c>
      <c r="O159" s="139">
        <f>IFERROR(MIN(0,INDEX(Sheet1!$AP$10:$AP$999,MATCH(A159,Sheet1!$N$10:$N$999,0))),0)</f>
        <v>0</v>
      </c>
      <c r="P159" s="143">
        <f>IFERROR(MAX(0,INDEX(Sheet1!$AO$10:$AO$999,MATCH(A159,Sheet1!$N$10:$N$999,0))),0)</f>
        <v>0</v>
      </c>
      <c r="Q159" s="111" t="str">
        <f t="shared" si="12"/>
        <v/>
      </c>
      <c r="R159" s="140">
        <f>IFERROR(MIN(0,INDEX(Sheet1!$BK$10:$BK$999,MATCH(A159,Sheet1!$N$10:$N$999,0))),0)</f>
        <v>0</v>
      </c>
      <c r="S159" s="141">
        <f>IFERROR(MAX(0,INDEX(Sheet1!$BK$10:$BK$999,MATCH(A159,Sheet1!$N$10:$N$999,0))),0)</f>
        <v>0</v>
      </c>
      <c r="T159" s="116"/>
      <c r="AA159" s="96"/>
    </row>
    <row r="160" spans="1:27" ht="18" x14ac:dyDescent="0.25">
      <c r="A160" s="44"/>
      <c r="B160" s="152" t="str">
        <f>IFERROR(
    INDEX(
        CHOOSE(
            MATCH($C$1, {"All","Calls","Puts"}, 0),
            Sheet1!BN$10:BN$210,
            Sheet1!AR$10:AR$210,
            Sheet1!AS$10:AS$210
        ),
        MATCH($A160, Sheet1!N$10:N$210, 0)
    ),
"")</f>
        <v/>
      </c>
      <c r="C160" s="152" t="str">
        <f>IFERROR(
    INDEX(
        CHOOSE(
            MATCH($C$1, {"All","Calls","Puts"}, 0),
            Sheet1!BN$213:BN$413,
            Sheet1!AR$213:AR$413,
            Sheet1!AS$213:AS$413
        ),
        MATCH($A160, Sheet1!N$213:N$413, 0)
    ),
"")</f>
        <v/>
      </c>
      <c r="D160" s="152" t="str">
        <f>IFERROR(
    INDEX(
        CHOOSE(
            MATCH($C$1, {"All","Calls","Puts"}, 0),
            Sheet1!BN$416:BN$616,
            Sheet1!AR$416:AR$616,
            Sheet1!AS$416:AS$616
        ),
        MATCH($A160, Sheet1!N$416:N$616, 0)
    ),
"")</f>
        <v/>
      </c>
      <c r="E160" s="152" t="str">
        <f>IFERROR(
    INDEX(
        CHOOSE(
            MATCH($C$1, {"All","Calls","Puts"}, 0),
            Sheet1!BN$619:BN$819,
            Sheet1!AR$619:AR$819,
            Sheet1!AS$619:AS$819
        ),
        MATCH($A160, Sheet1!N$619:N$819, 0)
    ),
"")</f>
        <v/>
      </c>
      <c r="F160" s="152" t="str">
        <f>IFERROR(
    INDEX(
        CHOOSE(
            MATCH($C$1, {"All","Calls","Puts"}, 0),
            Sheet1!BN$822:BN$1022,
            Sheet1!AR$822:AR$1022,
            Sheet1!AS$822:AS$1022
        ),
        MATCH($A160, Sheet1!N$822:N$1022, 0)
    ),
"")</f>
        <v/>
      </c>
      <c r="G160" s="152" t="str">
        <f>IFERROR(
    INDEX(
        CHOOSE(
            MATCH($C$1, {"All","Calls","Puts"}, 0),
            Sheet1!BN$1025:BN$1225,
            Sheet1!AR$1025:AR$1225,
            Sheet1!AS$1025:AS$1225
        ),
        MATCH($A160, Sheet1!N$1025:N$1225, 0)
    ),
"")</f>
        <v/>
      </c>
      <c r="H160" s="152" t="str">
        <f>IFERROR(
    INDEX(
        CHOOSE(
            MATCH($C$1, {"All","Calls","Puts"}, 0),
            Sheet1!BN$1228:BN$1428,
            Sheet1!AR$1228:AR$1428,
            Sheet1!AS$1228:AS$1428
        ),
        MATCH($A160, Sheet1!N$1228:N$1428, 0)
    ),
"")</f>
        <v/>
      </c>
      <c r="I160" s="152" t="str">
        <f>IFERROR(
    INDEX(
        CHOOSE(
            MATCH($C$1, {"All","Calls","Puts"}, 0),
            Sheet1!BN$1431:BN$1631,
            Sheet1!AR$1431:AR$1631,
            Sheet1!AS$1431:AS$1631
        ),
        MATCH($A160, Sheet1!N$1431:N$1631, 0)
    ),
"")</f>
        <v/>
      </c>
      <c r="J160" s="73" t="str">
        <f t="shared" si="10"/>
        <v/>
      </c>
      <c r="K160" s="98"/>
      <c r="L160" s="131">
        <f>IFERROR(MIN(0,INDEX(Sheet1!$AD$10:$AD$999,MATCH(A160,Sheet1!$N$10:$N$999,0))),0)</f>
        <v>0</v>
      </c>
      <c r="M160" s="137">
        <f>IFERROR(MAX(0,INDEX(Sheet1!$AE$10:$AE$999,MATCH(A160,Sheet1!$N$10:$N$999,0))),0)</f>
        <v>0</v>
      </c>
      <c r="N160" s="111" t="str">
        <f t="shared" si="11"/>
        <v/>
      </c>
      <c r="O160" s="139">
        <f>IFERROR(MIN(0,INDEX(Sheet1!$AP$10:$AP$999,MATCH(A160,Sheet1!$N$10:$N$999,0))),0)</f>
        <v>0</v>
      </c>
      <c r="P160" s="143">
        <f>IFERROR(MAX(0,INDEX(Sheet1!$AO$10:$AO$999,MATCH(A160,Sheet1!$N$10:$N$999,0))),0)</f>
        <v>0</v>
      </c>
      <c r="Q160" s="111" t="str">
        <f t="shared" si="12"/>
        <v/>
      </c>
      <c r="R160" s="140">
        <f>IFERROR(MIN(0,INDEX(Sheet1!$BK$10:$BK$999,MATCH(A160,Sheet1!$N$10:$N$999,0))),0)</f>
        <v>0</v>
      </c>
      <c r="S160" s="141">
        <f>IFERROR(MAX(0,INDEX(Sheet1!$BK$10:$BK$999,MATCH(A160,Sheet1!$N$10:$N$999,0))),0)</f>
        <v>0</v>
      </c>
      <c r="T160" s="116"/>
      <c r="AA160" s="96"/>
    </row>
    <row r="161" spans="1:27" ht="18" x14ac:dyDescent="0.25">
      <c r="A161" s="44"/>
      <c r="B161" s="152" t="str">
        <f>IFERROR(
    INDEX(
        CHOOSE(
            MATCH($C$1, {"All","Calls","Puts"}, 0),
            Sheet1!BN$10:BN$210,
            Sheet1!AR$10:AR$210,
            Sheet1!AS$10:AS$210
        ),
        MATCH($A161, Sheet1!N$10:N$210, 0)
    ),
"")</f>
        <v/>
      </c>
      <c r="C161" s="152" t="str">
        <f>IFERROR(
    INDEX(
        CHOOSE(
            MATCH($C$1, {"All","Calls","Puts"}, 0),
            Sheet1!BN$213:BN$413,
            Sheet1!AR$213:AR$413,
            Sheet1!AS$213:AS$413
        ),
        MATCH($A161, Sheet1!N$213:N$413, 0)
    ),
"")</f>
        <v/>
      </c>
      <c r="D161" s="152" t="str">
        <f>IFERROR(
    INDEX(
        CHOOSE(
            MATCH($C$1, {"All","Calls","Puts"}, 0),
            Sheet1!BN$416:BN$616,
            Sheet1!AR$416:AR$616,
            Sheet1!AS$416:AS$616
        ),
        MATCH($A161, Sheet1!N$416:N$616, 0)
    ),
"")</f>
        <v/>
      </c>
      <c r="E161" s="152" t="str">
        <f>IFERROR(
    INDEX(
        CHOOSE(
            MATCH($C$1, {"All","Calls","Puts"}, 0),
            Sheet1!BN$619:BN$819,
            Sheet1!AR$619:AR$819,
            Sheet1!AS$619:AS$819
        ),
        MATCH($A161, Sheet1!N$619:N$819, 0)
    ),
"")</f>
        <v/>
      </c>
      <c r="F161" s="152" t="str">
        <f>IFERROR(
    INDEX(
        CHOOSE(
            MATCH($C$1, {"All","Calls","Puts"}, 0),
            Sheet1!BN$822:BN$1022,
            Sheet1!AR$822:AR$1022,
            Sheet1!AS$822:AS$1022
        ),
        MATCH($A161, Sheet1!N$822:N$1022, 0)
    ),
"")</f>
        <v/>
      </c>
      <c r="G161" s="152" t="str">
        <f>IFERROR(
    INDEX(
        CHOOSE(
            MATCH($C$1, {"All","Calls","Puts"}, 0),
            Sheet1!BN$1025:BN$1225,
            Sheet1!AR$1025:AR$1225,
            Sheet1!AS$1025:AS$1225
        ),
        MATCH($A161, Sheet1!N$1025:N$1225, 0)
    ),
"")</f>
        <v/>
      </c>
      <c r="H161" s="152" t="str">
        <f>IFERROR(
    INDEX(
        CHOOSE(
            MATCH($C$1, {"All","Calls","Puts"}, 0),
            Sheet1!BN$1228:BN$1428,
            Sheet1!AR$1228:AR$1428,
            Sheet1!AS$1228:AS$1428
        ),
        MATCH($A161, Sheet1!N$1228:N$1428, 0)
    ),
"")</f>
        <v/>
      </c>
      <c r="I161" s="152" t="str">
        <f>IFERROR(
    INDEX(
        CHOOSE(
            MATCH($C$1, {"All","Calls","Puts"}, 0),
            Sheet1!BN$1431:BN$1631,
            Sheet1!AR$1431:AR$1631,
            Sheet1!AS$1431:AS$1631
        ),
        MATCH($A161, Sheet1!N$1431:N$1631, 0)
    ),
"")</f>
        <v/>
      </c>
      <c r="J161" s="73" t="str">
        <f t="shared" si="10"/>
        <v/>
      </c>
      <c r="K161" s="98"/>
      <c r="L161" s="131">
        <f>IFERROR(MIN(0,INDEX(Sheet1!$AD$10:$AD$999,MATCH(A161,Sheet1!$N$10:$N$999,0))),0)</f>
        <v>0</v>
      </c>
      <c r="M161" s="137">
        <f>IFERROR(MAX(0,INDEX(Sheet1!$AE$10:$AE$999,MATCH(A161,Sheet1!$N$10:$N$999,0))),0)</f>
        <v>0</v>
      </c>
      <c r="N161" s="111" t="str">
        <f t="shared" si="11"/>
        <v/>
      </c>
      <c r="O161" s="139">
        <f>IFERROR(MIN(0,INDEX(Sheet1!$AP$10:$AP$999,MATCH(A161,Sheet1!$N$10:$N$999,0))),0)</f>
        <v>0</v>
      </c>
      <c r="P161" s="143">
        <f>IFERROR(MAX(0,INDEX(Sheet1!$AO$10:$AO$999,MATCH(A161,Sheet1!$N$10:$N$999,0))),0)</f>
        <v>0</v>
      </c>
      <c r="Q161" s="111" t="str">
        <f t="shared" si="12"/>
        <v/>
      </c>
      <c r="R161" s="140">
        <f>IFERROR(MIN(0,INDEX(Sheet1!$BK$10:$BK$999,MATCH(A161,Sheet1!$N$10:$N$999,0))),0)</f>
        <v>0</v>
      </c>
      <c r="S161" s="141">
        <f>IFERROR(MAX(0,INDEX(Sheet1!$BK$10:$BK$999,MATCH(A161,Sheet1!$N$10:$N$999,0))),0)</f>
        <v>0</v>
      </c>
      <c r="T161" s="116"/>
      <c r="AA161" s="96"/>
    </row>
    <row r="162" spans="1:27" ht="18" x14ac:dyDescent="0.25">
      <c r="A162" s="44"/>
      <c r="B162" s="152" t="str">
        <f>IFERROR(
    INDEX(
        CHOOSE(
            MATCH($C$1, {"All","Calls","Puts"}, 0),
            Sheet1!BN$10:BN$210,
            Sheet1!AR$10:AR$210,
            Sheet1!AS$10:AS$210
        ),
        MATCH($A162, Sheet1!N$10:N$210, 0)
    ),
"")</f>
        <v/>
      </c>
      <c r="C162" s="152" t="str">
        <f>IFERROR(
    INDEX(
        CHOOSE(
            MATCH($C$1, {"All","Calls","Puts"}, 0),
            Sheet1!BN$213:BN$413,
            Sheet1!AR$213:AR$413,
            Sheet1!AS$213:AS$413
        ),
        MATCH($A162, Sheet1!N$213:N$413, 0)
    ),
"")</f>
        <v/>
      </c>
      <c r="D162" s="152" t="str">
        <f>IFERROR(
    INDEX(
        CHOOSE(
            MATCH($C$1, {"All","Calls","Puts"}, 0),
            Sheet1!BN$416:BN$616,
            Sheet1!AR$416:AR$616,
            Sheet1!AS$416:AS$616
        ),
        MATCH($A162, Sheet1!N$416:N$616, 0)
    ),
"")</f>
        <v/>
      </c>
      <c r="E162" s="152" t="str">
        <f>IFERROR(
    INDEX(
        CHOOSE(
            MATCH($C$1, {"All","Calls","Puts"}, 0),
            Sheet1!BN$619:BN$819,
            Sheet1!AR$619:AR$819,
            Sheet1!AS$619:AS$819
        ),
        MATCH($A162, Sheet1!N$619:N$819, 0)
    ),
"")</f>
        <v/>
      </c>
      <c r="F162" s="152" t="str">
        <f>IFERROR(
    INDEX(
        CHOOSE(
            MATCH($C$1, {"All","Calls","Puts"}, 0),
            Sheet1!BN$822:BN$1022,
            Sheet1!AR$822:AR$1022,
            Sheet1!AS$822:AS$1022
        ),
        MATCH($A162, Sheet1!N$822:N$1022, 0)
    ),
"")</f>
        <v/>
      </c>
      <c r="G162" s="152" t="str">
        <f>IFERROR(
    INDEX(
        CHOOSE(
            MATCH($C$1, {"All","Calls","Puts"}, 0),
            Sheet1!BN$1025:BN$1225,
            Sheet1!AR$1025:AR$1225,
            Sheet1!AS$1025:AS$1225
        ),
        MATCH($A162, Sheet1!N$1025:N$1225, 0)
    ),
"")</f>
        <v/>
      </c>
      <c r="H162" s="152" t="str">
        <f>IFERROR(
    INDEX(
        CHOOSE(
            MATCH($C$1, {"All","Calls","Puts"}, 0),
            Sheet1!BN$1228:BN$1428,
            Sheet1!AR$1228:AR$1428,
            Sheet1!AS$1228:AS$1428
        ),
        MATCH($A162, Sheet1!N$1228:N$1428, 0)
    ),
"")</f>
        <v/>
      </c>
      <c r="I162" s="152" t="str">
        <f>IFERROR(
    INDEX(
        CHOOSE(
            MATCH($C$1, {"All","Calls","Puts"}, 0),
            Sheet1!BN$1431:BN$1631,
            Sheet1!AR$1431:AR$1631,
            Sheet1!AS$1431:AS$1631
        ),
        MATCH($A162, Sheet1!N$1431:N$1631, 0)
    ),
"")</f>
        <v/>
      </c>
      <c r="J162" s="73" t="str">
        <f t="shared" si="10"/>
        <v/>
      </c>
      <c r="K162" s="98"/>
      <c r="L162" s="131">
        <f>IFERROR(MIN(0,INDEX(Sheet1!$AD$10:$AD$999,MATCH(A162,Sheet1!$N$10:$N$999,0))),0)</f>
        <v>0</v>
      </c>
      <c r="M162" s="137">
        <f>IFERROR(MAX(0,INDEX(Sheet1!$AE$10:$AE$999,MATCH(A162,Sheet1!$N$10:$N$999,0))),0)</f>
        <v>0</v>
      </c>
      <c r="N162" s="111" t="str">
        <f t="shared" si="11"/>
        <v/>
      </c>
      <c r="O162" s="139">
        <f>IFERROR(MIN(0,INDEX(Sheet1!$AP$10:$AP$999,MATCH(A162,Sheet1!$N$10:$N$999,0))),0)</f>
        <v>0</v>
      </c>
      <c r="P162" s="143">
        <f>IFERROR(MAX(0,INDEX(Sheet1!$AO$10:$AO$999,MATCH(A162,Sheet1!$N$10:$N$999,0))),0)</f>
        <v>0</v>
      </c>
      <c r="Q162" s="111" t="str">
        <f t="shared" si="12"/>
        <v/>
      </c>
      <c r="R162" s="140">
        <f>IFERROR(MIN(0,INDEX(Sheet1!$BK$10:$BK$999,MATCH(A162,Sheet1!$N$10:$N$999,0))),0)</f>
        <v>0</v>
      </c>
      <c r="S162" s="141">
        <f>IFERROR(MAX(0,INDEX(Sheet1!$BK$10:$BK$999,MATCH(A162,Sheet1!$N$10:$N$999,0))),0)</f>
        <v>0</v>
      </c>
      <c r="T162" s="116"/>
      <c r="AA162" s="96"/>
    </row>
    <row r="163" spans="1:27" ht="18" x14ac:dyDescent="0.25">
      <c r="A163" s="44"/>
      <c r="B163" s="152" t="str">
        <f>IFERROR(
    INDEX(
        CHOOSE(
            MATCH($C$1, {"All","Calls","Puts"}, 0),
            Sheet1!BN$10:BN$210,
            Sheet1!AR$10:AR$210,
            Sheet1!AS$10:AS$210
        ),
        MATCH($A163, Sheet1!N$10:N$210, 0)
    ),
"")</f>
        <v/>
      </c>
      <c r="C163" s="152" t="str">
        <f>IFERROR(
    INDEX(
        CHOOSE(
            MATCH($C$1, {"All","Calls","Puts"}, 0),
            Sheet1!BN$213:BN$413,
            Sheet1!AR$213:AR$413,
            Sheet1!AS$213:AS$413
        ),
        MATCH($A163, Sheet1!N$213:N$413, 0)
    ),
"")</f>
        <v/>
      </c>
      <c r="D163" s="152" t="str">
        <f>IFERROR(
    INDEX(
        CHOOSE(
            MATCH($C$1, {"All","Calls","Puts"}, 0),
            Sheet1!BN$416:BN$616,
            Sheet1!AR$416:AR$616,
            Sheet1!AS$416:AS$616
        ),
        MATCH($A163, Sheet1!N$416:N$616, 0)
    ),
"")</f>
        <v/>
      </c>
      <c r="E163" s="152" t="str">
        <f>IFERROR(
    INDEX(
        CHOOSE(
            MATCH($C$1, {"All","Calls","Puts"}, 0),
            Sheet1!BN$619:BN$819,
            Sheet1!AR$619:AR$819,
            Sheet1!AS$619:AS$819
        ),
        MATCH($A163, Sheet1!N$619:N$819, 0)
    ),
"")</f>
        <v/>
      </c>
      <c r="F163" s="152" t="str">
        <f>IFERROR(
    INDEX(
        CHOOSE(
            MATCH($C$1, {"All","Calls","Puts"}, 0),
            Sheet1!BN$822:BN$1022,
            Sheet1!AR$822:AR$1022,
            Sheet1!AS$822:AS$1022
        ),
        MATCH($A163, Sheet1!N$822:N$1022, 0)
    ),
"")</f>
        <v/>
      </c>
      <c r="G163" s="152" t="str">
        <f>IFERROR(
    INDEX(
        CHOOSE(
            MATCH($C$1, {"All","Calls","Puts"}, 0),
            Sheet1!BN$1025:BN$1225,
            Sheet1!AR$1025:AR$1225,
            Sheet1!AS$1025:AS$1225
        ),
        MATCH($A163, Sheet1!N$1025:N$1225, 0)
    ),
"")</f>
        <v/>
      </c>
      <c r="H163" s="152" t="str">
        <f>IFERROR(
    INDEX(
        CHOOSE(
            MATCH($C$1, {"All","Calls","Puts"}, 0),
            Sheet1!BN$1228:BN$1428,
            Sheet1!AR$1228:AR$1428,
            Sheet1!AS$1228:AS$1428
        ),
        MATCH($A163, Sheet1!N$1228:N$1428, 0)
    ),
"")</f>
        <v/>
      </c>
      <c r="I163" s="152" t="str">
        <f>IFERROR(
    INDEX(
        CHOOSE(
            MATCH($C$1, {"All","Calls","Puts"}, 0),
            Sheet1!BN$1431:BN$1631,
            Sheet1!AR$1431:AR$1631,
            Sheet1!AS$1431:AS$1631
        ),
        MATCH($A163, Sheet1!N$1431:N$1631, 0)
    ),
"")</f>
        <v/>
      </c>
      <c r="J163" s="73" t="str">
        <f t="shared" si="10"/>
        <v/>
      </c>
      <c r="K163" s="98"/>
      <c r="L163" s="131">
        <f>IFERROR(MIN(0,INDEX(Sheet1!$AD$10:$AD$999,MATCH(A163,Sheet1!$N$10:$N$999,0))),0)</f>
        <v>0</v>
      </c>
      <c r="M163" s="137">
        <f>IFERROR(MAX(0,INDEX(Sheet1!$AE$10:$AE$999,MATCH(A163,Sheet1!$N$10:$N$999,0))),0)</f>
        <v>0</v>
      </c>
      <c r="N163" s="111" t="str">
        <f t="shared" si="11"/>
        <v/>
      </c>
      <c r="O163" s="139">
        <f>IFERROR(MIN(0,INDEX(Sheet1!$AP$10:$AP$999,MATCH(A163,Sheet1!$N$10:$N$999,0))),0)</f>
        <v>0</v>
      </c>
      <c r="P163" s="143">
        <f>IFERROR(MAX(0,INDEX(Sheet1!$AO$10:$AO$999,MATCH(A163,Sheet1!$N$10:$N$999,0))),0)</f>
        <v>0</v>
      </c>
      <c r="R163" s="140">
        <f>IFERROR(MIN(0,INDEX(Sheet1!$BK$10:$BK$999,MATCH(A163,Sheet1!$N$10:$N$999,0))),0)</f>
        <v>0</v>
      </c>
      <c r="S163" s="141">
        <f>IFERROR(MAX(0,INDEX(Sheet1!$BK$10:$BK$999,MATCH(A163,Sheet1!$N$10:$N$999,0))),0)</f>
        <v>0</v>
      </c>
      <c r="T163" s="116"/>
      <c r="AA163" s="96"/>
    </row>
    <row r="164" spans="1:27" ht="18" x14ac:dyDescent="0.25">
      <c r="A164" s="44"/>
      <c r="B164" s="152" t="str">
        <f>IFERROR(
    INDEX(
        CHOOSE(
            MATCH($C$1, {"All","Calls","Puts"}, 0),
            Sheet1!BN$10:BN$210,
            Sheet1!AR$10:AR$210,
            Sheet1!AS$10:AS$210
        ),
        MATCH($A164, Sheet1!N$10:N$210, 0)
    ),
"")</f>
        <v/>
      </c>
      <c r="C164" s="152" t="str">
        <f>IFERROR(
    INDEX(
        CHOOSE(
            MATCH($C$1, {"All","Calls","Puts"}, 0),
            Sheet1!BN$213:BN$413,
            Sheet1!AR$213:AR$413,
            Sheet1!AS$213:AS$413
        ),
        MATCH($A164, Sheet1!N$213:N$413, 0)
    ),
"")</f>
        <v/>
      </c>
      <c r="D164" s="152" t="str">
        <f>IFERROR(
    INDEX(
        CHOOSE(
            MATCH($C$1, {"All","Calls","Puts"}, 0),
            Sheet1!BN$416:BN$616,
            Sheet1!AR$416:AR$616,
            Sheet1!AS$416:AS$616
        ),
        MATCH($A164, Sheet1!N$416:N$616, 0)
    ),
"")</f>
        <v/>
      </c>
      <c r="E164" s="152" t="str">
        <f>IFERROR(
    INDEX(
        CHOOSE(
            MATCH($C$1, {"All","Calls","Puts"}, 0),
            Sheet1!BN$619:BN$819,
            Sheet1!AR$619:AR$819,
            Sheet1!AS$619:AS$819
        ),
        MATCH($A164, Sheet1!N$619:N$819, 0)
    ),
"")</f>
        <v/>
      </c>
      <c r="F164" s="152" t="str">
        <f>IFERROR(
    INDEX(
        CHOOSE(
            MATCH($C$1, {"All","Calls","Puts"}, 0),
            Sheet1!BN$822:BN$1022,
            Sheet1!AR$822:AR$1022,
            Sheet1!AS$822:AS$1022
        ),
        MATCH($A164, Sheet1!N$822:N$1022, 0)
    ),
"")</f>
        <v/>
      </c>
      <c r="G164" s="152" t="str">
        <f>IFERROR(
    INDEX(
        CHOOSE(
            MATCH($C$1, {"All","Calls","Puts"}, 0),
            Sheet1!BN$1025:BN$1225,
            Sheet1!AR$1025:AR$1225,
            Sheet1!AS$1025:AS$1225
        ),
        MATCH($A164, Sheet1!N$1025:N$1225, 0)
    ),
"")</f>
        <v/>
      </c>
      <c r="H164" s="152" t="str">
        <f>IFERROR(
    INDEX(
        CHOOSE(
            MATCH($C$1, {"All","Calls","Puts"}, 0),
            Sheet1!BN$1228:BN$1428,
            Sheet1!AR$1228:AR$1428,
            Sheet1!AS$1228:AS$1428
        ),
        MATCH($A164, Sheet1!N$1228:N$1428, 0)
    ),
"")</f>
        <v/>
      </c>
      <c r="I164" s="152" t="str">
        <f>IFERROR(
    INDEX(
        CHOOSE(
            MATCH($C$1, {"All","Calls","Puts"}, 0),
            Sheet1!BN$1431:BN$1631,
            Sheet1!AR$1431:AR$1631,
            Sheet1!AS$1431:AS$1631
        ),
        MATCH($A164, Sheet1!N$1431:N$1631, 0)
    ),
"")</f>
        <v/>
      </c>
      <c r="J164" s="73" t="str">
        <f t="shared" si="10"/>
        <v/>
      </c>
      <c r="K164" s="98"/>
      <c r="L164" s="131">
        <f>IFERROR(MIN(0,INDEX(Sheet1!$AD$10:$AD$999,MATCH(A164,Sheet1!$N$10:$N$999,0))),0)</f>
        <v>0</v>
      </c>
      <c r="M164" s="137">
        <f>IFERROR(MAX(0,INDEX(Sheet1!$AE$10:$AE$999,MATCH(A164,Sheet1!$N$10:$N$999,0))),0)</f>
        <v>0</v>
      </c>
      <c r="N164" s="111" t="str">
        <f t="shared" si="11"/>
        <v/>
      </c>
      <c r="O164" s="139">
        <f>IFERROR(MIN(0,INDEX(Sheet1!$AP$10:$AP$999,MATCH(A164,Sheet1!$N$10:$N$999,0))),0)</f>
        <v>0</v>
      </c>
      <c r="P164" s="143">
        <f>IFERROR(MAX(0,INDEX(Sheet1!$AO$10:$AO$999,MATCH(A164,Sheet1!$N$10:$N$999,0))),0)</f>
        <v>0</v>
      </c>
      <c r="R164" s="140">
        <f>IFERROR(MIN(0,INDEX(Sheet1!$BK$10:$BK$999,MATCH(A164,Sheet1!$N$10:$N$999,0))),0)</f>
        <v>0</v>
      </c>
      <c r="S164" s="141">
        <f>IFERROR(MAX(0,INDEX(Sheet1!$BK$10:$BK$999,MATCH(A164,Sheet1!$N$10:$N$999,0))),0)</f>
        <v>0</v>
      </c>
      <c r="T164" s="116"/>
      <c r="AA164" s="96"/>
    </row>
    <row r="165" spans="1:27" ht="18" x14ac:dyDescent="0.25">
      <c r="A165" s="44"/>
      <c r="B165" s="152" t="str">
        <f>IFERROR(
    INDEX(
        CHOOSE(
            MATCH($C$1, {"All","Calls","Puts"}, 0),
            Sheet1!BN$10:BN$210,
            Sheet1!AR$10:AR$210,
            Sheet1!AS$10:AS$210
        ),
        MATCH($A165, Sheet1!N$10:N$210, 0)
    ),
"")</f>
        <v/>
      </c>
      <c r="C165" s="152" t="str">
        <f>IFERROR(
    INDEX(
        CHOOSE(
            MATCH($C$1, {"All","Calls","Puts"}, 0),
            Sheet1!BN$213:BN$413,
            Sheet1!AR$213:AR$413,
            Sheet1!AS$213:AS$413
        ),
        MATCH($A165, Sheet1!N$213:N$413, 0)
    ),
"")</f>
        <v/>
      </c>
      <c r="D165" s="152" t="str">
        <f>IFERROR(
    INDEX(
        CHOOSE(
            MATCH($C$1, {"All","Calls","Puts"}, 0),
            Sheet1!BN$416:BN$616,
            Sheet1!AR$416:AR$616,
            Sheet1!AS$416:AS$616
        ),
        MATCH($A165, Sheet1!N$416:N$616, 0)
    ),
"")</f>
        <v/>
      </c>
      <c r="E165" s="152" t="str">
        <f>IFERROR(
    INDEX(
        CHOOSE(
            MATCH($C$1, {"All","Calls","Puts"}, 0),
            Sheet1!BN$619:BN$819,
            Sheet1!AR$619:AR$819,
            Sheet1!AS$619:AS$819
        ),
        MATCH($A165, Sheet1!N$619:N$819, 0)
    ),
"")</f>
        <v/>
      </c>
      <c r="F165" s="152" t="str">
        <f>IFERROR(
    INDEX(
        CHOOSE(
            MATCH($C$1, {"All","Calls","Puts"}, 0),
            Sheet1!BN$822:BN$1022,
            Sheet1!AR$822:AR$1022,
            Sheet1!AS$822:AS$1022
        ),
        MATCH($A165, Sheet1!N$822:N$1022, 0)
    ),
"")</f>
        <v/>
      </c>
      <c r="G165" s="152" t="str">
        <f>IFERROR(
    INDEX(
        CHOOSE(
            MATCH($C$1, {"All","Calls","Puts"}, 0),
            Sheet1!BN$1025:BN$1225,
            Sheet1!AR$1025:AR$1225,
            Sheet1!AS$1025:AS$1225
        ),
        MATCH($A165, Sheet1!N$1025:N$1225, 0)
    ),
"")</f>
        <v/>
      </c>
      <c r="H165" s="152" t="str">
        <f>IFERROR(
    INDEX(
        CHOOSE(
            MATCH($C$1, {"All","Calls","Puts"}, 0),
            Sheet1!BN$1228:BN$1428,
            Sheet1!AR$1228:AR$1428,
            Sheet1!AS$1228:AS$1428
        ),
        MATCH($A165, Sheet1!N$1228:N$1428, 0)
    ),
"")</f>
        <v/>
      </c>
      <c r="I165" s="152" t="str">
        <f>IFERROR(
    INDEX(
        CHOOSE(
            MATCH($C$1, {"All","Calls","Puts"}, 0),
            Sheet1!BN$1431:BN$1631,
            Sheet1!AR$1431:AR$1631,
            Sheet1!AS$1431:AS$1631
        ),
        MATCH($A165, Sheet1!N$1431:N$1631, 0)
    ),
"")</f>
        <v/>
      </c>
      <c r="J165" s="73" t="str">
        <f t="shared" si="10"/>
        <v/>
      </c>
      <c r="K165" s="98"/>
      <c r="L165" s="131">
        <f>IFERROR(MIN(0,INDEX(Sheet1!$AD$10:$AD$999,MATCH(A165,Sheet1!$N$10:$N$999,0))),0)</f>
        <v>0</v>
      </c>
      <c r="M165" s="137">
        <f>IFERROR(MAX(0,INDEX(Sheet1!$AE$10:$AE$999,MATCH(A165,Sheet1!$N$10:$N$999,0))),0)</f>
        <v>0</v>
      </c>
      <c r="N165" s="111" t="str">
        <f t="shared" si="11"/>
        <v/>
      </c>
      <c r="O165" s="139">
        <f>IFERROR(MIN(0,INDEX(Sheet1!$AP$10:$AP$999,MATCH(A165,Sheet1!$N$10:$N$999,0))),0)</f>
        <v>0</v>
      </c>
      <c r="P165" s="143">
        <f>IFERROR(MAX(0,INDEX(Sheet1!$AO$10:$AO$999,MATCH(A165,Sheet1!$N$10:$N$999,0))),0)</f>
        <v>0</v>
      </c>
      <c r="R165" s="140">
        <f>IFERROR(MIN(0,INDEX(Sheet1!$BK$10:$BK$999,MATCH(A165,Sheet1!$N$10:$N$999,0))),0)</f>
        <v>0</v>
      </c>
      <c r="S165" s="141">
        <f>IFERROR(MAX(0,INDEX(Sheet1!$BK$10:$BK$999,MATCH(A165,Sheet1!$N$10:$N$999,0))),0)</f>
        <v>0</v>
      </c>
      <c r="T165" s="116"/>
      <c r="AA165" s="96"/>
    </row>
    <row r="166" spans="1:27" ht="18" x14ac:dyDescent="0.25">
      <c r="A166" s="44"/>
      <c r="B166" s="152" t="str">
        <f>IFERROR(
    INDEX(
        CHOOSE(
            MATCH($C$1, {"All","Calls","Puts"}, 0),
            Sheet1!BN$10:BN$210,
            Sheet1!AR$10:AR$210,
            Sheet1!AS$10:AS$210
        ),
        MATCH($A166, Sheet1!N$10:N$210, 0)
    ),
"")</f>
        <v/>
      </c>
      <c r="C166" s="152" t="str">
        <f>IFERROR(
    INDEX(
        CHOOSE(
            MATCH($C$1, {"All","Calls","Puts"}, 0),
            Sheet1!BN$213:BN$413,
            Sheet1!AR$213:AR$413,
            Sheet1!AS$213:AS$413
        ),
        MATCH($A166, Sheet1!N$213:N$413, 0)
    ),
"")</f>
        <v/>
      </c>
      <c r="D166" s="152" t="str">
        <f>IFERROR(
    INDEX(
        CHOOSE(
            MATCH($C$1, {"All","Calls","Puts"}, 0),
            Sheet1!BN$416:BN$616,
            Sheet1!AR$416:AR$616,
            Sheet1!AS$416:AS$616
        ),
        MATCH($A166, Sheet1!N$416:N$616, 0)
    ),
"")</f>
        <v/>
      </c>
      <c r="E166" s="152" t="str">
        <f>IFERROR(
    INDEX(
        CHOOSE(
            MATCH($C$1, {"All","Calls","Puts"}, 0),
            Sheet1!BN$619:BN$819,
            Sheet1!AR$619:AR$819,
            Sheet1!AS$619:AS$819
        ),
        MATCH($A166, Sheet1!N$619:N$819, 0)
    ),
"")</f>
        <v/>
      </c>
      <c r="F166" s="152" t="str">
        <f>IFERROR(
    INDEX(
        CHOOSE(
            MATCH($C$1, {"All","Calls","Puts"}, 0),
            Sheet1!BN$822:BN$1022,
            Sheet1!AR$822:AR$1022,
            Sheet1!AS$822:AS$1022
        ),
        MATCH($A166, Sheet1!N$822:N$1022, 0)
    ),
"")</f>
        <v/>
      </c>
      <c r="G166" s="152" t="str">
        <f>IFERROR(
    INDEX(
        CHOOSE(
            MATCH($C$1, {"All","Calls","Puts"}, 0),
            Sheet1!BN$1025:BN$1225,
            Sheet1!AR$1025:AR$1225,
            Sheet1!AS$1025:AS$1225
        ),
        MATCH($A166, Sheet1!N$1025:N$1225, 0)
    ),
"")</f>
        <v/>
      </c>
      <c r="H166" s="152" t="str">
        <f>IFERROR(
    INDEX(
        CHOOSE(
            MATCH($C$1, {"All","Calls","Puts"}, 0),
            Sheet1!BN$1228:BN$1428,
            Sheet1!AR$1228:AR$1428,
            Sheet1!AS$1228:AS$1428
        ),
        MATCH($A166, Sheet1!N$1228:N$1428, 0)
    ),
"")</f>
        <v/>
      </c>
      <c r="I166" s="152" t="str">
        <f>IFERROR(
    INDEX(
        CHOOSE(
            MATCH($C$1, {"All","Calls","Puts"}, 0),
            Sheet1!BN$1431:BN$1631,
            Sheet1!AR$1431:AR$1631,
            Sheet1!AS$1431:AS$1631
        ),
        MATCH($A166, Sheet1!N$1431:N$1631, 0)
    ),
"")</f>
        <v/>
      </c>
      <c r="J166" s="73" t="str">
        <f t="shared" si="10"/>
        <v/>
      </c>
      <c r="K166" s="98"/>
      <c r="L166" s="131">
        <f>IFERROR(MIN(0,INDEX(Sheet1!$AD$10:$AD$999,MATCH(A166,Sheet1!$N$10:$N$999,0))),0)</f>
        <v>0</v>
      </c>
      <c r="M166" s="137">
        <f>IFERROR(MAX(0,INDEX(Sheet1!$AE$10:$AE$999,MATCH(A166,Sheet1!$N$10:$N$999,0))),0)</f>
        <v>0</v>
      </c>
      <c r="N166" s="111" t="str">
        <f t="shared" si="11"/>
        <v/>
      </c>
      <c r="O166" s="139">
        <f>IFERROR(MIN(0,INDEX(Sheet1!$AP$10:$AP$999,MATCH(A166,Sheet1!$N$10:$N$999,0))),0)</f>
        <v>0</v>
      </c>
      <c r="P166" s="143">
        <f>IFERROR(MAX(0,INDEX(Sheet1!$AO$10:$AO$999,MATCH(A166,Sheet1!$N$10:$N$999,0))),0)</f>
        <v>0</v>
      </c>
      <c r="R166" s="140">
        <f>IFERROR(MIN(0,INDEX(Sheet1!$BK$10:$BK$999,MATCH(A166,Sheet1!$N$10:$N$999,0))),0)</f>
        <v>0</v>
      </c>
      <c r="S166" s="141">
        <f>IFERROR(MAX(0,INDEX(Sheet1!$BK$10:$BK$999,MATCH(A166,Sheet1!$N$10:$N$999,0))),0)</f>
        <v>0</v>
      </c>
      <c r="T166" s="116"/>
      <c r="AA166" s="96"/>
    </row>
    <row r="167" spans="1:27" ht="18" x14ac:dyDescent="0.25">
      <c r="A167" s="44"/>
      <c r="B167" s="152" t="str">
        <f>IFERROR(
    INDEX(
        CHOOSE(
            MATCH($C$1, {"All","Calls","Puts"}, 0),
            Sheet1!BN$10:BN$210,
            Sheet1!AR$10:AR$210,
            Sheet1!AS$10:AS$210
        ),
        MATCH($A167, Sheet1!N$10:N$210, 0)
    ),
"")</f>
        <v/>
      </c>
      <c r="C167" s="152" t="str">
        <f>IFERROR(
    INDEX(
        CHOOSE(
            MATCH($C$1, {"All","Calls","Puts"}, 0),
            Sheet1!BN$213:BN$413,
            Sheet1!AR$213:AR$413,
            Sheet1!AS$213:AS$413
        ),
        MATCH($A167, Sheet1!N$213:N$413, 0)
    ),
"")</f>
        <v/>
      </c>
      <c r="D167" s="152" t="str">
        <f>IFERROR(
    INDEX(
        CHOOSE(
            MATCH($C$1, {"All","Calls","Puts"}, 0),
            Sheet1!BN$416:BN$616,
            Sheet1!AR$416:AR$616,
            Sheet1!AS$416:AS$616
        ),
        MATCH($A167, Sheet1!N$416:N$616, 0)
    ),
"")</f>
        <v/>
      </c>
      <c r="E167" s="152" t="str">
        <f>IFERROR(
    INDEX(
        CHOOSE(
            MATCH($C$1, {"All","Calls","Puts"}, 0),
            Sheet1!BN$619:BN$819,
            Sheet1!AR$619:AR$819,
            Sheet1!AS$619:AS$819
        ),
        MATCH($A167, Sheet1!N$619:N$819, 0)
    ),
"")</f>
        <v/>
      </c>
      <c r="F167" s="152" t="str">
        <f>IFERROR(
    INDEX(
        CHOOSE(
            MATCH($C$1, {"All","Calls","Puts"}, 0),
            Sheet1!BN$822:BN$1022,
            Sheet1!AR$822:AR$1022,
            Sheet1!AS$822:AS$1022
        ),
        MATCH($A167, Sheet1!N$822:N$1022, 0)
    ),
"")</f>
        <v/>
      </c>
      <c r="G167" s="152" t="str">
        <f>IFERROR(
    INDEX(
        CHOOSE(
            MATCH($C$1, {"All","Calls","Puts"}, 0),
            Sheet1!BN$1025:BN$1225,
            Sheet1!AR$1025:AR$1225,
            Sheet1!AS$1025:AS$1225
        ),
        MATCH($A167, Sheet1!N$1025:N$1225, 0)
    ),
"")</f>
        <v/>
      </c>
      <c r="H167" s="152" t="str">
        <f>IFERROR(
    INDEX(
        CHOOSE(
            MATCH($C$1, {"All","Calls","Puts"}, 0),
            Sheet1!BN$1228:BN$1428,
            Sheet1!AR$1228:AR$1428,
            Sheet1!AS$1228:AS$1428
        ),
        MATCH($A167, Sheet1!N$1228:N$1428, 0)
    ),
"")</f>
        <v/>
      </c>
      <c r="I167" s="152" t="str">
        <f>IFERROR(
    INDEX(
        CHOOSE(
            MATCH($C$1, {"All","Calls","Puts"}, 0),
            Sheet1!BN$1431:BN$1631,
            Sheet1!AR$1431:AR$1631,
            Sheet1!AS$1431:AS$1631
        ),
        MATCH($A167, Sheet1!N$1431:N$1631, 0)
    ),
"")</f>
        <v/>
      </c>
      <c r="J167" s="73" t="str">
        <f t="shared" si="10"/>
        <v/>
      </c>
      <c r="K167" s="98"/>
      <c r="L167" s="131">
        <f>IFERROR(MIN(0,INDEX(Sheet1!$AD$10:$AD$999,MATCH(A167,Sheet1!$N$10:$N$999,0))),0)</f>
        <v>0</v>
      </c>
      <c r="M167" s="137">
        <f>IFERROR(MAX(0,INDEX(Sheet1!$AE$10:$AE$999,MATCH(A167,Sheet1!$N$10:$N$999,0))),0)</f>
        <v>0</v>
      </c>
      <c r="N167" s="111" t="str">
        <f t="shared" si="11"/>
        <v/>
      </c>
      <c r="O167" s="139">
        <f>IFERROR(MIN(0,INDEX(Sheet1!$AP$10:$AP$999,MATCH(A167,Sheet1!$N$10:$N$999,0))),0)</f>
        <v>0</v>
      </c>
      <c r="P167" s="143">
        <f>IFERROR(MAX(0,INDEX(Sheet1!$AO$10:$AO$999,MATCH(A167,Sheet1!$N$10:$N$999,0))),0)</f>
        <v>0</v>
      </c>
      <c r="R167" s="140">
        <f>IFERROR(MIN(0,INDEX(Sheet1!$BK$10:$BK$999,MATCH(A167,Sheet1!$N$10:$N$999,0))),0)</f>
        <v>0</v>
      </c>
      <c r="S167" s="141">
        <f>IFERROR(MAX(0,INDEX(Sheet1!$BK$10:$BK$999,MATCH(A167,Sheet1!$N$10:$N$999,0))),0)</f>
        <v>0</v>
      </c>
      <c r="T167" s="116"/>
      <c r="AA167" s="96"/>
    </row>
    <row r="168" spans="1:27" ht="18" x14ac:dyDescent="0.25">
      <c r="A168" s="44"/>
      <c r="B168" s="152" t="str">
        <f>IFERROR(
    INDEX(
        CHOOSE(
            MATCH($C$1, {"All","Calls","Puts"}, 0),
            Sheet1!BN$10:BN$210,
            Sheet1!AR$10:AR$210,
            Sheet1!AS$10:AS$210
        ),
        MATCH($A168, Sheet1!N$10:N$210, 0)
    ),
"")</f>
        <v/>
      </c>
      <c r="C168" s="152" t="str">
        <f>IFERROR(
    INDEX(
        CHOOSE(
            MATCH($C$1, {"All","Calls","Puts"}, 0),
            Sheet1!BN$213:BN$413,
            Sheet1!AR$213:AR$413,
            Sheet1!AS$213:AS$413
        ),
        MATCH($A168, Sheet1!N$213:N$413, 0)
    ),
"")</f>
        <v/>
      </c>
      <c r="D168" s="152" t="str">
        <f>IFERROR(
    INDEX(
        CHOOSE(
            MATCH($C$1, {"All","Calls","Puts"}, 0),
            Sheet1!BN$416:BN$616,
            Sheet1!AR$416:AR$616,
            Sheet1!AS$416:AS$616
        ),
        MATCH($A168, Sheet1!N$416:N$616, 0)
    ),
"")</f>
        <v/>
      </c>
      <c r="E168" s="152" t="str">
        <f>IFERROR(
    INDEX(
        CHOOSE(
            MATCH($C$1, {"All","Calls","Puts"}, 0),
            Sheet1!BN$619:BN$819,
            Sheet1!AR$619:AR$819,
            Sheet1!AS$619:AS$819
        ),
        MATCH($A168, Sheet1!N$619:N$819, 0)
    ),
"")</f>
        <v/>
      </c>
      <c r="F168" s="152" t="str">
        <f>IFERROR(
    INDEX(
        CHOOSE(
            MATCH($C$1, {"All","Calls","Puts"}, 0),
            Sheet1!BN$822:BN$1022,
            Sheet1!AR$822:AR$1022,
            Sheet1!AS$822:AS$1022
        ),
        MATCH($A168, Sheet1!N$822:N$1022, 0)
    ),
"")</f>
        <v/>
      </c>
      <c r="G168" s="152" t="str">
        <f>IFERROR(
    INDEX(
        CHOOSE(
            MATCH($C$1, {"All","Calls","Puts"}, 0),
            Sheet1!BN$1025:BN$1225,
            Sheet1!AR$1025:AR$1225,
            Sheet1!AS$1025:AS$1225
        ),
        MATCH($A168, Sheet1!N$1025:N$1225, 0)
    ),
"")</f>
        <v/>
      </c>
      <c r="H168" s="152" t="str">
        <f>IFERROR(
    INDEX(
        CHOOSE(
            MATCH($C$1, {"All","Calls","Puts"}, 0),
            Sheet1!BN$1228:BN$1428,
            Sheet1!AR$1228:AR$1428,
            Sheet1!AS$1228:AS$1428
        ),
        MATCH($A168, Sheet1!N$1228:N$1428, 0)
    ),
"")</f>
        <v/>
      </c>
      <c r="I168" s="152" t="str">
        <f>IFERROR(
    INDEX(
        CHOOSE(
            MATCH($C$1, {"All","Calls","Puts"}, 0),
            Sheet1!BN$1431:BN$1631,
            Sheet1!AR$1431:AR$1631,
            Sheet1!AS$1431:AS$1631
        ),
        MATCH($A168, Sheet1!N$1431:N$1631, 0)
    ),
"")</f>
        <v/>
      </c>
      <c r="J168" s="73" t="str">
        <f t="shared" si="10"/>
        <v/>
      </c>
      <c r="K168" s="98"/>
      <c r="L168" s="131">
        <f>IFERROR(MIN(0,INDEX(Sheet1!$AD$10:$AD$999,MATCH(A168,Sheet1!$N$10:$N$999,0))),0)</f>
        <v>0</v>
      </c>
      <c r="M168" s="137">
        <f>IFERROR(MAX(0,INDEX(Sheet1!$AE$10:$AE$999,MATCH(A168,Sheet1!$N$10:$N$999,0))),0)</f>
        <v>0</v>
      </c>
      <c r="N168" s="111" t="str">
        <f t="shared" si="11"/>
        <v/>
      </c>
      <c r="O168" s="139">
        <f>IFERROR(MIN(0,INDEX(Sheet1!$AP$10:$AP$999,MATCH(A168,Sheet1!$N$10:$N$999,0))),0)</f>
        <v>0</v>
      </c>
      <c r="P168" s="143">
        <f>IFERROR(MAX(0,INDEX(Sheet1!$AO$10:$AO$999,MATCH(A168,Sheet1!$N$10:$N$999,0))),0)</f>
        <v>0</v>
      </c>
      <c r="R168" s="140">
        <f>IFERROR(MIN(0,INDEX(Sheet1!$BK$10:$BK$999,MATCH(A168,Sheet1!$N$10:$N$999,0))),0)</f>
        <v>0</v>
      </c>
      <c r="S168" s="141">
        <f>IFERROR(MAX(0,INDEX(Sheet1!$BK$10:$BK$999,MATCH(A168,Sheet1!$N$10:$N$999,0))),0)</f>
        <v>0</v>
      </c>
      <c r="T168" s="116"/>
      <c r="AA168" s="96"/>
    </row>
    <row r="169" spans="1:27" ht="18" x14ac:dyDescent="0.25">
      <c r="A169" s="44"/>
      <c r="B169" s="152" t="str">
        <f>IFERROR(
    INDEX(
        CHOOSE(
            MATCH($C$1, {"All","Calls","Puts"}, 0),
            Sheet1!BN$10:BN$210,
            Sheet1!AR$10:AR$210,
            Sheet1!AS$10:AS$210
        ),
        MATCH($A169, Sheet1!N$10:N$210, 0)
    ),
"")</f>
        <v/>
      </c>
      <c r="C169" s="152" t="str">
        <f>IFERROR(
    INDEX(
        CHOOSE(
            MATCH($C$1, {"All","Calls","Puts"}, 0),
            Sheet1!BN$213:BN$413,
            Sheet1!AR$213:AR$413,
            Sheet1!AS$213:AS$413
        ),
        MATCH($A169, Sheet1!N$213:N$413, 0)
    ),
"")</f>
        <v/>
      </c>
      <c r="D169" s="152" t="str">
        <f>IFERROR(
    INDEX(
        CHOOSE(
            MATCH($C$1, {"All","Calls","Puts"}, 0),
            Sheet1!BN$416:BN$616,
            Sheet1!AR$416:AR$616,
            Sheet1!AS$416:AS$616
        ),
        MATCH($A169, Sheet1!N$416:N$616, 0)
    ),
"")</f>
        <v/>
      </c>
      <c r="E169" s="152" t="str">
        <f>IFERROR(
    INDEX(
        CHOOSE(
            MATCH($C$1, {"All","Calls","Puts"}, 0),
            Sheet1!BN$619:BN$819,
            Sheet1!AR$619:AR$819,
            Sheet1!AS$619:AS$819
        ),
        MATCH($A169, Sheet1!N$619:N$819, 0)
    ),
"")</f>
        <v/>
      </c>
      <c r="F169" s="152" t="str">
        <f>IFERROR(
    INDEX(
        CHOOSE(
            MATCH($C$1, {"All","Calls","Puts"}, 0),
            Sheet1!BN$822:BN$1022,
            Sheet1!AR$822:AR$1022,
            Sheet1!AS$822:AS$1022
        ),
        MATCH($A169, Sheet1!N$822:N$1022, 0)
    ),
"")</f>
        <v/>
      </c>
      <c r="G169" s="152" t="str">
        <f>IFERROR(
    INDEX(
        CHOOSE(
            MATCH($C$1, {"All","Calls","Puts"}, 0),
            Sheet1!BN$1025:BN$1225,
            Sheet1!AR$1025:AR$1225,
            Sheet1!AS$1025:AS$1225
        ),
        MATCH($A169, Sheet1!N$1025:N$1225, 0)
    ),
"")</f>
        <v/>
      </c>
      <c r="H169" s="152" t="str">
        <f>IFERROR(
    INDEX(
        CHOOSE(
            MATCH($C$1, {"All","Calls","Puts"}, 0),
            Sheet1!BN$1228:BN$1428,
            Sheet1!AR$1228:AR$1428,
            Sheet1!AS$1228:AS$1428
        ),
        MATCH($A169, Sheet1!N$1228:N$1428, 0)
    ),
"")</f>
        <v/>
      </c>
      <c r="I169" s="152" t="str">
        <f>IFERROR(
    INDEX(
        CHOOSE(
            MATCH($C$1, {"All","Calls","Puts"}, 0),
            Sheet1!BN$1431:BN$1631,
            Sheet1!AR$1431:AR$1631,
            Sheet1!AS$1431:AS$1631
        ),
        MATCH($A169, Sheet1!N$1431:N$1631, 0)
    ),
"")</f>
        <v/>
      </c>
      <c r="J169" s="73" t="str">
        <f t="shared" si="10"/>
        <v/>
      </c>
      <c r="K169" s="98"/>
      <c r="L169" s="131">
        <f>IFERROR(MIN(0,INDEX(Sheet1!$AD$10:$AD$999,MATCH(A169,Sheet1!$N$10:$N$999,0))),0)</f>
        <v>0</v>
      </c>
      <c r="M169" s="137">
        <f>IFERROR(MAX(0,INDEX(Sheet1!$AE$10:$AE$999,MATCH(A169,Sheet1!$N$10:$N$999,0))),0)</f>
        <v>0</v>
      </c>
      <c r="N169" s="111" t="str">
        <f t="shared" si="11"/>
        <v/>
      </c>
      <c r="O169" s="139">
        <f>IFERROR(MIN(0,INDEX(Sheet1!$AP$10:$AP$999,MATCH(A169,Sheet1!$N$10:$N$999,0))),0)</f>
        <v>0</v>
      </c>
      <c r="P169" s="143">
        <f>IFERROR(MAX(0,INDEX(Sheet1!$AO$10:$AO$999,MATCH(A169,Sheet1!$N$10:$N$999,0))),0)</f>
        <v>0</v>
      </c>
      <c r="R169" s="140">
        <f>IFERROR(MIN(0,INDEX(Sheet1!$BK$10:$BK$999,MATCH(A169,Sheet1!$N$10:$N$999,0))),0)</f>
        <v>0</v>
      </c>
      <c r="S169" s="141">
        <f>IFERROR(MAX(0,INDEX(Sheet1!$BK$10:$BK$999,MATCH(A169,Sheet1!$N$10:$N$999,0))),0)</f>
        <v>0</v>
      </c>
      <c r="T169" s="116"/>
      <c r="AA169" s="96"/>
    </row>
    <row r="170" spans="1:27" ht="18" x14ac:dyDescent="0.25">
      <c r="A170" s="44"/>
      <c r="B170" s="152" t="str">
        <f>IFERROR(
    INDEX(
        CHOOSE(
            MATCH($C$1, {"All","Calls","Puts"}, 0),
            Sheet1!BN$10:BN$210,
            Sheet1!AR$10:AR$210,
            Sheet1!AS$10:AS$210
        ),
        MATCH($A170, Sheet1!N$10:N$210, 0)
    ),
"")</f>
        <v/>
      </c>
      <c r="C170" s="152" t="str">
        <f>IFERROR(
    INDEX(
        CHOOSE(
            MATCH($C$1, {"All","Calls","Puts"}, 0),
            Sheet1!BN$213:BN$413,
            Sheet1!AR$213:AR$413,
            Sheet1!AS$213:AS$413
        ),
        MATCH($A170, Sheet1!N$213:N$413, 0)
    ),
"")</f>
        <v/>
      </c>
      <c r="D170" s="152" t="str">
        <f>IFERROR(
    INDEX(
        CHOOSE(
            MATCH($C$1, {"All","Calls","Puts"}, 0),
            Sheet1!BN$416:BN$616,
            Sheet1!AR$416:AR$616,
            Sheet1!AS$416:AS$616
        ),
        MATCH($A170, Sheet1!N$416:N$616, 0)
    ),
"")</f>
        <v/>
      </c>
      <c r="E170" s="152" t="str">
        <f>IFERROR(
    INDEX(
        CHOOSE(
            MATCH($C$1, {"All","Calls","Puts"}, 0),
            Sheet1!BN$619:BN$819,
            Sheet1!AR$619:AR$819,
            Sheet1!AS$619:AS$819
        ),
        MATCH($A170, Sheet1!N$619:N$819, 0)
    ),
"")</f>
        <v/>
      </c>
      <c r="F170" s="152" t="str">
        <f>IFERROR(
    INDEX(
        CHOOSE(
            MATCH($C$1, {"All","Calls","Puts"}, 0),
            Sheet1!BN$822:BN$1022,
            Sheet1!AR$822:AR$1022,
            Sheet1!AS$822:AS$1022
        ),
        MATCH($A170, Sheet1!N$822:N$1022, 0)
    ),
"")</f>
        <v/>
      </c>
      <c r="G170" s="152" t="str">
        <f>IFERROR(
    INDEX(
        CHOOSE(
            MATCH($C$1, {"All","Calls","Puts"}, 0),
            Sheet1!BN$1025:BN$1225,
            Sheet1!AR$1025:AR$1225,
            Sheet1!AS$1025:AS$1225
        ),
        MATCH($A170, Sheet1!N$1025:N$1225, 0)
    ),
"")</f>
        <v/>
      </c>
      <c r="H170" s="152" t="str">
        <f>IFERROR(
    INDEX(
        CHOOSE(
            MATCH($C$1, {"All","Calls","Puts"}, 0),
            Sheet1!BN$1228:BN$1428,
            Sheet1!AR$1228:AR$1428,
            Sheet1!AS$1228:AS$1428
        ),
        MATCH($A170, Sheet1!N$1228:N$1428, 0)
    ),
"")</f>
        <v/>
      </c>
      <c r="I170" s="152" t="str">
        <f>IFERROR(
    INDEX(
        CHOOSE(
            MATCH($C$1, {"All","Calls","Puts"}, 0),
            Sheet1!BN$1431:BN$1631,
            Sheet1!AR$1431:AR$1631,
            Sheet1!AS$1431:AS$1631
        ),
        MATCH($A170, Sheet1!N$1431:N$1631, 0)
    ),
"")</f>
        <v/>
      </c>
      <c r="J170" s="73" t="str">
        <f t="shared" si="10"/>
        <v/>
      </c>
      <c r="K170" s="98"/>
      <c r="L170" s="131">
        <f>IFERROR(MIN(0,INDEX(Sheet1!$AD$10:$AD$999,MATCH(A170,Sheet1!$N$10:$N$999,0))),0)</f>
        <v>0</v>
      </c>
      <c r="M170" s="137">
        <f>IFERROR(MAX(0,INDEX(Sheet1!$AE$10:$AE$999,MATCH(A170,Sheet1!$N$10:$N$999,0))),0)</f>
        <v>0</v>
      </c>
      <c r="N170" s="111" t="str">
        <f t="shared" si="11"/>
        <v/>
      </c>
      <c r="O170" s="139">
        <f>IFERROR(MIN(0,INDEX(Sheet1!$AP$10:$AP$999,MATCH(A170,Sheet1!$N$10:$N$999,0))),0)</f>
        <v>0</v>
      </c>
      <c r="P170" s="143">
        <f>IFERROR(MAX(0,INDEX(Sheet1!$AO$10:$AO$999,MATCH(A170,Sheet1!$N$10:$N$999,0))),0)</f>
        <v>0</v>
      </c>
      <c r="R170" s="140">
        <f>IFERROR(MIN(0,INDEX(Sheet1!$BK$10:$BK$999,MATCH(A170,Sheet1!$N$10:$N$999,0))),0)</f>
        <v>0</v>
      </c>
      <c r="S170" s="141">
        <f>IFERROR(MAX(0,INDEX(Sheet1!$BK$10:$BK$999,MATCH(A170,Sheet1!$N$10:$N$999,0))),0)</f>
        <v>0</v>
      </c>
      <c r="T170" s="116"/>
      <c r="AA170" s="96"/>
    </row>
    <row r="171" spans="1:27" ht="18" x14ac:dyDescent="0.25">
      <c r="A171" s="44"/>
      <c r="B171" s="152" t="str">
        <f>IFERROR(
    INDEX(
        CHOOSE(
            MATCH($C$1, {"All","Calls","Puts"}, 0),
            Sheet1!BN$10:BN$210,
            Sheet1!AR$10:AR$210,
            Sheet1!AS$10:AS$210
        ),
        MATCH($A171, Sheet1!N$10:N$210, 0)
    ),
"")</f>
        <v/>
      </c>
      <c r="C171" s="152" t="str">
        <f>IFERROR(
    INDEX(
        CHOOSE(
            MATCH($C$1, {"All","Calls","Puts"}, 0),
            Sheet1!BN$213:BN$413,
            Sheet1!AR$213:AR$413,
            Sheet1!AS$213:AS$413
        ),
        MATCH($A171, Sheet1!N$213:N$413, 0)
    ),
"")</f>
        <v/>
      </c>
      <c r="D171" s="152" t="str">
        <f>IFERROR(
    INDEX(
        CHOOSE(
            MATCH($C$1, {"All","Calls","Puts"}, 0),
            Sheet1!BN$416:BN$616,
            Sheet1!AR$416:AR$616,
            Sheet1!AS$416:AS$616
        ),
        MATCH($A171, Sheet1!N$416:N$616, 0)
    ),
"")</f>
        <v/>
      </c>
      <c r="E171" s="152" t="str">
        <f>IFERROR(
    INDEX(
        CHOOSE(
            MATCH($C$1, {"All","Calls","Puts"}, 0),
            Sheet1!BN$619:BN$819,
            Sheet1!AR$619:AR$819,
            Sheet1!AS$619:AS$819
        ),
        MATCH($A171, Sheet1!N$619:N$819, 0)
    ),
"")</f>
        <v/>
      </c>
      <c r="F171" s="152" t="str">
        <f>IFERROR(
    INDEX(
        CHOOSE(
            MATCH($C$1, {"All","Calls","Puts"}, 0),
            Sheet1!BN$822:BN$1022,
            Sheet1!AR$822:AR$1022,
            Sheet1!AS$822:AS$1022
        ),
        MATCH($A171, Sheet1!N$822:N$1022, 0)
    ),
"")</f>
        <v/>
      </c>
      <c r="G171" s="152" t="str">
        <f>IFERROR(
    INDEX(
        CHOOSE(
            MATCH($C$1, {"All","Calls","Puts"}, 0),
            Sheet1!BN$1025:BN$1225,
            Sheet1!AR$1025:AR$1225,
            Sheet1!AS$1025:AS$1225
        ),
        MATCH($A171, Sheet1!N$1025:N$1225, 0)
    ),
"")</f>
        <v/>
      </c>
      <c r="H171" s="152" t="str">
        <f>IFERROR(
    INDEX(
        CHOOSE(
            MATCH($C$1, {"All","Calls","Puts"}, 0),
            Sheet1!BN$1228:BN$1428,
            Sheet1!AR$1228:AR$1428,
            Sheet1!AS$1228:AS$1428
        ),
        MATCH($A171, Sheet1!N$1228:N$1428, 0)
    ),
"")</f>
        <v/>
      </c>
      <c r="I171" s="152" t="str">
        <f>IFERROR(
    INDEX(
        CHOOSE(
            MATCH($C$1, {"All","Calls","Puts"}, 0),
            Sheet1!BN$1431:BN$1631,
            Sheet1!AR$1431:AR$1631,
            Sheet1!AS$1431:AS$1631
        ),
        MATCH($A171, Sheet1!N$1431:N$1631, 0)
    ),
"")</f>
        <v/>
      </c>
      <c r="J171" s="73" t="str">
        <f t="shared" si="10"/>
        <v/>
      </c>
      <c r="K171" s="98"/>
      <c r="L171" s="131">
        <f>IFERROR(MIN(0,INDEX(Sheet1!$AD$10:$AD$999,MATCH(A171,Sheet1!$N$10:$N$999,0))),0)</f>
        <v>0</v>
      </c>
      <c r="M171" s="137">
        <f>IFERROR(MAX(0,INDEX(Sheet1!$AE$10:$AE$999,MATCH(A171,Sheet1!$N$10:$N$999,0))),0)</f>
        <v>0</v>
      </c>
      <c r="N171" s="111" t="str">
        <f t="shared" si="11"/>
        <v/>
      </c>
      <c r="O171" s="139">
        <f>IFERROR(MIN(0,INDEX(Sheet1!$AP$10:$AP$999,MATCH(A171,Sheet1!$N$10:$N$999,0))),0)</f>
        <v>0</v>
      </c>
      <c r="P171" s="143">
        <f>IFERROR(MAX(0,INDEX(Sheet1!$AO$10:$AO$999,MATCH(A171,Sheet1!$N$10:$N$999,0))),0)</f>
        <v>0</v>
      </c>
      <c r="R171" s="140">
        <f>IFERROR(MIN(0,INDEX(Sheet1!$BK$10:$BK$999,MATCH(A171,Sheet1!$N$10:$N$999,0))),0)</f>
        <v>0</v>
      </c>
      <c r="S171" s="141">
        <f>IFERROR(MAX(0,INDEX(Sheet1!$BK$10:$BK$999,MATCH(A171,Sheet1!$N$10:$N$999,0))),0)</f>
        <v>0</v>
      </c>
      <c r="T171" s="116"/>
      <c r="AA171" s="96"/>
    </row>
    <row r="172" spans="1:27" ht="18" x14ac:dyDescent="0.25">
      <c r="A172" s="44"/>
      <c r="B172" s="152" t="str">
        <f>IFERROR(
    INDEX(
        CHOOSE(
            MATCH($C$1, {"All","Calls","Puts"}, 0),
            Sheet1!BN$10:BN$210,
            Sheet1!AR$10:AR$210,
            Sheet1!AS$10:AS$210
        ),
        MATCH($A172, Sheet1!N$10:N$210, 0)
    ),
"")</f>
        <v/>
      </c>
      <c r="C172" s="152" t="str">
        <f>IFERROR(
    INDEX(
        CHOOSE(
            MATCH($C$1, {"All","Calls","Puts"}, 0),
            Sheet1!BN$213:BN$413,
            Sheet1!AR$213:AR$413,
            Sheet1!AS$213:AS$413
        ),
        MATCH($A172, Sheet1!N$213:N$413, 0)
    ),
"")</f>
        <v/>
      </c>
      <c r="D172" s="152" t="str">
        <f>IFERROR(
    INDEX(
        CHOOSE(
            MATCH($C$1, {"All","Calls","Puts"}, 0),
            Sheet1!BN$416:BN$616,
            Sheet1!AR$416:AR$616,
            Sheet1!AS$416:AS$616
        ),
        MATCH($A172, Sheet1!N$416:N$616, 0)
    ),
"")</f>
        <v/>
      </c>
      <c r="E172" s="152" t="str">
        <f>IFERROR(
    INDEX(
        CHOOSE(
            MATCH($C$1, {"All","Calls","Puts"}, 0),
            Sheet1!BN$619:BN$819,
            Sheet1!AR$619:AR$819,
            Sheet1!AS$619:AS$819
        ),
        MATCH($A172, Sheet1!N$619:N$819, 0)
    ),
"")</f>
        <v/>
      </c>
      <c r="F172" s="152" t="str">
        <f>IFERROR(
    INDEX(
        CHOOSE(
            MATCH($C$1, {"All","Calls","Puts"}, 0),
            Sheet1!BN$822:BN$1022,
            Sheet1!AR$822:AR$1022,
            Sheet1!AS$822:AS$1022
        ),
        MATCH($A172, Sheet1!N$822:N$1022, 0)
    ),
"")</f>
        <v/>
      </c>
      <c r="G172" s="152" t="str">
        <f>IFERROR(
    INDEX(
        CHOOSE(
            MATCH($C$1, {"All","Calls","Puts"}, 0),
            Sheet1!BN$1025:BN$1225,
            Sheet1!AR$1025:AR$1225,
            Sheet1!AS$1025:AS$1225
        ),
        MATCH($A172, Sheet1!N$1025:N$1225, 0)
    ),
"")</f>
        <v/>
      </c>
      <c r="H172" s="152" t="str">
        <f>IFERROR(
    INDEX(
        CHOOSE(
            MATCH($C$1, {"All","Calls","Puts"}, 0),
            Sheet1!BN$1228:BN$1428,
            Sheet1!AR$1228:AR$1428,
            Sheet1!AS$1228:AS$1428
        ),
        MATCH($A172, Sheet1!N$1228:N$1428, 0)
    ),
"")</f>
        <v/>
      </c>
      <c r="I172" s="152" t="str">
        <f>IFERROR(
    INDEX(
        CHOOSE(
            MATCH($C$1, {"All","Calls","Puts"}, 0),
            Sheet1!BN$1431:BN$1631,
            Sheet1!AR$1431:AR$1631,
            Sheet1!AS$1431:AS$1631
        ),
        MATCH($A172, Sheet1!N$1431:N$1631, 0)
    ),
"")</f>
        <v/>
      </c>
      <c r="J172" s="73" t="str">
        <f t="shared" si="10"/>
        <v/>
      </c>
      <c r="K172" s="98"/>
      <c r="L172" s="131">
        <f>IFERROR(MIN(0,INDEX(Sheet1!$AD$10:$AD$999,MATCH(A172,Sheet1!$N$10:$N$999,0))),0)</f>
        <v>0</v>
      </c>
      <c r="M172" s="137">
        <f>IFERROR(MAX(0,INDEX(Sheet1!$AE$10:$AE$999,MATCH(A172,Sheet1!$N$10:$N$999,0))),0)</f>
        <v>0</v>
      </c>
      <c r="N172" s="111" t="str">
        <f t="shared" si="11"/>
        <v/>
      </c>
      <c r="O172" s="139">
        <f>IFERROR(MIN(0,INDEX(Sheet1!$AP$10:$AP$999,MATCH(A172,Sheet1!$N$10:$N$999,0))),0)</f>
        <v>0</v>
      </c>
      <c r="P172" s="143">
        <f>IFERROR(MAX(0,INDEX(Sheet1!$AO$10:$AO$999,MATCH(A172,Sheet1!$N$10:$N$999,0))),0)</f>
        <v>0</v>
      </c>
      <c r="R172" s="140">
        <f>IFERROR(MIN(0,INDEX(Sheet1!$BK$10:$BK$999,MATCH(A172,Sheet1!$N$10:$N$999,0))),0)</f>
        <v>0</v>
      </c>
      <c r="S172" s="141">
        <f>IFERROR(MAX(0,INDEX(Sheet1!$BK$10:$BK$999,MATCH(A172,Sheet1!$N$10:$N$999,0))),0)</f>
        <v>0</v>
      </c>
      <c r="T172" s="116"/>
      <c r="AA172" s="96"/>
    </row>
    <row r="173" spans="1:27" ht="18" x14ac:dyDescent="0.25">
      <c r="A173" s="44"/>
      <c r="B173" s="152" t="str">
        <f>IFERROR(
    INDEX(
        CHOOSE(
            MATCH($C$1, {"All","Calls","Puts"}, 0),
            Sheet1!BN$10:BN$210,
            Sheet1!AR$10:AR$210,
            Sheet1!AS$10:AS$210
        ),
        MATCH($A173, Sheet1!N$10:N$210, 0)
    ),
"")</f>
        <v/>
      </c>
      <c r="C173" s="152" t="str">
        <f>IFERROR(
    INDEX(
        CHOOSE(
            MATCH($C$1, {"All","Calls","Puts"}, 0),
            Sheet1!BN$213:BN$413,
            Sheet1!AR$213:AR$413,
            Sheet1!AS$213:AS$413
        ),
        MATCH($A173, Sheet1!N$213:N$413, 0)
    ),
"")</f>
        <v/>
      </c>
      <c r="D173" s="152" t="str">
        <f>IFERROR(
    INDEX(
        CHOOSE(
            MATCH($C$1, {"All","Calls","Puts"}, 0),
            Sheet1!BN$416:BN$616,
            Sheet1!AR$416:AR$616,
            Sheet1!AS$416:AS$616
        ),
        MATCH($A173, Sheet1!N$416:N$616, 0)
    ),
"")</f>
        <v/>
      </c>
      <c r="E173" s="152" t="str">
        <f>IFERROR(
    INDEX(
        CHOOSE(
            MATCH($C$1, {"All","Calls","Puts"}, 0),
            Sheet1!BN$619:BN$819,
            Sheet1!AR$619:AR$819,
            Sheet1!AS$619:AS$819
        ),
        MATCH($A173, Sheet1!N$619:N$819, 0)
    ),
"")</f>
        <v/>
      </c>
      <c r="F173" s="152" t="str">
        <f>IFERROR(
    INDEX(
        CHOOSE(
            MATCH($C$1, {"All","Calls","Puts"}, 0),
            Sheet1!BN$822:BN$1022,
            Sheet1!AR$822:AR$1022,
            Sheet1!AS$822:AS$1022
        ),
        MATCH($A173, Sheet1!N$822:N$1022, 0)
    ),
"")</f>
        <v/>
      </c>
      <c r="G173" s="152" t="str">
        <f>IFERROR(
    INDEX(
        CHOOSE(
            MATCH($C$1, {"All","Calls","Puts"}, 0),
            Sheet1!BN$1025:BN$1225,
            Sheet1!AR$1025:AR$1225,
            Sheet1!AS$1025:AS$1225
        ),
        MATCH($A173, Sheet1!N$1025:N$1225, 0)
    ),
"")</f>
        <v/>
      </c>
      <c r="H173" s="152" t="str">
        <f>IFERROR(
    INDEX(
        CHOOSE(
            MATCH($C$1, {"All","Calls","Puts"}, 0),
            Sheet1!BN$1228:BN$1428,
            Sheet1!AR$1228:AR$1428,
            Sheet1!AS$1228:AS$1428
        ),
        MATCH($A173, Sheet1!N$1228:N$1428, 0)
    ),
"")</f>
        <v/>
      </c>
      <c r="I173" s="152" t="str">
        <f>IFERROR(
    INDEX(
        CHOOSE(
            MATCH($C$1, {"All","Calls","Puts"}, 0),
            Sheet1!BN$1431:BN$1631,
            Sheet1!AR$1431:AR$1631,
            Sheet1!AS$1431:AS$1631
        ),
        MATCH($A173, Sheet1!N$1431:N$1631, 0)
    ),
"")</f>
        <v/>
      </c>
      <c r="J173" s="73" t="str">
        <f t="shared" si="10"/>
        <v/>
      </c>
      <c r="K173" s="98"/>
      <c r="L173" s="131">
        <f>IFERROR(MIN(0,INDEX(Sheet1!$AD$10:$AD$999,MATCH(A173,Sheet1!$N$10:$N$999,0))),0)</f>
        <v>0</v>
      </c>
      <c r="M173" s="137">
        <f>IFERROR(MAX(0,INDEX(Sheet1!$AE$10:$AE$999,MATCH(A173,Sheet1!$N$10:$N$999,0))),0)</f>
        <v>0</v>
      </c>
      <c r="N173" s="111" t="str">
        <f t="shared" si="11"/>
        <v/>
      </c>
      <c r="O173" s="139">
        <f>IFERROR(MIN(0,INDEX(Sheet1!$AP$10:$AP$999,MATCH(A173,Sheet1!$N$10:$N$999,0))),0)</f>
        <v>0</v>
      </c>
      <c r="P173" s="143">
        <f>IFERROR(MAX(0,INDEX(Sheet1!$AO$10:$AO$999,MATCH(A173,Sheet1!$N$10:$N$999,0))),0)</f>
        <v>0</v>
      </c>
      <c r="R173" s="140">
        <f>IFERROR(MIN(0,INDEX(Sheet1!$BK$10:$BK$999,MATCH(A173,Sheet1!$N$10:$N$999,0))),0)</f>
        <v>0</v>
      </c>
      <c r="S173" s="141">
        <f>IFERROR(MAX(0,INDEX(Sheet1!$BK$10:$BK$999,MATCH(A173,Sheet1!$N$10:$N$999,0))),0)</f>
        <v>0</v>
      </c>
      <c r="T173" s="116"/>
      <c r="AA173" s="96"/>
    </row>
    <row r="174" spans="1:27" ht="18" x14ac:dyDescent="0.25">
      <c r="A174" s="44"/>
      <c r="B174" s="152" t="str">
        <f>IFERROR(
    INDEX(
        CHOOSE(
            MATCH($C$1, {"All","Calls","Puts"}, 0),
            Sheet1!BN$10:BN$210,
            Sheet1!AR$10:AR$210,
            Sheet1!AS$10:AS$210
        ),
        MATCH($A174, Sheet1!N$10:N$210, 0)
    ),
"")</f>
        <v/>
      </c>
      <c r="C174" s="152" t="str">
        <f>IFERROR(
    INDEX(
        CHOOSE(
            MATCH($C$1, {"All","Calls","Puts"}, 0),
            Sheet1!BN$213:BN$413,
            Sheet1!AR$213:AR$413,
            Sheet1!AS$213:AS$413
        ),
        MATCH($A174, Sheet1!N$213:N$413, 0)
    ),
"")</f>
        <v/>
      </c>
      <c r="D174" s="152" t="str">
        <f>IFERROR(
    INDEX(
        CHOOSE(
            MATCH($C$1, {"All","Calls","Puts"}, 0),
            Sheet1!BN$416:BN$616,
            Sheet1!AR$416:AR$616,
            Sheet1!AS$416:AS$616
        ),
        MATCH($A174, Sheet1!N$416:N$616, 0)
    ),
"")</f>
        <v/>
      </c>
      <c r="E174" s="152" t="str">
        <f>IFERROR(
    INDEX(
        CHOOSE(
            MATCH($C$1, {"All","Calls","Puts"}, 0),
            Sheet1!BN$619:BN$819,
            Sheet1!AR$619:AR$819,
            Sheet1!AS$619:AS$819
        ),
        MATCH($A174, Sheet1!N$619:N$819, 0)
    ),
"")</f>
        <v/>
      </c>
      <c r="F174" s="152" t="str">
        <f>IFERROR(
    INDEX(
        CHOOSE(
            MATCH($C$1, {"All","Calls","Puts"}, 0),
            Sheet1!BN$822:BN$1022,
            Sheet1!AR$822:AR$1022,
            Sheet1!AS$822:AS$1022
        ),
        MATCH($A174, Sheet1!N$822:N$1022, 0)
    ),
"")</f>
        <v/>
      </c>
      <c r="G174" s="152" t="str">
        <f>IFERROR(
    INDEX(
        CHOOSE(
            MATCH($C$1, {"All","Calls","Puts"}, 0),
            Sheet1!BN$1025:BN$1225,
            Sheet1!AR$1025:AR$1225,
            Sheet1!AS$1025:AS$1225
        ),
        MATCH($A174, Sheet1!N$1025:N$1225, 0)
    ),
"")</f>
        <v/>
      </c>
      <c r="H174" s="152" t="str">
        <f>IFERROR(
    INDEX(
        CHOOSE(
            MATCH($C$1, {"All","Calls","Puts"}, 0),
            Sheet1!BN$1228:BN$1428,
            Sheet1!AR$1228:AR$1428,
            Sheet1!AS$1228:AS$1428
        ),
        MATCH($A174, Sheet1!N$1228:N$1428, 0)
    ),
"")</f>
        <v/>
      </c>
      <c r="I174" s="152" t="str">
        <f>IFERROR(
    INDEX(
        CHOOSE(
            MATCH($C$1, {"All","Calls","Puts"}, 0),
            Sheet1!BN$1431:BN$1631,
            Sheet1!AR$1431:AR$1631,
            Sheet1!AS$1431:AS$1631
        ),
        MATCH($A174, Sheet1!N$1431:N$1631, 0)
    ),
"")</f>
        <v/>
      </c>
      <c r="J174" s="73" t="str">
        <f t="shared" si="10"/>
        <v/>
      </c>
      <c r="K174" s="98"/>
      <c r="L174" s="131">
        <f>IFERROR(MIN(0,INDEX(Sheet1!$AD$10:$AD$999,MATCH(A174,Sheet1!$N$10:$N$999,0))),0)</f>
        <v>0</v>
      </c>
      <c r="M174" s="137">
        <f>IFERROR(MAX(0,INDEX(Sheet1!$AE$10:$AE$999,MATCH(A174,Sheet1!$N$10:$N$999,0))),0)</f>
        <v>0</v>
      </c>
      <c r="N174" s="111" t="str">
        <f t="shared" si="11"/>
        <v/>
      </c>
      <c r="O174" s="139">
        <f>IFERROR(MIN(0,INDEX(Sheet1!$AP$10:$AP$999,MATCH(A174,Sheet1!$N$10:$N$999,0))),0)</f>
        <v>0</v>
      </c>
      <c r="P174" s="143">
        <f>IFERROR(MAX(0,INDEX(Sheet1!$AO$10:$AO$999,MATCH(A174,Sheet1!$N$10:$N$999,0))),0)</f>
        <v>0</v>
      </c>
      <c r="R174" s="140">
        <f>IFERROR(MIN(0,INDEX(Sheet1!$BK$10:$BK$999,MATCH(A174,Sheet1!$N$10:$N$999,0))),0)</f>
        <v>0</v>
      </c>
      <c r="S174" s="141">
        <f>IFERROR(MAX(0,INDEX(Sheet1!$BK$10:$BK$999,MATCH(A174,Sheet1!$N$10:$N$999,0))),0)</f>
        <v>0</v>
      </c>
      <c r="T174" s="116"/>
      <c r="AA174" s="96"/>
    </row>
    <row r="175" spans="1:27" ht="18" x14ac:dyDescent="0.25">
      <c r="A175" s="44"/>
      <c r="B175" s="152" t="str">
        <f>IFERROR(
    INDEX(
        CHOOSE(
            MATCH($C$1, {"All","Calls","Puts"}, 0),
            Sheet1!BN$10:BN$210,
            Sheet1!AR$10:AR$210,
            Sheet1!AS$10:AS$210
        ),
        MATCH($A175, Sheet1!N$10:N$210, 0)
    ),
"")</f>
        <v/>
      </c>
      <c r="C175" s="152" t="str">
        <f>IFERROR(
    INDEX(
        CHOOSE(
            MATCH($C$1, {"All","Calls","Puts"}, 0),
            Sheet1!BN$213:BN$413,
            Sheet1!AR$213:AR$413,
            Sheet1!AS$213:AS$413
        ),
        MATCH($A175, Sheet1!N$213:N$413, 0)
    ),
"")</f>
        <v/>
      </c>
      <c r="D175" s="152" t="str">
        <f>IFERROR(
    INDEX(
        CHOOSE(
            MATCH($C$1, {"All","Calls","Puts"}, 0),
            Sheet1!BN$416:BN$616,
            Sheet1!AR$416:AR$616,
            Sheet1!AS$416:AS$616
        ),
        MATCH($A175, Sheet1!N$416:N$616, 0)
    ),
"")</f>
        <v/>
      </c>
      <c r="E175" s="152" t="str">
        <f>IFERROR(
    INDEX(
        CHOOSE(
            MATCH($C$1, {"All","Calls","Puts"}, 0),
            Sheet1!BN$619:BN$819,
            Sheet1!AR$619:AR$819,
            Sheet1!AS$619:AS$819
        ),
        MATCH($A175, Sheet1!N$619:N$819, 0)
    ),
"")</f>
        <v/>
      </c>
      <c r="F175" s="152" t="str">
        <f>IFERROR(
    INDEX(
        CHOOSE(
            MATCH($C$1, {"All","Calls","Puts"}, 0),
            Sheet1!BN$822:BN$1022,
            Sheet1!AR$822:AR$1022,
            Sheet1!AS$822:AS$1022
        ),
        MATCH($A175, Sheet1!N$822:N$1022, 0)
    ),
"")</f>
        <v/>
      </c>
      <c r="G175" s="152" t="str">
        <f>IFERROR(
    INDEX(
        CHOOSE(
            MATCH($C$1, {"All","Calls","Puts"}, 0),
            Sheet1!BN$1025:BN$1225,
            Sheet1!AR$1025:AR$1225,
            Sheet1!AS$1025:AS$1225
        ),
        MATCH($A175, Sheet1!N$1025:N$1225, 0)
    ),
"")</f>
        <v/>
      </c>
      <c r="H175" s="152" t="str">
        <f>IFERROR(
    INDEX(
        CHOOSE(
            MATCH($C$1, {"All","Calls","Puts"}, 0),
            Sheet1!BN$1228:BN$1428,
            Sheet1!AR$1228:AR$1428,
            Sheet1!AS$1228:AS$1428
        ),
        MATCH($A175, Sheet1!N$1228:N$1428, 0)
    ),
"")</f>
        <v/>
      </c>
      <c r="I175" s="152" t="str">
        <f>IFERROR(
    INDEX(
        CHOOSE(
            MATCH($C$1, {"All","Calls","Puts"}, 0),
            Sheet1!BN$1431:BN$1631,
            Sheet1!AR$1431:AR$1631,
            Sheet1!AS$1431:AS$1631
        ),
        MATCH($A175, Sheet1!N$1431:N$1631, 0)
    ),
"")</f>
        <v/>
      </c>
      <c r="J175" s="73" t="str">
        <f t="shared" si="10"/>
        <v/>
      </c>
      <c r="K175" s="98"/>
      <c r="L175" s="131">
        <f>IFERROR(MIN(0,INDEX(Sheet1!$AD$10:$AD$999,MATCH(A175,Sheet1!$N$10:$N$999,0))),0)</f>
        <v>0</v>
      </c>
      <c r="M175" s="137">
        <f>IFERROR(MAX(0,INDEX(Sheet1!$AE$10:$AE$999,MATCH(A175,Sheet1!$N$10:$N$999,0))),0)</f>
        <v>0</v>
      </c>
      <c r="N175" s="111" t="str">
        <f t="shared" si="11"/>
        <v/>
      </c>
      <c r="O175" s="139">
        <f>IFERROR(MIN(0,INDEX(Sheet1!$AP$10:$AP$999,MATCH(A175,Sheet1!$N$10:$N$999,0))),0)</f>
        <v>0</v>
      </c>
      <c r="P175" s="143">
        <f>IFERROR(MAX(0,INDEX(Sheet1!$AO$10:$AO$999,MATCH(A175,Sheet1!$N$10:$N$999,0))),0)</f>
        <v>0</v>
      </c>
      <c r="R175" s="140">
        <f>IFERROR(MIN(0,INDEX(Sheet1!$BK$10:$BK$999,MATCH(A175,Sheet1!$N$10:$N$999,0))),0)</f>
        <v>0</v>
      </c>
      <c r="S175" s="141">
        <f>IFERROR(MAX(0,INDEX(Sheet1!$BK$10:$BK$999,MATCH(A175,Sheet1!$N$10:$N$999,0))),0)</f>
        <v>0</v>
      </c>
      <c r="T175" s="116"/>
      <c r="AA175" s="96"/>
    </row>
    <row r="176" spans="1:27" ht="18" x14ac:dyDescent="0.25">
      <c r="A176" s="44"/>
      <c r="B176" s="152" t="str">
        <f>IFERROR(
    INDEX(
        CHOOSE(
            MATCH($C$1, {"All","Calls","Puts"}, 0),
            Sheet1!BN$10:BN$210,
            Sheet1!AR$10:AR$210,
            Sheet1!AS$10:AS$210
        ),
        MATCH($A176, Sheet1!N$10:N$210, 0)
    ),
"")</f>
        <v/>
      </c>
      <c r="C176" s="152" t="str">
        <f>IFERROR(
    INDEX(
        CHOOSE(
            MATCH($C$1, {"All","Calls","Puts"}, 0),
            Sheet1!BN$213:BN$413,
            Sheet1!AR$213:AR$413,
            Sheet1!AS$213:AS$413
        ),
        MATCH($A176, Sheet1!N$213:N$413, 0)
    ),
"")</f>
        <v/>
      </c>
      <c r="D176" s="152" t="str">
        <f>IFERROR(
    INDEX(
        CHOOSE(
            MATCH($C$1, {"All","Calls","Puts"}, 0),
            Sheet1!BN$416:BN$616,
            Sheet1!AR$416:AR$616,
            Sheet1!AS$416:AS$616
        ),
        MATCH($A176, Sheet1!N$416:N$616, 0)
    ),
"")</f>
        <v/>
      </c>
      <c r="E176" s="152" t="str">
        <f>IFERROR(
    INDEX(
        CHOOSE(
            MATCH($C$1, {"All","Calls","Puts"}, 0),
            Sheet1!BN$619:BN$819,
            Sheet1!AR$619:AR$819,
            Sheet1!AS$619:AS$819
        ),
        MATCH($A176, Sheet1!N$619:N$819, 0)
    ),
"")</f>
        <v/>
      </c>
      <c r="F176" s="152" t="str">
        <f>IFERROR(
    INDEX(
        CHOOSE(
            MATCH($C$1, {"All","Calls","Puts"}, 0),
            Sheet1!BN$822:BN$1022,
            Sheet1!AR$822:AR$1022,
            Sheet1!AS$822:AS$1022
        ),
        MATCH($A176, Sheet1!N$822:N$1022, 0)
    ),
"")</f>
        <v/>
      </c>
      <c r="G176" s="152" t="str">
        <f>IFERROR(
    INDEX(
        CHOOSE(
            MATCH($C$1, {"All","Calls","Puts"}, 0),
            Sheet1!BN$1025:BN$1225,
            Sheet1!AR$1025:AR$1225,
            Sheet1!AS$1025:AS$1225
        ),
        MATCH($A176, Sheet1!N$1025:N$1225, 0)
    ),
"")</f>
        <v/>
      </c>
      <c r="H176" s="152" t="str">
        <f>IFERROR(
    INDEX(
        CHOOSE(
            MATCH($C$1, {"All","Calls","Puts"}, 0),
            Sheet1!BN$1228:BN$1428,
            Sheet1!AR$1228:AR$1428,
            Sheet1!AS$1228:AS$1428
        ),
        MATCH($A176, Sheet1!N$1228:N$1428, 0)
    ),
"")</f>
        <v/>
      </c>
      <c r="I176" s="152" t="str">
        <f>IFERROR(
    INDEX(
        CHOOSE(
            MATCH($C$1, {"All","Calls","Puts"}, 0),
            Sheet1!BN$1431:BN$1631,
            Sheet1!AR$1431:AR$1631,
            Sheet1!AS$1431:AS$1631
        ),
        MATCH($A176, Sheet1!N$1431:N$1631, 0)
    ),
"")</f>
        <v/>
      </c>
      <c r="J176" s="73" t="str">
        <f t="shared" si="10"/>
        <v/>
      </c>
      <c r="K176" s="98"/>
      <c r="L176" s="131">
        <f>IFERROR(MIN(0,INDEX(Sheet1!$AD$10:$AD$999,MATCH(A176,Sheet1!$N$10:$N$999,0))),0)</f>
        <v>0</v>
      </c>
      <c r="M176" s="137">
        <f>IFERROR(MAX(0,INDEX(Sheet1!$AE$10:$AE$999,MATCH(A176,Sheet1!$N$10:$N$999,0))),0)</f>
        <v>0</v>
      </c>
      <c r="N176" s="111" t="str">
        <f t="shared" si="11"/>
        <v/>
      </c>
      <c r="O176" s="139">
        <f>IFERROR(MIN(0,INDEX(Sheet1!$AP$10:$AP$999,MATCH(A176,Sheet1!$N$10:$N$999,0))),0)</f>
        <v>0</v>
      </c>
      <c r="P176" s="143">
        <f>IFERROR(MAX(0,INDEX(Sheet1!$AO$10:$AO$999,MATCH(A176,Sheet1!$N$10:$N$999,0))),0)</f>
        <v>0</v>
      </c>
      <c r="R176" s="140">
        <f>IFERROR(MIN(0,INDEX(Sheet1!$BK$10:$BK$999,MATCH(A176,Sheet1!$N$10:$N$999,0))),0)</f>
        <v>0</v>
      </c>
      <c r="S176" s="141">
        <f>IFERROR(MAX(0,INDEX(Sheet1!$BK$10:$BK$999,MATCH(A176,Sheet1!$N$10:$N$999,0))),0)</f>
        <v>0</v>
      </c>
      <c r="T176" s="116"/>
      <c r="AA176" s="96"/>
    </row>
    <row r="177" spans="1:27" ht="18" x14ac:dyDescent="0.25">
      <c r="A177" s="44"/>
      <c r="B177" s="152" t="str">
        <f>IFERROR(
    INDEX(
        CHOOSE(
            MATCH($C$1, {"All","Calls","Puts"}, 0),
            Sheet1!BN$10:BN$210,
            Sheet1!AR$10:AR$210,
            Sheet1!AS$10:AS$210
        ),
        MATCH($A177, Sheet1!N$10:N$210, 0)
    ),
"")</f>
        <v/>
      </c>
      <c r="C177" s="152" t="str">
        <f>IFERROR(
    INDEX(
        CHOOSE(
            MATCH($C$1, {"All","Calls","Puts"}, 0),
            Sheet1!BN$213:BN$413,
            Sheet1!AR$213:AR$413,
            Sheet1!AS$213:AS$413
        ),
        MATCH($A177, Sheet1!N$213:N$413, 0)
    ),
"")</f>
        <v/>
      </c>
      <c r="D177" s="152" t="str">
        <f>IFERROR(
    INDEX(
        CHOOSE(
            MATCH($C$1, {"All","Calls","Puts"}, 0),
            Sheet1!BN$416:BN$616,
            Sheet1!AR$416:AR$616,
            Sheet1!AS$416:AS$616
        ),
        MATCH($A177, Sheet1!N$416:N$616, 0)
    ),
"")</f>
        <v/>
      </c>
      <c r="E177" s="152" t="str">
        <f>IFERROR(
    INDEX(
        CHOOSE(
            MATCH($C$1, {"All","Calls","Puts"}, 0),
            Sheet1!BN$619:BN$819,
            Sheet1!AR$619:AR$819,
            Sheet1!AS$619:AS$819
        ),
        MATCH($A177, Sheet1!N$619:N$819, 0)
    ),
"")</f>
        <v/>
      </c>
      <c r="F177" s="152" t="str">
        <f>IFERROR(
    INDEX(
        CHOOSE(
            MATCH($C$1, {"All","Calls","Puts"}, 0),
            Sheet1!BN$822:BN$1022,
            Sheet1!AR$822:AR$1022,
            Sheet1!AS$822:AS$1022
        ),
        MATCH($A177, Sheet1!N$822:N$1022, 0)
    ),
"")</f>
        <v/>
      </c>
      <c r="G177" s="152" t="str">
        <f>IFERROR(
    INDEX(
        CHOOSE(
            MATCH($C$1, {"All","Calls","Puts"}, 0),
            Sheet1!BN$1025:BN$1225,
            Sheet1!AR$1025:AR$1225,
            Sheet1!AS$1025:AS$1225
        ),
        MATCH($A177, Sheet1!N$1025:N$1225, 0)
    ),
"")</f>
        <v/>
      </c>
      <c r="H177" s="152" t="str">
        <f>IFERROR(
    INDEX(
        CHOOSE(
            MATCH($C$1, {"All","Calls","Puts"}, 0),
            Sheet1!BN$1228:BN$1428,
            Sheet1!AR$1228:AR$1428,
            Sheet1!AS$1228:AS$1428
        ),
        MATCH($A177, Sheet1!N$1228:N$1428, 0)
    ),
"")</f>
        <v/>
      </c>
      <c r="I177" s="152" t="str">
        <f>IFERROR(
    INDEX(
        CHOOSE(
            MATCH($C$1, {"All","Calls","Puts"}, 0),
            Sheet1!BN$1431:BN$1631,
            Sheet1!AR$1431:AR$1631,
            Sheet1!AS$1431:AS$1631
        ),
        MATCH($A177, Sheet1!N$1431:N$1631, 0)
    ),
"")</f>
        <v/>
      </c>
      <c r="J177" s="73" t="str">
        <f t="shared" si="10"/>
        <v/>
      </c>
      <c r="K177" s="98"/>
      <c r="L177" s="131">
        <f>IFERROR(MIN(0,INDEX(Sheet1!$AD$10:$AD$999,MATCH(A177,Sheet1!$N$10:$N$999,0))),0)</f>
        <v>0</v>
      </c>
      <c r="M177" s="137">
        <f>IFERROR(MAX(0,INDEX(Sheet1!$AE$10:$AE$999,MATCH(A177,Sheet1!$N$10:$N$999,0))),0)</f>
        <v>0</v>
      </c>
      <c r="N177" s="111" t="str">
        <f t="shared" si="11"/>
        <v/>
      </c>
      <c r="O177" s="139">
        <f>IFERROR(MIN(0,INDEX(Sheet1!$AP$10:$AP$999,MATCH(A177,Sheet1!$N$10:$N$999,0))),0)</f>
        <v>0</v>
      </c>
      <c r="P177" s="143">
        <f>IFERROR(MAX(0,INDEX(Sheet1!$AO$10:$AO$999,MATCH(A177,Sheet1!$N$10:$N$999,0))),0)</f>
        <v>0</v>
      </c>
      <c r="R177" s="140">
        <f>IFERROR(MIN(0,INDEX(Sheet1!$BK$10:$BK$999,MATCH(A177,Sheet1!$N$10:$N$999,0))),0)</f>
        <v>0</v>
      </c>
      <c r="S177" s="141">
        <f>IFERROR(MAX(0,INDEX(Sheet1!$BK$10:$BK$999,MATCH(A177,Sheet1!$N$10:$N$999,0))),0)</f>
        <v>0</v>
      </c>
      <c r="T177" s="116"/>
      <c r="AA177" s="96"/>
    </row>
    <row r="178" spans="1:27" ht="18" x14ac:dyDescent="0.25">
      <c r="A178" s="44"/>
      <c r="B178" s="152" t="str">
        <f>IFERROR(
    INDEX(
        CHOOSE(
            MATCH($C$1, {"All","Calls","Puts"}, 0),
            Sheet1!BN$10:BN$210,
            Sheet1!AR$10:AR$210,
            Sheet1!AS$10:AS$210
        ),
        MATCH($A178, Sheet1!N$10:N$210, 0)
    ),
"")</f>
        <v/>
      </c>
      <c r="C178" s="152" t="str">
        <f>IFERROR(
    INDEX(
        CHOOSE(
            MATCH($C$1, {"All","Calls","Puts"}, 0),
            Sheet1!BN$213:BN$413,
            Sheet1!AR$213:AR$413,
            Sheet1!AS$213:AS$413
        ),
        MATCH($A178, Sheet1!N$213:N$413, 0)
    ),
"")</f>
        <v/>
      </c>
      <c r="D178" s="152" t="str">
        <f>IFERROR(
    INDEX(
        CHOOSE(
            MATCH($C$1, {"All","Calls","Puts"}, 0),
            Sheet1!BN$416:BN$616,
            Sheet1!AR$416:AR$616,
            Sheet1!AS$416:AS$616
        ),
        MATCH($A178, Sheet1!N$416:N$616, 0)
    ),
"")</f>
        <v/>
      </c>
      <c r="E178" s="152" t="str">
        <f>IFERROR(
    INDEX(
        CHOOSE(
            MATCH($C$1, {"All","Calls","Puts"}, 0),
            Sheet1!BN$619:BN$819,
            Sheet1!AR$619:AR$819,
            Sheet1!AS$619:AS$819
        ),
        MATCH($A178, Sheet1!N$619:N$819, 0)
    ),
"")</f>
        <v/>
      </c>
      <c r="F178" s="152" t="str">
        <f>IFERROR(
    INDEX(
        CHOOSE(
            MATCH($C$1, {"All","Calls","Puts"}, 0),
            Sheet1!BN$822:BN$1022,
            Sheet1!AR$822:AR$1022,
            Sheet1!AS$822:AS$1022
        ),
        MATCH($A178, Sheet1!N$822:N$1022, 0)
    ),
"")</f>
        <v/>
      </c>
      <c r="G178" s="152" t="str">
        <f>IFERROR(
    INDEX(
        CHOOSE(
            MATCH($C$1, {"All","Calls","Puts"}, 0),
            Sheet1!BN$1025:BN$1225,
            Sheet1!AR$1025:AR$1225,
            Sheet1!AS$1025:AS$1225
        ),
        MATCH($A178, Sheet1!N$1025:N$1225, 0)
    ),
"")</f>
        <v/>
      </c>
      <c r="H178" s="152" t="str">
        <f>IFERROR(
    INDEX(
        CHOOSE(
            MATCH($C$1, {"All","Calls","Puts"}, 0),
            Sheet1!BN$1228:BN$1428,
            Sheet1!AR$1228:AR$1428,
            Sheet1!AS$1228:AS$1428
        ),
        MATCH($A178, Sheet1!N$1228:N$1428, 0)
    ),
"")</f>
        <v/>
      </c>
      <c r="I178" s="152" t="str">
        <f>IFERROR(
    INDEX(
        CHOOSE(
            MATCH($C$1, {"All","Calls","Puts"}, 0),
            Sheet1!BN$1431:BN$1631,
            Sheet1!AR$1431:AR$1631,
            Sheet1!AS$1431:AS$1631
        ),
        MATCH($A178, Sheet1!N$1431:N$1631, 0)
    ),
"")</f>
        <v/>
      </c>
      <c r="J178" s="73" t="str">
        <f t="shared" si="10"/>
        <v/>
      </c>
      <c r="K178" s="98"/>
      <c r="L178" s="131">
        <f>IFERROR(MIN(0,INDEX(Sheet1!$AD$10:$AD$999,MATCH(A178,Sheet1!$N$10:$N$999,0))),0)</f>
        <v>0</v>
      </c>
      <c r="M178" s="137">
        <f>IFERROR(MAX(0,INDEX(Sheet1!$AE$10:$AE$999,MATCH(A178,Sheet1!$N$10:$N$999,0))),0)</f>
        <v>0</v>
      </c>
      <c r="N178" s="111" t="str">
        <f t="shared" si="11"/>
        <v/>
      </c>
      <c r="O178" s="139">
        <f>IFERROR(MIN(0,INDEX(Sheet1!$AP$10:$AP$999,MATCH(A178,Sheet1!$N$10:$N$999,0))),0)</f>
        <v>0</v>
      </c>
      <c r="P178" s="143">
        <f>IFERROR(MAX(0,INDEX(Sheet1!$AO$10:$AO$999,MATCH(A178,Sheet1!$N$10:$N$999,0))),0)</f>
        <v>0</v>
      </c>
      <c r="R178" s="140">
        <f>IFERROR(MIN(0,INDEX(Sheet1!$BK$10:$BK$999,MATCH(A178,Sheet1!$N$10:$N$999,0))),0)</f>
        <v>0</v>
      </c>
      <c r="S178" s="141">
        <f>IFERROR(MAX(0,INDEX(Sheet1!$BK$10:$BK$999,MATCH(A178,Sheet1!$N$10:$N$999,0))),0)</f>
        <v>0</v>
      </c>
      <c r="T178" s="116"/>
      <c r="AA178" s="96"/>
    </row>
    <row r="179" spans="1:27" ht="18" x14ac:dyDescent="0.25">
      <c r="A179" s="44"/>
      <c r="B179" s="152" t="str">
        <f>IFERROR(
    INDEX(
        CHOOSE(
            MATCH($C$1, {"All","Calls","Puts"}, 0),
            Sheet1!BN$10:BN$210,
            Sheet1!AR$10:AR$210,
            Sheet1!AS$10:AS$210
        ),
        MATCH($A179, Sheet1!N$10:N$210, 0)
    ),
"")</f>
        <v/>
      </c>
      <c r="C179" s="152" t="str">
        <f>IFERROR(
    INDEX(
        CHOOSE(
            MATCH($C$1, {"All","Calls","Puts"}, 0),
            Sheet1!BN$213:BN$413,
            Sheet1!AR$213:AR$413,
            Sheet1!AS$213:AS$413
        ),
        MATCH($A179, Sheet1!N$213:N$413, 0)
    ),
"")</f>
        <v/>
      </c>
      <c r="D179" s="152" t="str">
        <f>IFERROR(
    INDEX(
        CHOOSE(
            MATCH($C$1, {"All","Calls","Puts"}, 0),
            Sheet1!BN$416:BN$616,
            Sheet1!AR$416:AR$616,
            Sheet1!AS$416:AS$616
        ),
        MATCH($A179, Sheet1!N$416:N$616, 0)
    ),
"")</f>
        <v/>
      </c>
      <c r="E179" s="152" t="str">
        <f>IFERROR(
    INDEX(
        CHOOSE(
            MATCH($C$1, {"All","Calls","Puts"}, 0),
            Sheet1!BN$619:BN$819,
            Sheet1!AR$619:AR$819,
            Sheet1!AS$619:AS$819
        ),
        MATCH($A179, Sheet1!N$619:N$819, 0)
    ),
"")</f>
        <v/>
      </c>
      <c r="F179" s="152" t="str">
        <f>IFERROR(
    INDEX(
        CHOOSE(
            MATCH($C$1, {"All","Calls","Puts"}, 0),
            Sheet1!BN$822:BN$1022,
            Sheet1!AR$822:AR$1022,
            Sheet1!AS$822:AS$1022
        ),
        MATCH($A179, Sheet1!N$822:N$1022, 0)
    ),
"")</f>
        <v/>
      </c>
      <c r="G179" s="152" t="str">
        <f>IFERROR(
    INDEX(
        CHOOSE(
            MATCH($C$1, {"All","Calls","Puts"}, 0),
            Sheet1!BN$1025:BN$1225,
            Sheet1!AR$1025:AR$1225,
            Sheet1!AS$1025:AS$1225
        ),
        MATCH($A179, Sheet1!N$1025:N$1225, 0)
    ),
"")</f>
        <v/>
      </c>
      <c r="H179" s="152" t="str">
        <f>IFERROR(
    INDEX(
        CHOOSE(
            MATCH($C$1, {"All","Calls","Puts"}, 0),
            Sheet1!BN$1228:BN$1428,
            Sheet1!AR$1228:AR$1428,
            Sheet1!AS$1228:AS$1428
        ),
        MATCH($A179, Sheet1!N$1228:N$1428, 0)
    ),
"")</f>
        <v/>
      </c>
      <c r="I179" s="152" t="str">
        <f>IFERROR(
    INDEX(
        CHOOSE(
            MATCH($C$1, {"All","Calls","Puts"}, 0),
            Sheet1!BN$1431:BN$1631,
            Sheet1!AR$1431:AR$1631,
            Sheet1!AS$1431:AS$1631
        ),
        MATCH($A179, Sheet1!N$1431:N$1631, 0)
    ),
"")</f>
        <v/>
      </c>
      <c r="J179" s="73" t="str">
        <f t="shared" si="10"/>
        <v/>
      </c>
      <c r="K179" s="98"/>
      <c r="L179" s="131">
        <f>IFERROR(MIN(0,INDEX(Sheet1!$AD$10:$AD$999,MATCH(A179,Sheet1!$N$10:$N$999,0))),0)</f>
        <v>0</v>
      </c>
      <c r="M179" s="137">
        <f>IFERROR(MAX(0,INDEX(Sheet1!$AE$10:$AE$999,MATCH(A179,Sheet1!$N$10:$N$999,0))),0)</f>
        <v>0</v>
      </c>
      <c r="N179" s="111" t="str">
        <f t="shared" si="11"/>
        <v/>
      </c>
      <c r="O179" s="139">
        <f>IFERROR(MIN(0,INDEX(Sheet1!$AP$10:$AP$999,MATCH(A179,Sheet1!$N$10:$N$999,0))),0)</f>
        <v>0</v>
      </c>
      <c r="P179" s="143">
        <f>IFERROR(MAX(0,INDEX(Sheet1!$AO$10:$AO$999,MATCH(A179,Sheet1!$N$10:$N$999,0))),0)</f>
        <v>0</v>
      </c>
      <c r="R179" s="140">
        <f>IFERROR(MIN(0,INDEX(Sheet1!$BK$10:$BK$999,MATCH(A179,Sheet1!$N$10:$N$999,0))),0)</f>
        <v>0</v>
      </c>
      <c r="S179" s="141">
        <f>IFERROR(MAX(0,INDEX(Sheet1!$BK$10:$BK$999,MATCH(A179,Sheet1!$N$10:$N$999,0))),0)</f>
        <v>0</v>
      </c>
      <c r="T179" s="116"/>
      <c r="AA179" s="96"/>
    </row>
    <row r="180" spans="1:27" ht="18" x14ac:dyDescent="0.25">
      <c r="A180" s="44"/>
      <c r="B180" s="152" t="str">
        <f>IFERROR(
    INDEX(
        CHOOSE(
            MATCH($C$1, {"All","Calls","Puts"}, 0),
            Sheet1!BN$10:BN$210,
            Sheet1!AR$10:AR$210,
            Sheet1!AS$10:AS$210
        ),
        MATCH($A180, Sheet1!N$10:N$210, 0)
    ),
"")</f>
        <v/>
      </c>
      <c r="C180" s="152" t="str">
        <f>IFERROR(
    INDEX(
        CHOOSE(
            MATCH($C$1, {"All","Calls","Puts"}, 0),
            Sheet1!BN$213:BN$413,
            Sheet1!AR$213:AR$413,
            Sheet1!AS$213:AS$413
        ),
        MATCH($A180, Sheet1!N$213:N$413, 0)
    ),
"")</f>
        <v/>
      </c>
      <c r="D180" s="152" t="str">
        <f>IFERROR(
    INDEX(
        CHOOSE(
            MATCH($C$1, {"All","Calls","Puts"}, 0),
            Sheet1!BN$416:BN$616,
            Sheet1!AR$416:AR$616,
            Sheet1!AS$416:AS$616
        ),
        MATCH($A180, Sheet1!N$416:N$616, 0)
    ),
"")</f>
        <v/>
      </c>
      <c r="E180" s="152" t="str">
        <f>IFERROR(
    INDEX(
        CHOOSE(
            MATCH($C$1, {"All","Calls","Puts"}, 0),
            Sheet1!BN$619:BN$819,
            Sheet1!AR$619:AR$819,
            Sheet1!AS$619:AS$819
        ),
        MATCH($A180, Sheet1!N$619:N$819, 0)
    ),
"")</f>
        <v/>
      </c>
      <c r="F180" s="152" t="str">
        <f>IFERROR(
    INDEX(
        CHOOSE(
            MATCH($C$1, {"All","Calls","Puts"}, 0),
            Sheet1!BN$822:BN$1022,
            Sheet1!AR$822:AR$1022,
            Sheet1!AS$822:AS$1022
        ),
        MATCH($A180, Sheet1!N$822:N$1022, 0)
    ),
"")</f>
        <v/>
      </c>
      <c r="G180" s="152" t="str">
        <f>IFERROR(
    INDEX(
        CHOOSE(
            MATCH($C$1, {"All","Calls","Puts"}, 0),
            Sheet1!BN$1025:BN$1225,
            Sheet1!AR$1025:AR$1225,
            Sheet1!AS$1025:AS$1225
        ),
        MATCH($A180, Sheet1!N$1025:N$1225, 0)
    ),
"")</f>
        <v/>
      </c>
      <c r="H180" s="152" t="str">
        <f>IFERROR(
    INDEX(
        CHOOSE(
            MATCH($C$1, {"All","Calls","Puts"}, 0),
            Sheet1!BN$1228:BN$1428,
            Sheet1!AR$1228:AR$1428,
            Sheet1!AS$1228:AS$1428
        ),
        MATCH($A180, Sheet1!N$1228:N$1428, 0)
    ),
"")</f>
        <v/>
      </c>
      <c r="I180" s="152" t="str">
        <f>IFERROR(
    INDEX(
        CHOOSE(
            MATCH($C$1, {"All","Calls","Puts"}, 0),
            Sheet1!BN$1431:BN$1631,
            Sheet1!AR$1431:AR$1631,
            Sheet1!AS$1431:AS$1631
        ),
        MATCH($A180, Sheet1!N$1431:N$1631, 0)
    ),
"")</f>
        <v/>
      </c>
      <c r="J180" s="73" t="str">
        <f t="shared" si="10"/>
        <v/>
      </c>
      <c r="K180" s="98"/>
      <c r="L180" s="131">
        <f>IFERROR(MIN(0,INDEX(Sheet1!$AD$10:$AD$999,MATCH(A180,Sheet1!$N$10:$N$999,0))),0)</f>
        <v>0</v>
      </c>
      <c r="M180" s="137">
        <f>IFERROR(MAX(0,INDEX(Sheet1!$AE$10:$AE$999,MATCH(A180,Sheet1!$N$10:$N$999,0))),0)</f>
        <v>0</v>
      </c>
      <c r="N180" s="111" t="str">
        <f t="shared" si="11"/>
        <v/>
      </c>
      <c r="O180" s="139">
        <f>IFERROR(MIN(0,INDEX(Sheet1!$AP$10:$AP$999,MATCH(A180,Sheet1!$N$10:$N$999,0))),0)</f>
        <v>0</v>
      </c>
      <c r="P180" s="143">
        <f>IFERROR(MAX(0,INDEX(Sheet1!$AO$10:$AO$999,MATCH(A180,Sheet1!$N$10:$N$999,0))),0)</f>
        <v>0</v>
      </c>
      <c r="R180" s="140">
        <f>IFERROR(MIN(0,INDEX(Sheet1!$BK$10:$BK$999,MATCH(A180,Sheet1!$N$10:$N$999,0))),0)</f>
        <v>0</v>
      </c>
      <c r="S180" s="141">
        <f>IFERROR(MAX(0,INDEX(Sheet1!$BK$10:$BK$999,MATCH(A180,Sheet1!$N$10:$N$999,0))),0)</f>
        <v>0</v>
      </c>
      <c r="T180" s="116"/>
      <c r="AA180" s="96"/>
    </row>
    <row r="181" spans="1:27" ht="18" x14ac:dyDescent="0.25">
      <c r="A181" s="44"/>
      <c r="B181" s="152" t="str">
        <f>IFERROR(
    INDEX(
        CHOOSE(
            MATCH($C$1, {"All","Calls","Puts"}, 0),
            Sheet1!BN$10:BN$210,
            Sheet1!AR$10:AR$210,
            Sheet1!AS$10:AS$210
        ),
        MATCH($A181, Sheet1!N$10:N$210, 0)
    ),
"")</f>
        <v/>
      </c>
      <c r="C181" s="152" t="str">
        <f>IFERROR(
    INDEX(
        CHOOSE(
            MATCH($C$1, {"All","Calls","Puts"}, 0),
            Sheet1!BN$213:BN$413,
            Sheet1!AR$213:AR$413,
            Sheet1!AS$213:AS$413
        ),
        MATCH($A181, Sheet1!N$213:N$413, 0)
    ),
"")</f>
        <v/>
      </c>
      <c r="D181" s="152" t="str">
        <f>IFERROR(
    INDEX(
        CHOOSE(
            MATCH($C$1, {"All","Calls","Puts"}, 0),
            Sheet1!BN$416:BN$616,
            Sheet1!AR$416:AR$616,
            Sheet1!AS$416:AS$616
        ),
        MATCH($A181, Sheet1!N$416:N$616, 0)
    ),
"")</f>
        <v/>
      </c>
      <c r="E181" s="152" t="str">
        <f>IFERROR(
    INDEX(
        CHOOSE(
            MATCH($C$1, {"All","Calls","Puts"}, 0),
            Sheet1!BN$619:BN$819,
            Sheet1!AR$619:AR$819,
            Sheet1!AS$619:AS$819
        ),
        MATCH($A181, Sheet1!N$619:N$819, 0)
    ),
"")</f>
        <v/>
      </c>
      <c r="F181" s="152" t="str">
        <f>IFERROR(
    INDEX(
        CHOOSE(
            MATCH($C$1, {"All","Calls","Puts"}, 0),
            Sheet1!BN$822:BN$1022,
            Sheet1!AR$822:AR$1022,
            Sheet1!AS$822:AS$1022
        ),
        MATCH($A181, Sheet1!N$822:N$1022, 0)
    ),
"")</f>
        <v/>
      </c>
      <c r="G181" s="152" t="str">
        <f>IFERROR(
    INDEX(
        CHOOSE(
            MATCH($C$1, {"All","Calls","Puts"}, 0),
            Sheet1!BN$1025:BN$1225,
            Sheet1!AR$1025:AR$1225,
            Sheet1!AS$1025:AS$1225
        ),
        MATCH($A181, Sheet1!N$1025:N$1225, 0)
    ),
"")</f>
        <v/>
      </c>
      <c r="H181" s="152" t="str">
        <f>IFERROR(
    INDEX(
        CHOOSE(
            MATCH($C$1, {"All","Calls","Puts"}, 0),
            Sheet1!BN$1228:BN$1428,
            Sheet1!AR$1228:AR$1428,
            Sheet1!AS$1228:AS$1428
        ),
        MATCH($A181, Sheet1!N$1228:N$1428, 0)
    ),
"")</f>
        <v/>
      </c>
      <c r="I181" s="152" t="str">
        <f>IFERROR(
    INDEX(
        CHOOSE(
            MATCH($C$1, {"All","Calls","Puts"}, 0),
            Sheet1!BN$1431:BN$1631,
            Sheet1!AR$1431:AR$1631,
            Sheet1!AS$1431:AS$1631
        ),
        MATCH($A181, Sheet1!N$1431:N$1631, 0)
    ),
"")</f>
        <v/>
      </c>
      <c r="J181" s="73" t="str">
        <f t="shared" si="10"/>
        <v/>
      </c>
      <c r="K181" s="98"/>
      <c r="L181" s="131">
        <f>IFERROR(MIN(0,INDEX(Sheet1!$AD$10:$AD$999,MATCH(A181,Sheet1!$N$10:$N$999,0))),0)</f>
        <v>0</v>
      </c>
      <c r="M181" s="137">
        <f>IFERROR(MAX(0,INDEX(Sheet1!$AE$10:$AE$999,MATCH(A181,Sheet1!$N$10:$N$999,0))),0)</f>
        <v>0</v>
      </c>
      <c r="N181" s="111" t="str">
        <f t="shared" si="11"/>
        <v/>
      </c>
      <c r="O181" s="139">
        <f>IFERROR(MIN(0,INDEX(Sheet1!$AP$10:$AP$999,MATCH(A181,Sheet1!$N$10:$N$999,0))),0)</f>
        <v>0</v>
      </c>
      <c r="P181" s="143">
        <f>IFERROR(MAX(0,INDEX(Sheet1!$AO$10:$AO$999,MATCH(A181,Sheet1!$N$10:$N$999,0))),0)</f>
        <v>0</v>
      </c>
      <c r="R181" s="140">
        <f>IFERROR(MIN(0,INDEX(Sheet1!$BK$10:$BK$999,MATCH(A181,Sheet1!$N$10:$N$999,0))),0)</f>
        <v>0</v>
      </c>
      <c r="S181" s="141">
        <f>IFERROR(MAX(0,INDEX(Sheet1!$BK$10:$BK$999,MATCH(A181,Sheet1!$N$10:$N$999,0))),0)</f>
        <v>0</v>
      </c>
      <c r="T181" s="116"/>
      <c r="AA181" s="96"/>
    </row>
    <row r="182" spans="1:27" ht="18" x14ac:dyDescent="0.25">
      <c r="A182" s="44"/>
      <c r="B182" s="152" t="str">
        <f>IFERROR(
    INDEX(
        CHOOSE(
            MATCH($C$1, {"All","Calls","Puts"}, 0),
            Sheet1!BN$10:BN$210,
            Sheet1!AR$10:AR$210,
            Sheet1!AS$10:AS$210
        ),
        MATCH($A182, Sheet1!N$10:N$210, 0)
    ),
"")</f>
        <v/>
      </c>
      <c r="C182" s="152" t="str">
        <f>IFERROR(
    INDEX(
        CHOOSE(
            MATCH($C$1, {"All","Calls","Puts"}, 0),
            Sheet1!BN$213:BN$413,
            Sheet1!AR$213:AR$413,
            Sheet1!AS$213:AS$413
        ),
        MATCH($A182, Sheet1!N$213:N$413, 0)
    ),
"")</f>
        <v/>
      </c>
      <c r="D182" s="152" t="str">
        <f>IFERROR(
    INDEX(
        CHOOSE(
            MATCH($C$1, {"All","Calls","Puts"}, 0),
            Sheet1!BN$416:BN$616,
            Sheet1!AR$416:AR$616,
            Sheet1!AS$416:AS$616
        ),
        MATCH($A182, Sheet1!N$416:N$616, 0)
    ),
"")</f>
        <v/>
      </c>
      <c r="E182" s="152" t="str">
        <f>IFERROR(
    INDEX(
        CHOOSE(
            MATCH($C$1, {"All","Calls","Puts"}, 0),
            Sheet1!BN$619:BN$819,
            Sheet1!AR$619:AR$819,
            Sheet1!AS$619:AS$819
        ),
        MATCH($A182, Sheet1!N$619:N$819, 0)
    ),
"")</f>
        <v/>
      </c>
      <c r="F182" s="152" t="str">
        <f>IFERROR(
    INDEX(
        CHOOSE(
            MATCH($C$1, {"All","Calls","Puts"}, 0),
            Sheet1!BN$822:BN$1022,
            Sheet1!AR$822:AR$1022,
            Sheet1!AS$822:AS$1022
        ),
        MATCH($A182, Sheet1!N$822:N$1022, 0)
    ),
"")</f>
        <v/>
      </c>
      <c r="G182" s="152" t="str">
        <f>IFERROR(
    INDEX(
        CHOOSE(
            MATCH($C$1, {"All","Calls","Puts"}, 0),
            Sheet1!BN$1025:BN$1225,
            Sheet1!AR$1025:AR$1225,
            Sheet1!AS$1025:AS$1225
        ),
        MATCH($A182, Sheet1!N$1025:N$1225, 0)
    ),
"")</f>
        <v/>
      </c>
      <c r="H182" s="152" t="str">
        <f>IFERROR(
    INDEX(
        CHOOSE(
            MATCH($C$1, {"All","Calls","Puts"}, 0),
            Sheet1!BN$1228:BN$1428,
            Sheet1!AR$1228:AR$1428,
            Sheet1!AS$1228:AS$1428
        ),
        MATCH($A182, Sheet1!N$1228:N$1428, 0)
    ),
"")</f>
        <v/>
      </c>
      <c r="I182" s="152" t="str">
        <f>IFERROR(
    INDEX(
        CHOOSE(
            MATCH($C$1, {"All","Calls","Puts"}, 0),
            Sheet1!BN$1431:BN$1631,
            Sheet1!AR$1431:AR$1631,
            Sheet1!AS$1431:AS$1631
        ),
        MATCH($A182, Sheet1!N$1431:N$1631, 0)
    ),
"")</f>
        <v/>
      </c>
      <c r="J182" s="73" t="str">
        <f t="shared" si="10"/>
        <v/>
      </c>
      <c r="K182" s="98"/>
      <c r="L182" s="131">
        <f>IFERROR(MIN(0,INDEX(Sheet1!$AD$10:$AD$999,MATCH(A182,Sheet1!$N$10:$N$999,0))),0)</f>
        <v>0</v>
      </c>
      <c r="M182" s="137">
        <f>IFERROR(MAX(0,INDEX(Sheet1!$AE$10:$AE$999,MATCH(A182,Sheet1!$N$10:$N$999,0))),0)</f>
        <v>0</v>
      </c>
      <c r="N182" s="111" t="str">
        <f t="shared" si="11"/>
        <v/>
      </c>
      <c r="O182" s="139">
        <f>IFERROR(MIN(0,INDEX(Sheet1!$AP$10:$AP$999,MATCH(A182,Sheet1!$N$10:$N$999,0))),0)</f>
        <v>0</v>
      </c>
      <c r="P182" s="143">
        <f>IFERROR(MAX(0,INDEX(Sheet1!$AO$10:$AO$999,MATCH(A182,Sheet1!$N$10:$N$999,0))),0)</f>
        <v>0</v>
      </c>
      <c r="R182" s="140">
        <f>IFERROR(MIN(0,INDEX(Sheet1!$BK$10:$BK$999,MATCH(A182,Sheet1!$N$10:$N$999,0))),0)</f>
        <v>0</v>
      </c>
      <c r="S182" s="141">
        <f>IFERROR(MAX(0,INDEX(Sheet1!$BK$10:$BK$999,MATCH(A182,Sheet1!$N$10:$N$999,0))),0)</f>
        <v>0</v>
      </c>
      <c r="T182" s="116"/>
      <c r="AA182" s="96"/>
    </row>
    <row r="183" spans="1:27" ht="18" x14ac:dyDescent="0.25">
      <c r="A183" s="44"/>
      <c r="B183" s="152" t="str">
        <f>IFERROR(
    INDEX(
        CHOOSE(
            MATCH($C$1, {"All","Calls","Puts"}, 0),
            Sheet1!BN$10:BN$210,
            Sheet1!AR$10:AR$210,
            Sheet1!AS$10:AS$210
        ),
        MATCH($A183, Sheet1!N$10:N$210, 0)
    ),
"")</f>
        <v/>
      </c>
      <c r="C183" s="152" t="str">
        <f>IFERROR(
    INDEX(
        CHOOSE(
            MATCH($C$1, {"All","Calls","Puts"}, 0),
            Sheet1!BN$213:BN$413,
            Sheet1!AR$213:AR$413,
            Sheet1!AS$213:AS$413
        ),
        MATCH($A183, Sheet1!N$213:N$413, 0)
    ),
"")</f>
        <v/>
      </c>
      <c r="D183" s="152" t="str">
        <f>IFERROR(
    INDEX(
        CHOOSE(
            MATCH($C$1, {"All","Calls","Puts"}, 0),
            Sheet1!BN$416:BN$616,
            Sheet1!AR$416:AR$616,
            Sheet1!AS$416:AS$616
        ),
        MATCH($A183, Sheet1!N$416:N$616, 0)
    ),
"")</f>
        <v/>
      </c>
      <c r="E183" s="152" t="str">
        <f>IFERROR(
    INDEX(
        CHOOSE(
            MATCH($C$1, {"All","Calls","Puts"}, 0),
            Sheet1!BN$619:BN$819,
            Sheet1!AR$619:AR$819,
            Sheet1!AS$619:AS$819
        ),
        MATCH($A183, Sheet1!N$619:N$819, 0)
    ),
"")</f>
        <v/>
      </c>
      <c r="F183" s="152" t="str">
        <f>IFERROR(
    INDEX(
        CHOOSE(
            MATCH($C$1, {"All","Calls","Puts"}, 0),
            Sheet1!BN$822:BN$1022,
            Sheet1!AR$822:AR$1022,
            Sheet1!AS$822:AS$1022
        ),
        MATCH($A183, Sheet1!N$822:N$1022, 0)
    ),
"")</f>
        <v/>
      </c>
      <c r="G183" s="152" t="str">
        <f>IFERROR(
    INDEX(
        CHOOSE(
            MATCH($C$1, {"All","Calls","Puts"}, 0),
            Sheet1!BN$1025:BN$1225,
            Sheet1!AR$1025:AR$1225,
            Sheet1!AS$1025:AS$1225
        ),
        MATCH($A183, Sheet1!N$1025:N$1225, 0)
    ),
"")</f>
        <v/>
      </c>
      <c r="H183" s="152" t="str">
        <f>IFERROR(
    INDEX(
        CHOOSE(
            MATCH($C$1, {"All","Calls","Puts"}, 0),
            Sheet1!BN$1228:BN$1428,
            Sheet1!AR$1228:AR$1428,
            Sheet1!AS$1228:AS$1428
        ),
        MATCH($A183, Sheet1!N$1228:N$1428, 0)
    ),
"")</f>
        <v/>
      </c>
      <c r="I183" s="152" t="str">
        <f>IFERROR(
    INDEX(
        CHOOSE(
            MATCH($C$1, {"All","Calls","Puts"}, 0),
            Sheet1!BN$1431:BN$1631,
            Sheet1!AR$1431:AR$1631,
            Sheet1!AS$1431:AS$1631
        ),
        MATCH($A183, Sheet1!N$1431:N$1631, 0)
    ),
"")</f>
        <v/>
      </c>
      <c r="J183" s="73" t="str">
        <f t="shared" si="10"/>
        <v/>
      </c>
      <c r="K183" s="98"/>
      <c r="L183" s="131">
        <f>IFERROR(MIN(0,INDEX(Sheet1!$AD$10:$AD$999,MATCH(A183,Sheet1!$N$10:$N$999,0))),0)</f>
        <v>0</v>
      </c>
      <c r="M183" s="137">
        <f>IFERROR(MAX(0,INDEX(Sheet1!$AE$10:$AE$999,MATCH(A183,Sheet1!$N$10:$N$999,0))),0)</f>
        <v>0</v>
      </c>
      <c r="O183" s="139">
        <f>IFERROR(MIN(0,INDEX(Sheet1!$AP$10:$AP$999,MATCH(A183,Sheet1!$N$10:$N$999,0))),0)</f>
        <v>0</v>
      </c>
      <c r="P183" s="143">
        <f>IFERROR(MAX(0,INDEX(Sheet1!$AO$10:$AO$999,MATCH(A183,Sheet1!$N$10:$N$999,0))),0)</f>
        <v>0</v>
      </c>
      <c r="R183" s="140">
        <f>IFERROR(MIN(0,INDEX(Sheet1!$BK$10:$BK$999,MATCH(A183,Sheet1!$N$10:$N$999,0))),0)</f>
        <v>0</v>
      </c>
      <c r="S183" s="141">
        <f>IFERROR(MAX(0,INDEX(Sheet1!$BK$10:$BK$999,MATCH(A183,Sheet1!$N$10:$N$999,0))),0)</f>
        <v>0</v>
      </c>
      <c r="T183" s="116"/>
      <c r="AA183" s="96"/>
    </row>
    <row r="184" spans="1:27" ht="18" x14ac:dyDescent="0.25">
      <c r="A184" s="44"/>
      <c r="B184" s="152" t="str">
        <f>IFERROR(
    INDEX(
        CHOOSE(
            MATCH($C$1, {"All","Calls","Puts"}, 0),
            Sheet1!BN$10:BN$210,
            Sheet1!AR$10:AR$210,
            Sheet1!AS$10:AS$210
        ),
        MATCH($A184, Sheet1!N$10:N$210, 0)
    ),
"")</f>
        <v/>
      </c>
      <c r="C184" s="152" t="str">
        <f>IFERROR(
    INDEX(
        CHOOSE(
            MATCH($C$1, {"All","Calls","Puts"}, 0),
            Sheet1!BN$213:BN$413,
            Sheet1!AR$213:AR$413,
            Sheet1!AS$213:AS$413
        ),
        MATCH($A184, Sheet1!N$213:N$413, 0)
    ),
"")</f>
        <v/>
      </c>
      <c r="D184" s="152" t="str">
        <f>IFERROR(
    INDEX(
        CHOOSE(
            MATCH($C$1, {"All","Calls","Puts"}, 0),
            Sheet1!BN$416:BN$616,
            Sheet1!AR$416:AR$616,
            Sheet1!AS$416:AS$616
        ),
        MATCH($A184, Sheet1!N$416:N$616, 0)
    ),
"")</f>
        <v/>
      </c>
      <c r="E184" s="152" t="str">
        <f>IFERROR(
    INDEX(
        CHOOSE(
            MATCH($C$1, {"All","Calls","Puts"}, 0),
            Sheet1!BN$619:BN$819,
            Sheet1!AR$619:AR$819,
            Sheet1!AS$619:AS$819
        ),
        MATCH($A184, Sheet1!N$619:N$819, 0)
    ),
"")</f>
        <v/>
      </c>
      <c r="F184" s="152" t="str">
        <f>IFERROR(
    INDEX(
        CHOOSE(
            MATCH($C$1, {"All","Calls","Puts"}, 0),
            Sheet1!BN$822:BN$1022,
            Sheet1!AR$822:AR$1022,
            Sheet1!AS$822:AS$1022
        ),
        MATCH($A184, Sheet1!N$822:N$1022, 0)
    ),
"")</f>
        <v/>
      </c>
      <c r="G184" s="152" t="str">
        <f>IFERROR(
    INDEX(
        CHOOSE(
            MATCH($C$1, {"All","Calls","Puts"}, 0),
            Sheet1!BN$1025:BN$1225,
            Sheet1!AR$1025:AR$1225,
            Sheet1!AS$1025:AS$1225
        ),
        MATCH($A184, Sheet1!N$1025:N$1225, 0)
    ),
"")</f>
        <v/>
      </c>
      <c r="H184" s="152" t="str">
        <f>IFERROR(
    INDEX(
        CHOOSE(
            MATCH($C$1, {"All","Calls","Puts"}, 0),
            Sheet1!BN$1228:BN$1428,
            Sheet1!AR$1228:AR$1428,
            Sheet1!AS$1228:AS$1428
        ),
        MATCH($A184, Sheet1!N$1228:N$1428, 0)
    ),
"")</f>
        <v/>
      </c>
      <c r="I184" s="152" t="str">
        <f>IFERROR(
    INDEX(
        CHOOSE(
            MATCH($C$1, {"All","Calls","Puts"}, 0),
            Sheet1!BN$1431:BN$1631,
            Sheet1!AR$1431:AR$1631,
            Sheet1!AS$1431:AS$1631
        ),
        MATCH($A184, Sheet1!N$1431:N$1631, 0)
    ),
"")</f>
        <v/>
      </c>
      <c r="J184" s="73" t="str">
        <f t="shared" si="10"/>
        <v/>
      </c>
      <c r="K184" s="98"/>
      <c r="L184" s="131">
        <f>IFERROR(MIN(0,INDEX(Sheet1!$AD$10:$AD$999,MATCH(A184,Sheet1!$N$10:$N$999,0))),0)</f>
        <v>0</v>
      </c>
      <c r="M184" s="137">
        <f>IFERROR(MAX(0,INDEX(Sheet1!$AE$10:$AE$999,MATCH(A184,Sheet1!$N$10:$N$999,0))),0)</f>
        <v>0</v>
      </c>
      <c r="O184" s="139">
        <f>IFERROR(MIN(0,INDEX(Sheet1!$AP$10:$AP$999,MATCH(A184,Sheet1!$N$10:$N$999,0))),0)</f>
        <v>0</v>
      </c>
      <c r="P184" s="143">
        <f>IFERROR(MAX(0,INDEX(Sheet1!$AO$10:$AO$999,MATCH(A184,Sheet1!$N$10:$N$999,0))),0)</f>
        <v>0</v>
      </c>
      <c r="R184" s="140">
        <f>IFERROR(MIN(0,INDEX(Sheet1!$BK$10:$BK$999,MATCH(A184,Sheet1!$N$10:$N$999,0))),0)</f>
        <v>0</v>
      </c>
      <c r="S184" s="141">
        <f>IFERROR(MAX(0,INDEX(Sheet1!$BK$10:$BK$999,MATCH(A184,Sheet1!$N$10:$N$999,0))),0)</f>
        <v>0</v>
      </c>
      <c r="T184" s="116"/>
      <c r="AA184" s="96"/>
    </row>
    <row r="185" spans="1:27" ht="18" x14ac:dyDescent="0.25">
      <c r="A185" s="44"/>
      <c r="B185" s="152" t="str">
        <f>IFERROR(
    INDEX(
        CHOOSE(
            MATCH($C$1, {"All","Calls","Puts"}, 0),
            Sheet1!BN$10:BN$210,
            Sheet1!AR$10:AR$210,
            Sheet1!AS$10:AS$210
        ),
        MATCH($A185, Sheet1!N$10:N$210, 0)
    ),
"")</f>
        <v/>
      </c>
      <c r="C185" s="152" t="str">
        <f>IFERROR(
    INDEX(
        CHOOSE(
            MATCH($C$1, {"All","Calls","Puts"}, 0),
            Sheet1!BN$213:BN$413,
            Sheet1!AR$213:AR$413,
            Sheet1!AS$213:AS$413
        ),
        MATCH($A185, Sheet1!N$213:N$413, 0)
    ),
"")</f>
        <v/>
      </c>
      <c r="D185" s="152" t="str">
        <f>IFERROR(
    INDEX(
        CHOOSE(
            MATCH($C$1, {"All","Calls","Puts"}, 0),
            Sheet1!BN$416:BN$616,
            Sheet1!AR$416:AR$616,
            Sheet1!AS$416:AS$616
        ),
        MATCH($A185, Sheet1!N$416:N$616, 0)
    ),
"")</f>
        <v/>
      </c>
      <c r="E185" s="152" t="str">
        <f>IFERROR(
    INDEX(
        CHOOSE(
            MATCH($C$1, {"All","Calls","Puts"}, 0),
            Sheet1!BN$619:BN$819,
            Sheet1!AR$619:AR$819,
            Sheet1!AS$619:AS$819
        ),
        MATCH($A185, Sheet1!N$619:N$819, 0)
    ),
"")</f>
        <v/>
      </c>
      <c r="F185" s="152" t="str">
        <f>IFERROR(
    INDEX(
        CHOOSE(
            MATCH($C$1, {"All","Calls","Puts"}, 0),
            Sheet1!BN$822:BN$1022,
            Sheet1!AR$822:AR$1022,
            Sheet1!AS$822:AS$1022
        ),
        MATCH($A185, Sheet1!N$822:N$1022, 0)
    ),
"")</f>
        <v/>
      </c>
      <c r="G185" s="152" t="str">
        <f>IFERROR(
    INDEX(
        CHOOSE(
            MATCH($C$1, {"All","Calls","Puts"}, 0),
            Sheet1!BN$1025:BN$1225,
            Sheet1!AR$1025:AR$1225,
            Sheet1!AS$1025:AS$1225
        ),
        MATCH($A185, Sheet1!N$1025:N$1225, 0)
    ),
"")</f>
        <v/>
      </c>
      <c r="H185" s="152" t="str">
        <f>IFERROR(
    INDEX(
        CHOOSE(
            MATCH($C$1, {"All","Calls","Puts"}, 0),
            Sheet1!BN$1228:BN$1428,
            Sheet1!AR$1228:AR$1428,
            Sheet1!AS$1228:AS$1428
        ),
        MATCH($A185, Sheet1!N$1228:N$1428, 0)
    ),
"")</f>
        <v/>
      </c>
      <c r="I185" s="152" t="str">
        <f>IFERROR(
    INDEX(
        CHOOSE(
            MATCH($C$1, {"All","Calls","Puts"}, 0),
            Sheet1!BN$1431:BN$1631,
            Sheet1!AR$1431:AR$1631,
            Sheet1!AS$1431:AS$1631
        ),
        MATCH($A185, Sheet1!N$1431:N$1631, 0)
    ),
"")</f>
        <v/>
      </c>
      <c r="J185" s="73" t="str">
        <f t="shared" si="10"/>
        <v/>
      </c>
      <c r="K185" s="98"/>
      <c r="L185" s="131">
        <f>IFERROR(MIN(0,INDEX(Sheet1!$AD$10:$AD$999,MATCH(A185,Sheet1!$N$10:$N$999,0))),0)</f>
        <v>0</v>
      </c>
      <c r="M185" s="137">
        <f>IFERROR(MAX(0,INDEX(Sheet1!$AE$10:$AE$999,MATCH(A185,Sheet1!$N$10:$N$999,0))),0)</f>
        <v>0</v>
      </c>
      <c r="O185" s="139">
        <f>IFERROR(MIN(0,INDEX(Sheet1!$AP$10:$AP$999,MATCH(A185,Sheet1!$N$10:$N$999,0))),0)</f>
        <v>0</v>
      </c>
      <c r="P185" s="143">
        <f>IFERROR(MAX(0,INDEX(Sheet1!$AO$10:$AO$999,MATCH(A185,Sheet1!$N$10:$N$999,0))),0)</f>
        <v>0</v>
      </c>
      <c r="R185" s="140">
        <f>IFERROR(MIN(0,INDEX(Sheet1!$BK$10:$BK$999,MATCH(A185,Sheet1!$N$10:$N$999,0))),0)</f>
        <v>0</v>
      </c>
      <c r="S185" s="141">
        <f>IFERROR(MAX(0,INDEX(Sheet1!$BK$10:$BK$999,MATCH(A185,Sheet1!$N$10:$N$999,0))),0)</f>
        <v>0</v>
      </c>
      <c r="T185" s="116"/>
      <c r="AA185" s="96"/>
    </row>
    <row r="186" spans="1:27" ht="18" x14ac:dyDescent="0.25">
      <c r="A186" s="44"/>
      <c r="B186" s="152" t="str">
        <f>IFERROR(
    INDEX(
        CHOOSE(
            MATCH($C$1, {"All","Calls","Puts"}, 0),
            Sheet1!BN$10:BN$210,
            Sheet1!AR$10:AR$210,
            Sheet1!AS$10:AS$210
        ),
        MATCH($A186, Sheet1!N$10:N$210, 0)
    ),
"")</f>
        <v/>
      </c>
      <c r="C186" s="152" t="str">
        <f>IFERROR(
    INDEX(
        CHOOSE(
            MATCH($C$1, {"All","Calls","Puts"}, 0),
            Sheet1!BN$213:BN$413,
            Sheet1!AR$213:AR$413,
            Sheet1!AS$213:AS$413
        ),
        MATCH($A186, Sheet1!N$213:N$413, 0)
    ),
"")</f>
        <v/>
      </c>
      <c r="D186" s="152" t="str">
        <f>IFERROR(
    INDEX(
        CHOOSE(
            MATCH($C$1, {"All","Calls","Puts"}, 0),
            Sheet1!BN$416:BN$616,
            Sheet1!AR$416:AR$616,
            Sheet1!AS$416:AS$616
        ),
        MATCH($A186, Sheet1!N$416:N$616, 0)
    ),
"")</f>
        <v/>
      </c>
      <c r="E186" s="152" t="str">
        <f>IFERROR(
    INDEX(
        CHOOSE(
            MATCH($C$1, {"All","Calls","Puts"}, 0),
            Sheet1!BN$619:BN$819,
            Sheet1!AR$619:AR$819,
            Sheet1!AS$619:AS$819
        ),
        MATCH($A186, Sheet1!N$619:N$819, 0)
    ),
"")</f>
        <v/>
      </c>
      <c r="F186" s="152" t="str">
        <f>IFERROR(
    INDEX(
        CHOOSE(
            MATCH($C$1, {"All","Calls","Puts"}, 0),
            Sheet1!BN$822:BN$1022,
            Sheet1!AR$822:AR$1022,
            Sheet1!AS$822:AS$1022
        ),
        MATCH($A186, Sheet1!N$822:N$1022, 0)
    ),
"")</f>
        <v/>
      </c>
      <c r="G186" s="152" t="str">
        <f>IFERROR(
    INDEX(
        CHOOSE(
            MATCH($C$1, {"All","Calls","Puts"}, 0),
            Sheet1!BN$1025:BN$1225,
            Sheet1!AR$1025:AR$1225,
            Sheet1!AS$1025:AS$1225
        ),
        MATCH($A186, Sheet1!N$1025:N$1225, 0)
    ),
"")</f>
        <v/>
      </c>
      <c r="H186" s="152" t="str">
        <f>IFERROR(
    INDEX(
        CHOOSE(
            MATCH($C$1, {"All","Calls","Puts"}, 0),
            Sheet1!BN$1228:BN$1428,
            Sheet1!AR$1228:AR$1428,
            Sheet1!AS$1228:AS$1428
        ),
        MATCH($A186, Sheet1!N$1228:N$1428, 0)
    ),
"")</f>
        <v/>
      </c>
      <c r="I186" s="152" t="str">
        <f>IFERROR(
    INDEX(
        CHOOSE(
            MATCH($C$1, {"All","Calls","Puts"}, 0),
            Sheet1!BN$1431:BN$1631,
            Sheet1!AR$1431:AR$1631,
            Sheet1!AS$1431:AS$1631
        ),
        MATCH($A186, Sheet1!N$1431:N$1631, 0)
    ),
"")</f>
        <v/>
      </c>
      <c r="J186" s="73" t="str">
        <f t="shared" si="10"/>
        <v/>
      </c>
      <c r="K186" s="98"/>
      <c r="L186" s="131">
        <f>IFERROR(MIN(0,INDEX(Sheet1!$AD$10:$AD$999,MATCH(A186,Sheet1!$N$10:$N$999,0))),0)</f>
        <v>0</v>
      </c>
      <c r="M186" s="137">
        <f>IFERROR(MAX(0,INDEX(Sheet1!$AE$10:$AE$999,MATCH(A186,Sheet1!$N$10:$N$999,0))),0)</f>
        <v>0</v>
      </c>
      <c r="O186" s="139">
        <f>IFERROR(MIN(0,INDEX(Sheet1!$AP$10:$AP$999,MATCH(A186,Sheet1!$N$10:$N$999,0))),0)</f>
        <v>0</v>
      </c>
      <c r="P186" s="143">
        <f>IFERROR(MAX(0,INDEX(Sheet1!$AO$10:$AO$999,MATCH(A186,Sheet1!$N$10:$N$999,0))),0)</f>
        <v>0</v>
      </c>
      <c r="R186" s="140">
        <f>IFERROR(MIN(0,INDEX(Sheet1!$BK$10:$BK$999,MATCH(A186,Sheet1!$N$10:$N$999,0))),0)</f>
        <v>0</v>
      </c>
      <c r="S186" s="141">
        <f>IFERROR(MAX(0,INDEX(Sheet1!$BK$10:$BK$999,MATCH(A186,Sheet1!$N$10:$N$999,0))),0)</f>
        <v>0</v>
      </c>
      <c r="T186" s="116"/>
      <c r="AA186" s="96"/>
    </row>
    <row r="187" spans="1:27" ht="18" x14ac:dyDescent="0.25">
      <c r="A187" s="44"/>
      <c r="B187" s="152" t="str">
        <f>IFERROR(
    INDEX(
        CHOOSE(
            MATCH($C$1, {"All","Calls","Puts"}, 0),
            Sheet1!BN$10:BN$210,
            Sheet1!AR$10:AR$210,
            Sheet1!AS$10:AS$210
        ),
        MATCH($A187, Sheet1!N$10:N$210, 0)
    ),
"")</f>
        <v/>
      </c>
      <c r="C187" s="152" t="str">
        <f>IFERROR(
    INDEX(
        CHOOSE(
            MATCH($C$1, {"All","Calls","Puts"}, 0),
            Sheet1!BN$213:BN$413,
            Sheet1!AR$213:AR$413,
            Sheet1!AS$213:AS$413
        ),
        MATCH($A187, Sheet1!N$213:N$413, 0)
    ),
"")</f>
        <v/>
      </c>
      <c r="D187" s="152" t="str">
        <f>IFERROR(
    INDEX(
        CHOOSE(
            MATCH($C$1, {"All","Calls","Puts"}, 0),
            Sheet1!BN$416:BN$616,
            Sheet1!AR$416:AR$616,
            Sheet1!AS$416:AS$616
        ),
        MATCH($A187, Sheet1!N$416:N$616, 0)
    ),
"")</f>
        <v/>
      </c>
      <c r="E187" s="152" t="str">
        <f>IFERROR(
    INDEX(
        CHOOSE(
            MATCH($C$1, {"All","Calls","Puts"}, 0),
            Sheet1!BN$619:BN$819,
            Sheet1!AR$619:AR$819,
            Sheet1!AS$619:AS$819
        ),
        MATCH($A187, Sheet1!N$619:N$819, 0)
    ),
"")</f>
        <v/>
      </c>
      <c r="F187" s="152" t="str">
        <f>IFERROR(
    INDEX(
        CHOOSE(
            MATCH($C$1, {"All","Calls","Puts"}, 0),
            Sheet1!BN$822:BN$1022,
            Sheet1!AR$822:AR$1022,
            Sheet1!AS$822:AS$1022
        ),
        MATCH($A187, Sheet1!N$822:N$1022, 0)
    ),
"")</f>
        <v/>
      </c>
      <c r="G187" s="152" t="str">
        <f>IFERROR(
    INDEX(
        CHOOSE(
            MATCH($C$1, {"All","Calls","Puts"}, 0),
            Sheet1!BN$1025:BN$1225,
            Sheet1!AR$1025:AR$1225,
            Sheet1!AS$1025:AS$1225
        ),
        MATCH($A187, Sheet1!N$1025:N$1225, 0)
    ),
"")</f>
        <v/>
      </c>
      <c r="H187" s="152" t="str">
        <f>IFERROR(
    INDEX(
        CHOOSE(
            MATCH($C$1, {"All","Calls","Puts"}, 0),
            Sheet1!BN$1228:BN$1428,
            Sheet1!AR$1228:AR$1428,
            Sheet1!AS$1228:AS$1428
        ),
        MATCH($A187, Sheet1!N$1228:N$1428, 0)
    ),
"")</f>
        <v/>
      </c>
      <c r="I187" s="152" t="str">
        <f>IFERROR(
    INDEX(
        CHOOSE(
            MATCH($C$1, {"All","Calls","Puts"}, 0),
            Sheet1!BN$1431:BN$1631,
            Sheet1!AR$1431:AR$1631,
            Sheet1!AS$1431:AS$1631
        ),
        MATCH($A187, Sheet1!N$1431:N$1631, 0)
    ),
"")</f>
        <v/>
      </c>
      <c r="J187" s="73" t="str">
        <f t="shared" si="10"/>
        <v/>
      </c>
      <c r="K187" s="98"/>
      <c r="L187" s="131">
        <f>IFERROR(MIN(0,INDEX(Sheet1!$AD$10:$AD$999,MATCH(A187,Sheet1!$N$10:$N$999,0))),0)</f>
        <v>0</v>
      </c>
      <c r="M187" s="137">
        <f>IFERROR(MAX(0,INDEX(Sheet1!$AE$10:$AE$999,MATCH(A187,Sheet1!$N$10:$N$999,0))),0)</f>
        <v>0</v>
      </c>
      <c r="O187" s="139">
        <f>IFERROR(MIN(0,INDEX(Sheet1!$AP$10:$AP$999,MATCH(A187,Sheet1!$N$10:$N$999,0))),0)</f>
        <v>0</v>
      </c>
      <c r="P187" s="143">
        <f>IFERROR(MAX(0,INDEX(Sheet1!$AO$10:$AO$999,MATCH(A187,Sheet1!$N$10:$N$999,0))),0)</f>
        <v>0</v>
      </c>
      <c r="R187" s="140">
        <f>IFERROR(MIN(0,INDEX(Sheet1!$BK$10:$BK$999,MATCH(A187,Sheet1!$N$10:$N$999,0))),0)</f>
        <v>0</v>
      </c>
      <c r="S187" s="141">
        <f>IFERROR(MAX(0,INDEX(Sheet1!$BK$10:$BK$999,MATCH(A187,Sheet1!$N$10:$N$999,0))),0)</f>
        <v>0</v>
      </c>
      <c r="T187" s="116"/>
      <c r="AA187" s="96"/>
    </row>
    <row r="188" spans="1:27" ht="18" x14ac:dyDescent="0.25">
      <c r="A188" s="44"/>
      <c r="B188" s="152" t="str">
        <f>IFERROR(
    INDEX(
        CHOOSE(
            MATCH($C$1, {"All","Calls","Puts"}, 0),
            Sheet1!BN$10:BN$210,
            Sheet1!AR$10:AR$210,
            Sheet1!AS$10:AS$210
        ),
        MATCH($A188, Sheet1!N$10:N$210, 0)
    ),
"")</f>
        <v/>
      </c>
      <c r="C188" s="152" t="str">
        <f>IFERROR(
    INDEX(
        CHOOSE(
            MATCH($C$1, {"All","Calls","Puts"}, 0),
            Sheet1!BN$213:BN$413,
            Sheet1!AR$213:AR$413,
            Sheet1!AS$213:AS$413
        ),
        MATCH($A188, Sheet1!N$213:N$413, 0)
    ),
"")</f>
        <v/>
      </c>
      <c r="D188" s="152" t="str">
        <f>IFERROR(
    INDEX(
        CHOOSE(
            MATCH($C$1, {"All","Calls","Puts"}, 0),
            Sheet1!BN$416:BN$616,
            Sheet1!AR$416:AR$616,
            Sheet1!AS$416:AS$616
        ),
        MATCH($A188, Sheet1!N$416:N$616, 0)
    ),
"")</f>
        <v/>
      </c>
      <c r="E188" s="152" t="str">
        <f>IFERROR(
    INDEX(
        CHOOSE(
            MATCH($C$1, {"All","Calls","Puts"}, 0),
            Sheet1!BN$619:BN$819,
            Sheet1!AR$619:AR$819,
            Sheet1!AS$619:AS$819
        ),
        MATCH($A188, Sheet1!N$619:N$819, 0)
    ),
"")</f>
        <v/>
      </c>
      <c r="F188" s="152" t="str">
        <f>IFERROR(
    INDEX(
        CHOOSE(
            MATCH($C$1, {"All","Calls","Puts"}, 0),
            Sheet1!BN$822:BN$1022,
            Sheet1!AR$822:AR$1022,
            Sheet1!AS$822:AS$1022
        ),
        MATCH($A188, Sheet1!N$822:N$1022, 0)
    ),
"")</f>
        <v/>
      </c>
      <c r="G188" s="152" t="str">
        <f>IFERROR(
    INDEX(
        CHOOSE(
            MATCH($C$1, {"All","Calls","Puts"}, 0),
            Sheet1!BN$1025:BN$1225,
            Sheet1!AR$1025:AR$1225,
            Sheet1!AS$1025:AS$1225
        ),
        MATCH($A188, Sheet1!N$1025:N$1225, 0)
    ),
"")</f>
        <v/>
      </c>
      <c r="H188" s="152" t="str">
        <f>IFERROR(
    INDEX(
        CHOOSE(
            MATCH($C$1, {"All","Calls","Puts"}, 0),
            Sheet1!BN$1228:BN$1428,
            Sheet1!AR$1228:AR$1428,
            Sheet1!AS$1228:AS$1428
        ),
        MATCH($A188, Sheet1!N$1228:N$1428, 0)
    ),
"")</f>
        <v/>
      </c>
      <c r="I188" s="152" t="str">
        <f>IFERROR(
    INDEX(
        CHOOSE(
            MATCH($C$1, {"All","Calls","Puts"}, 0),
            Sheet1!BN$1431:BN$1631,
            Sheet1!AR$1431:AR$1631,
            Sheet1!AS$1431:AS$1631
        ),
        MATCH($A188, Sheet1!N$1431:N$1631, 0)
    ),
"")</f>
        <v/>
      </c>
      <c r="J188" s="73" t="str">
        <f t="shared" si="10"/>
        <v/>
      </c>
      <c r="K188" s="98"/>
      <c r="L188" s="131">
        <f>IFERROR(MIN(0,INDEX(Sheet1!$AD$10:$AD$999,MATCH(A188,Sheet1!$N$10:$N$999,0))),0)</f>
        <v>0</v>
      </c>
      <c r="M188" s="137">
        <f>IFERROR(MAX(0,INDEX(Sheet1!$AE$10:$AE$999,MATCH(A188,Sheet1!$N$10:$N$999,0))),0)</f>
        <v>0</v>
      </c>
      <c r="O188" s="139">
        <f>IFERROR(MIN(0,INDEX(Sheet1!$AP$10:$AP$999,MATCH(A188,Sheet1!$N$10:$N$999,0))),0)</f>
        <v>0</v>
      </c>
      <c r="P188" s="143">
        <f>IFERROR(MAX(0,INDEX(Sheet1!$AO$10:$AO$999,MATCH(A188,Sheet1!$N$10:$N$999,0))),0)</f>
        <v>0</v>
      </c>
      <c r="R188" s="140">
        <f>IFERROR(MIN(0,INDEX(Sheet1!$BK$10:$BK$999,MATCH(A188,Sheet1!$N$10:$N$999,0))),0)</f>
        <v>0</v>
      </c>
      <c r="S188" s="141">
        <f>IFERROR(MAX(0,INDEX(Sheet1!$BK$10:$BK$999,MATCH(A188,Sheet1!$N$10:$N$999,0))),0)</f>
        <v>0</v>
      </c>
      <c r="T188" s="116"/>
      <c r="AA188" s="96"/>
    </row>
    <row r="189" spans="1:27" ht="18" x14ac:dyDescent="0.25">
      <c r="A189" s="44"/>
      <c r="B189" s="152" t="str">
        <f>IFERROR(
    INDEX(
        CHOOSE(
            MATCH($C$1, {"All","Calls","Puts"}, 0),
            Sheet1!BN$10:BN$210,
            Sheet1!AR$10:AR$210,
            Sheet1!AS$10:AS$210
        ),
        MATCH($A189, Sheet1!N$10:N$210, 0)
    ),
"")</f>
        <v/>
      </c>
      <c r="C189" s="152" t="str">
        <f>IFERROR(
    INDEX(
        CHOOSE(
            MATCH($C$1, {"All","Calls","Puts"}, 0),
            Sheet1!BN$213:BN$413,
            Sheet1!AR$213:AR$413,
            Sheet1!AS$213:AS$413
        ),
        MATCH($A189, Sheet1!N$213:N$413, 0)
    ),
"")</f>
        <v/>
      </c>
      <c r="D189" s="152" t="str">
        <f>IFERROR(
    INDEX(
        CHOOSE(
            MATCH($C$1, {"All","Calls","Puts"}, 0),
            Sheet1!BN$416:BN$616,
            Sheet1!AR$416:AR$616,
            Sheet1!AS$416:AS$616
        ),
        MATCH($A189, Sheet1!N$416:N$616, 0)
    ),
"")</f>
        <v/>
      </c>
      <c r="E189" s="152" t="str">
        <f>IFERROR(
    INDEX(
        CHOOSE(
            MATCH($C$1, {"All","Calls","Puts"}, 0),
            Sheet1!BN$619:BN$819,
            Sheet1!AR$619:AR$819,
            Sheet1!AS$619:AS$819
        ),
        MATCH($A189, Sheet1!N$619:N$819, 0)
    ),
"")</f>
        <v/>
      </c>
      <c r="F189" s="152" t="str">
        <f>IFERROR(
    INDEX(
        CHOOSE(
            MATCH($C$1, {"All","Calls","Puts"}, 0),
            Sheet1!BN$822:BN$1022,
            Sheet1!AR$822:AR$1022,
            Sheet1!AS$822:AS$1022
        ),
        MATCH($A189, Sheet1!N$822:N$1022, 0)
    ),
"")</f>
        <v/>
      </c>
      <c r="G189" s="152" t="str">
        <f>IFERROR(
    INDEX(
        CHOOSE(
            MATCH($C$1, {"All","Calls","Puts"}, 0),
            Sheet1!BN$1025:BN$1225,
            Sheet1!AR$1025:AR$1225,
            Sheet1!AS$1025:AS$1225
        ),
        MATCH($A189, Sheet1!N$1025:N$1225, 0)
    ),
"")</f>
        <v/>
      </c>
      <c r="H189" s="152" t="str">
        <f>IFERROR(
    INDEX(
        CHOOSE(
            MATCH($C$1, {"All","Calls","Puts"}, 0),
            Sheet1!BN$1228:BN$1428,
            Sheet1!AR$1228:AR$1428,
            Sheet1!AS$1228:AS$1428
        ),
        MATCH($A189, Sheet1!N$1228:N$1428, 0)
    ),
"")</f>
        <v/>
      </c>
      <c r="I189" s="152" t="str">
        <f>IFERROR(
    INDEX(
        CHOOSE(
            MATCH($C$1, {"All","Calls","Puts"}, 0),
            Sheet1!BN$1431:BN$1631,
            Sheet1!AR$1431:AR$1631,
            Sheet1!AS$1431:AS$1631
        ),
        MATCH($A189, Sheet1!N$1431:N$1631, 0)
    ),
"")</f>
        <v/>
      </c>
      <c r="J189" s="73" t="str">
        <f t="shared" si="10"/>
        <v/>
      </c>
      <c r="K189" s="98"/>
      <c r="L189" s="131">
        <f>IFERROR(MIN(0,INDEX(Sheet1!$AD$10:$AD$999,MATCH(A189,Sheet1!$N$10:$N$999,0))),0)</f>
        <v>0</v>
      </c>
      <c r="M189" s="137">
        <f>IFERROR(MAX(0,INDEX(Sheet1!$AE$10:$AE$999,MATCH(A189,Sheet1!$N$10:$N$999,0))),0)</f>
        <v>0</v>
      </c>
      <c r="O189" s="139">
        <f>IFERROR(MIN(0,INDEX(Sheet1!$AP$10:$AP$999,MATCH(A189,Sheet1!$N$10:$N$999,0))),0)</f>
        <v>0</v>
      </c>
      <c r="P189" s="143">
        <f>IFERROR(MAX(0,INDEX(Sheet1!$AO$10:$AO$999,MATCH(A189,Sheet1!$N$10:$N$999,0))),0)</f>
        <v>0</v>
      </c>
      <c r="R189" s="140">
        <f>IFERROR(MIN(0,INDEX(Sheet1!$BK$10:$BK$999,MATCH(A189,Sheet1!$N$10:$N$999,0))),0)</f>
        <v>0</v>
      </c>
      <c r="S189" s="141">
        <f>IFERROR(MAX(0,INDEX(Sheet1!$BK$10:$BK$999,MATCH(A189,Sheet1!$N$10:$N$999,0))),0)</f>
        <v>0</v>
      </c>
      <c r="T189" s="116"/>
      <c r="AA189" s="96"/>
    </row>
    <row r="190" spans="1:27" ht="18" x14ac:dyDescent="0.25">
      <c r="A190" s="44"/>
      <c r="B190" s="152" t="str">
        <f>IFERROR(
    INDEX(
        CHOOSE(
            MATCH($C$1, {"All","Calls","Puts"}, 0),
            Sheet1!BN$10:BN$210,
            Sheet1!AR$10:AR$210,
            Sheet1!AS$10:AS$210
        ),
        MATCH($A190, Sheet1!N$10:N$210, 0)
    ),
"")</f>
        <v/>
      </c>
      <c r="C190" s="152" t="str">
        <f>IFERROR(
    INDEX(
        CHOOSE(
            MATCH($C$1, {"All","Calls","Puts"}, 0),
            Sheet1!BN$213:BN$413,
            Sheet1!AR$213:AR$413,
            Sheet1!AS$213:AS$413
        ),
        MATCH($A190, Sheet1!N$213:N$413, 0)
    ),
"")</f>
        <v/>
      </c>
      <c r="D190" s="152" t="str">
        <f>IFERROR(
    INDEX(
        CHOOSE(
            MATCH($C$1, {"All","Calls","Puts"}, 0),
            Sheet1!BN$416:BN$616,
            Sheet1!AR$416:AR$616,
            Sheet1!AS$416:AS$616
        ),
        MATCH($A190, Sheet1!N$416:N$616, 0)
    ),
"")</f>
        <v/>
      </c>
      <c r="E190" s="152" t="str">
        <f>IFERROR(
    INDEX(
        CHOOSE(
            MATCH($C$1, {"All","Calls","Puts"}, 0),
            Sheet1!BN$619:BN$819,
            Sheet1!AR$619:AR$819,
            Sheet1!AS$619:AS$819
        ),
        MATCH($A190, Sheet1!N$619:N$819, 0)
    ),
"")</f>
        <v/>
      </c>
      <c r="F190" s="152" t="str">
        <f>IFERROR(
    INDEX(
        CHOOSE(
            MATCH($C$1, {"All","Calls","Puts"}, 0),
            Sheet1!BN$822:BN$1022,
            Sheet1!AR$822:AR$1022,
            Sheet1!AS$822:AS$1022
        ),
        MATCH($A190, Sheet1!N$822:N$1022, 0)
    ),
"")</f>
        <v/>
      </c>
      <c r="G190" s="152" t="str">
        <f>IFERROR(
    INDEX(
        CHOOSE(
            MATCH($C$1, {"All","Calls","Puts"}, 0),
            Sheet1!BN$1025:BN$1225,
            Sheet1!AR$1025:AR$1225,
            Sheet1!AS$1025:AS$1225
        ),
        MATCH($A190, Sheet1!N$1025:N$1225, 0)
    ),
"")</f>
        <v/>
      </c>
      <c r="H190" s="152" t="str">
        <f>IFERROR(
    INDEX(
        CHOOSE(
            MATCH($C$1, {"All","Calls","Puts"}, 0),
            Sheet1!BN$1228:BN$1428,
            Sheet1!AR$1228:AR$1428,
            Sheet1!AS$1228:AS$1428
        ),
        MATCH($A190, Sheet1!N$1228:N$1428, 0)
    ),
"")</f>
        <v/>
      </c>
      <c r="I190" s="152" t="str">
        <f>IFERROR(
    INDEX(
        CHOOSE(
            MATCH($C$1, {"All","Calls","Puts"}, 0),
            Sheet1!BN$1431:BN$1631,
            Sheet1!AR$1431:AR$1631,
            Sheet1!AS$1431:AS$1631
        ),
        MATCH($A190, Sheet1!N$1431:N$1631, 0)
    ),
"")</f>
        <v/>
      </c>
      <c r="J190" s="73" t="str">
        <f t="shared" si="10"/>
        <v/>
      </c>
      <c r="K190" s="98"/>
      <c r="L190" s="131">
        <f>IFERROR(MIN(0,INDEX(Sheet1!$AD$10:$AD$999,MATCH(A190,Sheet1!$N$10:$N$999,0))),0)</f>
        <v>0</v>
      </c>
      <c r="M190" s="137">
        <f>IFERROR(MAX(0,INDEX(Sheet1!$AE$10:$AE$999,MATCH(A190,Sheet1!$N$10:$N$999,0))),0)</f>
        <v>0</v>
      </c>
      <c r="O190" s="139">
        <f>IFERROR(MIN(0,INDEX(Sheet1!$AP$10:$AP$999,MATCH(A190,Sheet1!$N$10:$N$999,0))),0)</f>
        <v>0</v>
      </c>
      <c r="P190" s="143">
        <f>IFERROR(MAX(0,INDEX(Sheet1!$AO$10:$AO$999,MATCH(A190,Sheet1!$N$10:$N$999,0))),0)</f>
        <v>0</v>
      </c>
      <c r="R190" s="140">
        <f>IFERROR(MIN(0,INDEX(Sheet1!$BK$10:$BK$999,MATCH(A190,Sheet1!$N$10:$N$999,0))),0)</f>
        <v>0</v>
      </c>
      <c r="S190" s="141">
        <f>IFERROR(MAX(0,INDEX(Sheet1!$BK$10:$BK$999,MATCH(A190,Sheet1!$N$10:$N$999,0))),0)</f>
        <v>0</v>
      </c>
      <c r="T190" s="116"/>
      <c r="AA190" s="96"/>
    </row>
    <row r="191" spans="1:27" ht="18" x14ac:dyDescent="0.25">
      <c r="A191" s="44"/>
      <c r="B191" s="152" t="str">
        <f>IFERROR(
    INDEX(
        CHOOSE(
            MATCH($C$1, {"All","Calls","Puts"}, 0),
            Sheet1!BN$10:BN$210,
            Sheet1!AR$10:AR$210,
            Sheet1!AS$10:AS$210
        ),
        MATCH($A191, Sheet1!N$10:N$210, 0)
    ),
"")</f>
        <v/>
      </c>
      <c r="C191" s="152" t="str">
        <f>IFERROR(
    INDEX(
        CHOOSE(
            MATCH($C$1, {"All","Calls","Puts"}, 0),
            Sheet1!BN$213:BN$413,
            Sheet1!AR$213:AR$413,
            Sheet1!AS$213:AS$413
        ),
        MATCH($A191, Sheet1!N$213:N$413, 0)
    ),
"")</f>
        <v/>
      </c>
      <c r="D191" s="152" t="str">
        <f>IFERROR(
    INDEX(
        CHOOSE(
            MATCH($C$1, {"All","Calls","Puts"}, 0),
            Sheet1!BN$416:BN$616,
            Sheet1!AR$416:AR$616,
            Sheet1!AS$416:AS$616
        ),
        MATCH($A191, Sheet1!N$416:N$616, 0)
    ),
"")</f>
        <v/>
      </c>
      <c r="E191" s="152" t="str">
        <f>IFERROR(
    INDEX(
        CHOOSE(
            MATCH($C$1, {"All","Calls","Puts"}, 0),
            Sheet1!BN$619:BN$819,
            Sheet1!AR$619:AR$819,
            Sheet1!AS$619:AS$819
        ),
        MATCH($A191, Sheet1!N$619:N$819, 0)
    ),
"")</f>
        <v/>
      </c>
      <c r="F191" s="152" t="str">
        <f>IFERROR(
    INDEX(
        CHOOSE(
            MATCH($C$1, {"All","Calls","Puts"}, 0),
            Sheet1!BN$822:BN$1022,
            Sheet1!AR$822:AR$1022,
            Sheet1!AS$822:AS$1022
        ),
        MATCH($A191, Sheet1!N$822:N$1022, 0)
    ),
"")</f>
        <v/>
      </c>
      <c r="G191" s="152" t="str">
        <f>IFERROR(
    INDEX(
        CHOOSE(
            MATCH($C$1, {"All","Calls","Puts"}, 0),
            Sheet1!BN$1025:BN$1225,
            Sheet1!AR$1025:AR$1225,
            Sheet1!AS$1025:AS$1225
        ),
        MATCH($A191, Sheet1!N$1025:N$1225, 0)
    ),
"")</f>
        <v/>
      </c>
      <c r="H191" s="152" t="str">
        <f>IFERROR(
    INDEX(
        CHOOSE(
            MATCH($C$1, {"All","Calls","Puts"}, 0),
            Sheet1!BN$1228:BN$1428,
            Sheet1!AR$1228:AR$1428,
            Sheet1!AS$1228:AS$1428
        ),
        MATCH($A191, Sheet1!N$1228:N$1428, 0)
    ),
"")</f>
        <v/>
      </c>
      <c r="I191" s="152" t="str">
        <f>IFERROR(
    INDEX(
        CHOOSE(
            MATCH($C$1, {"All","Calls","Puts"}, 0),
            Sheet1!BN$1431:BN$1631,
            Sheet1!AR$1431:AR$1631,
            Sheet1!AS$1431:AS$1631
        ),
        MATCH($A191, Sheet1!N$1431:N$1631, 0)
    ),
"")</f>
        <v/>
      </c>
      <c r="J191" s="73" t="str">
        <f t="shared" si="10"/>
        <v/>
      </c>
      <c r="K191" s="98"/>
      <c r="L191" s="131">
        <f>IFERROR(MIN(0,INDEX(Sheet1!$AD$10:$AD$999,MATCH(A191,Sheet1!$N$10:$N$999,0))),0)</f>
        <v>0</v>
      </c>
      <c r="M191" s="137">
        <f>IFERROR(MAX(0,INDEX(Sheet1!$AE$10:$AE$999,MATCH(A191,Sheet1!$N$10:$N$999,0))),0)</f>
        <v>0</v>
      </c>
      <c r="O191" s="139">
        <f>IFERROR(MIN(0,INDEX(Sheet1!$AP$10:$AP$999,MATCH(A191,Sheet1!$N$10:$N$999,0))),0)</f>
        <v>0</v>
      </c>
      <c r="P191" s="143">
        <f>IFERROR(MAX(0,INDEX(Sheet1!$AO$10:$AO$999,MATCH(A191,Sheet1!$N$10:$N$999,0))),0)</f>
        <v>0</v>
      </c>
      <c r="R191" s="140">
        <f>IFERROR(MIN(0,INDEX(Sheet1!$BK$10:$BK$999,MATCH(A191,Sheet1!$N$10:$N$999,0))),0)</f>
        <v>0</v>
      </c>
      <c r="S191" s="141">
        <f>IFERROR(MAX(0,INDEX(Sheet1!$BK$10:$BK$999,MATCH(A191,Sheet1!$N$10:$N$999,0))),0)</f>
        <v>0</v>
      </c>
      <c r="T191" s="116"/>
      <c r="AA191" s="96"/>
    </row>
    <row r="192" spans="1:27" x14ac:dyDescent="0.3">
      <c r="A192" s="53"/>
      <c r="B192" s="152" t="str">
        <f>IFERROR(
    INDEX(
        CHOOSE(
            MATCH($C$1, {"All","Calls","Puts"}, 0),
            Sheet1!BN$10:BN$210,
            Sheet1!AR$10:AR$210,
            Sheet1!AS$10:AS$210
        ),
        MATCH($A192, Sheet1!N$10:N$210, 0)
    ),
"")</f>
        <v/>
      </c>
      <c r="C192" s="152" t="str">
        <f>IFERROR(
    INDEX(
        CHOOSE(
            MATCH($C$1, {"All","Calls","Puts"}, 0),
            Sheet1!BN$213:BN$413,
            Sheet1!AR$213:AR$413,
            Sheet1!AS$213:AS$413
        ),
        MATCH($A192, Sheet1!N$213:N$413, 0)
    ),
"")</f>
        <v/>
      </c>
      <c r="D192" s="152" t="str">
        <f>IFERROR(
    INDEX(
        CHOOSE(
            MATCH($C$1, {"All","Calls","Puts"}, 0),
            Sheet1!BN$416:BN$616,
            Sheet1!AR$416:AR$616,
            Sheet1!AS$416:AS$616
        ),
        MATCH($A192, Sheet1!N$416:N$616, 0)
    ),
"")</f>
        <v/>
      </c>
      <c r="E192" s="152" t="str">
        <f>IFERROR(
    INDEX(
        CHOOSE(
            MATCH($C$1, {"All","Calls","Puts"}, 0),
            Sheet1!BN$619:BN$819,
            Sheet1!AR$619:AR$819,
            Sheet1!AS$619:AS$819
        ),
        MATCH($A192, Sheet1!N$619:N$819, 0)
    ),
"")</f>
        <v/>
      </c>
      <c r="F192" s="152" t="str">
        <f>IFERROR(
    INDEX(
        CHOOSE(
            MATCH($C$1, {"All","Calls","Puts"}, 0),
            Sheet1!BN$822:BN$1022,
            Sheet1!AR$822:AR$1022,
            Sheet1!AS$822:AS$1022
        ),
        MATCH($A192, Sheet1!N$822:N$1022, 0)
    ),
"")</f>
        <v/>
      </c>
      <c r="G192" s="152" t="str">
        <f>IFERROR(
    INDEX(
        CHOOSE(
            MATCH($C$1, {"All","Calls","Puts"}, 0),
            Sheet1!BN$1025:BN$1225,
            Sheet1!AR$1025:AR$1225,
            Sheet1!AS$1025:AS$1225
        ),
        MATCH($A192, Sheet1!N$1025:N$1225, 0)
    ),
"")</f>
        <v/>
      </c>
      <c r="H192" s="152" t="str">
        <f>IFERROR(
    INDEX(
        CHOOSE(
            MATCH($C$1, {"All","Calls","Puts"}, 0),
            Sheet1!BN$1228:BN$1428,
            Sheet1!AR$1228:AR$1428,
            Sheet1!AS$1228:AS$1428
        ),
        MATCH($A192, Sheet1!N$1228:N$1428, 0)
    ),
"")</f>
        <v/>
      </c>
      <c r="I192" s="152" t="str">
        <f>IFERROR(
    INDEX(
        CHOOSE(
            MATCH($C$1, {"All","Calls","Puts"}, 0),
            Sheet1!BN$1431:BN$1631,
            Sheet1!AR$1431:AR$1631,
            Sheet1!AS$1431:AS$1631
        ),
        MATCH($A192, Sheet1!N$1431:N$1631, 0)
    ),
"")</f>
        <v/>
      </c>
      <c r="J192" s="73" t="str">
        <f t="shared" si="10"/>
        <v/>
      </c>
      <c r="K192" s="98"/>
      <c r="L192" s="131">
        <f>IFERROR(MIN(0,INDEX(Sheet1!$AD$10:$AD$999,MATCH(A192,Sheet1!$N$10:$N$999,0))),0)</f>
        <v>0</v>
      </c>
      <c r="M192" s="137">
        <f>IFERROR(MAX(0,INDEX(Sheet1!$AE$10:$AE$999,MATCH(A192,Sheet1!$N$10:$N$999,0))),0)</f>
        <v>0</v>
      </c>
      <c r="O192" s="139">
        <f>IFERROR(MIN(0,INDEX(Sheet1!$AP$10:$AP$999,MATCH(A192,Sheet1!$N$10:$N$999,0))),0)</f>
        <v>0</v>
      </c>
      <c r="P192" s="143">
        <f>IFERROR(MAX(0,INDEX(Sheet1!$AO$10:$AO$999,MATCH(A192,Sheet1!$N$10:$N$999,0))),0)</f>
        <v>0</v>
      </c>
      <c r="R192" s="140">
        <f>IFERROR(MIN(0,INDEX(Sheet1!$BK$10:$BK$999,MATCH(A192,Sheet1!$N$10:$N$999,0))),0)</f>
        <v>0</v>
      </c>
      <c r="S192" s="141">
        <f>IFERROR(MAX(0,INDEX(Sheet1!$BK$10:$BK$999,MATCH(A192,Sheet1!$N$10:$N$999,0))),0)</f>
        <v>0</v>
      </c>
      <c r="T192" s="116"/>
      <c r="AA192" s="96"/>
    </row>
    <row r="193" spans="1:27" x14ac:dyDescent="0.3">
      <c r="A193" s="53"/>
      <c r="B193" s="152" t="str">
        <f>IFERROR(
    INDEX(
        CHOOSE(
            MATCH($C$1, {"All","Calls","Puts"}, 0),
            Sheet1!BN$10:BN$210,
            Sheet1!AR$10:AR$210,
            Sheet1!AS$10:AS$210
        ),
        MATCH($A193, Sheet1!N$10:N$210, 0)
    ),
"")</f>
        <v/>
      </c>
      <c r="C193" s="152" t="str">
        <f>IFERROR(
    INDEX(
        CHOOSE(
            MATCH($C$1, {"All","Calls","Puts"}, 0),
            Sheet1!BN$213:BN$413,
            Sheet1!AR$213:AR$413,
            Sheet1!AS$213:AS$413
        ),
        MATCH($A193, Sheet1!N$213:N$413, 0)
    ),
"")</f>
        <v/>
      </c>
      <c r="D193" s="152" t="str">
        <f>IFERROR(
    INDEX(
        CHOOSE(
            MATCH($C$1, {"All","Calls","Puts"}, 0),
            Sheet1!BN$416:BN$616,
            Sheet1!AR$416:AR$616,
            Sheet1!AS$416:AS$616
        ),
        MATCH($A193, Sheet1!N$416:N$616, 0)
    ),
"")</f>
        <v/>
      </c>
      <c r="E193" s="152" t="str">
        <f>IFERROR(
    INDEX(
        CHOOSE(
            MATCH($C$1, {"All","Calls","Puts"}, 0),
            Sheet1!BN$619:BN$819,
            Sheet1!AR$619:AR$819,
            Sheet1!AS$619:AS$819
        ),
        MATCH($A193, Sheet1!N$619:N$819, 0)
    ),
"")</f>
        <v/>
      </c>
      <c r="F193" s="152" t="str">
        <f>IFERROR(
    INDEX(
        CHOOSE(
            MATCH($C$1, {"All","Calls","Puts"}, 0),
            Sheet1!BN$822:BN$1022,
            Sheet1!AR$822:AR$1022,
            Sheet1!AS$822:AS$1022
        ),
        MATCH($A193, Sheet1!N$822:N$1022, 0)
    ),
"")</f>
        <v/>
      </c>
      <c r="G193" s="152" t="str">
        <f>IFERROR(
    INDEX(
        CHOOSE(
            MATCH($C$1, {"All","Calls","Puts"}, 0),
            Sheet1!BN$1025:BN$1225,
            Sheet1!AR$1025:AR$1225,
            Sheet1!AS$1025:AS$1225
        ),
        MATCH($A193, Sheet1!N$1025:N$1225, 0)
    ),
"")</f>
        <v/>
      </c>
      <c r="H193" s="152" t="str">
        <f>IFERROR(
    INDEX(
        CHOOSE(
            MATCH($C$1, {"All","Calls","Puts"}, 0),
            Sheet1!BN$1228:BN$1428,
            Sheet1!AR$1228:AR$1428,
            Sheet1!AS$1228:AS$1428
        ),
        MATCH($A193, Sheet1!N$1228:N$1428, 0)
    ),
"")</f>
        <v/>
      </c>
      <c r="I193" s="152" t="str">
        <f>IFERROR(
    INDEX(
        CHOOSE(
            MATCH($C$1, {"All","Calls","Puts"}, 0),
            Sheet1!BN$1431:BN$1631,
            Sheet1!AR$1431:AR$1631,
            Sheet1!AS$1431:AS$1631
        ),
        MATCH($A193, Sheet1!N$1431:N$1631, 0)
    ),
"")</f>
        <v/>
      </c>
      <c r="J193" s="73" t="str">
        <f t="shared" si="10"/>
        <v/>
      </c>
      <c r="K193" s="98"/>
      <c r="L193" s="131">
        <f>IFERROR(MIN(0,INDEX(Sheet1!$AD$10:$AD$999,MATCH(A193,Sheet1!$N$10:$N$999,0))),0)</f>
        <v>0</v>
      </c>
      <c r="M193" s="137">
        <f>IFERROR(MAX(0,INDEX(Sheet1!$AE$10:$AE$999,MATCH(A193,Sheet1!$N$10:$N$999,0))),0)</f>
        <v>0</v>
      </c>
      <c r="O193" s="139">
        <f>IFERROR(MIN(0,INDEX(Sheet1!$AP$10:$AP$999,MATCH(A193,Sheet1!$N$10:$N$999,0))),0)</f>
        <v>0</v>
      </c>
      <c r="P193" s="143">
        <f>IFERROR(MAX(0,INDEX(Sheet1!$AO$10:$AO$999,MATCH(A193,Sheet1!$N$10:$N$999,0))),0)</f>
        <v>0</v>
      </c>
      <c r="R193" s="140">
        <f>IFERROR(MIN(0,INDEX(Sheet1!$BK$10:$BK$999,MATCH(A193,Sheet1!$N$10:$N$999,0))),0)</f>
        <v>0</v>
      </c>
      <c r="S193" s="141">
        <f>IFERROR(MAX(0,INDEX(Sheet1!$BK$10:$BK$999,MATCH(A193,Sheet1!$N$10:$N$999,0))),0)</f>
        <v>0</v>
      </c>
      <c r="T193" s="116"/>
      <c r="AA193" s="96"/>
    </row>
    <row r="194" spans="1:27" x14ac:dyDescent="0.3">
      <c r="A194" s="53"/>
      <c r="B194" s="152" t="str">
        <f>IFERROR(
    INDEX(
        CHOOSE(
            MATCH($C$1, {"All","Calls","Puts"}, 0),
            Sheet1!BN$10:BN$210,
            Sheet1!AR$10:AR$210,
            Sheet1!AS$10:AS$210
        ),
        MATCH($A194, Sheet1!N$10:N$210, 0)
    ),
"")</f>
        <v/>
      </c>
      <c r="C194" s="152" t="str">
        <f>IFERROR(
    INDEX(
        CHOOSE(
            MATCH($C$1, {"All","Calls","Puts"}, 0),
            Sheet1!BN$213:BN$413,
            Sheet1!AR$213:AR$413,
            Sheet1!AS$213:AS$413
        ),
        MATCH($A194, Sheet1!N$213:N$413, 0)
    ),
"")</f>
        <v/>
      </c>
      <c r="D194" s="152" t="str">
        <f>IFERROR(
    INDEX(
        CHOOSE(
            MATCH($C$1, {"All","Calls","Puts"}, 0),
            Sheet1!BN$416:BN$616,
            Sheet1!AR$416:AR$616,
            Sheet1!AS$416:AS$616
        ),
        MATCH($A194, Sheet1!N$416:N$616, 0)
    ),
"")</f>
        <v/>
      </c>
      <c r="E194" s="152" t="str">
        <f>IFERROR(
    INDEX(
        CHOOSE(
            MATCH($C$1, {"All","Calls","Puts"}, 0),
            Sheet1!BN$619:BN$819,
            Sheet1!AR$619:AR$819,
            Sheet1!AS$619:AS$819
        ),
        MATCH($A194, Sheet1!N$619:N$819, 0)
    ),
"")</f>
        <v/>
      </c>
      <c r="F194" s="152" t="str">
        <f>IFERROR(
    INDEX(
        CHOOSE(
            MATCH($C$1, {"All","Calls","Puts"}, 0),
            Sheet1!BN$822:BN$1022,
            Sheet1!AR$822:AR$1022,
            Sheet1!AS$822:AS$1022
        ),
        MATCH($A194, Sheet1!N$822:N$1022, 0)
    ),
"")</f>
        <v/>
      </c>
      <c r="G194" s="152" t="str">
        <f>IFERROR(
    INDEX(
        CHOOSE(
            MATCH($C$1, {"All","Calls","Puts"}, 0),
            Sheet1!BN$1025:BN$1225,
            Sheet1!AR$1025:AR$1225,
            Sheet1!AS$1025:AS$1225
        ),
        MATCH($A194, Sheet1!N$1025:N$1225, 0)
    ),
"")</f>
        <v/>
      </c>
      <c r="H194" s="152" t="str">
        <f>IFERROR(
    INDEX(
        CHOOSE(
            MATCH($C$1, {"All","Calls","Puts"}, 0),
            Sheet1!BN$1228:BN$1428,
            Sheet1!AR$1228:AR$1428,
            Sheet1!AS$1228:AS$1428
        ),
        MATCH($A194, Sheet1!N$1228:N$1428, 0)
    ),
"")</f>
        <v/>
      </c>
      <c r="I194" s="152" t="str">
        <f>IFERROR(
    INDEX(
        CHOOSE(
            MATCH($C$1, {"All","Calls","Puts"}, 0),
            Sheet1!BN$1431:BN$1631,
            Sheet1!AR$1431:AR$1631,
            Sheet1!AS$1431:AS$1631
        ),
        MATCH($A194, Sheet1!N$1431:N$1631, 0)
    ),
"")</f>
        <v/>
      </c>
      <c r="J194" s="73" t="str">
        <f t="shared" si="10"/>
        <v/>
      </c>
      <c r="K194" s="98"/>
      <c r="L194" s="131">
        <f>IFERROR(MIN(0,INDEX(Sheet1!$AD$10:$AD$999,MATCH(A194,Sheet1!$N$10:$N$999,0))),0)</f>
        <v>0</v>
      </c>
      <c r="M194" s="137">
        <f>IFERROR(MAX(0,INDEX(Sheet1!$AE$10:$AE$999,MATCH(A194,Sheet1!$N$10:$N$999,0))),0)</f>
        <v>0</v>
      </c>
      <c r="O194" s="139">
        <f>IFERROR(MIN(0,INDEX(Sheet1!$AP$10:$AP$999,MATCH(A194,Sheet1!$N$10:$N$999,0))),0)</f>
        <v>0</v>
      </c>
      <c r="P194" s="143">
        <f>IFERROR(MAX(0,INDEX(Sheet1!$AO$10:$AO$999,MATCH(A194,Sheet1!$N$10:$N$999,0))),0)</f>
        <v>0</v>
      </c>
      <c r="R194" s="140">
        <f>IFERROR(MIN(0,INDEX(Sheet1!$BK$10:$BK$999,MATCH(A194,Sheet1!$N$10:$N$999,0))),0)</f>
        <v>0</v>
      </c>
      <c r="S194" s="141">
        <f>IFERROR(MAX(0,INDEX(Sheet1!$BK$10:$BK$999,MATCH(A194,Sheet1!$N$10:$N$999,0))),0)</f>
        <v>0</v>
      </c>
      <c r="T194" s="116"/>
      <c r="AA194" s="96"/>
    </row>
    <row r="195" spans="1:27" x14ac:dyDescent="0.3">
      <c r="A195" s="53"/>
      <c r="B195" s="152" t="str">
        <f>IFERROR(
    INDEX(
        CHOOSE(
            MATCH($C$1, {"All","Calls","Puts"}, 0),
            Sheet1!BN$10:BN$210,
            Sheet1!AR$10:AR$210,
            Sheet1!AS$10:AS$210
        ),
        MATCH($A195, Sheet1!N$10:N$210, 0)
    ),
"")</f>
        <v/>
      </c>
      <c r="C195" s="152" t="str">
        <f>IFERROR(
    INDEX(
        CHOOSE(
            MATCH($C$1, {"All","Calls","Puts"}, 0),
            Sheet1!BN$213:BN$413,
            Sheet1!AR$213:AR$413,
            Sheet1!AS$213:AS$413
        ),
        MATCH($A195, Sheet1!N$213:N$413, 0)
    ),
"")</f>
        <v/>
      </c>
      <c r="D195" s="152" t="str">
        <f>IFERROR(
    INDEX(
        CHOOSE(
            MATCH($C$1, {"All","Calls","Puts"}, 0),
            Sheet1!BN$416:BN$616,
            Sheet1!AR$416:AR$616,
            Sheet1!AS$416:AS$616
        ),
        MATCH($A195, Sheet1!N$416:N$616, 0)
    ),
"")</f>
        <v/>
      </c>
      <c r="E195" s="152" t="str">
        <f>IFERROR(
    INDEX(
        CHOOSE(
            MATCH($C$1, {"All","Calls","Puts"}, 0),
            Sheet1!BN$619:BN$819,
            Sheet1!AR$619:AR$819,
            Sheet1!AS$619:AS$819
        ),
        MATCH($A195, Sheet1!N$619:N$819, 0)
    ),
"")</f>
        <v/>
      </c>
      <c r="F195" s="152" t="str">
        <f>IFERROR(
    INDEX(
        CHOOSE(
            MATCH($C$1, {"All","Calls","Puts"}, 0),
            Sheet1!BN$822:BN$1022,
            Sheet1!AR$822:AR$1022,
            Sheet1!AS$822:AS$1022
        ),
        MATCH($A195, Sheet1!N$822:N$1022, 0)
    ),
"")</f>
        <v/>
      </c>
      <c r="G195" s="152" t="str">
        <f>IFERROR(
    INDEX(
        CHOOSE(
            MATCH($C$1, {"All","Calls","Puts"}, 0),
            Sheet1!BN$1025:BN$1225,
            Sheet1!AR$1025:AR$1225,
            Sheet1!AS$1025:AS$1225
        ),
        MATCH($A195, Sheet1!N$1025:N$1225, 0)
    ),
"")</f>
        <v/>
      </c>
      <c r="H195" s="152" t="str">
        <f>IFERROR(
    INDEX(
        CHOOSE(
            MATCH($C$1, {"All","Calls","Puts"}, 0),
            Sheet1!BN$1228:BN$1428,
            Sheet1!AR$1228:AR$1428,
            Sheet1!AS$1228:AS$1428
        ),
        MATCH($A195, Sheet1!N$1228:N$1428, 0)
    ),
"")</f>
        <v/>
      </c>
      <c r="I195" s="152" t="str">
        <f>IFERROR(
    INDEX(
        CHOOSE(
            MATCH($C$1, {"All","Calls","Puts"}, 0),
            Sheet1!BN$1431:BN$1631,
            Sheet1!AR$1431:AR$1631,
            Sheet1!AS$1431:AS$1631
        ),
        MATCH($A195, Sheet1!N$1431:N$1631, 0)
    ),
"")</f>
        <v/>
      </c>
      <c r="J195" s="73" t="str">
        <f t="shared" si="10"/>
        <v/>
      </c>
      <c r="K195" s="98"/>
      <c r="L195" s="131">
        <f>IFERROR(MIN(0,INDEX(Sheet1!$AD$10:$AD$999,MATCH(A195,Sheet1!$N$10:$N$999,0))),0)</f>
        <v>0</v>
      </c>
      <c r="M195" s="137">
        <f>IFERROR(MAX(0,INDEX(Sheet1!$AE$10:$AE$999,MATCH(A195,Sheet1!$N$10:$N$999,0))),0)</f>
        <v>0</v>
      </c>
      <c r="O195" s="139">
        <f>IFERROR(MIN(0,INDEX(Sheet1!$AP$10:$AP$999,MATCH(A195,Sheet1!$N$10:$N$999,0))),0)</f>
        <v>0</v>
      </c>
      <c r="P195" s="143">
        <f>IFERROR(MAX(0,INDEX(Sheet1!$AO$10:$AO$999,MATCH(A195,Sheet1!$N$10:$N$999,0))),0)</f>
        <v>0</v>
      </c>
      <c r="R195" s="140">
        <f>IFERROR(MIN(0,INDEX(Sheet1!$BK$10:$BK$999,MATCH(A195,Sheet1!$N$10:$N$999,0))),0)</f>
        <v>0</v>
      </c>
      <c r="S195" s="141">
        <f>IFERROR(MAX(0,INDEX(Sheet1!$BK$10:$BK$999,MATCH(A195,Sheet1!$N$10:$N$999,0))),0)</f>
        <v>0</v>
      </c>
      <c r="T195" s="116"/>
      <c r="AA195" s="96"/>
    </row>
    <row r="196" spans="1:27" x14ac:dyDescent="0.3">
      <c r="A196" s="53"/>
      <c r="B196" s="152" t="str">
        <f>IFERROR(
    INDEX(
        CHOOSE(
            MATCH($C$1, {"All","Calls","Puts"}, 0),
            Sheet1!BN$10:BN$210,
            Sheet1!AR$10:AR$210,
            Sheet1!AS$10:AS$210
        ),
        MATCH($A196, Sheet1!N$10:N$210, 0)
    ),
"")</f>
        <v/>
      </c>
      <c r="C196" s="152" t="str">
        <f>IFERROR(
    INDEX(
        CHOOSE(
            MATCH($C$1, {"All","Calls","Puts"}, 0),
            Sheet1!BN$213:BN$413,
            Sheet1!AR$213:AR$413,
            Sheet1!AS$213:AS$413
        ),
        MATCH($A196, Sheet1!N$213:N$413, 0)
    ),
"")</f>
        <v/>
      </c>
      <c r="D196" s="152" t="str">
        <f>IFERROR(
    INDEX(
        CHOOSE(
            MATCH($C$1, {"All","Calls","Puts"}, 0),
            Sheet1!BN$416:BN$616,
            Sheet1!AR$416:AR$616,
            Sheet1!AS$416:AS$616
        ),
        MATCH($A196, Sheet1!N$416:N$616, 0)
    ),
"")</f>
        <v/>
      </c>
      <c r="E196" s="152" t="str">
        <f>IFERROR(
    INDEX(
        CHOOSE(
            MATCH($C$1, {"All","Calls","Puts"}, 0),
            Sheet1!BN$619:BN$819,
            Sheet1!AR$619:AR$819,
            Sheet1!AS$619:AS$819
        ),
        MATCH($A196, Sheet1!N$619:N$819, 0)
    ),
"")</f>
        <v/>
      </c>
      <c r="F196" s="152" t="str">
        <f>IFERROR(
    INDEX(
        CHOOSE(
            MATCH($C$1, {"All","Calls","Puts"}, 0),
            Sheet1!BN$822:BN$1022,
            Sheet1!AR$822:AR$1022,
            Sheet1!AS$822:AS$1022
        ),
        MATCH($A196, Sheet1!N$822:N$1022, 0)
    ),
"")</f>
        <v/>
      </c>
      <c r="G196" s="152" t="str">
        <f>IFERROR(
    INDEX(
        CHOOSE(
            MATCH($C$1, {"All","Calls","Puts"}, 0),
            Sheet1!BN$1025:BN$1225,
            Sheet1!AR$1025:AR$1225,
            Sheet1!AS$1025:AS$1225
        ),
        MATCH($A196, Sheet1!N$1025:N$1225, 0)
    ),
"")</f>
        <v/>
      </c>
      <c r="H196" s="152" t="str">
        <f>IFERROR(
    INDEX(
        CHOOSE(
            MATCH($C$1, {"All","Calls","Puts"}, 0),
            Sheet1!BN$1228:BN$1428,
            Sheet1!AR$1228:AR$1428,
            Sheet1!AS$1228:AS$1428
        ),
        MATCH($A196, Sheet1!N$1228:N$1428, 0)
    ),
"")</f>
        <v/>
      </c>
      <c r="I196" s="152" t="str">
        <f>IFERROR(
    INDEX(
        CHOOSE(
            MATCH($C$1, {"All","Calls","Puts"}, 0),
            Sheet1!BN$1431:BN$1631,
            Sheet1!AR$1431:AR$1631,
            Sheet1!AS$1431:AS$1631
        ),
        MATCH($A196, Sheet1!N$1431:N$1631, 0)
    ),
"")</f>
        <v/>
      </c>
      <c r="J196" s="73" t="str">
        <f t="shared" ref="J196:J201" si="14">IF(A196="","",A196)</f>
        <v/>
      </c>
      <c r="K196" s="98"/>
      <c r="L196" s="131">
        <f>IFERROR(MIN(0,INDEX(Sheet1!$AD$10:$AD$999,MATCH(A196,Sheet1!$N$10:$N$999,0))),0)</f>
        <v>0</v>
      </c>
      <c r="M196" s="137">
        <f>IFERROR(MAX(0,INDEX(Sheet1!$AE$10:$AE$999,MATCH(A196,Sheet1!$N$10:$N$999,0))),0)</f>
        <v>0</v>
      </c>
      <c r="O196" s="139">
        <f>IFERROR(MIN(0,INDEX(Sheet1!$AP$10:$AP$999,MATCH(A196,Sheet1!$N$10:$N$999,0))),0)</f>
        <v>0</v>
      </c>
      <c r="P196" s="143">
        <f>IFERROR(MAX(0,INDEX(Sheet1!$AO$10:$AO$999,MATCH(A196,Sheet1!$N$10:$N$999,0))),0)</f>
        <v>0</v>
      </c>
      <c r="R196" s="140">
        <f>IFERROR(MIN(0,INDEX(Sheet1!$BK$10:$BK$999,MATCH(A196,Sheet1!$N$10:$N$999,0))),0)</f>
        <v>0</v>
      </c>
      <c r="S196" s="141">
        <f>IFERROR(MAX(0,INDEX(Sheet1!$BK$10:$BK$999,MATCH(A196,Sheet1!$N$10:$N$999,0))),0)</f>
        <v>0</v>
      </c>
      <c r="T196" s="116"/>
      <c r="AA196" s="96"/>
    </row>
    <row r="197" spans="1:27" x14ac:dyDescent="0.3">
      <c r="A197" s="53"/>
      <c r="B197" s="152" t="str">
        <f>IFERROR(
    INDEX(
        CHOOSE(
            MATCH($C$1, {"All","Calls","Puts"}, 0),
            Sheet1!BN$10:BN$210,
            Sheet1!AR$10:AR$210,
            Sheet1!AS$10:AS$210
        ),
        MATCH($A197, Sheet1!N$10:N$210, 0)
    ),
"")</f>
        <v/>
      </c>
      <c r="C197" s="152" t="str">
        <f>IFERROR(
    INDEX(
        CHOOSE(
            MATCH($C$1, {"All","Calls","Puts"}, 0),
            Sheet1!BN$213:BN$413,
            Sheet1!AR$213:AR$413,
            Sheet1!AS$213:AS$413
        ),
        MATCH($A197, Sheet1!N$213:N$413, 0)
    ),
"")</f>
        <v/>
      </c>
      <c r="D197" s="152" t="str">
        <f>IFERROR(
    INDEX(
        CHOOSE(
            MATCH($C$1, {"All","Calls","Puts"}, 0),
            Sheet1!BN$416:BN$616,
            Sheet1!AR$416:AR$616,
            Sheet1!AS$416:AS$616
        ),
        MATCH($A197, Sheet1!N$416:N$616, 0)
    ),
"")</f>
        <v/>
      </c>
      <c r="E197" s="152" t="str">
        <f>IFERROR(
    INDEX(
        CHOOSE(
            MATCH($C$1, {"All","Calls","Puts"}, 0),
            Sheet1!BN$619:BN$819,
            Sheet1!AR$619:AR$819,
            Sheet1!AS$619:AS$819
        ),
        MATCH($A197, Sheet1!N$619:N$819, 0)
    ),
"")</f>
        <v/>
      </c>
      <c r="F197" s="152" t="str">
        <f>IFERROR(
    INDEX(
        CHOOSE(
            MATCH($C$1, {"All","Calls","Puts"}, 0),
            Sheet1!BN$822:BN$1022,
            Sheet1!AR$822:AR$1022,
            Sheet1!AS$822:AS$1022
        ),
        MATCH($A197, Sheet1!N$822:N$1022, 0)
    ),
"")</f>
        <v/>
      </c>
      <c r="G197" s="152" t="str" cm="1">
        <f t="array" aca="1" ref="G197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IFERROR(INDEX(_xlpm.metricCol,MATCH($A197,_xlpm.strikes,0)),"")
)</f>
        <v/>
      </c>
      <c r="H197" s="152" t="str">
        <f>IFERROR(
    INDEX(
        CHOOSE(
            MATCH($C$1, {"All","Calls","Puts"}, 0),
            Sheet1!BN$1228:BN$1428,
            Sheet1!AR$1228:AR$1428,
            Sheet1!AS$1228:AS$1428
        ),
        MATCH($A197, Sheet1!N$1228:N$1428, 0)
    ),
"")</f>
        <v/>
      </c>
      <c r="I197" s="152" t="str">
        <f>IFERROR(
    INDEX(
        CHOOSE(
            MATCH($C$1, {"All","Calls","Puts"}, 0),
            Sheet1!BN$1431:BN$1631,
            Sheet1!AR$1431:AR$1631,
            Sheet1!AS$1431:AS$1631
        ),
        MATCH($A197, Sheet1!N$1431:N$1631, 0)
    ),
"")</f>
        <v/>
      </c>
      <c r="J197" s="73" t="str">
        <f t="shared" si="14"/>
        <v/>
      </c>
      <c r="K197" s="99"/>
      <c r="L197" s="131">
        <f>IFERROR(MIN(0,INDEX(Sheet1!$AD$10:$AD$999,MATCH(A197,Sheet1!$N$10:$N$999,0))),0)</f>
        <v>0</v>
      </c>
      <c r="M197" s="137">
        <f>IFERROR(MAX(0,INDEX(Sheet1!$AE$10:$AE$999,MATCH(A197,Sheet1!$N$10:$N$999,0))),0)</f>
        <v>0</v>
      </c>
      <c r="O197" s="139">
        <f>IFERROR(MIN(0,INDEX(Sheet1!$AP$10:$AP$999,MATCH(A197,Sheet1!$N$10:$N$999,0))),0)</f>
        <v>0</v>
      </c>
      <c r="P197" s="143">
        <f>IFERROR(MAX(0,INDEX(Sheet1!$AO$10:$AO$999,MATCH(A197,Sheet1!$N$10:$N$999,0))),0)</f>
        <v>0</v>
      </c>
      <c r="R197" s="140">
        <f>IFERROR(MIN(0,INDEX(Sheet1!$BK$10:$BK$999,MATCH(A197,Sheet1!$N$10:$N$999,0))),0)</f>
        <v>0</v>
      </c>
      <c r="S197" s="141">
        <f>IFERROR(MAX(0,INDEX(Sheet1!$BK$10:$BK$999,MATCH(A197,Sheet1!$N$10:$N$999,0))),0)</f>
        <v>0</v>
      </c>
      <c r="T197" s="116"/>
      <c r="AA197" s="96"/>
    </row>
    <row r="198" spans="1:27" x14ac:dyDescent="0.3">
      <c r="A198" s="53"/>
      <c r="B198" s="152" t="str">
        <f>IFERROR(
    INDEX(
        CHOOSE(
            MATCH($C$1, {"All","Calls","Puts"}, 0),
            Sheet1!BN$10:BN$210,
            Sheet1!AR$10:AR$210,
            Sheet1!AS$10:AS$210
        ),
        MATCH($A198, Sheet1!N$10:N$210, 0)
    ),
"")</f>
        <v/>
      </c>
      <c r="C198" s="152" t="str" cm="1">
        <f t="array" aca="1" ref="C198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D198" s="152" t="str">
        <f>IFERROR(
    INDEX(
        CHOOSE(
            MATCH($C$1, {"All","Calls","Puts"}, 0),
            Sheet1!BN$416:BN$616,
            Sheet1!AR$416:AR$616,
            Sheet1!AS$416:AS$616
        ),
        MATCH($A198, Sheet1!N$416:N$616, 0)
    ),
"")</f>
        <v/>
      </c>
      <c r="E198" s="152" t="str">
        <f>IFERROR(
    INDEX(
        CHOOSE(
            MATCH($C$1, {"All","Calls","Puts"}, 0),
            Sheet1!BN$619:BN$819,
            Sheet1!AR$619:AR$819,
            Sheet1!AS$619:AS$819
        ),
        MATCH($A198, Sheet1!N$619:N$819, 0)
    ),
"")</f>
        <v/>
      </c>
      <c r="F198" s="152" t="str" cm="1">
        <f t="array" aca="1" ref="F198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G198" s="152" t="str" cm="1">
        <f t="array" aca="1" ref="G198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H198" s="152" t="str">
        <f>IFERROR(
    INDEX(
        CHOOSE(
            MATCH($C$1, {"All","Calls","Puts"}, 0),
            Sheet1!BN$1228:BN$1428,
            Sheet1!AR$1228:AR$1428,
            Sheet1!AS$1228:AS$1428
        ),
        MATCH($A198, Sheet1!N$1228:N$1428, 0)
    ),
"")</f>
        <v/>
      </c>
      <c r="I198" s="152" t="str">
        <f>IFERROR(
    INDEX(
        CHOOSE(
            MATCH($C$1, {"All","Calls","Puts"}, 0),
            Sheet1!BN$1431:BN$1631,
            Sheet1!AR$1431:AR$1631,
            Sheet1!AS$1431:AS$1631
        ),
        MATCH($A198, Sheet1!N$1431:N$1631, 0)
    ),
"")</f>
        <v/>
      </c>
      <c r="J198" s="73" t="str">
        <f t="shared" si="14"/>
        <v/>
      </c>
      <c r="K198" s="99"/>
      <c r="L198" s="131">
        <f>IFERROR(MIN(0,INDEX(Sheet1!$AD$10:$AD$999,MATCH(A198,Sheet1!$N$10:$N$999,0))),0)</f>
        <v>0</v>
      </c>
      <c r="M198" s="137">
        <f>IFERROR(MAX(0,INDEX(Sheet1!$AE$10:$AE$999,MATCH(A198,Sheet1!$N$10:$N$999,0))),0)</f>
        <v>0</v>
      </c>
      <c r="O198" s="139">
        <f>IFERROR(MIN(0,INDEX(Sheet1!$AP$10:$AP$999,MATCH(A198,Sheet1!$N$10:$N$999,0))),0)</f>
        <v>0</v>
      </c>
      <c r="P198" s="143">
        <f>IFERROR(MAX(0,INDEX(Sheet1!$AO$10:$AO$999,MATCH(A198,Sheet1!$N$10:$N$999,0))),0)</f>
        <v>0</v>
      </c>
      <c r="R198" s="140">
        <f>IFERROR(MIN(0,INDEX(Sheet1!$BK$10:$BK$999,MATCH(A198,Sheet1!$N$10:$N$999,0))),0)</f>
        <v>0</v>
      </c>
      <c r="S198" s="141">
        <f>IFERROR(MAX(0,INDEX(Sheet1!$BK$10:$BK$999,MATCH(A198,Sheet1!$N$10:$N$999,0))),0)</f>
        <v>0</v>
      </c>
      <c r="T198" s="116"/>
      <c r="AA198" s="96"/>
    </row>
    <row r="199" spans="1:27" x14ac:dyDescent="0.3">
      <c r="A199" s="53"/>
      <c r="B199" s="152" t="str">
        <f>IFERROR(
    INDEX(
        CHOOSE(
            MATCH($C$1, {"All","Calls","Puts"}, 0),
            Sheet1!BN$10:BN$210,
            Sheet1!AR$10:AR$210,
            Sheet1!AS$10:AS$210
        ),
        MATCH($A199, Sheet1!N$10:N$210, 0)
    ),
"")</f>
        <v/>
      </c>
      <c r="C199" s="152" t="str" cm="1">
        <f t="array" aca="1" ref="C199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D199" s="152" t="str">
        <f>IFERROR(
    INDEX(
        CHOOSE(
            MATCH($C$1, {"All","Calls","Puts"}, 0),
            Sheet1!BN$416:BN$616,
            Sheet1!AR$416:AR$616,
            Sheet1!AS$416:AS$616
        ),
        MATCH($A199, Sheet1!N$416:N$616, 0)
    ),
"")</f>
        <v/>
      </c>
      <c r="E199" s="152" t="str">
        <f>IFERROR(
    INDEX(
        CHOOSE(
            MATCH($C$1, {"All","Calls","Puts"}, 0),
            Sheet1!BN$619:BN$819,
            Sheet1!AR$619:AR$819,
            Sheet1!AS$619:AS$819
        ),
        MATCH($A199, Sheet1!N$619:N$819, 0)
    ),
"")</f>
        <v/>
      </c>
      <c r="F199" s="152" t="str" cm="1">
        <f t="array" aca="1" ref="F199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G199" s="152" t="str" cm="1">
        <f t="array" aca="1" ref="G199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H199" s="152" t="str">
        <f>IFERROR(
    INDEX(
        CHOOSE(
            MATCH($C$1, {"All","Calls","Puts"}, 0),
            Sheet1!BN$1228:BN$1428,
            Sheet1!AR$1228:AR$1428,
            Sheet1!AS$1228:AS$1428
        ),
        MATCH($A199, Sheet1!N$1228:N$1428, 0)
    ),
"")</f>
        <v/>
      </c>
      <c r="I199" s="152" t="str">
        <f>IFERROR(
    INDEX(
        CHOOSE(
            MATCH($C$1, {"All","Calls","Puts"}, 0),
            Sheet1!BN$1431:BN$1631,
            Sheet1!AR$1431:AR$1631,
            Sheet1!AS$1431:AS$1631
        ),
        MATCH($A199, Sheet1!N$1431:N$1631, 0)
    ),
"")</f>
        <v/>
      </c>
      <c r="J199" s="73" t="str">
        <f t="shared" si="14"/>
        <v/>
      </c>
      <c r="K199" s="99"/>
      <c r="L199" s="131">
        <f>IFERROR(MIN(0,INDEX(Sheet1!$AD$10:$AD$999,MATCH(A199,Sheet1!$N$10:$N$999,0))),0)</f>
        <v>0</v>
      </c>
      <c r="M199" s="137">
        <f>IFERROR(MAX(0,INDEX(Sheet1!$AE$10:$AE$999,MATCH(A199,Sheet1!$N$10:$N$999,0))),0)</f>
        <v>0</v>
      </c>
      <c r="O199" s="139">
        <f>IFERROR(MIN(0,INDEX(Sheet1!$AP$10:$AP$999,MATCH(A199,Sheet1!$N$10:$N$999,0))),0)</f>
        <v>0</v>
      </c>
      <c r="P199" s="143">
        <f>IFERROR(MAX(0,INDEX(Sheet1!$AO$10:$AO$999,MATCH(A199,Sheet1!$N$10:$N$999,0))),0)</f>
        <v>0</v>
      </c>
      <c r="R199" s="140">
        <f>IFERROR(MIN(0,INDEX(Sheet1!$BK$10:$BK$999,MATCH(A199,Sheet1!$N$10:$N$999,0))),0)</f>
        <v>0</v>
      </c>
      <c r="S199" s="141">
        <f>IFERROR(MAX(0,INDEX(Sheet1!$BK$10:$BK$999,MATCH(A199,Sheet1!$N$10:$N$999,0))),0)</f>
        <v>0</v>
      </c>
      <c r="T199" s="116"/>
      <c r="AA199" s="96"/>
    </row>
    <row r="200" spans="1:27" x14ac:dyDescent="0.3">
      <c r="A200" s="53"/>
      <c r="B200" s="152" t="str" cm="1">
        <f t="array" aca="1" ref="B200" ca="1">_xlfn.LET(
_xlpm.mask, ISNUMBER(Sheet1!N$10:N$210),
_xlpm.strikes,_xlfn._xlws.FILTER(Sheet1!N$10:N$210,_xlpm.mask),
_xlpm.gGamma_All,_xlfn._xlws.FILTER(Sheet1!AB$10:AB$210,_xlpm.mask),
_xlpm.gGamma_Put,_xlfn._xlws.FILTER(Sheet1!AA$10:AA$210,_xlpm.mask),
_xlpm.gGamma_Call,_xlfn._xlws.FILTER(Sheet1!Z$10:Z$210,_xlpm.mask),
_xlpm.gDAdj_All,_xlfn._xlws.FILTER(Sheet1!AC$10:AC$210,_xlpm.mask),
_xlpm.gDAdj_Put,_xlfn._xlws.FILTER(Sheet1!AD$10:AD$210,_xlpm.mask),
_xlpm.gDAdj_Call,_xlfn._xlws.FILTER(Sheet1!AE$10:AE$210,_xlpm.mask),
_xlpm.dgamma_All,_xlfn._xlws.FILTER(Sheet1!BE$10:BE$210,_xlpm.mask),
_xlpm.dgamma_Put,_xlfn._xlws.FILTER(Sheet1!BD$10:BD$210,_xlpm.mask),
_xlpm.dgamma_Call,_xlfn._xlws.FILTER(Sheet1!BC$10:BC$210,_xlpm.mask),
_xlpm.gVanna_All,_xlfn._xlws.FILTER(Sheet1!AQ$10:AQ$210,_xlpm.mask),
_xlpm.gVanna_Put,_xlfn._xlws.FILTER(Sheet1!AP$10:AP$210,_xlpm.mask),
_xlpm.gVanna_Call,_xlfn._xlws.FILTER(Sheet1!AR$10:AR$210,_xlpm.mask),
_xlpm.vol_All,_xlfn._xlws.FILTER(Sheet1!E$10:E$210+Sheet1!U$10:U$210,_xlpm.mask),
_xlpm.vol_Put,_xlfn._xlws.FILTER(Sheet1!U$10:U$210,_xlpm.mask),
_xlpm.vol_Call,_xlfn._xlws.FILTER(Sheet1!E$10:E$210,_xlpm.mask),
_xlpm.oi_All,_xlfn._xlws.FILTER(Sheet1!D$10:D$210+Sheet1!T$10:T$210,_xlpm.mask),
_xlpm.oi_Put,_xlfn._xlws.FILTER(Sheet1!T$10:T$210,_xlpm.mask),
_xlpm.oi_Call,_xlfn._xlws.FILTER(Sheet1!D$10:D$210,_xlpm.mask),
_xlpm.Charm_All,_xlfn._xlws.FILTER(Sheet1!BK$10:BK$210,_xlpm.mask),
_xlpm.Charm_Put,_xlfn._xlws.FILTER(Sheet1!BJ$10:BJ$210,_xlpm.mask),
_xlpm.Charm_Call,_xlfn._xlws.FILTER(Sheet1!BI$10:BI$210,_xlpm.mask),
_xlpm.Delta_All,_xlfn._xlws.FILTER(Sheet1!BF$10:BF$210,_xlpm.mask),
_xlpm.Delta_Put,_xlfn._xlws.FILTER(Sheet1!BH$10:BH$210,_xlpm.mask),
_xlpm.Delta_Call,_xlfn._xlws.FILTER(Sheet1!BG$10:BG$210,_xlpm.mask),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C200" s="152" t="str" cm="1">
        <f t="array" aca="1" ref="C200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D200" s="152" t="str">
        <f>IFERROR(
    INDEX(
        CHOOSE(
            MATCH($C$1, {"All","Calls","Puts"}, 0),
            Sheet1!BN$416:BN$616,
            Sheet1!AR$416:AR$616,
            Sheet1!AS$416:AS$616
        ),
        MATCH($A200, Sheet1!N$416:N$616, 0)
    ),
"")</f>
        <v/>
      </c>
      <c r="E200" s="152" t="str">
        <f>IFERROR(
    INDEX(
        CHOOSE(
            MATCH($C$1, {"All","Calls","Puts"}, 0),
            Sheet1!BN$619:BN$819,
            Sheet1!AR$619:AR$819,
            Sheet1!AS$619:AS$819
        ),
        MATCH($A200, Sheet1!N$619:N$819, 0)
    ),
"")</f>
        <v/>
      </c>
      <c r="F200" s="152" t="str" cm="1">
        <f t="array" aca="1" ref="F200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G200" s="152" t="str" cm="1">
        <f t="array" aca="1" ref="G200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H200" s="152" t="str">
        <f>IFERROR(
    INDEX(
        CHOOSE(
            MATCH($C$1, {"All","Calls","Puts"}, 0),
            Sheet1!BN$1228:BN$1428,
            Sheet1!AR$1228:AR$1428,
            Sheet1!AS$1228:AS$1428
        ),
        MATCH($A200, Sheet1!N$1228:N$1428, 0)
    ),
"")</f>
        <v/>
      </c>
      <c r="I200" s="152" t="str">
        <f>IFERROR(
    INDEX(
        CHOOSE(
            MATCH($C$1, {"All","Calls","Puts"}, 0),
            Sheet1!BN$1431:BN$1631,
            Sheet1!AR$1431:AR$1631,
            Sheet1!AS$1431:AS$1631
        ),
        MATCH($A200, Sheet1!N$1431:N$1631, 0)
    ),
"")</f>
        <v/>
      </c>
      <c r="J200" s="73" t="str">
        <f t="shared" si="14"/>
        <v/>
      </c>
      <c r="K200" s="99"/>
      <c r="L200" s="131">
        <f>IFERROR(MIN(0,INDEX(Sheet1!$AD$10:$AD$999,MATCH(A200,Sheet1!$N$10:$N$999,0))),0)</f>
        <v>0</v>
      </c>
      <c r="M200" s="137">
        <f>IFERROR(MAX(0,INDEX(Sheet1!$AE$10:$AE$999,MATCH(A200,Sheet1!$N$10:$N$999,0))),0)</f>
        <v>0</v>
      </c>
      <c r="O200" s="139">
        <f>IFERROR(MIN(0,INDEX(Sheet1!$AP$10:$AP$999,MATCH(A200,Sheet1!$N$10:$N$999,0))),0)</f>
        <v>0</v>
      </c>
      <c r="P200" s="143">
        <f>IFERROR(MAX(0,INDEX(Sheet1!$AO$10:$AO$999,MATCH(A200,Sheet1!$N$10:$N$999,0))),0)</f>
        <v>0</v>
      </c>
      <c r="R200" s="140">
        <f>IFERROR(MIN(0,INDEX(Sheet1!$BK$10:$BK$999,MATCH(A200,Sheet1!$N$10:$N$999,0))),0)</f>
        <v>0</v>
      </c>
      <c r="S200" s="141">
        <f>IFERROR(MAX(0,INDEX(Sheet1!$BK$10:$BK$999,MATCH(A200,Sheet1!$N$10:$N$999,0))),0)</f>
        <v>0</v>
      </c>
      <c r="T200" s="116"/>
      <c r="AA200" s="96"/>
    </row>
    <row r="201" spans="1:27" x14ac:dyDescent="0.3">
      <c r="A201" s="53"/>
      <c r="B201" s="75" t="str" cm="1">
        <f t="array" aca="1" ref="B201" ca="1">_xlfn.LET(
_xlpm.mask, ISNUMBER(Sheet1!N$10:N$210),
_xlpm.strikes,_xlfn._xlws.FILTER(Sheet1!N$10:N$210,_xlpm.mask),
_xlpm.gGamma_All,_xlfn._xlws.FILTER(Sheet1!AB$10:AB$210,_xlpm.mask),
_xlpm.gGamma_Put,_xlfn._xlws.FILTER(Sheet1!AA$10:AA$210,_xlpm.mask),
_xlpm.gGamma_Call,_xlfn._xlws.FILTER(Sheet1!Z$10:Z$210,_xlpm.mask),
_xlpm.gDAdj_All,_xlfn._xlws.FILTER(Sheet1!AC$10:AC$210,_xlpm.mask),
_xlpm.gDAdj_Put,_xlfn._xlws.FILTER(Sheet1!AD$10:AD$210,_xlpm.mask),
_xlpm.gDAdj_Call,_xlfn._xlws.FILTER(Sheet1!AE$10:AE$210,_xlpm.mask),
_xlpm.dgamma_All,_xlfn._xlws.FILTER(Sheet1!BE$10:BE$210,_xlpm.mask),
_xlpm.dgamma_Put,_xlfn._xlws.FILTER(Sheet1!BD$10:BD$210,_xlpm.mask),
_xlpm.dgamma_Call,_xlfn._xlws.FILTER(Sheet1!BC$10:BC$210,_xlpm.mask),
_xlpm.gVanna_All,_xlfn._xlws.FILTER(Sheet1!AQ$10:AQ$210,_xlpm.mask),
_xlpm.gVanna_Put,_xlfn._xlws.FILTER(Sheet1!AP$10:AP$210,_xlpm.mask),
_xlpm.gVanna_Call,_xlfn._xlws.FILTER(Sheet1!AR$10:AR$210,_xlpm.mask),
_xlpm.vol_All,_xlfn._xlws.FILTER(Sheet1!E$10:E$210+Sheet1!U$10:U$210,_xlpm.mask),
_xlpm.vol_Put,_xlfn._xlws.FILTER(Sheet1!U$10:U$210,_xlpm.mask),
_xlpm.vol_Call,_xlfn._xlws.FILTER(Sheet1!E$10:E$210,_xlpm.mask),
_xlpm.oi_All,_xlfn._xlws.FILTER(Sheet1!D$10:D$210+Sheet1!T$10:T$210,_xlpm.mask),
_xlpm.oi_Put,_xlfn._xlws.FILTER(Sheet1!T$10:T$210,_xlpm.mask),
_xlpm.oi_Call,_xlfn._xlws.FILTER(Sheet1!D$10:D$210,_xlpm.mask),
_xlpm.Charm_All,_xlfn._xlws.FILTER(Sheet1!BK$10:BK$210,_xlpm.mask),
_xlpm.Charm_Put,_xlfn._xlws.FILTER(Sheet1!BJ$10:BJ$210,_xlpm.mask),
_xlpm.Charm_Call,_xlfn._xlws.FILTER(Sheet1!BI$10:BI$210,_xlpm.mask),
_xlpm.Delta_All,_xlfn._xlws.FILTER(Sheet1!BF$10:BF$210,_xlpm.mask),
_xlpm.Delta_Put,_xlfn._xlws.FILTER(Sheet1!BH$10:BH$210,_xlpm.mask),
_xlpm.Delta_Call,_xlfn._xlws.FILTER(Sheet1!BG$10:BG$210,_xlpm.mask),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C201" s="75" t="str" cm="1">
        <f t="array" aca="1" ref="C201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D201" s="74" t="str">
        <f>IFERROR(
    INDEX(
        CHOOSE(
            MATCH($C$1, {"All","Calls","Puts"}, 0),
            Sheet1!BN$416:BN$616,
            Sheet1!AR$416:AR$616,
            Sheet1!AS$416:AS$616
        ),
        MATCH($A201, Sheet1!N$416:N$616, 0)
    ),
"")</f>
        <v/>
      </c>
      <c r="E201" s="94" t="str">
        <f>IFERROR(
    INDEX(
        CHOOSE(
            MATCH($C$1, {"All","Calls","Puts"}, 0),
            Sheet1!BN$619:BN$819,
            Sheet1!AR$619:AR$819,
            Sheet1!AS$619:AS$819
        ),
        MATCH($A201, Sheet1!N$619:N$819, 0)
    ),
"")</f>
        <v/>
      </c>
      <c r="F201" s="76" t="str" cm="1">
        <f t="array" aca="1" ref="F201" ca="1">_xlfn.LET(
    _xlpm.mask, Sheet1!N$822:N$1022&lt;&gt;"N/A",
    _xlpm.strikes, _xlfn._xlws.FILTER(Sheet1!N$822:N$1022, _xlpm.mask),
    _xlpm.gGamma_All, _xlfn._xlws.FILTER(Sheet1!AB$822:AB$1022, _xlpm.mask),
    _xlpm.gGamma_Put, _xlfn._xlws.FILTER(Sheet1!AA$822:AA$1022, _xlpm.mask),
    _xlpm.gGamma_Call, _xlfn._xlws.FILTER(Sheet1!Z$822:Z$1022, _xlpm.mask),
    _xlpm.gDAdj_All, _xlfn._xlws.FILTER(Sheet1!AC$822:AC$1022, _xlpm.mask),
    _xlpm.gDAdj_Put, _xlfn._xlws.FILTER(Sheet1!AD$822:AD$1022, _xlpm.mask),
    _xlpm.gDAdj_Call, _xlfn._xlws.FILTER(Sheet1!AE$822:AE$1022, _xlpm.mask),
    _xlpm.gVanna_All, _xlfn._xlws.FILTER(Sheet1!AQ$822:AQ$1022, _xlpm.mask),
    _xlpm.gVanna_Put, _xlfn._xlws.FILTER(Sheet1!AP$822:AP$1022, _xlpm.mask),
    _xlpm.gVanna_Call, _xlfn._xlws.FILTER(Sheet1!AR$822:AR$1022, _xlpm.mask),
    _xlpm.vol_All, _xlfn._xlws.FILTER(Sheet1!E$822:E$1022 + Sheet1!U$822:U$1022, _xlpm.mask),
    _xlpm.vol_Put, _xlfn._xlws.FILTER(Sheet1!U$822:U$1022, _xlpm.mask),
    _xlpm.vol_Call, _xlfn._xlws.FILTER(Sheet1!E$822:E$1022, _xlpm.mask),
    _xlpm.oi_All, _xlfn._xlws.FILTER(Sheet1!D$822:D$1022 + Sheet1!T$822:T$1022, _xlpm.mask),
    _xlpm.oi_Put, _xlfn._xlws.FILTER(Sheet1!T$822:T$1022, _xlpm.mask),
    _xlpm.oi_Call, _xlfn._xlws.FILTER(Sheet1!D$822:D$1022,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MATCH($A201, _xlpm.strikes, 0)),
        ""
    )
)</f>
        <v/>
      </c>
      <c r="G201" s="92" t="str" cm="1">
        <f t="array" aca="1" ref="G201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H201" s="76" t="str" cm="1">
        <f t="array" aca="1" ref="H201" ca="1">_xlfn.LET(
_xlpm.mask,Sheet1!N$1228:N$1428&lt;&gt;"N/A",
_xlpm.strikes,_xlfn._xlws.FILTER(Sheet1!N$1228:N$1428,_xlpm.mask),
_xlpm.gGamma_All,_xlfn._xlws.FILTER(Sheet1!AB$1228:AB$1428,_xlpm.mask),
_xlpm.gGamma_Put,_xlfn._xlws.FILTER(Sheet1!AA$1228:AA$1428,_xlpm.mask),
_xlpm.gGamma_Call,_xlfn._xlws.FILTER(Sheet1!Z$1228:Z$1428,_xlpm.mask),
_xlpm.gDAdj_All,_xlfn._xlws.FILTER(Sheet1!AC$1228:AC$1428,_xlpm.mask),
_xlpm.gDAdj_Put,_xlfn._xlws.FILTER(Sheet1!AD$1228:AD$1428,_xlpm.mask),
_xlpm.gDAdj_Call,_xlfn._xlws.FILTER(Sheet1!AE$1228:AE$1428,_xlpm.mask),
_xlpm.dgamma_All,_xlfn._xlws.FILTER(Sheet1!BE$1228:BE$1428,_xlpm.mask),
_xlpm.dgamma_Put,_xlfn._xlws.FILTER(Sheet1!BD$1228:BD$1428,_xlpm.mask),
_xlpm.dgamma_Call,_xlfn._xlws.FILTER(Sheet1!BC$1228:BC$1428,_xlpm.mask),
_xlpm.gVanna_All,_xlfn._xlws.FILTER(Sheet1!AQ$1228:AQ$1428,_xlpm.mask),
_xlpm.gVanna_Put,_xlfn._xlws.FILTER(Sheet1!AP$1228:AP$1428,_xlpm.mask),
_xlpm.gVanna_Call,_xlfn._xlws.FILTER(Sheet1!AR$1228:AR$1428,_xlpm.mask),
_xlpm.vol_All,_xlfn._xlws.FILTER(Sheet1!E$1228:E$1428+Sheet1!U$1228:U$1428,_xlpm.mask),
_xlpm.vol_Put,_xlfn._xlws.FILTER(Sheet1!U$1228:U$1428,_xlpm.mask),
_xlpm.vol_Call,_xlfn._xlws.FILTER(Sheet1!E$1228:E$1428,_xlpm.mask),
_xlpm.oi_All,_xlfn._xlws.FILTER(Sheet1!D$1228:D$1428+Sheet1!T$1228:T$1428,_xlpm.mask),
_xlpm.oi_Put,_xlfn._xlws.FILTER(Sheet1!T$1228:T$1428,_xlpm.mask),
_xlpm.oi_Call,_xlfn._xlws.FILTER(Sheet1!D$1228:D$1428,_xlpm.mask),
_xlpm.Charm_All,_xlfn._xlws.FILTER(Sheet1!BK$1228:BK$1428,_xlpm.mask),
_xlpm.Charm_Put,_xlfn._xlws.FILTER(Sheet1!BJ$1228:BJ$1428,_xlpm.mask),
_xlpm.Charm_Call,_xlfn._xlws.FILTER(Sheet1!BI$1228:BI$1428,_xlpm.mask),
_xlpm.Delta_All,_xlfn._xlws.FILTER(Sheet1!BF$1228:BF$1428,_xlpm.mask),
_xlpm.Delta_Put,_xlfn._xlws.FILTER(Sheet1!BH$1228:BH$1428,_xlpm.mask),
_xlpm.Delta_Call,_xlfn._xlws.FILTER(Sheet1!BG$1228:BG$1428,_xlpm.mask),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I201" s="74" t="str">
        <f>IFERROR(
    INDEX(
        CHOOSE(
            MATCH($C$1, {"All","Calls","Puts"}, 0),
            Sheet1!BN$1431:BN$1631,
            Sheet1!AR$1431:AR$1631,
            Sheet1!AS$1431:AS$1631
        ),
        MATCH($A201, Sheet1!N$1431:N$1631, 0)
    ),
"")</f>
        <v/>
      </c>
      <c r="J201" s="73" t="str">
        <f t="shared" si="14"/>
        <v/>
      </c>
      <c r="K201" s="99"/>
      <c r="L201" s="131">
        <f>IFERROR(MIN(0,INDEX(Sheet1!$AD$10:$AD$999,MATCH(A201,Sheet1!$N$10:$N$999,0))),0)</f>
        <v>0</v>
      </c>
      <c r="M201" s="137">
        <f>IFERROR(MAX(0,INDEX(Sheet1!$AE$10:$AE$999,MATCH(A201,Sheet1!$N$10:$N$999,0))),0)</f>
        <v>0</v>
      </c>
      <c r="O201" s="139">
        <f>IFERROR(MIN(0,INDEX(Sheet1!$AP$10:$AP$999,MATCH(A201,Sheet1!$N$10:$N$999,0))),0)</f>
        <v>0</v>
      </c>
      <c r="P201" s="143">
        <f>IFERROR(MAX(0,INDEX(Sheet1!$AO$10:$AO$999,MATCH(A201,Sheet1!$N$10:$N$999,0))),0)</f>
        <v>0</v>
      </c>
      <c r="R201" s="140">
        <f>IFERROR(MIN(0,INDEX(Sheet1!$BK$10:$BK$999,MATCH(A201,Sheet1!$N$10:$N$999,0))),0)</f>
        <v>0</v>
      </c>
      <c r="S201" s="141">
        <f>IFERROR(MAX(0,INDEX(Sheet1!$BK$10:$BK$999,MATCH(A201,Sheet1!$N$10:$N$999,0))),0)</f>
        <v>0</v>
      </c>
      <c r="T201" s="116"/>
      <c r="AA201" s="96"/>
    </row>
    <row r="202" spans="1:27" ht="19.5" thickBot="1" x14ac:dyDescent="0.35">
      <c r="A202" s="52"/>
      <c r="B202" s="70"/>
      <c r="C202" s="75" t="str" cm="1">
        <f t="array" aca="1" ref="C202" ca="1">_xlfn.LET(
    _xlpm.mask, Sheet1!N$213:N$413&lt;&gt;"N/A",
    _xlpm.strikes, _xlfn._xlws.FILTER(Sheet1!N$213:N$413, _xlpm.mask),
    _xlpm.gGamma_All, _xlfn._xlws.FILTER(Sheet1!AB$213:AB$413, _xlpm.mask),
    _xlpm.gGamma_Put, _xlfn._xlws.FILTER(Sheet1!AA$213:AA$413, _xlpm.mask),
    _xlpm.gGamma_Call, _xlfn._xlws.FILTER(Sheet1!Z$213:Z$413, _xlpm.mask),
    _xlpm.gDAdj_All, _xlfn._xlws.FILTER(Sheet1!AC$213:AC$413, _xlpm.mask),
    _xlpm.gDAdj_Put, _xlfn._xlws.FILTER(Sheet1!AD$213:AD$413, _xlpm.mask),
    _xlpm.gDAdj_Call, _xlfn._xlws.FILTER(Sheet1!AE$213:AE$413, _xlpm.mask),
    _xlpm.gVanna_All, _xlfn._xlws.FILTER(Sheet1!AQ$213:AQ$413, _xlpm.mask),
    _xlpm.gVanna_Put, _xlfn._xlws.FILTER(Sheet1!AP$213:AP$413, _xlpm.mask),
    _xlpm.gVanna_Call, _xlfn._xlws.FILTER(Sheet1!AR$213:AR$413, _xlpm.mask),
    _xlpm.vol_All, _xlfn._xlws.FILTER(Sheet1!E$213:E$413 + Sheet1!U$213:U$413, _xlpm.mask),
    _xlpm.vol_Put, _xlfn._xlws.FILTER(Sheet1!U$213:U$413, _xlpm.mask),
    _xlpm.vol_Call, _xlfn._xlws.FILTER(Sheet1!E$213:E$413, _xlpm.mask),
    _xlpm.oi_All, _xlfn._xlws.FILTER(Sheet1!E$213:E$413 + Sheet1!T$213:T$413, _xlpm.mask),
    _xlpm.oi_Put, _xlfn._xlws.FILTER(Sheet1!T$213:T$413, _xlpm.mask),
    _xlpm.oi_Call, _xlfn._xlws.FILTER(Sheet1!E$213:E$413,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D202" s="74" t="str">
        <f>IFERROR(
    INDEX(
        CHOOSE(
            MATCH($C$1, {"All","Calls","Puts"}, 0),
            Sheet1!BN$416:BN$616,
            Sheet1!AR$416:AR$616,
            Sheet1!AS$416:AS$616
        ),
        MATCH($A202, Sheet1!N$416:N$616, 0)
    ),
"")</f>
        <v/>
      </c>
      <c r="E202" s="74" t="str" cm="1">
        <f t="array" ref="E202">_xlfn.LET(
    _xlpm.mask, Sheet1!N$416:N$619&lt;&gt;"N/A",
    _xlpm.strikes, _xlfn._xlws.FILTER(Sheet1!N$416:N$619, _xlpm.mask),
    _xlpm.gGamma_All, _xlfn._xlws.FILTER(Sheet1!AB$416:AB$819, _xlpm.mask),
    _xlpm.gGamma_Put, _xlfn._xlws.FILTER(Sheet1!AA$416:AA$819, _xlpm.mask),
    _xlpm.gGamma_Call, _xlfn._xlws.FILTER(Sheet1!Z$416:Z$819, _xlpm.mask),
    _xlpm.gDAdj_All, _xlfn._xlws.FILTER(Sheet1!AC$416:AC$819, _xlpm.mask),
    _xlpm.gDAdj_Put, _xlfn._xlws.FILTER(Sheet1!AD$416:AD$819, _xlpm.mask),
    _xlpm.gDAdj_Call, _xlfn._xlws.FILTER(Sheet1!AE$416:AE$819, _xlpm.mask),
    _xlpm.gVanna_All, _xlfn._xlws.FILTER(Sheet1!AQ$416:AQ$819, _xlpm.mask),
    _xlpm.gVanna_Put, _xlfn._xlws.FILTER(Sheet1!AP$416:AP$819, _xlpm.mask),
    _xlpm.gVanna_Call, _xlfn._xlws.FILTER(Sheet1!AR$416:AR$819, _xlpm.mask),
    _xlpm.vol_All, _xlfn._xlws.FILTER(Sheet1!E$416:E$819 + Sheet1!U$416:U$819, _xlpm.mask),
    _xlpm.vol_Put, _xlfn._xlws.FILTER(Sheet1!U$416:U$819, _xlpm.mask),
    _xlpm.vol_Call, _xlfn._xlws.FILTER(Sheet1!E$416:E$819, _xlpm.mask),
    _xlpm.oi_All, _xlfn._xlws.FILTER(Sheet1!E$416:E$819 + Sheet1!T$416:T$819, _xlpm.mask),
    _xlpm.oi_Put, _xlfn._xlws.FILTER(Sheet1!T$416:T$819, _xlpm.mask),
    _xlpm.oi_Call, _xlfn._xlws.FILTER(Sheet1!E$416:E$819,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F202" s="75" t="str" cm="1">
        <f t="array" aca="1" ref="F202" ca="1">_xlfn.LET(
    _xlpm.mask, Sheet1!N$822:N$1022&lt;&gt;"N/A",
    _xlpm.strikes, _xlfn._xlws.FILTER(Sheet1!N$822:N$1022, _xlpm.mask),
    _xlpm.gGamma_All, _xlfn._xlws.FILTER(Sheet1!AB$822:AB$1022, _xlpm.mask),
    _xlpm.gGamma_Put, _xlfn._xlws.FILTER(Sheet1!AA$822:AA$1022, _xlpm.mask),
    _xlpm.gGamma_Call, _xlfn._xlws.FILTER(Sheet1!Z$822:Z$1022, _xlpm.mask),
    _xlpm.gDAdj_All, _xlfn._xlws.FILTER(Sheet1!AC$822:AC$1022, _xlpm.mask),
    _xlpm.gDAdj_Put, _xlfn._xlws.FILTER(Sheet1!AD$822:AD$1022, _xlpm.mask),
    _xlpm.gDAdj_Call, _xlfn._xlws.FILTER(Sheet1!AE$822:AE$1022, _xlpm.mask),
    _xlpm.gVanna_All, _xlfn._xlws.FILTER(Sheet1!AQ$822:AQ$1022, _xlpm.mask),
    _xlpm.gVanna_Put, _xlfn._xlws.FILTER(Sheet1!AP$822:AP$1022, _xlpm.mask),
    _xlpm.gVanna_Call, _xlfn._xlws.FILTER(Sheet1!AR$822:AR$1022, _xlpm.mask),
    _xlpm.vol_All, _xlfn._xlws.FILTER(Sheet1!E$822:E$1022 + Sheet1!U$822:U$1022, _xlpm.mask),
    _xlpm.vol_Put, _xlfn._xlws.FILTER(Sheet1!U$822:U$1022, _xlpm.mask),
    _xlpm.vol_Call, _xlfn._xlws.FILTER(Sheet1!E$822:E$1022, _xlpm.mask),
    _xlpm.oi_All, _xlfn._xlws.FILTER(Sheet1!E$822:E$1022 + Sheet1!T$822:T$1022, _xlpm.mask),
    _xlpm.oi_Put, _xlfn._xlws.FILTER(Sheet1!T$822:T$1022, _xlpm.mask),
    _xlpm.oi_Call, _xlfn._xlws.FILTER(Sheet1!E$822:E$1022,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G202" s="71"/>
      <c r="H202" s="76" t="str" cm="1">
        <f t="array" aca="1" ref="H202" ca="1">_xlfn.LET(
_xlpm.mask,Sheet1!N$1228:N$1428&lt;&gt;"N/A",
_xlpm.strikes,_xlfn._xlws.FILTER(Sheet1!N$1228:N$1428,_xlpm.mask),
_xlpm.gGamma_All,_xlfn._xlws.FILTER(Sheet1!AB$1228:AB$1428,_xlpm.mask),
_xlpm.gGamma_Put,_xlfn._xlws.FILTER(Sheet1!AA$1228:AA$1428,_xlpm.mask),
_xlpm.gGamma_Call,_xlfn._xlws.FILTER(Sheet1!Z$1228:Z$1428,_xlpm.mask),
_xlpm.gDAdj_All,_xlfn._xlws.FILTER(Sheet1!AC$1228:AC$1428,_xlpm.mask),
_xlpm.gDAdj_Put,_xlfn._xlws.FILTER(Sheet1!AD$1228:AD$1428,_xlpm.mask),
_xlpm.gDAdj_Call,_xlfn._xlws.FILTER(Sheet1!AE$1228:AE$1428,_xlpm.mask),
_xlpm.dgamma_All,_xlfn._xlws.FILTER(Sheet1!BE$1228:BE$1428,_xlpm.mask),
_xlpm.dgamma_Put,_xlfn._xlws.FILTER(Sheet1!BD$1228:BD$1428,_xlpm.mask),
_xlpm.dgamma_Call,_xlfn._xlws.FILTER(Sheet1!BC$1228:BC$1428,_xlpm.mask),
_xlpm.gVanna_All,_xlfn._xlws.FILTER(Sheet1!AQ$1228:AQ$1428,_xlpm.mask),
_xlpm.gVanna_Put,_xlfn._xlws.FILTER(Sheet1!AP$1228:AP$1428,_xlpm.mask),
_xlpm.gVanna_Call,_xlfn._xlws.FILTER(Sheet1!AR$1228:AR$1428,_xlpm.mask),
_xlpm.vol_All,_xlfn._xlws.FILTER(Sheet1!E$1228:E$1428+Sheet1!U$1228:U$1428,_xlpm.mask),
_xlpm.vol_Put,_xlfn._xlws.FILTER(Sheet1!U$1228:U$1428,_xlpm.mask),
_xlpm.vol_Call,_xlfn._xlws.FILTER(Sheet1!E$1228:E$1428,_xlpm.mask),
_xlpm.oi_All,_xlfn._xlws.FILTER(Sheet1!D$1228:D$1428+Sheet1!T$1228:T$1428,_xlpm.mask),
_xlpm.oi_Put,_xlfn._xlws.FILTER(Sheet1!T$1228:T$1428,_xlpm.mask),
_xlpm.oi_Call,_xlfn._xlws.FILTER(Sheet1!D$1228:D$1428,_xlpm.mask),
_xlpm.Charm_All,_xlfn._xlws.FILTER(Sheet1!BK$1228:BK$1428,_xlpm.mask),
_xlpm.Charm_Put,_xlfn._xlws.FILTER(Sheet1!BJ$1228:BJ$1428,_xlpm.mask),
_xlpm.Charm_Call,_xlfn._xlws.FILTER(Sheet1!BI$1228:BI$1428,_xlpm.mask),
_xlpm.Delta_All,_xlfn._xlws.FILTER(Sheet1!BF$1228:BF$1428,_xlpm.mask),
_xlpm.Delta_Put,_xlfn._xlws.FILTER(Sheet1!BH$1228:BH$1428,_xlpm.mask),
_xlpm.Delta_Call,_xlfn._xlws.FILTER(Sheet1!BG$1228:BG$1428,_xlpm.mask),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IFERROR(INDEX(_xlpm.metricCol,MATCH($A202,_xlpm.strikes,0)),"")
)</f>
        <v/>
      </c>
      <c r="I202" s="72"/>
      <c r="J202" s="52" t="str">
        <f>IF(A202="",""," "&amp;A202)</f>
        <v/>
      </c>
      <c r="K202" s="100"/>
      <c r="L202" s="129">
        <f>IFERROR(MIN(0,INDEX(Sheet1!$AD$10:$AD$999,MATCH(A202,Sheet1!$N$10:$N$999,0))),0)</f>
        <v>0</v>
      </c>
      <c r="M202" s="137">
        <f>IFERROR(MAX(0,INDEX(Sheet1!$AE$10:$AE$999,MATCH(A202,Sheet1!$N$10:$N$999,0))),0)</f>
        <v>0</v>
      </c>
      <c r="O202" s="139">
        <f>IFERROR(MIN(0,INDEX(Sheet1!$AP$10:$AP$999,MATCH(A202,Sheet1!$N$10:$N$999,0))),0)</f>
        <v>0</v>
      </c>
      <c r="P202" s="141">
        <f>IFERROR(MAX(0,INDEX(Sheet1!$AO$10:$AO$999,MATCH(A202,Sheet1!$N$10:$N$999,0))),0)</f>
        <v>0</v>
      </c>
      <c r="R202" s="140">
        <f>IFERROR(MIN(0,INDEX(Sheet1!$BK$10:$BK$999,MATCH(A202,Sheet1!$N$10:$N$999,0))),0)</f>
        <v>0</v>
      </c>
      <c r="S202" s="141">
        <f>IFERROR(MAX(0,INDEX(Sheet1!$BK$10:$BK$999,MATCH(A202,Sheet1!$N$10:$N$999,0))),0)</f>
        <v>0</v>
      </c>
      <c r="T202" s="116"/>
      <c r="AA202" s="96"/>
    </row>
    <row r="203" spans="1:27" x14ac:dyDescent="0.3">
      <c r="A203" s="46"/>
      <c r="B203" s="67"/>
      <c r="C203" s="68"/>
      <c r="D203" s="69"/>
      <c r="E203" s="68"/>
      <c r="F203" s="69"/>
      <c r="G203" s="68"/>
      <c r="H203" s="69"/>
      <c r="I203" s="68"/>
      <c r="J203" s="33"/>
      <c r="K203" s="101"/>
      <c r="L203" s="129">
        <f>IFERROR(MIN(0,INDEX(Sheet1!$AD$10:$AD$999,MATCH(A203,Sheet1!$N$10:$N$999,0))),0)</f>
        <v>0</v>
      </c>
      <c r="M203" s="137">
        <f>IFERROR(MAX(0,INDEX(Sheet1!$AE$10:$AE$999,MATCH(A203,Sheet1!$N$10:$N$999,0))),0)</f>
        <v>0</v>
      </c>
      <c r="O203" s="139">
        <f>IFERROR(MIN(0,INDEX(Sheet1!$AP$10:$AP$999,MATCH(A203,Sheet1!$N$10:$N$999,0))),0)</f>
        <v>0</v>
      </c>
      <c r="P203" s="141">
        <f>IFERROR(MAX(0,INDEX(Sheet1!$AO$10:$AO$999,MATCH(A203,Sheet1!$N$10:$N$999,0))),0)</f>
        <v>0</v>
      </c>
      <c r="R203" s="140">
        <f>IFERROR(MIN(0,INDEX(Sheet1!$BK$10:$BK$999,MATCH(A203,Sheet1!$N$10:$N$999,0))),0)</f>
        <v>0</v>
      </c>
      <c r="S203" s="141">
        <f>IFERROR(MAX(0,INDEX(Sheet1!$BK$10:$BK$999,MATCH(A203,Sheet1!$N$10:$N$999,0))),0)</f>
        <v>0</v>
      </c>
      <c r="T203" s="116"/>
      <c r="AA203" s="96"/>
    </row>
    <row r="204" spans="1:27" ht="19.5" thickBot="1" x14ac:dyDescent="0.35">
      <c r="A204" s="45"/>
      <c r="B204" s="37"/>
      <c r="C204" s="28"/>
      <c r="D204" s="27"/>
      <c r="E204" s="28"/>
      <c r="F204" s="27"/>
      <c r="G204" s="28"/>
      <c r="H204" s="27"/>
      <c r="I204" s="28"/>
      <c r="J204" s="27"/>
      <c r="K204" s="102"/>
      <c r="L204" s="129">
        <f>IFERROR(MIN(0,INDEX(Sheet1!$AD$10:$AD$999,MATCH(A204,Sheet1!$N$10:$N$999,0))),0)</f>
        <v>0</v>
      </c>
      <c r="M204" s="137">
        <f>IFERROR(MAX(0,INDEX(Sheet1!$AE$10:$AE$999,MATCH(A204,Sheet1!$N$10:$N$999,0))),0)</f>
        <v>0</v>
      </c>
      <c r="O204" s="139">
        <f>IFERROR(MIN(0,INDEX(Sheet1!$AP$10:$AP$999,MATCH(A204,Sheet1!$N$10:$N$999,0))),0)</f>
        <v>0</v>
      </c>
      <c r="P204" s="142">
        <f>IFERROR(MAX(0,INDEX(Sheet1!$AO$10:$AO$999,MATCH(A204,Sheet1!$N$10:$N$999,0))),0)</f>
        <v>0</v>
      </c>
      <c r="R204" s="140">
        <f>IFERROR(MIN(0,INDEX(Sheet1!$BK$10:$BK$999,MATCH(A204,Sheet1!$N$10:$N$999,0))),0)</f>
        <v>0</v>
      </c>
      <c r="S204" s="141">
        <f>IFERROR(MAX(0,INDEX(Sheet1!$BK$10:$BK$999,MATCH(A204,Sheet1!$N$10:$N$999,0))),0)</f>
        <v>0</v>
      </c>
      <c r="T204" s="116"/>
      <c r="AA204" s="96"/>
    </row>
    <row r="205" spans="1:27" ht="19.5" thickBot="1" x14ac:dyDescent="0.35">
      <c r="A205" s="51"/>
      <c r="B205" s="38"/>
      <c r="C205" s="30"/>
      <c r="D205" s="29"/>
      <c r="E205" s="30"/>
      <c r="F205" s="29"/>
      <c r="G205" s="30"/>
      <c r="H205" s="29"/>
      <c r="I205" s="30"/>
      <c r="J205" s="29"/>
      <c r="K205" s="103"/>
      <c r="L205" s="131">
        <f>IFERROR(MIN(0,INDEX(Sheet1!$AD$10:$AD$999,MATCH(A205,Sheet1!$N$10:$N$999,0))),0)</f>
        <v>0</v>
      </c>
      <c r="M205" s="137">
        <f>IFERROR(MAX(0,INDEX(Sheet1!$AE$10:$AE$999,MATCH(A205,Sheet1!$N$10:$N$999,0))),0)</f>
        <v>0</v>
      </c>
      <c r="O205" s="139">
        <f>IFERROR(MIN(0,INDEX(Sheet1!$AP$10:$AP$999,MATCH(A205,Sheet1!$N$10:$N$999,0))),0)</f>
        <v>0</v>
      </c>
      <c r="P205" s="143">
        <f>IFERROR(MAX(0,INDEX(Sheet1!$AO$10:$AO$999,MATCH(A205,Sheet1!$N$10:$N$999,0))),0)</f>
        <v>0</v>
      </c>
      <c r="R205" s="140">
        <f>IFERROR(MIN(0,INDEX(Sheet1!$BK$10:$BK$999,MATCH(A205,Sheet1!$N$10:$N$999,0))),0)</f>
        <v>0</v>
      </c>
      <c r="S205" s="141">
        <f>IFERROR(MAX(0,INDEX(Sheet1!$BK$10:$BK$999,MATCH(A205,Sheet1!$N$10:$N$999,0))),0)</f>
        <v>0</v>
      </c>
      <c r="T205" s="116"/>
      <c r="AA205" s="96"/>
    </row>
    <row r="206" spans="1:27" ht="19.5" thickBot="1" x14ac:dyDescent="0.35">
      <c r="A206" s="51"/>
      <c r="B206" s="38"/>
      <c r="C206" s="30"/>
      <c r="D206" s="29"/>
      <c r="E206" s="30"/>
      <c r="F206" s="29"/>
      <c r="G206" s="30"/>
      <c r="H206" s="29"/>
      <c r="I206" s="30"/>
      <c r="J206" s="29"/>
      <c r="K206" s="103"/>
      <c r="L206" s="131">
        <f>IFERROR(MIN(0,INDEX(Sheet1!$AD$10:$AD$999,MATCH(A206,Sheet1!$N$10:$N$999,0))),0)</f>
        <v>0</v>
      </c>
      <c r="M206" s="137">
        <f>IFERROR(MAX(0,INDEX(Sheet1!$AE$10:$AE$999,MATCH(A206,Sheet1!$N$10:$N$999,0))),0)</f>
        <v>0</v>
      </c>
      <c r="O206" s="139">
        <f>IFERROR(MIN(0,INDEX(Sheet1!$AP$10:$AP$999,MATCH(A206,Sheet1!$N$10:$N$999,0))),0)</f>
        <v>0</v>
      </c>
      <c r="P206" s="143">
        <f>IFERROR(MAX(0,INDEX(Sheet1!$AO$10:$AO$999,MATCH(A206,Sheet1!$N$10:$N$999,0))),0)</f>
        <v>0</v>
      </c>
      <c r="R206" s="140">
        <f>IFERROR(MIN(0,INDEX(Sheet1!$BK$10:$BK$999,MATCH(A206,Sheet1!$N$10:$N$999,0))),0)</f>
        <v>0</v>
      </c>
      <c r="S206" s="141">
        <f>IFERROR(MAX(0,INDEX(Sheet1!$BK$10:$BK$999,MATCH(A206,Sheet1!$N$10:$N$999,0))),0)</f>
        <v>0</v>
      </c>
      <c r="T206" s="116"/>
      <c r="AA206" s="96"/>
    </row>
    <row r="207" spans="1:27" ht="19.5" thickBot="1" x14ac:dyDescent="0.35">
      <c r="A207" s="51"/>
      <c r="B207" s="38"/>
      <c r="C207" s="30"/>
      <c r="D207" s="29"/>
      <c r="E207" s="30"/>
      <c r="F207" s="29"/>
      <c r="G207" s="30"/>
      <c r="H207" s="29"/>
      <c r="I207" s="30"/>
      <c r="J207" s="29"/>
      <c r="K207" s="103"/>
      <c r="L207" s="131">
        <f>IFERROR(MIN(0,INDEX(Sheet1!$AD$10:$AD$999,MATCH(A207,Sheet1!$N$10:$N$999,0))),0)</f>
        <v>0</v>
      </c>
      <c r="M207" s="137">
        <f>IFERROR(MAX(0,INDEX(Sheet1!$AE$10:$AE$999,MATCH(A207,Sheet1!$N$10:$N$999,0))),0)</f>
        <v>0</v>
      </c>
      <c r="O207" s="139">
        <f>IFERROR(MIN(0,INDEX(Sheet1!$AP$10:$AP$999,MATCH(A207,Sheet1!$N$10:$N$999,0))),0)</f>
        <v>0</v>
      </c>
      <c r="P207" s="143">
        <f>IFERROR(MAX(0,INDEX(Sheet1!$AO$10:$AO$999,MATCH(A207,Sheet1!$N$10:$N$999,0))),0)</f>
        <v>0</v>
      </c>
      <c r="R207" s="140">
        <f>IFERROR(MIN(0,INDEX(Sheet1!$BK$10:$BK$999,MATCH(A207,Sheet1!$N$10:$N$999,0))),0)</f>
        <v>0</v>
      </c>
      <c r="S207" s="141">
        <f>IFERROR(MAX(0,INDEX(Sheet1!$BK$10:$BK$999,MATCH(A207,Sheet1!$N$10:$N$999,0))),0)</f>
        <v>0</v>
      </c>
      <c r="T207" s="116"/>
      <c r="AA207" s="96"/>
    </row>
    <row r="208" spans="1:27" ht="19.5" thickBot="1" x14ac:dyDescent="0.35">
      <c r="A208" s="51"/>
      <c r="B208" s="38"/>
      <c r="C208" s="30"/>
      <c r="D208" s="29"/>
      <c r="E208" s="30"/>
      <c r="F208" s="29"/>
      <c r="G208" s="30"/>
      <c r="H208" s="29"/>
      <c r="I208" s="30"/>
      <c r="J208" s="29"/>
      <c r="K208" s="103"/>
      <c r="L208" s="131">
        <f>IFERROR(MIN(0,INDEX(Sheet1!$AD$10:$AD$999,MATCH(A208,Sheet1!$N$10:$N$999,0))),0)</f>
        <v>0</v>
      </c>
      <c r="M208" s="137">
        <f>IFERROR(MAX(0,INDEX(Sheet1!$AE$10:$AE$999,MATCH(A208,Sheet1!$N$10:$N$999,0))),0)</f>
        <v>0</v>
      </c>
      <c r="O208" s="139">
        <f>IFERROR(MIN(0,INDEX(Sheet1!$AP$10:$AP$999,MATCH(A208,Sheet1!$N$10:$N$999,0))),0)</f>
        <v>0</v>
      </c>
      <c r="P208" s="143">
        <f>IFERROR(MAX(0,INDEX(Sheet1!$AO$10:$AO$999,MATCH(A208,Sheet1!$N$10:$N$999,0))),0)</f>
        <v>0</v>
      </c>
      <c r="R208" s="140">
        <f>IFERROR(MIN(0,INDEX(Sheet1!$BK$10:$BK$999,MATCH(A208,Sheet1!$N$10:$N$999,0))),0)</f>
        <v>0</v>
      </c>
      <c r="S208" s="141">
        <f>IFERROR(MAX(0,INDEX(Sheet1!$BK$10:$BK$999,MATCH(A208,Sheet1!$N$10:$N$999,0))),0)</f>
        <v>0</v>
      </c>
      <c r="T208" s="116"/>
      <c r="AA208" s="96"/>
    </row>
    <row r="209" spans="1:27" ht="19.5" thickBot="1" x14ac:dyDescent="0.35">
      <c r="A209" s="51"/>
      <c r="B209" s="38"/>
      <c r="C209" s="30"/>
      <c r="D209" s="29"/>
      <c r="E209" s="30"/>
      <c r="F209" s="29"/>
      <c r="G209" s="30"/>
      <c r="H209" s="29"/>
      <c r="I209" s="30"/>
      <c r="J209" s="29"/>
      <c r="K209" s="103"/>
      <c r="L209" s="131">
        <f>IFERROR(MIN(0,INDEX(Sheet1!$AD$10:$AD$999,MATCH(A209,Sheet1!$N$10:$N$999,0))),0)</f>
        <v>0</v>
      </c>
      <c r="M209" s="137">
        <f>IFERROR(MAX(0,INDEX(Sheet1!$AE$10:$AE$999,MATCH(A209,Sheet1!$N$10:$N$999,0))),0)</f>
        <v>0</v>
      </c>
      <c r="O209" s="139">
        <f>IFERROR(MIN(0,INDEX(Sheet1!$AP$10:$AP$999,MATCH(A209,Sheet1!$N$10:$N$999,0))),0)</f>
        <v>0</v>
      </c>
      <c r="P209" s="143">
        <f>IFERROR(MAX(0,INDEX(Sheet1!$AO$10:$AO$999,MATCH(A209,Sheet1!$N$10:$N$999,0))),0)</f>
        <v>0</v>
      </c>
      <c r="R209" s="140">
        <f>IFERROR(MIN(0,INDEX(Sheet1!$BK$10:$BK$999,MATCH(A209,Sheet1!$N$10:$N$999,0))),0)</f>
        <v>0</v>
      </c>
      <c r="S209" s="141">
        <f>IFERROR(MAX(0,INDEX(Sheet1!$BK$10:$BK$999,MATCH(A209,Sheet1!$N$10:$N$999,0))),0)</f>
        <v>0</v>
      </c>
      <c r="T209" s="116"/>
      <c r="AA209" s="96"/>
    </row>
    <row r="210" spans="1:27" ht="19.5" thickBot="1" x14ac:dyDescent="0.35">
      <c r="A210" s="51"/>
      <c r="B210" s="38"/>
      <c r="C210" s="30"/>
      <c r="D210" s="29"/>
      <c r="E210" s="30"/>
      <c r="F210" s="29"/>
      <c r="G210" s="30"/>
      <c r="H210" s="29"/>
      <c r="I210" s="30"/>
      <c r="J210" s="29"/>
      <c r="K210" s="103"/>
      <c r="L210" s="131">
        <f>IFERROR(MIN(0,INDEX(Sheet1!$AD$10:$AD$999,MATCH(A210,Sheet1!$N$10:$N$999,0))),0)</f>
        <v>0</v>
      </c>
      <c r="M210" s="137">
        <f>IFERROR(MAX(0,INDEX(Sheet1!$AE$10:$AE$999,MATCH(A210,Sheet1!$N$10:$N$999,0))),0)</f>
        <v>0</v>
      </c>
      <c r="O210" s="139">
        <f>IFERROR(MIN(0,INDEX(Sheet1!$AP$10:$AP$999,MATCH(A210,Sheet1!$N$10:$N$999,0))),0)</f>
        <v>0</v>
      </c>
      <c r="P210" s="143">
        <f>IFERROR(MAX(0,INDEX(Sheet1!$AO$10:$AO$999,MATCH(A210,Sheet1!$N$10:$N$999,0))),0)</f>
        <v>0</v>
      </c>
      <c r="R210" s="140">
        <f>IFERROR(MIN(0,INDEX(Sheet1!$BK$10:$BK$999,MATCH(A210,Sheet1!$N$10:$N$999,0))),0)</f>
        <v>0</v>
      </c>
      <c r="S210" s="141">
        <f>IFERROR(MAX(0,INDEX(Sheet1!$BK$10:$BK$999,MATCH(A210,Sheet1!$N$10:$N$999,0))),0)</f>
        <v>0</v>
      </c>
      <c r="T210" s="116"/>
      <c r="AA210" s="96"/>
    </row>
    <row r="211" spans="1:27" ht="19.5" thickBot="1" x14ac:dyDescent="0.35">
      <c r="A211" s="51"/>
      <c r="B211" s="38"/>
      <c r="C211" s="30"/>
      <c r="D211" s="29"/>
      <c r="E211" s="30"/>
      <c r="F211" s="29"/>
      <c r="G211" s="30"/>
      <c r="H211" s="29"/>
      <c r="I211" s="30"/>
      <c r="J211" s="29"/>
      <c r="K211" s="103"/>
      <c r="L211" s="106"/>
      <c r="P211" s="110"/>
    </row>
    <row r="212" spans="1:27" ht="19.5" thickBot="1" x14ac:dyDescent="0.35">
      <c r="A212" s="51"/>
      <c r="B212" s="38"/>
      <c r="C212" s="30"/>
      <c r="D212" s="29"/>
      <c r="E212" s="30"/>
      <c r="F212" s="29"/>
      <c r="G212" s="30"/>
      <c r="H212" s="29"/>
      <c r="I212" s="30"/>
      <c r="J212" s="29"/>
      <c r="K212" s="103"/>
      <c r="L212" s="106"/>
      <c r="P212" s="109"/>
    </row>
    <row r="213" spans="1:27" ht="19.5" thickBot="1" x14ac:dyDescent="0.35">
      <c r="A213" s="51"/>
      <c r="B213" s="38"/>
      <c r="C213" s="30"/>
      <c r="D213" s="29"/>
      <c r="E213" s="30"/>
      <c r="F213" s="29"/>
      <c r="G213" s="30"/>
      <c r="H213" s="29"/>
      <c r="I213" s="30"/>
      <c r="J213" s="29"/>
      <c r="K213" s="103"/>
      <c r="L213" s="106"/>
      <c r="P213" s="109"/>
    </row>
    <row r="214" spans="1:27" ht="19.5" thickBot="1" x14ac:dyDescent="0.35">
      <c r="A214" s="51"/>
      <c r="B214" s="38"/>
      <c r="C214" s="30"/>
      <c r="D214" s="29"/>
      <c r="E214" s="30"/>
      <c r="F214" s="29"/>
      <c r="G214" s="30"/>
      <c r="H214" s="29"/>
      <c r="I214" s="30"/>
      <c r="J214" s="29"/>
      <c r="K214" s="103"/>
      <c r="L214" s="106"/>
      <c r="P214" s="109"/>
    </row>
    <row r="215" spans="1:27" ht="19.5" thickBot="1" x14ac:dyDescent="0.35">
      <c r="A215" s="51"/>
      <c r="B215" s="38"/>
      <c r="C215" s="30"/>
      <c r="D215" s="29"/>
      <c r="E215" s="30"/>
      <c r="F215" s="29"/>
      <c r="G215" s="30"/>
      <c r="H215" s="29"/>
      <c r="I215" s="30"/>
      <c r="J215" s="29"/>
      <c r="K215" s="103"/>
      <c r="L215" s="106"/>
      <c r="P215" s="109"/>
    </row>
    <row r="216" spans="1:27" ht="19.5" thickBot="1" x14ac:dyDescent="0.35">
      <c r="A216" s="51"/>
      <c r="B216" s="38"/>
      <c r="C216" s="30"/>
      <c r="D216" s="29"/>
      <c r="E216" s="30"/>
      <c r="F216" s="29"/>
      <c r="G216" s="30"/>
      <c r="H216" s="29"/>
      <c r="I216" s="30"/>
      <c r="J216" s="29"/>
      <c r="K216" s="103"/>
      <c r="L216" s="106"/>
      <c r="P216" s="109"/>
    </row>
    <row r="217" spans="1:27" ht="19.5" thickBot="1" x14ac:dyDescent="0.35">
      <c r="A217" s="51"/>
      <c r="B217" s="38"/>
      <c r="C217" s="30"/>
      <c r="D217" s="29"/>
      <c r="E217" s="30"/>
      <c r="F217" s="29"/>
      <c r="G217" s="30"/>
      <c r="H217" s="29"/>
      <c r="I217" s="30"/>
      <c r="J217" s="29"/>
      <c r="K217" s="103"/>
      <c r="L217" s="106"/>
      <c r="P217" s="109"/>
    </row>
    <row r="218" spans="1:27" ht="19.5" thickBot="1" x14ac:dyDescent="0.35">
      <c r="A218" s="51"/>
      <c r="B218" s="38"/>
      <c r="C218" s="30"/>
      <c r="D218" s="29"/>
      <c r="E218" s="30"/>
      <c r="F218" s="29"/>
      <c r="G218" s="30"/>
      <c r="H218" s="29"/>
      <c r="I218" s="30"/>
      <c r="J218" s="29"/>
      <c r="K218" s="103"/>
      <c r="L218" s="106"/>
      <c r="P218" s="109"/>
    </row>
    <row r="219" spans="1:27" ht="19.5" thickBot="1" x14ac:dyDescent="0.35">
      <c r="A219" s="51"/>
      <c r="B219" s="38"/>
      <c r="C219" s="30"/>
      <c r="D219" s="29"/>
      <c r="E219" s="30"/>
      <c r="F219" s="29"/>
      <c r="G219" s="30"/>
      <c r="H219" s="29"/>
      <c r="I219" s="30"/>
      <c r="J219" s="29"/>
      <c r="K219" s="103"/>
      <c r="L219" s="106"/>
      <c r="P219" s="109"/>
    </row>
    <row r="220" spans="1:27" ht="19.5" thickBot="1" x14ac:dyDescent="0.35">
      <c r="A220" s="51"/>
      <c r="B220" s="38"/>
      <c r="C220" s="30"/>
      <c r="D220" s="29"/>
      <c r="E220" s="30"/>
      <c r="F220" s="29"/>
      <c r="G220" s="30"/>
      <c r="H220" s="29"/>
      <c r="I220" s="30"/>
      <c r="J220" s="29"/>
      <c r="K220" s="103"/>
      <c r="L220" s="106"/>
      <c r="P220" s="109"/>
    </row>
    <row r="221" spans="1:27" ht="19.5" thickBot="1" x14ac:dyDescent="0.35">
      <c r="A221" s="51"/>
      <c r="B221" s="38"/>
      <c r="C221" s="30"/>
      <c r="D221" s="29"/>
      <c r="E221" s="30"/>
      <c r="F221" s="29"/>
      <c r="G221" s="30"/>
      <c r="H221" s="29"/>
      <c r="I221" s="30"/>
      <c r="J221" s="29"/>
      <c r="K221" s="103"/>
      <c r="L221" s="106"/>
      <c r="P221" s="109"/>
    </row>
    <row r="222" spans="1:27" ht="19.5" thickBot="1" x14ac:dyDescent="0.35">
      <c r="A222" s="51"/>
      <c r="B222" s="38"/>
      <c r="C222" s="30"/>
      <c r="D222" s="29"/>
      <c r="E222" s="30"/>
      <c r="F222" s="29"/>
      <c r="G222" s="30"/>
      <c r="H222" s="29"/>
      <c r="I222" s="30"/>
      <c r="J222" s="29"/>
      <c r="K222" s="103"/>
      <c r="L222" s="106"/>
      <c r="P222" s="109"/>
    </row>
    <row r="223" spans="1:27" ht="19.5" thickBot="1" x14ac:dyDescent="0.35">
      <c r="A223" s="51"/>
      <c r="B223" s="38"/>
      <c r="C223" s="30"/>
      <c r="D223" s="29"/>
      <c r="E223" s="30"/>
      <c r="F223" s="29"/>
      <c r="G223" s="30"/>
      <c r="H223" s="29"/>
      <c r="I223" s="30"/>
      <c r="J223" s="29"/>
      <c r="K223" s="103"/>
      <c r="L223" s="106"/>
      <c r="P223" s="109"/>
    </row>
    <row r="224" spans="1:27" ht="19.5" thickBot="1" x14ac:dyDescent="0.35">
      <c r="A224" s="51"/>
      <c r="B224" s="38"/>
      <c r="C224" s="30"/>
      <c r="D224" s="29"/>
      <c r="E224" s="30"/>
      <c r="F224" s="29"/>
      <c r="G224" s="30"/>
      <c r="H224" s="29"/>
      <c r="I224" s="30"/>
      <c r="J224" s="29"/>
      <c r="K224" s="103"/>
      <c r="L224" s="106"/>
      <c r="P224" s="109"/>
    </row>
    <row r="225" spans="1:16" ht="19.5" thickBot="1" x14ac:dyDescent="0.35">
      <c r="A225" s="51"/>
      <c r="B225" s="38"/>
      <c r="C225" s="30"/>
      <c r="D225" s="29"/>
      <c r="E225" s="30"/>
      <c r="F225" s="29"/>
      <c r="G225" s="30"/>
      <c r="H225" s="29"/>
      <c r="I225" s="30"/>
      <c r="J225" s="29"/>
      <c r="K225" s="103"/>
      <c r="L225" s="106"/>
      <c r="P225" s="109"/>
    </row>
    <row r="226" spans="1:16" ht="19.5" thickBot="1" x14ac:dyDescent="0.35">
      <c r="A226" s="51"/>
      <c r="B226" s="38"/>
      <c r="C226" s="30"/>
      <c r="D226" s="29"/>
      <c r="E226" s="30"/>
      <c r="F226" s="29"/>
      <c r="G226" s="30"/>
      <c r="H226" s="29"/>
      <c r="I226" s="30"/>
      <c r="J226" s="29"/>
      <c r="K226" s="103"/>
      <c r="L226" s="106"/>
      <c r="P226" s="109"/>
    </row>
    <row r="227" spans="1:16" ht="19.5" thickBot="1" x14ac:dyDescent="0.35">
      <c r="A227" s="51"/>
      <c r="B227" s="38"/>
      <c r="C227" s="30"/>
      <c r="D227" s="29"/>
      <c r="E227" s="30"/>
      <c r="F227" s="29"/>
      <c r="G227" s="30"/>
      <c r="H227" s="29"/>
      <c r="I227" s="30"/>
      <c r="J227" s="29"/>
      <c r="K227" s="103"/>
      <c r="L227" s="106"/>
      <c r="P227" s="109"/>
    </row>
    <row r="228" spans="1:16" ht="19.5" thickBot="1" x14ac:dyDescent="0.35">
      <c r="A228" s="51"/>
      <c r="B228" s="38"/>
      <c r="C228" s="30"/>
      <c r="D228" s="29"/>
      <c r="E228" s="30"/>
      <c r="F228" s="29"/>
      <c r="G228" s="30"/>
      <c r="H228" s="29"/>
      <c r="I228" s="30"/>
      <c r="J228" s="29"/>
      <c r="K228" s="103"/>
      <c r="L228" s="106"/>
      <c r="P228" s="109"/>
    </row>
    <row r="229" spans="1:16" ht="19.5" thickBot="1" x14ac:dyDescent="0.35">
      <c r="A229" s="51"/>
      <c r="B229" s="38"/>
      <c r="C229" s="30"/>
      <c r="D229" s="29"/>
      <c r="E229" s="30"/>
      <c r="F229" s="29"/>
      <c r="G229" s="30"/>
      <c r="H229" s="29"/>
      <c r="I229" s="30"/>
      <c r="J229" s="29"/>
      <c r="K229" s="103"/>
      <c r="L229" s="106"/>
      <c r="P229" s="109"/>
    </row>
    <row r="230" spans="1:16" ht="19.5" thickBot="1" x14ac:dyDescent="0.35">
      <c r="A230" s="51"/>
      <c r="B230" s="38"/>
      <c r="C230" s="30"/>
      <c r="D230" s="29"/>
      <c r="E230" s="30"/>
      <c r="F230" s="29"/>
      <c r="G230" s="30"/>
      <c r="H230" s="29"/>
      <c r="I230" s="30"/>
      <c r="J230" s="29"/>
      <c r="K230" s="103"/>
      <c r="L230" s="106"/>
      <c r="P230" s="109"/>
    </row>
    <row r="231" spans="1:16" ht="19.5" thickBot="1" x14ac:dyDescent="0.35">
      <c r="A231" s="51"/>
      <c r="B231" s="38"/>
      <c r="C231" s="30"/>
      <c r="D231" s="29"/>
      <c r="E231" s="30"/>
      <c r="F231" s="29"/>
      <c r="G231" s="30"/>
      <c r="H231" s="29"/>
      <c r="I231" s="30"/>
      <c r="J231" s="29"/>
      <c r="K231" s="103"/>
      <c r="L231" s="106"/>
      <c r="P231" s="109"/>
    </row>
    <row r="232" spans="1:16" ht="19.5" thickBot="1" x14ac:dyDescent="0.35">
      <c r="A232" s="51"/>
      <c r="B232" s="38"/>
      <c r="C232" s="30"/>
      <c r="D232" s="29"/>
      <c r="E232" s="30"/>
      <c r="F232" s="29"/>
      <c r="G232" s="30"/>
      <c r="H232" s="29"/>
      <c r="I232" s="30"/>
      <c r="J232" s="29"/>
      <c r="K232" s="103"/>
      <c r="L232" s="106"/>
      <c r="P232" s="109"/>
    </row>
    <row r="233" spans="1:16" ht="19.5" thickBot="1" x14ac:dyDescent="0.35">
      <c r="A233" s="51"/>
      <c r="B233" s="38"/>
      <c r="C233" s="30"/>
      <c r="D233" s="29"/>
      <c r="E233" s="30"/>
      <c r="F233" s="29"/>
      <c r="G233" s="30"/>
      <c r="H233" s="29"/>
      <c r="I233" s="30"/>
      <c r="J233" s="29"/>
      <c r="K233" s="103"/>
      <c r="L233" s="106"/>
      <c r="P233" s="109"/>
    </row>
    <row r="234" spans="1:16" ht="19.5" thickBot="1" x14ac:dyDescent="0.35">
      <c r="A234" s="51"/>
      <c r="B234" s="38"/>
      <c r="C234" s="30"/>
      <c r="D234" s="29"/>
      <c r="E234" s="30"/>
      <c r="F234" s="29"/>
      <c r="G234" s="30"/>
      <c r="H234" s="29"/>
      <c r="I234" s="30"/>
      <c r="J234" s="29"/>
      <c r="K234" s="103"/>
      <c r="L234" s="106"/>
      <c r="P234" s="109"/>
    </row>
    <row r="235" spans="1:16" ht="19.5" thickBot="1" x14ac:dyDescent="0.35">
      <c r="A235" s="51"/>
      <c r="B235" s="38"/>
      <c r="C235" s="30"/>
      <c r="D235" s="29"/>
      <c r="E235" s="30"/>
      <c r="F235" s="29"/>
      <c r="G235" s="30"/>
      <c r="H235" s="29"/>
      <c r="I235" s="30"/>
      <c r="J235" s="29"/>
      <c r="K235" s="103"/>
      <c r="L235" s="106"/>
      <c r="P235" s="109"/>
    </row>
    <row r="236" spans="1:16" ht="19.5" thickBot="1" x14ac:dyDescent="0.35">
      <c r="A236" s="51"/>
      <c r="B236" s="38"/>
      <c r="C236" s="30"/>
      <c r="D236" s="29"/>
      <c r="E236" s="30"/>
      <c r="F236" s="29"/>
      <c r="G236" s="30"/>
      <c r="H236" s="29"/>
      <c r="I236" s="30"/>
      <c r="J236" s="29"/>
      <c r="K236" s="103"/>
      <c r="L236" s="106"/>
      <c r="P236" s="109"/>
    </row>
    <row r="237" spans="1:16" ht="19.5" thickBot="1" x14ac:dyDescent="0.35">
      <c r="A237" s="51"/>
      <c r="B237" s="38"/>
      <c r="C237" s="30"/>
      <c r="D237" s="29"/>
      <c r="E237" s="30"/>
      <c r="F237" s="29"/>
      <c r="G237" s="30"/>
      <c r="H237" s="29"/>
      <c r="I237" s="30"/>
      <c r="J237" s="29"/>
      <c r="K237" s="103"/>
      <c r="L237" s="106"/>
      <c r="P237" s="109"/>
    </row>
    <row r="238" spans="1:16" ht="19.5" thickBot="1" x14ac:dyDescent="0.35">
      <c r="A238" s="51"/>
      <c r="B238" s="38"/>
      <c r="C238" s="30"/>
      <c r="D238" s="29"/>
      <c r="E238" s="30"/>
      <c r="F238" s="29"/>
      <c r="G238" s="30"/>
      <c r="H238" s="29"/>
      <c r="I238" s="30"/>
      <c r="J238" s="29"/>
      <c r="K238" s="103"/>
      <c r="L238" s="106"/>
      <c r="P238" s="109"/>
    </row>
    <row r="239" spans="1:16" ht="19.5" thickBot="1" x14ac:dyDescent="0.35">
      <c r="A239" s="51"/>
      <c r="B239" s="38"/>
      <c r="C239" s="30"/>
      <c r="D239" s="29"/>
      <c r="E239" s="30"/>
      <c r="F239" s="29"/>
      <c r="G239" s="30"/>
      <c r="H239" s="29"/>
      <c r="I239" s="30"/>
      <c r="J239" s="29"/>
      <c r="K239" s="103"/>
      <c r="L239" s="106"/>
      <c r="P239" s="109"/>
    </row>
    <row r="240" spans="1:16" ht="19.5" thickBot="1" x14ac:dyDescent="0.35">
      <c r="A240" s="51"/>
      <c r="B240" s="38"/>
      <c r="C240" s="30"/>
      <c r="D240" s="29"/>
      <c r="E240" s="30"/>
      <c r="F240" s="29"/>
      <c r="G240" s="30"/>
      <c r="H240" s="29"/>
      <c r="I240" s="30"/>
      <c r="J240" s="29"/>
      <c r="K240" s="103"/>
      <c r="L240" s="106"/>
      <c r="P240" s="109"/>
    </row>
    <row r="241" spans="1:16" ht="19.5" thickBot="1" x14ac:dyDescent="0.35">
      <c r="A241" s="51"/>
      <c r="B241" s="38"/>
      <c r="C241" s="30"/>
      <c r="D241" s="29"/>
      <c r="E241" s="30"/>
      <c r="F241" s="29"/>
      <c r="G241" s="30"/>
      <c r="H241" s="29"/>
      <c r="I241" s="30"/>
      <c r="J241" s="29"/>
      <c r="K241" s="103"/>
      <c r="L241" s="106"/>
      <c r="P241" s="109"/>
    </row>
    <row r="242" spans="1:16" ht="19.5" thickBot="1" x14ac:dyDescent="0.35">
      <c r="A242" s="51"/>
      <c r="B242" s="38"/>
      <c r="C242" s="30"/>
      <c r="D242" s="29"/>
      <c r="E242" s="30"/>
      <c r="F242" s="29"/>
      <c r="G242" s="30"/>
      <c r="H242" s="29"/>
      <c r="I242" s="30"/>
      <c r="J242" s="29"/>
      <c r="K242" s="103"/>
      <c r="L242" s="106"/>
      <c r="P242" s="109"/>
    </row>
    <row r="243" spans="1:16" ht="19.5" thickBot="1" x14ac:dyDescent="0.35">
      <c r="A243" s="51"/>
      <c r="B243" s="38"/>
      <c r="C243" s="30"/>
      <c r="D243" s="29"/>
      <c r="E243" s="30"/>
      <c r="F243" s="29"/>
      <c r="G243" s="30"/>
      <c r="H243" s="29"/>
      <c r="I243" s="30"/>
      <c r="J243" s="29"/>
      <c r="K243" s="103"/>
      <c r="L243" s="106"/>
      <c r="P243" s="109"/>
    </row>
    <row r="244" spans="1:16" ht="19.5" thickBot="1" x14ac:dyDescent="0.35">
      <c r="A244" s="51"/>
      <c r="B244" s="38"/>
      <c r="C244" s="30"/>
      <c r="D244" s="29"/>
      <c r="E244" s="30"/>
      <c r="F244" s="29"/>
      <c r="G244" s="30"/>
      <c r="H244" s="29"/>
      <c r="I244" s="30"/>
      <c r="J244" s="29"/>
      <c r="K244" s="103"/>
      <c r="L244" s="106"/>
      <c r="P244" s="109"/>
    </row>
    <row r="245" spans="1:16" ht="19.5" thickBot="1" x14ac:dyDescent="0.35">
      <c r="A245" s="51"/>
      <c r="B245" s="38"/>
      <c r="C245" s="30"/>
      <c r="D245" s="29"/>
      <c r="E245" s="30"/>
      <c r="F245" s="29"/>
      <c r="G245" s="30"/>
      <c r="H245" s="29"/>
      <c r="I245" s="30"/>
      <c r="J245" s="29"/>
      <c r="K245" s="103"/>
      <c r="L245" s="106"/>
      <c r="P245" s="109"/>
    </row>
    <row r="246" spans="1:16" ht="19.5" thickBot="1" x14ac:dyDescent="0.35">
      <c r="A246" s="51"/>
      <c r="B246" s="38"/>
      <c r="C246" s="30"/>
      <c r="D246" s="29"/>
      <c r="E246" s="30"/>
      <c r="F246" s="29"/>
      <c r="G246" s="30"/>
      <c r="H246" s="29"/>
      <c r="I246" s="30"/>
      <c r="J246" s="29"/>
      <c r="K246" s="103"/>
      <c r="L246" s="106"/>
      <c r="P246" s="109"/>
    </row>
    <row r="247" spans="1:16" ht="19.5" thickBot="1" x14ac:dyDescent="0.35">
      <c r="A247" s="51"/>
      <c r="B247" s="38"/>
      <c r="C247" s="30"/>
      <c r="D247" s="29"/>
      <c r="E247" s="30"/>
      <c r="F247" s="29"/>
      <c r="G247" s="30"/>
      <c r="H247" s="29"/>
      <c r="I247" s="30"/>
      <c r="J247" s="29"/>
      <c r="K247" s="103"/>
      <c r="L247" s="106"/>
      <c r="P247" s="109"/>
    </row>
    <row r="248" spans="1:16" ht="19.5" thickBot="1" x14ac:dyDescent="0.35">
      <c r="A248" s="51"/>
      <c r="B248" s="38"/>
      <c r="C248" s="30"/>
      <c r="D248" s="29"/>
      <c r="E248" s="30"/>
      <c r="F248" s="29"/>
      <c r="G248" s="30"/>
      <c r="H248" s="29"/>
      <c r="I248" s="30"/>
      <c r="J248" s="29"/>
      <c r="K248" s="103"/>
      <c r="L248" s="106"/>
      <c r="P248" s="109"/>
    </row>
    <row r="249" spans="1:16" ht="19.5" thickBot="1" x14ac:dyDescent="0.35">
      <c r="A249" s="51"/>
      <c r="B249" s="38"/>
      <c r="C249" s="30"/>
      <c r="D249" s="29"/>
      <c r="E249" s="30"/>
      <c r="F249" s="29"/>
      <c r="G249" s="30"/>
      <c r="H249" s="29"/>
      <c r="I249" s="30"/>
      <c r="J249" s="29"/>
      <c r="K249" s="103"/>
      <c r="L249" s="106"/>
      <c r="P249" s="109"/>
    </row>
    <row r="250" spans="1:16" ht="19.5" thickBot="1" x14ac:dyDescent="0.35">
      <c r="A250" s="51"/>
      <c r="B250" s="38"/>
      <c r="C250" s="30"/>
      <c r="D250" s="29"/>
      <c r="E250" s="30"/>
      <c r="F250" s="29"/>
      <c r="G250" s="30"/>
      <c r="H250" s="29"/>
      <c r="I250" s="30"/>
      <c r="J250" s="29"/>
      <c r="K250" s="103"/>
      <c r="L250" s="106"/>
      <c r="P250" s="109"/>
    </row>
    <row r="251" spans="1:16" ht="19.5" thickBot="1" x14ac:dyDescent="0.35">
      <c r="A251" s="51"/>
      <c r="B251" s="38"/>
      <c r="C251" s="30"/>
      <c r="D251" s="29"/>
      <c r="E251" s="30"/>
      <c r="F251" s="29"/>
      <c r="G251" s="30"/>
      <c r="H251" s="29"/>
      <c r="I251" s="30"/>
      <c r="J251" s="29"/>
      <c r="K251" s="103"/>
      <c r="L251" s="106"/>
      <c r="P251" s="109"/>
    </row>
    <row r="252" spans="1:16" ht="19.5" thickBot="1" x14ac:dyDescent="0.35">
      <c r="A252" s="51"/>
      <c r="B252" s="38"/>
      <c r="C252" s="30"/>
      <c r="D252" s="29"/>
      <c r="E252" s="30"/>
      <c r="F252" s="29"/>
      <c r="G252" s="30"/>
      <c r="H252" s="29"/>
      <c r="I252" s="30"/>
      <c r="J252" s="29"/>
      <c r="K252" s="103"/>
      <c r="L252" s="106"/>
      <c r="P252" s="109"/>
    </row>
    <row r="253" spans="1:16" ht="19.5" thickBot="1" x14ac:dyDescent="0.35">
      <c r="A253" s="51"/>
      <c r="B253" s="38"/>
      <c r="C253" s="30"/>
      <c r="D253" s="29"/>
      <c r="E253" s="30"/>
      <c r="F253" s="29"/>
      <c r="G253" s="30"/>
      <c r="H253" s="29"/>
      <c r="I253" s="30"/>
      <c r="J253" s="29"/>
      <c r="K253" s="103"/>
      <c r="L253" s="106"/>
      <c r="P253" s="109"/>
    </row>
    <row r="254" spans="1:16" ht="19.5" thickBot="1" x14ac:dyDescent="0.35">
      <c r="A254" s="51"/>
      <c r="B254" s="38"/>
      <c r="C254" s="30"/>
      <c r="D254" s="29"/>
      <c r="E254" s="30"/>
      <c r="F254" s="29"/>
      <c r="G254" s="30"/>
      <c r="H254" s="29"/>
      <c r="I254" s="30"/>
      <c r="J254" s="29"/>
      <c r="K254" s="103"/>
      <c r="L254" s="106"/>
      <c r="P254" s="109"/>
    </row>
    <row r="255" spans="1:16" ht="19.5" thickBot="1" x14ac:dyDescent="0.35">
      <c r="A255" s="51"/>
      <c r="B255" s="38"/>
      <c r="C255" s="30"/>
      <c r="D255" s="29"/>
      <c r="E255" s="30"/>
      <c r="F255" s="29"/>
      <c r="G255" s="30"/>
      <c r="H255" s="29"/>
      <c r="I255" s="30"/>
      <c r="J255" s="29"/>
      <c r="K255" s="103"/>
      <c r="L255" s="106"/>
      <c r="P255" s="109"/>
    </row>
    <row r="256" spans="1:16" ht="19.5" thickBot="1" x14ac:dyDescent="0.35">
      <c r="A256" s="51"/>
      <c r="B256" s="38"/>
      <c r="C256" s="30"/>
      <c r="D256" s="29"/>
      <c r="E256" s="32"/>
      <c r="F256" s="31"/>
      <c r="G256" s="32"/>
      <c r="H256" s="31"/>
      <c r="I256" s="32"/>
      <c r="J256" s="31"/>
      <c r="K256" s="103"/>
      <c r="L256" s="106"/>
      <c r="P256" s="109"/>
    </row>
    <row r="257" spans="1:16" ht="19.5" thickBot="1" x14ac:dyDescent="0.35">
      <c r="A257" s="51"/>
      <c r="B257" s="38"/>
      <c r="C257" s="30"/>
      <c r="D257" s="29"/>
      <c r="E257" s="32"/>
      <c r="F257" s="31"/>
      <c r="G257" s="32"/>
      <c r="P257" s="109"/>
    </row>
    <row r="258" spans="1:16" ht="19.5" thickBot="1" x14ac:dyDescent="0.35">
      <c r="A258" s="51"/>
      <c r="B258" s="34"/>
      <c r="C258" s="30"/>
      <c r="D258" s="29"/>
      <c r="E258" s="32"/>
      <c r="F258" s="31"/>
      <c r="G258" s="32"/>
    </row>
    <row r="259" spans="1:16" ht="19.5" thickBot="1" x14ac:dyDescent="0.35">
      <c r="A259" s="51"/>
      <c r="B259" s="34"/>
      <c r="C259" s="30"/>
      <c r="D259" s="29"/>
      <c r="E259" s="32"/>
      <c r="F259" s="31"/>
      <c r="G259" s="32"/>
    </row>
    <row r="260" spans="1:16" ht="19.5" thickBot="1" x14ac:dyDescent="0.35">
      <c r="A260" s="51"/>
      <c r="B260" s="34"/>
      <c r="C260" s="30"/>
      <c r="D260" s="29"/>
      <c r="E260" s="32"/>
      <c r="F260" s="31"/>
      <c r="G260" s="32"/>
    </row>
    <row r="261" spans="1:16" ht="19.5" thickBot="1" x14ac:dyDescent="0.35">
      <c r="A261" s="51"/>
      <c r="B261" s="34"/>
      <c r="C261" s="30"/>
      <c r="D261" s="29"/>
      <c r="E261" s="32"/>
      <c r="F261" s="31"/>
      <c r="G261" s="32"/>
    </row>
    <row r="262" spans="1:16" ht="19.5" thickBot="1" x14ac:dyDescent="0.35">
      <c r="A262" s="51"/>
      <c r="B262" s="34"/>
      <c r="C262" s="30"/>
      <c r="D262" s="29"/>
      <c r="E262" s="32"/>
      <c r="F262" s="31"/>
      <c r="G262" s="32"/>
    </row>
    <row r="263" spans="1:16" ht="19.5" thickBot="1" x14ac:dyDescent="0.35">
      <c r="A263" s="51"/>
      <c r="B263" s="34"/>
      <c r="C263" s="30"/>
      <c r="D263" s="29"/>
      <c r="E263" s="32"/>
      <c r="F263" s="31"/>
      <c r="G263" s="32"/>
    </row>
    <row r="264" spans="1:16" ht="19.5" thickBot="1" x14ac:dyDescent="0.35">
      <c r="A264" s="51"/>
      <c r="B264" s="34"/>
      <c r="C264" s="30"/>
      <c r="D264" s="29"/>
      <c r="E264" s="32"/>
      <c r="F264" s="31"/>
      <c r="G264" s="32"/>
    </row>
    <row r="265" spans="1:16" ht="19.5" thickBot="1" x14ac:dyDescent="0.35">
      <c r="A265" s="51"/>
      <c r="B265" s="34"/>
      <c r="C265" s="30"/>
      <c r="D265" s="29"/>
    </row>
    <row r="266" spans="1:16" ht="19.5" thickBot="1" x14ac:dyDescent="0.35">
      <c r="A266" s="51"/>
      <c r="B266" s="34"/>
      <c r="C266" s="30"/>
      <c r="D266" s="29"/>
    </row>
    <row r="267" spans="1:16" ht="19.5" thickBot="1" x14ac:dyDescent="0.35">
      <c r="A267" s="51"/>
      <c r="B267" s="34"/>
      <c r="C267" s="30"/>
      <c r="D267" s="29"/>
    </row>
    <row r="268" spans="1:16" ht="19.5" thickBot="1" x14ac:dyDescent="0.35">
      <c r="A268" s="51"/>
      <c r="B268" s="34"/>
      <c r="C268" s="30"/>
      <c r="D268" s="29"/>
    </row>
    <row r="269" spans="1:16" ht="19.5" thickBot="1" x14ac:dyDescent="0.35">
      <c r="A269" s="51"/>
      <c r="B269" s="34"/>
      <c r="C269" s="30"/>
      <c r="D269" s="29"/>
    </row>
    <row r="270" spans="1:16" ht="19.5" thickBot="1" x14ac:dyDescent="0.35">
      <c r="A270" s="51"/>
      <c r="B270" s="34"/>
      <c r="C270" s="30"/>
      <c r="D270" s="29"/>
    </row>
    <row r="271" spans="1:16" ht="19.5" thickBot="1" x14ac:dyDescent="0.35">
      <c r="A271" s="51"/>
      <c r="B271" s="34"/>
      <c r="C271" s="30"/>
      <c r="D271" s="29"/>
    </row>
    <row r="272" spans="1:16" ht="19.5" thickBot="1" x14ac:dyDescent="0.35">
      <c r="A272" s="51"/>
      <c r="B272" s="34"/>
      <c r="C272" s="30"/>
      <c r="D272" s="29"/>
    </row>
    <row r="273" spans="1:4" ht="19.5" thickBot="1" x14ac:dyDescent="0.35">
      <c r="A273" s="51"/>
      <c r="B273" s="34"/>
      <c r="C273" s="30"/>
      <c r="D273" s="29"/>
    </row>
    <row r="274" spans="1:4" ht="19.5" thickBot="1" x14ac:dyDescent="0.35">
      <c r="A274" s="51"/>
      <c r="B274" s="34"/>
      <c r="C274" s="30"/>
      <c r="D274" s="29"/>
    </row>
    <row r="275" spans="1:4" ht="19.5" thickBot="1" x14ac:dyDescent="0.35">
      <c r="A275" s="51"/>
      <c r="B275" s="34"/>
      <c r="C275" s="30"/>
      <c r="D275" s="29"/>
    </row>
    <row r="276" spans="1:4" ht="19.5" thickBot="1" x14ac:dyDescent="0.35">
      <c r="A276" s="51"/>
      <c r="B276" s="34"/>
      <c r="C276" s="30"/>
      <c r="D276" s="29"/>
    </row>
    <row r="277" spans="1:4" ht="19.5" thickBot="1" x14ac:dyDescent="0.35">
      <c r="A277" s="51"/>
      <c r="B277" s="34"/>
      <c r="C277" s="30"/>
      <c r="D277" s="29"/>
    </row>
    <row r="278" spans="1:4" ht="19.5" thickBot="1" x14ac:dyDescent="0.35">
      <c r="A278" s="51"/>
      <c r="B278" s="34"/>
      <c r="C278" s="30"/>
      <c r="D278" s="29"/>
    </row>
    <row r="279" spans="1:4" ht="19.5" thickBot="1" x14ac:dyDescent="0.35">
      <c r="A279" s="51"/>
      <c r="B279" s="34"/>
      <c r="C279" s="30"/>
      <c r="D279" s="29"/>
    </row>
    <row r="280" spans="1:4" ht="19.5" thickBot="1" x14ac:dyDescent="0.35">
      <c r="A280" s="51"/>
      <c r="B280" s="34"/>
      <c r="C280" s="30"/>
      <c r="D280" s="29"/>
    </row>
    <row r="281" spans="1:4" ht="19.5" thickBot="1" x14ac:dyDescent="0.35">
      <c r="A281" s="51"/>
      <c r="B281" s="34"/>
      <c r="C281" s="30"/>
      <c r="D281" s="29"/>
    </row>
    <row r="282" spans="1:4" ht="19.5" thickBot="1" x14ac:dyDescent="0.35">
      <c r="A282" s="51"/>
      <c r="B282" s="34"/>
      <c r="C282" s="30"/>
      <c r="D282" s="29"/>
    </row>
    <row r="283" spans="1:4" ht="19.5" thickBot="1" x14ac:dyDescent="0.35">
      <c r="A283" s="51"/>
      <c r="B283" s="34"/>
      <c r="C283" s="30"/>
      <c r="D283" s="29"/>
    </row>
    <row r="284" spans="1:4" ht="19.5" thickBot="1" x14ac:dyDescent="0.35">
      <c r="A284" s="51"/>
      <c r="B284" s="34"/>
      <c r="C284" s="30"/>
      <c r="D284" s="29"/>
    </row>
    <row r="285" spans="1:4" ht="19.5" thickBot="1" x14ac:dyDescent="0.35">
      <c r="A285" s="51"/>
      <c r="B285" s="34"/>
      <c r="C285" s="30"/>
      <c r="D285" s="29"/>
    </row>
    <row r="286" spans="1:4" ht="19.5" thickBot="1" x14ac:dyDescent="0.35">
      <c r="A286" s="51"/>
      <c r="B286" s="34"/>
      <c r="C286" s="30"/>
      <c r="D286" s="29"/>
    </row>
    <row r="287" spans="1:4" ht="19.5" thickBot="1" x14ac:dyDescent="0.35">
      <c r="A287" s="51"/>
      <c r="B287" s="34"/>
      <c r="C287" s="30"/>
      <c r="D287" s="29"/>
    </row>
    <row r="288" spans="1:4" ht="19.5" thickBot="1" x14ac:dyDescent="0.35">
      <c r="A288" s="51"/>
      <c r="B288" s="34"/>
      <c r="C288" s="30"/>
      <c r="D288" s="29"/>
    </row>
    <row r="289" spans="1:4" ht="19.5" thickBot="1" x14ac:dyDescent="0.35">
      <c r="A289" s="51"/>
      <c r="B289" s="34"/>
      <c r="C289" s="30"/>
      <c r="D289" s="29"/>
    </row>
    <row r="290" spans="1:4" ht="19.5" thickBot="1" x14ac:dyDescent="0.35">
      <c r="A290" s="51"/>
      <c r="B290" s="34"/>
      <c r="C290" s="30"/>
      <c r="D290" s="29"/>
    </row>
    <row r="291" spans="1:4" ht="19.5" thickBot="1" x14ac:dyDescent="0.35">
      <c r="A291" s="51"/>
      <c r="B291" s="34"/>
      <c r="C291" s="30"/>
      <c r="D291" s="29"/>
    </row>
    <row r="292" spans="1:4" ht="19.5" thickBot="1" x14ac:dyDescent="0.35">
      <c r="A292" s="51"/>
      <c r="B292" s="34"/>
      <c r="C292" s="30"/>
      <c r="D292" s="29"/>
    </row>
    <row r="293" spans="1:4" ht="19.5" thickBot="1" x14ac:dyDescent="0.35">
      <c r="A293" s="51"/>
      <c r="B293" s="34"/>
      <c r="C293" s="30"/>
      <c r="D293" s="29"/>
    </row>
    <row r="294" spans="1:4" ht="19.5" thickBot="1" x14ac:dyDescent="0.35">
      <c r="A294" s="51"/>
      <c r="B294" s="34"/>
      <c r="C294" s="30"/>
      <c r="D294" s="29"/>
    </row>
    <row r="295" spans="1:4" ht="19.5" thickBot="1" x14ac:dyDescent="0.35">
      <c r="A295" s="51"/>
      <c r="B295" s="34"/>
      <c r="C295" s="30"/>
      <c r="D295" s="29"/>
    </row>
    <row r="296" spans="1:4" ht="19.5" thickBot="1" x14ac:dyDescent="0.35">
      <c r="A296" s="51"/>
      <c r="B296" s="34"/>
      <c r="C296" s="30"/>
      <c r="D296" s="29"/>
    </row>
    <row r="297" spans="1:4" ht="19.5" thickBot="1" x14ac:dyDescent="0.35">
      <c r="A297" s="51"/>
      <c r="B297" s="34"/>
      <c r="C297" s="30"/>
      <c r="D297" s="29"/>
    </row>
    <row r="298" spans="1:4" ht="19.5" thickBot="1" x14ac:dyDescent="0.35">
      <c r="A298" s="51"/>
      <c r="B298" s="34"/>
      <c r="C298" s="30"/>
      <c r="D298" s="29"/>
    </row>
    <row r="299" spans="1:4" ht="19.5" thickBot="1" x14ac:dyDescent="0.35">
      <c r="A299" s="51"/>
      <c r="B299" s="34"/>
      <c r="C299" s="30"/>
      <c r="D299" s="29"/>
    </row>
    <row r="300" spans="1:4" ht="19.5" thickBot="1" x14ac:dyDescent="0.35">
      <c r="A300" s="51"/>
      <c r="B300" s="34"/>
      <c r="C300" s="30"/>
      <c r="D300" s="29"/>
    </row>
    <row r="301" spans="1:4" ht="19.5" thickBot="1" x14ac:dyDescent="0.35">
      <c r="A301" s="51"/>
      <c r="B301" s="34"/>
      <c r="C301" s="30"/>
      <c r="D301" s="29"/>
    </row>
    <row r="302" spans="1:4" ht="19.5" thickBot="1" x14ac:dyDescent="0.35">
      <c r="A302" s="51"/>
      <c r="B302" s="34"/>
      <c r="C302" s="30"/>
      <c r="D302" s="29"/>
    </row>
    <row r="303" spans="1:4" ht="19.5" thickBot="1" x14ac:dyDescent="0.35">
      <c r="A303" s="51"/>
      <c r="B303" s="34"/>
      <c r="C303" s="30"/>
      <c r="D303" s="29"/>
    </row>
    <row r="304" spans="1:4" ht="19.5" thickBot="1" x14ac:dyDescent="0.35">
      <c r="A304" s="51"/>
      <c r="B304" s="34"/>
      <c r="C304" s="30"/>
      <c r="D304" s="29"/>
    </row>
    <row r="305" spans="1:4" ht="19.5" thickBot="1" x14ac:dyDescent="0.35">
      <c r="A305" s="51"/>
      <c r="B305" s="34"/>
      <c r="C305" s="30"/>
      <c r="D305" s="29"/>
    </row>
    <row r="306" spans="1:4" ht="19.5" thickBot="1" x14ac:dyDescent="0.35">
      <c r="A306" s="51"/>
      <c r="B306" s="34"/>
      <c r="C306" s="30"/>
      <c r="D306" s="29"/>
    </row>
    <row r="307" spans="1:4" ht="19.5" thickBot="1" x14ac:dyDescent="0.35">
      <c r="A307" s="51"/>
      <c r="B307" s="34"/>
      <c r="C307" s="30"/>
      <c r="D307" s="29"/>
    </row>
    <row r="308" spans="1:4" ht="19.5" thickBot="1" x14ac:dyDescent="0.35">
      <c r="A308" s="51"/>
      <c r="B308" s="34"/>
      <c r="C308" s="30"/>
      <c r="D308" s="29"/>
    </row>
    <row r="309" spans="1:4" ht="19.5" thickBot="1" x14ac:dyDescent="0.35">
      <c r="A309" s="51"/>
      <c r="B309" s="34"/>
      <c r="C309" s="30"/>
      <c r="D309" s="29"/>
    </row>
    <row r="310" spans="1:4" ht="19.5" thickBot="1" x14ac:dyDescent="0.35">
      <c r="A310" s="51"/>
      <c r="B310" s="34"/>
      <c r="C310" s="30"/>
      <c r="D310" s="29"/>
    </row>
    <row r="311" spans="1:4" ht="19.5" thickBot="1" x14ac:dyDescent="0.35">
      <c r="A311" s="51"/>
      <c r="B311" s="34"/>
      <c r="C311" s="30"/>
      <c r="D311" s="29"/>
    </row>
    <row r="312" spans="1:4" ht="19.5" thickBot="1" x14ac:dyDescent="0.35">
      <c r="A312" s="51"/>
      <c r="B312" s="34"/>
      <c r="C312" s="30"/>
      <c r="D312" s="29"/>
    </row>
    <row r="313" spans="1:4" ht="19.5" thickBot="1" x14ac:dyDescent="0.35">
      <c r="A313" s="51"/>
      <c r="B313" s="34"/>
      <c r="C313" s="30"/>
      <c r="D313" s="29"/>
    </row>
    <row r="314" spans="1:4" ht="19.5" thickBot="1" x14ac:dyDescent="0.35">
      <c r="A314" s="51"/>
      <c r="B314" s="34"/>
      <c r="C314" s="30"/>
      <c r="D314" s="29"/>
    </row>
    <row r="315" spans="1:4" ht="19.5" thickBot="1" x14ac:dyDescent="0.35">
      <c r="A315" s="51"/>
      <c r="B315" s="34"/>
      <c r="C315" s="30"/>
      <c r="D315" s="29"/>
    </row>
    <row r="316" spans="1:4" ht="19.5" thickBot="1" x14ac:dyDescent="0.35">
      <c r="A316" s="51"/>
      <c r="B316" s="34"/>
      <c r="C316" s="30"/>
      <c r="D316" s="29"/>
    </row>
    <row r="317" spans="1:4" ht="19.5" thickBot="1" x14ac:dyDescent="0.35">
      <c r="A317" s="51"/>
      <c r="B317" s="34"/>
      <c r="C317" s="30"/>
      <c r="D317" s="29"/>
    </row>
    <row r="318" spans="1:4" ht="19.5" thickBot="1" x14ac:dyDescent="0.35">
      <c r="A318" s="51"/>
      <c r="B318" s="34"/>
      <c r="C318" s="30"/>
      <c r="D318" s="29"/>
    </row>
    <row r="319" spans="1:4" ht="19.5" thickBot="1" x14ac:dyDescent="0.35">
      <c r="A319" s="51"/>
      <c r="B319" s="34"/>
      <c r="C319" s="30"/>
      <c r="D319" s="29"/>
    </row>
    <row r="320" spans="1:4" ht="19.5" thickBot="1" x14ac:dyDescent="0.35">
      <c r="A320" s="51"/>
      <c r="B320" s="34"/>
      <c r="C320" s="30"/>
      <c r="D320" s="29"/>
    </row>
    <row r="321" spans="1:4" ht="19.5" thickBot="1" x14ac:dyDescent="0.35">
      <c r="A321" s="51"/>
      <c r="B321" s="34"/>
      <c r="C321" s="30"/>
      <c r="D321" s="29"/>
    </row>
    <row r="322" spans="1:4" ht="19.5" thickBot="1" x14ac:dyDescent="0.35">
      <c r="A322" s="51"/>
      <c r="B322" s="34"/>
      <c r="C322" s="30"/>
      <c r="D322" s="29"/>
    </row>
    <row r="323" spans="1:4" ht="19.5" thickBot="1" x14ac:dyDescent="0.35">
      <c r="A323" s="51"/>
      <c r="B323" s="34"/>
      <c r="C323" s="30"/>
      <c r="D323" s="29"/>
    </row>
    <row r="324" spans="1:4" ht="19.5" thickBot="1" x14ac:dyDescent="0.35">
      <c r="A324" s="51"/>
      <c r="B324" s="34"/>
      <c r="C324" s="30"/>
      <c r="D324" s="29"/>
    </row>
    <row r="325" spans="1:4" ht="19.5" thickBot="1" x14ac:dyDescent="0.35">
      <c r="A325" s="51"/>
      <c r="B325" s="34"/>
      <c r="C325" s="30"/>
      <c r="D325" s="29"/>
    </row>
    <row r="326" spans="1:4" ht="19.5" thickBot="1" x14ac:dyDescent="0.35">
      <c r="A326" s="51"/>
      <c r="B326" s="34"/>
      <c r="C326" s="30"/>
      <c r="D326" s="29"/>
    </row>
    <row r="327" spans="1:4" ht="19.5" thickBot="1" x14ac:dyDescent="0.35">
      <c r="A327" s="51"/>
      <c r="B327" s="34"/>
      <c r="C327" s="30"/>
      <c r="D327" s="29"/>
    </row>
    <row r="328" spans="1:4" ht="19.5" thickBot="1" x14ac:dyDescent="0.35">
      <c r="A328" s="51"/>
      <c r="B328" s="34"/>
      <c r="C328" s="30"/>
      <c r="D328" s="29"/>
    </row>
    <row r="329" spans="1:4" ht="19.5" thickBot="1" x14ac:dyDescent="0.35">
      <c r="A329" s="51"/>
      <c r="B329" s="34"/>
      <c r="C329" s="30"/>
      <c r="D329" s="29"/>
    </row>
    <row r="330" spans="1:4" ht="19.5" thickBot="1" x14ac:dyDescent="0.35">
      <c r="A330" s="51"/>
      <c r="B330" s="34"/>
      <c r="C330" s="30"/>
      <c r="D330" s="29"/>
    </row>
    <row r="331" spans="1:4" ht="19.5" thickBot="1" x14ac:dyDescent="0.35">
      <c r="A331" s="51"/>
      <c r="B331" s="34"/>
      <c r="C331" s="30"/>
      <c r="D331" s="29"/>
    </row>
    <row r="332" spans="1:4" ht="19.5" thickBot="1" x14ac:dyDescent="0.35">
      <c r="A332" s="51"/>
      <c r="B332" s="34"/>
      <c r="C332" s="30"/>
      <c r="D332" s="29"/>
    </row>
    <row r="333" spans="1:4" ht="19.5" thickBot="1" x14ac:dyDescent="0.35">
      <c r="A333" s="51"/>
      <c r="B333" s="34"/>
      <c r="C333" s="30"/>
      <c r="D333" s="29"/>
    </row>
    <row r="334" spans="1:4" ht="19.5" thickBot="1" x14ac:dyDescent="0.35">
      <c r="A334" s="51"/>
      <c r="B334" s="34"/>
      <c r="C334" s="30"/>
      <c r="D334" s="29"/>
    </row>
    <row r="335" spans="1:4" ht="19.5" thickBot="1" x14ac:dyDescent="0.35">
      <c r="A335" s="51"/>
      <c r="B335" s="34"/>
      <c r="C335" s="30"/>
      <c r="D335" s="29"/>
    </row>
    <row r="336" spans="1:4" ht="19.5" thickBot="1" x14ac:dyDescent="0.35">
      <c r="A336" s="51"/>
      <c r="B336" s="34"/>
      <c r="C336" s="30"/>
      <c r="D336" s="29"/>
    </row>
    <row r="337" spans="1:4" ht="19.5" thickBot="1" x14ac:dyDescent="0.35">
      <c r="A337" s="51"/>
      <c r="B337" s="34"/>
      <c r="C337" s="30"/>
      <c r="D337" s="29"/>
    </row>
    <row r="338" spans="1:4" ht="19.5" thickBot="1" x14ac:dyDescent="0.35">
      <c r="A338" s="51"/>
      <c r="B338" s="34"/>
      <c r="C338" s="30"/>
      <c r="D338" s="29"/>
    </row>
    <row r="339" spans="1:4" ht="19.5" thickBot="1" x14ac:dyDescent="0.35">
      <c r="A339" s="51"/>
      <c r="B339" s="34"/>
      <c r="C339" s="30"/>
      <c r="D339" s="29"/>
    </row>
    <row r="340" spans="1:4" ht="19.5" thickBot="1" x14ac:dyDescent="0.35">
      <c r="A340" s="51"/>
      <c r="B340" s="34"/>
      <c r="C340" s="30"/>
      <c r="D340" s="29"/>
    </row>
    <row r="341" spans="1:4" ht="19.5" thickBot="1" x14ac:dyDescent="0.35">
      <c r="A341" s="51"/>
      <c r="B341" s="34"/>
      <c r="C341" s="30"/>
      <c r="D341" s="29"/>
    </row>
    <row r="342" spans="1:4" ht="19.5" thickBot="1" x14ac:dyDescent="0.35">
      <c r="A342" s="51"/>
      <c r="B342" s="34"/>
      <c r="C342" s="30"/>
      <c r="D342" s="29"/>
    </row>
    <row r="343" spans="1:4" ht="19.5" thickBot="1" x14ac:dyDescent="0.35">
      <c r="A343" s="51"/>
      <c r="B343" s="34"/>
      <c r="C343" s="30"/>
      <c r="D343" s="29"/>
    </row>
    <row r="344" spans="1:4" ht="19.5" thickBot="1" x14ac:dyDescent="0.35">
      <c r="A344" s="51"/>
      <c r="B344" s="34"/>
      <c r="C344" s="30"/>
      <c r="D344" s="29"/>
    </row>
    <row r="345" spans="1:4" ht="19.5" thickBot="1" x14ac:dyDescent="0.35">
      <c r="A345" s="51"/>
      <c r="B345" s="34"/>
      <c r="C345" s="30"/>
      <c r="D345" s="29"/>
    </row>
    <row r="346" spans="1:4" ht="19.5" thickBot="1" x14ac:dyDescent="0.35">
      <c r="A346" s="51"/>
      <c r="B346" s="34"/>
      <c r="C346" s="30"/>
      <c r="D346" s="29"/>
    </row>
    <row r="347" spans="1:4" ht="19.5" thickBot="1" x14ac:dyDescent="0.35">
      <c r="A347" s="51"/>
      <c r="B347" s="34"/>
      <c r="C347" s="30"/>
      <c r="D347" s="29"/>
    </row>
    <row r="348" spans="1:4" ht="19.5" thickBot="1" x14ac:dyDescent="0.35">
      <c r="A348" s="51"/>
      <c r="B348" s="34"/>
      <c r="C348" s="30"/>
      <c r="D348" s="29"/>
    </row>
    <row r="349" spans="1:4" ht="19.5" thickBot="1" x14ac:dyDescent="0.35">
      <c r="A349" s="51"/>
      <c r="B349" s="34"/>
      <c r="C349" s="30"/>
      <c r="D349" s="29"/>
    </row>
    <row r="350" spans="1:4" ht="19.5" thickBot="1" x14ac:dyDescent="0.35">
      <c r="A350" s="51"/>
      <c r="B350" s="34"/>
      <c r="C350" s="30"/>
      <c r="D350" s="29"/>
    </row>
    <row r="351" spans="1:4" ht="19.5" thickBot="1" x14ac:dyDescent="0.35">
      <c r="A351" s="51"/>
      <c r="B351" s="34"/>
      <c r="C351" s="30"/>
      <c r="D351" s="29"/>
    </row>
    <row r="352" spans="1:4" ht="19.5" thickBot="1" x14ac:dyDescent="0.35">
      <c r="A352" s="51"/>
      <c r="B352" s="34"/>
      <c r="C352" s="30"/>
      <c r="D352" s="29"/>
    </row>
    <row r="353" spans="1:4" ht="19.5" thickBot="1" x14ac:dyDescent="0.35">
      <c r="A353" s="51"/>
      <c r="B353" s="34"/>
      <c r="C353" s="30"/>
      <c r="D353" s="29"/>
    </row>
    <row r="354" spans="1:4" ht="19.5" thickBot="1" x14ac:dyDescent="0.35">
      <c r="A354" s="51"/>
      <c r="B354" s="34"/>
      <c r="C354" s="30"/>
      <c r="D354" s="29"/>
    </row>
    <row r="355" spans="1:4" ht="19.5" thickBot="1" x14ac:dyDescent="0.35">
      <c r="A355" s="51"/>
      <c r="B355" s="34"/>
      <c r="C355" s="30"/>
      <c r="D355" s="29"/>
    </row>
    <row r="356" spans="1:4" ht="19.5" thickBot="1" x14ac:dyDescent="0.35">
      <c r="A356" s="51"/>
      <c r="B356" s="34"/>
      <c r="C356" s="30"/>
      <c r="D356" s="29"/>
    </row>
    <row r="357" spans="1:4" ht="19.5" thickBot="1" x14ac:dyDescent="0.35">
      <c r="A357" s="51"/>
      <c r="B357" s="34"/>
      <c r="C357" s="30"/>
      <c r="D357" s="29"/>
    </row>
    <row r="358" spans="1:4" ht="19.5" thickBot="1" x14ac:dyDescent="0.35">
      <c r="A358" s="51"/>
      <c r="B358" s="34"/>
      <c r="C358" s="30"/>
      <c r="D358" s="29"/>
    </row>
    <row r="359" spans="1:4" ht="19.5" thickBot="1" x14ac:dyDescent="0.35">
      <c r="A359" s="51"/>
      <c r="B359" s="34"/>
      <c r="C359" s="30"/>
      <c r="D359" s="29"/>
    </row>
    <row r="360" spans="1:4" ht="19.5" thickBot="1" x14ac:dyDescent="0.35">
      <c r="A360" s="51"/>
      <c r="B360" s="34"/>
      <c r="C360" s="30"/>
      <c r="D360" s="29"/>
    </row>
    <row r="361" spans="1:4" ht="19.5" thickBot="1" x14ac:dyDescent="0.35">
      <c r="A361" s="51"/>
      <c r="B361" s="34"/>
      <c r="C361" s="30"/>
      <c r="D361" s="29"/>
    </row>
    <row r="362" spans="1:4" ht="19.5" thickBot="1" x14ac:dyDescent="0.35">
      <c r="A362" s="51"/>
      <c r="B362" s="34"/>
      <c r="C362" s="30"/>
      <c r="D362" s="29"/>
    </row>
    <row r="363" spans="1:4" ht="19.5" thickBot="1" x14ac:dyDescent="0.35">
      <c r="A363" s="51"/>
      <c r="B363" s="34"/>
      <c r="C363" s="30"/>
      <c r="D363" s="29"/>
    </row>
    <row r="364" spans="1:4" ht="19.5" thickBot="1" x14ac:dyDescent="0.35">
      <c r="A364" s="51"/>
      <c r="B364" s="34"/>
      <c r="C364" s="30"/>
      <c r="D364" s="29"/>
    </row>
    <row r="365" spans="1:4" ht="19.5" thickBot="1" x14ac:dyDescent="0.35">
      <c r="A365" s="51"/>
      <c r="B365" s="34"/>
      <c r="C365" s="30"/>
      <c r="D365" s="29"/>
    </row>
    <row r="366" spans="1:4" ht="19.5" thickBot="1" x14ac:dyDescent="0.35">
      <c r="A366" s="51"/>
      <c r="B366" s="34"/>
      <c r="C366" s="30"/>
      <c r="D366" s="29"/>
    </row>
    <row r="367" spans="1:4" ht="19.5" thickBot="1" x14ac:dyDescent="0.35">
      <c r="A367" s="51"/>
      <c r="B367" s="34"/>
      <c r="C367" s="30"/>
      <c r="D367" s="29"/>
    </row>
    <row r="368" spans="1:4" ht="19.5" thickBot="1" x14ac:dyDescent="0.35">
      <c r="A368" s="51"/>
      <c r="B368" s="34"/>
      <c r="C368" s="30"/>
      <c r="D368" s="29"/>
    </row>
    <row r="369" spans="1:4" ht="19.5" thickBot="1" x14ac:dyDescent="0.35">
      <c r="A369" s="51"/>
      <c r="B369" s="34"/>
      <c r="C369" s="30"/>
      <c r="D369" s="29"/>
    </row>
    <row r="370" spans="1:4" ht="19.5" thickBot="1" x14ac:dyDescent="0.35">
      <c r="A370" s="51"/>
      <c r="B370" s="34"/>
      <c r="C370" s="30"/>
      <c r="D370" s="29"/>
    </row>
    <row r="371" spans="1:4" ht="19.5" thickBot="1" x14ac:dyDescent="0.35">
      <c r="A371" s="51"/>
      <c r="B371" s="34"/>
      <c r="C371" s="30"/>
      <c r="D371" s="29"/>
    </row>
    <row r="372" spans="1:4" ht="19.5" thickBot="1" x14ac:dyDescent="0.35">
      <c r="A372" s="51"/>
      <c r="B372" s="34"/>
      <c r="C372" s="30"/>
      <c r="D372" s="29"/>
    </row>
    <row r="373" spans="1:4" ht="19.5" thickBot="1" x14ac:dyDescent="0.35">
      <c r="A373" s="51"/>
      <c r="B373" s="34"/>
      <c r="C373" s="30"/>
      <c r="D373" s="29"/>
    </row>
    <row r="374" spans="1:4" ht="19.5" thickBot="1" x14ac:dyDescent="0.35">
      <c r="A374" s="51"/>
      <c r="B374" s="34"/>
      <c r="C374" s="30"/>
      <c r="D374" s="29"/>
    </row>
    <row r="375" spans="1:4" ht="19.5" thickBot="1" x14ac:dyDescent="0.35">
      <c r="A375" s="51"/>
      <c r="B375" s="34"/>
      <c r="C375" s="30"/>
      <c r="D375" s="29"/>
    </row>
    <row r="376" spans="1:4" ht="19.5" thickBot="1" x14ac:dyDescent="0.35">
      <c r="A376" s="51"/>
      <c r="B376" s="34"/>
      <c r="C376" s="30"/>
      <c r="D376" s="29"/>
    </row>
    <row r="377" spans="1:4" ht="19.5" thickBot="1" x14ac:dyDescent="0.35">
      <c r="A377" s="51"/>
      <c r="B377" s="34"/>
      <c r="C377" s="30"/>
      <c r="D377" s="29"/>
    </row>
    <row r="378" spans="1:4" ht="19.5" thickBot="1" x14ac:dyDescent="0.35">
      <c r="A378" s="51"/>
      <c r="B378" s="34"/>
      <c r="C378" s="30"/>
      <c r="D378" s="29"/>
    </row>
    <row r="379" spans="1:4" ht="19.5" thickBot="1" x14ac:dyDescent="0.35">
      <c r="A379" s="51"/>
      <c r="B379" s="34"/>
      <c r="C379" s="30"/>
      <c r="D379" s="29"/>
    </row>
    <row r="380" spans="1:4" ht="19.5" thickBot="1" x14ac:dyDescent="0.35">
      <c r="A380" s="51"/>
      <c r="B380" s="34"/>
      <c r="C380" s="30"/>
      <c r="D380" s="29"/>
    </row>
    <row r="381" spans="1:4" ht="19.5" thickBot="1" x14ac:dyDescent="0.35">
      <c r="A381" s="51"/>
      <c r="B381" s="34"/>
      <c r="C381" s="30"/>
      <c r="D381" s="29"/>
    </row>
    <row r="382" spans="1:4" ht="19.5" thickBot="1" x14ac:dyDescent="0.35">
      <c r="A382" s="51"/>
      <c r="B382" s="34"/>
      <c r="C382" s="30"/>
      <c r="D382" s="29"/>
    </row>
    <row r="383" spans="1:4" ht="19.5" thickBot="1" x14ac:dyDescent="0.35">
      <c r="A383" s="51"/>
      <c r="B383" s="34"/>
      <c r="C383" s="30"/>
      <c r="D383" s="29"/>
    </row>
    <row r="384" spans="1:4" ht="19.5" thickBot="1" x14ac:dyDescent="0.35">
      <c r="A384" s="51"/>
      <c r="B384" s="34"/>
      <c r="C384" s="30"/>
      <c r="D384" s="29"/>
    </row>
    <row r="385" spans="1:4" ht="19.5" thickBot="1" x14ac:dyDescent="0.35">
      <c r="A385" s="51"/>
      <c r="B385" s="34"/>
      <c r="C385" s="30"/>
      <c r="D385" s="29"/>
    </row>
    <row r="386" spans="1:4" ht="19.5" thickBot="1" x14ac:dyDescent="0.35">
      <c r="A386" s="51"/>
      <c r="B386" s="34"/>
      <c r="C386" s="30"/>
      <c r="D386" s="29"/>
    </row>
    <row r="387" spans="1:4" ht="19.5" thickBot="1" x14ac:dyDescent="0.35">
      <c r="A387" s="51"/>
      <c r="B387" s="34"/>
      <c r="C387" s="30"/>
      <c r="D387" s="29"/>
    </row>
    <row r="388" spans="1:4" ht="19.5" thickBot="1" x14ac:dyDescent="0.35">
      <c r="A388" s="51"/>
      <c r="B388" s="34"/>
      <c r="C388" s="30"/>
      <c r="D388" s="29"/>
    </row>
    <row r="389" spans="1:4" ht="19.5" thickBot="1" x14ac:dyDescent="0.35">
      <c r="A389" s="51"/>
      <c r="B389" s="34"/>
      <c r="C389" s="30"/>
      <c r="D389" s="29"/>
    </row>
    <row r="390" spans="1:4" ht="19.5" thickBot="1" x14ac:dyDescent="0.35">
      <c r="A390" s="51"/>
      <c r="B390" s="34"/>
      <c r="C390" s="30"/>
      <c r="D390" s="29"/>
    </row>
    <row r="391" spans="1:4" ht="19.5" thickBot="1" x14ac:dyDescent="0.35">
      <c r="A391" s="51"/>
      <c r="B391" s="34"/>
      <c r="C391" s="30"/>
      <c r="D391" s="29"/>
    </row>
    <row r="392" spans="1:4" ht="19.5" thickBot="1" x14ac:dyDescent="0.35">
      <c r="A392" s="51"/>
      <c r="B392" s="34"/>
      <c r="C392" s="30"/>
      <c r="D392" s="29"/>
    </row>
    <row r="393" spans="1:4" ht="19.5" thickBot="1" x14ac:dyDescent="0.35">
      <c r="A393" s="51"/>
      <c r="B393" s="34"/>
      <c r="C393" s="30"/>
      <c r="D393" s="29"/>
    </row>
    <row r="394" spans="1:4" ht="19.5" thickBot="1" x14ac:dyDescent="0.35">
      <c r="A394" s="51"/>
      <c r="B394" s="34"/>
      <c r="C394" s="30"/>
      <c r="D394" s="29"/>
    </row>
    <row r="395" spans="1:4" ht="19.5" thickBot="1" x14ac:dyDescent="0.35">
      <c r="A395" s="51"/>
      <c r="B395" s="34"/>
      <c r="C395" s="30"/>
      <c r="D395" s="29"/>
    </row>
    <row r="396" spans="1:4" ht="19.5" thickBot="1" x14ac:dyDescent="0.35">
      <c r="A396" s="51"/>
      <c r="B396" s="34"/>
      <c r="C396" s="30"/>
      <c r="D396" s="29"/>
    </row>
    <row r="397" spans="1:4" ht="19.5" thickBot="1" x14ac:dyDescent="0.35">
      <c r="A397" s="51"/>
      <c r="B397" s="34"/>
      <c r="C397" s="30"/>
      <c r="D397" s="29"/>
    </row>
    <row r="398" spans="1:4" ht="19.5" thickBot="1" x14ac:dyDescent="0.35">
      <c r="A398" s="51"/>
      <c r="B398" s="34"/>
      <c r="C398" s="30"/>
      <c r="D398" s="29"/>
    </row>
    <row r="399" spans="1:4" ht="19.5" thickBot="1" x14ac:dyDescent="0.35">
      <c r="A399" s="51"/>
      <c r="B399" s="34"/>
      <c r="C399" s="30"/>
      <c r="D399" s="29"/>
    </row>
    <row r="400" spans="1:4" ht="19.5" thickBot="1" x14ac:dyDescent="0.35">
      <c r="A400" s="51"/>
      <c r="B400" s="34"/>
      <c r="C400" s="30"/>
      <c r="D400" s="29"/>
    </row>
    <row r="401" spans="1:4" ht="19.5" thickBot="1" x14ac:dyDescent="0.35">
      <c r="A401" s="51"/>
      <c r="B401" s="34"/>
      <c r="C401" s="30"/>
      <c r="D401" s="29"/>
    </row>
    <row r="402" spans="1:4" ht="19.5" thickBot="1" x14ac:dyDescent="0.35">
      <c r="A402" s="51"/>
      <c r="B402" s="34"/>
      <c r="C402" s="30"/>
      <c r="D402" s="29"/>
    </row>
    <row r="403" spans="1:4" ht="19.5" thickBot="1" x14ac:dyDescent="0.35">
      <c r="A403" s="51"/>
      <c r="B403" s="34"/>
      <c r="C403" s="30"/>
      <c r="D403" s="29"/>
    </row>
    <row r="404" spans="1:4" ht="19.5" thickBot="1" x14ac:dyDescent="0.35">
      <c r="A404" s="51"/>
      <c r="B404" s="34"/>
      <c r="C404" s="30"/>
      <c r="D404" s="29"/>
    </row>
    <row r="405" spans="1:4" ht="19.5" thickBot="1" x14ac:dyDescent="0.35">
      <c r="A405" s="51"/>
      <c r="B405" s="34"/>
      <c r="C405" s="30"/>
      <c r="D405" s="29"/>
    </row>
    <row r="406" spans="1:4" ht="19.5" thickBot="1" x14ac:dyDescent="0.35">
      <c r="A406" s="51"/>
      <c r="B406" s="34"/>
      <c r="C406" s="30"/>
      <c r="D406" s="29"/>
    </row>
    <row r="407" spans="1:4" ht="19.5" thickBot="1" x14ac:dyDescent="0.35">
      <c r="A407" s="51"/>
      <c r="B407" s="34"/>
      <c r="C407" s="30"/>
      <c r="D407" s="29"/>
    </row>
    <row r="408" spans="1:4" ht="19.5" thickBot="1" x14ac:dyDescent="0.35">
      <c r="A408" s="51"/>
      <c r="B408" s="34"/>
      <c r="C408" s="30"/>
      <c r="D408" s="29"/>
    </row>
    <row r="409" spans="1:4" ht="19.5" thickBot="1" x14ac:dyDescent="0.35">
      <c r="A409" s="51"/>
      <c r="B409" s="34"/>
      <c r="C409" s="30"/>
      <c r="D409" s="29"/>
    </row>
    <row r="410" spans="1:4" ht="19.5" thickBot="1" x14ac:dyDescent="0.35">
      <c r="A410" s="51"/>
      <c r="B410" s="34"/>
      <c r="C410" s="30"/>
      <c r="D410" s="29"/>
    </row>
    <row r="411" spans="1:4" ht="19.5" thickBot="1" x14ac:dyDescent="0.35">
      <c r="A411" s="51"/>
      <c r="B411" s="34"/>
      <c r="C411" s="30"/>
      <c r="D411" s="29"/>
    </row>
    <row r="412" spans="1:4" ht="19.5" thickBot="1" x14ac:dyDescent="0.35">
      <c r="A412" s="51"/>
      <c r="B412" s="34"/>
      <c r="C412" s="30"/>
      <c r="D412" s="29"/>
    </row>
    <row r="413" spans="1:4" ht="19.5" thickBot="1" x14ac:dyDescent="0.35">
      <c r="A413" s="51"/>
      <c r="B413" s="34"/>
      <c r="C413" s="30"/>
      <c r="D413" s="29"/>
    </row>
    <row r="414" spans="1:4" ht="19.5" thickBot="1" x14ac:dyDescent="0.35">
      <c r="A414" s="51"/>
      <c r="B414" s="34"/>
      <c r="C414" s="30"/>
      <c r="D414" s="29"/>
    </row>
    <row r="415" spans="1:4" ht="19.5" thickBot="1" x14ac:dyDescent="0.35">
      <c r="A415" s="51"/>
      <c r="B415" s="34"/>
      <c r="C415" s="30"/>
      <c r="D415" s="29"/>
    </row>
    <row r="416" spans="1:4" ht="19.5" thickBot="1" x14ac:dyDescent="0.35">
      <c r="A416" s="51"/>
      <c r="B416" s="34"/>
      <c r="C416" s="30"/>
      <c r="D416" s="29"/>
    </row>
    <row r="417" spans="1:4" ht="19.5" thickBot="1" x14ac:dyDescent="0.35">
      <c r="A417" s="51"/>
      <c r="B417" s="34"/>
      <c r="C417" s="30"/>
      <c r="D417" s="29"/>
    </row>
    <row r="418" spans="1:4" ht="19.5" thickBot="1" x14ac:dyDescent="0.35">
      <c r="A418" s="51"/>
      <c r="B418" s="34"/>
      <c r="C418" s="30"/>
      <c r="D418" s="29"/>
    </row>
    <row r="419" spans="1:4" ht="19.5" thickBot="1" x14ac:dyDescent="0.35">
      <c r="A419" s="51"/>
      <c r="B419" s="34"/>
      <c r="C419" s="30"/>
      <c r="D419" s="29"/>
    </row>
    <row r="420" spans="1:4" ht="19.5" thickBot="1" x14ac:dyDescent="0.35">
      <c r="A420" s="51"/>
      <c r="B420" s="34"/>
      <c r="C420" s="30"/>
      <c r="D420" s="29"/>
    </row>
    <row r="421" spans="1:4" ht="19.5" thickBot="1" x14ac:dyDescent="0.35">
      <c r="A421" s="51"/>
      <c r="B421" s="34"/>
      <c r="C421" s="30"/>
      <c r="D421" s="29"/>
    </row>
    <row r="422" spans="1:4" ht="19.5" thickBot="1" x14ac:dyDescent="0.35">
      <c r="A422" s="51"/>
      <c r="B422" s="34"/>
      <c r="C422" s="30"/>
      <c r="D422" s="29"/>
    </row>
    <row r="423" spans="1:4" ht="19.5" thickBot="1" x14ac:dyDescent="0.35">
      <c r="A423" s="51"/>
      <c r="B423" s="34"/>
      <c r="C423" s="30"/>
      <c r="D423" s="29"/>
    </row>
    <row r="424" spans="1:4" ht="19.5" thickBot="1" x14ac:dyDescent="0.35">
      <c r="A424" s="51"/>
      <c r="B424" s="34"/>
      <c r="C424" s="30"/>
      <c r="D424" s="29"/>
    </row>
    <row r="425" spans="1:4" ht="19.5" thickBot="1" x14ac:dyDescent="0.35">
      <c r="A425" s="51"/>
      <c r="B425" s="34"/>
      <c r="C425" s="30"/>
      <c r="D425" s="29"/>
    </row>
    <row r="426" spans="1:4" ht="19.5" thickBot="1" x14ac:dyDescent="0.35">
      <c r="A426" s="51"/>
      <c r="B426" s="34"/>
      <c r="C426" s="30"/>
      <c r="D426" s="29"/>
    </row>
    <row r="427" spans="1:4" ht="19.5" thickBot="1" x14ac:dyDescent="0.35">
      <c r="A427" s="51"/>
      <c r="B427" s="34"/>
      <c r="C427" s="30"/>
      <c r="D427" s="29"/>
    </row>
    <row r="428" spans="1:4" ht="19.5" thickBot="1" x14ac:dyDescent="0.35">
      <c r="A428" s="51"/>
      <c r="B428" s="34"/>
      <c r="C428" s="30"/>
      <c r="D428" s="29"/>
    </row>
    <row r="429" spans="1:4" ht="19.5" thickBot="1" x14ac:dyDescent="0.35">
      <c r="A429" s="51"/>
      <c r="B429" s="34"/>
      <c r="C429" s="30"/>
      <c r="D429" s="29"/>
    </row>
    <row r="430" spans="1:4" ht="19.5" thickBot="1" x14ac:dyDescent="0.35">
      <c r="A430" s="51"/>
      <c r="B430" s="34"/>
      <c r="C430" s="30"/>
      <c r="D430" s="29"/>
    </row>
    <row r="431" spans="1:4" ht="19.5" thickBot="1" x14ac:dyDescent="0.35">
      <c r="A431" s="51"/>
      <c r="B431" s="34"/>
      <c r="C431" s="30"/>
      <c r="D431" s="29"/>
    </row>
    <row r="432" spans="1:4" ht="19.5" thickBot="1" x14ac:dyDescent="0.35">
      <c r="A432" s="51"/>
      <c r="B432" s="34"/>
      <c r="C432" s="30"/>
      <c r="D432" s="29"/>
    </row>
    <row r="433" spans="1:4" ht="19.5" thickBot="1" x14ac:dyDescent="0.35">
      <c r="A433" s="51"/>
      <c r="B433" s="34"/>
      <c r="C433" s="30"/>
      <c r="D433" s="29"/>
    </row>
    <row r="434" spans="1:4" ht="19.5" thickBot="1" x14ac:dyDescent="0.35">
      <c r="A434" s="51"/>
      <c r="B434" s="34"/>
      <c r="C434" s="30"/>
      <c r="D434" s="29"/>
    </row>
    <row r="435" spans="1:4" ht="19.5" thickBot="1" x14ac:dyDescent="0.35">
      <c r="A435" s="51"/>
      <c r="B435" s="34"/>
      <c r="C435" s="30"/>
      <c r="D435" s="29"/>
    </row>
    <row r="436" spans="1:4" ht="19.5" thickBot="1" x14ac:dyDescent="0.35">
      <c r="A436" s="51"/>
      <c r="B436" s="34"/>
      <c r="C436" s="30"/>
      <c r="D436" s="29"/>
    </row>
    <row r="437" spans="1:4" ht="19.5" thickBot="1" x14ac:dyDescent="0.35">
      <c r="A437" s="51"/>
      <c r="B437" s="34"/>
      <c r="C437" s="30"/>
      <c r="D437" s="29"/>
    </row>
    <row r="438" spans="1:4" ht="19.5" thickBot="1" x14ac:dyDescent="0.35">
      <c r="A438" s="51"/>
      <c r="B438" s="34"/>
      <c r="C438" s="30"/>
      <c r="D438" s="29"/>
    </row>
    <row r="439" spans="1:4" ht="19.5" thickBot="1" x14ac:dyDescent="0.35">
      <c r="A439" s="51"/>
      <c r="B439" s="34"/>
      <c r="C439" s="30"/>
      <c r="D439" s="29"/>
    </row>
    <row r="440" spans="1:4" ht="19.5" thickBot="1" x14ac:dyDescent="0.35">
      <c r="A440" s="51"/>
      <c r="B440" s="34"/>
      <c r="C440" s="30"/>
      <c r="D440" s="29"/>
    </row>
    <row r="441" spans="1:4" ht="19.5" thickBot="1" x14ac:dyDescent="0.35">
      <c r="A441" s="51"/>
      <c r="B441" s="34"/>
      <c r="C441" s="30"/>
      <c r="D441" s="29"/>
    </row>
    <row r="442" spans="1:4" ht="19.5" thickBot="1" x14ac:dyDescent="0.35">
      <c r="A442" s="51"/>
      <c r="B442" s="34"/>
      <c r="C442" s="30"/>
      <c r="D442" s="29"/>
    </row>
    <row r="443" spans="1:4" ht="19.5" thickBot="1" x14ac:dyDescent="0.35">
      <c r="A443" s="51"/>
      <c r="B443" s="34"/>
      <c r="C443" s="30"/>
      <c r="D443" s="29"/>
    </row>
    <row r="444" spans="1:4" ht="19.5" thickBot="1" x14ac:dyDescent="0.35">
      <c r="A444" s="51"/>
      <c r="B444" s="34"/>
      <c r="C444" s="30"/>
      <c r="D444" s="29"/>
    </row>
    <row r="445" spans="1:4" ht="19.5" thickBot="1" x14ac:dyDescent="0.35">
      <c r="A445" s="51"/>
      <c r="B445" s="34"/>
      <c r="C445" s="30"/>
      <c r="D445" s="29"/>
    </row>
    <row r="446" spans="1:4" ht="19.5" thickBot="1" x14ac:dyDescent="0.35">
      <c r="A446" s="51"/>
      <c r="B446" s="34"/>
      <c r="C446" s="30"/>
      <c r="D446" s="29"/>
    </row>
    <row r="447" spans="1:4" ht="19.5" thickBot="1" x14ac:dyDescent="0.35">
      <c r="A447" s="51"/>
      <c r="B447" s="34"/>
      <c r="C447" s="30"/>
      <c r="D447" s="29"/>
    </row>
    <row r="448" spans="1:4" ht="19.5" thickBot="1" x14ac:dyDescent="0.35">
      <c r="A448" s="51"/>
      <c r="B448" s="34"/>
      <c r="C448" s="30"/>
      <c r="D448" s="29"/>
    </row>
    <row r="449" spans="1:4" ht="19.5" thickBot="1" x14ac:dyDescent="0.35">
      <c r="A449" s="51"/>
      <c r="B449" s="34"/>
      <c r="C449" s="30"/>
      <c r="D449" s="29"/>
    </row>
    <row r="450" spans="1:4" ht="19.5" thickBot="1" x14ac:dyDescent="0.35">
      <c r="A450" s="51"/>
      <c r="B450" s="34"/>
      <c r="C450" s="30"/>
      <c r="D450" s="29"/>
    </row>
    <row r="451" spans="1:4" ht="19.5" thickBot="1" x14ac:dyDescent="0.35">
      <c r="A451" s="51"/>
      <c r="B451" s="34"/>
      <c r="C451" s="30"/>
      <c r="D451" s="29"/>
    </row>
    <row r="452" spans="1:4" ht="19.5" thickBot="1" x14ac:dyDescent="0.35">
      <c r="A452" s="51"/>
      <c r="B452" s="34"/>
      <c r="C452" s="30"/>
      <c r="D452" s="29"/>
    </row>
    <row r="453" spans="1:4" ht="19.5" thickBot="1" x14ac:dyDescent="0.35">
      <c r="A453" s="51"/>
      <c r="B453" s="34"/>
      <c r="C453" s="30"/>
      <c r="D453" s="29"/>
    </row>
    <row r="454" spans="1:4" ht="19.5" thickBot="1" x14ac:dyDescent="0.35">
      <c r="A454" s="51"/>
      <c r="B454" s="34"/>
      <c r="C454" s="30"/>
      <c r="D454" s="29"/>
    </row>
    <row r="455" spans="1:4" ht="19.5" thickBot="1" x14ac:dyDescent="0.35">
      <c r="A455" s="51"/>
      <c r="B455" s="34"/>
      <c r="C455" s="30"/>
      <c r="D455" s="29"/>
    </row>
    <row r="456" spans="1:4" ht="19.5" thickBot="1" x14ac:dyDescent="0.35">
      <c r="A456" s="51"/>
      <c r="B456" s="34"/>
      <c r="C456" s="30"/>
      <c r="D456" s="29"/>
    </row>
    <row r="457" spans="1:4" ht="19.5" thickBot="1" x14ac:dyDescent="0.35">
      <c r="A457" s="51"/>
      <c r="B457" s="34"/>
      <c r="C457" s="30"/>
      <c r="D457" s="29"/>
    </row>
    <row r="458" spans="1:4" ht="19.5" thickBot="1" x14ac:dyDescent="0.35">
      <c r="A458" s="51"/>
      <c r="B458" s="34"/>
      <c r="C458" s="30"/>
      <c r="D458" s="29"/>
    </row>
    <row r="459" spans="1:4" ht="19.5" thickBot="1" x14ac:dyDescent="0.35">
      <c r="A459" s="51"/>
      <c r="B459" s="34"/>
      <c r="C459" s="30"/>
      <c r="D459" s="29"/>
    </row>
    <row r="460" spans="1:4" ht="19.5" thickBot="1" x14ac:dyDescent="0.35">
      <c r="A460" s="51"/>
      <c r="B460" s="34"/>
      <c r="C460" s="30"/>
      <c r="D460" s="29"/>
    </row>
    <row r="461" spans="1:4" ht="19.5" thickBot="1" x14ac:dyDescent="0.35">
      <c r="A461" s="51"/>
      <c r="B461" s="34"/>
      <c r="C461" s="30"/>
      <c r="D461" s="29"/>
    </row>
    <row r="462" spans="1:4" ht="19.5" thickBot="1" x14ac:dyDescent="0.35">
      <c r="A462" s="51"/>
      <c r="B462" s="34"/>
      <c r="C462" s="30"/>
      <c r="D462" s="29"/>
    </row>
    <row r="463" spans="1:4" ht="19.5" thickBot="1" x14ac:dyDescent="0.35">
      <c r="A463" s="51"/>
      <c r="B463" s="34"/>
      <c r="C463" s="30"/>
      <c r="D463" s="29"/>
    </row>
    <row r="464" spans="1:4" ht="19.5" thickBot="1" x14ac:dyDescent="0.35">
      <c r="A464" s="51"/>
      <c r="B464" s="34"/>
      <c r="C464" s="30"/>
      <c r="D464" s="29"/>
    </row>
    <row r="465" spans="1:4" ht="19.5" thickBot="1" x14ac:dyDescent="0.35">
      <c r="A465" s="51"/>
      <c r="B465" s="34"/>
      <c r="C465" s="30"/>
      <c r="D465" s="29"/>
    </row>
    <row r="466" spans="1:4" ht="19.5" thickBot="1" x14ac:dyDescent="0.35">
      <c r="A466" s="51"/>
      <c r="B466" s="34"/>
      <c r="C466" s="30"/>
      <c r="D466" s="29"/>
    </row>
    <row r="467" spans="1:4" ht="19.5" thickBot="1" x14ac:dyDescent="0.35">
      <c r="A467" s="51"/>
      <c r="B467" s="34"/>
      <c r="C467" s="30"/>
      <c r="D467" s="29"/>
    </row>
    <row r="468" spans="1:4" ht="19.5" thickBot="1" x14ac:dyDescent="0.35">
      <c r="A468" s="51"/>
      <c r="B468" s="34"/>
      <c r="C468" s="30"/>
      <c r="D468" s="29"/>
    </row>
    <row r="469" spans="1:4" ht="19.5" thickBot="1" x14ac:dyDescent="0.35">
      <c r="A469" s="51"/>
      <c r="B469" s="34"/>
      <c r="C469" s="30"/>
      <c r="D469" s="29"/>
    </row>
    <row r="470" spans="1:4" ht="19.5" thickBot="1" x14ac:dyDescent="0.35">
      <c r="A470" s="51"/>
      <c r="B470" s="34"/>
      <c r="C470" s="30"/>
      <c r="D470" s="29"/>
    </row>
    <row r="471" spans="1:4" ht="19.5" thickBot="1" x14ac:dyDescent="0.35">
      <c r="A471" s="51"/>
      <c r="B471" s="34"/>
      <c r="C471" s="30"/>
      <c r="D471" s="29"/>
    </row>
    <row r="472" spans="1:4" ht="19.5" thickBot="1" x14ac:dyDescent="0.35">
      <c r="A472" s="51"/>
      <c r="B472" s="34"/>
      <c r="C472" s="30"/>
      <c r="D472" s="29"/>
    </row>
    <row r="473" spans="1:4" ht="19.5" thickBot="1" x14ac:dyDescent="0.35">
      <c r="A473" s="51"/>
      <c r="B473" s="34"/>
      <c r="C473" s="30"/>
      <c r="D473" s="29"/>
    </row>
    <row r="474" spans="1:4" ht="19.5" thickBot="1" x14ac:dyDescent="0.35">
      <c r="A474" s="51"/>
      <c r="B474" s="34"/>
      <c r="C474" s="30"/>
      <c r="D474" s="29"/>
    </row>
    <row r="475" spans="1:4" ht="19.5" thickBot="1" x14ac:dyDescent="0.35">
      <c r="A475" s="51"/>
      <c r="B475" s="34"/>
      <c r="C475" s="30"/>
      <c r="D475" s="29"/>
    </row>
    <row r="476" spans="1:4" ht="19.5" thickBot="1" x14ac:dyDescent="0.35">
      <c r="A476" s="51"/>
      <c r="B476" s="34"/>
      <c r="C476" s="30"/>
      <c r="D476" s="29"/>
    </row>
    <row r="477" spans="1:4" ht="19.5" thickBot="1" x14ac:dyDescent="0.35">
      <c r="A477" s="51"/>
      <c r="B477" s="34"/>
      <c r="C477" s="30"/>
      <c r="D477" s="29"/>
    </row>
    <row r="478" spans="1:4" ht="19.5" thickBot="1" x14ac:dyDescent="0.35">
      <c r="A478" s="51"/>
      <c r="B478" s="34"/>
      <c r="C478" s="30"/>
      <c r="D478" s="29"/>
    </row>
    <row r="479" spans="1:4" ht="19.5" thickBot="1" x14ac:dyDescent="0.35">
      <c r="A479" s="51"/>
      <c r="B479" s="34"/>
      <c r="C479" s="30"/>
      <c r="D479" s="29"/>
    </row>
    <row r="480" spans="1:4" ht="19.5" thickBot="1" x14ac:dyDescent="0.35">
      <c r="A480" s="51"/>
      <c r="B480" s="34"/>
      <c r="C480" s="30"/>
      <c r="D480" s="29"/>
    </row>
    <row r="481" spans="1:4" ht="19.5" thickBot="1" x14ac:dyDescent="0.35">
      <c r="A481" s="51"/>
      <c r="B481" s="34"/>
      <c r="C481" s="30"/>
      <c r="D481" s="29"/>
    </row>
    <row r="482" spans="1:4" ht="19.5" thickBot="1" x14ac:dyDescent="0.35">
      <c r="A482" s="51"/>
      <c r="B482" s="34"/>
      <c r="C482" s="30"/>
      <c r="D482" s="29"/>
    </row>
    <row r="483" spans="1:4" ht="19.5" thickBot="1" x14ac:dyDescent="0.35">
      <c r="A483" s="51"/>
      <c r="B483" s="34"/>
      <c r="C483" s="30"/>
      <c r="D483" s="29"/>
    </row>
    <row r="484" spans="1:4" ht="19.5" thickBot="1" x14ac:dyDescent="0.35">
      <c r="A484" s="51"/>
      <c r="B484" s="34"/>
      <c r="C484" s="30"/>
      <c r="D484" s="29"/>
    </row>
    <row r="485" spans="1:4" ht="19.5" thickBot="1" x14ac:dyDescent="0.35">
      <c r="A485" s="51"/>
      <c r="B485" s="34"/>
      <c r="C485" s="30"/>
      <c r="D485" s="29"/>
    </row>
    <row r="486" spans="1:4" ht="19.5" thickBot="1" x14ac:dyDescent="0.35">
      <c r="A486" s="51"/>
      <c r="B486" s="34"/>
      <c r="C486" s="30"/>
      <c r="D486" s="29"/>
    </row>
    <row r="487" spans="1:4" ht="19.5" thickBot="1" x14ac:dyDescent="0.35">
      <c r="A487" s="51"/>
      <c r="B487" s="34"/>
      <c r="C487" s="30"/>
      <c r="D487" s="29"/>
    </row>
    <row r="488" spans="1:4" ht="19.5" thickBot="1" x14ac:dyDescent="0.35">
      <c r="A488" s="51"/>
      <c r="B488" s="34"/>
      <c r="C488" s="30"/>
      <c r="D488" s="29"/>
    </row>
    <row r="489" spans="1:4" ht="19.5" thickBot="1" x14ac:dyDescent="0.35">
      <c r="A489" s="51"/>
      <c r="B489" s="34"/>
      <c r="C489" s="30"/>
      <c r="D489" s="29"/>
    </row>
    <row r="490" spans="1:4" ht="19.5" thickBot="1" x14ac:dyDescent="0.35">
      <c r="A490" s="51"/>
      <c r="B490" s="34"/>
      <c r="C490" s="30"/>
      <c r="D490" s="29"/>
    </row>
    <row r="491" spans="1:4" ht="19.5" thickBot="1" x14ac:dyDescent="0.35">
      <c r="A491" s="51"/>
      <c r="B491" s="34"/>
      <c r="C491" s="30"/>
      <c r="D491" s="29"/>
    </row>
    <row r="492" spans="1:4" ht="19.5" thickBot="1" x14ac:dyDescent="0.35">
      <c r="A492" s="51"/>
      <c r="B492" s="34"/>
      <c r="C492" s="30"/>
      <c r="D492" s="29"/>
    </row>
    <row r="493" spans="1:4" ht="19.5" thickBot="1" x14ac:dyDescent="0.35">
      <c r="A493" s="51"/>
      <c r="B493" s="34"/>
      <c r="C493" s="30"/>
      <c r="D493" s="29"/>
    </row>
    <row r="494" spans="1:4" ht="19.5" thickBot="1" x14ac:dyDescent="0.35">
      <c r="A494" s="51"/>
      <c r="B494" s="34"/>
      <c r="C494" s="30"/>
      <c r="D494" s="29"/>
    </row>
    <row r="495" spans="1:4" ht="19.5" thickBot="1" x14ac:dyDescent="0.35">
      <c r="A495" s="51"/>
      <c r="B495" s="34"/>
      <c r="C495" s="30"/>
      <c r="D495" s="29"/>
    </row>
    <row r="496" spans="1:4" ht="19.5" thickBot="1" x14ac:dyDescent="0.35">
      <c r="A496" s="51"/>
      <c r="B496" s="34"/>
      <c r="C496" s="30"/>
      <c r="D496" s="29"/>
    </row>
    <row r="497" spans="1:4" ht="19.5" thickBot="1" x14ac:dyDescent="0.35">
      <c r="A497" s="51"/>
      <c r="B497" s="34"/>
      <c r="C497" s="30"/>
      <c r="D497" s="29"/>
    </row>
    <row r="498" spans="1:4" ht="19.5" thickBot="1" x14ac:dyDescent="0.35">
      <c r="A498" s="51"/>
      <c r="B498" s="34"/>
      <c r="C498" s="30"/>
      <c r="D498" s="29"/>
    </row>
    <row r="499" spans="1:4" ht="19.5" thickBot="1" x14ac:dyDescent="0.35">
      <c r="A499" s="51"/>
      <c r="B499" s="34"/>
      <c r="C499" s="30"/>
      <c r="D499" s="29"/>
    </row>
    <row r="500" spans="1:4" ht="19.5" thickBot="1" x14ac:dyDescent="0.35">
      <c r="A500" s="51"/>
      <c r="B500" s="34"/>
      <c r="C500" s="30"/>
      <c r="D500" s="29"/>
    </row>
    <row r="501" spans="1:4" ht="19.5" thickBot="1" x14ac:dyDescent="0.35">
      <c r="A501" s="51"/>
      <c r="B501" s="34"/>
      <c r="C501" s="30"/>
      <c r="D501" s="29"/>
    </row>
    <row r="502" spans="1:4" ht="19.5" thickBot="1" x14ac:dyDescent="0.35">
      <c r="A502" s="51"/>
      <c r="B502" s="34"/>
      <c r="C502" s="30"/>
      <c r="D502" s="29"/>
    </row>
    <row r="503" spans="1:4" ht="19.5" thickBot="1" x14ac:dyDescent="0.35">
      <c r="A503" s="51"/>
      <c r="B503" s="34"/>
      <c r="C503" s="30"/>
      <c r="D503" s="29"/>
    </row>
    <row r="504" spans="1:4" ht="19.5" thickBot="1" x14ac:dyDescent="0.35">
      <c r="A504" s="51"/>
      <c r="B504" s="34"/>
      <c r="C504" s="30"/>
      <c r="D504" s="29"/>
    </row>
    <row r="505" spans="1:4" ht="19.5" thickBot="1" x14ac:dyDescent="0.35">
      <c r="A505" s="51"/>
      <c r="B505" s="34"/>
      <c r="C505" s="30"/>
      <c r="D505" s="29"/>
    </row>
    <row r="506" spans="1:4" ht="19.5" thickBot="1" x14ac:dyDescent="0.35">
      <c r="A506" s="51"/>
      <c r="B506" s="34"/>
      <c r="C506" s="30"/>
      <c r="D506" s="29"/>
    </row>
    <row r="507" spans="1:4" ht="19.5" thickBot="1" x14ac:dyDescent="0.35">
      <c r="A507" s="51"/>
      <c r="B507" s="34"/>
      <c r="C507" s="30"/>
      <c r="D507" s="29"/>
    </row>
    <row r="508" spans="1:4" ht="19.5" thickBot="1" x14ac:dyDescent="0.35">
      <c r="A508" s="51"/>
      <c r="B508" s="34"/>
      <c r="C508" s="30"/>
      <c r="D508" s="29"/>
    </row>
    <row r="509" spans="1:4" ht="19.5" thickBot="1" x14ac:dyDescent="0.35">
      <c r="A509" s="51"/>
      <c r="B509" s="34"/>
      <c r="C509" s="30"/>
      <c r="D509" s="29"/>
    </row>
    <row r="510" spans="1:4" ht="19.5" thickBot="1" x14ac:dyDescent="0.35">
      <c r="A510" s="51"/>
      <c r="B510" s="34"/>
      <c r="C510" s="30"/>
      <c r="D510" s="29"/>
    </row>
    <row r="511" spans="1:4" ht="19.5" thickBot="1" x14ac:dyDescent="0.35">
      <c r="A511" s="51"/>
      <c r="B511" s="34"/>
      <c r="C511" s="30"/>
      <c r="D511" s="29"/>
    </row>
    <row r="512" spans="1:4" ht="19.5" thickBot="1" x14ac:dyDescent="0.35">
      <c r="A512" s="51"/>
      <c r="B512" s="34"/>
      <c r="C512" s="30"/>
      <c r="D512" s="29"/>
    </row>
    <row r="513" spans="1:4" ht="19.5" thickBot="1" x14ac:dyDescent="0.35">
      <c r="A513" s="51"/>
      <c r="B513" s="34"/>
      <c r="C513" s="30"/>
      <c r="D513" s="29"/>
    </row>
    <row r="514" spans="1:4" ht="19.5" thickBot="1" x14ac:dyDescent="0.35">
      <c r="A514" s="51"/>
      <c r="B514" s="34"/>
      <c r="C514" s="30"/>
      <c r="D514" s="29"/>
    </row>
    <row r="515" spans="1:4" ht="19.5" thickBot="1" x14ac:dyDescent="0.35">
      <c r="A515" s="51"/>
      <c r="B515" s="34"/>
      <c r="C515" s="30"/>
      <c r="D515" s="29"/>
    </row>
    <row r="516" spans="1:4" ht="19.5" thickBot="1" x14ac:dyDescent="0.35">
      <c r="A516" s="51"/>
      <c r="B516" s="34"/>
      <c r="C516" s="30"/>
      <c r="D516" s="29"/>
    </row>
    <row r="517" spans="1:4" ht="19.5" thickBot="1" x14ac:dyDescent="0.35">
      <c r="A517" s="51"/>
      <c r="B517" s="34"/>
      <c r="C517" s="30"/>
      <c r="D517" s="29"/>
    </row>
    <row r="518" spans="1:4" ht="19.5" thickBot="1" x14ac:dyDescent="0.35">
      <c r="A518" s="51"/>
      <c r="B518" s="34"/>
      <c r="C518" s="30"/>
      <c r="D518" s="29"/>
    </row>
    <row r="519" spans="1:4" ht="19.5" thickBot="1" x14ac:dyDescent="0.35">
      <c r="A519" s="51"/>
      <c r="B519" s="34"/>
      <c r="C519" s="30"/>
      <c r="D519" s="29"/>
    </row>
    <row r="520" spans="1:4" ht="19.5" thickBot="1" x14ac:dyDescent="0.35">
      <c r="A520" s="51"/>
      <c r="B520" s="34"/>
      <c r="C520" s="30"/>
      <c r="D520" s="29"/>
    </row>
    <row r="521" spans="1:4" ht="19.5" thickBot="1" x14ac:dyDescent="0.35">
      <c r="A521" s="51"/>
      <c r="B521" s="34"/>
      <c r="C521" s="30"/>
      <c r="D521" s="29"/>
    </row>
    <row r="522" spans="1:4" ht="19.5" thickBot="1" x14ac:dyDescent="0.35">
      <c r="A522" s="51"/>
      <c r="B522" s="34"/>
      <c r="C522" s="30"/>
      <c r="D522" s="29"/>
    </row>
    <row r="523" spans="1:4" ht="19.5" thickBot="1" x14ac:dyDescent="0.35">
      <c r="A523" s="51"/>
      <c r="B523" s="34"/>
      <c r="C523" s="30"/>
      <c r="D523" s="29"/>
    </row>
    <row r="524" spans="1:4" ht="19.5" thickBot="1" x14ac:dyDescent="0.35">
      <c r="A524" s="51"/>
      <c r="B524" s="34"/>
      <c r="C524" s="30"/>
      <c r="D524" s="29"/>
    </row>
    <row r="525" spans="1:4" ht="19.5" thickBot="1" x14ac:dyDescent="0.35">
      <c r="A525" s="51"/>
      <c r="B525" s="34"/>
      <c r="C525" s="30"/>
      <c r="D525" s="29"/>
    </row>
    <row r="526" spans="1:4" ht="19.5" thickBot="1" x14ac:dyDescent="0.35">
      <c r="A526" s="51"/>
      <c r="B526" s="34"/>
      <c r="C526" s="30"/>
      <c r="D526" s="29"/>
    </row>
    <row r="527" spans="1:4" ht="19.5" thickBot="1" x14ac:dyDescent="0.35">
      <c r="A527" s="51"/>
      <c r="B527" s="34"/>
      <c r="C527" s="30"/>
      <c r="D527" s="29"/>
    </row>
    <row r="528" spans="1:4" ht="19.5" thickBot="1" x14ac:dyDescent="0.35">
      <c r="A528" s="51"/>
      <c r="B528" s="34"/>
      <c r="C528" s="30"/>
      <c r="D528" s="29"/>
    </row>
    <row r="529" spans="1:4" ht="19.5" thickBot="1" x14ac:dyDescent="0.35">
      <c r="A529" s="51"/>
      <c r="B529" s="34"/>
      <c r="C529" s="30"/>
      <c r="D529" s="29"/>
    </row>
    <row r="530" spans="1:4" ht="19.5" thickBot="1" x14ac:dyDescent="0.35">
      <c r="A530" s="51"/>
      <c r="B530" s="34"/>
      <c r="C530" s="30"/>
      <c r="D530" s="29"/>
    </row>
    <row r="531" spans="1:4" ht="19.5" thickBot="1" x14ac:dyDescent="0.35">
      <c r="A531" s="51"/>
      <c r="B531" s="34"/>
      <c r="C531" s="30"/>
      <c r="D531" s="29"/>
    </row>
    <row r="532" spans="1:4" ht="19.5" thickBot="1" x14ac:dyDescent="0.35">
      <c r="A532" s="51"/>
      <c r="B532" s="34"/>
      <c r="C532" s="30"/>
      <c r="D532" s="29"/>
    </row>
    <row r="533" spans="1:4" ht="19.5" thickBot="1" x14ac:dyDescent="0.35">
      <c r="A533" s="51"/>
      <c r="B533" s="34"/>
      <c r="C533" s="30"/>
      <c r="D533" s="29"/>
    </row>
    <row r="534" spans="1:4" ht="19.5" thickBot="1" x14ac:dyDescent="0.35">
      <c r="A534" s="51"/>
      <c r="B534" s="34"/>
      <c r="C534" s="30"/>
      <c r="D534" s="29"/>
    </row>
    <row r="535" spans="1:4" ht="19.5" thickBot="1" x14ac:dyDescent="0.35">
      <c r="A535" s="51"/>
      <c r="B535" s="34"/>
      <c r="C535" s="30"/>
      <c r="D535" s="29"/>
    </row>
    <row r="536" spans="1:4" ht="19.5" thickBot="1" x14ac:dyDescent="0.35">
      <c r="A536" s="51"/>
      <c r="B536" s="34"/>
      <c r="C536" s="30"/>
      <c r="D536" s="29"/>
    </row>
    <row r="537" spans="1:4" ht="19.5" thickBot="1" x14ac:dyDescent="0.35">
      <c r="A537" s="51"/>
      <c r="B537" s="34"/>
      <c r="C537" s="30"/>
      <c r="D537" s="29"/>
    </row>
    <row r="538" spans="1:4" ht="19.5" thickBot="1" x14ac:dyDescent="0.35">
      <c r="A538" s="51"/>
      <c r="B538" s="34"/>
      <c r="C538" s="30"/>
      <c r="D538" s="29"/>
    </row>
    <row r="539" spans="1:4" ht="19.5" thickBot="1" x14ac:dyDescent="0.35">
      <c r="A539" s="51"/>
      <c r="B539" s="34"/>
      <c r="C539" s="30"/>
      <c r="D539" s="29"/>
    </row>
    <row r="540" spans="1:4" ht="19.5" thickBot="1" x14ac:dyDescent="0.35">
      <c r="A540" s="51"/>
      <c r="B540" s="34"/>
      <c r="C540" s="30"/>
      <c r="D540" s="29"/>
    </row>
    <row r="541" spans="1:4" ht="19.5" thickBot="1" x14ac:dyDescent="0.35">
      <c r="A541" s="51"/>
      <c r="B541" s="34"/>
      <c r="C541" s="30"/>
      <c r="D541" s="29"/>
    </row>
    <row r="542" spans="1:4" ht="19.5" thickBot="1" x14ac:dyDescent="0.35">
      <c r="A542" s="51"/>
      <c r="B542" s="34"/>
      <c r="C542" s="30"/>
      <c r="D542" s="29"/>
    </row>
    <row r="543" spans="1:4" ht="19.5" thickBot="1" x14ac:dyDescent="0.35">
      <c r="A543" s="51"/>
      <c r="B543" s="34"/>
      <c r="C543" s="30"/>
      <c r="D543" s="29"/>
    </row>
    <row r="544" spans="1:4" ht="19.5" thickBot="1" x14ac:dyDescent="0.35">
      <c r="A544" s="51"/>
      <c r="B544" s="34"/>
      <c r="C544" s="30"/>
      <c r="D544" s="29"/>
    </row>
    <row r="545" spans="1:4" ht="19.5" thickBot="1" x14ac:dyDescent="0.35">
      <c r="A545" s="51"/>
      <c r="B545" s="34"/>
      <c r="C545" s="30"/>
      <c r="D545" s="29"/>
    </row>
    <row r="546" spans="1:4" ht="19.5" thickBot="1" x14ac:dyDescent="0.35">
      <c r="A546" s="51"/>
      <c r="B546" s="34"/>
      <c r="C546" s="30"/>
      <c r="D546" s="29"/>
    </row>
    <row r="547" spans="1:4" ht="19.5" thickBot="1" x14ac:dyDescent="0.35">
      <c r="A547" s="51"/>
      <c r="B547" s="34"/>
      <c r="C547" s="30"/>
      <c r="D547" s="29"/>
    </row>
    <row r="548" spans="1:4" ht="19.5" thickBot="1" x14ac:dyDescent="0.35">
      <c r="A548" s="51"/>
      <c r="B548" s="34"/>
      <c r="C548" s="30"/>
      <c r="D548" s="29"/>
    </row>
    <row r="549" spans="1:4" ht="19.5" thickBot="1" x14ac:dyDescent="0.35">
      <c r="A549" s="51"/>
      <c r="B549" s="34"/>
      <c r="C549" s="30"/>
      <c r="D549" s="29"/>
    </row>
    <row r="550" spans="1:4" ht="19.5" thickBot="1" x14ac:dyDescent="0.35">
      <c r="A550" s="51"/>
      <c r="B550" s="34"/>
      <c r="C550" s="30"/>
      <c r="D550" s="29"/>
    </row>
    <row r="551" spans="1:4" ht="19.5" thickBot="1" x14ac:dyDescent="0.35">
      <c r="A551" s="51"/>
      <c r="B551" s="34"/>
      <c r="C551" s="30"/>
      <c r="D551" s="29"/>
    </row>
    <row r="552" spans="1:4" ht="19.5" thickBot="1" x14ac:dyDescent="0.35">
      <c r="A552" s="51"/>
      <c r="B552" s="34"/>
      <c r="C552" s="30"/>
      <c r="D552" s="29"/>
    </row>
    <row r="553" spans="1:4" ht="19.5" thickBot="1" x14ac:dyDescent="0.35">
      <c r="A553" s="51"/>
      <c r="B553" s="34"/>
      <c r="C553" s="30"/>
      <c r="D553" s="29"/>
    </row>
    <row r="554" spans="1:4" ht="19.5" thickBot="1" x14ac:dyDescent="0.35">
      <c r="A554" s="51"/>
      <c r="B554" s="34"/>
      <c r="C554" s="30"/>
      <c r="D554" s="29"/>
    </row>
    <row r="555" spans="1:4" ht="19.5" thickBot="1" x14ac:dyDescent="0.35">
      <c r="A555" s="51"/>
      <c r="B555" s="34"/>
      <c r="C555" s="30"/>
      <c r="D555" s="29"/>
    </row>
    <row r="556" spans="1:4" ht="19.5" thickBot="1" x14ac:dyDescent="0.35">
      <c r="A556" s="51"/>
      <c r="B556" s="34"/>
      <c r="C556" s="30"/>
      <c r="D556" s="29"/>
    </row>
    <row r="557" spans="1:4" ht="19.5" thickBot="1" x14ac:dyDescent="0.35">
      <c r="A557" s="51"/>
      <c r="B557" s="34"/>
      <c r="C557" s="30"/>
      <c r="D557" s="29"/>
    </row>
    <row r="558" spans="1:4" ht="19.5" thickBot="1" x14ac:dyDescent="0.35">
      <c r="A558" s="51"/>
      <c r="B558" s="34"/>
      <c r="C558" s="30"/>
      <c r="D558" s="29"/>
    </row>
    <row r="559" spans="1:4" ht="19.5" thickBot="1" x14ac:dyDescent="0.35">
      <c r="A559" s="51"/>
      <c r="B559" s="34"/>
      <c r="C559" s="30"/>
      <c r="D559" s="29"/>
    </row>
    <row r="560" spans="1:4" ht="19.5" thickBot="1" x14ac:dyDescent="0.35">
      <c r="A560" s="51"/>
      <c r="B560" s="34"/>
      <c r="C560" s="30"/>
      <c r="D560" s="29"/>
    </row>
    <row r="561" spans="1:4" ht="19.5" thickBot="1" x14ac:dyDescent="0.35">
      <c r="A561" s="51"/>
      <c r="B561" s="34"/>
      <c r="C561" s="30"/>
      <c r="D561" s="29"/>
    </row>
    <row r="562" spans="1:4" ht="19.5" thickBot="1" x14ac:dyDescent="0.35">
      <c r="A562" s="51"/>
      <c r="B562" s="34"/>
      <c r="C562" s="30"/>
      <c r="D562" s="29"/>
    </row>
    <row r="563" spans="1:4" ht="19.5" thickBot="1" x14ac:dyDescent="0.35">
      <c r="A563" s="51"/>
      <c r="B563" s="34"/>
      <c r="C563" s="30"/>
      <c r="D563" s="29"/>
    </row>
    <row r="564" spans="1:4" ht="19.5" thickBot="1" x14ac:dyDescent="0.35">
      <c r="A564" s="51"/>
      <c r="B564" s="34"/>
      <c r="C564" s="30"/>
      <c r="D564" s="29"/>
    </row>
    <row r="565" spans="1:4" ht="19.5" thickBot="1" x14ac:dyDescent="0.35">
      <c r="A565" s="51"/>
      <c r="B565" s="34"/>
      <c r="C565" s="30"/>
      <c r="D565" s="29"/>
    </row>
    <row r="566" spans="1:4" ht="19.5" thickBot="1" x14ac:dyDescent="0.35">
      <c r="A566" s="51"/>
      <c r="B566" s="34"/>
      <c r="C566" s="30"/>
      <c r="D566" s="29"/>
    </row>
    <row r="567" spans="1:4" ht="19.5" thickBot="1" x14ac:dyDescent="0.35">
      <c r="A567" s="51"/>
      <c r="B567" s="34"/>
      <c r="C567" s="30"/>
      <c r="D567" s="29"/>
    </row>
    <row r="568" spans="1:4" ht="19.5" thickBot="1" x14ac:dyDescent="0.35">
      <c r="A568" s="51"/>
      <c r="B568" s="34"/>
      <c r="C568" s="30"/>
      <c r="D568" s="29"/>
    </row>
    <row r="569" spans="1:4" ht="19.5" thickBot="1" x14ac:dyDescent="0.35">
      <c r="A569" s="51"/>
      <c r="B569" s="34"/>
      <c r="C569" s="30"/>
      <c r="D569" s="29"/>
    </row>
    <row r="570" spans="1:4" ht="19.5" thickBot="1" x14ac:dyDescent="0.35">
      <c r="A570" s="51"/>
      <c r="B570" s="34"/>
      <c r="C570" s="30"/>
      <c r="D570" s="29"/>
    </row>
    <row r="571" spans="1:4" ht="19.5" thickBot="1" x14ac:dyDescent="0.35">
      <c r="A571" s="51"/>
      <c r="B571" s="34"/>
      <c r="C571" s="30"/>
      <c r="D571" s="29"/>
    </row>
    <row r="572" spans="1:4" ht="19.5" thickBot="1" x14ac:dyDescent="0.35">
      <c r="A572" s="51"/>
      <c r="B572" s="34"/>
      <c r="C572" s="30"/>
      <c r="D572" s="29"/>
    </row>
    <row r="573" spans="1:4" ht="19.5" thickBot="1" x14ac:dyDescent="0.35">
      <c r="A573" s="51"/>
      <c r="B573" s="34"/>
      <c r="C573" s="30"/>
      <c r="D573" s="29"/>
    </row>
    <row r="574" spans="1:4" ht="19.5" thickBot="1" x14ac:dyDescent="0.35">
      <c r="A574" s="51"/>
      <c r="B574" s="34"/>
      <c r="C574" s="30"/>
      <c r="D574" s="29"/>
    </row>
    <row r="575" spans="1:4" ht="19.5" thickBot="1" x14ac:dyDescent="0.35">
      <c r="A575" s="51"/>
      <c r="B575" s="34"/>
      <c r="C575" s="30"/>
      <c r="D575" s="29"/>
    </row>
    <row r="576" spans="1:4" ht="19.5" thickBot="1" x14ac:dyDescent="0.35">
      <c r="A576" s="51"/>
      <c r="B576" s="34"/>
      <c r="C576" s="30"/>
      <c r="D576" s="29"/>
    </row>
    <row r="577" spans="1:4" ht="19.5" thickBot="1" x14ac:dyDescent="0.35">
      <c r="A577" s="51"/>
      <c r="B577" s="34"/>
      <c r="C577" s="30"/>
      <c r="D577" s="29"/>
    </row>
    <row r="578" spans="1:4" ht="19.5" thickBot="1" x14ac:dyDescent="0.35">
      <c r="A578" s="51"/>
      <c r="B578" s="34"/>
      <c r="C578" s="30"/>
      <c r="D578" s="29"/>
    </row>
    <row r="579" spans="1:4" ht="19.5" thickBot="1" x14ac:dyDescent="0.35">
      <c r="A579" s="51"/>
      <c r="B579" s="34"/>
      <c r="C579" s="30"/>
      <c r="D579" s="29"/>
    </row>
    <row r="580" spans="1:4" ht="19.5" thickBot="1" x14ac:dyDescent="0.35">
      <c r="A580" s="51"/>
      <c r="B580" s="34"/>
      <c r="C580" s="30"/>
      <c r="D580" s="29"/>
    </row>
    <row r="581" spans="1:4" ht="19.5" thickBot="1" x14ac:dyDescent="0.35">
      <c r="A581" s="51"/>
      <c r="B581" s="34"/>
      <c r="C581" s="30"/>
      <c r="D581" s="29"/>
    </row>
    <row r="582" spans="1:4" ht="19.5" thickBot="1" x14ac:dyDescent="0.35">
      <c r="A582" s="51"/>
      <c r="B582" s="34"/>
      <c r="C582" s="30"/>
      <c r="D582" s="29"/>
    </row>
    <row r="583" spans="1:4" ht="19.5" thickBot="1" x14ac:dyDescent="0.35">
      <c r="A583" s="51"/>
      <c r="B583" s="34"/>
      <c r="C583" s="30"/>
      <c r="D583" s="29"/>
    </row>
    <row r="584" spans="1:4" ht="19.5" thickBot="1" x14ac:dyDescent="0.35">
      <c r="A584" s="51"/>
      <c r="B584" s="34"/>
      <c r="C584" s="30"/>
      <c r="D584" s="29"/>
    </row>
    <row r="585" spans="1:4" ht="19.5" thickBot="1" x14ac:dyDescent="0.35">
      <c r="A585" s="51"/>
      <c r="B585" s="34"/>
      <c r="C585" s="30"/>
      <c r="D585" s="29"/>
    </row>
    <row r="586" spans="1:4" ht="19.5" thickBot="1" x14ac:dyDescent="0.35">
      <c r="A586" s="51"/>
      <c r="B586" s="34"/>
      <c r="C586" s="30"/>
      <c r="D586" s="29"/>
    </row>
    <row r="587" spans="1:4" ht="19.5" thickBot="1" x14ac:dyDescent="0.35">
      <c r="A587" s="51"/>
      <c r="B587" s="34"/>
      <c r="C587" s="30"/>
      <c r="D587" s="29"/>
    </row>
    <row r="588" spans="1:4" ht="19.5" thickBot="1" x14ac:dyDescent="0.35">
      <c r="A588" s="51"/>
      <c r="B588" s="34"/>
      <c r="C588" s="30"/>
      <c r="D588" s="29"/>
    </row>
    <row r="589" spans="1:4" ht="19.5" thickBot="1" x14ac:dyDescent="0.35">
      <c r="A589" s="51"/>
      <c r="B589" s="34"/>
      <c r="C589" s="30"/>
      <c r="D589" s="29"/>
    </row>
    <row r="590" spans="1:4" ht="19.5" thickBot="1" x14ac:dyDescent="0.35">
      <c r="A590" s="51"/>
      <c r="B590" s="34"/>
      <c r="C590" s="30"/>
      <c r="D590" s="29"/>
    </row>
    <row r="591" spans="1:4" ht="19.5" thickBot="1" x14ac:dyDescent="0.35">
      <c r="A591" s="51"/>
      <c r="B591" s="34"/>
      <c r="C591" s="30"/>
      <c r="D591" s="29"/>
    </row>
    <row r="592" spans="1:4" ht="19.5" thickBot="1" x14ac:dyDescent="0.35">
      <c r="A592" s="51"/>
      <c r="B592" s="34"/>
      <c r="C592" s="30"/>
      <c r="D592" s="29"/>
    </row>
    <row r="593" spans="1:20" ht="19.5" thickBot="1" x14ac:dyDescent="0.35">
      <c r="A593" s="51"/>
      <c r="B593" s="34"/>
      <c r="C593" s="30"/>
      <c r="D593" s="29"/>
    </row>
    <row r="594" spans="1:20" ht="19.5" thickBot="1" x14ac:dyDescent="0.35">
      <c r="A594" s="51"/>
      <c r="B594" s="34"/>
      <c r="C594" s="30"/>
      <c r="D594" s="29"/>
    </row>
    <row r="595" spans="1:20" ht="19.5" thickBot="1" x14ac:dyDescent="0.35">
      <c r="A595" s="51"/>
      <c r="B595" s="34"/>
      <c r="C595" s="30"/>
      <c r="D595" s="29"/>
    </row>
    <row r="596" spans="1:20" ht="19.5" thickBot="1" x14ac:dyDescent="0.35">
      <c r="A596" s="51"/>
      <c r="B596" s="34"/>
      <c r="C596" s="30"/>
      <c r="D596" s="29"/>
    </row>
    <row r="597" spans="1:20" ht="19.5" thickBot="1" x14ac:dyDescent="0.35">
      <c r="A597" s="51"/>
      <c r="B597" s="34"/>
      <c r="C597" s="30"/>
      <c r="D597" s="29"/>
    </row>
    <row r="598" spans="1:20" ht="19.5" thickBot="1" x14ac:dyDescent="0.35">
      <c r="A598" s="51"/>
      <c r="B598" s="34"/>
      <c r="C598" s="30"/>
      <c r="D598" s="29"/>
    </row>
    <row r="599" spans="1:20" ht="19.5" thickBot="1" x14ac:dyDescent="0.35">
      <c r="A599" s="51"/>
      <c r="B599" s="34"/>
      <c r="C599" s="30"/>
      <c r="D599" s="29"/>
    </row>
    <row r="600" spans="1:20" ht="19.5" thickBot="1" x14ac:dyDescent="0.35">
      <c r="A600" s="51"/>
      <c r="B600" s="34"/>
      <c r="C600" s="30"/>
      <c r="D600" s="29"/>
    </row>
    <row r="601" spans="1:20" x14ac:dyDescent="0.3">
      <c r="A601" s="46"/>
      <c r="B601" s="39"/>
      <c r="C601" s="26"/>
      <c r="D601" s="25"/>
      <c r="E601" s="26"/>
      <c r="F601" s="25"/>
      <c r="G601" s="26"/>
      <c r="H601" s="25"/>
      <c r="I601" s="26"/>
      <c r="J601" s="25"/>
      <c r="K601" s="101"/>
      <c r="M601" s="133"/>
      <c r="O601" s="115"/>
      <c r="P601" s="107"/>
      <c r="T601" s="115"/>
    </row>
    <row r="602" spans="1:20" ht="19.5" thickBot="1" x14ac:dyDescent="0.35">
      <c r="A602" s="47"/>
      <c r="B602" s="40"/>
      <c r="C602" s="28"/>
      <c r="D602" s="27"/>
      <c r="E602" s="28"/>
      <c r="F602" s="27"/>
      <c r="G602" s="28"/>
      <c r="H602" s="27"/>
      <c r="I602" s="28"/>
      <c r="J602" s="27"/>
      <c r="K602" s="102"/>
      <c r="P602" s="108"/>
    </row>
    <row r="603" spans="1:20" ht="19.5" thickBot="1" x14ac:dyDescent="0.35">
      <c r="A603" s="48"/>
      <c r="B603" s="41"/>
      <c r="C603" s="30"/>
      <c r="D603" s="29"/>
      <c r="E603" s="30"/>
      <c r="F603" s="29"/>
      <c r="G603" s="30"/>
      <c r="H603" s="29"/>
      <c r="I603" s="30"/>
      <c r="J603" s="29"/>
      <c r="K603" s="103"/>
      <c r="L603" s="106"/>
      <c r="P603" s="109"/>
    </row>
    <row r="604" spans="1:20" ht="19.5" thickBot="1" x14ac:dyDescent="0.35">
      <c r="A604" s="49"/>
      <c r="B604" s="35"/>
      <c r="C604" s="32"/>
      <c r="D604" s="31"/>
      <c r="E604" s="32"/>
      <c r="F604" s="31"/>
      <c r="G604" s="32"/>
      <c r="H604" s="31"/>
      <c r="I604" s="32"/>
      <c r="J604" s="31"/>
      <c r="K604" s="105"/>
      <c r="L604" s="106"/>
      <c r="P604" s="109"/>
    </row>
    <row r="605" spans="1:20" ht="19.5" thickBot="1" x14ac:dyDescent="0.35">
      <c r="A605" s="49"/>
      <c r="B605" s="35"/>
      <c r="C605" s="32"/>
      <c r="D605" s="31"/>
      <c r="E605" s="32"/>
      <c r="F605" s="31"/>
      <c r="G605" s="32"/>
      <c r="H605" s="31"/>
      <c r="I605" s="32"/>
      <c r="J605" s="31"/>
      <c r="K605" s="105"/>
      <c r="L605" s="106"/>
      <c r="P605" s="109"/>
    </row>
    <row r="606" spans="1:20" ht="19.5" thickBot="1" x14ac:dyDescent="0.35">
      <c r="A606" s="49"/>
      <c r="B606" s="35"/>
      <c r="C606" s="32"/>
      <c r="D606" s="31"/>
      <c r="E606" s="32"/>
      <c r="F606" s="31"/>
      <c r="G606" s="32"/>
      <c r="H606" s="31"/>
      <c r="I606" s="32"/>
      <c r="J606" s="31"/>
      <c r="K606" s="105"/>
      <c r="L606" s="106"/>
      <c r="P606" s="109"/>
    </row>
    <row r="607" spans="1:20" ht="19.5" thickBot="1" x14ac:dyDescent="0.35">
      <c r="A607" s="49"/>
      <c r="B607" s="35"/>
      <c r="C607" s="32"/>
      <c r="D607" s="31"/>
      <c r="E607" s="32"/>
      <c r="F607" s="31"/>
      <c r="G607" s="32"/>
      <c r="H607" s="31"/>
      <c r="I607" s="32"/>
      <c r="J607" s="31"/>
      <c r="K607" s="105"/>
      <c r="L607" s="106"/>
      <c r="P607" s="109"/>
    </row>
    <row r="608" spans="1:20" ht="19.5" thickBot="1" x14ac:dyDescent="0.35">
      <c r="A608" s="49"/>
      <c r="B608" s="35"/>
      <c r="C608" s="32"/>
      <c r="D608" s="31"/>
      <c r="E608" s="32"/>
      <c r="F608" s="31"/>
      <c r="G608" s="32"/>
      <c r="H608" s="31"/>
      <c r="I608" s="32"/>
      <c r="J608" s="31"/>
      <c r="K608" s="105"/>
      <c r="L608" s="106"/>
      <c r="P608" s="109"/>
    </row>
    <row r="609" spans="1:16" ht="19.5" thickBot="1" x14ac:dyDescent="0.35">
      <c r="A609" s="49"/>
      <c r="B609" s="35"/>
      <c r="C609" s="32"/>
      <c r="D609" s="31"/>
      <c r="E609" s="32"/>
      <c r="F609" s="31"/>
      <c r="G609" s="32"/>
      <c r="H609" s="31"/>
      <c r="I609" s="32"/>
      <c r="J609" s="31"/>
      <c r="K609" s="105"/>
      <c r="L609" s="106"/>
      <c r="P609" s="109"/>
    </row>
    <row r="610" spans="1:16" ht="19.5" thickBot="1" x14ac:dyDescent="0.35">
      <c r="A610" s="49"/>
      <c r="B610" s="35"/>
      <c r="C610" s="32"/>
      <c r="D610" s="31"/>
      <c r="E610" s="32"/>
      <c r="F610" s="31"/>
      <c r="G610" s="32"/>
      <c r="H610" s="31"/>
      <c r="I610" s="32"/>
      <c r="J610" s="31"/>
      <c r="K610" s="105"/>
      <c r="L610" s="106"/>
      <c r="P610" s="109"/>
    </row>
    <row r="611" spans="1:16" ht="19.5" thickBot="1" x14ac:dyDescent="0.35">
      <c r="A611" s="49"/>
      <c r="B611" s="35"/>
      <c r="C611" s="32"/>
      <c r="D611" s="31"/>
      <c r="E611" s="32"/>
      <c r="F611" s="31"/>
      <c r="G611" s="32"/>
      <c r="H611" s="31"/>
      <c r="I611" s="32"/>
      <c r="J611" s="31"/>
      <c r="K611" s="105"/>
      <c r="L611" s="106"/>
      <c r="P611" s="109"/>
    </row>
    <row r="612" spans="1:16" ht="19.5" thickBot="1" x14ac:dyDescent="0.35">
      <c r="A612" s="49"/>
      <c r="B612" s="35"/>
      <c r="C612" s="32"/>
      <c r="D612" s="31"/>
      <c r="E612" s="32"/>
      <c r="F612" s="31"/>
      <c r="G612" s="32"/>
      <c r="H612" s="31"/>
      <c r="I612" s="32"/>
      <c r="J612" s="31"/>
      <c r="K612" s="105"/>
      <c r="L612" s="106"/>
      <c r="P612" s="109"/>
    </row>
    <row r="613" spans="1:16" ht="19.5" thickBot="1" x14ac:dyDescent="0.35">
      <c r="A613" s="49"/>
      <c r="B613" s="35"/>
      <c r="C613" s="32"/>
      <c r="D613" s="31"/>
      <c r="E613" s="32"/>
      <c r="F613" s="31"/>
      <c r="G613" s="32"/>
      <c r="H613" s="31"/>
      <c r="I613" s="32"/>
      <c r="J613" s="31"/>
      <c r="K613" s="105"/>
      <c r="L613" s="106"/>
      <c r="P613" s="109"/>
    </row>
    <row r="614" spans="1:16" ht="19.5" thickBot="1" x14ac:dyDescent="0.35">
      <c r="A614" s="49"/>
      <c r="B614" s="35"/>
      <c r="C614" s="32"/>
      <c r="D614" s="31"/>
      <c r="E614" s="32"/>
      <c r="F614" s="31"/>
      <c r="G614" s="32"/>
      <c r="H614" s="31"/>
      <c r="I614" s="32"/>
      <c r="J614" s="31"/>
      <c r="K614" s="105"/>
      <c r="L614" s="106"/>
      <c r="P614" s="109"/>
    </row>
    <row r="615" spans="1:16" ht="19.5" thickBot="1" x14ac:dyDescent="0.35">
      <c r="A615" s="49"/>
      <c r="B615" s="35"/>
      <c r="C615" s="32"/>
      <c r="D615" s="31"/>
      <c r="E615" s="32"/>
      <c r="F615" s="31"/>
      <c r="G615" s="32"/>
      <c r="H615" s="31"/>
      <c r="I615" s="32"/>
      <c r="J615" s="31"/>
      <c r="K615" s="105"/>
      <c r="L615" s="106"/>
      <c r="P615" s="109"/>
    </row>
    <row r="616" spans="1:16" ht="19.5" thickBot="1" x14ac:dyDescent="0.35">
      <c r="A616" s="49"/>
      <c r="B616" s="35"/>
      <c r="C616" s="32"/>
      <c r="D616" s="31"/>
      <c r="E616" s="32"/>
      <c r="F616" s="31"/>
      <c r="G616" s="32"/>
      <c r="H616" s="31"/>
      <c r="I616" s="32"/>
      <c r="J616" s="31"/>
      <c r="K616" s="105"/>
      <c r="L616" s="106"/>
      <c r="P616" s="109"/>
    </row>
    <row r="617" spans="1:16" ht="19.5" thickBot="1" x14ac:dyDescent="0.35">
      <c r="A617" s="49"/>
      <c r="B617" s="35"/>
      <c r="C617" s="32"/>
      <c r="D617" s="31"/>
      <c r="E617" s="32"/>
      <c r="F617" s="31"/>
      <c r="G617" s="32"/>
      <c r="H617" s="31"/>
      <c r="I617" s="32"/>
      <c r="J617" s="31"/>
      <c r="K617" s="105"/>
      <c r="L617" s="106"/>
      <c r="P617" s="109"/>
    </row>
    <row r="618" spans="1:16" ht="19.5" thickBot="1" x14ac:dyDescent="0.35">
      <c r="A618" s="49"/>
      <c r="B618" s="35"/>
      <c r="C618" s="32"/>
      <c r="D618" s="31"/>
      <c r="E618" s="32"/>
      <c r="F618" s="31"/>
      <c r="G618" s="32"/>
      <c r="H618" s="31"/>
      <c r="I618" s="32"/>
      <c r="J618" s="31"/>
      <c r="K618" s="105"/>
      <c r="L618" s="106"/>
      <c r="P618" s="109"/>
    </row>
    <row r="619" spans="1:16" ht="19.5" thickBot="1" x14ac:dyDescent="0.35">
      <c r="A619" s="49"/>
      <c r="B619" s="35"/>
      <c r="C619" s="32"/>
      <c r="D619" s="31"/>
      <c r="E619" s="32"/>
      <c r="F619" s="31"/>
      <c r="G619" s="32"/>
      <c r="H619" s="31"/>
      <c r="I619" s="32"/>
      <c r="J619" s="31"/>
      <c r="K619" s="105"/>
      <c r="L619" s="106"/>
      <c r="P619" s="109"/>
    </row>
    <row r="620" spans="1:16" ht="19.5" thickBot="1" x14ac:dyDescent="0.35">
      <c r="A620" s="49"/>
      <c r="B620" s="35"/>
      <c r="C620" s="32"/>
      <c r="D620" s="31"/>
      <c r="E620" s="32"/>
      <c r="F620" s="31"/>
      <c r="G620" s="32"/>
      <c r="H620" s="31"/>
      <c r="I620" s="32"/>
      <c r="J620" s="31"/>
      <c r="K620" s="105"/>
      <c r="L620" s="106"/>
      <c r="P620" s="109"/>
    </row>
    <row r="621" spans="1:16" ht="19.5" thickBot="1" x14ac:dyDescent="0.35">
      <c r="A621" s="49"/>
      <c r="B621" s="35"/>
      <c r="C621" s="32"/>
      <c r="D621" s="31"/>
      <c r="E621" s="32"/>
      <c r="F621" s="31"/>
      <c r="G621" s="32"/>
      <c r="H621" s="31"/>
      <c r="I621" s="32"/>
      <c r="J621" s="31"/>
      <c r="K621" s="105"/>
      <c r="L621" s="106"/>
      <c r="P621" s="109"/>
    </row>
    <row r="622" spans="1:16" ht="19.5" thickBot="1" x14ac:dyDescent="0.35">
      <c r="A622" s="49"/>
      <c r="B622" s="34"/>
      <c r="C622" s="32"/>
      <c r="D622" s="31"/>
      <c r="E622" s="32"/>
      <c r="F622" s="31"/>
      <c r="G622" s="32"/>
      <c r="H622" s="31"/>
      <c r="I622" s="32"/>
      <c r="J622" s="31"/>
      <c r="K622" s="105"/>
      <c r="L622" s="106"/>
      <c r="P622" s="109"/>
    </row>
    <row r="623" spans="1:16" ht="19.5" thickBot="1" x14ac:dyDescent="0.35">
      <c r="A623" s="49"/>
      <c r="B623" s="34"/>
      <c r="C623" s="32"/>
      <c r="D623" s="31"/>
      <c r="E623" s="32"/>
      <c r="F623" s="31"/>
      <c r="G623" s="32"/>
      <c r="H623" s="31"/>
      <c r="I623" s="32"/>
      <c r="J623" s="31"/>
      <c r="K623" s="105"/>
      <c r="L623" s="106"/>
      <c r="P623" s="109"/>
    </row>
    <row r="624" spans="1:16" ht="19.5" thickBot="1" x14ac:dyDescent="0.35">
      <c r="A624" s="49"/>
      <c r="B624" s="34"/>
      <c r="C624" s="32"/>
      <c r="D624" s="31"/>
      <c r="E624" s="32"/>
      <c r="F624" s="31"/>
      <c r="G624" s="32"/>
      <c r="H624" s="31"/>
      <c r="I624" s="32"/>
      <c r="J624" s="31"/>
      <c r="K624" s="105"/>
      <c r="L624" s="106"/>
      <c r="P624" s="109"/>
    </row>
    <row r="625" spans="1:16" ht="19.5" thickBot="1" x14ac:dyDescent="0.35">
      <c r="A625" s="49"/>
      <c r="B625" s="34"/>
      <c r="C625" s="32"/>
      <c r="D625" s="31"/>
      <c r="E625" s="32"/>
      <c r="F625" s="31"/>
      <c r="G625" s="32"/>
      <c r="H625" s="31"/>
      <c r="I625" s="32"/>
      <c r="J625" s="31"/>
      <c r="K625" s="105"/>
      <c r="L625" s="106"/>
      <c r="P625" s="109"/>
    </row>
    <row r="626" spans="1:16" ht="19.5" thickBot="1" x14ac:dyDescent="0.35">
      <c r="A626" s="49"/>
      <c r="B626" s="34"/>
      <c r="C626" s="32"/>
      <c r="D626" s="31"/>
      <c r="E626" s="32"/>
      <c r="F626" s="31"/>
      <c r="G626" s="32"/>
      <c r="H626" s="31"/>
      <c r="I626" s="32"/>
      <c r="J626" s="31"/>
      <c r="K626" s="105"/>
      <c r="L626" s="106"/>
      <c r="P626" s="109"/>
    </row>
    <row r="627" spans="1:16" ht="19.5" thickBot="1" x14ac:dyDescent="0.35">
      <c r="A627" s="49"/>
      <c r="B627" s="34"/>
      <c r="C627" s="32"/>
      <c r="D627" s="31"/>
      <c r="E627" s="32"/>
      <c r="F627" s="31"/>
      <c r="G627" s="32"/>
      <c r="H627" s="31"/>
      <c r="I627" s="32"/>
      <c r="J627" s="31"/>
      <c r="K627" s="105"/>
      <c r="L627" s="106"/>
      <c r="P627" s="109"/>
    </row>
    <row r="628" spans="1:16" ht="19.5" thickBot="1" x14ac:dyDescent="0.35">
      <c r="A628" s="49"/>
      <c r="B628" s="34"/>
      <c r="C628" s="32"/>
      <c r="D628" s="31"/>
      <c r="E628" s="32"/>
      <c r="F628" s="31"/>
      <c r="G628" s="32"/>
      <c r="H628" s="31"/>
      <c r="I628" s="32"/>
      <c r="J628" s="31"/>
      <c r="K628" s="105"/>
      <c r="L628" s="106"/>
      <c r="P628" s="109"/>
    </row>
    <row r="629" spans="1:16" ht="19.5" thickBot="1" x14ac:dyDescent="0.35">
      <c r="A629" s="49"/>
      <c r="B629" s="34"/>
      <c r="C629" s="32"/>
      <c r="D629" s="31"/>
      <c r="E629" s="32"/>
      <c r="F629" s="31"/>
      <c r="G629" s="32"/>
      <c r="H629" s="31"/>
      <c r="I629" s="32"/>
      <c r="J629" s="31"/>
      <c r="K629" s="105"/>
      <c r="L629" s="106"/>
      <c r="P629" s="109"/>
    </row>
    <row r="630" spans="1:16" ht="19.5" thickBot="1" x14ac:dyDescent="0.35">
      <c r="A630" s="49"/>
      <c r="B630" s="34"/>
      <c r="C630" s="32"/>
      <c r="D630" s="31"/>
      <c r="E630" s="32"/>
      <c r="F630" s="31"/>
      <c r="G630" s="32"/>
      <c r="H630" s="31"/>
      <c r="I630" s="32"/>
      <c r="J630" s="31"/>
      <c r="K630" s="105"/>
      <c r="L630" s="106"/>
      <c r="P630" s="109"/>
    </row>
    <row r="631" spans="1:16" x14ac:dyDescent="0.3">
      <c r="A631" s="49"/>
      <c r="B631" s="34"/>
      <c r="C631" s="32"/>
      <c r="D631" s="31"/>
      <c r="E631" s="32"/>
      <c r="F631" s="31"/>
      <c r="G631" s="32"/>
      <c r="H631" s="31"/>
      <c r="I631" s="32"/>
      <c r="J631" s="31"/>
      <c r="K631" s="105"/>
      <c r="L631" s="106"/>
      <c r="P631" s="109"/>
    </row>
    <row r="632" spans="1:16" x14ac:dyDescent="0.3">
      <c r="A632" s="49"/>
      <c r="B632" s="34"/>
      <c r="C632" s="32"/>
      <c r="D632" s="31"/>
      <c r="E632" s="32"/>
      <c r="F632" s="31"/>
      <c r="G632" s="32"/>
      <c r="H632" s="31"/>
      <c r="I632" s="32"/>
      <c r="J632" s="31"/>
      <c r="K632" s="105"/>
      <c r="L632" s="106"/>
    </row>
    <row r="633" spans="1:16" x14ac:dyDescent="0.3">
      <c r="A633" s="49"/>
      <c r="B633" s="34"/>
      <c r="C633" s="32"/>
      <c r="D633" s="31"/>
      <c r="E633" s="32"/>
      <c r="F633" s="31"/>
      <c r="G633" s="32"/>
      <c r="H633" s="31"/>
      <c r="I633" s="32"/>
      <c r="J633" s="31"/>
      <c r="K633" s="105"/>
      <c r="L633" s="106"/>
    </row>
    <row r="634" spans="1:16" x14ac:dyDescent="0.3">
      <c r="A634" s="49"/>
      <c r="B634" s="34"/>
      <c r="C634" s="32"/>
      <c r="D634" s="31"/>
      <c r="E634" s="32"/>
      <c r="F634" s="31"/>
      <c r="G634" s="32"/>
      <c r="H634" s="31"/>
      <c r="I634" s="32"/>
      <c r="J634" s="31"/>
      <c r="K634" s="105"/>
      <c r="L634" s="106"/>
    </row>
    <row r="635" spans="1:16" x14ac:dyDescent="0.3">
      <c r="A635" s="49"/>
      <c r="B635" s="34"/>
      <c r="C635" s="32"/>
      <c r="D635" s="31"/>
      <c r="E635" s="32"/>
      <c r="F635" s="31"/>
      <c r="G635" s="32"/>
      <c r="H635" s="31"/>
      <c r="I635" s="32"/>
      <c r="J635" s="31"/>
      <c r="K635" s="105"/>
      <c r="L635" s="106"/>
    </row>
    <row r="636" spans="1:16" x14ac:dyDescent="0.3">
      <c r="A636" s="49"/>
      <c r="B636" s="34"/>
      <c r="C636" s="32"/>
      <c r="D636" s="31"/>
      <c r="E636" s="32"/>
      <c r="F636" s="31"/>
      <c r="G636" s="32"/>
      <c r="H636" s="31"/>
      <c r="I636" s="32"/>
      <c r="J636" s="31"/>
      <c r="K636" s="105"/>
      <c r="L636" s="106"/>
    </row>
    <row r="637" spans="1:16" x14ac:dyDescent="0.3">
      <c r="A637" s="49"/>
      <c r="B637" s="34"/>
      <c r="C637" s="32"/>
      <c r="D637" s="31"/>
      <c r="E637" s="32"/>
      <c r="F637" s="31"/>
      <c r="G637" s="32"/>
      <c r="H637" s="31"/>
      <c r="I637" s="32"/>
      <c r="J637" s="31"/>
      <c r="K637" s="105"/>
      <c r="L637" s="106"/>
    </row>
    <row r="638" spans="1:16" x14ac:dyDescent="0.3">
      <c r="A638" s="49"/>
      <c r="B638" s="34"/>
      <c r="C638" s="32"/>
      <c r="D638" s="31"/>
      <c r="E638" s="32"/>
      <c r="F638" s="31"/>
      <c r="G638" s="32"/>
      <c r="H638" s="31"/>
      <c r="I638" s="32"/>
      <c r="J638" s="31"/>
      <c r="K638" s="105"/>
      <c r="L638" s="106"/>
    </row>
    <row r="639" spans="1:16" x14ac:dyDescent="0.3">
      <c r="A639" s="49"/>
      <c r="B639" s="34"/>
      <c r="C639" s="32"/>
      <c r="D639" s="31"/>
      <c r="E639" s="32"/>
      <c r="F639" s="31"/>
      <c r="G639" s="32"/>
      <c r="H639" s="31"/>
      <c r="I639" s="32"/>
      <c r="J639" s="31"/>
      <c r="K639" s="105"/>
      <c r="L639" s="106"/>
    </row>
    <row r="640" spans="1:16" x14ac:dyDescent="0.3">
      <c r="A640" s="49"/>
      <c r="B640" s="34"/>
      <c r="C640" s="32"/>
      <c r="D640" s="31"/>
      <c r="E640" s="32"/>
      <c r="F640" s="31"/>
      <c r="G640" s="32"/>
      <c r="H640" s="31"/>
      <c r="I640" s="32"/>
      <c r="J640" s="31"/>
      <c r="K640" s="105"/>
      <c r="L640" s="106"/>
    </row>
    <row r="641" spans="1:12" x14ac:dyDescent="0.3">
      <c r="A641" s="49"/>
      <c r="B641" s="34"/>
      <c r="C641" s="32"/>
      <c r="D641" s="31"/>
      <c r="E641" s="32"/>
      <c r="F641" s="31"/>
      <c r="G641" s="32"/>
      <c r="H641" s="31"/>
      <c r="I641" s="32"/>
      <c r="J641" s="31"/>
      <c r="K641" s="105"/>
      <c r="L641" s="106"/>
    </row>
    <row r="642" spans="1:12" x14ac:dyDescent="0.3">
      <c r="A642" s="49"/>
      <c r="B642" s="34"/>
      <c r="C642" s="32"/>
      <c r="D642" s="31"/>
      <c r="E642" s="32"/>
      <c r="F642" s="31"/>
      <c r="G642" s="32"/>
      <c r="H642" s="31"/>
      <c r="I642" s="32"/>
      <c r="J642" s="31"/>
      <c r="K642" s="105"/>
      <c r="L642" s="106"/>
    </row>
    <row r="643" spans="1:12" x14ac:dyDescent="0.3">
      <c r="A643" s="49"/>
      <c r="B643" s="34"/>
      <c r="C643" s="32"/>
      <c r="D643" s="31"/>
      <c r="E643" s="32"/>
      <c r="F643" s="31"/>
      <c r="G643" s="32"/>
      <c r="H643" s="31"/>
      <c r="I643" s="32"/>
      <c r="J643" s="31"/>
      <c r="K643" s="105"/>
      <c r="L643" s="106"/>
    </row>
    <row r="644" spans="1:12" x14ac:dyDescent="0.3">
      <c r="A644" s="49"/>
      <c r="B644" s="34"/>
      <c r="C644" s="32"/>
      <c r="D644" s="31"/>
      <c r="E644" s="32"/>
      <c r="F644" s="31"/>
      <c r="G644" s="32"/>
      <c r="H644" s="31"/>
      <c r="I644" s="32"/>
      <c r="J644" s="31"/>
      <c r="K644" s="105"/>
      <c r="L644" s="106"/>
    </row>
    <row r="645" spans="1:12" x14ac:dyDescent="0.3">
      <c r="A645" s="49"/>
      <c r="B645" s="34"/>
      <c r="C645" s="32"/>
      <c r="D645" s="31"/>
      <c r="E645" s="32"/>
      <c r="F645" s="31"/>
      <c r="G645" s="32"/>
      <c r="H645" s="31"/>
      <c r="I645" s="32"/>
      <c r="J645" s="31"/>
      <c r="K645" s="105"/>
      <c r="L645" s="106"/>
    </row>
    <row r="646" spans="1:12" x14ac:dyDescent="0.3">
      <c r="A646" s="49"/>
      <c r="B646" s="34"/>
      <c r="C646" s="32"/>
      <c r="D646" s="31"/>
      <c r="E646" s="32"/>
      <c r="F646" s="31"/>
      <c r="G646" s="32"/>
      <c r="H646" s="31"/>
      <c r="I646" s="32"/>
      <c r="J646" s="31"/>
      <c r="K646" s="105"/>
      <c r="L646" s="106"/>
    </row>
    <row r="647" spans="1:12" x14ac:dyDescent="0.3">
      <c r="A647" s="49"/>
      <c r="B647" s="34"/>
      <c r="C647" s="32"/>
      <c r="D647" s="31"/>
      <c r="E647" s="32"/>
      <c r="F647" s="31"/>
      <c r="G647" s="32"/>
      <c r="H647" s="31"/>
      <c r="I647" s="32"/>
      <c r="J647" s="31"/>
      <c r="K647" s="105"/>
      <c r="L647" s="106"/>
    </row>
    <row r="648" spans="1:12" x14ac:dyDescent="0.3">
      <c r="A648" s="49"/>
      <c r="B648" s="34"/>
      <c r="C648" s="32"/>
      <c r="D648" s="31"/>
      <c r="E648" s="32"/>
      <c r="F648" s="31"/>
      <c r="G648" s="32"/>
      <c r="H648" s="31"/>
      <c r="I648" s="32"/>
      <c r="J648" s="31"/>
      <c r="K648" s="105"/>
      <c r="L648" s="106"/>
    </row>
    <row r="649" spans="1:12" x14ac:dyDescent="0.3">
      <c r="A649" s="49"/>
      <c r="B649" s="34"/>
      <c r="C649" s="32"/>
      <c r="D649" s="31"/>
      <c r="E649" s="32"/>
      <c r="F649" s="31"/>
      <c r="G649" s="32"/>
      <c r="H649" s="31"/>
      <c r="I649" s="32"/>
      <c r="J649" s="31"/>
      <c r="K649" s="105"/>
      <c r="L649" s="106"/>
    </row>
    <row r="650" spans="1:12" x14ac:dyDescent="0.3">
      <c r="A650" s="49"/>
      <c r="B650" s="34"/>
      <c r="C650" s="32"/>
      <c r="D650" s="31"/>
      <c r="E650" s="32"/>
      <c r="F650" s="31"/>
      <c r="G650" s="32"/>
      <c r="H650" s="31"/>
      <c r="I650" s="32"/>
      <c r="J650" s="31"/>
      <c r="K650" s="105"/>
      <c r="L650" s="106"/>
    </row>
    <row r="651" spans="1:12" x14ac:dyDescent="0.3">
      <c r="A651" s="49"/>
      <c r="B651" s="34"/>
      <c r="C651" s="32"/>
      <c r="D651" s="31"/>
      <c r="E651" s="32"/>
      <c r="F651" s="31"/>
      <c r="G651" s="32"/>
      <c r="H651" s="31"/>
      <c r="I651" s="32"/>
      <c r="J651" s="31"/>
      <c r="K651" s="105"/>
      <c r="L651" s="106"/>
    </row>
    <row r="652" spans="1:12" x14ac:dyDescent="0.3">
      <c r="A652" s="49"/>
      <c r="B652" s="34"/>
      <c r="C652" s="32"/>
      <c r="D652" s="31"/>
      <c r="E652" s="32"/>
      <c r="F652" s="31"/>
      <c r="G652" s="32"/>
      <c r="H652" s="31"/>
      <c r="I652" s="32"/>
      <c r="J652" s="31"/>
      <c r="K652" s="105"/>
      <c r="L652" s="106"/>
    </row>
    <row r="653" spans="1:12" x14ac:dyDescent="0.3">
      <c r="A653" s="49"/>
      <c r="B653" s="34"/>
      <c r="C653" s="32"/>
      <c r="D653" s="31"/>
      <c r="E653" s="32"/>
      <c r="F653" s="31"/>
      <c r="G653" s="32"/>
      <c r="H653" s="31"/>
      <c r="I653" s="32"/>
      <c r="J653" s="31"/>
      <c r="K653" s="105"/>
      <c r="L653" s="106"/>
    </row>
    <row r="654" spans="1:12" x14ac:dyDescent="0.3">
      <c r="A654" s="49"/>
      <c r="B654" s="34"/>
      <c r="C654" s="32"/>
      <c r="D654" s="31"/>
      <c r="E654" s="32"/>
      <c r="F654" s="31"/>
      <c r="G654" s="32"/>
      <c r="H654" s="31"/>
      <c r="I654" s="32"/>
      <c r="J654" s="31"/>
      <c r="K654" s="105"/>
      <c r="L654" s="106"/>
    </row>
    <row r="655" spans="1:12" x14ac:dyDescent="0.3">
      <c r="A655" s="49"/>
      <c r="B655" s="34"/>
    </row>
    <row r="656" spans="1:12" x14ac:dyDescent="0.3">
      <c r="A656" s="49" t="b">
        <f t="array" aca="1" ref="A656" ca="1">IF(ROWS(A$603:A656)&gt;SUBTOTAL(3,Sheet1!N$9:N$210),"",INDEX(Sheet1!N$9:N$210,MATCH(ROWS(A$603:A656),SUBTOTAL(3,OFFSET(Sheet1!N$9,,,ROW(Sheet1!N$9:N$210)-ROW(Sheet1!N$9)+1)),0)))</f>
        <v>0</v>
      </c>
      <c r="B656" s="34">
        <f t="array" aca="1" ref="B656" ca="1">IF(ROWS(A$602:A656)&gt;SUBTOTAL(3,Sheet1!AQ$9:AQ$210),"",INDEX(Sheet1!AQ$9:AQ$210,MATCH(ROWS(A$602:A656),SUBTOTAL(3,OFFSET(Sheet1!AQ$9,,,ROW(Sheet1!AQ$9:AQ$210)-ROW(Sheet1!AQ$9)+1)),0)))</f>
        <v>0</v>
      </c>
    </row>
    <row r="657" spans="1:2" x14ac:dyDescent="0.3">
      <c r="A657" s="49" t="b">
        <f t="array" aca="1" ref="A657" ca="1">IF(ROWS(A$603:A657)&gt;SUBTOTAL(3,Sheet1!N$9:N$210),"",INDEX(Sheet1!N$9:N$210,MATCH(ROWS(A$603:A657),SUBTOTAL(3,OFFSET(Sheet1!N$9,,,ROW(Sheet1!N$9:N$210)-ROW(Sheet1!N$9)+1)),0)))</f>
        <v>0</v>
      </c>
      <c r="B657" s="34">
        <f t="array" aca="1" ref="B657" ca="1">IF(ROWS(A$602:A657)&gt;SUBTOTAL(3,Sheet1!AQ$9:AQ$210),"",INDEX(Sheet1!AQ$9:AQ$210,MATCH(ROWS(A$602:A657),SUBTOTAL(3,OFFSET(Sheet1!AQ$9,,,ROW(Sheet1!AQ$9:AQ$210)-ROW(Sheet1!AQ$9)+1)),0)))</f>
        <v>0</v>
      </c>
    </row>
    <row r="658" spans="1:2" x14ac:dyDescent="0.3">
      <c r="A658" s="49" t="b">
        <f t="array" aca="1" ref="A658" ca="1">IF(ROWS(A$603:A658)&gt;SUBTOTAL(3,Sheet1!N$9:N$210),"",INDEX(Sheet1!N$9:N$210,MATCH(ROWS(A$603:A658),SUBTOTAL(3,OFFSET(Sheet1!N$9,,,ROW(Sheet1!N$9:N$210)-ROW(Sheet1!N$9)+1)),0)))</f>
        <v>0</v>
      </c>
      <c r="B658" s="34">
        <f t="array" aca="1" ref="B658" ca="1">IF(ROWS(A$602:A658)&gt;SUBTOTAL(3,Sheet1!AQ$9:AQ$210),"",INDEX(Sheet1!AQ$9:AQ$210,MATCH(ROWS(A$602:A658),SUBTOTAL(3,OFFSET(Sheet1!AQ$9,,,ROW(Sheet1!AQ$9:AQ$210)-ROW(Sheet1!AQ$9)+1)),0)))</f>
        <v>9390742.8483629469</v>
      </c>
    </row>
  </sheetData>
  <conditionalFormatting sqref="K3:K129">
    <cfRule type="dataBar" priority="9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{8B9572C2-8C0C-4FF0-ACDD-61585BBADA5D}</x14:id>
        </ext>
      </extLst>
    </cfRule>
  </conditionalFormatting>
  <conditionalFormatting sqref="AA3:AA210">
    <cfRule type="dataBar" priority="13">
      <dataBar showValue="0">
        <cfvo type="num" val="-57102297.003350198"/>
        <cfvo type="num" val="57102297.003350198"/>
        <color rgb="FF4AF6C3"/>
      </dataBar>
      <extLst>
        <ext xmlns:x14="http://schemas.microsoft.com/office/spreadsheetml/2009/9/main" uri="{B025F937-C7B1-47D3-B67F-A62EFF666E3E}">
          <x14:id>{172F4E38-6627-4CD7-A337-92300AF321CE}</x14:id>
        </ext>
      </extLst>
    </cfRule>
  </conditionalFormatting>
  <conditionalFormatting sqref="O3:O210">
    <cfRule type="dataBar" priority="88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{27E3C0C1-00A4-4EFD-B7E4-81E09A798B85}</x14:id>
        </ext>
      </extLst>
    </cfRule>
  </conditionalFormatting>
  <conditionalFormatting sqref="P3:P210">
    <cfRule type="dataBar" priority="89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{09B21ACD-DD42-45E9-AE06-D7D127040A09}</x14:id>
        </ext>
      </extLst>
    </cfRule>
  </conditionalFormatting>
  <conditionalFormatting sqref="R3:R210">
    <cfRule type="dataBar" priority="94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{63E1E645-18C1-4D17-8C45-DA74E89A8F85}</x14:id>
        </ext>
      </extLst>
    </cfRule>
  </conditionalFormatting>
  <conditionalFormatting sqref="S3:S210">
    <cfRule type="dataBar" priority="95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{569163F1-B2FE-432A-955C-A0D874596673}</x14:id>
        </ext>
      </extLst>
    </cfRule>
  </conditionalFormatting>
  <conditionalFormatting sqref="L3:L210">
    <cfRule type="dataBar" priority="96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{1331689B-CF6D-4516-876D-96DF1877443D}</x14:id>
        </ext>
      </extLst>
    </cfRule>
  </conditionalFormatting>
  <conditionalFormatting sqref="M3:M210">
    <cfRule type="dataBar" priority="97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{1EB7EB12-370C-477C-8C3E-AA0268587429}</x14:id>
        </ext>
      </extLst>
    </cfRule>
  </conditionalFormatting>
  <dataValidations count="5">
    <dataValidation type="list" allowBlank="1" showInputMessage="1" showErrorMessage="1" sqref="B1" xr:uid="{5B226C87-4F02-49C5-B720-4B54690406A7}">
      <formula1>"Gamma, Delta-Adj Gamma, Gamma Flow, Vanna, Charm, Delta, Volume, OI"</formula1>
    </dataValidation>
    <dataValidation type="list" allowBlank="1" showInputMessage="1" showErrorMessage="1" sqref="C1" xr:uid="{6CA321EE-0DFE-4B18-90A3-6C3FCBF212C8}">
      <formula1>"All, Puts, Calls"</formula1>
    </dataValidation>
    <dataValidation type="list" allowBlank="1" showInputMessage="1" showErrorMessage="1" sqref="G1" xr:uid="{8F0FCBCD-E24F-44B5-B228-76A32E069DC9}">
      <formula1>"Red,Light Red,Orange,Yellow,Green,Teal,Light Blue,Blue,Purple "</formula1>
    </dataValidation>
    <dataValidation type="list" allowBlank="1" showInputMessage="1" showErrorMessage="1" promptTitle="Positive color" sqref="F1" xr:uid="{F3BC3A38-D3EF-47C9-AC5A-D86FCF47F20C}">
      <formula1>"Red,Light Red,Orange,Yellow,Green,Teal,Light Blue,Blue,Purple "</formula1>
    </dataValidation>
    <dataValidation type="list" allowBlank="1" showInputMessage="1" showErrorMessage="1" sqref="E1" xr:uid="{C84445A0-206E-4FB9-B0E7-CA662F878A65}">
      <formula1>"Daily,Weekly, Monthly"</formula1>
    </dataValidation>
  </dataValidation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Sheet7.FastToggleSort_AllTables_singlename">
                <anchor moveWithCells="1" sizeWithCells="1">
                  <from>
                    <xdr:col>7</xdr:col>
                    <xdr:colOff>866775</xdr:colOff>
                    <xdr:row>0</xdr:row>
                    <xdr:rowOff>95250</xdr:rowOff>
                  </from>
                  <to>
                    <xdr:col>8</xdr:col>
                    <xdr:colOff>1504950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9572C2-8C0C-4FF0-ACDD-61585BBADA5D}">
            <x14:dataBar minLength="0" maxLength="100" border="1" gradient="0" negativeBarBorderColorSameAsPositive="0" axisPosition="middle">
              <x14:cfvo type="autoMin"/>
              <x14:cfvo type="autoMax"/>
              <x14:borderColor rgb="FF4AF6C3"/>
              <x14:negativeFillColor rgb="FFFF433D"/>
              <x14:negativeBorderColor rgb="FFFF433D"/>
              <x14:axisColor rgb="FF000000"/>
            </x14:dataBar>
          </x14:cfRule>
          <xm:sqref>K3:K129</xm:sqref>
        </x14:conditionalFormatting>
        <x14:conditionalFormatting xmlns:xm="http://schemas.microsoft.com/office/excel/2006/main">
          <x14:cfRule type="dataBar" id="{172F4E38-6627-4CD7-A337-92300AF321CE}">
            <x14:dataBar minLength="0" maxLength="100" axisPosition="middle">
              <x14:cfvo type="num">
                <xm:f>-57102297.003350198</xm:f>
              </x14:cfvo>
              <x14:cfvo type="num">
                <xm:f>57102297.003350198</xm:f>
              </x14:cfvo>
              <x14:negativeFillColor rgb="FFF8696B"/>
              <x14:axisColor rgb="FF5A5A5A"/>
            </x14:dataBar>
          </x14:cfRule>
          <xm:sqref>AA3:AA210</xm:sqref>
        </x14:conditionalFormatting>
        <x14:conditionalFormatting xmlns:xm="http://schemas.microsoft.com/office/excel/2006/main">
          <x14:cfRule type="dataBar" id="{27E3C0C1-00A4-4EFD-B7E4-81E09A798B85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O3:O210</xm:sqref>
        </x14:conditionalFormatting>
        <x14:conditionalFormatting xmlns:xm="http://schemas.microsoft.com/office/excel/2006/main">
          <x14:cfRule type="dataBar" id="{09B21ACD-DD42-45E9-AE06-D7D127040A09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P3:P210</xm:sqref>
        </x14:conditionalFormatting>
        <x14:conditionalFormatting xmlns:xm="http://schemas.microsoft.com/office/excel/2006/main">
          <x14:cfRule type="dataBar" id="{63E1E645-18C1-4D17-8C45-DA74E89A8F85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R3:R210</xm:sqref>
        </x14:conditionalFormatting>
        <x14:conditionalFormatting xmlns:xm="http://schemas.microsoft.com/office/excel/2006/main">
          <x14:cfRule type="dataBar" id="{569163F1-B2FE-432A-955C-A0D874596673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S3:S210</xm:sqref>
        </x14:conditionalFormatting>
        <x14:conditionalFormatting xmlns:xm="http://schemas.microsoft.com/office/excel/2006/main">
          <x14:cfRule type="dataBar" id="{1331689B-CF6D-4516-876D-96DF1877443D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L3:L210</xm:sqref>
        </x14:conditionalFormatting>
        <x14:conditionalFormatting xmlns:xm="http://schemas.microsoft.com/office/excel/2006/main">
          <x14:cfRule type="dataBar" id="{1EB7EB12-370C-477C-8C3E-AA0268587429}">
            <x14:dataBar minLength="0" maxLength="100" gradient="0">
              <x14:cfvo type="autoMin"/>
              <x14:cfvo type="autoMax"/>
              <x14:negativeFillColor rgb="FFF8696B"/>
              <x14:axisColor rgb="FF000000"/>
            </x14:dataBar>
          </x14:cfRule>
          <xm:sqref>M3:M210</xm:sqref>
        </x14:conditionalFormatting>
        <x14:conditionalFormatting xmlns:xm="http://schemas.microsoft.com/office/excel/2006/main">
          <x14:cfRule type="cellIs" priority="12" operator="equal" id="{A9F6AEDF-5D15-4C20-BB5B-92E74DF8BB8F}">
            <xm:f>Sheet1!$N$1</xm:f>
            <x14:dxf>
              <fill>
                <patternFill>
                  <bgColor rgb="FFFF0000"/>
                </patternFill>
              </fill>
            </x14:dxf>
          </x14:cfRule>
          <xm:sqref>A3:A197</xm:sqref>
        </x14:conditionalFormatting>
        <x14:conditionalFormatting xmlns:xm="http://schemas.microsoft.com/office/excel/2006/main">
          <x14:cfRule type="cellIs" priority="10" operator="equal" id="{9038EE65-60B6-4A6E-821A-1A89A7DA0B16}">
            <xm:f>Sheet1!$N$1</xm:f>
            <x14:dxf>
              <fill>
                <patternFill>
                  <bgColor rgb="FFFF0000"/>
                </patternFill>
              </fill>
            </x14:dxf>
          </x14:cfRule>
          <xm:sqref>J3:J201</xm:sqref>
        </x14:conditionalFormatting>
        <x14:conditionalFormatting xmlns:xm="http://schemas.microsoft.com/office/excel/2006/main">
          <x14:cfRule type="cellIs" priority="6" operator="equal" id="{98B487BC-8D98-49DA-A30F-07BCA78BC560}">
            <xm:f>Sheet1!$N$1</xm:f>
            <x14:dxf>
              <fill>
                <patternFill>
                  <bgColor rgb="FFFF0000"/>
                </patternFill>
              </fill>
            </x14:dxf>
          </x14:cfRule>
          <xm:sqref>Q3:Q162</xm:sqref>
        </x14:conditionalFormatting>
        <x14:conditionalFormatting xmlns:xm="http://schemas.microsoft.com/office/excel/2006/main">
          <x14:cfRule type="cellIs" priority="3" operator="equal" id="{2FCD01DD-D944-4B5F-B960-029AE102C144}">
            <xm:f>Sheet1!$N$1</xm:f>
            <x14:dxf>
              <fill>
                <patternFill>
                  <bgColor rgb="FFFF0000"/>
                </patternFill>
              </fill>
            </x14:dxf>
          </x14:cfRule>
          <xm:sqref>T3:T144</xm:sqref>
        </x14:conditionalFormatting>
        <x14:conditionalFormatting xmlns:xm="http://schemas.microsoft.com/office/excel/2006/main">
          <x14:cfRule type="cellIs" priority="1" operator="equal" id="{9B45E828-3D71-4B69-8F7A-39ECE167AF01}">
            <xm:f>Sheet1!$N$1</xm:f>
            <x14:dxf>
              <fill>
                <patternFill>
                  <bgColor rgb="FFFF0000"/>
                </patternFill>
              </fill>
            </x14:dxf>
          </x14:cfRule>
          <xm:sqref>N3:N182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DT1834"/>
  <sheetViews>
    <sheetView workbookViewId="0">
      <selection activeCell="X3" sqref="X3"/>
    </sheetView>
  </sheetViews>
  <sheetFormatPr defaultRowHeight="15" x14ac:dyDescent="0.25"/>
  <cols>
    <col min="1" max="1" width="10.7109375" bestFit="1" customWidth="1"/>
    <col min="4" max="4" width="10.5703125" bestFit="1" customWidth="1"/>
    <col min="9" max="9" width="13.7109375" customWidth="1"/>
    <col min="11" max="11" width="16.140625" customWidth="1"/>
    <col min="12" max="12" width="9.140625" style="17"/>
    <col min="13" max="13" width="13.42578125" customWidth="1"/>
    <col min="15" max="15" width="17.140625" customWidth="1"/>
    <col min="16" max="16" width="10.42578125" bestFit="1" customWidth="1"/>
    <col min="17" max="17" width="11.85546875" customWidth="1"/>
    <col min="18" max="18" width="10.42578125" bestFit="1" customWidth="1"/>
    <col min="19" max="19" width="10.85546875" customWidth="1"/>
    <col min="20" max="20" width="10.42578125" bestFit="1" customWidth="1"/>
    <col min="21" max="21" width="10.28515625" customWidth="1"/>
    <col min="22" max="22" width="11.140625" customWidth="1"/>
    <col min="23" max="23" width="10.28515625" customWidth="1"/>
    <col min="24" max="27" width="10.42578125" bestFit="1" customWidth="1"/>
    <col min="28" max="28" width="17.7109375" bestFit="1" customWidth="1"/>
    <col min="29" max="29" width="10.42578125" bestFit="1" customWidth="1"/>
    <col min="30" max="30" width="13.140625" bestFit="1" customWidth="1"/>
    <col min="31" max="31" width="9.42578125" bestFit="1" customWidth="1"/>
    <col min="35" max="35" width="10.140625" customWidth="1"/>
    <col min="36" max="36" width="11.140625" customWidth="1"/>
    <col min="37" max="38" width="12.28515625" customWidth="1"/>
    <col min="39" max="42" width="11.140625" customWidth="1"/>
    <col min="43" max="45" width="14.140625" bestFit="1" customWidth="1"/>
    <col min="52" max="52" width="9" customWidth="1"/>
    <col min="54" max="54" width="12.28515625" bestFit="1" customWidth="1"/>
    <col min="55" max="55" width="12" bestFit="1" customWidth="1"/>
    <col min="57" max="57" width="15" bestFit="1" customWidth="1"/>
    <col min="60" max="60" width="10.5703125" bestFit="1" customWidth="1"/>
    <col min="61" max="61" width="9.5703125" bestFit="1" customWidth="1"/>
    <col min="64" max="65" width="9.140625" style="78"/>
    <col min="66" max="68" width="9.140625" style="17"/>
    <col min="75" max="75" width="12" customWidth="1"/>
    <col min="77" max="77" width="9.140625" style="17"/>
    <col min="105" max="106" width="12" bestFit="1" customWidth="1"/>
    <col min="115" max="115" width="13.28515625" bestFit="1" customWidth="1"/>
    <col min="124" max="124" width="10.85546875" customWidth="1"/>
  </cols>
  <sheetData>
    <row r="1" spans="1:124" x14ac:dyDescent="0.25">
      <c r="I1" s="11">
        <f ca="1">GetNYTime()+NOW()*0</f>
        <v>46044.724444444444</v>
      </c>
      <c r="J1" s="10">
        <v>0.66666666666666663</v>
      </c>
      <c r="M1" s="9" t="str">
        <f>'Main Sheet'!A1</f>
        <v>SPX</v>
      </c>
      <c r="N1" s="2">
        <f>IF(M1="NDX",MROUND(A4,10),MROUND(A4,5))</f>
        <v>6915</v>
      </c>
      <c r="O1" s="1">
        <v>46045</v>
      </c>
      <c r="P1" s="1"/>
      <c r="Q1" s="1"/>
      <c r="R1" s="1"/>
      <c r="S1" s="1"/>
      <c r="T1" s="1"/>
      <c r="U1" s="1"/>
      <c r="V1" s="1"/>
      <c r="W1" s="1" t="s">
        <v>85</v>
      </c>
      <c r="X1" s="1" cm="1">
        <f t="array" ref="X1">_xlfn.IFS(
    'Main Sheet'!$E$1="Daily",   X3,
    'Main Sheet'!$E$1="Weekly",  X4,
    'Main Sheet'!$E$1="Monthly", X5
)</f>
        <v>46045</v>
      </c>
      <c r="Y1" s="1" cm="1">
        <f t="array" ref="Y1">_xlfn.IFS(
    'Main Sheet'!$E$1="Daily",   Y3,
    'Main Sheet'!$E$1="Weekly",  Y4,
    'Main Sheet'!$E$1="Monthly", Y5
)</f>
        <v>46048</v>
      </c>
      <c r="Z1" s="1" cm="1">
        <f t="array" ref="Z1">_xlfn.IFS(
    'Main Sheet'!$E$1="Daily",   Z3,
    'Main Sheet'!$E$1="Weekly",  Z4,
    'Main Sheet'!$E$1="Monthly", Z5
)</f>
        <v>46049</v>
      </c>
      <c r="AA1" s="1" cm="1">
        <f t="array" ref="AA1">_xlfn.IFS(
    'Main Sheet'!$E$1="Daily",   AA3,
    'Main Sheet'!$E$1="Weekly",  AA4,
    'Main Sheet'!$E$1="Monthly", AA5
)</f>
        <v>46050</v>
      </c>
      <c r="AB1" s="1" cm="1">
        <f t="array" ref="AB1">_xlfn.IFS(
    'Main Sheet'!$E$1="Daily",   AB3,
    'Main Sheet'!$E$1="Weekly",  AB4,
    'Main Sheet'!$E$1="Monthly", AB5
)</f>
        <v>46051</v>
      </c>
      <c r="AC1" s="1" cm="1">
        <f t="array" ref="AC1">_xlfn.IFS(
    'Main Sheet'!$E$1="Daily",   AC3,
    'Main Sheet'!$E$1="Weekly",  AC4,
    'Main Sheet'!$E$1="Monthly", AC5
)</f>
        <v>46052</v>
      </c>
      <c r="AD1" s="1" cm="1">
        <f t="array" ref="AD1">_xlfn.IFS(
    'Main Sheet'!$E$1="Daily",   AD3,
    'Main Sheet'!$E$1="Weekly",  AD4,
    'Main Sheet'!$E$1="Monthly", AD5
)</f>
        <v>46055</v>
      </c>
      <c r="AE1" s="1" cm="1">
        <f t="array" ref="AE1">_xlfn.IFS(
    'Main Sheet'!$E$1="Daily",   AE3,
    'Main Sheet'!$E$1="Weekly",  AE4,
    'Main Sheet'!$E$1="Monthly", AE5
)</f>
        <v>46056</v>
      </c>
      <c r="AF1" s="1" t="s">
        <v>85</v>
      </c>
    </row>
    <row r="2" spans="1:124" ht="16.5" customHeight="1" x14ac:dyDescent="0.25">
      <c r="A2" t="e">
        <v>#N/A</v>
      </c>
      <c r="I2" s="1">
        <f ca="1">GetNYDate()</f>
        <v>46044</v>
      </c>
      <c r="O2" t="str">
        <f>TEXT(O1,"yymmdd")</f>
        <v>260123</v>
      </c>
      <c r="P2" t="str">
        <f>TEXT(P1,"yymmdd")</f>
        <v>000100</v>
      </c>
      <c r="Q2" t="str">
        <f t="shared" ref="Q2:V2" si="0">TEXT(Q1,"yymmdd")</f>
        <v>000100</v>
      </c>
      <c r="R2" t="str">
        <f t="shared" si="0"/>
        <v>000100</v>
      </c>
      <c r="S2" t="str">
        <f t="shared" si="0"/>
        <v>000100</v>
      </c>
      <c r="T2" t="str">
        <f t="shared" si="0"/>
        <v>000100</v>
      </c>
      <c r="U2" t="str">
        <f t="shared" si="0"/>
        <v>000100</v>
      </c>
      <c r="V2" t="str">
        <f t="shared" si="0"/>
        <v>000100</v>
      </c>
      <c r="AA2" s="1"/>
    </row>
    <row r="3" spans="1:124" x14ac:dyDescent="0.25">
      <c r="A3" t="s">
        <v>0</v>
      </c>
      <c r="I3" s="1"/>
      <c r="M3" s="1"/>
      <c r="N3" s="1"/>
      <c r="O3">
        <f ca="1">((O1+$J$1)-$I$1)/365</f>
        <v>2.5814307458086375E-3</v>
      </c>
      <c r="P3" s="14">
        <f t="shared" ref="P3:V3" ca="1" si="1">((P1+$J$1)-$I$1)/365</f>
        <v>-126.14810350076104</v>
      </c>
      <c r="Q3">
        <f t="shared" ca="1" si="1"/>
        <v>-126.14810350076104</v>
      </c>
      <c r="R3">
        <f t="shared" ca="1" si="1"/>
        <v>-126.14810350076104</v>
      </c>
      <c r="S3">
        <f t="shared" ca="1" si="1"/>
        <v>-126.14810350076104</v>
      </c>
      <c r="T3">
        <f ca="1">((T1+$J$1)-$I$1)/365</f>
        <v>-126.14810350076104</v>
      </c>
      <c r="U3">
        <f t="shared" ca="1" si="1"/>
        <v>-126.14810350076104</v>
      </c>
      <c r="V3">
        <f t="shared" ca="1" si="1"/>
        <v>-126.14810350076104</v>
      </c>
      <c r="X3" s="1" cm="1">
        <f t="array" ref="X3">GetTradeDateNY("Daily",0)</f>
        <v>46045</v>
      </c>
      <c r="Y3" s="1" cm="1">
        <f t="array" ref="Y3">GetTradeDateNY("Daily",1)</f>
        <v>46048</v>
      </c>
      <c r="Z3" s="1" cm="1">
        <f t="array" ref="Z3">GetTradeDateNY("Daily",2)</f>
        <v>46049</v>
      </c>
      <c r="AA3" s="1" cm="1">
        <f t="array" ref="AA3">GetTradeDateNY("Daily",3)</f>
        <v>46050</v>
      </c>
      <c r="AB3" s="1" cm="1">
        <f t="array" ref="AB3">GetTradeDateNY("Daily",4)</f>
        <v>46051</v>
      </c>
      <c r="AC3" s="1" cm="1">
        <f t="array" ref="AC3">GetTradeDateNY("Daily",5)</f>
        <v>46052</v>
      </c>
      <c r="AD3" s="1" cm="1">
        <f t="array" ref="AD3">GetTradeDateNY("Daily",6)</f>
        <v>46055</v>
      </c>
      <c r="AE3" s="1" cm="1">
        <f t="array" ref="AE3">GetTradeDateNY("Daily",7)</f>
        <v>46056</v>
      </c>
      <c r="AF3" s="1" t="s">
        <v>85</v>
      </c>
    </row>
    <row r="4" spans="1:124" x14ac:dyDescent="0.25">
      <c r="A4">
        <f>RTD("tos.rtd", , "LAST", M1)</f>
        <v>6913.35</v>
      </c>
      <c r="O4" s="12">
        <f ca="1">((O5-$I$1)/365)</f>
        <v>2.5814307458086375E-3</v>
      </c>
      <c r="P4" s="12">
        <f ca="1">((P5-$I$1)/365)</f>
        <v>-126.14810350076104</v>
      </c>
      <c r="Q4" s="12">
        <f t="shared" ref="Q4:V4" ca="1" si="2">((Q5-$I$1)/365)</f>
        <v>-126.14810350076104</v>
      </c>
      <c r="R4" s="12">
        <f t="shared" ca="1" si="2"/>
        <v>-126.14810350076104</v>
      </c>
      <c r="S4" s="12">
        <f t="shared" ca="1" si="2"/>
        <v>-126.14810350076104</v>
      </c>
      <c r="T4" s="12">
        <f t="shared" ca="1" si="2"/>
        <v>-126.14810350076104</v>
      </c>
      <c r="U4" s="12">
        <f t="shared" ca="1" si="2"/>
        <v>-126.14810350076104</v>
      </c>
      <c r="V4" s="12">
        <f t="shared" ca="1" si="2"/>
        <v>-126.14810350076104</v>
      </c>
      <c r="W4" s="12"/>
      <c r="X4" s="1" cm="1">
        <f t="array" ref="X4">GetTradeDateNY("Weekly",0)</f>
        <v>46045.716354166667</v>
      </c>
      <c r="Y4" s="1" cm="1">
        <f t="array" ref="Y4">GetTradeDateNY("Weekly",1)</f>
        <v>46052.716354166667</v>
      </c>
      <c r="Z4" s="1" cm="1">
        <f t="array" ref="Z4">GetTradeDateNY("Weekly",2)</f>
        <v>46059.716354166667</v>
      </c>
      <c r="AA4" s="1" cm="1">
        <f t="array" ref="AA4">GetTradeDateNY("Weekly",3)</f>
        <v>46066.716354166667</v>
      </c>
      <c r="AB4" s="1" cm="1">
        <f t="array" ref="AB4">GetTradeDateNY("Weekly",4)</f>
        <v>46073.716354166667</v>
      </c>
      <c r="AC4" s="1" cm="1">
        <f t="array" ref="AC4">GetTradeDateNY("Weekly",5)</f>
        <v>46080.716354166667</v>
      </c>
      <c r="AD4" s="1" cm="1">
        <f t="array" ref="AD4">GetTradeDateNY("Weekly",6)</f>
        <v>46101</v>
      </c>
      <c r="AE4" s="1" cm="1">
        <f t="array" ref="AE4">GetTradeDateNY("Weekly",7)</f>
        <v>46129</v>
      </c>
      <c r="AF4" s="1" t="s">
        <v>85</v>
      </c>
      <c r="AG4" s="9"/>
      <c r="AH4" s="9"/>
      <c r="AI4" s="9"/>
      <c r="AJ4" s="9"/>
    </row>
    <row r="5" spans="1:124" x14ac:dyDescent="0.25">
      <c r="O5" s="11">
        <f>O1+$J$1</f>
        <v>46045.666666666664</v>
      </c>
      <c r="P5" s="11">
        <f t="shared" ref="P5:V5" si="3">P1+$J$1</f>
        <v>0.66666666666666663</v>
      </c>
      <c r="Q5" s="11">
        <f t="shared" si="3"/>
        <v>0.66666666666666663</v>
      </c>
      <c r="R5" s="11">
        <f t="shared" si="3"/>
        <v>0.66666666666666663</v>
      </c>
      <c r="S5" s="11">
        <f t="shared" si="3"/>
        <v>0.66666666666666663</v>
      </c>
      <c r="T5" s="11">
        <f t="shared" si="3"/>
        <v>0.66666666666666663</v>
      </c>
      <c r="U5" s="11">
        <f t="shared" si="3"/>
        <v>0.66666666666666663</v>
      </c>
      <c r="V5" s="11">
        <f t="shared" si="3"/>
        <v>0.66666666666666663</v>
      </c>
      <c r="W5" s="11"/>
      <c r="X5" s="1" cm="1">
        <f t="array" ref="X5">GetTradeDateNY("Monthly",0)</f>
        <v>46073</v>
      </c>
      <c r="Y5" s="1" cm="1">
        <f t="array" ref="Y5">GetTradeDateNY("Monthly",1)</f>
        <v>46101</v>
      </c>
      <c r="Z5" s="1" cm="1">
        <f t="array" ref="Z5">GetTradeDateNY("Monthly",2)</f>
        <v>46129</v>
      </c>
      <c r="AA5" s="1" cm="1">
        <f t="array" ref="AA5">GetTradeDateNY("Monthly",3)</f>
        <v>46157</v>
      </c>
      <c r="AB5" s="1" cm="1">
        <f t="array" ref="AB5">GetTradeDateNY("Monthly",4)</f>
        <v>46192</v>
      </c>
      <c r="AC5" s="1" cm="1">
        <f t="array" ref="AC5">GetTradeDateNY("Monthly",5)</f>
        <v>46220</v>
      </c>
      <c r="AD5" s="1" cm="1">
        <f t="array" ref="AD5">GetTradeDateNY("Monthly",6)</f>
        <v>46255</v>
      </c>
      <c r="AE5" s="1" cm="1">
        <f t="array" ref="AE5">GetTradeDateNY("Monthly",7)</f>
        <v>46283</v>
      </c>
      <c r="AF5" s="1" t="s">
        <v>85</v>
      </c>
      <c r="AG5" s="1"/>
      <c r="AH5" s="1"/>
      <c r="AI5" s="1"/>
      <c r="AJ5" s="1"/>
    </row>
    <row r="6" spans="1:124" x14ac:dyDescent="0.25">
      <c r="O6">
        <f>(_xlfn.DAYS($O1,$N$3))/365</f>
        <v>126.15068493150685</v>
      </c>
      <c r="P6">
        <f>(_xlfn.DAYS(P$1,$N$3))/365</f>
        <v>0</v>
      </c>
      <c r="Q6">
        <f>(_xlfn.DAYS($Q1,$N$3))/365</f>
        <v>0</v>
      </c>
      <c r="R6">
        <f>(_xlfn.DAYS($R1,$N$3))/365</f>
        <v>0</v>
      </c>
      <c r="S6">
        <f>(_xlfn.DAYS($S1,$N$3))/365</f>
        <v>0</v>
      </c>
      <c r="T6">
        <f>(_xlfn.DAYS($T1,$N$3))/365</f>
        <v>0</v>
      </c>
      <c r="U6">
        <f>(_xlfn.DAYS($U1,$N$3))/365</f>
        <v>0</v>
      </c>
      <c r="V6">
        <f>(_xlfn.DAYS($V1,$N$3))/365</f>
        <v>0</v>
      </c>
      <c r="Z6" t="s">
        <v>66</v>
      </c>
      <c r="AA6" s="18">
        <f ca="1">AVERAGE(L8,P8,L110,P110)*100</f>
        <v>12.357814841807276</v>
      </c>
    </row>
    <row r="8" spans="1:124" x14ac:dyDescent="0.25">
      <c r="A8" t="s">
        <v>9</v>
      </c>
      <c r="L8" s="17" cm="1">
        <f t="array" aca="1" ref="L8" ca="1">INDEX(Table1[IV Calc C],
       _xlfn.XMATCH(MIN(ABS(Table1[DeltaC] - 0.2)),
              ABS(Table1[DeltaC] - 0.2))
)</f>
        <v>0.10228850605065661</v>
      </c>
      <c r="P8" t="b" cm="1">
        <f t="array" ref="P8">INDEX(Table1[IV Calc P],
       _xlfn.XMATCH(MIN(ABS(Table1[DeltaP] - 0.2)),
              ABS(Table1[DeltaP] - 0.2))
)</f>
        <v>0</v>
      </c>
      <c r="AB8" s="144">
        <f ca="1">SUM(Table1[Net Gex])*$A$4*0.01</f>
        <v>4369148.7930069705</v>
      </c>
      <c r="AC8" s="144">
        <f ca="1">SUM(Table1[net delta adj])*$A$4*0.01</f>
        <v>-41067080.641561374</v>
      </c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>
        <f ca="1">SUM(Table1[net vanna])*$A$4*0.01</f>
        <v>144802401.15222198</v>
      </c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4"/>
      <c r="BD8" s="144"/>
      <c r="BE8" s="144">
        <f>SUM(Table1[Sgammanet])*$A$4*0.01</f>
        <v>-21917425898.331024</v>
      </c>
      <c r="BF8" s="144">
        <f>SUM(Table1[NetDEX])*$A$4*0.01</f>
        <v>224585924.23752579</v>
      </c>
      <c r="BG8" s="144"/>
      <c r="BH8" s="144"/>
      <c r="BI8" s="144"/>
      <c r="BJ8" s="144"/>
      <c r="BK8" s="144">
        <f ca="1">SUM(Table1[Charmnet])*$A$4*0.01</f>
        <v>-14191811542.230604</v>
      </c>
      <c r="BV8" t="s">
        <v>81</v>
      </c>
    </row>
    <row r="9" spans="1:124" s="61" customFormat="1" ht="45" x14ac:dyDescent="0.25">
      <c r="A9" s="61" t="s">
        <v>53</v>
      </c>
      <c r="B9" s="61" t="s">
        <v>12</v>
      </c>
      <c r="C9" s="61" t="s">
        <v>11</v>
      </c>
      <c r="D9" s="61" t="s">
        <v>2</v>
      </c>
      <c r="E9" s="61" t="s">
        <v>1</v>
      </c>
      <c r="F9" s="61" t="s">
        <v>29</v>
      </c>
      <c r="G9" s="61" t="s">
        <v>36</v>
      </c>
      <c r="H9" s="61" t="s">
        <v>43</v>
      </c>
      <c r="I9" s="61" t="s">
        <v>34</v>
      </c>
      <c r="J9" s="61" t="s">
        <v>33</v>
      </c>
      <c r="K9" s="61" t="s">
        <v>44</v>
      </c>
      <c r="L9" s="65" t="s">
        <v>77</v>
      </c>
      <c r="M9" s="61" t="s">
        <v>3</v>
      </c>
      <c r="N9" s="61" t="s">
        <v>4</v>
      </c>
      <c r="O9" s="61" t="s">
        <v>67</v>
      </c>
      <c r="P9" s="61" t="s">
        <v>42</v>
      </c>
      <c r="Q9" s="61" t="s">
        <v>35</v>
      </c>
      <c r="R9" s="61" t="s">
        <v>32</v>
      </c>
      <c r="S9" s="61" t="s">
        <v>26</v>
      </c>
      <c r="T9" s="61" t="s">
        <v>13</v>
      </c>
      <c r="U9" s="61" t="s">
        <v>14</v>
      </c>
      <c r="V9" s="61" t="s">
        <v>30</v>
      </c>
      <c r="W9" s="61" t="s">
        <v>39</v>
      </c>
      <c r="X9" s="61" t="s">
        <v>31</v>
      </c>
      <c r="Y9" s="61" t="s">
        <v>10</v>
      </c>
      <c r="Z9" s="61" t="s">
        <v>5</v>
      </c>
      <c r="AA9" s="61" t="s">
        <v>6</v>
      </c>
      <c r="AB9" s="61" t="s">
        <v>7</v>
      </c>
      <c r="AC9" s="61" t="s">
        <v>40</v>
      </c>
      <c r="AD9" s="61" t="s">
        <v>37</v>
      </c>
      <c r="AE9" s="61" t="s">
        <v>38</v>
      </c>
      <c r="AF9" s="61" t="s">
        <v>8</v>
      </c>
      <c r="AG9" s="61" t="s">
        <v>15</v>
      </c>
      <c r="AH9" s="61" t="s">
        <v>16</v>
      </c>
      <c r="AI9" s="61" t="s">
        <v>17</v>
      </c>
      <c r="AJ9" s="61" t="s">
        <v>18</v>
      </c>
      <c r="AK9" s="61" t="s">
        <v>19</v>
      </c>
      <c r="AL9" s="61" t="s">
        <v>20</v>
      </c>
      <c r="AM9" s="61" t="s">
        <v>21</v>
      </c>
      <c r="AN9" s="61" t="s">
        <v>22</v>
      </c>
      <c r="AO9" s="61" t="s">
        <v>23</v>
      </c>
      <c r="AP9" s="61" t="s">
        <v>24</v>
      </c>
      <c r="AQ9" s="61" t="s">
        <v>25</v>
      </c>
      <c r="AR9" s="61" t="s">
        <v>45</v>
      </c>
      <c r="AS9" s="61" t="s">
        <v>46</v>
      </c>
      <c r="AT9" s="61" t="s">
        <v>54</v>
      </c>
      <c r="AU9" s="61" t="s">
        <v>55</v>
      </c>
      <c r="AV9" s="61" t="s">
        <v>56</v>
      </c>
      <c r="AW9" s="61" t="s">
        <v>57</v>
      </c>
      <c r="AX9" s="61" t="s">
        <v>58</v>
      </c>
      <c r="AY9" s="61" t="s">
        <v>48</v>
      </c>
      <c r="AZ9" s="61" t="s">
        <v>49</v>
      </c>
      <c r="BA9" s="61" t="s">
        <v>50</v>
      </c>
      <c r="BB9" s="61" t="s">
        <v>51</v>
      </c>
      <c r="BC9" s="61" t="s">
        <v>52</v>
      </c>
      <c r="BD9" s="61" t="s">
        <v>59</v>
      </c>
      <c r="BE9" s="61" t="s">
        <v>62</v>
      </c>
      <c r="BF9" s="61" t="s">
        <v>73</v>
      </c>
      <c r="BG9" s="61" t="s">
        <v>68</v>
      </c>
      <c r="BH9" s="61" t="s">
        <v>69</v>
      </c>
      <c r="BI9" s="61" t="s">
        <v>74</v>
      </c>
      <c r="BJ9" s="61" t="s">
        <v>75</v>
      </c>
      <c r="BK9" s="61" t="s">
        <v>76</v>
      </c>
      <c r="BL9" s="89" t="s">
        <v>78</v>
      </c>
      <c r="BM9" s="89" t="s">
        <v>79</v>
      </c>
      <c r="BN9" s="65" t="s">
        <v>84</v>
      </c>
      <c r="BO9" s="65"/>
      <c r="BP9" s="61" t="s">
        <v>80</v>
      </c>
      <c r="BV9" t="s">
        <v>63</v>
      </c>
      <c r="BW9" t="s">
        <v>64</v>
      </c>
      <c r="BX9" t="s">
        <v>65</v>
      </c>
      <c r="BY9" s="65" t="s">
        <v>66</v>
      </c>
      <c r="BZ9" s="61" t="s">
        <v>83</v>
      </c>
      <c r="CA9" s="61" t="s">
        <v>86</v>
      </c>
      <c r="CB9" s="61" t="s">
        <v>87</v>
      </c>
    </row>
    <row r="10" spans="1:124" x14ac:dyDescent="0.25">
      <c r="A10">
        <f t="shared" ref="A10:A73" ca="1" si="4">$O$3</f>
        <v>2.5814307458086375E-3</v>
      </c>
      <c r="C10" s="17"/>
      <c r="D10">
        <f>IF(
    ISNUMBER(Table1[[#This Row],[Strike]]),RTD("tos.rtd", , "OPEN_INT", "."&amp;Table1[[#This Row],[Ticker]]&amp;Table1[[#This Row],[Expiry]]&amp;""&amp;"C"&amp;Table1[[#This Row],[Strike]]))</f>
        <v>163</v>
      </c>
      <c r="E1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36</v>
      </c>
      <c r="G10">
        <f>IF(
    ISNUMBER(Table1[[#This Row],[Strike]]),RTD("tos.rtd", , "DELTA", "."&amp;Table1[[#This Row],[Ticker]]&amp;Table1[[#This Row],[Expiry]]&amp;""&amp;"C"&amp;Table1[[#This Row],[Strike]]))</f>
        <v>1</v>
      </c>
      <c r="H10" s="17" cm="1">
        <f t="array" aca="1" ref="H10" ca="1">IF(
    ISNUMBER(Table1[[#This Row],[Strike]]),IndividualLegIVCore($A$4, Table1[[#This Row],[Strike]], 0.0411, Table1[[#This Row],[T]], ((Table1[[#This Row],[BIDC]]+Table1[[#This Row],[ASKC]])/2), TRUE))</f>
        <v>0.01</v>
      </c>
      <c r="I10">
        <f>IF(
    ISNUMBER(Table1[[#This Row],[Strike]]),RTD("tos.rtd", , "BID", "."&amp;Table1[[#This Row],[Ticker]]&amp;Table1[[#This Row],[Expiry]]&amp;""&amp;"C"&amp;Table1[[#This Row],[Strike]]))</f>
        <v>93.5</v>
      </c>
      <c r="J10">
        <f>IF(
    ISNUMBER(Table1[[#This Row],[Strike]]),RTD("tos.rtd", , "ASK", "."&amp;Table1[[#This Row],[Ticker]]&amp;Table1[[#This Row],[Expiry]]&amp;""&amp;"C"&amp;Table1[[#This Row],[Strike]]))</f>
        <v>98.1</v>
      </c>
      <c r="K1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0.18400688547353167</v>
      </c>
      <c r="L10" s="17" cm="1">
        <f t="array" aca="1" ref="L10" ca="1">CubicSplineIVSmile($A$4, Table1[[#This Row],[Strike]], 0.0411, Table1[[#This Row],[T]], (Table1[[#This Row],[BIDC]]+Table1[[#This Row],[ASKC]])/2, (Table1[[#This Row],[BIDP]]+Table1[[#This Row],[ASKP]])/2, Table1[Strike], Table1[IV Calc AVG])</f>
        <v>0.18400688547353167</v>
      </c>
      <c r="M10" s="1">
        <f t="shared" ref="M10:M73" si="5">$O$1</f>
        <v>46045</v>
      </c>
      <c r="N10">
        <f t="shared" ref="N10:N73" si="6">IF(ISNUMBER($BP10), $BP10, FALSE)</f>
        <v>6815</v>
      </c>
      <c r="P10" s="17" cm="1">
        <f t="array" aca="1" ref="P10" ca="1">IF(
    ISNUMBER(Table1[[#This Row],[Strike]]),IndividualLegIVCore($A$4, Table1[[#This Row],[Strike]], 0.0411, Table1[[#This Row],[T]], ((Table1[[#This Row],[BIDP]]+Table1[[#This Row],[ASKP]])/2), FALSE))</f>
        <v>0.18400688547353167</v>
      </c>
      <c r="Q10">
        <f>IF(
    ISNUMBER(Table1[[#This Row],[Strike]]),RTD("tos.rtd", , "BID", "."&amp;Table1[[#This Row],[Ticker]]&amp;Table1[[#This Row],[Expiry]]&amp;""&amp;"P"&amp;Table1[[#This Row],[Strike]]))</f>
        <v>1.6</v>
      </c>
      <c r="R10">
        <f>IF(
    ISNUMBER(Table1[[#This Row],[Strike]]),RTD("tos.rtd", , "ASK", "."&amp;Table1[[#This Row],[Ticker]]&amp;Table1[[#This Row],[Expiry]]&amp;""&amp;"P"&amp;Table1[[#This Row],[Strike]]))</f>
        <v>1.8</v>
      </c>
      <c r="S10" s="17"/>
      <c r="T10">
        <f>IF(
    ISNUMBER(Table1[[#This Row],[Strike]]),RTD("tos.rtd", , "OPEN_INT", "."&amp;Table1[[#This Row],[Ticker]]&amp;Table1[[#This Row],[Expiry]]&amp;""&amp;"P"&amp;Table1[[#This Row],[Strike]]))</f>
        <v>751</v>
      </c>
      <c r="U1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3178</v>
      </c>
      <c r="W10">
        <f>IF(
    ISNUMBER(Table1[[#This Row],[Strike]]),RTD("tos.rtd", , "DELTA", "."&amp;Table1[[#This Row],[Ticker]]&amp;Table1[[#This Row],[Expiry]]&amp;""&amp;"P"&amp;Table1[[#This Row],[Strike]]))</f>
        <v>-0.06</v>
      </c>
      <c r="Y10" s="19">
        <f>-50 * IF($M$1="NDX", 10, IF(OR($M$1="SPX", $M$1="RUT"), 2, 1))</f>
        <v>-100</v>
      </c>
      <c r="Z10">
        <f ca="1">IFERROR(Table1[[#This Row],[call gamma]]*(Table1[[#This Row],[Open.Int]])*$A$4^2,0)</f>
        <v>1.0969272850885137E-195</v>
      </c>
      <c r="AA10">
        <f ca="1">IFERROR(((Table1[[#This Row],[Open.Int8]])*Table1[[#This Row],[Put gamma]])*-1*$A$4^2,0)</f>
        <v>-21515.316642003454</v>
      </c>
      <c r="AB10">
        <f ca="1">(Table1[[#This Row],[Call Gex]]+Table1[[#This Row],[Put Gex]])</f>
        <v>-21515.316642003454</v>
      </c>
      <c r="AC10">
        <f ca="1">Table1[[#This Row],[call delta adj]]+Table1[[#This Row],[put delta adj]]</f>
        <v>-1290.9189985202072</v>
      </c>
      <c r="AD10">
        <f ca="1">Table1[[#This Row],[Put Gex]]*Table1[[#This Row],[DeltaP]]*-1</f>
        <v>-1290.9189985202072</v>
      </c>
      <c r="AE10">
        <f ca="1">Table1[[#This Row],[Call Gex]]*Table1[[#This Row],[DeltaC]]</f>
        <v>1.0969272850885137E-195</v>
      </c>
      <c r="AF10">
        <f>IF(Table1[[#This Row],[DeltaC]]-ABS(Table1[[#This Row],[DeltaP]])="0","0.01",Table1[[#This Row],[DeltaC]]-ABS(Table1[[#This Row],[DeltaP]]))</f>
        <v>0.94</v>
      </c>
      <c r="AG10">
        <f ca="1">((LN($A$4/Table1[[#This Row],[Strike]]) + (0.411 + 0.5 * Table1[[#This Row],[IV Calc P]]^2) *Table1[[#This Row],[T]])) / (Table1[[#This Row],[IV Calc P]] * SQRT(Table1[[#This Row],[T]]))</f>
        <v>1.6507604681900787</v>
      </c>
      <c r="AH10">
        <f ca="1">(LN($A$4/Table1[[#This Row],[Strike]]) + (0.411-0 + 0.5 * Table1[[#This Row],[IV Calc C]]^2) *Table1[[#This Row],[T]]) / (Table1[[#This Row],[IV Calc C]] * SQRT(Table1[[#This Row],[T]]))</f>
        <v>30.289369429327163</v>
      </c>
      <c r="AI10">
        <f ca="1">(EXP(-(AG10^2)/2)/SQRT(2*PI())*EXP(0*SQRT(Table1[[#This Row],[T]]))/$A$4*18%*SQRT(SQRT(Table1[[#This Row],[T]])))</f>
        <v>5.9941929194282319E-7</v>
      </c>
      <c r="AJ10">
        <f ca="1">(EXP(-(AH10^2)/2)/SQRT(2*PI())*EXP(0*SQRT(Table1[[#This Row],[T]]))/$A$4*18%*SQRT(SQRT(Table1[[#This Row],[T]])))</f>
        <v>1.4080340140656298E-205</v>
      </c>
      <c r="AK10">
        <f ca="1">Table1[[#This Row],[Call D1]]-Table1[[#This Row],[IV Calc C]]*SQRT(Table1[[#This Row],[T]])</f>
        <v>30.288861351503812</v>
      </c>
      <c r="AL10">
        <f ca="1">Table1[[#This Row],[Put D1]]-Table1[[#This Row],[IV Calc P]]*SQRT(Table1[[#This Row],[T]])</f>
        <v>1.641411486404784</v>
      </c>
      <c r="AM10">
        <f ca="1">EXP(-0.5*Table1[[#This Row],[Call D1]]^2)/SQRT(2*PI())</f>
        <v>2.3991868140865909E-200</v>
      </c>
      <c r="AN10">
        <f ca="1">EXP(-0.5*Table1[[#This Row],[Put D1]]^2)/SQRT(2*PI())</f>
        <v>0.1021366562861535</v>
      </c>
      <c r="AO10">
        <f ca="1">IFERROR((EXP(0*Table1[[#This Row],[T]])*Table1[[#This Row],[call N(d1)]]*(Table1[[#This Row],[call d2]]/Table1[[#This Row],[IV Calc C]]))*Table1[[#This Row],[Open.Int]]*Table1[[#This Row],[DeltaC]],0)</f>
        <v>1.1844987793220659E-194</v>
      </c>
      <c r="AP10">
        <f ca="1">IFERROR((EXP(0*Table1[[#This Row],[T]])*Table1[[#This Row],[put N(d1)]]*(Table1[[#This Row],[put d2]]/Table1[[#This Row],[IV Calc P]]))*Table1[[#This Row],[Open.Int8]]*Table1[[#This Row],[DeltaP]]*-1,0)</f>
        <v>41.054069873018072</v>
      </c>
      <c r="AQ10" s="77">
        <f ca="1">((Table1[[#This Row],[call vanna]]+Table1[[#This Row],[put vanna]])*$A$4)</f>
        <v>283821.15395662951</v>
      </c>
      <c r="AR1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1.0969272850885137E-195</v>
      </c>
      <c r="AS1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-21515.316642003454</v>
      </c>
      <c r="AT10" s="9" t="str" cm="1">
        <f t="array" ref="AT10">_xlfn.IFS(     $M$1="SPX","SPXW",     $M$1="RUT","RUTW",  $M$1="NDX","NDXP",   TRUE,$M$1 )</f>
        <v>SPXW</v>
      </c>
      <c r="AU10" s="2">
        <f t="shared" ref="AU10:AU73" si="7">$N$1</f>
        <v>6915</v>
      </c>
      <c r="AV10" t="str">
        <f t="shared" ref="AV10:AV73" si="8">$O$2</f>
        <v>260123</v>
      </c>
      <c r="AW10" s="19">
        <f ca="1">IFERROR((EXP(0*Table1[[#This Row],[T]])*Table1[[#This Row],[put N(d1)]]*(Table1[[#This Row],[put d2]]/Table1[[#This Row],[IV Calc P]]))*Table1[[#This Row],[Open.Int8]]*Table1[[#This Row],[DeltaP]]*-1,0)</f>
        <v>41.054069873018072</v>
      </c>
      <c r="AX10">
        <f ca="1">IFERROR((EXP(0*Table1[[#This Row],[T]])*Table1[[#This Row],[call N(d1)]]*(Table1[[#This Row],[call d2]]/Table1[[#This Row],[IV Calc C]]))*Table1[[#This Row],[Open.Int]]*Table1[[#This Row],[DeltaC]],0)</f>
        <v>1.1844987793220659E-194</v>
      </c>
      <c r="AY10">
        <f>IF(
    ISNUMBER(Table1[[#This Row],[Strike]]),RTD("tos.rtd", , "high", "."&amp;Table1[[#This Row],[Ticker]]&amp;Table1[[#This Row],[Expiry]]&amp;""&amp;"C"&amp;Table1[[#This Row],[Spot]]+Table1[[#This Row],[step]]))</f>
        <v>118.3</v>
      </c>
      <c r="AZ10">
        <f>IF(
    ISNUMBER(Table1[[#This Row],[Strike]]),RTD("tos.rtd", , "low", "."&amp;Table1[[#This Row],[Ticker]]&amp;Table1[[#This Row],[Expiry]]&amp;""&amp;"C"&amp;Table1[[#This Row],[Spot]]+Table1[[#This Row],[step]]))</f>
        <v>93.95</v>
      </c>
      <c r="BA10">
        <f>IF(
    ISNUMBER(Table1[[#This Row],[Strike]]),RTD("tos.rtd", , "high", "."&amp;Table1[[#This Row],[Ticker]]&amp;Table1[[#This Row],[Expiry]]&amp;""&amp;"P"&amp;Table1[[#This Row],[Spot]]+Table1[[#This Row],[step]]))</f>
        <v>5.6</v>
      </c>
      <c r="BB10">
        <f>IF(
    ISNUMBER(Table1[[#This Row],[Strike]]),RTD("tos.rtd", , "low", "."&amp;Table1[[#This Row],[Ticker]]&amp;Table1[[#This Row],[Expiry]]&amp;""&amp;"P"&amp;Table1[[#This Row],[Spot]]+Table1[[#This Row],[step]]))</f>
        <v>0.95</v>
      </c>
      <c r="BC10">
        <f>((Table1[[#This Row],[High C]]+Table1[[#This Row],[Low C]])/2)*Table1[[#This Row],[gammac]]*Table1[[#This Row],[Volume]]</f>
        <v>0</v>
      </c>
      <c r="BD10">
        <f>((Table1[[#This Row],[High P]]+Table1[[#This Row],[Low P]])/2)*Table1[[#This Row],[gammap]]*Table1[[#This Row],[Volume9]]*-1</f>
        <v>0</v>
      </c>
      <c r="BE10">
        <f>(Table1[[#This Row],[SgammaC]]+Table1[[#This Row],[SgammaP]])*$A$4*-100</f>
        <v>0</v>
      </c>
      <c r="BF10" s="78">
        <f>Table1[[#This Row],[DEXc]]+Table1[[#This Row],[DEXp]]</f>
        <v>815360.49900000007</v>
      </c>
      <c r="BG10" s="78">
        <f>IFERROR(Table1[[#This Row],[DeltaC]]*Table1[[#This Row],[Open.Int]]*$A$4,0)</f>
        <v>1126876.05</v>
      </c>
      <c r="BH10">
        <f>IFERROR(Table1[[#This Row],[DeltaP]]*Table1[[#This Row],[Open.Int8]]*$A$4,0)</f>
        <v>-311515.55099999998</v>
      </c>
      <c r="BI10" s="6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4.8466308022331945E-170</v>
      </c>
      <c r="BJ1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1025003.6532788581</v>
      </c>
      <c r="BK10">
        <f ca="1">Table1[[#This Row],[Charmc]]+Table1[[#This Row],[Charmp]]</f>
        <v>1025003.6532788581</v>
      </c>
      <c r="BL1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" s="78">
        <f ca="1">Table1[[#This Row],[call helper]]+Table1[[#This Row],[put helper]]</f>
        <v>-21515.316642003454</v>
      </c>
      <c r="BP10">
        <f>RTD("tos.rtd", , "STRIKE", "."&amp;Table1[[#This Row],[Ticker]]&amp;Table1[[#This Row],[Expiry]]&amp;""&amp;"C"&amp;Table1[[#This Row],[Spot]]+Table1[[#This Row],[step]])</f>
        <v>6815</v>
      </c>
      <c r="BQ10" cm="1">
        <f t="array" ref="BQ10:BQ50">_xlfn._xlws.FILTER(
    BP10:BP210,
    ISNUMBER(BP10:BP210)
)</f>
        <v>6815</v>
      </c>
      <c r="BV10" cm="1">
        <f t="array" aca="1" ref="BV10:CB50" ca="1">_xlfn.LET(
    _xlpm.useAlt, N1 &gt; 400,
    _xlpm.strikes, IF(_xlpm.useAlt, N10:N210,  N60:N160),
    _xlpm.calls,   IF(_xlpm.useAlt, AR10:AR210, AR60:AR160),
    _xlpm.puts,    IF(_xlpm.useAlt, AS10:AS210, AS60:AS160),
    _xlpm.IV,      IF(_xlpm.useAlt, L10:L210,   L60:L160),
    _xlpm.idx,     IF(_xlpm.useAlt, Y10:Y210,   Y60:Y160),
    _xlpm.vannaRaw, IF(_xlpm.useAlt, AQ10:AQ210, AQ60:AQ160),
    _xlpm.charmRaw, IF(_xlpm.useAlt, BK10:BK210, BK60:BK160),
    _xlpm.vanna, IFERROR(--_xlpm.vannaRaw, 0),
    _xlpm.charm, IFERROR(--_xlpm.charmRaw, 0),
    _xlpm.mask,
        ISNUMBER(_xlpm.strikes) *
        (_xlpm.calls &lt;&gt; "N/A") *
        (_xlpm.puts  &lt;&gt; "N/A") *
        ISNUMBER(_xlpm.idx),
    _xlpm.data,
        _xlfn._xlws.FILTER(
            _xlfn.HSTACK(_xlpm.strikes, _xlpm.calls, _xlpm.puts, _xlpm.IV, _xlpm.idx, _xlpm.vanna, _xlpm.charm),
            _xlpm.mask
        ),
    IFERROR(
        _xlfn.SORTBY(_xlpm.data, INDEX(_xlpm.data,,5), 1),
        _xlfn.HSTACK(0,0,0,0,0,0,0)
    )
)</f>
        <v>6815</v>
      </c>
      <c r="BW10" s="77">
        <f ca="1"/>
        <v>1.0969272850885137E-195</v>
      </c>
      <c r="BX10" s="77">
        <f ca="1"/>
        <v>-21515.316642003454</v>
      </c>
      <c r="BY10" s="17">
        <f ca="1"/>
        <v>0.18400688547353167</v>
      </c>
      <c r="BZ10">
        <f ca="1"/>
        <v>-100</v>
      </c>
      <c r="CA10">
        <f ca="1"/>
        <v>283821.15395662951</v>
      </c>
      <c r="CB10">
        <f ca="1"/>
        <v>1025003.6532788581</v>
      </c>
      <c r="DK10" s="77"/>
    </row>
    <row r="11" spans="1:124" x14ac:dyDescent="0.25">
      <c r="A11">
        <f t="shared" ca="1" si="4"/>
        <v>2.5814307458086375E-3</v>
      </c>
      <c r="C11" s="17"/>
      <c r="D11" t="b">
        <f>IF(
    ISNUMBER(Table1[[#This Row],[Strike]]),RTD("tos.rtd", , "OPEN_INT", "."&amp;Table1[[#This Row],[Ticker]]&amp;Table1[[#This Row],[Expiry]]&amp;""&amp;"C"&amp;Table1[[#This Row],[Strike]]))</f>
        <v>0</v>
      </c>
      <c r="E1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" t="b">
        <f>IF(
    ISNUMBER(Table1[[#This Row],[Strike]]),RTD("tos.rtd", , "DELTA", "."&amp;Table1[[#This Row],[Ticker]]&amp;Table1[[#This Row],[Expiry]]&amp;""&amp;"C"&amp;Table1[[#This Row],[Strike]]))</f>
        <v>0</v>
      </c>
      <c r="H11" s="17" t="b" cm="1">
        <f t="array" ref="H11">IF(
    ISNUMBER(Table1[[#This Row],[Strike]]),IndividualLegIVCore($A$4, Table1[[#This Row],[Strike]], 0.0411, Table1[[#This Row],[T]], ((Table1[[#This Row],[BIDC]]+Table1[[#This Row],[ASKC]])/2), TRUE))</f>
        <v>0</v>
      </c>
      <c r="I11" t="b">
        <f>IF(
    ISNUMBER(Table1[[#This Row],[Strike]]),RTD("tos.rtd", , "BID", "."&amp;Table1[[#This Row],[Ticker]]&amp;Table1[[#This Row],[Expiry]]&amp;""&amp;"C"&amp;Table1[[#This Row],[Strike]]))</f>
        <v>0</v>
      </c>
      <c r="J11" t="b">
        <f>IF(
    ISNUMBER(Table1[[#This Row],[Strike]]),RTD("tos.rtd", , "ASK", "."&amp;Table1[[#This Row],[Ticker]]&amp;Table1[[#This Row],[Expiry]]&amp;""&amp;"C"&amp;Table1[[#This Row],[Strike]]))</f>
        <v>0</v>
      </c>
      <c r="K1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" s="17" cm="1">
        <f t="array" aca="1" ref="L1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" s="1">
        <f t="shared" si="5"/>
        <v>46045</v>
      </c>
      <c r="N11" t="b">
        <f t="shared" si="6"/>
        <v>0</v>
      </c>
      <c r="P11" s="17" t="b" cm="1">
        <f t="array" ref="P11">IF(
    ISNUMBER(Table1[[#This Row],[Strike]]),IndividualLegIVCore($A$4, Table1[[#This Row],[Strike]], 0.0411, Table1[[#This Row],[T]], ((Table1[[#This Row],[BIDP]]+Table1[[#This Row],[ASKP]])/2), FALSE))</f>
        <v>0</v>
      </c>
      <c r="Q11" t="b">
        <f>IF(
    ISNUMBER(Table1[[#This Row],[Strike]]),RTD("tos.rtd", , "BID", "."&amp;Table1[[#This Row],[Ticker]]&amp;Table1[[#This Row],[Expiry]]&amp;""&amp;"P"&amp;Table1[[#This Row],[Strike]]))</f>
        <v>0</v>
      </c>
      <c r="R11" t="b">
        <f>IF(
    ISNUMBER(Table1[[#This Row],[Strike]]),RTD("tos.rtd", , "ASK", "."&amp;Table1[[#This Row],[Ticker]]&amp;Table1[[#This Row],[Expiry]]&amp;""&amp;"P"&amp;Table1[[#This Row],[Strike]]))</f>
        <v>0</v>
      </c>
      <c r="S11" s="17"/>
      <c r="T11" t="b">
        <f>IF(
    ISNUMBER(Table1[[#This Row],[Strike]]),RTD("tos.rtd", , "OPEN_INT", "."&amp;Table1[[#This Row],[Ticker]]&amp;Table1[[#This Row],[Expiry]]&amp;""&amp;"P"&amp;Table1[[#This Row],[Strike]]))</f>
        <v>0</v>
      </c>
      <c r="U1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" t="b">
        <f>IF(
    ISNUMBER(Table1[[#This Row],[Strike]]),RTD("tos.rtd", , "DELTA", "."&amp;Table1[[#This Row],[Ticker]]&amp;Table1[[#This Row],[Expiry]]&amp;""&amp;"P"&amp;Table1[[#This Row],[Strike]]))</f>
        <v>0</v>
      </c>
      <c r="Y11" s="19">
        <f>-49.5* IF($M$1="NDX", 10, IF(OR($M$1="SPX", $M$1="RUT"), 2, 1))</f>
        <v>-99</v>
      </c>
      <c r="Z11">
        <f ca="1">IFERROR(Table1[[#This Row],[call gamma]]*(Table1[[#This Row],[Open.Int]])*$A$4^2,0)</f>
        <v>0</v>
      </c>
      <c r="AA11">
        <f ca="1">IFERROR(((Table1[[#This Row],[Open.Int8]])*Table1[[#This Row],[Put gamma]])*-1*$A$4^2,0)</f>
        <v>0</v>
      </c>
      <c r="AB11">
        <f ca="1">(Table1[[#This Row],[Call Gex]]+Table1[[#This Row],[Put Gex]])</f>
        <v>0</v>
      </c>
      <c r="AC11">
        <f ca="1">Table1[[#This Row],[call delta adj]]+Table1[[#This Row],[put delta adj]]</f>
        <v>0</v>
      </c>
      <c r="AD11">
        <f ca="1">Table1[[#This Row],[Put Gex]]*Table1[[#This Row],[DeltaP]]*-1</f>
        <v>0</v>
      </c>
      <c r="AE11">
        <f ca="1">Table1[[#This Row],[Call Gex]]*Table1[[#This Row],[DeltaC]]</f>
        <v>0</v>
      </c>
      <c r="AF11">
        <f>IF(Table1[[#This Row],[DeltaC]]-ABS(Table1[[#This Row],[DeltaP]])="0","0.01",Table1[[#This Row],[DeltaC]]-ABS(Table1[[#This Row],[DeltaP]]))</f>
        <v>0</v>
      </c>
      <c r="AG11" t="e">
        <f ca="1">((LN($A$4/Table1[[#This Row],[Strike]]) + (0.411 + 0.5 * Table1[[#This Row],[IV Calc P]]^2) *Table1[[#This Row],[T]])) / (Table1[[#This Row],[IV Calc P]] * SQRT(Table1[[#This Row],[T]]))</f>
        <v>#DIV/0!</v>
      </c>
      <c r="AH11" t="e">
        <f ca="1">(LN($A$4/Table1[[#This Row],[Strike]]) + (0.411-0 + 0.5 * Table1[[#This Row],[IV Calc C]]^2) *Table1[[#This Row],[T]]) / (Table1[[#This Row],[IV Calc C]] * SQRT(Table1[[#This Row],[T]]))</f>
        <v>#DIV/0!</v>
      </c>
      <c r="AI11" t="e">
        <f ca="1">(EXP(-(AG11^2)/2)/SQRT(2*PI())*EXP(0*SQRT(Table1[[#This Row],[T]]))/$A$4*18%*SQRT(SQRT(Table1[[#This Row],[T]])))</f>
        <v>#DIV/0!</v>
      </c>
      <c r="AJ11" t="e">
        <f ca="1">(EXP(-(AH11^2)/2)/SQRT(2*PI())*EXP(0*SQRT(Table1[[#This Row],[T]]))/$A$4*18%*SQRT(SQRT(Table1[[#This Row],[T]])))</f>
        <v>#DIV/0!</v>
      </c>
      <c r="AK11" t="e">
        <f ca="1">Table1[[#This Row],[Call D1]]-Table1[[#This Row],[IV Calc C]]*SQRT(Table1[[#This Row],[T]])</f>
        <v>#DIV/0!</v>
      </c>
      <c r="AL11" t="e">
        <f ca="1">Table1[[#This Row],[Put D1]]-Table1[[#This Row],[IV Calc P]]*SQRT(Table1[[#This Row],[T]])</f>
        <v>#DIV/0!</v>
      </c>
      <c r="AM11" t="e">
        <f ca="1">EXP(-0.5*Table1[[#This Row],[Call D1]]^2)/SQRT(2*PI())</f>
        <v>#DIV/0!</v>
      </c>
      <c r="AN11" t="e">
        <f ca="1">EXP(-0.5*Table1[[#This Row],[Put D1]]^2)/SQRT(2*PI())</f>
        <v>#DIV/0!</v>
      </c>
      <c r="AO11">
        <f ca="1">IFERROR((EXP(0*Table1[[#This Row],[T]])*Table1[[#This Row],[call N(d1)]]*(Table1[[#This Row],[call d2]]/Table1[[#This Row],[IV Calc C]]))*Table1[[#This Row],[Open.Int]]*Table1[[#This Row],[DeltaC]],0)</f>
        <v>0</v>
      </c>
      <c r="AP11">
        <f ca="1">IFERROR((EXP(0*Table1[[#This Row],[T]])*Table1[[#This Row],[put N(d1)]]*(Table1[[#This Row],[put d2]]/Table1[[#This Row],[IV Calc P]]))*Table1[[#This Row],[Open.Int8]]*Table1[[#This Row],[DeltaP]]*-1,0)</f>
        <v>0</v>
      </c>
      <c r="AQ11">
        <f ca="1">((Table1[[#This Row],[call vanna]]+Table1[[#This Row],[put vanna]])*$A$4)</f>
        <v>0</v>
      </c>
      <c r="AR1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" s="9" t="str" cm="1">
        <f t="array" ref="AT11">_xlfn.IFS(     $M$1="SPX","SPXW",     $M$1="RUT","RUTW",  $M$1="NDX","NDXP",   TRUE,$M$1 )</f>
        <v>SPXW</v>
      </c>
      <c r="AU11" s="2">
        <f t="shared" si="7"/>
        <v>6915</v>
      </c>
      <c r="AV11" t="str">
        <f t="shared" si="8"/>
        <v>260123</v>
      </c>
      <c r="AW11" s="19">
        <f ca="1">IFERROR((EXP(0*Table1[[#This Row],[T]])*Table1[[#This Row],[put N(d1)]]*(Table1[[#This Row],[put d2]]/Table1[[#This Row],[IV Calc P]]))*Table1[[#This Row],[Open.Int8]]*Table1[[#This Row],[DeltaP]]*-1,0)</f>
        <v>0</v>
      </c>
      <c r="AX11">
        <f ca="1">IFERROR((EXP(0*Table1[[#This Row],[T]])*Table1[[#This Row],[call N(d1)]]*(Table1[[#This Row],[call d2]]/Table1[[#This Row],[IV Calc C]]))*Table1[[#This Row],[Open.Int]]*Table1[[#This Row],[DeltaC]],0)</f>
        <v>0</v>
      </c>
      <c r="AY1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">
        <f>((Table1[[#This Row],[High C]]+Table1[[#This Row],[Low C]])/2)*Table1[[#This Row],[gammac]]*Table1[[#This Row],[Volume]]</f>
        <v>0</v>
      </c>
      <c r="BD11">
        <f>((Table1[[#This Row],[High P]]+Table1[[#This Row],[Low P]])/2)*Table1[[#This Row],[gammap]]*Table1[[#This Row],[Volume9]]*-1</f>
        <v>0</v>
      </c>
      <c r="BE11">
        <f>(Table1[[#This Row],[SgammaC]]+Table1[[#This Row],[SgammaP]])*$A$4*-100</f>
        <v>0</v>
      </c>
      <c r="BF11">
        <f>Table1[[#This Row],[DEXc]]+Table1[[#This Row],[DEXp]]</f>
        <v>0</v>
      </c>
      <c r="BG11">
        <f>IFERROR(Table1[[#This Row],[DeltaC]]*Table1[[#This Row],[Open.Int]]*$A$4,0)</f>
        <v>0</v>
      </c>
      <c r="BH11">
        <f>IFERROR(Table1[[#This Row],[DeltaP]]*Table1[[#This Row],[Open.Int8]]*$A$4,0)</f>
        <v>0</v>
      </c>
      <c r="BI1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">
        <f ca="1">Table1[[#This Row],[Charmc]]+Table1[[#This Row],[Charmp]]</f>
        <v>0</v>
      </c>
      <c r="BL1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" s="78">
        <f ca="1">Table1[[#This Row],[call helper]]+Table1[[#This Row],[put helper]]</f>
        <v>0</v>
      </c>
      <c r="BP11" t="str">
        <f>RTD("tos.rtd", , "STRIKE", "."&amp;Table1[[#This Row],[Ticker]]&amp;Table1[[#This Row],[Expiry]]&amp;""&amp;"C"&amp;Table1[[#This Row],[Spot]]+Table1[[#This Row],[step]])</f>
        <v>N/A</v>
      </c>
      <c r="BQ11">
        <v>6820</v>
      </c>
      <c r="BV11">
        <f ca="1"/>
        <v>6820</v>
      </c>
      <c r="BW11" s="77">
        <f ca="1"/>
        <v>1.1929213111180934E-176</v>
      </c>
      <c r="BX11" s="77">
        <f ca="1"/>
        <v>-34998.766232202521</v>
      </c>
      <c r="BY11" s="17">
        <f ca="1"/>
        <v>0.18221705479896641</v>
      </c>
      <c r="BZ11">
        <f ca="1"/>
        <v>-95</v>
      </c>
      <c r="CA11">
        <f ca="1"/>
        <v>523050.01882901043</v>
      </c>
      <c r="CB11">
        <f ca="1"/>
        <v>1547025.9657398132</v>
      </c>
      <c r="DK11" s="77"/>
    </row>
    <row r="12" spans="1:124" x14ac:dyDescent="0.25">
      <c r="A12">
        <f t="shared" ca="1" si="4"/>
        <v>2.5814307458086375E-3</v>
      </c>
      <c r="C12" s="17"/>
      <c r="D12" t="b">
        <f>IF(
    ISNUMBER(Table1[[#This Row],[Strike]]),RTD("tos.rtd", , "OPEN_INT", "."&amp;Table1[[#This Row],[Ticker]]&amp;Table1[[#This Row],[Expiry]]&amp;""&amp;"C"&amp;Table1[[#This Row],[Strike]]))</f>
        <v>0</v>
      </c>
      <c r="E1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" t="b">
        <f>IF(
    ISNUMBER(Table1[[#This Row],[Strike]]),RTD("tos.rtd", , "DELTA", "."&amp;Table1[[#This Row],[Ticker]]&amp;Table1[[#This Row],[Expiry]]&amp;""&amp;"C"&amp;Table1[[#This Row],[Strike]]))</f>
        <v>0</v>
      </c>
      <c r="H12" s="17" t="b" cm="1">
        <f t="array" ref="H12">IF(
    ISNUMBER(Table1[[#This Row],[Strike]]),IndividualLegIVCore($A$4, Table1[[#This Row],[Strike]], 0.0411, Table1[[#This Row],[T]], ((Table1[[#This Row],[BIDC]]+Table1[[#This Row],[ASKC]])/2), TRUE))</f>
        <v>0</v>
      </c>
      <c r="I12" t="b">
        <f>IF(
    ISNUMBER(Table1[[#This Row],[Strike]]),RTD("tos.rtd", , "BID", "."&amp;Table1[[#This Row],[Ticker]]&amp;Table1[[#This Row],[Expiry]]&amp;""&amp;"C"&amp;Table1[[#This Row],[Strike]]))</f>
        <v>0</v>
      </c>
      <c r="J12" t="b">
        <f>IF(
    ISNUMBER(Table1[[#This Row],[Strike]]),RTD("tos.rtd", , "ASK", "."&amp;Table1[[#This Row],[Ticker]]&amp;Table1[[#This Row],[Expiry]]&amp;""&amp;"C"&amp;Table1[[#This Row],[Strike]]))</f>
        <v>0</v>
      </c>
      <c r="K1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" s="17" cm="1">
        <f t="array" aca="1" ref="L1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" s="1">
        <f t="shared" si="5"/>
        <v>46045</v>
      </c>
      <c r="N12" t="b">
        <f t="shared" si="6"/>
        <v>0</v>
      </c>
      <c r="P12" s="17" t="b" cm="1">
        <f t="array" ref="P12">IF(
    ISNUMBER(Table1[[#This Row],[Strike]]),IndividualLegIVCore($A$4, Table1[[#This Row],[Strike]], 0.0411, Table1[[#This Row],[T]], ((Table1[[#This Row],[BIDP]]+Table1[[#This Row],[ASKP]])/2), FALSE))</f>
        <v>0</v>
      </c>
      <c r="Q12" t="b">
        <f>IF(
    ISNUMBER(Table1[[#This Row],[Strike]]),RTD("tos.rtd", , "BID", "."&amp;Table1[[#This Row],[Ticker]]&amp;Table1[[#This Row],[Expiry]]&amp;""&amp;"P"&amp;Table1[[#This Row],[Strike]]))</f>
        <v>0</v>
      </c>
      <c r="R12" t="b">
        <f>IF(
    ISNUMBER(Table1[[#This Row],[Strike]]),RTD("tos.rtd", , "ASK", "."&amp;Table1[[#This Row],[Ticker]]&amp;Table1[[#This Row],[Expiry]]&amp;""&amp;"P"&amp;Table1[[#This Row],[Strike]]))</f>
        <v>0</v>
      </c>
      <c r="S12" s="17"/>
      <c r="T12" t="b">
        <f>IF(
    ISNUMBER(Table1[[#This Row],[Strike]]),RTD("tos.rtd", , "OPEN_INT", "."&amp;Table1[[#This Row],[Ticker]]&amp;Table1[[#This Row],[Expiry]]&amp;""&amp;"P"&amp;Table1[[#This Row],[Strike]]))</f>
        <v>0</v>
      </c>
      <c r="U1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" t="b">
        <f>IF(
    ISNUMBER(Table1[[#This Row],[Strike]]),RTD("tos.rtd", , "DELTA", "."&amp;Table1[[#This Row],[Ticker]]&amp;Table1[[#This Row],[Expiry]]&amp;""&amp;"P"&amp;Table1[[#This Row],[Strike]]))</f>
        <v>0</v>
      </c>
      <c r="Y12" s="19">
        <f>-49* IF($M$1="NDX", 10, IF(OR($M$1="SPX", $M$1="RUT"), 2, 1))</f>
        <v>-98</v>
      </c>
      <c r="Z12">
        <f ca="1">IFERROR(Table1[[#This Row],[call gamma]]*(Table1[[#This Row],[Open.Int]])*$A$4^2,0)</f>
        <v>0</v>
      </c>
      <c r="AA12">
        <f ca="1">IFERROR(((Table1[[#This Row],[Open.Int8]])*Table1[[#This Row],[Put gamma]])*-1*$A$4^2,0)</f>
        <v>0</v>
      </c>
      <c r="AB12">
        <f ca="1">(Table1[[#This Row],[Call Gex]]+Table1[[#This Row],[Put Gex]])</f>
        <v>0</v>
      </c>
      <c r="AC12">
        <f ca="1">Table1[[#This Row],[call delta adj]]+Table1[[#This Row],[put delta adj]]</f>
        <v>0</v>
      </c>
      <c r="AD12">
        <f ca="1">Table1[[#This Row],[Put Gex]]*Table1[[#This Row],[DeltaP]]*-1</f>
        <v>0</v>
      </c>
      <c r="AE12">
        <f ca="1">Table1[[#This Row],[Call Gex]]*Table1[[#This Row],[DeltaC]]</f>
        <v>0</v>
      </c>
      <c r="AF12">
        <f>IF(Table1[[#This Row],[DeltaC]]-ABS(Table1[[#This Row],[DeltaP]])="0","0.01",Table1[[#This Row],[DeltaC]]-ABS(Table1[[#This Row],[DeltaP]]))</f>
        <v>0</v>
      </c>
      <c r="AG12" t="e">
        <f ca="1">((LN($A$4/Table1[[#This Row],[Strike]]) + (0.411 + 0.5 * Table1[[#This Row],[IV Calc P]]^2) *Table1[[#This Row],[T]])) / (Table1[[#This Row],[IV Calc P]] * SQRT(Table1[[#This Row],[T]]))</f>
        <v>#DIV/0!</v>
      </c>
      <c r="AH12" t="e">
        <f ca="1">(LN($A$4/Table1[[#This Row],[Strike]]) + (0.411-0 + 0.5 * Table1[[#This Row],[IV Calc C]]^2) *Table1[[#This Row],[T]]) / (Table1[[#This Row],[IV Calc C]] * SQRT(Table1[[#This Row],[T]]))</f>
        <v>#DIV/0!</v>
      </c>
      <c r="AI12" t="e">
        <f ca="1">(EXP(-(AG12^2)/2)/SQRT(2*PI())*EXP(0*SQRT(Table1[[#This Row],[T]]))/$A$4*18%*SQRT(SQRT(Table1[[#This Row],[T]])))</f>
        <v>#DIV/0!</v>
      </c>
      <c r="AJ12" t="e">
        <f ca="1">(EXP(-(AH12^2)/2)/SQRT(2*PI())*EXP(0*SQRT(Table1[[#This Row],[T]]))/$A$4*18%*SQRT(SQRT(Table1[[#This Row],[T]])))</f>
        <v>#DIV/0!</v>
      </c>
      <c r="AK12" t="e">
        <f ca="1">Table1[[#This Row],[Call D1]]-Table1[[#This Row],[IV Calc C]]*SQRT(Table1[[#This Row],[T]])</f>
        <v>#DIV/0!</v>
      </c>
      <c r="AL12" t="e">
        <f ca="1">Table1[[#This Row],[Put D1]]-Table1[[#This Row],[IV Calc P]]*SQRT(Table1[[#This Row],[T]])</f>
        <v>#DIV/0!</v>
      </c>
      <c r="AM12" t="e">
        <f ca="1">EXP(-0.5*Table1[[#This Row],[Call D1]]^2)/SQRT(2*PI())</f>
        <v>#DIV/0!</v>
      </c>
      <c r="AN12" t="e">
        <f ca="1">EXP(-0.5*Table1[[#This Row],[Put D1]]^2)/SQRT(2*PI())</f>
        <v>#DIV/0!</v>
      </c>
      <c r="AO12">
        <f ca="1">IFERROR((EXP(0*Table1[[#This Row],[T]])*Table1[[#This Row],[call N(d1)]]*(Table1[[#This Row],[call d2]]/Table1[[#This Row],[IV Calc C]]))*Table1[[#This Row],[Open.Int]]*Table1[[#This Row],[DeltaC]],0)</f>
        <v>0</v>
      </c>
      <c r="AP12">
        <f ca="1">IFERROR((EXP(0*Table1[[#This Row],[T]])*Table1[[#This Row],[put N(d1)]]*(Table1[[#This Row],[put d2]]/Table1[[#This Row],[IV Calc P]]))*Table1[[#This Row],[Open.Int8]]*Table1[[#This Row],[DeltaP]]*-1,0)</f>
        <v>0</v>
      </c>
      <c r="AQ12">
        <f ca="1">((Table1[[#This Row],[call vanna]]+Table1[[#This Row],[put vanna]])*$A$4)</f>
        <v>0</v>
      </c>
      <c r="AR1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" s="9" t="str" cm="1">
        <f t="array" ref="AT12">_xlfn.IFS(     $M$1="SPX","SPXW",     $M$1="RUT","RUTW",  $M$1="NDX","NDXP",   TRUE,$M$1 )</f>
        <v>SPXW</v>
      </c>
      <c r="AU12" s="2">
        <f t="shared" si="7"/>
        <v>6915</v>
      </c>
      <c r="AV12" t="str">
        <f t="shared" si="8"/>
        <v>260123</v>
      </c>
      <c r="AW12" s="19">
        <f ca="1">IFERROR((EXP(0*Table1[[#This Row],[T]])*Table1[[#This Row],[put N(d1)]]*(Table1[[#This Row],[put d2]]/Table1[[#This Row],[IV Calc P]]))*Table1[[#This Row],[Open.Int8]]*Table1[[#This Row],[DeltaP]]*-1,0)</f>
        <v>0</v>
      </c>
      <c r="AX12">
        <f ca="1">IFERROR((EXP(0*Table1[[#This Row],[T]])*Table1[[#This Row],[call N(d1)]]*(Table1[[#This Row],[call d2]]/Table1[[#This Row],[IV Calc C]]))*Table1[[#This Row],[Open.Int]]*Table1[[#This Row],[DeltaC]],0)</f>
        <v>0</v>
      </c>
      <c r="AY1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">
        <f>((Table1[[#This Row],[High C]]+Table1[[#This Row],[Low C]])/2)*Table1[[#This Row],[gammac]]*Table1[[#This Row],[Volume]]</f>
        <v>0</v>
      </c>
      <c r="BD12">
        <f>((Table1[[#This Row],[High P]]+Table1[[#This Row],[Low P]])/2)*Table1[[#This Row],[gammap]]*Table1[[#This Row],[Volume9]]*-1</f>
        <v>0</v>
      </c>
      <c r="BE12">
        <f>(Table1[[#This Row],[SgammaC]]+Table1[[#This Row],[SgammaP]])*$A$4*-100</f>
        <v>0</v>
      </c>
      <c r="BF12">
        <f>Table1[[#This Row],[DEXc]]+Table1[[#This Row],[DEXp]]</f>
        <v>0</v>
      </c>
      <c r="BG12">
        <f>IFERROR(Table1[[#This Row],[DeltaC]]*Table1[[#This Row],[Open.Int]]*$A$4,0)</f>
        <v>0</v>
      </c>
      <c r="BH12">
        <f>IFERROR(Table1[[#This Row],[DeltaP]]*Table1[[#This Row],[Open.Int8]]*$A$4,0)</f>
        <v>0</v>
      </c>
      <c r="BI1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">
        <f ca="1">Table1[[#This Row],[Charmc]]+Table1[[#This Row],[Charmp]]</f>
        <v>0</v>
      </c>
      <c r="BL1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" s="78">
        <f ca="1">Table1[[#This Row],[call helper]]+Table1[[#This Row],[put helper]]</f>
        <v>0</v>
      </c>
      <c r="BP12" t="str">
        <f>RTD("tos.rtd", , "STRIKE", "."&amp;Table1[[#This Row],[Ticker]]&amp;Table1[[#This Row],[Expiry]]&amp;""&amp;"C"&amp;Table1[[#This Row],[Spot]]+Table1[[#This Row],[step]])</f>
        <v>N/A</v>
      </c>
      <c r="BQ12">
        <v>6825</v>
      </c>
      <c r="BV12">
        <f ca="1"/>
        <v>6825</v>
      </c>
      <c r="BW12" s="77">
        <f ca="1"/>
        <v>1.2436172636491985E-158</v>
      </c>
      <c r="BX12" s="77">
        <f ca="1"/>
        <v>-67713.813869881429</v>
      </c>
      <c r="BY12" s="17">
        <f ca="1"/>
        <v>0.18022317024165874</v>
      </c>
      <c r="BZ12">
        <f ca="1"/>
        <v>-90</v>
      </c>
      <c r="CA12">
        <f ca="1"/>
        <v>1123051.8531634745</v>
      </c>
      <c r="CB12">
        <f ca="1"/>
        <v>2755013.395156025</v>
      </c>
      <c r="DT12" s="80"/>
    </row>
    <row r="13" spans="1:124" x14ac:dyDescent="0.25">
      <c r="A13">
        <f t="shared" ca="1" si="4"/>
        <v>2.5814307458086375E-3</v>
      </c>
      <c r="C13" s="17"/>
      <c r="D13" t="b">
        <f>IF(
    ISNUMBER(Table1[[#This Row],[Strike]]),RTD("tos.rtd", , "OPEN_INT", "."&amp;Table1[[#This Row],[Ticker]]&amp;Table1[[#This Row],[Expiry]]&amp;""&amp;"C"&amp;Table1[[#This Row],[Strike]]))</f>
        <v>0</v>
      </c>
      <c r="E1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" t="b">
        <f>IF(
    ISNUMBER(Table1[[#This Row],[Strike]]),RTD("tos.rtd", , "DELTA", "."&amp;Table1[[#This Row],[Ticker]]&amp;Table1[[#This Row],[Expiry]]&amp;""&amp;"C"&amp;Table1[[#This Row],[Strike]]))</f>
        <v>0</v>
      </c>
      <c r="H13" s="17" t="b" cm="1">
        <f t="array" ref="H13">IF(
    ISNUMBER(Table1[[#This Row],[Strike]]),IndividualLegIVCore($A$4, Table1[[#This Row],[Strike]], 0.0411, Table1[[#This Row],[T]], ((Table1[[#This Row],[BIDC]]+Table1[[#This Row],[ASKC]])/2), TRUE))</f>
        <v>0</v>
      </c>
      <c r="I13" t="b">
        <f>IF(
    ISNUMBER(Table1[[#This Row],[Strike]]),RTD("tos.rtd", , "BID", "."&amp;Table1[[#This Row],[Ticker]]&amp;Table1[[#This Row],[Expiry]]&amp;""&amp;"C"&amp;Table1[[#This Row],[Strike]]))</f>
        <v>0</v>
      </c>
      <c r="J13" t="b">
        <f>IF(
    ISNUMBER(Table1[[#This Row],[Strike]]),RTD("tos.rtd", , "ASK", "."&amp;Table1[[#This Row],[Ticker]]&amp;Table1[[#This Row],[Expiry]]&amp;""&amp;"C"&amp;Table1[[#This Row],[Strike]]))</f>
        <v>0</v>
      </c>
      <c r="K1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" s="17" cm="1">
        <f t="array" aca="1" ref="L1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" s="1">
        <f t="shared" si="5"/>
        <v>46045</v>
      </c>
      <c r="N13" t="b">
        <f t="shared" si="6"/>
        <v>0</v>
      </c>
      <c r="P13" s="17" t="b" cm="1">
        <f t="array" ref="P13">IF(
    ISNUMBER(Table1[[#This Row],[Strike]]),IndividualLegIVCore($A$4, Table1[[#This Row],[Strike]], 0.0411, Table1[[#This Row],[T]], ((Table1[[#This Row],[BIDP]]+Table1[[#This Row],[ASKP]])/2), FALSE))</f>
        <v>0</v>
      </c>
      <c r="Q13" t="b">
        <f>IF(
    ISNUMBER(Table1[[#This Row],[Strike]]),RTD("tos.rtd", , "BID", "."&amp;Table1[[#This Row],[Ticker]]&amp;Table1[[#This Row],[Expiry]]&amp;""&amp;"P"&amp;Table1[[#This Row],[Strike]]))</f>
        <v>0</v>
      </c>
      <c r="R13" t="b">
        <f>IF(
    ISNUMBER(Table1[[#This Row],[Strike]]),RTD("tos.rtd", , "ASK", "."&amp;Table1[[#This Row],[Ticker]]&amp;Table1[[#This Row],[Expiry]]&amp;""&amp;"P"&amp;Table1[[#This Row],[Strike]]))</f>
        <v>0</v>
      </c>
      <c r="S13" s="17"/>
      <c r="T13" t="b">
        <f>IF(
    ISNUMBER(Table1[[#This Row],[Strike]]),RTD("tos.rtd", , "OPEN_INT", "."&amp;Table1[[#This Row],[Ticker]]&amp;Table1[[#This Row],[Expiry]]&amp;""&amp;"P"&amp;Table1[[#This Row],[Strike]]))</f>
        <v>0</v>
      </c>
      <c r="U1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" t="b">
        <f>IF(
    ISNUMBER(Table1[[#This Row],[Strike]]),RTD("tos.rtd", , "DELTA", "."&amp;Table1[[#This Row],[Ticker]]&amp;Table1[[#This Row],[Expiry]]&amp;""&amp;"P"&amp;Table1[[#This Row],[Strike]]))</f>
        <v>0</v>
      </c>
      <c r="Y13" s="19">
        <f>-48.5* IF($M$1="NDX", 10, IF(OR($M$1="SPX", $M$1="RUT"), 2, 1))</f>
        <v>-97</v>
      </c>
      <c r="Z13">
        <f ca="1">IFERROR(Table1[[#This Row],[call gamma]]*(Table1[[#This Row],[Open.Int]])*$A$4^2,0)</f>
        <v>0</v>
      </c>
      <c r="AA13">
        <f ca="1">IFERROR(((Table1[[#This Row],[Open.Int8]])*Table1[[#This Row],[Put gamma]])*-1*$A$4^2,0)</f>
        <v>0</v>
      </c>
      <c r="AB13">
        <f ca="1">(Table1[[#This Row],[Call Gex]]+Table1[[#This Row],[Put Gex]])</f>
        <v>0</v>
      </c>
      <c r="AC13">
        <f ca="1">Table1[[#This Row],[call delta adj]]+Table1[[#This Row],[put delta adj]]</f>
        <v>0</v>
      </c>
      <c r="AD13">
        <f ca="1">Table1[[#This Row],[Put Gex]]*Table1[[#This Row],[DeltaP]]*-1</f>
        <v>0</v>
      </c>
      <c r="AE13">
        <f ca="1">Table1[[#This Row],[Call Gex]]*Table1[[#This Row],[DeltaC]]</f>
        <v>0</v>
      </c>
      <c r="AF13">
        <f>IF(Table1[[#This Row],[DeltaC]]-ABS(Table1[[#This Row],[DeltaP]])="0","0.01",Table1[[#This Row],[DeltaC]]-ABS(Table1[[#This Row],[DeltaP]]))</f>
        <v>0</v>
      </c>
      <c r="AG13" t="e">
        <f ca="1">((LN($A$4/Table1[[#This Row],[Strike]]) + (0.411 + 0.5 * Table1[[#This Row],[IV Calc P]]^2) *Table1[[#This Row],[T]])) / (Table1[[#This Row],[IV Calc P]] * SQRT(Table1[[#This Row],[T]]))</f>
        <v>#DIV/0!</v>
      </c>
      <c r="AH13" t="e">
        <f ca="1">(LN($A$4/Table1[[#This Row],[Strike]]) + (0.411-0 + 0.5 * Table1[[#This Row],[IV Calc C]]^2) *Table1[[#This Row],[T]]) / (Table1[[#This Row],[IV Calc C]] * SQRT(Table1[[#This Row],[T]]))</f>
        <v>#DIV/0!</v>
      </c>
      <c r="AI13" t="e">
        <f ca="1">(EXP(-(AG13^2)/2)/SQRT(2*PI())*EXP(0*SQRT(Table1[[#This Row],[T]]))/$A$4*18%*SQRT(SQRT(Table1[[#This Row],[T]])))</f>
        <v>#DIV/0!</v>
      </c>
      <c r="AJ13" t="e">
        <f ca="1">(EXP(-(AH13^2)/2)/SQRT(2*PI())*EXP(0*SQRT(Table1[[#This Row],[T]]))/$A$4*18%*SQRT(SQRT(Table1[[#This Row],[T]])))</f>
        <v>#DIV/0!</v>
      </c>
      <c r="AK13" t="e">
        <f ca="1">Table1[[#This Row],[Call D1]]-Table1[[#This Row],[IV Calc C]]*SQRT(Table1[[#This Row],[T]])</f>
        <v>#DIV/0!</v>
      </c>
      <c r="AL13" t="e">
        <f ca="1">Table1[[#This Row],[Put D1]]-Table1[[#This Row],[IV Calc P]]*SQRT(Table1[[#This Row],[T]])</f>
        <v>#DIV/0!</v>
      </c>
      <c r="AM13" t="e">
        <f ca="1">EXP(-0.5*Table1[[#This Row],[Call D1]]^2)/SQRT(2*PI())</f>
        <v>#DIV/0!</v>
      </c>
      <c r="AN13" t="e">
        <f ca="1">EXP(-0.5*Table1[[#This Row],[Put D1]]^2)/SQRT(2*PI())</f>
        <v>#DIV/0!</v>
      </c>
      <c r="AO13">
        <f ca="1">IFERROR((EXP(0*Table1[[#This Row],[T]])*Table1[[#This Row],[call N(d1)]]*(Table1[[#This Row],[call d2]]/Table1[[#This Row],[IV Calc C]]))*Table1[[#This Row],[Open.Int]]*Table1[[#This Row],[DeltaC]],0)</f>
        <v>0</v>
      </c>
      <c r="AP13">
        <f ca="1">IFERROR((EXP(0*Table1[[#This Row],[T]])*Table1[[#This Row],[put N(d1)]]*(Table1[[#This Row],[put d2]]/Table1[[#This Row],[IV Calc P]]))*Table1[[#This Row],[Open.Int8]]*Table1[[#This Row],[DeltaP]]*-1,0)</f>
        <v>0</v>
      </c>
      <c r="AQ13">
        <f ca="1">((Table1[[#This Row],[call vanna]]+Table1[[#This Row],[put vanna]])*$A$4)</f>
        <v>0</v>
      </c>
      <c r="AR1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" s="9" t="str" cm="1">
        <f t="array" ref="AT13">_xlfn.IFS(     $M$1="SPX","SPXW",     $M$1="RUT","RUTW",  $M$1="NDX","NDXP",   TRUE,$M$1 )</f>
        <v>SPXW</v>
      </c>
      <c r="AU13" s="2">
        <f t="shared" si="7"/>
        <v>6915</v>
      </c>
      <c r="AV13" t="str">
        <f t="shared" si="8"/>
        <v>260123</v>
      </c>
      <c r="AW13" s="19">
        <f ca="1">IFERROR((EXP(0*Table1[[#This Row],[T]])*Table1[[#This Row],[put N(d1)]]*(Table1[[#This Row],[put d2]]/Table1[[#This Row],[IV Calc P]]))*Table1[[#This Row],[Open.Int8]]*Table1[[#This Row],[DeltaP]]*-1,0)</f>
        <v>0</v>
      </c>
      <c r="AX13">
        <f ca="1">IFERROR((EXP(0*Table1[[#This Row],[T]])*Table1[[#This Row],[call N(d1)]]*(Table1[[#This Row],[call d2]]/Table1[[#This Row],[IV Calc C]]))*Table1[[#This Row],[Open.Int]]*Table1[[#This Row],[DeltaC]],0)</f>
        <v>0</v>
      </c>
      <c r="AY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">
        <f>((Table1[[#This Row],[High C]]+Table1[[#This Row],[Low C]])/2)*Table1[[#This Row],[gammac]]*Table1[[#This Row],[Volume]]</f>
        <v>0</v>
      </c>
      <c r="BD13">
        <f>((Table1[[#This Row],[High P]]+Table1[[#This Row],[Low P]])/2)*Table1[[#This Row],[gammap]]*Table1[[#This Row],[Volume9]]*-1</f>
        <v>0</v>
      </c>
      <c r="BE13">
        <f>(Table1[[#This Row],[SgammaC]]+Table1[[#This Row],[SgammaP]])*$A$4*-100</f>
        <v>0</v>
      </c>
      <c r="BF13">
        <f>Table1[[#This Row],[DEXc]]+Table1[[#This Row],[DEXp]]</f>
        <v>0</v>
      </c>
      <c r="BG13">
        <f>IFERROR(Table1[[#This Row],[DeltaC]]*Table1[[#This Row],[Open.Int]]*$A$4,0)</f>
        <v>0</v>
      </c>
      <c r="BH13">
        <f>IFERROR(Table1[[#This Row],[DeltaP]]*Table1[[#This Row],[Open.Int8]]*$A$4,0)</f>
        <v>0</v>
      </c>
      <c r="BI1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">
        <f ca="1">Table1[[#This Row],[Charmc]]+Table1[[#This Row],[Charmp]]</f>
        <v>0</v>
      </c>
      <c r="BL1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" s="78">
        <f ca="1">Table1[[#This Row],[call helper]]+Table1[[#This Row],[put helper]]</f>
        <v>0</v>
      </c>
      <c r="BP13" t="str">
        <f>RTD("tos.rtd", , "STRIKE", "."&amp;Table1[[#This Row],[Ticker]]&amp;Table1[[#This Row],[Expiry]]&amp;""&amp;"C"&amp;Table1[[#This Row],[Spot]]+Table1[[#This Row],[step]])</f>
        <v>N/A</v>
      </c>
      <c r="BQ13">
        <v>6830</v>
      </c>
      <c r="BV13">
        <f ca="1"/>
        <v>6830</v>
      </c>
      <c r="BW13" s="77">
        <f ca="1"/>
        <v>1.7493135636443934E-142</v>
      </c>
      <c r="BX13" s="77">
        <f ca="1"/>
        <v>-74854.146559058951</v>
      </c>
      <c r="BY13" s="17">
        <f ca="1"/>
        <v>0.17664088771720515</v>
      </c>
      <c r="BZ13">
        <f ca="1"/>
        <v>-85</v>
      </c>
      <c r="CA13">
        <f ca="1"/>
        <v>1377352.8977896005</v>
      </c>
      <c r="CB13">
        <f ca="1"/>
        <v>2776702.5831649685</v>
      </c>
    </row>
    <row r="14" spans="1:124" x14ac:dyDescent="0.25">
      <c r="A14">
        <f t="shared" ca="1" si="4"/>
        <v>2.5814307458086375E-3</v>
      </c>
      <c r="C14" s="17"/>
      <c r="D14" t="b">
        <f>IF(
    ISNUMBER(Table1[[#This Row],[Strike]]),RTD("tos.rtd", , "OPEN_INT", "."&amp;Table1[[#This Row],[Ticker]]&amp;Table1[[#This Row],[Expiry]]&amp;""&amp;"C"&amp;Table1[[#This Row],[Strike]]))</f>
        <v>0</v>
      </c>
      <c r="E1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" t="b">
        <f>IF(
    ISNUMBER(Table1[[#This Row],[Strike]]),RTD("tos.rtd", , "DELTA", "."&amp;Table1[[#This Row],[Ticker]]&amp;Table1[[#This Row],[Expiry]]&amp;""&amp;"C"&amp;Table1[[#This Row],[Strike]]))</f>
        <v>0</v>
      </c>
      <c r="H14" s="17" t="b" cm="1">
        <f t="array" ref="H14">IF(
    ISNUMBER(Table1[[#This Row],[Strike]]),IndividualLegIVCore($A$4, Table1[[#This Row],[Strike]], 0.0411, Table1[[#This Row],[T]], ((Table1[[#This Row],[BIDC]]+Table1[[#This Row],[ASKC]])/2), TRUE))</f>
        <v>0</v>
      </c>
      <c r="I14" t="b">
        <f>IF(
    ISNUMBER(Table1[[#This Row],[Strike]]),RTD("tos.rtd", , "BID", "."&amp;Table1[[#This Row],[Ticker]]&amp;Table1[[#This Row],[Expiry]]&amp;""&amp;"C"&amp;Table1[[#This Row],[Strike]]))</f>
        <v>0</v>
      </c>
      <c r="J14" t="b">
        <f>IF(
    ISNUMBER(Table1[[#This Row],[Strike]]),RTD("tos.rtd", , "ASK", "."&amp;Table1[[#This Row],[Ticker]]&amp;Table1[[#This Row],[Expiry]]&amp;""&amp;"C"&amp;Table1[[#This Row],[Strike]]))</f>
        <v>0</v>
      </c>
      <c r="K1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" s="17" cm="1">
        <f t="array" aca="1" ref="L1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" s="1">
        <f t="shared" si="5"/>
        <v>46045</v>
      </c>
      <c r="N14" t="b">
        <f t="shared" si="6"/>
        <v>0</v>
      </c>
      <c r="P14" s="17" t="b" cm="1">
        <f t="array" ref="P14">IF(
    ISNUMBER(Table1[[#This Row],[Strike]]),IndividualLegIVCore($A$4, Table1[[#This Row],[Strike]], 0.0411, Table1[[#This Row],[T]], ((Table1[[#This Row],[BIDP]]+Table1[[#This Row],[ASKP]])/2), FALSE))</f>
        <v>0</v>
      </c>
      <c r="Q14" t="b">
        <f>IF(
    ISNUMBER(Table1[[#This Row],[Strike]]),RTD("tos.rtd", , "BID", "."&amp;Table1[[#This Row],[Ticker]]&amp;Table1[[#This Row],[Expiry]]&amp;""&amp;"P"&amp;Table1[[#This Row],[Strike]]))</f>
        <v>0</v>
      </c>
      <c r="R14" t="b">
        <f>IF(
    ISNUMBER(Table1[[#This Row],[Strike]]),RTD("tos.rtd", , "ASK", "."&amp;Table1[[#This Row],[Ticker]]&amp;Table1[[#This Row],[Expiry]]&amp;""&amp;"P"&amp;Table1[[#This Row],[Strike]]))</f>
        <v>0</v>
      </c>
      <c r="S14" s="17"/>
      <c r="T14" t="b">
        <f>IF(
    ISNUMBER(Table1[[#This Row],[Strike]]),RTD("tos.rtd", , "OPEN_INT", "."&amp;Table1[[#This Row],[Ticker]]&amp;Table1[[#This Row],[Expiry]]&amp;""&amp;"P"&amp;Table1[[#This Row],[Strike]]))</f>
        <v>0</v>
      </c>
      <c r="U1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" t="b">
        <f>IF(
    ISNUMBER(Table1[[#This Row],[Strike]]),RTD("tos.rtd", , "DELTA", "."&amp;Table1[[#This Row],[Ticker]]&amp;Table1[[#This Row],[Expiry]]&amp;""&amp;"P"&amp;Table1[[#This Row],[Strike]]))</f>
        <v>0</v>
      </c>
      <c r="Y14" s="19">
        <f>-48* IF($M$1="NDX", 10, IF(OR($M$1="SPX", $M$1="RUT"), 2, 1))</f>
        <v>-96</v>
      </c>
      <c r="Z14">
        <f ca="1">IFERROR(Table1[[#This Row],[call gamma]]*(Table1[[#This Row],[Open.Int]])*$A$4^2,0)</f>
        <v>0</v>
      </c>
      <c r="AA14">
        <f ca="1">IFERROR(((Table1[[#This Row],[Open.Int8]])*Table1[[#This Row],[Put gamma]])*-1*$A$4^2,0)</f>
        <v>0</v>
      </c>
      <c r="AB14">
        <f ca="1">(Table1[[#This Row],[Call Gex]]+Table1[[#This Row],[Put Gex]])</f>
        <v>0</v>
      </c>
      <c r="AC14">
        <f ca="1">Table1[[#This Row],[call delta adj]]+Table1[[#This Row],[put delta adj]]</f>
        <v>0</v>
      </c>
      <c r="AD14">
        <f ca="1">Table1[[#This Row],[Put Gex]]*Table1[[#This Row],[DeltaP]]*-1</f>
        <v>0</v>
      </c>
      <c r="AE14">
        <f ca="1">Table1[[#This Row],[Call Gex]]*Table1[[#This Row],[DeltaC]]</f>
        <v>0</v>
      </c>
      <c r="AF14">
        <f>IF(Table1[[#This Row],[DeltaC]]-ABS(Table1[[#This Row],[DeltaP]])="0","0.01",Table1[[#This Row],[DeltaC]]-ABS(Table1[[#This Row],[DeltaP]]))</f>
        <v>0</v>
      </c>
      <c r="AG14" t="e">
        <f ca="1">((LN($A$4/Table1[[#This Row],[Strike]]) + (0.411 + 0.5 * Table1[[#This Row],[IV Calc P]]^2) *Table1[[#This Row],[T]])) / (Table1[[#This Row],[IV Calc P]] * SQRT(Table1[[#This Row],[T]]))</f>
        <v>#DIV/0!</v>
      </c>
      <c r="AH14" t="e">
        <f ca="1">(LN($A$4/Table1[[#This Row],[Strike]]) + (0.411-0 + 0.5 * Table1[[#This Row],[IV Calc C]]^2) *Table1[[#This Row],[T]]) / (Table1[[#This Row],[IV Calc C]] * SQRT(Table1[[#This Row],[T]]))</f>
        <v>#DIV/0!</v>
      </c>
      <c r="AI14" t="e">
        <f ca="1">(EXP(-(AG14^2)/2)/SQRT(2*PI())*EXP(0*SQRT(Table1[[#This Row],[T]]))/$A$4*18%*SQRT(SQRT(Table1[[#This Row],[T]])))</f>
        <v>#DIV/0!</v>
      </c>
      <c r="AJ14" t="e">
        <f ca="1">(EXP(-(AH14^2)/2)/SQRT(2*PI())*EXP(0*SQRT(Table1[[#This Row],[T]]))/$A$4*18%*SQRT(SQRT(Table1[[#This Row],[T]])))</f>
        <v>#DIV/0!</v>
      </c>
      <c r="AK14" t="e">
        <f ca="1">Table1[[#This Row],[Call D1]]-Table1[[#This Row],[IV Calc C]]*SQRT(Table1[[#This Row],[T]])</f>
        <v>#DIV/0!</v>
      </c>
      <c r="AL14" t="e">
        <f ca="1">Table1[[#This Row],[Put D1]]-Table1[[#This Row],[IV Calc P]]*SQRT(Table1[[#This Row],[T]])</f>
        <v>#DIV/0!</v>
      </c>
      <c r="AM14" t="e">
        <f ca="1">EXP(-0.5*Table1[[#This Row],[Call D1]]^2)/SQRT(2*PI())</f>
        <v>#DIV/0!</v>
      </c>
      <c r="AN14" t="e">
        <f ca="1">EXP(-0.5*Table1[[#This Row],[Put D1]]^2)/SQRT(2*PI())</f>
        <v>#DIV/0!</v>
      </c>
      <c r="AO14">
        <f ca="1">IFERROR((EXP(0*Table1[[#This Row],[T]])*Table1[[#This Row],[call N(d1)]]*(Table1[[#This Row],[call d2]]/Table1[[#This Row],[IV Calc C]]))*Table1[[#This Row],[Open.Int]]*Table1[[#This Row],[DeltaC]],0)</f>
        <v>0</v>
      </c>
      <c r="AP14">
        <f ca="1">IFERROR((EXP(0*Table1[[#This Row],[T]])*Table1[[#This Row],[put N(d1)]]*(Table1[[#This Row],[put d2]]/Table1[[#This Row],[IV Calc P]]))*Table1[[#This Row],[Open.Int8]]*Table1[[#This Row],[DeltaP]]*-1,0)</f>
        <v>0</v>
      </c>
      <c r="AQ14">
        <f ca="1">((Table1[[#This Row],[call vanna]]+Table1[[#This Row],[put vanna]])*$A$4)</f>
        <v>0</v>
      </c>
      <c r="AR1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" s="9" t="str" cm="1">
        <f t="array" ref="AT14">_xlfn.IFS(     $M$1="SPX","SPXW",     $M$1="RUT","RUTW",  $M$1="NDX","NDXP",   TRUE,$M$1 )</f>
        <v>SPXW</v>
      </c>
      <c r="AU14" s="2">
        <f t="shared" si="7"/>
        <v>6915</v>
      </c>
      <c r="AV14" t="str">
        <f t="shared" si="8"/>
        <v>260123</v>
      </c>
      <c r="AW14" s="19">
        <f ca="1">IFERROR((EXP(0*Table1[[#This Row],[T]])*Table1[[#This Row],[put N(d1)]]*(Table1[[#This Row],[put d2]]/Table1[[#This Row],[IV Calc P]]))*Table1[[#This Row],[Open.Int8]]*Table1[[#This Row],[DeltaP]]*-1,0)</f>
        <v>0</v>
      </c>
      <c r="AX14">
        <f ca="1">IFERROR((EXP(0*Table1[[#This Row],[T]])*Table1[[#This Row],[call N(d1)]]*(Table1[[#This Row],[call d2]]/Table1[[#This Row],[IV Calc C]]))*Table1[[#This Row],[Open.Int]]*Table1[[#This Row],[DeltaC]],0)</f>
        <v>0</v>
      </c>
      <c r="AY1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">
        <f>((Table1[[#This Row],[High C]]+Table1[[#This Row],[Low C]])/2)*Table1[[#This Row],[gammac]]*Table1[[#This Row],[Volume]]</f>
        <v>0</v>
      </c>
      <c r="BD14">
        <f>((Table1[[#This Row],[High P]]+Table1[[#This Row],[Low P]])/2)*Table1[[#This Row],[gammap]]*Table1[[#This Row],[Volume9]]*-1</f>
        <v>0</v>
      </c>
      <c r="BE14">
        <f>(Table1[[#This Row],[SgammaC]]+Table1[[#This Row],[SgammaP]])*$A$4*-100</f>
        <v>0</v>
      </c>
      <c r="BF14">
        <f>Table1[[#This Row],[DEXc]]+Table1[[#This Row],[DEXp]]</f>
        <v>0</v>
      </c>
      <c r="BG14">
        <f>IFERROR(Table1[[#This Row],[DeltaC]]*Table1[[#This Row],[Open.Int]]*$A$4,0)</f>
        <v>0</v>
      </c>
      <c r="BH14">
        <f>IFERROR(Table1[[#This Row],[DeltaP]]*Table1[[#This Row],[Open.Int8]]*$A$4,0)</f>
        <v>0</v>
      </c>
      <c r="BI1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">
        <f ca="1">Table1[[#This Row],[Charmc]]+Table1[[#This Row],[Charmp]]</f>
        <v>0</v>
      </c>
      <c r="BL1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" s="78">
        <f ca="1">Table1[[#This Row],[call helper]]+Table1[[#This Row],[put helper]]</f>
        <v>0</v>
      </c>
      <c r="BP14" t="str">
        <f>RTD("tos.rtd", , "STRIKE", "."&amp;Table1[[#This Row],[Ticker]]&amp;Table1[[#This Row],[Expiry]]&amp;""&amp;"C"&amp;Table1[[#This Row],[Spot]]+Table1[[#This Row],[step]])</f>
        <v>N/A</v>
      </c>
      <c r="BQ14">
        <v>6835</v>
      </c>
      <c r="BV14">
        <f ca="1"/>
        <v>6835</v>
      </c>
      <c r="BW14" s="77">
        <f ca="1"/>
        <v>7.6687733639534615E-127</v>
      </c>
      <c r="BX14" s="77">
        <f ca="1"/>
        <v>-39026.889469670459</v>
      </c>
      <c r="BY14" s="17">
        <f ca="1"/>
        <v>0.17384713601824275</v>
      </c>
      <c r="BZ14">
        <f ca="1"/>
        <v>-80</v>
      </c>
      <c r="CA14">
        <f ca="1"/>
        <v>777993.69225195493</v>
      </c>
      <c r="CB14">
        <f ca="1"/>
        <v>1306584.0004338112</v>
      </c>
    </row>
    <row r="15" spans="1:124" x14ac:dyDescent="0.25">
      <c r="A15">
        <f t="shared" ca="1" si="4"/>
        <v>2.5814307458086375E-3</v>
      </c>
      <c r="C15" s="17"/>
      <c r="D15">
        <f>IF(
    ISNUMBER(Table1[[#This Row],[Strike]]),RTD("tos.rtd", , "OPEN_INT", "."&amp;Table1[[#This Row],[Ticker]]&amp;Table1[[#This Row],[Expiry]]&amp;""&amp;"C"&amp;Table1[[#This Row],[Strike]]))</f>
        <v>516</v>
      </c>
      <c r="E1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54</v>
      </c>
      <c r="G15">
        <f>IF(
    ISNUMBER(Table1[[#This Row],[Strike]]),RTD("tos.rtd", , "DELTA", "."&amp;Table1[[#This Row],[Ticker]]&amp;Table1[[#This Row],[Expiry]]&amp;""&amp;"C"&amp;Table1[[#This Row],[Strike]]))</f>
        <v>1</v>
      </c>
      <c r="H15" s="17" cm="1">
        <f t="array" aca="1" ref="H15" ca="1">IF(
    ISNUMBER(Table1[[#This Row],[Strike]]),IndividualLegIVCore($A$4, Table1[[#This Row],[Strike]], 0.0411, Table1[[#This Row],[T]], ((Table1[[#This Row],[BIDC]]+Table1[[#This Row],[ASKC]])/2), TRUE))</f>
        <v>0.01</v>
      </c>
      <c r="I15">
        <f>IF(
    ISNUMBER(Table1[[#This Row],[Strike]]),RTD("tos.rtd", , "BID", "."&amp;Table1[[#This Row],[Ticker]]&amp;Table1[[#This Row],[Expiry]]&amp;""&amp;"C"&amp;Table1[[#This Row],[Strike]]))</f>
        <v>90.5</v>
      </c>
      <c r="J15">
        <f>IF(
    ISNUMBER(Table1[[#This Row],[Strike]]),RTD("tos.rtd", , "ASK", "."&amp;Table1[[#This Row],[Ticker]]&amp;Table1[[#This Row],[Expiry]]&amp;""&amp;"C"&amp;Table1[[#This Row],[Strike]]))</f>
        <v>91.7</v>
      </c>
      <c r="K1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0.18221705479896641</v>
      </c>
      <c r="L15" s="17" cm="1">
        <f t="array" aca="1" ref="L15" ca="1">CubicSplineIVSmile($A$4, Table1[[#This Row],[Strike]], 0.0411, Table1[[#This Row],[T]], (Table1[[#This Row],[BIDC]]+Table1[[#This Row],[ASKC]])/2, (Table1[[#This Row],[BIDP]]+Table1[[#This Row],[ASKP]])/2, Table1[Strike], Table1[IV Calc AVG])</f>
        <v>0.18221705479896641</v>
      </c>
      <c r="M15" s="1">
        <f t="shared" si="5"/>
        <v>46045</v>
      </c>
      <c r="N15">
        <f t="shared" si="6"/>
        <v>6820</v>
      </c>
      <c r="P15" s="17" cm="1">
        <f t="array" aca="1" ref="P15" ca="1">IF(
    ISNUMBER(Table1[[#This Row],[Strike]]),IndividualLegIVCore($A$4, Table1[[#This Row],[Strike]], 0.0411, Table1[[#This Row],[T]], ((Table1[[#This Row],[BIDP]]+Table1[[#This Row],[ASKP]])/2), FALSE))</f>
        <v>0.18221705479896641</v>
      </c>
      <c r="Q15">
        <f>IF(
    ISNUMBER(Table1[[#This Row],[Strike]]),RTD("tos.rtd", , "BID", "."&amp;Table1[[#This Row],[Ticker]]&amp;Table1[[#This Row],[Expiry]]&amp;""&amp;"P"&amp;Table1[[#This Row],[Strike]]))</f>
        <v>1.85</v>
      </c>
      <c r="R15">
        <f>IF(
    ISNUMBER(Table1[[#This Row],[Strike]]),RTD("tos.rtd", , "ASK", "."&amp;Table1[[#This Row],[Ticker]]&amp;Table1[[#This Row],[Expiry]]&amp;""&amp;"P"&amp;Table1[[#This Row],[Strike]]))</f>
        <v>2.0499999999999998</v>
      </c>
      <c r="S15" s="17"/>
      <c r="T15">
        <f>IF(
    ISNUMBER(Table1[[#This Row],[Strike]]),RTD("tos.rtd", , "OPEN_INT", "."&amp;Table1[[#This Row],[Ticker]]&amp;Table1[[#This Row],[Expiry]]&amp;""&amp;"P"&amp;Table1[[#This Row],[Strike]]))</f>
        <v>1103</v>
      </c>
      <c r="U1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3473</v>
      </c>
      <c r="W15">
        <f>IF(
    ISNUMBER(Table1[[#This Row],[Strike]]),RTD("tos.rtd", , "DELTA", "."&amp;Table1[[#This Row],[Ticker]]&amp;Table1[[#This Row],[Expiry]]&amp;""&amp;"P"&amp;Table1[[#This Row],[Strike]]))</f>
        <v>-7.0000000000000007E-2</v>
      </c>
      <c r="Y15" s="19">
        <f>-47.5* IF($M$1="NDX", 10, IF(OR($M$1="SPX", $M$1="RUT"), 2, 1))</f>
        <v>-95</v>
      </c>
      <c r="Z15">
        <f ca="1">IFERROR(Table1[[#This Row],[call gamma]]*(Table1[[#This Row],[Open.Int]])*$A$4^2,0)</f>
        <v>1.1929213111180934E-176</v>
      </c>
      <c r="AA15">
        <f ca="1">IFERROR(((Table1[[#This Row],[Open.Int8]])*Table1[[#This Row],[Put gamma]])*-1*$A$4^2,0)</f>
        <v>-34998.766232202521</v>
      </c>
      <c r="AB15">
        <f ca="1">(Table1[[#This Row],[Call Gex]]+Table1[[#This Row],[Put Gex]])</f>
        <v>-34998.766232202521</v>
      </c>
      <c r="AC15">
        <f ca="1">Table1[[#This Row],[call delta adj]]+Table1[[#This Row],[put delta adj]]</f>
        <v>-2449.9136362541767</v>
      </c>
      <c r="AD15">
        <f ca="1">Table1[[#This Row],[Put Gex]]*Table1[[#This Row],[DeltaP]]*-1</f>
        <v>-2449.9136362541767</v>
      </c>
      <c r="AE15">
        <f ca="1">Table1[[#This Row],[Call Gex]]*Table1[[#This Row],[DeltaC]]</f>
        <v>1.1929213111180934E-176</v>
      </c>
      <c r="AF15">
        <f>IF(Table1[[#This Row],[DeltaC]]-ABS(Table1[[#This Row],[DeltaP]])="0","0.01",Table1[[#This Row],[DeltaC]]-ABS(Table1[[#This Row],[DeltaP]]))</f>
        <v>0.92999999999999994</v>
      </c>
      <c r="AG15">
        <f ca="1">((LN($A$4/Table1[[#This Row],[Strike]]) + (0.411 + 0.5 * Table1[[#This Row],[IV Calc P]]^2) *Table1[[#This Row],[T]])) / (Table1[[#This Row],[IV Calc P]] * SQRT(Table1[[#This Row],[T]]))</f>
        <v>1.5876653943755152</v>
      </c>
      <c r="AH15">
        <f ca="1">(LN($A$4/Table1[[#This Row],[Strike]]) + (0.411-0 + 0.5 * Table1[[#This Row],[IV Calc C]]^2) *Table1[[#This Row],[T]]) / (Table1[[#This Row],[IV Calc C]] * SQRT(Table1[[#This Row],[T]]))</f>
        <v>28.845876576129847</v>
      </c>
      <c r="AI15">
        <f ca="1">(EXP(-(AG15^2)/2)/SQRT(2*PI())*EXP(0*SQRT(Table1[[#This Row],[T]]))/$A$4*18%*SQRT(SQRT(Table1[[#This Row],[T]])))</f>
        <v>6.6389612514817331E-7</v>
      </c>
      <c r="AJ15">
        <f ca="1">(EXP(-(AH15^2)/2)/SQRT(2*PI())*EXP(0*SQRT(Table1[[#This Row],[T]]))/$A$4*18%*SQRT(SQRT(Table1[[#This Row],[T]])))</f>
        <v>4.8370993428358195E-187</v>
      </c>
      <c r="AK15">
        <f ca="1">Table1[[#This Row],[Call D1]]-Table1[[#This Row],[IV Calc C]]*SQRT(Table1[[#This Row],[T]])</f>
        <v>28.845368498306495</v>
      </c>
      <c r="AL15">
        <f ca="1">Table1[[#This Row],[Put D1]]-Table1[[#This Row],[IV Calc P]]*SQRT(Table1[[#This Row],[T]])</f>
        <v>1.5784073499175504</v>
      </c>
      <c r="AM15">
        <f ca="1">EXP(-0.5*Table1[[#This Row],[Call D1]]^2)/SQRT(2*PI())</f>
        <v>8.2420629372790773E-182</v>
      </c>
      <c r="AN15">
        <f ca="1">EXP(-0.5*Table1[[#This Row],[Put D1]]^2)/SQRT(2*PI())</f>
        <v>0.11312303633770286</v>
      </c>
      <c r="AO15">
        <f ca="1">IFERROR((EXP(0*Table1[[#This Row],[T]])*Table1[[#This Row],[call N(d1)]]*(Table1[[#This Row],[call d2]]/Table1[[#This Row],[IV Calc C]]))*Table1[[#This Row],[Open.Int]]*Table1[[#This Row],[DeltaC]],0)</f>
        <v>1.2267659678781748E-175</v>
      </c>
      <c r="AP15">
        <f ca="1">IFERROR((EXP(0*Table1[[#This Row],[T]])*Table1[[#This Row],[put N(d1)]]*(Table1[[#This Row],[put d2]]/Table1[[#This Row],[IV Calc P]]))*Table1[[#This Row],[Open.Int8]]*Table1[[#This Row],[DeltaP]]*-1,0)</f>
        <v>75.657968832622444</v>
      </c>
      <c r="AQ15" s="77">
        <f ca="1">((Table1[[#This Row],[call vanna]]+Table1[[#This Row],[put vanna]])*$A$4)</f>
        <v>523050.01882901043</v>
      </c>
      <c r="AR1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1.1929213111180934E-176</v>
      </c>
      <c r="AS1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-34998.766232202521</v>
      </c>
      <c r="AT15" s="9" t="str" cm="1">
        <f t="array" ref="AT15">_xlfn.IFS(     $M$1="SPX","SPXW",     $M$1="RUT","RUTW",  $M$1="NDX","NDXP",   TRUE,$M$1 )</f>
        <v>SPXW</v>
      </c>
      <c r="AU15" s="2">
        <f t="shared" si="7"/>
        <v>6915</v>
      </c>
      <c r="AV15" t="str">
        <f t="shared" si="8"/>
        <v>260123</v>
      </c>
      <c r="AW15" s="19">
        <f ca="1">IFERROR((EXP(0*Table1[[#This Row],[T]])*Table1[[#This Row],[put N(d1)]]*(Table1[[#This Row],[put d2]]/Table1[[#This Row],[IV Calc P]]))*Table1[[#This Row],[Open.Int8]]*Table1[[#This Row],[DeltaP]]*-1,0)</f>
        <v>75.657968832622444</v>
      </c>
      <c r="AX15">
        <f ca="1">IFERROR((EXP(0*Table1[[#This Row],[T]])*Table1[[#This Row],[call N(d1)]]*(Table1[[#This Row],[call d2]]/Table1[[#This Row],[IV Calc C]]))*Table1[[#This Row],[Open.Int]]*Table1[[#This Row],[DeltaC]],0)</f>
        <v>1.2267659678781748E-175</v>
      </c>
      <c r="AY15">
        <f>IF(
    ISNUMBER(Table1[[#This Row],[Strike]]),RTD("tos.rtd", , "high", "."&amp;Table1[[#This Row],[Ticker]]&amp;Table1[[#This Row],[Expiry]]&amp;""&amp;"C"&amp;Table1[[#This Row],[Spot]]+Table1[[#This Row],[step]]))</f>
        <v>113.85</v>
      </c>
      <c r="AZ15">
        <f>IF(
    ISNUMBER(Table1[[#This Row],[Strike]]),RTD("tos.rtd", , "low", "."&amp;Table1[[#This Row],[Ticker]]&amp;Table1[[#This Row],[Expiry]]&amp;""&amp;"C"&amp;Table1[[#This Row],[Spot]]+Table1[[#This Row],[step]]))</f>
        <v>81.39</v>
      </c>
      <c r="BA15">
        <f>IF(
    ISNUMBER(Table1[[#This Row],[Strike]]),RTD("tos.rtd", , "high", "."&amp;Table1[[#This Row],[Ticker]]&amp;Table1[[#This Row],[Expiry]]&amp;""&amp;"P"&amp;Table1[[#This Row],[Spot]]+Table1[[#This Row],[step]]))</f>
        <v>6.21</v>
      </c>
      <c r="BB15">
        <f>IF(
    ISNUMBER(Table1[[#This Row],[Strike]]),RTD("tos.rtd", , "low", "."&amp;Table1[[#This Row],[Ticker]]&amp;Table1[[#This Row],[Expiry]]&amp;""&amp;"P"&amp;Table1[[#This Row],[Spot]]+Table1[[#This Row],[step]]))</f>
        <v>1.05</v>
      </c>
      <c r="BC15">
        <f>((Table1[[#This Row],[High C]]+Table1[[#This Row],[Low C]])/2)*Table1[[#This Row],[gammac]]*Table1[[#This Row],[Volume]]</f>
        <v>0</v>
      </c>
      <c r="BD15">
        <f>((Table1[[#This Row],[High P]]+Table1[[#This Row],[Low P]])/2)*Table1[[#This Row],[gammap]]*Table1[[#This Row],[Volume9]]*-1</f>
        <v>0</v>
      </c>
      <c r="BE15">
        <f>(Table1[[#This Row],[SgammaC]]+Table1[[#This Row],[SgammaP]])*$A$4*-100</f>
        <v>0</v>
      </c>
      <c r="BF15">
        <f>Table1[[#This Row],[DEXc]]+Table1[[#This Row],[DEXp]]</f>
        <v>3033508.8465</v>
      </c>
      <c r="BG15">
        <f>IFERROR(Table1[[#This Row],[DeltaC]]*Table1[[#This Row],[Open.Int]]*$A$4,0)</f>
        <v>3567288.6</v>
      </c>
      <c r="BH15">
        <f>IFERROR(Table1[[#This Row],[DeltaP]]*Table1[[#This Row],[Open.Int8]]*$A$4,0)</f>
        <v>-533779.75350000011</v>
      </c>
      <c r="BI1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3.2469230556452921E-152</v>
      </c>
      <c r="BJ1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1547025.9657398132</v>
      </c>
      <c r="BK15">
        <f ca="1">Table1[[#This Row],[Charmc]]+Table1[[#This Row],[Charmp]]</f>
        <v>1547025.9657398132</v>
      </c>
      <c r="BL1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" s="78">
        <f ca="1">Table1[[#This Row],[call helper]]+Table1[[#This Row],[put helper]]</f>
        <v>-34998.766232202521</v>
      </c>
      <c r="BP15">
        <f>RTD("tos.rtd", , "STRIKE", "."&amp;Table1[[#This Row],[Ticker]]&amp;Table1[[#This Row],[Expiry]]&amp;""&amp;"C"&amp;Table1[[#This Row],[Spot]]+Table1[[#This Row],[step]])</f>
        <v>6820</v>
      </c>
      <c r="BQ15">
        <v>6840</v>
      </c>
      <c r="BV15">
        <f ca="1"/>
        <v>6840</v>
      </c>
      <c r="BW15" s="77">
        <f ca="1"/>
        <v>8.3125670633582739E-112</v>
      </c>
      <c r="BX15" s="77">
        <f ca="1"/>
        <v>-80132.09953304482</v>
      </c>
      <c r="BY15" s="17">
        <f ca="1"/>
        <v>0.17159877380001254</v>
      </c>
      <c r="BZ15">
        <f ca="1"/>
        <v>-75</v>
      </c>
      <c r="CA15">
        <f ca="1"/>
        <v>1697465.4836328214</v>
      </c>
      <c r="CB15">
        <f ca="1"/>
        <v>2390677.3661444033</v>
      </c>
    </row>
    <row r="16" spans="1:124" x14ac:dyDescent="0.25">
      <c r="A16">
        <f t="shared" ca="1" si="4"/>
        <v>2.5814307458086375E-3</v>
      </c>
      <c r="C16" s="17"/>
      <c r="D16" t="b">
        <f>IF(
    ISNUMBER(Table1[[#This Row],[Strike]]),RTD("tos.rtd", , "OPEN_INT", "."&amp;Table1[[#This Row],[Ticker]]&amp;Table1[[#This Row],[Expiry]]&amp;""&amp;"C"&amp;Table1[[#This Row],[Strike]]))</f>
        <v>0</v>
      </c>
      <c r="E1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" t="b">
        <f>IF(
    ISNUMBER(Table1[[#This Row],[Strike]]),RTD("tos.rtd", , "DELTA", "."&amp;Table1[[#This Row],[Ticker]]&amp;Table1[[#This Row],[Expiry]]&amp;""&amp;"C"&amp;Table1[[#This Row],[Strike]]))</f>
        <v>0</v>
      </c>
      <c r="H16" s="17" t="b" cm="1">
        <f t="array" ref="H16">IF(
    ISNUMBER(Table1[[#This Row],[Strike]]),IndividualLegIVCore($A$4, Table1[[#This Row],[Strike]], 0.0411, Table1[[#This Row],[T]], ((Table1[[#This Row],[BIDC]]+Table1[[#This Row],[ASKC]])/2), TRUE))</f>
        <v>0</v>
      </c>
      <c r="I16" t="b">
        <f>IF(
    ISNUMBER(Table1[[#This Row],[Strike]]),RTD("tos.rtd", , "BID", "."&amp;Table1[[#This Row],[Ticker]]&amp;Table1[[#This Row],[Expiry]]&amp;""&amp;"C"&amp;Table1[[#This Row],[Strike]]))</f>
        <v>0</v>
      </c>
      <c r="J16" t="b">
        <f>IF(
    ISNUMBER(Table1[[#This Row],[Strike]]),RTD("tos.rtd", , "ASK", "."&amp;Table1[[#This Row],[Ticker]]&amp;Table1[[#This Row],[Expiry]]&amp;""&amp;"C"&amp;Table1[[#This Row],[Strike]]))</f>
        <v>0</v>
      </c>
      <c r="K1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" s="17" cm="1">
        <f t="array" aca="1" ref="L1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" s="1">
        <f t="shared" si="5"/>
        <v>46045</v>
      </c>
      <c r="N16" t="b">
        <f t="shared" si="6"/>
        <v>0</v>
      </c>
      <c r="P16" s="17" t="b" cm="1">
        <f t="array" ref="P16">IF(
    ISNUMBER(Table1[[#This Row],[Strike]]),IndividualLegIVCore($A$4, Table1[[#This Row],[Strike]], 0.0411, Table1[[#This Row],[T]], ((Table1[[#This Row],[BIDP]]+Table1[[#This Row],[ASKP]])/2), FALSE))</f>
        <v>0</v>
      </c>
      <c r="Q16" t="b">
        <f>IF(
    ISNUMBER(Table1[[#This Row],[Strike]]),RTD("tos.rtd", , "BID", "."&amp;Table1[[#This Row],[Ticker]]&amp;Table1[[#This Row],[Expiry]]&amp;""&amp;"P"&amp;Table1[[#This Row],[Strike]]))</f>
        <v>0</v>
      </c>
      <c r="R16" t="b">
        <f>IF(
    ISNUMBER(Table1[[#This Row],[Strike]]),RTD("tos.rtd", , "ASK", "."&amp;Table1[[#This Row],[Ticker]]&amp;Table1[[#This Row],[Expiry]]&amp;""&amp;"P"&amp;Table1[[#This Row],[Strike]]))</f>
        <v>0</v>
      </c>
      <c r="S16" s="17"/>
      <c r="T16" t="b">
        <f>IF(
    ISNUMBER(Table1[[#This Row],[Strike]]),RTD("tos.rtd", , "OPEN_INT", "."&amp;Table1[[#This Row],[Ticker]]&amp;Table1[[#This Row],[Expiry]]&amp;""&amp;"P"&amp;Table1[[#This Row],[Strike]]))</f>
        <v>0</v>
      </c>
      <c r="U1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" t="b">
        <f>IF(
    ISNUMBER(Table1[[#This Row],[Strike]]),RTD("tos.rtd", , "DELTA", "."&amp;Table1[[#This Row],[Ticker]]&amp;Table1[[#This Row],[Expiry]]&amp;""&amp;"P"&amp;Table1[[#This Row],[Strike]]))</f>
        <v>0</v>
      </c>
      <c r="Y16" s="19">
        <f>-47* IF($M$1="NDX", 10, IF(OR($M$1="SPX", $M$1="RUT"), 2, 1))</f>
        <v>-94</v>
      </c>
      <c r="Z16">
        <f ca="1">IFERROR(Table1[[#This Row],[call gamma]]*(Table1[[#This Row],[Open.Int]])*$A$4^2,0)</f>
        <v>0</v>
      </c>
      <c r="AA16">
        <f ca="1">IFERROR(((Table1[[#This Row],[Open.Int8]])*Table1[[#This Row],[Put gamma]])*-1*$A$4^2,0)</f>
        <v>0</v>
      </c>
      <c r="AB16">
        <f ca="1">(Table1[[#This Row],[Call Gex]]+Table1[[#This Row],[Put Gex]])</f>
        <v>0</v>
      </c>
      <c r="AC16">
        <f ca="1">Table1[[#This Row],[call delta adj]]+Table1[[#This Row],[put delta adj]]</f>
        <v>0</v>
      </c>
      <c r="AD16">
        <f ca="1">Table1[[#This Row],[Put Gex]]*Table1[[#This Row],[DeltaP]]*-1</f>
        <v>0</v>
      </c>
      <c r="AE16">
        <f ca="1">Table1[[#This Row],[Call Gex]]*Table1[[#This Row],[DeltaC]]</f>
        <v>0</v>
      </c>
      <c r="AF16">
        <f>IF(Table1[[#This Row],[DeltaC]]-ABS(Table1[[#This Row],[DeltaP]])="0","0.01",Table1[[#This Row],[DeltaC]]-ABS(Table1[[#This Row],[DeltaP]]))</f>
        <v>0</v>
      </c>
      <c r="AG16" t="e">
        <f ca="1">((LN($A$4/Table1[[#This Row],[Strike]]) + (0.411 + 0.5 * Table1[[#This Row],[IV Calc P]]^2) *Table1[[#This Row],[T]])) / (Table1[[#This Row],[IV Calc P]] * SQRT(Table1[[#This Row],[T]]))</f>
        <v>#DIV/0!</v>
      </c>
      <c r="AH16" t="e">
        <f ca="1">(LN($A$4/Table1[[#This Row],[Strike]]) + (0.411-0 + 0.5 * Table1[[#This Row],[IV Calc C]]^2) *Table1[[#This Row],[T]]) / (Table1[[#This Row],[IV Calc C]] * SQRT(Table1[[#This Row],[T]]))</f>
        <v>#DIV/0!</v>
      </c>
      <c r="AI16" t="e">
        <f ca="1">(EXP(-(AG16^2)/2)/SQRT(2*PI())*EXP(0*SQRT(Table1[[#This Row],[T]]))/$A$4*18%*SQRT(SQRT(Table1[[#This Row],[T]])))</f>
        <v>#DIV/0!</v>
      </c>
      <c r="AJ16" t="e">
        <f ca="1">(EXP(-(AH16^2)/2)/SQRT(2*PI())*EXP(0*SQRT(Table1[[#This Row],[T]]))/$A$4*18%*SQRT(SQRT(Table1[[#This Row],[T]])))</f>
        <v>#DIV/0!</v>
      </c>
      <c r="AK16" t="e">
        <f ca="1">Table1[[#This Row],[Call D1]]-Table1[[#This Row],[IV Calc C]]*SQRT(Table1[[#This Row],[T]])</f>
        <v>#DIV/0!</v>
      </c>
      <c r="AL16" t="e">
        <f ca="1">Table1[[#This Row],[Put D1]]-Table1[[#This Row],[IV Calc P]]*SQRT(Table1[[#This Row],[T]])</f>
        <v>#DIV/0!</v>
      </c>
      <c r="AM16" t="e">
        <f ca="1">EXP(-0.5*Table1[[#This Row],[Call D1]]^2)/SQRT(2*PI())</f>
        <v>#DIV/0!</v>
      </c>
      <c r="AN16" t="e">
        <f ca="1">EXP(-0.5*Table1[[#This Row],[Put D1]]^2)/SQRT(2*PI())</f>
        <v>#DIV/0!</v>
      </c>
      <c r="AO16">
        <f ca="1">IFERROR((EXP(0*Table1[[#This Row],[T]])*Table1[[#This Row],[call N(d1)]]*(Table1[[#This Row],[call d2]]/Table1[[#This Row],[IV Calc C]]))*Table1[[#This Row],[Open.Int]]*Table1[[#This Row],[DeltaC]],0)</f>
        <v>0</v>
      </c>
      <c r="AP16">
        <f ca="1">IFERROR((EXP(0*Table1[[#This Row],[T]])*Table1[[#This Row],[put N(d1)]]*(Table1[[#This Row],[put d2]]/Table1[[#This Row],[IV Calc P]]))*Table1[[#This Row],[Open.Int8]]*Table1[[#This Row],[DeltaP]]*-1,0)</f>
        <v>0</v>
      </c>
      <c r="AQ16">
        <f ca="1">((Table1[[#This Row],[call vanna]]+Table1[[#This Row],[put vanna]])*$A$4)</f>
        <v>0</v>
      </c>
      <c r="AR1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" s="9" t="str" cm="1">
        <f t="array" ref="AT16">_xlfn.IFS(     $M$1="SPX","SPXW",     $M$1="RUT","RUTW",  $M$1="NDX","NDXP",   TRUE,$M$1 )</f>
        <v>SPXW</v>
      </c>
      <c r="AU16" s="2">
        <f t="shared" si="7"/>
        <v>6915</v>
      </c>
      <c r="AV16" t="str">
        <f t="shared" si="8"/>
        <v>260123</v>
      </c>
      <c r="AW16" s="19">
        <f ca="1">IFERROR((EXP(0*Table1[[#This Row],[T]])*Table1[[#This Row],[put N(d1)]]*(Table1[[#This Row],[put d2]]/Table1[[#This Row],[IV Calc P]]))*Table1[[#This Row],[Open.Int8]]*Table1[[#This Row],[DeltaP]]*-1,0)</f>
        <v>0</v>
      </c>
      <c r="AX16">
        <f ca="1">IFERROR((EXP(0*Table1[[#This Row],[T]])*Table1[[#This Row],[call N(d1)]]*(Table1[[#This Row],[call d2]]/Table1[[#This Row],[IV Calc C]]))*Table1[[#This Row],[Open.Int]]*Table1[[#This Row],[DeltaC]],0)</f>
        <v>0</v>
      </c>
      <c r="AY1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">
        <f>((Table1[[#This Row],[High C]]+Table1[[#This Row],[Low C]])/2)*Table1[[#This Row],[gammac]]*Table1[[#This Row],[Volume]]</f>
        <v>0</v>
      </c>
      <c r="BD16">
        <f>((Table1[[#This Row],[High P]]+Table1[[#This Row],[Low P]])/2)*Table1[[#This Row],[gammap]]*Table1[[#This Row],[Volume9]]*-1</f>
        <v>0</v>
      </c>
      <c r="BE16">
        <f>(Table1[[#This Row],[SgammaC]]+Table1[[#This Row],[SgammaP]])*$A$4*-100</f>
        <v>0</v>
      </c>
      <c r="BF16">
        <f>Table1[[#This Row],[DEXc]]+Table1[[#This Row],[DEXp]]</f>
        <v>0</v>
      </c>
      <c r="BG16">
        <f>IFERROR(Table1[[#This Row],[DeltaC]]*Table1[[#This Row],[Open.Int]]*$A$4,0)</f>
        <v>0</v>
      </c>
      <c r="BH16">
        <f>IFERROR(Table1[[#This Row],[DeltaP]]*Table1[[#This Row],[Open.Int8]]*$A$4,0)</f>
        <v>0</v>
      </c>
      <c r="BI1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">
        <f ca="1">Table1[[#This Row],[Charmc]]+Table1[[#This Row],[Charmp]]</f>
        <v>0</v>
      </c>
      <c r="BL1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" s="78">
        <f ca="1">Table1[[#This Row],[call helper]]+Table1[[#This Row],[put helper]]</f>
        <v>0</v>
      </c>
      <c r="BP16" t="str">
        <f>RTD("tos.rtd", , "STRIKE", "."&amp;Table1[[#This Row],[Ticker]]&amp;Table1[[#This Row],[Expiry]]&amp;""&amp;"C"&amp;Table1[[#This Row],[Spot]]+Table1[[#This Row],[step]])</f>
        <v>N/A</v>
      </c>
      <c r="BQ16">
        <v>6845</v>
      </c>
      <c r="BV16">
        <f ca="1"/>
        <v>6845</v>
      </c>
      <c r="BW16" s="77">
        <f ca="1"/>
        <v>8.5040161274450639E-98</v>
      </c>
      <c r="BX16" s="77">
        <f ca="1"/>
        <v>-41253.046952885925</v>
      </c>
      <c r="BY16" s="17">
        <f ca="1"/>
        <v>0.16933754683301233</v>
      </c>
      <c r="BZ16">
        <f ca="1"/>
        <v>-70</v>
      </c>
      <c r="CA16">
        <f ca="1"/>
        <v>917838.80237178295</v>
      </c>
      <c r="CB16">
        <f ca="1"/>
        <v>1079299.7908861525</v>
      </c>
    </row>
    <row r="17" spans="1:80" x14ac:dyDescent="0.25">
      <c r="A17">
        <f t="shared" ca="1" si="4"/>
        <v>2.5814307458086375E-3</v>
      </c>
      <c r="C17" s="17"/>
      <c r="D17" t="b">
        <f>IF(
    ISNUMBER(Table1[[#This Row],[Strike]]),RTD("tos.rtd", , "OPEN_INT", "."&amp;Table1[[#This Row],[Ticker]]&amp;Table1[[#This Row],[Expiry]]&amp;""&amp;"C"&amp;Table1[[#This Row],[Strike]]))</f>
        <v>0</v>
      </c>
      <c r="E1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" t="b">
        <f>IF(
    ISNUMBER(Table1[[#This Row],[Strike]]),RTD("tos.rtd", , "DELTA", "."&amp;Table1[[#This Row],[Ticker]]&amp;Table1[[#This Row],[Expiry]]&amp;""&amp;"C"&amp;Table1[[#This Row],[Strike]]))</f>
        <v>0</v>
      </c>
      <c r="H17" s="17" t="b" cm="1">
        <f t="array" ref="H17">IF(
    ISNUMBER(Table1[[#This Row],[Strike]]),IndividualLegIVCore($A$4, Table1[[#This Row],[Strike]], 0.0411, Table1[[#This Row],[T]], ((Table1[[#This Row],[BIDC]]+Table1[[#This Row],[ASKC]])/2), TRUE))</f>
        <v>0</v>
      </c>
      <c r="I17" t="b">
        <f>IF(
    ISNUMBER(Table1[[#This Row],[Strike]]),RTD("tos.rtd", , "BID", "."&amp;Table1[[#This Row],[Ticker]]&amp;Table1[[#This Row],[Expiry]]&amp;""&amp;"C"&amp;Table1[[#This Row],[Strike]]))</f>
        <v>0</v>
      </c>
      <c r="J17" t="b">
        <f>IF(
    ISNUMBER(Table1[[#This Row],[Strike]]),RTD("tos.rtd", , "ASK", "."&amp;Table1[[#This Row],[Ticker]]&amp;Table1[[#This Row],[Expiry]]&amp;""&amp;"C"&amp;Table1[[#This Row],[Strike]]))</f>
        <v>0</v>
      </c>
      <c r="K1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" s="17" cm="1">
        <f t="array" aca="1" ref="L1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" s="1">
        <f t="shared" si="5"/>
        <v>46045</v>
      </c>
      <c r="N17" t="b">
        <f t="shared" si="6"/>
        <v>0</v>
      </c>
      <c r="P17" s="17" t="b" cm="1">
        <f t="array" ref="P17">IF(
    ISNUMBER(Table1[[#This Row],[Strike]]),IndividualLegIVCore($A$4, Table1[[#This Row],[Strike]], 0.0411, Table1[[#This Row],[T]], ((Table1[[#This Row],[BIDP]]+Table1[[#This Row],[ASKP]])/2), FALSE))</f>
        <v>0</v>
      </c>
      <c r="Q17" t="b">
        <f>IF(
    ISNUMBER(Table1[[#This Row],[Strike]]),RTD("tos.rtd", , "BID", "."&amp;Table1[[#This Row],[Ticker]]&amp;Table1[[#This Row],[Expiry]]&amp;""&amp;"P"&amp;Table1[[#This Row],[Strike]]))</f>
        <v>0</v>
      </c>
      <c r="R17" t="b">
        <f>IF(
    ISNUMBER(Table1[[#This Row],[Strike]]),RTD("tos.rtd", , "ASK", "."&amp;Table1[[#This Row],[Ticker]]&amp;Table1[[#This Row],[Expiry]]&amp;""&amp;"P"&amp;Table1[[#This Row],[Strike]]))</f>
        <v>0</v>
      </c>
      <c r="S17" s="17"/>
      <c r="T17" t="b">
        <f>IF(
    ISNUMBER(Table1[[#This Row],[Strike]]),RTD("tos.rtd", , "OPEN_INT", "."&amp;Table1[[#This Row],[Ticker]]&amp;Table1[[#This Row],[Expiry]]&amp;""&amp;"P"&amp;Table1[[#This Row],[Strike]]))</f>
        <v>0</v>
      </c>
      <c r="U1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" t="b">
        <f>IF(
    ISNUMBER(Table1[[#This Row],[Strike]]),RTD("tos.rtd", , "DELTA", "."&amp;Table1[[#This Row],[Ticker]]&amp;Table1[[#This Row],[Expiry]]&amp;""&amp;"P"&amp;Table1[[#This Row],[Strike]]))</f>
        <v>0</v>
      </c>
      <c r="Y17" s="19">
        <f>-46.5* IF($M$1="NDX", 10, IF(OR($M$1="SPX", $M$1="RUT"), 2, 1))</f>
        <v>-93</v>
      </c>
      <c r="Z17">
        <f ca="1">IFERROR(Table1[[#This Row],[call gamma]]*(Table1[[#This Row],[Open.Int]])*$A$4^2,0)</f>
        <v>0</v>
      </c>
      <c r="AA17">
        <f ca="1">IFERROR(((Table1[[#This Row],[Open.Int8]])*Table1[[#This Row],[Put gamma]])*-1*$A$4^2,0)</f>
        <v>0</v>
      </c>
      <c r="AB17">
        <f ca="1">(Table1[[#This Row],[Call Gex]]+Table1[[#This Row],[Put Gex]])</f>
        <v>0</v>
      </c>
      <c r="AC17">
        <f ca="1">Table1[[#This Row],[call delta adj]]+Table1[[#This Row],[put delta adj]]</f>
        <v>0</v>
      </c>
      <c r="AD17">
        <f ca="1">Table1[[#This Row],[Put Gex]]*Table1[[#This Row],[DeltaP]]*-1</f>
        <v>0</v>
      </c>
      <c r="AE17">
        <f ca="1">Table1[[#This Row],[Call Gex]]*Table1[[#This Row],[DeltaC]]</f>
        <v>0</v>
      </c>
      <c r="AF17">
        <f>IF(Table1[[#This Row],[DeltaC]]-ABS(Table1[[#This Row],[DeltaP]])="0","0.01",Table1[[#This Row],[DeltaC]]-ABS(Table1[[#This Row],[DeltaP]]))</f>
        <v>0</v>
      </c>
      <c r="AG17" t="e">
        <f ca="1">((LN($A$4/Table1[[#This Row],[Strike]]) + (0.411 + 0.5 * Table1[[#This Row],[IV Calc P]]^2) *Table1[[#This Row],[T]])) / (Table1[[#This Row],[IV Calc P]] * SQRT(Table1[[#This Row],[T]]))</f>
        <v>#DIV/0!</v>
      </c>
      <c r="AH17" t="e">
        <f ca="1">(LN($A$4/Table1[[#This Row],[Strike]]) + (0.411-0 + 0.5 * Table1[[#This Row],[IV Calc C]]^2) *Table1[[#This Row],[T]]) / (Table1[[#This Row],[IV Calc C]] * SQRT(Table1[[#This Row],[T]]))</f>
        <v>#DIV/0!</v>
      </c>
      <c r="AI17" t="e">
        <f ca="1">(EXP(-(AG17^2)/2)/SQRT(2*PI())*EXP(0*SQRT(Table1[[#This Row],[T]]))/$A$4*18%*SQRT(SQRT(Table1[[#This Row],[T]])))</f>
        <v>#DIV/0!</v>
      </c>
      <c r="AJ17" t="e">
        <f ca="1">(EXP(-(AH17^2)/2)/SQRT(2*PI())*EXP(0*SQRT(Table1[[#This Row],[T]]))/$A$4*18%*SQRT(SQRT(Table1[[#This Row],[T]])))</f>
        <v>#DIV/0!</v>
      </c>
      <c r="AK17" t="e">
        <f ca="1">Table1[[#This Row],[Call D1]]-Table1[[#This Row],[IV Calc C]]*SQRT(Table1[[#This Row],[T]])</f>
        <v>#DIV/0!</v>
      </c>
      <c r="AL17" t="e">
        <f ca="1">Table1[[#This Row],[Put D1]]-Table1[[#This Row],[IV Calc P]]*SQRT(Table1[[#This Row],[T]])</f>
        <v>#DIV/0!</v>
      </c>
      <c r="AM17" t="e">
        <f ca="1">EXP(-0.5*Table1[[#This Row],[Call D1]]^2)/SQRT(2*PI())</f>
        <v>#DIV/0!</v>
      </c>
      <c r="AN17" t="e">
        <f ca="1">EXP(-0.5*Table1[[#This Row],[Put D1]]^2)/SQRT(2*PI())</f>
        <v>#DIV/0!</v>
      </c>
      <c r="AO17">
        <f ca="1">IFERROR((EXP(0*Table1[[#This Row],[T]])*Table1[[#This Row],[call N(d1)]]*(Table1[[#This Row],[call d2]]/Table1[[#This Row],[IV Calc C]]))*Table1[[#This Row],[Open.Int]]*Table1[[#This Row],[DeltaC]],0)</f>
        <v>0</v>
      </c>
      <c r="AP17">
        <f ca="1">IFERROR((EXP(0*Table1[[#This Row],[T]])*Table1[[#This Row],[put N(d1)]]*(Table1[[#This Row],[put d2]]/Table1[[#This Row],[IV Calc P]]))*Table1[[#This Row],[Open.Int8]]*Table1[[#This Row],[DeltaP]]*-1,0)</f>
        <v>0</v>
      </c>
      <c r="AQ17">
        <f ca="1">((Table1[[#This Row],[call vanna]]+Table1[[#This Row],[put vanna]])*$A$4)</f>
        <v>0</v>
      </c>
      <c r="AR1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" s="9" t="str" cm="1">
        <f t="array" ref="AT17">_xlfn.IFS(     $M$1="SPX","SPXW",     $M$1="RUT","RUTW",  $M$1="NDX","NDXP",   TRUE,$M$1 )</f>
        <v>SPXW</v>
      </c>
      <c r="AU17" s="2">
        <f t="shared" si="7"/>
        <v>6915</v>
      </c>
      <c r="AV17" t="str">
        <f t="shared" si="8"/>
        <v>260123</v>
      </c>
      <c r="AW17" s="19">
        <f ca="1">IFERROR((EXP(0*Table1[[#This Row],[T]])*Table1[[#This Row],[put N(d1)]]*(Table1[[#This Row],[put d2]]/Table1[[#This Row],[IV Calc P]]))*Table1[[#This Row],[Open.Int8]]*Table1[[#This Row],[DeltaP]]*-1,0)</f>
        <v>0</v>
      </c>
      <c r="AX17">
        <f ca="1">IFERROR((EXP(0*Table1[[#This Row],[T]])*Table1[[#This Row],[call N(d1)]]*(Table1[[#This Row],[call d2]]/Table1[[#This Row],[IV Calc C]]))*Table1[[#This Row],[Open.Int]]*Table1[[#This Row],[DeltaC]],0)</f>
        <v>0</v>
      </c>
      <c r="AY1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">
        <f>((Table1[[#This Row],[High C]]+Table1[[#This Row],[Low C]])/2)*Table1[[#This Row],[gammac]]*Table1[[#This Row],[Volume]]</f>
        <v>0</v>
      </c>
      <c r="BD17">
        <f>((Table1[[#This Row],[High P]]+Table1[[#This Row],[Low P]])/2)*Table1[[#This Row],[gammap]]*Table1[[#This Row],[Volume9]]*-1</f>
        <v>0</v>
      </c>
      <c r="BE17">
        <f>(Table1[[#This Row],[SgammaC]]+Table1[[#This Row],[SgammaP]])*$A$4*-100</f>
        <v>0</v>
      </c>
      <c r="BF17">
        <f>Table1[[#This Row],[DEXc]]+Table1[[#This Row],[DEXp]]</f>
        <v>0</v>
      </c>
      <c r="BG17">
        <f>IFERROR(Table1[[#This Row],[DeltaC]]*Table1[[#This Row],[Open.Int]]*$A$4,0)</f>
        <v>0</v>
      </c>
      <c r="BH17">
        <f>IFERROR(Table1[[#This Row],[DeltaP]]*Table1[[#This Row],[Open.Int8]]*$A$4,0)</f>
        <v>0</v>
      </c>
      <c r="BI1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">
        <f ca="1">Table1[[#This Row],[Charmc]]+Table1[[#This Row],[Charmp]]</f>
        <v>0</v>
      </c>
      <c r="BL1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" s="78">
        <f ca="1">Table1[[#This Row],[call helper]]+Table1[[#This Row],[put helper]]</f>
        <v>0</v>
      </c>
      <c r="BP17" t="str">
        <f>RTD("tos.rtd", , "STRIKE", "."&amp;Table1[[#This Row],[Ticker]]&amp;Table1[[#This Row],[Expiry]]&amp;""&amp;"C"&amp;Table1[[#This Row],[Spot]]+Table1[[#This Row],[step]])</f>
        <v>N/A</v>
      </c>
      <c r="BQ17">
        <v>6850</v>
      </c>
      <c r="BV17">
        <f ca="1"/>
        <v>6850</v>
      </c>
      <c r="BW17" s="77">
        <f ca="1"/>
        <v>7.3059034337663598E-84</v>
      </c>
      <c r="BX17" s="77">
        <f ca="1"/>
        <v>-268804.08046253206</v>
      </c>
      <c r="BY17" s="17">
        <f ca="1"/>
        <v>0.16665099106808279</v>
      </c>
      <c r="BZ17">
        <f ca="1"/>
        <v>-65</v>
      </c>
      <c r="CA17">
        <f ca="1"/>
        <v>6244603.8715181667</v>
      </c>
      <c r="CB17">
        <f ca="1"/>
        <v>6041134.7880290505</v>
      </c>
    </row>
    <row r="18" spans="1:80" x14ac:dyDescent="0.25">
      <c r="A18">
        <f t="shared" ca="1" si="4"/>
        <v>2.5814307458086375E-3</v>
      </c>
      <c r="C18" s="17"/>
      <c r="D18" t="b">
        <f>IF(
    ISNUMBER(Table1[[#This Row],[Strike]]),RTD("tos.rtd", , "OPEN_INT", "."&amp;Table1[[#This Row],[Ticker]]&amp;Table1[[#This Row],[Expiry]]&amp;""&amp;"C"&amp;Table1[[#This Row],[Strike]]))</f>
        <v>0</v>
      </c>
      <c r="E1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" t="b">
        <f>IF(
    ISNUMBER(Table1[[#This Row],[Strike]]),RTD("tos.rtd", , "DELTA", "."&amp;Table1[[#This Row],[Ticker]]&amp;Table1[[#This Row],[Expiry]]&amp;""&amp;"C"&amp;Table1[[#This Row],[Strike]]))</f>
        <v>0</v>
      </c>
      <c r="H18" s="17" t="b" cm="1">
        <f t="array" ref="H18">IF(
    ISNUMBER(Table1[[#This Row],[Strike]]),IndividualLegIVCore($A$4, Table1[[#This Row],[Strike]], 0.0411, Table1[[#This Row],[T]], ((Table1[[#This Row],[BIDC]]+Table1[[#This Row],[ASKC]])/2), TRUE))</f>
        <v>0</v>
      </c>
      <c r="I18" t="b">
        <f>IF(
    ISNUMBER(Table1[[#This Row],[Strike]]),RTD("tos.rtd", , "BID", "."&amp;Table1[[#This Row],[Ticker]]&amp;Table1[[#This Row],[Expiry]]&amp;""&amp;"C"&amp;Table1[[#This Row],[Strike]]))</f>
        <v>0</v>
      </c>
      <c r="J18" t="b">
        <f>IF(
    ISNUMBER(Table1[[#This Row],[Strike]]),RTD("tos.rtd", , "ASK", "."&amp;Table1[[#This Row],[Ticker]]&amp;Table1[[#This Row],[Expiry]]&amp;""&amp;"C"&amp;Table1[[#This Row],[Strike]]))</f>
        <v>0</v>
      </c>
      <c r="K1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" s="17" cm="1">
        <f t="array" aca="1" ref="L1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" s="1">
        <f t="shared" si="5"/>
        <v>46045</v>
      </c>
      <c r="N18" t="b">
        <f t="shared" si="6"/>
        <v>0</v>
      </c>
      <c r="P18" s="17" t="b" cm="1">
        <f t="array" ref="P18">IF(
    ISNUMBER(Table1[[#This Row],[Strike]]),IndividualLegIVCore($A$4, Table1[[#This Row],[Strike]], 0.0411, Table1[[#This Row],[T]], ((Table1[[#This Row],[BIDP]]+Table1[[#This Row],[ASKP]])/2), FALSE))</f>
        <v>0</v>
      </c>
      <c r="Q18" t="b">
        <f>IF(
    ISNUMBER(Table1[[#This Row],[Strike]]),RTD("tos.rtd", , "BID", "."&amp;Table1[[#This Row],[Ticker]]&amp;Table1[[#This Row],[Expiry]]&amp;""&amp;"P"&amp;Table1[[#This Row],[Strike]]))</f>
        <v>0</v>
      </c>
      <c r="R18" t="b">
        <f>IF(
    ISNUMBER(Table1[[#This Row],[Strike]]),RTD("tos.rtd", , "ASK", "."&amp;Table1[[#This Row],[Ticker]]&amp;Table1[[#This Row],[Expiry]]&amp;""&amp;"P"&amp;Table1[[#This Row],[Strike]]))</f>
        <v>0</v>
      </c>
      <c r="S18" s="17"/>
      <c r="T18" t="b">
        <f>IF(
    ISNUMBER(Table1[[#This Row],[Strike]]),RTD("tos.rtd", , "OPEN_INT", "."&amp;Table1[[#This Row],[Ticker]]&amp;Table1[[#This Row],[Expiry]]&amp;""&amp;"P"&amp;Table1[[#This Row],[Strike]]))</f>
        <v>0</v>
      </c>
      <c r="U1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" t="b">
        <f>IF(
    ISNUMBER(Table1[[#This Row],[Strike]]),RTD("tos.rtd", , "DELTA", "."&amp;Table1[[#This Row],[Ticker]]&amp;Table1[[#This Row],[Expiry]]&amp;""&amp;"P"&amp;Table1[[#This Row],[Strike]]))</f>
        <v>0</v>
      </c>
      <c r="Y18" s="19">
        <f>-46* IF($M$1="NDX", 10, IF(OR($M$1="SPX", $M$1="RUT"), 2, 1))</f>
        <v>-92</v>
      </c>
      <c r="Z18">
        <f ca="1">IFERROR(Table1[[#This Row],[call gamma]]*(Table1[[#This Row],[Open.Int]])*$A$4^2,0)</f>
        <v>0</v>
      </c>
      <c r="AA18">
        <f ca="1">IFERROR(((Table1[[#This Row],[Open.Int8]])*Table1[[#This Row],[Put gamma]])*-1*$A$4^2,0)</f>
        <v>0</v>
      </c>
      <c r="AB18">
        <f ca="1">(Table1[[#This Row],[Call Gex]]+Table1[[#This Row],[Put Gex]])</f>
        <v>0</v>
      </c>
      <c r="AC18">
        <f ca="1">Table1[[#This Row],[call delta adj]]+Table1[[#This Row],[put delta adj]]</f>
        <v>0</v>
      </c>
      <c r="AD18">
        <f ca="1">Table1[[#This Row],[Put Gex]]*Table1[[#This Row],[DeltaP]]*-1</f>
        <v>0</v>
      </c>
      <c r="AE18">
        <f ca="1">Table1[[#This Row],[Call Gex]]*Table1[[#This Row],[DeltaC]]</f>
        <v>0</v>
      </c>
      <c r="AF18">
        <f>IF(Table1[[#This Row],[DeltaC]]-ABS(Table1[[#This Row],[DeltaP]])="0","0.01",Table1[[#This Row],[DeltaC]]-ABS(Table1[[#This Row],[DeltaP]]))</f>
        <v>0</v>
      </c>
      <c r="AG18" t="e">
        <f ca="1">((LN($A$4/Table1[[#This Row],[Strike]]) + (0.411 + 0.5 * Table1[[#This Row],[IV Calc P]]^2) *Table1[[#This Row],[T]])) / (Table1[[#This Row],[IV Calc P]] * SQRT(Table1[[#This Row],[T]]))</f>
        <v>#DIV/0!</v>
      </c>
      <c r="AH18" t="e">
        <f ca="1">(LN($A$4/Table1[[#This Row],[Strike]]) + (0.411-0 + 0.5 * Table1[[#This Row],[IV Calc C]]^2) *Table1[[#This Row],[T]]) / (Table1[[#This Row],[IV Calc C]] * SQRT(Table1[[#This Row],[T]]))</f>
        <v>#DIV/0!</v>
      </c>
      <c r="AI18" t="e">
        <f ca="1">(EXP(-(AG18^2)/2)/SQRT(2*PI())*EXP(0*SQRT(Table1[[#This Row],[T]]))/$A$4*18%*SQRT(SQRT(Table1[[#This Row],[T]])))</f>
        <v>#DIV/0!</v>
      </c>
      <c r="AJ18" t="e">
        <f ca="1">(EXP(-(AH18^2)/2)/SQRT(2*PI())*EXP(0*SQRT(Table1[[#This Row],[T]]))/$A$4*18%*SQRT(SQRT(Table1[[#This Row],[T]])))</f>
        <v>#DIV/0!</v>
      </c>
      <c r="AK18" t="e">
        <f ca="1">Table1[[#This Row],[Call D1]]-Table1[[#This Row],[IV Calc C]]*SQRT(Table1[[#This Row],[T]])</f>
        <v>#DIV/0!</v>
      </c>
      <c r="AL18" t="e">
        <f ca="1">Table1[[#This Row],[Put D1]]-Table1[[#This Row],[IV Calc P]]*SQRT(Table1[[#This Row],[T]])</f>
        <v>#DIV/0!</v>
      </c>
      <c r="AM18" t="e">
        <f ca="1">EXP(-0.5*Table1[[#This Row],[Call D1]]^2)/SQRT(2*PI())</f>
        <v>#DIV/0!</v>
      </c>
      <c r="AN18" t="e">
        <f ca="1">EXP(-0.5*Table1[[#This Row],[Put D1]]^2)/SQRT(2*PI())</f>
        <v>#DIV/0!</v>
      </c>
      <c r="AO18">
        <f ca="1">IFERROR((EXP(0*Table1[[#This Row],[T]])*Table1[[#This Row],[call N(d1)]]*(Table1[[#This Row],[call d2]]/Table1[[#This Row],[IV Calc C]]))*Table1[[#This Row],[Open.Int]]*Table1[[#This Row],[DeltaC]],0)</f>
        <v>0</v>
      </c>
      <c r="AP18">
        <f ca="1">IFERROR((EXP(0*Table1[[#This Row],[T]])*Table1[[#This Row],[put N(d1)]]*(Table1[[#This Row],[put d2]]/Table1[[#This Row],[IV Calc P]]))*Table1[[#This Row],[Open.Int8]]*Table1[[#This Row],[DeltaP]]*-1,0)</f>
        <v>0</v>
      </c>
      <c r="AQ18">
        <f ca="1">((Table1[[#This Row],[call vanna]]+Table1[[#This Row],[put vanna]])*$A$4)</f>
        <v>0</v>
      </c>
      <c r="AR1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" s="9" t="str" cm="1">
        <f t="array" ref="AT18">_xlfn.IFS(     $M$1="SPX","SPXW",     $M$1="RUT","RUTW",  $M$1="NDX","NDXP",   TRUE,$M$1 )</f>
        <v>SPXW</v>
      </c>
      <c r="AU18" s="2">
        <f t="shared" si="7"/>
        <v>6915</v>
      </c>
      <c r="AV18" t="str">
        <f t="shared" si="8"/>
        <v>260123</v>
      </c>
      <c r="AW18" s="19">
        <f ca="1">IFERROR((EXP(0*Table1[[#This Row],[T]])*Table1[[#This Row],[put N(d1)]]*(Table1[[#This Row],[put d2]]/Table1[[#This Row],[IV Calc P]]))*Table1[[#This Row],[Open.Int8]]*Table1[[#This Row],[DeltaP]]*-1,0)</f>
        <v>0</v>
      </c>
      <c r="AX18">
        <f ca="1">IFERROR((EXP(0*Table1[[#This Row],[T]])*Table1[[#This Row],[call N(d1)]]*(Table1[[#This Row],[call d2]]/Table1[[#This Row],[IV Calc C]]))*Table1[[#This Row],[Open.Int]]*Table1[[#This Row],[DeltaC]],0)</f>
        <v>0</v>
      </c>
      <c r="AY1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">
        <f>((Table1[[#This Row],[High C]]+Table1[[#This Row],[Low C]])/2)*Table1[[#This Row],[gammac]]*Table1[[#This Row],[Volume]]</f>
        <v>0</v>
      </c>
      <c r="BD18">
        <f>((Table1[[#This Row],[High P]]+Table1[[#This Row],[Low P]])/2)*Table1[[#This Row],[gammap]]*Table1[[#This Row],[Volume9]]*-1</f>
        <v>0</v>
      </c>
      <c r="BE18">
        <f>(Table1[[#This Row],[SgammaC]]+Table1[[#This Row],[SgammaP]])*$A$4*-100</f>
        <v>0</v>
      </c>
      <c r="BF18">
        <f>Table1[[#This Row],[DEXc]]+Table1[[#This Row],[DEXp]]</f>
        <v>0</v>
      </c>
      <c r="BG18">
        <f>IFERROR(Table1[[#This Row],[DeltaC]]*Table1[[#This Row],[Open.Int]]*$A$4,0)</f>
        <v>0</v>
      </c>
      <c r="BH18">
        <f>IFERROR(Table1[[#This Row],[DeltaP]]*Table1[[#This Row],[Open.Int8]]*$A$4,0)</f>
        <v>0</v>
      </c>
      <c r="BI1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">
        <f ca="1">Table1[[#This Row],[Charmc]]+Table1[[#This Row],[Charmp]]</f>
        <v>0</v>
      </c>
      <c r="BL1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" s="78">
        <f ca="1">Table1[[#This Row],[call helper]]+Table1[[#This Row],[put helper]]</f>
        <v>0</v>
      </c>
      <c r="BP18" t="str">
        <f>RTD("tos.rtd", , "STRIKE", "."&amp;Table1[[#This Row],[Ticker]]&amp;Table1[[#This Row],[Expiry]]&amp;""&amp;"C"&amp;Table1[[#This Row],[Spot]]+Table1[[#This Row],[step]])</f>
        <v>N/A</v>
      </c>
      <c r="BQ18">
        <v>6855</v>
      </c>
      <c r="BV18">
        <f ca="1"/>
        <v>6855</v>
      </c>
      <c r="BW18" s="77">
        <f ca="1"/>
        <v>1.2230835631178991E-72</v>
      </c>
      <c r="BX18" s="77">
        <f ca="1"/>
        <v>-29236.478890530787</v>
      </c>
      <c r="BY18" s="17">
        <f ca="1"/>
        <v>0.16384955583655231</v>
      </c>
      <c r="BZ18">
        <f ca="1"/>
        <v>-60</v>
      </c>
      <c r="CA18">
        <f ca="1"/>
        <v>752987.84715350065</v>
      </c>
      <c r="CB18">
        <f ca="1"/>
        <v>548969.22516351799</v>
      </c>
    </row>
    <row r="19" spans="1:80" x14ac:dyDescent="0.25">
      <c r="A19">
        <f t="shared" ca="1" si="4"/>
        <v>2.5814307458086375E-3</v>
      </c>
      <c r="C19" s="17"/>
      <c r="D19" t="b">
        <f>IF(
    ISNUMBER(Table1[[#This Row],[Strike]]),RTD("tos.rtd", , "OPEN_INT", "."&amp;Table1[[#This Row],[Ticker]]&amp;Table1[[#This Row],[Expiry]]&amp;""&amp;"C"&amp;Table1[[#This Row],[Strike]]))</f>
        <v>0</v>
      </c>
      <c r="E1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" t="b">
        <f>IF(
    ISNUMBER(Table1[[#This Row],[Strike]]),RTD("tos.rtd", , "DELTA", "."&amp;Table1[[#This Row],[Ticker]]&amp;Table1[[#This Row],[Expiry]]&amp;""&amp;"C"&amp;Table1[[#This Row],[Strike]]))</f>
        <v>0</v>
      </c>
      <c r="H19" s="17" t="b" cm="1">
        <f t="array" ref="H19">IF(
    ISNUMBER(Table1[[#This Row],[Strike]]),IndividualLegIVCore($A$4, Table1[[#This Row],[Strike]], 0.0411, Table1[[#This Row],[T]], ((Table1[[#This Row],[BIDC]]+Table1[[#This Row],[ASKC]])/2), TRUE))</f>
        <v>0</v>
      </c>
      <c r="I19" t="b">
        <f>IF(
    ISNUMBER(Table1[[#This Row],[Strike]]),RTD("tos.rtd", , "BID", "."&amp;Table1[[#This Row],[Ticker]]&amp;Table1[[#This Row],[Expiry]]&amp;""&amp;"C"&amp;Table1[[#This Row],[Strike]]))</f>
        <v>0</v>
      </c>
      <c r="J19" t="b">
        <f>IF(
    ISNUMBER(Table1[[#This Row],[Strike]]),RTD("tos.rtd", , "ASK", "."&amp;Table1[[#This Row],[Ticker]]&amp;Table1[[#This Row],[Expiry]]&amp;""&amp;"C"&amp;Table1[[#This Row],[Strike]]))</f>
        <v>0</v>
      </c>
      <c r="K1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" s="17" cm="1">
        <f t="array" aca="1" ref="L1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" s="1">
        <f t="shared" si="5"/>
        <v>46045</v>
      </c>
      <c r="N19" t="b">
        <f t="shared" si="6"/>
        <v>0</v>
      </c>
      <c r="P19" s="17" t="b" cm="1">
        <f t="array" ref="P19">IF(
    ISNUMBER(Table1[[#This Row],[Strike]]),IndividualLegIVCore($A$4, Table1[[#This Row],[Strike]], 0.0411, Table1[[#This Row],[T]], ((Table1[[#This Row],[BIDP]]+Table1[[#This Row],[ASKP]])/2), FALSE))</f>
        <v>0</v>
      </c>
      <c r="Q19" t="b">
        <f>IF(
    ISNUMBER(Table1[[#This Row],[Strike]]),RTD("tos.rtd", , "BID", "."&amp;Table1[[#This Row],[Ticker]]&amp;Table1[[#This Row],[Expiry]]&amp;""&amp;"P"&amp;Table1[[#This Row],[Strike]]))</f>
        <v>0</v>
      </c>
      <c r="R19" t="b">
        <f>IF(
    ISNUMBER(Table1[[#This Row],[Strike]]),RTD("tos.rtd", , "ASK", "."&amp;Table1[[#This Row],[Ticker]]&amp;Table1[[#This Row],[Expiry]]&amp;""&amp;"P"&amp;Table1[[#This Row],[Strike]]))</f>
        <v>0</v>
      </c>
      <c r="S19" s="17"/>
      <c r="T19" t="b">
        <f>IF(
    ISNUMBER(Table1[[#This Row],[Strike]]),RTD("tos.rtd", , "OPEN_INT", "."&amp;Table1[[#This Row],[Ticker]]&amp;Table1[[#This Row],[Expiry]]&amp;""&amp;"P"&amp;Table1[[#This Row],[Strike]]))</f>
        <v>0</v>
      </c>
      <c r="U1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" t="b">
        <f>IF(
    ISNUMBER(Table1[[#This Row],[Strike]]),RTD("tos.rtd", , "DELTA", "."&amp;Table1[[#This Row],[Ticker]]&amp;Table1[[#This Row],[Expiry]]&amp;""&amp;"P"&amp;Table1[[#This Row],[Strike]]))</f>
        <v>0</v>
      </c>
      <c r="Y19" s="19">
        <f>-45.5* IF($M$1="NDX", 10, IF(OR($M$1="SPX", $M$1="RUT"), 2, 1))</f>
        <v>-91</v>
      </c>
      <c r="Z19">
        <f ca="1">IFERROR(Table1[[#This Row],[call gamma]]*(Table1[[#This Row],[Open.Int]])*$A$4^2,0)</f>
        <v>0</v>
      </c>
      <c r="AA19">
        <f ca="1">IFERROR(((Table1[[#This Row],[Open.Int8]])*Table1[[#This Row],[Put gamma]])*-1*$A$4^2,0)</f>
        <v>0</v>
      </c>
      <c r="AB19">
        <f ca="1">(Table1[[#This Row],[Call Gex]]+Table1[[#This Row],[Put Gex]])</f>
        <v>0</v>
      </c>
      <c r="AC19">
        <f ca="1">Table1[[#This Row],[call delta adj]]+Table1[[#This Row],[put delta adj]]</f>
        <v>0</v>
      </c>
      <c r="AD19">
        <f ca="1">Table1[[#This Row],[Put Gex]]*Table1[[#This Row],[DeltaP]]*-1</f>
        <v>0</v>
      </c>
      <c r="AE19">
        <f ca="1">Table1[[#This Row],[Call Gex]]*Table1[[#This Row],[DeltaC]]</f>
        <v>0</v>
      </c>
      <c r="AF19">
        <f>IF(Table1[[#This Row],[DeltaC]]-ABS(Table1[[#This Row],[DeltaP]])="0","0.01",Table1[[#This Row],[DeltaC]]-ABS(Table1[[#This Row],[DeltaP]]))</f>
        <v>0</v>
      </c>
      <c r="AG19" t="e">
        <f ca="1">((LN($A$4/Table1[[#This Row],[Strike]]) + (0.411 + 0.5 * Table1[[#This Row],[IV Calc P]]^2) *Table1[[#This Row],[T]])) / (Table1[[#This Row],[IV Calc P]] * SQRT(Table1[[#This Row],[T]]))</f>
        <v>#DIV/0!</v>
      </c>
      <c r="AH19" t="e">
        <f ca="1">(LN($A$4/Table1[[#This Row],[Strike]]) + (0.411-0 + 0.5 * Table1[[#This Row],[IV Calc C]]^2) *Table1[[#This Row],[T]]) / (Table1[[#This Row],[IV Calc C]] * SQRT(Table1[[#This Row],[T]]))</f>
        <v>#DIV/0!</v>
      </c>
      <c r="AI19" t="e">
        <f ca="1">(EXP(-(AG19^2)/2)/SQRT(2*PI())*EXP(0*SQRT(Table1[[#This Row],[T]]))/$A$4*18%*SQRT(SQRT(Table1[[#This Row],[T]])))</f>
        <v>#DIV/0!</v>
      </c>
      <c r="AJ19" t="e">
        <f ca="1">(EXP(-(AH19^2)/2)/SQRT(2*PI())*EXP(0*SQRT(Table1[[#This Row],[T]]))/$A$4*18%*SQRT(SQRT(Table1[[#This Row],[T]])))</f>
        <v>#DIV/0!</v>
      </c>
      <c r="AK19" t="e">
        <f ca="1">Table1[[#This Row],[Call D1]]-Table1[[#This Row],[IV Calc C]]*SQRT(Table1[[#This Row],[T]])</f>
        <v>#DIV/0!</v>
      </c>
      <c r="AL19" t="e">
        <f ca="1">Table1[[#This Row],[Put D1]]-Table1[[#This Row],[IV Calc P]]*SQRT(Table1[[#This Row],[T]])</f>
        <v>#DIV/0!</v>
      </c>
      <c r="AM19" t="e">
        <f ca="1">EXP(-0.5*Table1[[#This Row],[Call D1]]^2)/SQRT(2*PI())</f>
        <v>#DIV/0!</v>
      </c>
      <c r="AN19" t="e">
        <f ca="1">EXP(-0.5*Table1[[#This Row],[Put D1]]^2)/SQRT(2*PI())</f>
        <v>#DIV/0!</v>
      </c>
      <c r="AO19">
        <f ca="1">IFERROR((EXP(0*Table1[[#This Row],[T]])*Table1[[#This Row],[call N(d1)]]*(Table1[[#This Row],[call d2]]/Table1[[#This Row],[IV Calc C]]))*Table1[[#This Row],[Open.Int]]*Table1[[#This Row],[DeltaC]],0)</f>
        <v>0</v>
      </c>
      <c r="AP19">
        <f ca="1">IFERROR((EXP(0*Table1[[#This Row],[T]])*Table1[[#This Row],[put N(d1)]]*(Table1[[#This Row],[put d2]]/Table1[[#This Row],[IV Calc P]]))*Table1[[#This Row],[Open.Int8]]*Table1[[#This Row],[DeltaP]]*-1,0)</f>
        <v>0</v>
      </c>
      <c r="AQ19">
        <f ca="1">((Table1[[#This Row],[call vanna]]+Table1[[#This Row],[put vanna]])*$A$4)</f>
        <v>0</v>
      </c>
      <c r="AR1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" s="9" t="str" cm="1">
        <f t="array" ref="AT19">_xlfn.IFS(     $M$1="SPX","SPXW",     $M$1="RUT","RUTW",  $M$1="NDX","NDXP",   TRUE,$M$1 )</f>
        <v>SPXW</v>
      </c>
      <c r="AU19" s="2">
        <f t="shared" si="7"/>
        <v>6915</v>
      </c>
      <c r="AV19" t="str">
        <f t="shared" si="8"/>
        <v>260123</v>
      </c>
      <c r="AW19" s="19">
        <f ca="1">IFERROR((EXP(0*Table1[[#This Row],[T]])*Table1[[#This Row],[put N(d1)]]*(Table1[[#This Row],[put d2]]/Table1[[#This Row],[IV Calc P]]))*Table1[[#This Row],[Open.Int8]]*Table1[[#This Row],[DeltaP]]*-1,0)</f>
        <v>0</v>
      </c>
      <c r="AX19">
        <f ca="1">IFERROR((EXP(0*Table1[[#This Row],[T]])*Table1[[#This Row],[call N(d1)]]*(Table1[[#This Row],[call d2]]/Table1[[#This Row],[IV Calc C]]))*Table1[[#This Row],[Open.Int]]*Table1[[#This Row],[DeltaC]],0)</f>
        <v>0</v>
      </c>
      <c r="AY1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">
        <f>((Table1[[#This Row],[High C]]+Table1[[#This Row],[Low C]])/2)*Table1[[#This Row],[gammac]]*Table1[[#This Row],[Volume]]</f>
        <v>0</v>
      </c>
      <c r="BD19">
        <f>((Table1[[#This Row],[High P]]+Table1[[#This Row],[Low P]])/2)*Table1[[#This Row],[gammap]]*Table1[[#This Row],[Volume9]]*-1</f>
        <v>0</v>
      </c>
      <c r="BE19">
        <f>(Table1[[#This Row],[SgammaC]]+Table1[[#This Row],[SgammaP]])*$A$4*-100</f>
        <v>0</v>
      </c>
      <c r="BF19">
        <f>Table1[[#This Row],[DEXc]]+Table1[[#This Row],[DEXp]]</f>
        <v>0</v>
      </c>
      <c r="BG19">
        <f>IFERROR(Table1[[#This Row],[DeltaC]]*Table1[[#This Row],[Open.Int]]*$A$4,0)</f>
        <v>0</v>
      </c>
      <c r="BH19">
        <f>IFERROR(Table1[[#This Row],[DeltaP]]*Table1[[#This Row],[Open.Int8]]*$A$4,0)</f>
        <v>0</v>
      </c>
      <c r="BI1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">
        <f ca="1">Table1[[#This Row],[Charmc]]+Table1[[#This Row],[Charmp]]</f>
        <v>0</v>
      </c>
      <c r="BL1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" s="78">
        <f ca="1">Table1[[#This Row],[call helper]]+Table1[[#This Row],[put helper]]</f>
        <v>0</v>
      </c>
      <c r="BP19" t="str">
        <f>RTD("tos.rtd", , "STRIKE", "."&amp;Table1[[#This Row],[Ticker]]&amp;Table1[[#This Row],[Expiry]]&amp;""&amp;"C"&amp;Table1[[#This Row],[Spot]]+Table1[[#This Row],[step]])</f>
        <v>N/A</v>
      </c>
      <c r="BQ19">
        <v>6860</v>
      </c>
      <c r="BV19">
        <f ca="1"/>
        <v>6860</v>
      </c>
      <c r="BW19" s="77">
        <f ca="1"/>
        <v>7386.102986624127</v>
      </c>
      <c r="BX19" s="77">
        <f ca="1"/>
        <v>-110100.50100056954</v>
      </c>
      <c r="BY19" s="17">
        <f ca="1"/>
        <v>8.7549660146172076E-2</v>
      </c>
      <c r="BZ19">
        <f ca="1"/>
        <v>-55</v>
      </c>
      <c r="CA19">
        <f ca="1"/>
        <v>7905702.4708374972</v>
      </c>
      <c r="CB19">
        <f ca="1"/>
        <v>1871147.2068929477</v>
      </c>
    </row>
    <row r="20" spans="1:80" x14ac:dyDescent="0.25">
      <c r="A20">
        <f t="shared" ca="1" si="4"/>
        <v>2.5814307458086375E-3</v>
      </c>
      <c r="C20" s="17"/>
      <c r="D20">
        <f>IF(
    ISNUMBER(Table1[[#This Row],[Strike]]),RTD("tos.rtd", , "OPEN_INT", "."&amp;Table1[[#This Row],[Ticker]]&amp;Table1[[#This Row],[Expiry]]&amp;""&amp;"C"&amp;Table1[[#This Row],[Strike]]))</f>
        <v>1295</v>
      </c>
      <c r="E2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119</v>
      </c>
      <c r="G20">
        <f>IF(
    ISNUMBER(Table1[[#This Row],[Strike]]),RTD("tos.rtd", , "DELTA", "."&amp;Table1[[#This Row],[Ticker]]&amp;Table1[[#This Row],[Expiry]]&amp;""&amp;"C"&amp;Table1[[#This Row],[Strike]]))</f>
        <v>1</v>
      </c>
      <c r="H20" s="17" cm="1">
        <f t="array" aca="1" ref="H20" ca="1">IF(
    ISNUMBER(Table1[[#This Row],[Strike]]),IndividualLegIVCore($A$4, Table1[[#This Row],[Strike]], 0.0411, Table1[[#This Row],[T]], ((Table1[[#This Row],[BIDC]]+Table1[[#This Row],[ASKC]])/2), TRUE))</f>
        <v>0.01</v>
      </c>
      <c r="I20">
        <f>IF(
    ISNUMBER(Table1[[#This Row],[Strike]]),RTD("tos.rtd", , "BID", "."&amp;Table1[[#This Row],[Ticker]]&amp;Table1[[#This Row],[Expiry]]&amp;""&amp;"C"&amp;Table1[[#This Row],[Strike]]))</f>
        <v>85.7</v>
      </c>
      <c r="J20">
        <f>IF(
    ISNUMBER(Table1[[#This Row],[Strike]]),RTD("tos.rtd", , "ASK", "."&amp;Table1[[#This Row],[Ticker]]&amp;Table1[[#This Row],[Expiry]]&amp;""&amp;"C"&amp;Table1[[#This Row],[Strike]]))</f>
        <v>87.1</v>
      </c>
      <c r="K2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0.18022317024165874</v>
      </c>
      <c r="L20" s="17" cm="1">
        <f t="array" aca="1" ref="L20" ca="1">CubicSplineIVSmile($A$4, Table1[[#This Row],[Strike]], 0.0411, Table1[[#This Row],[T]], (Table1[[#This Row],[BIDC]]+Table1[[#This Row],[ASKC]])/2, (Table1[[#This Row],[BIDP]]+Table1[[#This Row],[ASKP]])/2, Table1[Strike], Table1[IV Calc AVG])</f>
        <v>0.18022317024165874</v>
      </c>
      <c r="M20" s="1">
        <f t="shared" si="5"/>
        <v>46045</v>
      </c>
      <c r="N20">
        <f t="shared" si="6"/>
        <v>6825</v>
      </c>
      <c r="P20" s="17" cm="1">
        <f t="array" aca="1" ref="P20" ca="1">IF(
    ISNUMBER(Table1[[#This Row],[Strike]]),IndividualLegIVCore($A$4, Table1[[#This Row],[Strike]], 0.0411, Table1[[#This Row],[T]], ((Table1[[#This Row],[BIDP]]+Table1[[#This Row],[ASKP]])/2), FALSE))</f>
        <v>0.18022317024165874</v>
      </c>
      <c r="Q20">
        <f>IF(
    ISNUMBER(Table1[[#This Row],[Strike]]),RTD("tos.rtd", , "BID", "."&amp;Table1[[#This Row],[Ticker]]&amp;Table1[[#This Row],[Expiry]]&amp;""&amp;"P"&amp;Table1[[#This Row],[Strike]]))</f>
        <v>2.2000000000000002</v>
      </c>
      <c r="R20">
        <f>IF(
    ISNUMBER(Table1[[#This Row],[Strike]]),RTD("tos.rtd", , "ASK", "."&amp;Table1[[#This Row],[Ticker]]&amp;Table1[[#This Row],[Expiry]]&amp;""&amp;"P"&amp;Table1[[#This Row],[Strike]]))</f>
        <v>2.25</v>
      </c>
      <c r="S20" s="17"/>
      <c r="T20">
        <f>IF(
    ISNUMBER(Table1[[#This Row],[Strike]]),RTD("tos.rtd", , "OPEN_INT", "."&amp;Table1[[#This Row],[Ticker]]&amp;Table1[[#This Row],[Expiry]]&amp;""&amp;"P"&amp;Table1[[#This Row],[Strike]]))</f>
        <v>1936</v>
      </c>
      <c r="U2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3587</v>
      </c>
      <c r="W20">
        <f>IF(
    ISNUMBER(Table1[[#This Row],[Strike]]),RTD("tos.rtd", , "DELTA", "."&amp;Table1[[#This Row],[Ticker]]&amp;Table1[[#This Row],[Expiry]]&amp;""&amp;"P"&amp;Table1[[#This Row],[Strike]]))</f>
        <v>-0.08</v>
      </c>
      <c r="Y20" s="19">
        <f>-45* IF($M$1="NDX", 10, IF(OR($M$1="SPX", $M$1="RUT"), 2, 1))</f>
        <v>-90</v>
      </c>
      <c r="Z20">
        <f ca="1">IFERROR(Table1[[#This Row],[call gamma]]*(Table1[[#This Row],[Open.Int]])*$A$4^2,0)</f>
        <v>1.2436172636491985E-158</v>
      </c>
      <c r="AA20">
        <f ca="1">IFERROR(((Table1[[#This Row],[Open.Int8]])*Table1[[#This Row],[Put gamma]])*-1*$A$4^2,0)</f>
        <v>-67713.813869881429</v>
      </c>
      <c r="AB20">
        <f ca="1">(Table1[[#This Row],[Call Gex]]+Table1[[#This Row],[Put Gex]])</f>
        <v>-67713.813869881429</v>
      </c>
      <c r="AC20">
        <f ca="1">Table1[[#This Row],[call delta adj]]+Table1[[#This Row],[put delta adj]]</f>
        <v>-5417.1051095905141</v>
      </c>
      <c r="AD20">
        <f ca="1">Table1[[#This Row],[Put Gex]]*Table1[[#This Row],[DeltaP]]*-1</f>
        <v>-5417.1051095905141</v>
      </c>
      <c r="AE20">
        <f ca="1">Table1[[#This Row],[Call Gex]]*Table1[[#This Row],[DeltaC]]</f>
        <v>1.2436172636491985E-158</v>
      </c>
      <c r="AF20">
        <f>IF(Table1[[#This Row],[DeltaC]]-ABS(Table1[[#This Row],[DeltaP]])="0","0.01",Table1[[#This Row],[DeltaC]]-ABS(Table1[[#This Row],[DeltaP]]))</f>
        <v>0.92</v>
      </c>
      <c r="AG20">
        <f ca="1">((LN($A$4/Table1[[#This Row],[Strike]]) + (0.411 + 0.5 * Table1[[#This Row],[IV Calc P]]^2) *Table1[[#This Row],[T]])) / (Table1[[#This Row],[IV Calc P]] * SQRT(Table1[[#This Row],[T]]))</f>
        <v>1.5250924934194798</v>
      </c>
      <c r="AH20">
        <f ca="1">(LN($A$4/Table1[[#This Row],[Strike]]) + (0.411-0 + 0.5 * Table1[[#This Row],[IV Calc C]]^2) *Table1[[#This Row],[T]]) / (Table1[[#This Row],[IV Calc C]] * SQRT(Table1[[#This Row],[T]]))</f>
        <v>27.40344161445524</v>
      </c>
      <c r="AI20">
        <f ca="1">(EXP(-(AG20^2)/2)/SQRT(2*PI())*EXP(0*SQRT(Table1[[#This Row],[T]]))/$A$4*18%*SQRT(SQRT(Table1[[#This Row],[T]])))</f>
        <v>7.3180409233241051E-7</v>
      </c>
      <c r="AJ20">
        <f ca="1">(EXP(-(AH20^2)/2)/SQRT(2*PI())*EXP(0*SQRT(Table1[[#This Row],[T]]))/$A$4*18%*SQRT(SQRT(Table1[[#This Row],[T]])))</f>
        <v>2.0092773339539642E-169</v>
      </c>
      <c r="AK20">
        <f ca="1">Table1[[#This Row],[Call D1]]-Table1[[#This Row],[IV Calc C]]*SQRT(Table1[[#This Row],[T]])</f>
        <v>27.402933536631888</v>
      </c>
      <c r="AL20">
        <f ca="1">Table1[[#This Row],[Put D1]]-Table1[[#This Row],[IV Calc P]]*SQRT(Table1[[#This Row],[T]])</f>
        <v>1.5159357538141041</v>
      </c>
      <c r="AM20">
        <f ca="1">EXP(-0.5*Table1[[#This Row],[Call D1]]^2)/SQRT(2*PI())</f>
        <v>3.4236613869476571E-164</v>
      </c>
      <c r="AN20">
        <f ca="1">EXP(-0.5*Table1[[#This Row],[Put D1]]^2)/SQRT(2*PI())</f>
        <v>0.12469405648439749</v>
      </c>
      <c r="AO20">
        <f ca="1">IFERROR((EXP(0*Table1[[#This Row],[T]])*Table1[[#This Row],[call N(d1)]]*(Table1[[#This Row],[call d2]]/Table1[[#This Row],[IV Calc C]]))*Table1[[#This Row],[Open.Int]]*Table1[[#This Row],[DeltaC]],0)</f>
        <v>1.2149478324280517E-157</v>
      </c>
      <c r="AP20">
        <f ca="1">IFERROR((EXP(0*Table1[[#This Row],[T]])*Table1[[#This Row],[put N(d1)]]*(Table1[[#This Row],[put d2]]/Table1[[#This Row],[IV Calc P]]))*Table1[[#This Row],[Open.Int8]]*Table1[[#This Row],[DeltaP]]*-1,0)</f>
        <v>162.44683882104542</v>
      </c>
      <c r="AQ20">
        <f ca="1">((Table1[[#This Row],[call vanna]]+Table1[[#This Row],[put vanna]])*$A$4)</f>
        <v>1123051.8531634745</v>
      </c>
      <c r="AR2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1.2436172636491985E-158</v>
      </c>
      <c r="AS2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-67713.813869881429</v>
      </c>
      <c r="AT20" s="9" t="str" cm="1">
        <f t="array" ref="AT20">_xlfn.IFS(     $M$1="SPX","SPXW",     $M$1="RUT","RUTW",  $M$1="NDX","NDXP",   TRUE,$M$1 )</f>
        <v>SPXW</v>
      </c>
      <c r="AU20" s="2">
        <f t="shared" si="7"/>
        <v>6915</v>
      </c>
      <c r="AV20" t="str">
        <f t="shared" si="8"/>
        <v>260123</v>
      </c>
      <c r="AW20" s="19">
        <f ca="1">IFERROR((EXP(0*Table1[[#This Row],[T]])*Table1[[#This Row],[put N(d1)]]*(Table1[[#This Row],[put d2]]/Table1[[#This Row],[IV Calc P]]))*Table1[[#This Row],[Open.Int8]]*Table1[[#This Row],[DeltaP]]*-1,0)</f>
        <v>162.44683882104542</v>
      </c>
      <c r="AX20">
        <f ca="1">IFERROR((EXP(0*Table1[[#This Row],[T]])*Table1[[#This Row],[call N(d1)]]*(Table1[[#This Row],[call d2]]/Table1[[#This Row],[IV Calc C]]))*Table1[[#This Row],[Open.Int]]*Table1[[#This Row],[DeltaC]],0)</f>
        <v>1.2149478324280517E-157</v>
      </c>
      <c r="AY20">
        <f>IF(
    ISNUMBER(Table1[[#This Row],[Strike]]),RTD("tos.rtd", , "high", "."&amp;Table1[[#This Row],[Ticker]]&amp;Table1[[#This Row],[Expiry]]&amp;""&amp;"C"&amp;Table1[[#This Row],[Spot]]+Table1[[#This Row],[step]]))</f>
        <v>111.13</v>
      </c>
      <c r="AZ20">
        <f>IF(
    ISNUMBER(Table1[[#This Row],[Strike]]),RTD("tos.rtd", , "low", "."&amp;Table1[[#This Row],[Ticker]]&amp;Table1[[#This Row],[Expiry]]&amp;""&amp;"C"&amp;Table1[[#This Row],[Spot]]+Table1[[#This Row],[step]]))</f>
        <v>81.98</v>
      </c>
      <c r="BA20">
        <f>IF(
    ISNUMBER(Table1[[#This Row],[Strike]]),RTD("tos.rtd", , "high", "."&amp;Table1[[#This Row],[Ticker]]&amp;Table1[[#This Row],[Expiry]]&amp;""&amp;"P"&amp;Table1[[#This Row],[Spot]]+Table1[[#This Row],[step]]))</f>
        <v>6.7</v>
      </c>
      <c r="BB20">
        <f>IF(
    ISNUMBER(Table1[[#This Row],[Strike]]),RTD("tos.rtd", , "low", "."&amp;Table1[[#This Row],[Ticker]]&amp;Table1[[#This Row],[Expiry]]&amp;""&amp;"P"&amp;Table1[[#This Row],[Spot]]+Table1[[#This Row],[step]]))</f>
        <v>1.1499999999999999</v>
      </c>
      <c r="BC20">
        <f>((Table1[[#This Row],[High C]]+Table1[[#This Row],[Low C]])/2)*Table1[[#This Row],[gammac]]*Table1[[#This Row],[Volume]]</f>
        <v>0</v>
      </c>
      <c r="BD20">
        <f>((Table1[[#This Row],[High P]]+Table1[[#This Row],[Low P]])/2)*Table1[[#This Row],[gammap]]*Table1[[#This Row],[Volume9]]*-1</f>
        <v>0</v>
      </c>
      <c r="BE20" s="77">
        <f>(Table1[[#This Row],[SgammaC]]+Table1[[#This Row],[SgammaP]])*$A$4*-100</f>
        <v>0</v>
      </c>
      <c r="BF20">
        <f>Table1[[#This Row],[DEXc]]+Table1[[#This Row],[DEXp]]</f>
        <v>7882048.602</v>
      </c>
      <c r="BG20">
        <f>IFERROR(Table1[[#This Row],[DeltaC]]*Table1[[#This Row],[Open.Int]]*$A$4,0)</f>
        <v>8952788.25</v>
      </c>
      <c r="BH20">
        <f>IFERROR(Table1[[#This Row],[DeltaP]]*Table1[[#This Row],[Open.Int8]]*$A$4,0)</f>
        <v>-1070739.648</v>
      </c>
      <c r="BI2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2.0770754362166042E-135</v>
      </c>
      <c r="BJ2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2755013.395156025</v>
      </c>
      <c r="BK20">
        <f ca="1">Table1[[#This Row],[Charmc]]+Table1[[#This Row],[Charmp]]</f>
        <v>2755013.395156025</v>
      </c>
      <c r="BL2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" s="78">
        <f ca="1">Table1[[#This Row],[call helper]]+Table1[[#This Row],[put helper]]</f>
        <v>-67713.813869881429</v>
      </c>
      <c r="BP20">
        <f>RTD("tos.rtd", , "STRIKE", "."&amp;Table1[[#This Row],[Ticker]]&amp;Table1[[#This Row],[Expiry]]&amp;""&amp;"C"&amp;Table1[[#This Row],[Spot]]+Table1[[#This Row],[step]])</f>
        <v>6825</v>
      </c>
      <c r="BQ20">
        <v>6865</v>
      </c>
      <c r="BV20">
        <f ca="1"/>
        <v>6865</v>
      </c>
      <c r="BW20" s="77">
        <f ca="1"/>
        <v>8360.0144056213503</v>
      </c>
      <c r="BX20" s="77">
        <f ca="1"/>
        <v>-46777.000926157001</v>
      </c>
      <c r="BY20" s="17">
        <f ca="1"/>
        <v>0.10248131475845175</v>
      </c>
      <c r="BZ20">
        <f ca="1"/>
        <v>-50</v>
      </c>
      <c r="CA20">
        <f ca="1"/>
        <v>4829187.8774395781</v>
      </c>
      <c r="CB20">
        <f ca="1"/>
        <v>694192.4145469846</v>
      </c>
    </row>
    <row r="21" spans="1:80" x14ac:dyDescent="0.25">
      <c r="A21">
        <f t="shared" ca="1" si="4"/>
        <v>2.5814307458086375E-3</v>
      </c>
      <c r="C21" s="17"/>
      <c r="D21" t="b">
        <f>IF(
    ISNUMBER(Table1[[#This Row],[Strike]]),RTD("tos.rtd", , "OPEN_INT", "."&amp;Table1[[#This Row],[Ticker]]&amp;Table1[[#This Row],[Expiry]]&amp;""&amp;"C"&amp;Table1[[#This Row],[Strike]]))</f>
        <v>0</v>
      </c>
      <c r="E2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1" t="b">
        <f>IF(
    ISNUMBER(Table1[[#This Row],[Strike]]),RTD("tos.rtd", , "DELTA", "."&amp;Table1[[#This Row],[Ticker]]&amp;Table1[[#This Row],[Expiry]]&amp;""&amp;"C"&amp;Table1[[#This Row],[Strike]]))</f>
        <v>0</v>
      </c>
      <c r="H21" s="17" t="b" cm="1">
        <f t="array" ref="H21">IF(
    ISNUMBER(Table1[[#This Row],[Strike]]),IndividualLegIVCore($A$4, Table1[[#This Row],[Strike]], 0.0411, Table1[[#This Row],[T]], ((Table1[[#This Row],[BIDC]]+Table1[[#This Row],[ASKC]])/2), TRUE))</f>
        <v>0</v>
      </c>
      <c r="I21" t="b">
        <f>IF(
    ISNUMBER(Table1[[#This Row],[Strike]]),RTD("tos.rtd", , "BID", "."&amp;Table1[[#This Row],[Ticker]]&amp;Table1[[#This Row],[Expiry]]&amp;""&amp;"C"&amp;Table1[[#This Row],[Strike]]))</f>
        <v>0</v>
      </c>
      <c r="J21" t="b">
        <f>IF(
    ISNUMBER(Table1[[#This Row],[Strike]]),RTD("tos.rtd", , "ASK", "."&amp;Table1[[#This Row],[Ticker]]&amp;Table1[[#This Row],[Expiry]]&amp;""&amp;"C"&amp;Table1[[#This Row],[Strike]]))</f>
        <v>0</v>
      </c>
      <c r="K2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1" s="17" cm="1">
        <f t="array" aca="1" ref="L2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1" s="1">
        <f t="shared" si="5"/>
        <v>46045</v>
      </c>
      <c r="N21" t="b">
        <f t="shared" si="6"/>
        <v>0</v>
      </c>
      <c r="P21" s="17" t="b" cm="1">
        <f t="array" ref="P21">IF(
    ISNUMBER(Table1[[#This Row],[Strike]]),IndividualLegIVCore($A$4, Table1[[#This Row],[Strike]], 0.0411, Table1[[#This Row],[T]], ((Table1[[#This Row],[BIDP]]+Table1[[#This Row],[ASKP]])/2), FALSE))</f>
        <v>0</v>
      </c>
      <c r="Q21" t="b">
        <f>IF(
    ISNUMBER(Table1[[#This Row],[Strike]]),RTD("tos.rtd", , "BID", "."&amp;Table1[[#This Row],[Ticker]]&amp;Table1[[#This Row],[Expiry]]&amp;""&amp;"P"&amp;Table1[[#This Row],[Strike]]))</f>
        <v>0</v>
      </c>
      <c r="R21" t="b">
        <f>IF(
    ISNUMBER(Table1[[#This Row],[Strike]]),RTD("tos.rtd", , "ASK", "."&amp;Table1[[#This Row],[Ticker]]&amp;Table1[[#This Row],[Expiry]]&amp;""&amp;"P"&amp;Table1[[#This Row],[Strike]]))</f>
        <v>0</v>
      </c>
      <c r="S21" s="17"/>
      <c r="T21" t="b">
        <f>IF(
    ISNUMBER(Table1[[#This Row],[Strike]]),RTD("tos.rtd", , "OPEN_INT", "."&amp;Table1[[#This Row],[Ticker]]&amp;Table1[[#This Row],[Expiry]]&amp;""&amp;"P"&amp;Table1[[#This Row],[Strike]]))</f>
        <v>0</v>
      </c>
      <c r="U2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1" t="b">
        <f>IF(
    ISNUMBER(Table1[[#This Row],[Strike]]),RTD("tos.rtd", , "DELTA", "."&amp;Table1[[#This Row],[Ticker]]&amp;Table1[[#This Row],[Expiry]]&amp;""&amp;"P"&amp;Table1[[#This Row],[Strike]]))</f>
        <v>0</v>
      </c>
      <c r="Y21" s="19">
        <f>-44.5* IF($M$1="NDX", 10, IF(OR($M$1="SPX", $M$1="RUT"), 2, 1))</f>
        <v>-89</v>
      </c>
      <c r="Z21">
        <f ca="1">IFERROR(Table1[[#This Row],[call gamma]]*(Table1[[#This Row],[Open.Int]])*$A$4^2,0)</f>
        <v>0</v>
      </c>
      <c r="AA21">
        <f ca="1">IFERROR(((Table1[[#This Row],[Open.Int8]])*Table1[[#This Row],[Put gamma]])*-1*$A$4^2,0)</f>
        <v>0</v>
      </c>
      <c r="AB21">
        <f ca="1">(Table1[[#This Row],[Call Gex]]+Table1[[#This Row],[Put Gex]])</f>
        <v>0</v>
      </c>
      <c r="AC21">
        <f ca="1">Table1[[#This Row],[call delta adj]]+Table1[[#This Row],[put delta adj]]</f>
        <v>0</v>
      </c>
      <c r="AD21">
        <f ca="1">Table1[[#This Row],[Put Gex]]*Table1[[#This Row],[DeltaP]]*-1</f>
        <v>0</v>
      </c>
      <c r="AE21">
        <f ca="1">Table1[[#This Row],[Call Gex]]*Table1[[#This Row],[DeltaC]]</f>
        <v>0</v>
      </c>
      <c r="AF21">
        <f>IF(Table1[[#This Row],[DeltaC]]-ABS(Table1[[#This Row],[DeltaP]])="0","0.01",Table1[[#This Row],[DeltaC]]-ABS(Table1[[#This Row],[DeltaP]]))</f>
        <v>0</v>
      </c>
      <c r="AG21" t="e">
        <f ca="1">((LN($A$4/Table1[[#This Row],[Strike]]) + (0.411 + 0.5 * Table1[[#This Row],[IV Calc P]]^2) *Table1[[#This Row],[T]])) / (Table1[[#This Row],[IV Calc P]] * SQRT(Table1[[#This Row],[T]]))</f>
        <v>#DIV/0!</v>
      </c>
      <c r="AH21" t="e">
        <f ca="1">(LN($A$4/Table1[[#This Row],[Strike]]) + (0.411-0 + 0.5 * Table1[[#This Row],[IV Calc C]]^2) *Table1[[#This Row],[T]]) / (Table1[[#This Row],[IV Calc C]] * SQRT(Table1[[#This Row],[T]]))</f>
        <v>#DIV/0!</v>
      </c>
      <c r="AI21" t="e">
        <f ca="1">(EXP(-(AG21^2)/2)/SQRT(2*PI())*EXP(0*SQRT(Table1[[#This Row],[T]]))/$A$4*18%*SQRT(SQRT(Table1[[#This Row],[T]])))</f>
        <v>#DIV/0!</v>
      </c>
      <c r="AJ21" t="e">
        <f ca="1">(EXP(-(AH21^2)/2)/SQRT(2*PI())*EXP(0*SQRT(Table1[[#This Row],[T]]))/$A$4*18%*SQRT(SQRT(Table1[[#This Row],[T]])))</f>
        <v>#DIV/0!</v>
      </c>
      <c r="AK21" t="e">
        <f ca="1">Table1[[#This Row],[Call D1]]-Table1[[#This Row],[IV Calc C]]*SQRT(Table1[[#This Row],[T]])</f>
        <v>#DIV/0!</v>
      </c>
      <c r="AL21" t="e">
        <f ca="1">Table1[[#This Row],[Put D1]]-Table1[[#This Row],[IV Calc P]]*SQRT(Table1[[#This Row],[T]])</f>
        <v>#DIV/0!</v>
      </c>
      <c r="AM21" t="e">
        <f ca="1">EXP(-0.5*Table1[[#This Row],[Call D1]]^2)/SQRT(2*PI())</f>
        <v>#DIV/0!</v>
      </c>
      <c r="AN21" t="e">
        <f ca="1">EXP(-0.5*Table1[[#This Row],[Put D1]]^2)/SQRT(2*PI())</f>
        <v>#DIV/0!</v>
      </c>
      <c r="AO21">
        <f ca="1">IFERROR((EXP(0*Table1[[#This Row],[T]])*Table1[[#This Row],[call N(d1)]]*(Table1[[#This Row],[call d2]]/Table1[[#This Row],[IV Calc C]]))*Table1[[#This Row],[Open.Int]]*Table1[[#This Row],[DeltaC]],0)</f>
        <v>0</v>
      </c>
      <c r="AP21">
        <f ca="1">IFERROR((EXP(0*Table1[[#This Row],[T]])*Table1[[#This Row],[put N(d1)]]*(Table1[[#This Row],[put d2]]/Table1[[#This Row],[IV Calc P]]))*Table1[[#This Row],[Open.Int8]]*Table1[[#This Row],[DeltaP]]*-1,0)</f>
        <v>0</v>
      </c>
      <c r="AQ21">
        <f ca="1">((Table1[[#This Row],[call vanna]]+Table1[[#This Row],[put vanna]])*$A$4)</f>
        <v>0</v>
      </c>
      <c r="AR2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1" s="9" t="str" cm="1">
        <f t="array" ref="AT21">_xlfn.IFS(     $M$1="SPX","SPXW",     $M$1="RUT","RUTW",  $M$1="NDX","NDXP",   TRUE,$M$1 )</f>
        <v>SPXW</v>
      </c>
      <c r="AU21" s="2">
        <f t="shared" si="7"/>
        <v>6915</v>
      </c>
      <c r="AV21" t="str">
        <f t="shared" si="8"/>
        <v>260123</v>
      </c>
      <c r="AW21" s="19">
        <f ca="1">IFERROR((EXP(0*Table1[[#This Row],[T]])*Table1[[#This Row],[put N(d1)]]*(Table1[[#This Row],[put d2]]/Table1[[#This Row],[IV Calc P]]))*Table1[[#This Row],[Open.Int8]]*Table1[[#This Row],[DeltaP]]*-1,0)</f>
        <v>0</v>
      </c>
      <c r="AX21">
        <f ca="1">IFERROR((EXP(0*Table1[[#This Row],[T]])*Table1[[#This Row],[call N(d1)]]*(Table1[[#This Row],[call d2]]/Table1[[#This Row],[IV Calc C]]))*Table1[[#This Row],[Open.Int]]*Table1[[#This Row],[DeltaC]],0)</f>
        <v>0</v>
      </c>
      <c r="AY2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1">
        <f>((Table1[[#This Row],[High C]]+Table1[[#This Row],[Low C]])/2)*Table1[[#This Row],[gammac]]*Table1[[#This Row],[Volume]]</f>
        <v>0</v>
      </c>
      <c r="BD21">
        <f>((Table1[[#This Row],[High P]]+Table1[[#This Row],[Low P]])/2)*Table1[[#This Row],[gammap]]*Table1[[#This Row],[Volume9]]*-1</f>
        <v>0</v>
      </c>
      <c r="BE21">
        <f>(Table1[[#This Row],[SgammaC]]+Table1[[#This Row],[SgammaP]])*$A$4*-100</f>
        <v>0</v>
      </c>
      <c r="BF21">
        <f>Table1[[#This Row],[DEXc]]+Table1[[#This Row],[DEXp]]</f>
        <v>0</v>
      </c>
      <c r="BG21">
        <f>IFERROR(Table1[[#This Row],[DeltaC]]*Table1[[#This Row],[Open.Int]]*$A$4,0)</f>
        <v>0</v>
      </c>
      <c r="BH21">
        <f>IFERROR(Table1[[#This Row],[DeltaP]]*Table1[[#This Row],[Open.Int8]]*$A$4,0)</f>
        <v>0</v>
      </c>
      <c r="BI2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1">
        <f ca="1">Table1[[#This Row],[Charmc]]+Table1[[#This Row],[Charmp]]</f>
        <v>0</v>
      </c>
      <c r="BL2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1" s="78">
        <f ca="1">Table1[[#This Row],[call helper]]+Table1[[#This Row],[put helper]]</f>
        <v>0</v>
      </c>
      <c r="BP21" t="str">
        <f>RTD("tos.rtd", , "STRIKE", "."&amp;Table1[[#This Row],[Ticker]]&amp;Table1[[#This Row],[Expiry]]&amp;""&amp;"C"&amp;Table1[[#This Row],[Spot]]+Table1[[#This Row],[step]])</f>
        <v>N/A</v>
      </c>
      <c r="BQ21">
        <v>6870</v>
      </c>
      <c r="BV21">
        <f ca="1"/>
        <v>6870</v>
      </c>
      <c r="BW21" s="77">
        <f ca="1"/>
        <v>20257.184128928722</v>
      </c>
      <c r="BX21" s="77">
        <f ca="1"/>
        <v>-100623.87793072272</v>
      </c>
      <c r="BY21" s="17">
        <f ca="1"/>
        <v>0.10976835240709375</v>
      </c>
      <c r="BZ21">
        <f ca="1"/>
        <v>-45</v>
      </c>
      <c r="CA21">
        <f ca="1"/>
        <v>9390742.8483629469</v>
      </c>
      <c r="CB21">
        <f ca="1"/>
        <v>1050910.4459852814</v>
      </c>
    </row>
    <row r="22" spans="1:80" x14ac:dyDescent="0.25">
      <c r="A22">
        <f t="shared" ca="1" si="4"/>
        <v>2.5814307458086375E-3</v>
      </c>
      <c r="C22" s="17"/>
      <c r="D22" t="b">
        <f>IF(
    ISNUMBER(Table1[[#This Row],[Strike]]),RTD("tos.rtd", , "OPEN_INT", "."&amp;Table1[[#This Row],[Ticker]]&amp;Table1[[#This Row],[Expiry]]&amp;""&amp;"C"&amp;Table1[[#This Row],[Strike]]))</f>
        <v>0</v>
      </c>
      <c r="E2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2" t="b">
        <f>IF(
    ISNUMBER(Table1[[#This Row],[Strike]]),RTD("tos.rtd", , "DELTA", "."&amp;Table1[[#This Row],[Ticker]]&amp;Table1[[#This Row],[Expiry]]&amp;""&amp;"C"&amp;Table1[[#This Row],[Strike]]))</f>
        <v>0</v>
      </c>
      <c r="H22" s="17" t="b" cm="1">
        <f t="array" ref="H22">IF(
    ISNUMBER(Table1[[#This Row],[Strike]]),IndividualLegIVCore($A$4, Table1[[#This Row],[Strike]], 0.0411, Table1[[#This Row],[T]], ((Table1[[#This Row],[BIDC]]+Table1[[#This Row],[ASKC]])/2), TRUE))</f>
        <v>0</v>
      </c>
      <c r="I22" t="b">
        <f>IF(
    ISNUMBER(Table1[[#This Row],[Strike]]),RTD("tos.rtd", , "BID", "."&amp;Table1[[#This Row],[Ticker]]&amp;Table1[[#This Row],[Expiry]]&amp;""&amp;"C"&amp;Table1[[#This Row],[Strike]]))</f>
        <v>0</v>
      </c>
      <c r="J22" t="b">
        <f>IF(
    ISNUMBER(Table1[[#This Row],[Strike]]),RTD("tos.rtd", , "ASK", "."&amp;Table1[[#This Row],[Ticker]]&amp;Table1[[#This Row],[Expiry]]&amp;""&amp;"C"&amp;Table1[[#This Row],[Strike]]))</f>
        <v>0</v>
      </c>
      <c r="K2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2" s="17" cm="1">
        <f t="array" aca="1" ref="L2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2" s="1">
        <f t="shared" si="5"/>
        <v>46045</v>
      </c>
      <c r="N22" t="b">
        <f t="shared" si="6"/>
        <v>0</v>
      </c>
      <c r="P22" s="17" t="b" cm="1">
        <f t="array" ref="P22">IF(
    ISNUMBER(Table1[[#This Row],[Strike]]),IndividualLegIVCore($A$4, Table1[[#This Row],[Strike]], 0.0411, Table1[[#This Row],[T]], ((Table1[[#This Row],[BIDP]]+Table1[[#This Row],[ASKP]])/2), FALSE))</f>
        <v>0</v>
      </c>
      <c r="Q22" t="b">
        <f>IF(
    ISNUMBER(Table1[[#This Row],[Strike]]),RTD("tos.rtd", , "BID", "."&amp;Table1[[#This Row],[Ticker]]&amp;Table1[[#This Row],[Expiry]]&amp;""&amp;"P"&amp;Table1[[#This Row],[Strike]]))</f>
        <v>0</v>
      </c>
      <c r="R22" t="b">
        <f>IF(
    ISNUMBER(Table1[[#This Row],[Strike]]),RTD("tos.rtd", , "ASK", "."&amp;Table1[[#This Row],[Ticker]]&amp;Table1[[#This Row],[Expiry]]&amp;""&amp;"P"&amp;Table1[[#This Row],[Strike]]))</f>
        <v>0</v>
      </c>
      <c r="S22" s="17"/>
      <c r="T22" t="b">
        <f>IF(
    ISNUMBER(Table1[[#This Row],[Strike]]),RTD("tos.rtd", , "OPEN_INT", "."&amp;Table1[[#This Row],[Ticker]]&amp;Table1[[#This Row],[Expiry]]&amp;""&amp;"P"&amp;Table1[[#This Row],[Strike]]))</f>
        <v>0</v>
      </c>
      <c r="U2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2" t="b">
        <f>IF(
    ISNUMBER(Table1[[#This Row],[Strike]]),RTD("tos.rtd", , "DELTA", "."&amp;Table1[[#This Row],[Ticker]]&amp;Table1[[#This Row],[Expiry]]&amp;""&amp;"P"&amp;Table1[[#This Row],[Strike]]))</f>
        <v>0</v>
      </c>
      <c r="Y22" s="19">
        <f>-44* IF($M$1="NDX", 10, IF(OR($M$1="SPX", $M$1="RUT"), 2, 1))</f>
        <v>-88</v>
      </c>
      <c r="Z22">
        <f ca="1">IFERROR(Table1[[#This Row],[call gamma]]*(Table1[[#This Row],[Open.Int]])*$A$4^2,0)</f>
        <v>0</v>
      </c>
      <c r="AA22">
        <f ca="1">IFERROR(((Table1[[#This Row],[Open.Int8]])*Table1[[#This Row],[Put gamma]])*-1*$A$4^2,0)</f>
        <v>0</v>
      </c>
      <c r="AB22">
        <f ca="1">(Table1[[#This Row],[Call Gex]]+Table1[[#This Row],[Put Gex]])</f>
        <v>0</v>
      </c>
      <c r="AC22">
        <f ca="1">Table1[[#This Row],[call delta adj]]+Table1[[#This Row],[put delta adj]]</f>
        <v>0</v>
      </c>
      <c r="AD22">
        <f ca="1">Table1[[#This Row],[Put Gex]]*Table1[[#This Row],[DeltaP]]*-1</f>
        <v>0</v>
      </c>
      <c r="AE22">
        <f ca="1">Table1[[#This Row],[Call Gex]]*Table1[[#This Row],[DeltaC]]</f>
        <v>0</v>
      </c>
      <c r="AF22">
        <f>IF(Table1[[#This Row],[DeltaC]]-ABS(Table1[[#This Row],[DeltaP]])="0","0.01",Table1[[#This Row],[DeltaC]]-ABS(Table1[[#This Row],[DeltaP]]))</f>
        <v>0</v>
      </c>
      <c r="AG22" t="e">
        <f ca="1">((LN($A$4/Table1[[#This Row],[Strike]]) + (0.411 + 0.5 * Table1[[#This Row],[IV Calc P]]^2) *Table1[[#This Row],[T]])) / (Table1[[#This Row],[IV Calc P]] * SQRT(Table1[[#This Row],[T]]))</f>
        <v>#DIV/0!</v>
      </c>
      <c r="AH22" t="e">
        <f ca="1">(LN($A$4/Table1[[#This Row],[Strike]]) + (0.411-0 + 0.5 * Table1[[#This Row],[IV Calc C]]^2) *Table1[[#This Row],[T]]) / (Table1[[#This Row],[IV Calc C]] * SQRT(Table1[[#This Row],[T]]))</f>
        <v>#DIV/0!</v>
      </c>
      <c r="AI22" t="e">
        <f ca="1">(EXP(-(AG22^2)/2)/SQRT(2*PI())*EXP(0*SQRT(Table1[[#This Row],[T]]))/$A$4*18%*SQRT(SQRT(Table1[[#This Row],[T]])))</f>
        <v>#DIV/0!</v>
      </c>
      <c r="AJ22" t="e">
        <f ca="1">(EXP(-(AH22^2)/2)/SQRT(2*PI())*EXP(0*SQRT(Table1[[#This Row],[T]]))/$A$4*18%*SQRT(SQRT(Table1[[#This Row],[T]])))</f>
        <v>#DIV/0!</v>
      </c>
      <c r="AK22" t="e">
        <f ca="1">Table1[[#This Row],[Call D1]]-Table1[[#This Row],[IV Calc C]]*SQRT(Table1[[#This Row],[T]])</f>
        <v>#DIV/0!</v>
      </c>
      <c r="AL22" t="e">
        <f ca="1">Table1[[#This Row],[Put D1]]-Table1[[#This Row],[IV Calc P]]*SQRT(Table1[[#This Row],[T]])</f>
        <v>#DIV/0!</v>
      </c>
      <c r="AM22" t="e">
        <f ca="1">EXP(-0.5*Table1[[#This Row],[Call D1]]^2)/SQRT(2*PI())</f>
        <v>#DIV/0!</v>
      </c>
      <c r="AN22" t="e">
        <f ca="1">EXP(-0.5*Table1[[#This Row],[Put D1]]^2)/SQRT(2*PI())</f>
        <v>#DIV/0!</v>
      </c>
      <c r="AO22">
        <f ca="1">IFERROR((EXP(0*Table1[[#This Row],[T]])*Table1[[#This Row],[call N(d1)]]*(Table1[[#This Row],[call d2]]/Table1[[#This Row],[IV Calc C]]))*Table1[[#This Row],[Open.Int]]*Table1[[#This Row],[DeltaC]],0)</f>
        <v>0</v>
      </c>
      <c r="AP22">
        <f ca="1">IFERROR((EXP(0*Table1[[#This Row],[T]])*Table1[[#This Row],[put N(d1)]]*(Table1[[#This Row],[put d2]]/Table1[[#This Row],[IV Calc P]]))*Table1[[#This Row],[Open.Int8]]*Table1[[#This Row],[DeltaP]]*-1,0)</f>
        <v>0</v>
      </c>
      <c r="AQ22">
        <f ca="1">((Table1[[#This Row],[call vanna]]+Table1[[#This Row],[put vanna]])*$A$4)</f>
        <v>0</v>
      </c>
      <c r="AR2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2" s="9" t="str" cm="1">
        <f t="array" ref="AT22">_xlfn.IFS(     $M$1="SPX","SPXW",     $M$1="RUT","RUTW",  $M$1="NDX","NDXP",   TRUE,$M$1 )</f>
        <v>SPXW</v>
      </c>
      <c r="AU22" s="2">
        <f t="shared" si="7"/>
        <v>6915</v>
      </c>
      <c r="AV22" t="str">
        <f t="shared" si="8"/>
        <v>260123</v>
      </c>
      <c r="AW22" s="19">
        <f ca="1">IFERROR((EXP(0*Table1[[#This Row],[T]])*Table1[[#This Row],[put N(d1)]]*(Table1[[#This Row],[put d2]]/Table1[[#This Row],[IV Calc P]]))*Table1[[#This Row],[Open.Int8]]*Table1[[#This Row],[DeltaP]]*-1,0)</f>
        <v>0</v>
      </c>
      <c r="AX22">
        <f ca="1">IFERROR((EXP(0*Table1[[#This Row],[T]])*Table1[[#This Row],[call N(d1)]]*(Table1[[#This Row],[call d2]]/Table1[[#This Row],[IV Calc C]]))*Table1[[#This Row],[Open.Int]]*Table1[[#This Row],[DeltaC]],0)</f>
        <v>0</v>
      </c>
      <c r="AY2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2">
        <f>((Table1[[#This Row],[High C]]+Table1[[#This Row],[Low C]])/2)*Table1[[#This Row],[gammac]]*Table1[[#This Row],[Volume]]</f>
        <v>0</v>
      </c>
      <c r="BD22">
        <f>((Table1[[#This Row],[High P]]+Table1[[#This Row],[Low P]])/2)*Table1[[#This Row],[gammap]]*Table1[[#This Row],[Volume9]]*-1</f>
        <v>0</v>
      </c>
      <c r="BE22">
        <f>(Table1[[#This Row],[SgammaC]]+Table1[[#This Row],[SgammaP]])*$A$4*-100</f>
        <v>0</v>
      </c>
      <c r="BF22">
        <f>Table1[[#This Row],[DEXc]]+Table1[[#This Row],[DEXp]]</f>
        <v>0</v>
      </c>
      <c r="BG22">
        <f>IFERROR(Table1[[#This Row],[DeltaC]]*Table1[[#This Row],[Open.Int]]*$A$4,0)</f>
        <v>0</v>
      </c>
      <c r="BH22">
        <f>IFERROR(Table1[[#This Row],[DeltaP]]*Table1[[#This Row],[Open.Int8]]*$A$4,0)</f>
        <v>0</v>
      </c>
      <c r="BI2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2">
        <f ca="1">Table1[[#This Row],[Charmc]]+Table1[[#This Row],[Charmp]]</f>
        <v>0</v>
      </c>
      <c r="BL2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2" s="78">
        <f ca="1">Table1[[#This Row],[call helper]]+Table1[[#This Row],[put helper]]</f>
        <v>0</v>
      </c>
      <c r="BP22" t="str">
        <f>RTD("tos.rtd", , "STRIKE", "."&amp;Table1[[#This Row],[Ticker]]&amp;Table1[[#This Row],[Expiry]]&amp;""&amp;"C"&amp;Table1[[#This Row],[Spot]]+Table1[[#This Row],[step]])</f>
        <v>N/A</v>
      </c>
      <c r="BQ22">
        <v>6875</v>
      </c>
      <c r="BV22">
        <f ca="1"/>
        <v>6875</v>
      </c>
      <c r="BW22" s="77">
        <f ca="1"/>
        <v>64932.418592973852</v>
      </c>
      <c r="BX22" s="77">
        <f ca="1"/>
        <v>-157783.64165801066</v>
      </c>
      <c r="BY22" s="17">
        <f ca="1"/>
        <v>0.11259786458791556</v>
      </c>
      <c r="BZ22">
        <f ca="1"/>
        <v>-40</v>
      </c>
      <c r="CA22">
        <f ca="1"/>
        <v>21870989.285373688</v>
      </c>
      <c r="CB22">
        <f ca="1"/>
        <v>1210686.6846668248</v>
      </c>
    </row>
    <row r="23" spans="1:80" x14ac:dyDescent="0.25">
      <c r="A23">
        <f t="shared" ca="1" si="4"/>
        <v>2.5814307458086375E-3</v>
      </c>
      <c r="C23" s="17"/>
      <c r="D23" t="b">
        <f>IF(
    ISNUMBER(Table1[[#This Row],[Strike]]),RTD("tos.rtd", , "OPEN_INT", "."&amp;Table1[[#This Row],[Ticker]]&amp;Table1[[#This Row],[Expiry]]&amp;""&amp;"C"&amp;Table1[[#This Row],[Strike]]))</f>
        <v>0</v>
      </c>
      <c r="E2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3" t="b">
        <f>IF(
    ISNUMBER(Table1[[#This Row],[Strike]]),RTD("tos.rtd", , "DELTA", "."&amp;Table1[[#This Row],[Ticker]]&amp;Table1[[#This Row],[Expiry]]&amp;""&amp;"C"&amp;Table1[[#This Row],[Strike]]))</f>
        <v>0</v>
      </c>
      <c r="H23" s="17" t="b" cm="1">
        <f t="array" ref="H23">IF(
    ISNUMBER(Table1[[#This Row],[Strike]]),IndividualLegIVCore($A$4, Table1[[#This Row],[Strike]], 0.0411, Table1[[#This Row],[T]], ((Table1[[#This Row],[BIDC]]+Table1[[#This Row],[ASKC]])/2), TRUE))</f>
        <v>0</v>
      </c>
      <c r="I23" t="b">
        <f>IF(
    ISNUMBER(Table1[[#This Row],[Strike]]),RTD("tos.rtd", , "BID", "."&amp;Table1[[#This Row],[Ticker]]&amp;Table1[[#This Row],[Expiry]]&amp;""&amp;"C"&amp;Table1[[#This Row],[Strike]]))</f>
        <v>0</v>
      </c>
      <c r="J23" t="b">
        <f>IF(
    ISNUMBER(Table1[[#This Row],[Strike]]),RTD("tos.rtd", , "ASK", "."&amp;Table1[[#This Row],[Ticker]]&amp;Table1[[#This Row],[Expiry]]&amp;""&amp;"C"&amp;Table1[[#This Row],[Strike]]))</f>
        <v>0</v>
      </c>
      <c r="K2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3" s="17" cm="1">
        <f t="array" aca="1" ref="L2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3" s="1">
        <f t="shared" si="5"/>
        <v>46045</v>
      </c>
      <c r="N23" t="b">
        <f t="shared" si="6"/>
        <v>0</v>
      </c>
      <c r="P23" s="17" t="b" cm="1">
        <f t="array" ref="P23">IF(
    ISNUMBER(Table1[[#This Row],[Strike]]),IndividualLegIVCore($A$4, Table1[[#This Row],[Strike]], 0.0411, Table1[[#This Row],[T]], ((Table1[[#This Row],[BIDP]]+Table1[[#This Row],[ASKP]])/2), FALSE))</f>
        <v>0</v>
      </c>
      <c r="Q23" t="b">
        <f>IF(
    ISNUMBER(Table1[[#This Row],[Strike]]),RTD("tos.rtd", , "BID", "."&amp;Table1[[#This Row],[Ticker]]&amp;Table1[[#This Row],[Expiry]]&amp;""&amp;"P"&amp;Table1[[#This Row],[Strike]]))</f>
        <v>0</v>
      </c>
      <c r="R23" t="b">
        <f>IF(
    ISNUMBER(Table1[[#This Row],[Strike]]),RTD("tos.rtd", , "ASK", "."&amp;Table1[[#This Row],[Ticker]]&amp;Table1[[#This Row],[Expiry]]&amp;""&amp;"P"&amp;Table1[[#This Row],[Strike]]))</f>
        <v>0</v>
      </c>
      <c r="S23" s="17"/>
      <c r="T23" t="b">
        <f>IF(
    ISNUMBER(Table1[[#This Row],[Strike]]),RTD("tos.rtd", , "OPEN_INT", "."&amp;Table1[[#This Row],[Ticker]]&amp;Table1[[#This Row],[Expiry]]&amp;""&amp;"P"&amp;Table1[[#This Row],[Strike]]))</f>
        <v>0</v>
      </c>
      <c r="U2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3" t="b">
        <f>IF(
    ISNUMBER(Table1[[#This Row],[Strike]]),RTD("tos.rtd", , "DELTA", "."&amp;Table1[[#This Row],[Ticker]]&amp;Table1[[#This Row],[Expiry]]&amp;""&amp;"P"&amp;Table1[[#This Row],[Strike]]))</f>
        <v>0</v>
      </c>
      <c r="Y23" s="19">
        <f>-43.5* IF($M$1="NDX", 10, IF(OR($M$1="SPX", $M$1="RUT"), 2, 1))</f>
        <v>-87</v>
      </c>
      <c r="Z23">
        <f ca="1">IFERROR(Table1[[#This Row],[call gamma]]*(Table1[[#This Row],[Open.Int]])*$A$4^2,0)</f>
        <v>0</v>
      </c>
      <c r="AA23">
        <f ca="1">IFERROR(((Table1[[#This Row],[Open.Int8]])*Table1[[#This Row],[Put gamma]])*-1*$A$4^2,0)</f>
        <v>0</v>
      </c>
      <c r="AB23">
        <f ca="1">(Table1[[#This Row],[Call Gex]]+Table1[[#This Row],[Put Gex]])</f>
        <v>0</v>
      </c>
      <c r="AC23">
        <f ca="1">Table1[[#This Row],[call delta adj]]+Table1[[#This Row],[put delta adj]]</f>
        <v>0</v>
      </c>
      <c r="AD23">
        <f ca="1">Table1[[#This Row],[Put Gex]]*Table1[[#This Row],[DeltaP]]*-1</f>
        <v>0</v>
      </c>
      <c r="AE23">
        <f ca="1">Table1[[#This Row],[Call Gex]]*Table1[[#This Row],[DeltaC]]</f>
        <v>0</v>
      </c>
      <c r="AF23">
        <f>IF(Table1[[#This Row],[DeltaC]]-ABS(Table1[[#This Row],[DeltaP]])="0","0.01",Table1[[#This Row],[DeltaC]]-ABS(Table1[[#This Row],[DeltaP]]))</f>
        <v>0</v>
      </c>
      <c r="AG23" t="e">
        <f ca="1">((LN($A$4/Table1[[#This Row],[Strike]]) + (0.411 + 0.5 * Table1[[#This Row],[IV Calc P]]^2) *Table1[[#This Row],[T]])) / (Table1[[#This Row],[IV Calc P]] * SQRT(Table1[[#This Row],[T]]))</f>
        <v>#DIV/0!</v>
      </c>
      <c r="AH23" t="e">
        <f ca="1">(LN($A$4/Table1[[#This Row],[Strike]]) + (0.411-0 + 0.5 * Table1[[#This Row],[IV Calc C]]^2) *Table1[[#This Row],[T]]) / (Table1[[#This Row],[IV Calc C]] * SQRT(Table1[[#This Row],[T]]))</f>
        <v>#DIV/0!</v>
      </c>
      <c r="AI23" t="e">
        <f ca="1">(EXP(-(AG23^2)/2)/SQRT(2*PI())*EXP(0*SQRT(Table1[[#This Row],[T]]))/$A$4*18%*SQRT(SQRT(Table1[[#This Row],[T]])))</f>
        <v>#DIV/0!</v>
      </c>
      <c r="AJ23" t="e">
        <f ca="1">(EXP(-(AH23^2)/2)/SQRT(2*PI())*EXP(0*SQRT(Table1[[#This Row],[T]]))/$A$4*18%*SQRT(SQRT(Table1[[#This Row],[T]])))</f>
        <v>#DIV/0!</v>
      </c>
      <c r="AK23" t="e">
        <f ca="1">Table1[[#This Row],[Call D1]]-Table1[[#This Row],[IV Calc C]]*SQRT(Table1[[#This Row],[T]])</f>
        <v>#DIV/0!</v>
      </c>
      <c r="AL23" t="e">
        <f ca="1">Table1[[#This Row],[Put D1]]-Table1[[#This Row],[IV Calc P]]*SQRT(Table1[[#This Row],[T]])</f>
        <v>#DIV/0!</v>
      </c>
      <c r="AM23" t="e">
        <f ca="1">EXP(-0.5*Table1[[#This Row],[Call D1]]^2)/SQRT(2*PI())</f>
        <v>#DIV/0!</v>
      </c>
      <c r="AN23" t="e">
        <f ca="1">EXP(-0.5*Table1[[#This Row],[Put D1]]^2)/SQRT(2*PI())</f>
        <v>#DIV/0!</v>
      </c>
      <c r="AO23">
        <f ca="1">IFERROR((EXP(0*Table1[[#This Row],[T]])*Table1[[#This Row],[call N(d1)]]*(Table1[[#This Row],[call d2]]/Table1[[#This Row],[IV Calc C]]))*Table1[[#This Row],[Open.Int]]*Table1[[#This Row],[DeltaC]],0)</f>
        <v>0</v>
      </c>
      <c r="AP23">
        <f ca="1">IFERROR((EXP(0*Table1[[#This Row],[T]])*Table1[[#This Row],[put N(d1)]]*(Table1[[#This Row],[put d2]]/Table1[[#This Row],[IV Calc P]]))*Table1[[#This Row],[Open.Int8]]*Table1[[#This Row],[DeltaP]]*-1,0)</f>
        <v>0</v>
      </c>
      <c r="AQ23">
        <f ca="1">((Table1[[#This Row],[call vanna]]+Table1[[#This Row],[put vanna]])*$A$4)</f>
        <v>0</v>
      </c>
      <c r="AR2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3" s="9" t="str" cm="1">
        <f t="array" ref="AT23">_xlfn.IFS(     $M$1="SPX","SPXW",     $M$1="RUT","RUTW",  $M$1="NDX","NDXP",   TRUE,$M$1 )</f>
        <v>SPXW</v>
      </c>
      <c r="AU23" s="2">
        <f t="shared" si="7"/>
        <v>6915</v>
      </c>
      <c r="AV23" t="str">
        <f t="shared" si="8"/>
        <v>260123</v>
      </c>
      <c r="AW23" s="19">
        <f ca="1">IFERROR((EXP(0*Table1[[#This Row],[T]])*Table1[[#This Row],[put N(d1)]]*(Table1[[#This Row],[put d2]]/Table1[[#This Row],[IV Calc P]]))*Table1[[#This Row],[Open.Int8]]*Table1[[#This Row],[DeltaP]]*-1,0)</f>
        <v>0</v>
      </c>
      <c r="AX23">
        <f ca="1">IFERROR((EXP(0*Table1[[#This Row],[T]])*Table1[[#This Row],[call N(d1)]]*(Table1[[#This Row],[call d2]]/Table1[[#This Row],[IV Calc C]]))*Table1[[#This Row],[Open.Int]]*Table1[[#This Row],[DeltaC]],0)</f>
        <v>0</v>
      </c>
      <c r="AY2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3">
        <f>((Table1[[#This Row],[High C]]+Table1[[#This Row],[Low C]])/2)*Table1[[#This Row],[gammac]]*Table1[[#This Row],[Volume]]</f>
        <v>0</v>
      </c>
      <c r="BD23">
        <f>((Table1[[#This Row],[High P]]+Table1[[#This Row],[Low P]])/2)*Table1[[#This Row],[gammap]]*Table1[[#This Row],[Volume9]]*-1</f>
        <v>0</v>
      </c>
      <c r="BE23">
        <f>(Table1[[#This Row],[SgammaC]]+Table1[[#This Row],[SgammaP]])*$A$4*-100</f>
        <v>0</v>
      </c>
      <c r="BF23">
        <f>Table1[[#This Row],[DEXc]]+Table1[[#This Row],[DEXp]]</f>
        <v>0</v>
      </c>
      <c r="BG23">
        <f>IFERROR(Table1[[#This Row],[DeltaC]]*Table1[[#This Row],[Open.Int]]*$A$4,0)</f>
        <v>0</v>
      </c>
      <c r="BH23">
        <f>IFERROR(Table1[[#This Row],[DeltaP]]*Table1[[#This Row],[Open.Int8]]*$A$4,0)</f>
        <v>0</v>
      </c>
      <c r="BI2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3">
        <f ca="1">Table1[[#This Row],[Charmc]]+Table1[[#This Row],[Charmp]]</f>
        <v>0</v>
      </c>
      <c r="BL2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3" s="78">
        <f ca="1">Table1[[#This Row],[call helper]]+Table1[[#This Row],[put helper]]</f>
        <v>0</v>
      </c>
      <c r="BP23" t="str">
        <f>RTD("tos.rtd", , "STRIKE", "."&amp;Table1[[#This Row],[Ticker]]&amp;Table1[[#This Row],[Expiry]]&amp;""&amp;"C"&amp;Table1[[#This Row],[Spot]]+Table1[[#This Row],[step]])</f>
        <v>N/A</v>
      </c>
      <c r="BQ23">
        <v>6880</v>
      </c>
      <c r="BV23">
        <f ca="1"/>
        <v>6880</v>
      </c>
      <c r="BW23" s="77">
        <f ca="1"/>
        <v>60468.243999461833</v>
      </c>
      <c r="BX23" s="77">
        <f ca="1"/>
        <v>-121301.19660176102</v>
      </c>
      <c r="BY23" s="17">
        <f ca="1"/>
        <v>0.11615555425258559</v>
      </c>
      <c r="BZ23">
        <f ca="1"/>
        <v>-35</v>
      </c>
      <c r="CA23">
        <f ca="1"/>
        <v>16546821.998294158</v>
      </c>
      <c r="CB23">
        <f ca="1"/>
        <v>313582.58761205367</v>
      </c>
    </row>
    <row r="24" spans="1:80" x14ac:dyDescent="0.25">
      <c r="A24">
        <f t="shared" ca="1" si="4"/>
        <v>2.5814307458086375E-3</v>
      </c>
      <c r="C24" s="17"/>
      <c r="D24" t="b">
        <f>IF(
    ISNUMBER(Table1[[#This Row],[Strike]]),RTD("tos.rtd", , "OPEN_INT", "."&amp;Table1[[#This Row],[Ticker]]&amp;Table1[[#This Row],[Expiry]]&amp;""&amp;"C"&amp;Table1[[#This Row],[Strike]]))</f>
        <v>0</v>
      </c>
      <c r="E2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4" t="b">
        <f>IF(
    ISNUMBER(Table1[[#This Row],[Strike]]),RTD("tos.rtd", , "DELTA", "."&amp;Table1[[#This Row],[Ticker]]&amp;Table1[[#This Row],[Expiry]]&amp;""&amp;"C"&amp;Table1[[#This Row],[Strike]]))</f>
        <v>0</v>
      </c>
      <c r="H24" s="17" t="b" cm="1">
        <f t="array" ref="H24">IF(
    ISNUMBER(Table1[[#This Row],[Strike]]),IndividualLegIVCore($A$4, Table1[[#This Row],[Strike]], 0.0411, Table1[[#This Row],[T]], ((Table1[[#This Row],[BIDC]]+Table1[[#This Row],[ASKC]])/2), TRUE))</f>
        <v>0</v>
      </c>
      <c r="I24" t="b">
        <f>IF(
    ISNUMBER(Table1[[#This Row],[Strike]]),RTD("tos.rtd", , "BID", "."&amp;Table1[[#This Row],[Ticker]]&amp;Table1[[#This Row],[Expiry]]&amp;""&amp;"C"&amp;Table1[[#This Row],[Strike]]))</f>
        <v>0</v>
      </c>
      <c r="J24" t="b">
        <f>IF(
    ISNUMBER(Table1[[#This Row],[Strike]]),RTD("tos.rtd", , "ASK", "."&amp;Table1[[#This Row],[Ticker]]&amp;Table1[[#This Row],[Expiry]]&amp;""&amp;"C"&amp;Table1[[#This Row],[Strike]]))</f>
        <v>0</v>
      </c>
      <c r="K2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4" s="17" cm="1">
        <f t="array" aca="1" ref="L2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4" s="1">
        <f t="shared" si="5"/>
        <v>46045</v>
      </c>
      <c r="N24" t="b">
        <f t="shared" si="6"/>
        <v>0</v>
      </c>
      <c r="P24" s="17" t="b" cm="1">
        <f t="array" ref="P24">IF(
    ISNUMBER(Table1[[#This Row],[Strike]]),IndividualLegIVCore($A$4, Table1[[#This Row],[Strike]], 0.0411, Table1[[#This Row],[T]], ((Table1[[#This Row],[BIDP]]+Table1[[#This Row],[ASKP]])/2), FALSE))</f>
        <v>0</v>
      </c>
      <c r="Q24" t="b">
        <f>IF(
    ISNUMBER(Table1[[#This Row],[Strike]]),RTD("tos.rtd", , "BID", "."&amp;Table1[[#This Row],[Ticker]]&amp;Table1[[#This Row],[Expiry]]&amp;""&amp;"P"&amp;Table1[[#This Row],[Strike]]))</f>
        <v>0</v>
      </c>
      <c r="R24" t="b">
        <f>IF(
    ISNUMBER(Table1[[#This Row],[Strike]]),RTD("tos.rtd", , "ASK", "."&amp;Table1[[#This Row],[Ticker]]&amp;Table1[[#This Row],[Expiry]]&amp;""&amp;"P"&amp;Table1[[#This Row],[Strike]]))</f>
        <v>0</v>
      </c>
      <c r="S24" s="17"/>
      <c r="T24" t="b">
        <f>IF(
    ISNUMBER(Table1[[#This Row],[Strike]]),RTD("tos.rtd", , "OPEN_INT", "."&amp;Table1[[#This Row],[Ticker]]&amp;Table1[[#This Row],[Expiry]]&amp;""&amp;"P"&amp;Table1[[#This Row],[Strike]]))</f>
        <v>0</v>
      </c>
      <c r="U2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4" t="b">
        <f>IF(
    ISNUMBER(Table1[[#This Row],[Strike]]),RTD("tos.rtd", , "DELTA", "."&amp;Table1[[#This Row],[Ticker]]&amp;Table1[[#This Row],[Expiry]]&amp;""&amp;"P"&amp;Table1[[#This Row],[Strike]]))</f>
        <v>0</v>
      </c>
      <c r="Y24" s="19">
        <f>-43* IF($M$1="NDX", 10, IF(OR($M$1="SPX", $M$1="RUT"), 2, 1))</f>
        <v>-86</v>
      </c>
      <c r="Z24">
        <f ca="1">IFERROR(Table1[[#This Row],[call gamma]]*(Table1[[#This Row],[Open.Int]])*$A$4^2,0)</f>
        <v>0</v>
      </c>
      <c r="AA24">
        <f ca="1">IFERROR(((Table1[[#This Row],[Open.Int8]])*Table1[[#This Row],[Put gamma]])*-1*$A$4^2,0)</f>
        <v>0</v>
      </c>
      <c r="AB24">
        <f ca="1">(Table1[[#This Row],[Call Gex]]+Table1[[#This Row],[Put Gex]])</f>
        <v>0</v>
      </c>
      <c r="AC24">
        <f ca="1">Table1[[#This Row],[call delta adj]]+Table1[[#This Row],[put delta adj]]</f>
        <v>0</v>
      </c>
      <c r="AD24">
        <f ca="1">Table1[[#This Row],[Put Gex]]*Table1[[#This Row],[DeltaP]]*-1</f>
        <v>0</v>
      </c>
      <c r="AE24">
        <f ca="1">Table1[[#This Row],[Call Gex]]*Table1[[#This Row],[DeltaC]]</f>
        <v>0</v>
      </c>
      <c r="AF24">
        <f>IF(Table1[[#This Row],[DeltaC]]-ABS(Table1[[#This Row],[DeltaP]])="0","0.01",Table1[[#This Row],[DeltaC]]-ABS(Table1[[#This Row],[DeltaP]]))</f>
        <v>0</v>
      </c>
      <c r="AG24" t="e">
        <f ca="1">((LN($A$4/Table1[[#This Row],[Strike]]) + (0.411 + 0.5 * Table1[[#This Row],[IV Calc P]]^2) *Table1[[#This Row],[T]])) / (Table1[[#This Row],[IV Calc P]] * SQRT(Table1[[#This Row],[T]]))</f>
        <v>#DIV/0!</v>
      </c>
      <c r="AH24" t="e">
        <f ca="1">(LN($A$4/Table1[[#This Row],[Strike]]) + (0.411-0 + 0.5 * Table1[[#This Row],[IV Calc C]]^2) *Table1[[#This Row],[T]]) / (Table1[[#This Row],[IV Calc C]] * SQRT(Table1[[#This Row],[T]]))</f>
        <v>#DIV/0!</v>
      </c>
      <c r="AI24" t="e">
        <f ca="1">(EXP(-(AG24^2)/2)/SQRT(2*PI())*EXP(0*SQRT(Table1[[#This Row],[T]]))/$A$4*18%*SQRT(SQRT(Table1[[#This Row],[T]])))</f>
        <v>#DIV/0!</v>
      </c>
      <c r="AJ24" t="e">
        <f ca="1">(EXP(-(AH24^2)/2)/SQRT(2*PI())*EXP(0*SQRT(Table1[[#This Row],[T]]))/$A$4*18%*SQRT(SQRT(Table1[[#This Row],[T]])))</f>
        <v>#DIV/0!</v>
      </c>
      <c r="AK24" t="e">
        <f ca="1">Table1[[#This Row],[Call D1]]-Table1[[#This Row],[IV Calc C]]*SQRT(Table1[[#This Row],[T]])</f>
        <v>#DIV/0!</v>
      </c>
      <c r="AL24" t="e">
        <f ca="1">Table1[[#This Row],[Put D1]]-Table1[[#This Row],[IV Calc P]]*SQRT(Table1[[#This Row],[T]])</f>
        <v>#DIV/0!</v>
      </c>
      <c r="AM24" t="e">
        <f ca="1">EXP(-0.5*Table1[[#This Row],[Call D1]]^2)/SQRT(2*PI())</f>
        <v>#DIV/0!</v>
      </c>
      <c r="AN24" t="e">
        <f ca="1">EXP(-0.5*Table1[[#This Row],[Put D1]]^2)/SQRT(2*PI())</f>
        <v>#DIV/0!</v>
      </c>
      <c r="AO24">
        <f ca="1">IFERROR((EXP(0*Table1[[#This Row],[T]])*Table1[[#This Row],[call N(d1)]]*(Table1[[#This Row],[call d2]]/Table1[[#This Row],[IV Calc C]]))*Table1[[#This Row],[Open.Int]]*Table1[[#This Row],[DeltaC]],0)</f>
        <v>0</v>
      </c>
      <c r="AP24">
        <f ca="1">IFERROR((EXP(0*Table1[[#This Row],[T]])*Table1[[#This Row],[put N(d1)]]*(Table1[[#This Row],[put d2]]/Table1[[#This Row],[IV Calc P]]))*Table1[[#This Row],[Open.Int8]]*Table1[[#This Row],[DeltaP]]*-1,0)</f>
        <v>0</v>
      </c>
      <c r="AQ24">
        <f ca="1">((Table1[[#This Row],[call vanna]]+Table1[[#This Row],[put vanna]])*$A$4)</f>
        <v>0</v>
      </c>
      <c r="AR2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4" s="9" t="str" cm="1">
        <f t="array" ref="AT24">_xlfn.IFS(     $M$1="SPX","SPXW",     $M$1="RUT","RUTW",  $M$1="NDX","NDXP",   TRUE,$M$1 )</f>
        <v>SPXW</v>
      </c>
      <c r="AU24" s="2">
        <f t="shared" si="7"/>
        <v>6915</v>
      </c>
      <c r="AV24" t="str">
        <f t="shared" si="8"/>
        <v>260123</v>
      </c>
      <c r="AW24" s="19">
        <f ca="1">IFERROR((EXP(0*Table1[[#This Row],[T]])*Table1[[#This Row],[put N(d1)]]*(Table1[[#This Row],[put d2]]/Table1[[#This Row],[IV Calc P]]))*Table1[[#This Row],[Open.Int8]]*Table1[[#This Row],[DeltaP]]*-1,0)</f>
        <v>0</v>
      </c>
      <c r="AX24">
        <f ca="1">IFERROR((EXP(0*Table1[[#This Row],[T]])*Table1[[#This Row],[call N(d1)]]*(Table1[[#This Row],[call d2]]/Table1[[#This Row],[IV Calc C]]))*Table1[[#This Row],[Open.Int]]*Table1[[#This Row],[DeltaC]],0)</f>
        <v>0</v>
      </c>
      <c r="AY2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4">
        <f>((Table1[[#This Row],[High C]]+Table1[[#This Row],[Low C]])/2)*Table1[[#This Row],[gammac]]*Table1[[#This Row],[Volume]]</f>
        <v>0</v>
      </c>
      <c r="BD24">
        <f>((Table1[[#This Row],[High P]]+Table1[[#This Row],[Low P]])/2)*Table1[[#This Row],[gammap]]*Table1[[#This Row],[Volume9]]*-1</f>
        <v>0</v>
      </c>
      <c r="BE24">
        <f>(Table1[[#This Row],[SgammaC]]+Table1[[#This Row],[SgammaP]])*$A$4*-100</f>
        <v>0</v>
      </c>
      <c r="BF24">
        <f>Table1[[#This Row],[DEXc]]+Table1[[#This Row],[DEXp]]</f>
        <v>0</v>
      </c>
      <c r="BG24">
        <f>IFERROR(Table1[[#This Row],[DeltaC]]*Table1[[#This Row],[Open.Int]]*$A$4,0)</f>
        <v>0</v>
      </c>
      <c r="BH24">
        <f>IFERROR(Table1[[#This Row],[DeltaP]]*Table1[[#This Row],[Open.Int8]]*$A$4,0)</f>
        <v>0</v>
      </c>
      <c r="BI2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4">
        <f ca="1">Table1[[#This Row],[Charmc]]+Table1[[#This Row],[Charmp]]</f>
        <v>0</v>
      </c>
      <c r="BL2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4" s="78">
        <f ca="1">Table1[[#This Row],[call helper]]+Table1[[#This Row],[put helper]]</f>
        <v>0</v>
      </c>
      <c r="BP24" t="str">
        <f>RTD("tos.rtd", , "STRIKE", "."&amp;Table1[[#This Row],[Ticker]]&amp;Table1[[#This Row],[Expiry]]&amp;""&amp;"C"&amp;Table1[[#This Row],[Spot]]+Table1[[#This Row],[step]])</f>
        <v>N/A</v>
      </c>
      <c r="BQ24">
        <v>6885</v>
      </c>
      <c r="BV24">
        <f ca="1"/>
        <v>6885</v>
      </c>
      <c r="BW24" s="77">
        <f ca="1"/>
        <v>38454.457156460951</v>
      </c>
      <c r="BX24" s="77">
        <f ca="1"/>
        <v>-47690.501103657545</v>
      </c>
      <c r="BY24" s="17">
        <f ca="1"/>
        <v>0.11852715733490957</v>
      </c>
      <c r="BZ24">
        <f ca="1"/>
        <v>-30</v>
      </c>
      <c r="CA24">
        <f ca="1"/>
        <v>8047328.6005672691</v>
      </c>
      <c r="CB24">
        <f ca="1"/>
        <v>-144200.53294831573</v>
      </c>
    </row>
    <row r="25" spans="1:80" x14ac:dyDescent="0.25">
      <c r="A25">
        <f t="shared" ca="1" si="4"/>
        <v>2.5814307458086375E-3</v>
      </c>
      <c r="C25" s="17"/>
      <c r="D25">
        <f>IF(
    ISNUMBER(Table1[[#This Row],[Strike]]),RTD("tos.rtd", , "OPEN_INT", "."&amp;Table1[[#This Row],[Ticker]]&amp;Table1[[#This Row],[Expiry]]&amp;""&amp;"C"&amp;Table1[[#This Row],[Strike]]))</f>
        <v>361</v>
      </c>
      <c r="E2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82</v>
      </c>
      <c r="G25">
        <f>IF(
    ISNUMBER(Table1[[#This Row],[Strike]]),RTD("tos.rtd", , "DELTA", "."&amp;Table1[[#This Row],[Ticker]]&amp;Table1[[#This Row],[Expiry]]&amp;""&amp;"C"&amp;Table1[[#This Row],[Strike]]))</f>
        <v>1</v>
      </c>
      <c r="H25" s="17" cm="1">
        <f t="array" aca="1" ref="H25" ca="1">IF(
    ISNUMBER(Table1[[#This Row],[Strike]]),IndividualLegIVCore($A$4, Table1[[#This Row],[Strike]], 0.0411, Table1[[#This Row],[T]], ((Table1[[#This Row],[BIDC]]+Table1[[#This Row],[ASKC]])/2), TRUE))</f>
        <v>0.01</v>
      </c>
      <c r="I25">
        <f>IF(
    ISNUMBER(Table1[[#This Row],[Strike]]),RTD("tos.rtd", , "BID", "."&amp;Table1[[#This Row],[Ticker]]&amp;Table1[[#This Row],[Expiry]]&amp;""&amp;"C"&amp;Table1[[#This Row],[Strike]]))</f>
        <v>81.099999999999994</v>
      </c>
      <c r="J25">
        <f>IF(
    ISNUMBER(Table1[[#This Row],[Strike]]),RTD("tos.rtd", , "ASK", "."&amp;Table1[[#This Row],[Ticker]]&amp;Table1[[#This Row],[Expiry]]&amp;""&amp;"C"&amp;Table1[[#This Row],[Strike]]))</f>
        <v>82.3</v>
      </c>
      <c r="K2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0.17664088771720515</v>
      </c>
      <c r="L25" s="17" cm="1">
        <f t="array" aca="1" ref="L25" ca="1">CubicSplineIVSmile($A$4, Table1[[#This Row],[Strike]], 0.0411, Table1[[#This Row],[T]], (Table1[[#This Row],[BIDC]]+Table1[[#This Row],[ASKC]])/2, (Table1[[#This Row],[BIDP]]+Table1[[#This Row],[ASKP]])/2, Table1[Strike], Table1[IV Calc AVG])</f>
        <v>0.17664088771720515</v>
      </c>
      <c r="M25" s="1">
        <f t="shared" si="5"/>
        <v>46045</v>
      </c>
      <c r="N25">
        <f t="shared" si="6"/>
        <v>6830</v>
      </c>
      <c r="P25" s="17" cm="1">
        <f t="array" aca="1" ref="P25" ca="1">IF(
    ISNUMBER(Table1[[#This Row],[Strike]]),IndividualLegIVCore($A$4, Table1[[#This Row],[Strike]], 0.0411, Table1[[#This Row],[T]], ((Table1[[#This Row],[BIDP]]+Table1[[#This Row],[ASKP]])/2), FALSE))</f>
        <v>0.17664088771720515</v>
      </c>
      <c r="Q25">
        <f>IF(
    ISNUMBER(Table1[[#This Row],[Strike]]),RTD("tos.rtd", , "BID", "."&amp;Table1[[#This Row],[Ticker]]&amp;Table1[[#This Row],[Expiry]]&amp;""&amp;"P"&amp;Table1[[#This Row],[Strike]]))</f>
        <v>2.35</v>
      </c>
      <c r="R25">
        <f>IF(
    ISNUMBER(Table1[[#This Row],[Strike]]),RTD("tos.rtd", , "ASK", "."&amp;Table1[[#This Row],[Ticker]]&amp;Table1[[#This Row],[Expiry]]&amp;""&amp;"P"&amp;Table1[[#This Row],[Strike]]))</f>
        <v>2.5499999999999998</v>
      </c>
      <c r="S25" s="17"/>
      <c r="T25">
        <f>IF(
    ISNUMBER(Table1[[#This Row],[Strike]]),RTD("tos.rtd", , "OPEN_INT", "."&amp;Table1[[#This Row],[Ticker]]&amp;Table1[[#This Row],[Expiry]]&amp;""&amp;"P"&amp;Table1[[#This Row],[Strike]]))</f>
        <v>1983</v>
      </c>
      <c r="U2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3217</v>
      </c>
      <c r="W25">
        <f>IF(
    ISNUMBER(Table1[[#This Row],[Strike]]),RTD("tos.rtd", , "DELTA", "."&amp;Table1[[#This Row],[Ticker]]&amp;Table1[[#This Row],[Expiry]]&amp;""&amp;"P"&amp;Table1[[#This Row],[Strike]]))</f>
        <v>-0.09</v>
      </c>
      <c r="Y25" s="19">
        <f>-42.5* IF($M$1="NDX", 10, IF(OR($M$1="SPX", $M$1="RUT"), 2, 1))</f>
        <v>-85</v>
      </c>
      <c r="Z25">
        <f ca="1">IFERROR(Table1[[#This Row],[call gamma]]*(Table1[[#This Row],[Open.Int]])*$A$4^2,0)</f>
        <v>1.7493135636443934E-142</v>
      </c>
      <c r="AA25">
        <f ca="1">IFERROR(((Table1[[#This Row],[Open.Int8]])*Table1[[#This Row],[Put gamma]])*-1*$A$4^2,0)</f>
        <v>-74854.146559058951</v>
      </c>
      <c r="AB25">
        <f ca="1">(Table1[[#This Row],[Call Gex]]+Table1[[#This Row],[Put Gex]])</f>
        <v>-74854.146559058951</v>
      </c>
      <c r="AC25">
        <f ca="1">Table1[[#This Row],[call delta adj]]+Table1[[#This Row],[put delta adj]]</f>
        <v>-6736.8731903153057</v>
      </c>
      <c r="AD25">
        <f ca="1">Table1[[#This Row],[Put Gex]]*Table1[[#This Row],[DeltaP]]*-1</f>
        <v>-6736.8731903153057</v>
      </c>
      <c r="AE25">
        <f ca="1">Table1[[#This Row],[Call Gex]]*Table1[[#This Row],[DeltaC]]</f>
        <v>1.7493135636443934E-142</v>
      </c>
      <c r="AF25">
        <f>IF(Table1[[#This Row],[DeltaC]]-ABS(Table1[[#This Row],[DeltaP]])="0","0.01",Table1[[#This Row],[DeltaC]]-ABS(Table1[[#This Row],[DeltaP]]))</f>
        <v>0.91</v>
      </c>
      <c r="AG25">
        <f ca="1">((LN($A$4/Table1[[#This Row],[Strike]]) + (0.411 + 0.5 * Table1[[#This Row],[IV Calc P]]^2) *Table1[[#This Row],[T]])) / (Table1[[#This Row],[IV Calc P]] * SQRT(Table1[[#This Row],[T]]))</f>
        <v>1.4742381858389386</v>
      </c>
      <c r="AH25">
        <f ca="1">(LN($A$4/Table1[[#This Row],[Strike]]) + (0.411-0 + 0.5 * Table1[[#This Row],[IV Calc C]]^2) *Table1[[#This Row],[T]]) / (Table1[[#This Row],[IV Calc C]] * SQRT(Table1[[#This Row],[T]]))</f>
        <v>25.962062994846342</v>
      </c>
      <c r="AI25">
        <f ca="1">(EXP(-(AG25^2)/2)/SQRT(2*PI())*EXP(0*SQRT(Table1[[#This Row],[T]]))/$A$4*18%*SQRT(SQRT(Table1[[#This Row],[T]])))</f>
        <v>7.897980557614143E-7</v>
      </c>
      <c r="AJ25">
        <f ca="1">(EXP(-(AH25^2)/2)/SQRT(2*PI())*EXP(0*SQRT(Table1[[#This Row],[T]]))/$A$4*18%*SQRT(SQRT(Table1[[#This Row],[T]])))</f>
        <v>1.0138725687437353E-152</v>
      </c>
      <c r="AK25">
        <f ca="1">Table1[[#This Row],[Call D1]]-Table1[[#This Row],[IV Calc C]]*SQRT(Table1[[#This Row],[T]])</f>
        <v>25.96155491702299</v>
      </c>
      <c r="AL25">
        <f ca="1">Table1[[#This Row],[Put D1]]-Table1[[#This Row],[IV Calc P]]*SQRT(Table1[[#This Row],[T]])</f>
        <v>1.4652634540643279</v>
      </c>
      <c r="AM25">
        <f ca="1">EXP(-0.5*Table1[[#This Row],[Call D1]]^2)/SQRT(2*PI())</f>
        <v>1.7275645856526098E-147</v>
      </c>
      <c r="AN25">
        <f ca="1">EXP(-0.5*Table1[[#This Row],[Put D1]]^2)/SQRT(2*PI())</f>
        <v>0.13457580301648095</v>
      </c>
      <c r="AO25">
        <f ca="1">IFERROR((EXP(0*Table1[[#This Row],[T]])*Table1[[#This Row],[call N(d1)]]*(Table1[[#This Row],[call d2]]/Table1[[#This Row],[IV Calc C]]))*Table1[[#This Row],[Open.Int]]*Table1[[#This Row],[DeltaC]],0)</f>
        <v>1.6190944893587871E-141</v>
      </c>
      <c r="AP25">
        <f ca="1">IFERROR((EXP(0*Table1[[#This Row],[T]])*Table1[[#This Row],[put N(d1)]]*(Table1[[#This Row],[put d2]]/Table1[[#This Row],[IV Calc P]]))*Table1[[#This Row],[Open.Int8]]*Table1[[#This Row],[DeltaP]]*-1,0)</f>
        <v>199.23089353057497</v>
      </c>
      <c r="AQ25">
        <f ca="1">((Table1[[#This Row],[call vanna]]+Table1[[#This Row],[put vanna]])*$A$4)</f>
        <v>1377352.8977896005</v>
      </c>
      <c r="AR2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1.7493135636443934E-142</v>
      </c>
      <c r="AS2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-74854.146559058951</v>
      </c>
      <c r="AT25" s="9" t="str" cm="1">
        <f t="array" ref="AT25">_xlfn.IFS(     $M$1="SPX","SPXW",     $M$1="RUT","RUTW",  $M$1="NDX","NDXP",   TRUE,$M$1 )</f>
        <v>SPXW</v>
      </c>
      <c r="AU25" s="2">
        <f t="shared" si="7"/>
        <v>6915</v>
      </c>
      <c r="AV25" t="str">
        <f t="shared" si="8"/>
        <v>260123</v>
      </c>
      <c r="AW25" s="19">
        <f ca="1">IFERROR((EXP(0*Table1[[#This Row],[T]])*Table1[[#This Row],[put N(d1)]]*(Table1[[#This Row],[put d2]]/Table1[[#This Row],[IV Calc P]]))*Table1[[#This Row],[Open.Int8]]*Table1[[#This Row],[DeltaP]]*-1,0)</f>
        <v>199.23089353057497</v>
      </c>
      <c r="AX25">
        <f ca="1">IFERROR((EXP(0*Table1[[#This Row],[T]])*Table1[[#This Row],[call N(d1)]]*(Table1[[#This Row],[call d2]]/Table1[[#This Row],[IV Calc C]]))*Table1[[#This Row],[Open.Int]]*Table1[[#This Row],[DeltaC]],0)</f>
        <v>1.6190944893587871E-141</v>
      </c>
      <c r="AY25">
        <f>IF(
    ISNUMBER(Table1[[#This Row],[Strike]]),RTD("tos.rtd", , "high", "."&amp;Table1[[#This Row],[Ticker]]&amp;Table1[[#This Row],[Expiry]]&amp;""&amp;"C"&amp;Table1[[#This Row],[Spot]]+Table1[[#This Row],[step]]))</f>
        <v>106.28</v>
      </c>
      <c r="AZ25">
        <f>IF(
    ISNUMBER(Table1[[#This Row],[Strike]]),RTD("tos.rtd", , "low", "."&amp;Table1[[#This Row],[Ticker]]&amp;Table1[[#This Row],[Expiry]]&amp;""&amp;"C"&amp;Table1[[#This Row],[Spot]]+Table1[[#This Row],[step]]))</f>
        <v>76</v>
      </c>
      <c r="BA25">
        <f>IF(
    ISNUMBER(Table1[[#This Row],[Strike]]),RTD("tos.rtd", , "high", "."&amp;Table1[[#This Row],[Ticker]]&amp;Table1[[#This Row],[Expiry]]&amp;""&amp;"P"&amp;Table1[[#This Row],[Spot]]+Table1[[#This Row],[step]]))</f>
        <v>7.39</v>
      </c>
      <c r="BB25">
        <f>IF(
    ISNUMBER(Table1[[#This Row],[Strike]]),RTD("tos.rtd", , "low", "."&amp;Table1[[#This Row],[Ticker]]&amp;Table1[[#This Row],[Expiry]]&amp;""&amp;"P"&amp;Table1[[#This Row],[Spot]]+Table1[[#This Row],[step]]))</f>
        <v>1.25</v>
      </c>
      <c r="BC25">
        <f>((Table1[[#This Row],[High C]]+Table1[[#This Row],[Low C]])/2)*Table1[[#This Row],[gammac]]*Table1[[#This Row],[Volume]]</f>
        <v>0</v>
      </c>
      <c r="BD25">
        <f>((Table1[[#This Row],[High P]]+Table1[[#This Row],[Low P]])/2)*Table1[[#This Row],[gammap]]*Table1[[#This Row],[Volume9]]*-1</f>
        <v>0</v>
      </c>
      <c r="BE25">
        <f>(Table1[[#This Row],[SgammaC]]+Table1[[#This Row],[SgammaP]])*$A$4*-100</f>
        <v>0</v>
      </c>
      <c r="BF25">
        <f>Table1[[#This Row],[DEXc]]+Table1[[#This Row],[DEXp]]</f>
        <v>1261893.7755</v>
      </c>
      <c r="BG25">
        <f>IFERROR(Table1[[#This Row],[DeltaC]]*Table1[[#This Row],[Open.Int]]*$A$4,0)</f>
        <v>2495719.35</v>
      </c>
      <c r="BH25">
        <f>IFERROR(Table1[[#This Row],[DeltaP]]*Table1[[#This Row],[Open.Int8]]*$A$4,0)</f>
        <v>-1233825.5745000001</v>
      </c>
      <c r="BI2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1.7840260381728555E-120</v>
      </c>
      <c r="BJ2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2776702.5831649685</v>
      </c>
      <c r="BK25">
        <f ca="1">Table1[[#This Row],[Charmc]]+Table1[[#This Row],[Charmp]]</f>
        <v>2776702.5831649685</v>
      </c>
      <c r="BL2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2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25" s="78">
        <f ca="1">Table1[[#This Row],[call helper]]+Table1[[#This Row],[put helper]]</f>
        <v>-74854.146559058951</v>
      </c>
      <c r="BP25">
        <f>RTD("tos.rtd", , "STRIKE", "."&amp;Table1[[#This Row],[Ticker]]&amp;Table1[[#This Row],[Expiry]]&amp;""&amp;"C"&amp;Table1[[#This Row],[Spot]]+Table1[[#This Row],[step]])</f>
        <v>6830</v>
      </c>
      <c r="BQ25">
        <v>6890</v>
      </c>
      <c r="BV25">
        <f ca="1"/>
        <v>6890</v>
      </c>
      <c r="BW25" s="77">
        <f ca="1"/>
        <v>41655.666834839954</v>
      </c>
      <c r="BX25" s="77">
        <f ca="1"/>
        <v>-72111.214393581104</v>
      </c>
      <c r="BY25" s="17">
        <f ca="1"/>
        <v>0.12014418077332148</v>
      </c>
      <c r="BZ25">
        <f ca="1"/>
        <v>-25</v>
      </c>
      <c r="CA25">
        <f ca="1"/>
        <v>7902695.8376503028</v>
      </c>
      <c r="CB25">
        <f ca="1"/>
        <v>-638930.66718822741</v>
      </c>
    </row>
    <row r="26" spans="1:80" x14ac:dyDescent="0.25">
      <c r="A26">
        <f t="shared" ca="1" si="4"/>
        <v>2.5814307458086375E-3</v>
      </c>
      <c r="C26" s="17"/>
      <c r="D26" t="b">
        <f>IF(
    ISNUMBER(Table1[[#This Row],[Strike]]),RTD("tos.rtd", , "OPEN_INT", "."&amp;Table1[[#This Row],[Ticker]]&amp;Table1[[#This Row],[Expiry]]&amp;""&amp;"C"&amp;Table1[[#This Row],[Strike]]))</f>
        <v>0</v>
      </c>
      <c r="E2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6" t="b">
        <f>IF(
    ISNUMBER(Table1[[#This Row],[Strike]]),RTD("tos.rtd", , "DELTA", "."&amp;Table1[[#This Row],[Ticker]]&amp;Table1[[#This Row],[Expiry]]&amp;""&amp;"C"&amp;Table1[[#This Row],[Strike]]))</f>
        <v>0</v>
      </c>
      <c r="H26" s="17" t="b" cm="1">
        <f t="array" ref="H26">IF(
    ISNUMBER(Table1[[#This Row],[Strike]]),IndividualLegIVCore($A$4, Table1[[#This Row],[Strike]], 0.0411, Table1[[#This Row],[T]], ((Table1[[#This Row],[BIDC]]+Table1[[#This Row],[ASKC]])/2), TRUE))</f>
        <v>0</v>
      </c>
      <c r="I26" t="b">
        <f>IF(
    ISNUMBER(Table1[[#This Row],[Strike]]),RTD("tos.rtd", , "BID", "."&amp;Table1[[#This Row],[Ticker]]&amp;Table1[[#This Row],[Expiry]]&amp;""&amp;"C"&amp;Table1[[#This Row],[Strike]]))</f>
        <v>0</v>
      </c>
      <c r="J26" t="b">
        <f>IF(
    ISNUMBER(Table1[[#This Row],[Strike]]),RTD("tos.rtd", , "ASK", "."&amp;Table1[[#This Row],[Ticker]]&amp;Table1[[#This Row],[Expiry]]&amp;""&amp;"C"&amp;Table1[[#This Row],[Strike]]))</f>
        <v>0</v>
      </c>
      <c r="K2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6" s="17" cm="1">
        <f t="array" aca="1" ref="L2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6" s="1">
        <f t="shared" si="5"/>
        <v>46045</v>
      </c>
      <c r="N26" t="b">
        <f t="shared" si="6"/>
        <v>0</v>
      </c>
      <c r="P26" s="17" t="b" cm="1">
        <f t="array" ref="P26">IF(
    ISNUMBER(Table1[[#This Row],[Strike]]),IndividualLegIVCore($A$4, Table1[[#This Row],[Strike]], 0.0411, Table1[[#This Row],[T]], ((Table1[[#This Row],[BIDP]]+Table1[[#This Row],[ASKP]])/2), FALSE))</f>
        <v>0</v>
      </c>
      <c r="Q26" t="b">
        <f>IF(
    ISNUMBER(Table1[[#This Row],[Strike]]),RTD("tos.rtd", , "BID", "."&amp;Table1[[#This Row],[Ticker]]&amp;Table1[[#This Row],[Expiry]]&amp;""&amp;"P"&amp;Table1[[#This Row],[Strike]]))</f>
        <v>0</v>
      </c>
      <c r="R26" t="b">
        <f>IF(
    ISNUMBER(Table1[[#This Row],[Strike]]),RTD("tos.rtd", , "ASK", "."&amp;Table1[[#This Row],[Ticker]]&amp;Table1[[#This Row],[Expiry]]&amp;""&amp;"P"&amp;Table1[[#This Row],[Strike]]))</f>
        <v>0</v>
      </c>
      <c r="S26" s="17"/>
      <c r="T26" t="b">
        <f>IF(
    ISNUMBER(Table1[[#This Row],[Strike]]),RTD("tos.rtd", , "OPEN_INT", "."&amp;Table1[[#This Row],[Ticker]]&amp;Table1[[#This Row],[Expiry]]&amp;""&amp;"P"&amp;Table1[[#This Row],[Strike]]))</f>
        <v>0</v>
      </c>
      <c r="U2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6" t="b">
        <f>IF(
    ISNUMBER(Table1[[#This Row],[Strike]]),RTD("tos.rtd", , "DELTA", "."&amp;Table1[[#This Row],[Ticker]]&amp;Table1[[#This Row],[Expiry]]&amp;""&amp;"P"&amp;Table1[[#This Row],[Strike]]))</f>
        <v>0</v>
      </c>
      <c r="Y26" s="19">
        <f>-42* IF($M$1="NDX", 10, IF(OR($M$1="SPX", $M$1="RUT"), 2, 1))</f>
        <v>-84</v>
      </c>
      <c r="Z26">
        <f ca="1">IFERROR(Table1[[#This Row],[call gamma]]*(Table1[[#This Row],[Open.Int]])*$A$4^2,0)</f>
        <v>0</v>
      </c>
      <c r="AA26">
        <f ca="1">IFERROR(((Table1[[#This Row],[Open.Int8]])*Table1[[#This Row],[Put gamma]])*-1*$A$4^2,0)</f>
        <v>0</v>
      </c>
      <c r="AB26">
        <f ca="1">(Table1[[#This Row],[Call Gex]]+Table1[[#This Row],[Put Gex]])</f>
        <v>0</v>
      </c>
      <c r="AC26">
        <f ca="1">Table1[[#This Row],[call delta adj]]+Table1[[#This Row],[put delta adj]]</f>
        <v>0</v>
      </c>
      <c r="AD26">
        <f ca="1">Table1[[#This Row],[Put Gex]]*Table1[[#This Row],[DeltaP]]*-1</f>
        <v>0</v>
      </c>
      <c r="AE26">
        <f ca="1">Table1[[#This Row],[Call Gex]]*Table1[[#This Row],[DeltaC]]</f>
        <v>0</v>
      </c>
      <c r="AF26">
        <f>IF(Table1[[#This Row],[DeltaC]]-ABS(Table1[[#This Row],[DeltaP]])="0","0.01",Table1[[#This Row],[DeltaC]]-ABS(Table1[[#This Row],[DeltaP]]))</f>
        <v>0</v>
      </c>
      <c r="AG26" t="e">
        <f ca="1">((LN($A$4/Table1[[#This Row],[Strike]]) + (0.411 + 0.5 * Table1[[#This Row],[IV Calc P]]^2) *Table1[[#This Row],[T]])) / (Table1[[#This Row],[IV Calc P]] * SQRT(Table1[[#This Row],[T]]))</f>
        <v>#DIV/0!</v>
      </c>
      <c r="AH26" t="e">
        <f ca="1">(LN($A$4/Table1[[#This Row],[Strike]]) + (0.411-0 + 0.5 * Table1[[#This Row],[IV Calc C]]^2) *Table1[[#This Row],[T]]) / (Table1[[#This Row],[IV Calc C]] * SQRT(Table1[[#This Row],[T]]))</f>
        <v>#DIV/0!</v>
      </c>
      <c r="AI26" t="e">
        <f ca="1">(EXP(-(AG26^2)/2)/SQRT(2*PI())*EXP(0*SQRT(Table1[[#This Row],[T]]))/$A$4*18%*SQRT(SQRT(Table1[[#This Row],[T]])))</f>
        <v>#DIV/0!</v>
      </c>
      <c r="AJ26" t="e">
        <f ca="1">(EXP(-(AH26^2)/2)/SQRT(2*PI())*EXP(0*SQRT(Table1[[#This Row],[T]]))/$A$4*18%*SQRT(SQRT(Table1[[#This Row],[T]])))</f>
        <v>#DIV/0!</v>
      </c>
      <c r="AK26" t="e">
        <f ca="1">Table1[[#This Row],[Call D1]]-Table1[[#This Row],[IV Calc C]]*SQRT(Table1[[#This Row],[T]])</f>
        <v>#DIV/0!</v>
      </c>
      <c r="AL26" t="e">
        <f ca="1">Table1[[#This Row],[Put D1]]-Table1[[#This Row],[IV Calc P]]*SQRT(Table1[[#This Row],[T]])</f>
        <v>#DIV/0!</v>
      </c>
      <c r="AM26" t="e">
        <f ca="1">EXP(-0.5*Table1[[#This Row],[Call D1]]^2)/SQRT(2*PI())</f>
        <v>#DIV/0!</v>
      </c>
      <c r="AN26" t="e">
        <f ca="1">EXP(-0.5*Table1[[#This Row],[Put D1]]^2)/SQRT(2*PI())</f>
        <v>#DIV/0!</v>
      </c>
      <c r="AO26">
        <f ca="1">IFERROR((EXP(0*Table1[[#This Row],[T]])*Table1[[#This Row],[call N(d1)]]*(Table1[[#This Row],[call d2]]/Table1[[#This Row],[IV Calc C]]))*Table1[[#This Row],[Open.Int]]*Table1[[#This Row],[DeltaC]],0)</f>
        <v>0</v>
      </c>
      <c r="AP26">
        <f ca="1">IFERROR((EXP(0*Table1[[#This Row],[T]])*Table1[[#This Row],[put N(d1)]]*(Table1[[#This Row],[put d2]]/Table1[[#This Row],[IV Calc P]]))*Table1[[#This Row],[Open.Int8]]*Table1[[#This Row],[DeltaP]]*-1,0)</f>
        <v>0</v>
      </c>
      <c r="AQ26">
        <f ca="1">((Table1[[#This Row],[call vanna]]+Table1[[#This Row],[put vanna]])*$A$4)</f>
        <v>0</v>
      </c>
      <c r="AR2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6" s="9" t="str" cm="1">
        <f t="array" ref="AT26">_xlfn.IFS(     $M$1="SPX","SPXW",     $M$1="RUT","RUTW",  $M$1="NDX","NDXP",   TRUE,$M$1 )</f>
        <v>SPXW</v>
      </c>
      <c r="AU26" s="2">
        <f t="shared" si="7"/>
        <v>6915</v>
      </c>
      <c r="AV26" t="str">
        <f t="shared" si="8"/>
        <v>260123</v>
      </c>
      <c r="AW26" s="19">
        <f ca="1">IFERROR((EXP(0*Table1[[#This Row],[T]])*Table1[[#This Row],[put N(d1)]]*(Table1[[#This Row],[put d2]]/Table1[[#This Row],[IV Calc P]]))*Table1[[#This Row],[Open.Int8]]*Table1[[#This Row],[DeltaP]]*-1,0)</f>
        <v>0</v>
      </c>
      <c r="AX26">
        <f ca="1">IFERROR((EXP(0*Table1[[#This Row],[T]])*Table1[[#This Row],[call N(d1)]]*(Table1[[#This Row],[call d2]]/Table1[[#This Row],[IV Calc C]]))*Table1[[#This Row],[Open.Int]]*Table1[[#This Row],[DeltaC]],0)</f>
        <v>0</v>
      </c>
      <c r="AY2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6">
        <f>((Table1[[#This Row],[High C]]+Table1[[#This Row],[Low C]])/2)*Table1[[#This Row],[gammac]]*Table1[[#This Row],[Volume]]</f>
        <v>0</v>
      </c>
      <c r="BD26">
        <f>((Table1[[#This Row],[High P]]+Table1[[#This Row],[Low P]])/2)*Table1[[#This Row],[gammap]]*Table1[[#This Row],[Volume9]]*-1</f>
        <v>0</v>
      </c>
      <c r="BE26">
        <f>(Table1[[#This Row],[SgammaC]]+Table1[[#This Row],[SgammaP]])*$A$4*-100</f>
        <v>0</v>
      </c>
      <c r="BF26">
        <f>Table1[[#This Row],[DEXc]]+Table1[[#This Row],[DEXp]]</f>
        <v>0</v>
      </c>
      <c r="BG26">
        <f>IFERROR(Table1[[#This Row],[DeltaC]]*Table1[[#This Row],[Open.Int]]*$A$4,0)</f>
        <v>0</v>
      </c>
      <c r="BH26">
        <f>IFERROR(Table1[[#This Row],[DeltaP]]*Table1[[#This Row],[Open.Int8]]*$A$4,0)</f>
        <v>0</v>
      </c>
      <c r="BI2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6">
        <f ca="1">Table1[[#This Row],[Charmc]]+Table1[[#This Row],[Charmp]]</f>
        <v>0</v>
      </c>
      <c r="BL2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6" s="78">
        <f ca="1">Table1[[#This Row],[call helper]]+Table1[[#This Row],[put helper]]</f>
        <v>0</v>
      </c>
      <c r="BP26" t="str">
        <f>RTD("tos.rtd", , "STRIKE", "."&amp;Table1[[#This Row],[Ticker]]&amp;Table1[[#This Row],[Expiry]]&amp;""&amp;"C"&amp;Table1[[#This Row],[Spot]]+Table1[[#This Row],[step]])</f>
        <v>N/A</v>
      </c>
      <c r="BQ26">
        <v>6895</v>
      </c>
      <c r="BV26">
        <f ca="1"/>
        <v>6895</v>
      </c>
      <c r="BW26" s="77">
        <f ca="1"/>
        <v>112119.43728463945</v>
      </c>
      <c r="BX26" s="77">
        <f ca="1"/>
        <v>-56397.45701531315</v>
      </c>
      <c r="BY26" s="17">
        <f ca="1"/>
        <v>0.12160703936754415</v>
      </c>
      <c r="BZ26">
        <f ca="1"/>
        <v>-20</v>
      </c>
      <c r="CA26">
        <f ca="1"/>
        <v>13463107.29414844</v>
      </c>
      <c r="CB26">
        <f ca="1"/>
        <v>-1418213.8077847897</v>
      </c>
    </row>
    <row r="27" spans="1:80" x14ac:dyDescent="0.25">
      <c r="A27">
        <f t="shared" ca="1" si="4"/>
        <v>2.5814307458086375E-3</v>
      </c>
      <c r="C27" s="17"/>
      <c r="D27" t="b">
        <f>IF(
    ISNUMBER(Table1[[#This Row],[Strike]]),RTD("tos.rtd", , "OPEN_INT", "."&amp;Table1[[#This Row],[Ticker]]&amp;Table1[[#This Row],[Expiry]]&amp;""&amp;"C"&amp;Table1[[#This Row],[Strike]]))</f>
        <v>0</v>
      </c>
      <c r="E2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7" t="b">
        <f>IF(
    ISNUMBER(Table1[[#This Row],[Strike]]),RTD("tos.rtd", , "DELTA", "."&amp;Table1[[#This Row],[Ticker]]&amp;Table1[[#This Row],[Expiry]]&amp;""&amp;"C"&amp;Table1[[#This Row],[Strike]]))</f>
        <v>0</v>
      </c>
      <c r="H27" s="17" t="b" cm="1">
        <f t="array" ref="H27">IF(
    ISNUMBER(Table1[[#This Row],[Strike]]),IndividualLegIVCore($A$4, Table1[[#This Row],[Strike]], 0.0411, Table1[[#This Row],[T]], ((Table1[[#This Row],[BIDC]]+Table1[[#This Row],[ASKC]])/2), TRUE))</f>
        <v>0</v>
      </c>
      <c r="I27" t="b">
        <f>IF(
    ISNUMBER(Table1[[#This Row],[Strike]]),RTD("tos.rtd", , "BID", "."&amp;Table1[[#This Row],[Ticker]]&amp;Table1[[#This Row],[Expiry]]&amp;""&amp;"C"&amp;Table1[[#This Row],[Strike]]))</f>
        <v>0</v>
      </c>
      <c r="J27" t="b">
        <f>IF(
    ISNUMBER(Table1[[#This Row],[Strike]]),RTD("tos.rtd", , "ASK", "."&amp;Table1[[#This Row],[Ticker]]&amp;Table1[[#This Row],[Expiry]]&amp;""&amp;"C"&amp;Table1[[#This Row],[Strike]]))</f>
        <v>0</v>
      </c>
      <c r="K2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7" s="17" cm="1">
        <f t="array" aca="1" ref="L2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7" s="1">
        <f t="shared" si="5"/>
        <v>46045</v>
      </c>
      <c r="N27" t="b">
        <f t="shared" si="6"/>
        <v>0</v>
      </c>
      <c r="P27" s="17" t="b" cm="1">
        <f t="array" ref="P27">IF(
    ISNUMBER(Table1[[#This Row],[Strike]]),IndividualLegIVCore($A$4, Table1[[#This Row],[Strike]], 0.0411, Table1[[#This Row],[T]], ((Table1[[#This Row],[BIDP]]+Table1[[#This Row],[ASKP]])/2), FALSE))</f>
        <v>0</v>
      </c>
      <c r="Q27" t="b">
        <f>IF(
    ISNUMBER(Table1[[#This Row],[Strike]]),RTD("tos.rtd", , "BID", "."&amp;Table1[[#This Row],[Ticker]]&amp;Table1[[#This Row],[Expiry]]&amp;""&amp;"P"&amp;Table1[[#This Row],[Strike]]))</f>
        <v>0</v>
      </c>
      <c r="R27" t="b">
        <f>IF(
    ISNUMBER(Table1[[#This Row],[Strike]]),RTD("tos.rtd", , "ASK", "."&amp;Table1[[#This Row],[Ticker]]&amp;Table1[[#This Row],[Expiry]]&amp;""&amp;"P"&amp;Table1[[#This Row],[Strike]]))</f>
        <v>0</v>
      </c>
      <c r="S27" s="17"/>
      <c r="T27" t="b">
        <f>IF(
    ISNUMBER(Table1[[#This Row],[Strike]]),RTD("tos.rtd", , "OPEN_INT", "."&amp;Table1[[#This Row],[Ticker]]&amp;Table1[[#This Row],[Expiry]]&amp;""&amp;"P"&amp;Table1[[#This Row],[Strike]]))</f>
        <v>0</v>
      </c>
      <c r="U2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7" t="b">
        <f>IF(
    ISNUMBER(Table1[[#This Row],[Strike]]),RTD("tos.rtd", , "DELTA", "."&amp;Table1[[#This Row],[Ticker]]&amp;Table1[[#This Row],[Expiry]]&amp;""&amp;"P"&amp;Table1[[#This Row],[Strike]]))</f>
        <v>0</v>
      </c>
      <c r="Y27" s="19">
        <f>-41.5* IF($M$1="NDX", 10, IF(OR($M$1="SPX", $M$1="RUT"), 2, 1))</f>
        <v>-83</v>
      </c>
      <c r="Z27">
        <f ca="1">IFERROR(Table1[[#This Row],[call gamma]]*(Table1[[#This Row],[Open.Int]])*$A$4^2,0)</f>
        <v>0</v>
      </c>
      <c r="AA27">
        <f ca="1">IFERROR(((Table1[[#This Row],[Open.Int8]])*Table1[[#This Row],[Put gamma]])*-1*$A$4^2,0)</f>
        <v>0</v>
      </c>
      <c r="AB27">
        <f ca="1">(Table1[[#This Row],[Call Gex]]+Table1[[#This Row],[Put Gex]])</f>
        <v>0</v>
      </c>
      <c r="AC27">
        <f ca="1">Table1[[#This Row],[call delta adj]]+Table1[[#This Row],[put delta adj]]</f>
        <v>0</v>
      </c>
      <c r="AD27">
        <f ca="1">Table1[[#This Row],[Put Gex]]*Table1[[#This Row],[DeltaP]]*-1</f>
        <v>0</v>
      </c>
      <c r="AE27">
        <f ca="1">Table1[[#This Row],[Call Gex]]*Table1[[#This Row],[DeltaC]]</f>
        <v>0</v>
      </c>
      <c r="AF27">
        <f>IF(Table1[[#This Row],[DeltaC]]-ABS(Table1[[#This Row],[DeltaP]])="0","0.01",Table1[[#This Row],[DeltaC]]-ABS(Table1[[#This Row],[DeltaP]]))</f>
        <v>0</v>
      </c>
      <c r="AG27" t="e">
        <f ca="1">((LN($A$4/Table1[[#This Row],[Strike]]) + (0.411 + 0.5 * Table1[[#This Row],[IV Calc P]]^2) *Table1[[#This Row],[T]])) / (Table1[[#This Row],[IV Calc P]] * SQRT(Table1[[#This Row],[T]]))</f>
        <v>#DIV/0!</v>
      </c>
      <c r="AH27" t="e">
        <f ca="1">(LN($A$4/Table1[[#This Row],[Strike]]) + (0.411-0 + 0.5 * Table1[[#This Row],[IV Calc C]]^2) *Table1[[#This Row],[T]]) / (Table1[[#This Row],[IV Calc C]] * SQRT(Table1[[#This Row],[T]]))</f>
        <v>#DIV/0!</v>
      </c>
      <c r="AI27" t="e">
        <f ca="1">(EXP(-(AG27^2)/2)/SQRT(2*PI())*EXP(0*SQRT(Table1[[#This Row],[T]]))/$A$4*18%*SQRT(SQRT(Table1[[#This Row],[T]])))</f>
        <v>#DIV/0!</v>
      </c>
      <c r="AJ27" t="e">
        <f ca="1">(EXP(-(AH27^2)/2)/SQRT(2*PI())*EXP(0*SQRT(Table1[[#This Row],[T]]))/$A$4*18%*SQRT(SQRT(Table1[[#This Row],[T]])))</f>
        <v>#DIV/0!</v>
      </c>
      <c r="AK27" t="e">
        <f ca="1">Table1[[#This Row],[Call D1]]-Table1[[#This Row],[IV Calc C]]*SQRT(Table1[[#This Row],[T]])</f>
        <v>#DIV/0!</v>
      </c>
      <c r="AL27" t="e">
        <f ca="1">Table1[[#This Row],[Put D1]]-Table1[[#This Row],[IV Calc P]]*SQRT(Table1[[#This Row],[T]])</f>
        <v>#DIV/0!</v>
      </c>
      <c r="AM27" t="e">
        <f ca="1">EXP(-0.5*Table1[[#This Row],[Call D1]]^2)/SQRT(2*PI())</f>
        <v>#DIV/0!</v>
      </c>
      <c r="AN27" t="e">
        <f ca="1">EXP(-0.5*Table1[[#This Row],[Put D1]]^2)/SQRT(2*PI())</f>
        <v>#DIV/0!</v>
      </c>
      <c r="AO27">
        <f ca="1">IFERROR((EXP(0*Table1[[#This Row],[T]])*Table1[[#This Row],[call N(d1)]]*(Table1[[#This Row],[call d2]]/Table1[[#This Row],[IV Calc C]]))*Table1[[#This Row],[Open.Int]]*Table1[[#This Row],[DeltaC]],0)</f>
        <v>0</v>
      </c>
      <c r="AP27">
        <f ca="1">IFERROR((EXP(0*Table1[[#This Row],[T]])*Table1[[#This Row],[put N(d1)]]*(Table1[[#This Row],[put d2]]/Table1[[#This Row],[IV Calc P]]))*Table1[[#This Row],[Open.Int8]]*Table1[[#This Row],[DeltaP]]*-1,0)</f>
        <v>0</v>
      </c>
      <c r="AQ27">
        <f ca="1">((Table1[[#This Row],[call vanna]]+Table1[[#This Row],[put vanna]])*$A$4)</f>
        <v>0</v>
      </c>
      <c r="AR2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7" s="9" t="str" cm="1">
        <f t="array" ref="AT27">_xlfn.IFS(     $M$1="SPX","SPXW",     $M$1="RUT","RUTW",  $M$1="NDX","NDXP",   TRUE,$M$1 )</f>
        <v>SPXW</v>
      </c>
      <c r="AU27" s="2">
        <f t="shared" si="7"/>
        <v>6915</v>
      </c>
      <c r="AV27" t="str">
        <f t="shared" si="8"/>
        <v>260123</v>
      </c>
      <c r="AW27" s="19">
        <f ca="1">IFERROR((EXP(0*Table1[[#This Row],[T]])*Table1[[#This Row],[put N(d1)]]*(Table1[[#This Row],[put d2]]/Table1[[#This Row],[IV Calc P]]))*Table1[[#This Row],[Open.Int8]]*Table1[[#This Row],[DeltaP]]*-1,0)</f>
        <v>0</v>
      </c>
      <c r="AX27">
        <f ca="1">IFERROR((EXP(0*Table1[[#This Row],[T]])*Table1[[#This Row],[call N(d1)]]*(Table1[[#This Row],[call d2]]/Table1[[#This Row],[IV Calc C]]))*Table1[[#This Row],[Open.Int]]*Table1[[#This Row],[DeltaC]],0)</f>
        <v>0</v>
      </c>
      <c r="AY2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7">
        <f>((Table1[[#This Row],[High C]]+Table1[[#This Row],[Low C]])/2)*Table1[[#This Row],[gammac]]*Table1[[#This Row],[Volume]]</f>
        <v>0</v>
      </c>
      <c r="BD27">
        <f>((Table1[[#This Row],[High P]]+Table1[[#This Row],[Low P]])/2)*Table1[[#This Row],[gammap]]*Table1[[#This Row],[Volume9]]*-1</f>
        <v>0</v>
      </c>
      <c r="BE27">
        <f>(Table1[[#This Row],[SgammaC]]+Table1[[#This Row],[SgammaP]])*$A$4*-100</f>
        <v>0</v>
      </c>
      <c r="BF27">
        <f>Table1[[#This Row],[DEXc]]+Table1[[#This Row],[DEXp]]</f>
        <v>0</v>
      </c>
      <c r="BG27">
        <f>IFERROR(Table1[[#This Row],[DeltaC]]*Table1[[#This Row],[Open.Int]]*$A$4,0)</f>
        <v>0</v>
      </c>
      <c r="BH27">
        <f>IFERROR(Table1[[#This Row],[DeltaP]]*Table1[[#This Row],[Open.Int8]]*$A$4,0)</f>
        <v>0</v>
      </c>
      <c r="BI2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7">
        <f ca="1">Table1[[#This Row],[Charmc]]+Table1[[#This Row],[Charmp]]</f>
        <v>0</v>
      </c>
      <c r="BL2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7" s="78">
        <f ca="1">Table1[[#This Row],[call helper]]+Table1[[#This Row],[put helper]]</f>
        <v>0</v>
      </c>
      <c r="BP27" t="str">
        <f>RTD("tos.rtd", , "STRIKE", "."&amp;Table1[[#This Row],[Ticker]]&amp;Table1[[#This Row],[Expiry]]&amp;""&amp;"C"&amp;Table1[[#This Row],[Spot]]+Table1[[#This Row],[step]])</f>
        <v>N/A</v>
      </c>
      <c r="BQ27">
        <v>6900</v>
      </c>
      <c r="BV27">
        <f ca="1"/>
        <v>6900</v>
      </c>
      <c r="BW27" s="77">
        <f ca="1"/>
        <v>616632.00774634164</v>
      </c>
      <c r="BX27" s="77">
        <f ca="1"/>
        <v>-516238.24704126437</v>
      </c>
      <c r="BY27" s="17">
        <f ca="1"/>
        <v>0.12258823541190302</v>
      </c>
      <c r="BZ27">
        <f ca="1"/>
        <v>-15</v>
      </c>
      <c r="CA27">
        <f ca="1"/>
        <v>61826127.968151368</v>
      </c>
      <c r="CB27">
        <f ca="1"/>
        <v>-13857602.349455994</v>
      </c>
    </row>
    <row r="28" spans="1:80" x14ac:dyDescent="0.25">
      <c r="A28">
        <f t="shared" ca="1" si="4"/>
        <v>2.5814307458086375E-3</v>
      </c>
      <c r="C28" s="17"/>
      <c r="D28" t="b">
        <f>IF(
    ISNUMBER(Table1[[#This Row],[Strike]]),RTD("tos.rtd", , "OPEN_INT", "."&amp;Table1[[#This Row],[Ticker]]&amp;Table1[[#This Row],[Expiry]]&amp;""&amp;"C"&amp;Table1[[#This Row],[Strike]]))</f>
        <v>0</v>
      </c>
      <c r="E2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8" t="b">
        <f>IF(
    ISNUMBER(Table1[[#This Row],[Strike]]),RTD("tos.rtd", , "DELTA", "."&amp;Table1[[#This Row],[Ticker]]&amp;Table1[[#This Row],[Expiry]]&amp;""&amp;"C"&amp;Table1[[#This Row],[Strike]]))</f>
        <v>0</v>
      </c>
      <c r="H28" s="17" t="b" cm="1">
        <f t="array" ref="H28">IF(
    ISNUMBER(Table1[[#This Row],[Strike]]),IndividualLegIVCore($A$4, Table1[[#This Row],[Strike]], 0.0411, Table1[[#This Row],[T]], ((Table1[[#This Row],[BIDC]]+Table1[[#This Row],[ASKC]])/2), TRUE))</f>
        <v>0</v>
      </c>
      <c r="I28" t="b">
        <f>IF(
    ISNUMBER(Table1[[#This Row],[Strike]]),RTD("tos.rtd", , "BID", "."&amp;Table1[[#This Row],[Ticker]]&amp;Table1[[#This Row],[Expiry]]&amp;""&amp;"C"&amp;Table1[[#This Row],[Strike]]))</f>
        <v>0</v>
      </c>
      <c r="J28" t="b">
        <f>IF(
    ISNUMBER(Table1[[#This Row],[Strike]]),RTD("tos.rtd", , "ASK", "."&amp;Table1[[#This Row],[Ticker]]&amp;Table1[[#This Row],[Expiry]]&amp;""&amp;"C"&amp;Table1[[#This Row],[Strike]]))</f>
        <v>0</v>
      </c>
      <c r="K2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8" s="17" cm="1">
        <f t="array" aca="1" ref="L2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8" s="1">
        <f t="shared" si="5"/>
        <v>46045</v>
      </c>
      <c r="N28" t="b">
        <f t="shared" si="6"/>
        <v>0</v>
      </c>
      <c r="P28" s="17" t="b" cm="1">
        <f t="array" ref="P28">IF(
    ISNUMBER(Table1[[#This Row],[Strike]]),IndividualLegIVCore($A$4, Table1[[#This Row],[Strike]], 0.0411, Table1[[#This Row],[T]], ((Table1[[#This Row],[BIDP]]+Table1[[#This Row],[ASKP]])/2), FALSE))</f>
        <v>0</v>
      </c>
      <c r="Q28" t="b">
        <f>IF(
    ISNUMBER(Table1[[#This Row],[Strike]]),RTD("tos.rtd", , "BID", "."&amp;Table1[[#This Row],[Ticker]]&amp;Table1[[#This Row],[Expiry]]&amp;""&amp;"P"&amp;Table1[[#This Row],[Strike]]))</f>
        <v>0</v>
      </c>
      <c r="R28" t="b">
        <f>IF(
    ISNUMBER(Table1[[#This Row],[Strike]]),RTD("tos.rtd", , "ASK", "."&amp;Table1[[#This Row],[Ticker]]&amp;Table1[[#This Row],[Expiry]]&amp;""&amp;"P"&amp;Table1[[#This Row],[Strike]]))</f>
        <v>0</v>
      </c>
      <c r="S28" s="17"/>
      <c r="T28" t="b">
        <f>IF(
    ISNUMBER(Table1[[#This Row],[Strike]]),RTD("tos.rtd", , "OPEN_INT", "."&amp;Table1[[#This Row],[Ticker]]&amp;Table1[[#This Row],[Expiry]]&amp;""&amp;"P"&amp;Table1[[#This Row],[Strike]]))</f>
        <v>0</v>
      </c>
      <c r="U2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8" t="b">
        <f>IF(
    ISNUMBER(Table1[[#This Row],[Strike]]),RTD("tos.rtd", , "DELTA", "."&amp;Table1[[#This Row],[Ticker]]&amp;Table1[[#This Row],[Expiry]]&amp;""&amp;"P"&amp;Table1[[#This Row],[Strike]]))</f>
        <v>0</v>
      </c>
      <c r="Y28" s="19">
        <f>-41* IF($M$1="NDX", 10, IF(OR($M$1="SPX", $M$1="RUT"), 2, 1))</f>
        <v>-82</v>
      </c>
      <c r="Z28">
        <f ca="1">IFERROR(Table1[[#This Row],[call gamma]]*(Table1[[#This Row],[Open.Int]])*$A$4^2,0)</f>
        <v>0</v>
      </c>
      <c r="AA28">
        <f ca="1">IFERROR(((Table1[[#This Row],[Open.Int8]])*Table1[[#This Row],[Put gamma]])*-1*$A$4^2,0)</f>
        <v>0</v>
      </c>
      <c r="AB28">
        <f ca="1">(Table1[[#This Row],[Call Gex]]+Table1[[#This Row],[Put Gex]])</f>
        <v>0</v>
      </c>
      <c r="AC28">
        <f ca="1">Table1[[#This Row],[call delta adj]]+Table1[[#This Row],[put delta adj]]</f>
        <v>0</v>
      </c>
      <c r="AD28">
        <f ca="1">Table1[[#This Row],[Put Gex]]*Table1[[#This Row],[DeltaP]]*-1</f>
        <v>0</v>
      </c>
      <c r="AE28">
        <f ca="1">Table1[[#This Row],[Call Gex]]*Table1[[#This Row],[DeltaC]]</f>
        <v>0</v>
      </c>
      <c r="AF28">
        <f>IF(Table1[[#This Row],[DeltaC]]-ABS(Table1[[#This Row],[DeltaP]])="0","0.01",Table1[[#This Row],[DeltaC]]-ABS(Table1[[#This Row],[DeltaP]]))</f>
        <v>0</v>
      </c>
      <c r="AG28" t="e">
        <f ca="1">((LN($A$4/Table1[[#This Row],[Strike]]) + (0.411 + 0.5 * Table1[[#This Row],[IV Calc P]]^2) *Table1[[#This Row],[T]])) / (Table1[[#This Row],[IV Calc P]] * SQRT(Table1[[#This Row],[T]]))</f>
        <v>#DIV/0!</v>
      </c>
      <c r="AH28" t="e">
        <f ca="1">(LN($A$4/Table1[[#This Row],[Strike]]) + (0.411-0 + 0.5 * Table1[[#This Row],[IV Calc C]]^2) *Table1[[#This Row],[T]]) / (Table1[[#This Row],[IV Calc C]] * SQRT(Table1[[#This Row],[T]]))</f>
        <v>#DIV/0!</v>
      </c>
      <c r="AI28" t="e">
        <f ca="1">(EXP(-(AG28^2)/2)/SQRT(2*PI())*EXP(0*SQRT(Table1[[#This Row],[T]]))/$A$4*18%*SQRT(SQRT(Table1[[#This Row],[T]])))</f>
        <v>#DIV/0!</v>
      </c>
      <c r="AJ28" t="e">
        <f ca="1">(EXP(-(AH28^2)/2)/SQRT(2*PI())*EXP(0*SQRT(Table1[[#This Row],[T]]))/$A$4*18%*SQRT(SQRT(Table1[[#This Row],[T]])))</f>
        <v>#DIV/0!</v>
      </c>
      <c r="AK28" t="e">
        <f ca="1">Table1[[#This Row],[Call D1]]-Table1[[#This Row],[IV Calc C]]*SQRT(Table1[[#This Row],[T]])</f>
        <v>#DIV/0!</v>
      </c>
      <c r="AL28" t="e">
        <f ca="1">Table1[[#This Row],[Put D1]]-Table1[[#This Row],[IV Calc P]]*SQRT(Table1[[#This Row],[T]])</f>
        <v>#DIV/0!</v>
      </c>
      <c r="AM28" t="e">
        <f ca="1">EXP(-0.5*Table1[[#This Row],[Call D1]]^2)/SQRT(2*PI())</f>
        <v>#DIV/0!</v>
      </c>
      <c r="AN28" t="e">
        <f ca="1">EXP(-0.5*Table1[[#This Row],[Put D1]]^2)/SQRT(2*PI())</f>
        <v>#DIV/0!</v>
      </c>
      <c r="AO28">
        <f ca="1">IFERROR((EXP(0*Table1[[#This Row],[T]])*Table1[[#This Row],[call N(d1)]]*(Table1[[#This Row],[call d2]]/Table1[[#This Row],[IV Calc C]]))*Table1[[#This Row],[Open.Int]]*Table1[[#This Row],[DeltaC]],0)</f>
        <v>0</v>
      </c>
      <c r="AP28">
        <f ca="1">IFERROR((EXP(0*Table1[[#This Row],[T]])*Table1[[#This Row],[put N(d1)]]*(Table1[[#This Row],[put d2]]/Table1[[#This Row],[IV Calc P]]))*Table1[[#This Row],[Open.Int8]]*Table1[[#This Row],[DeltaP]]*-1,0)</f>
        <v>0</v>
      </c>
      <c r="AQ28">
        <f ca="1">((Table1[[#This Row],[call vanna]]+Table1[[#This Row],[put vanna]])*$A$4)</f>
        <v>0</v>
      </c>
      <c r="AR2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8" s="9" t="str" cm="1">
        <f t="array" ref="AT28">_xlfn.IFS(     $M$1="SPX","SPXW",     $M$1="RUT","RUTW",  $M$1="NDX","NDXP",   TRUE,$M$1 )</f>
        <v>SPXW</v>
      </c>
      <c r="AU28" s="2">
        <f t="shared" si="7"/>
        <v>6915</v>
      </c>
      <c r="AV28" t="str">
        <f t="shared" si="8"/>
        <v>260123</v>
      </c>
      <c r="AW28" s="19">
        <f ca="1">IFERROR((EXP(0*Table1[[#This Row],[T]])*Table1[[#This Row],[put N(d1)]]*(Table1[[#This Row],[put d2]]/Table1[[#This Row],[IV Calc P]]))*Table1[[#This Row],[Open.Int8]]*Table1[[#This Row],[DeltaP]]*-1,0)</f>
        <v>0</v>
      </c>
      <c r="AX28">
        <f ca="1">IFERROR((EXP(0*Table1[[#This Row],[T]])*Table1[[#This Row],[call N(d1)]]*(Table1[[#This Row],[call d2]]/Table1[[#This Row],[IV Calc C]]))*Table1[[#This Row],[Open.Int]]*Table1[[#This Row],[DeltaC]],0)</f>
        <v>0</v>
      </c>
      <c r="AY2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8">
        <f>((Table1[[#This Row],[High C]]+Table1[[#This Row],[Low C]])/2)*Table1[[#This Row],[gammac]]*Table1[[#This Row],[Volume]]</f>
        <v>0</v>
      </c>
      <c r="BD28">
        <f>((Table1[[#This Row],[High P]]+Table1[[#This Row],[Low P]])/2)*Table1[[#This Row],[gammap]]*Table1[[#This Row],[Volume9]]*-1</f>
        <v>0</v>
      </c>
      <c r="BE28">
        <f>(Table1[[#This Row],[SgammaC]]+Table1[[#This Row],[SgammaP]])*$A$4*-100</f>
        <v>0</v>
      </c>
      <c r="BF28">
        <f>Table1[[#This Row],[DEXc]]+Table1[[#This Row],[DEXp]]</f>
        <v>0</v>
      </c>
      <c r="BG28">
        <f>IFERROR(Table1[[#This Row],[DeltaC]]*Table1[[#This Row],[Open.Int]]*$A$4,0)</f>
        <v>0</v>
      </c>
      <c r="BH28">
        <f>IFERROR(Table1[[#This Row],[DeltaP]]*Table1[[#This Row],[Open.Int8]]*$A$4,0)</f>
        <v>0</v>
      </c>
      <c r="BI2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8">
        <f ca="1">Table1[[#This Row],[Charmc]]+Table1[[#This Row],[Charmp]]</f>
        <v>0</v>
      </c>
      <c r="BL2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8" s="78">
        <f ca="1">Table1[[#This Row],[call helper]]+Table1[[#This Row],[put helper]]</f>
        <v>0</v>
      </c>
      <c r="BP28" t="str">
        <f>RTD("tos.rtd", , "STRIKE", "."&amp;Table1[[#This Row],[Ticker]]&amp;Table1[[#This Row],[Expiry]]&amp;""&amp;"C"&amp;Table1[[#This Row],[Spot]]+Table1[[#This Row],[step]])</f>
        <v>N/A</v>
      </c>
      <c r="BQ28">
        <v>6905</v>
      </c>
      <c r="BV28">
        <f ca="1"/>
        <v>6905</v>
      </c>
      <c r="BW28" s="77">
        <f ca="1"/>
        <v>72487.974438130506</v>
      </c>
      <c r="BX28" s="77">
        <f ca="1"/>
        <v>-55938.785583812198</v>
      </c>
      <c r="BY28" s="17">
        <f ca="1"/>
        <v>0.12341623303367075</v>
      </c>
      <c r="BZ28">
        <f ca="1"/>
        <v>-10</v>
      </c>
      <c r="CA28">
        <f ca="1"/>
        <v>5236608.8354866775</v>
      </c>
      <c r="CB28">
        <f ca="1"/>
        <v>-1999541.9221671992</v>
      </c>
    </row>
    <row r="29" spans="1:80" x14ac:dyDescent="0.25">
      <c r="A29">
        <f t="shared" ca="1" si="4"/>
        <v>2.5814307458086375E-3</v>
      </c>
      <c r="C29" s="17"/>
      <c r="D29" t="b">
        <f>IF(
    ISNUMBER(Table1[[#This Row],[Strike]]),RTD("tos.rtd", , "OPEN_INT", "."&amp;Table1[[#This Row],[Ticker]]&amp;Table1[[#This Row],[Expiry]]&amp;""&amp;"C"&amp;Table1[[#This Row],[Strike]]))</f>
        <v>0</v>
      </c>
      <c r="E2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9" t="b">
        <f>IF(
    ISNUMBER(Table1[[#This Row],[Strike]]),RTD("tos.rtd", , "DELTA", "."&amp;Table1[[#This Row],[Ticker]]&amp;Table1[[#This Row],[Expiry]]&amp;""&amp;"C"&amp;Table1[[#This Row],[Strike]]))</f>
        <v>0</v>
      </c>
      <c r="H29" s="17" t="b" cm="1">
        <f t="array" ref="H29">IF(
    ISNUMBER(Table1[[#This Row],[Strike]]),IndividualLegIVCore($A$4, Table1[[#This Row],[Strike]], 0.0411, Table1[[#This Row],[T]], ((Table1[[#This Row],[BIDC]]+Table1[[#This Row],[ASKC]])/2), TRUE))</f>
        <v>0</v>
      </c>
      <c r="I29" t="b">
        <f>IF(
    ISNUMBER(Table1[[#This Row],[Strike]]),RTD("tos.rtd", , "BID", "."&amp;Table1[[#This Row],[Ticker]]&amp;Table1[[#This Row],[Expiry]]&amp;""&amp;"C"&amp;Table1[[#This Row],[Strike]]))</f>
        <v>0</v>
      </c>
      <c r="J29" t="b">
        <f>IF(
    ISNUMBER(Table1[[#This Row],[Strike]]),RTD("tos.rtd", , "ASK", "."&amp;Table1[[#This Row],[Ticker]]&amp;Table1[[#This Row],[Expiry]]&amp;""&amp;"C"&amp;Table1[[#This Row],[Strike]]))</f>
        <v>0</v>
      </c>
      <c r="K2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9" s="17" cm="1">
        <f t="array" aca="1" ref="L2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9" s="1">
        <f t="shared" si="5"/>
        <v>46045</v>
      </c>
      <c r="N29" t="b">
        <f t="shared" si="6"/>
        <v>0</v>
      </c>
      <c r="P29" s="17" t="b" cm="1">
        <f t="array" ref="P29">IF(
    ISNUMBER(Table1[[#This Row],[Strike]]),IndividualLegIVCore($A$4, Table1[[#This Row],[Strike]], 0.0411, Table1[[#This Row],[T]], ((Table1[[#This Row],[BIDP]]+Table1[[#This Row],[ASKP]])/2), FALSE))</f>
        <v>0</v>
      </c>
      <c r="Q29" t="b">
        <f>IF(
    ISNUMBER(Table1[[#This Row],[Strike]]),RTD("tos.rtd", , "BID", "."&amp;Table1[[#This Row],[Ticker]]&amp;Table1[[#This Row],[Expiry]]&amp;""&amp;"P"&amp;Table1[[#This Row],[Strike]]))</f>
        <v>0</v>
      </c>
      <c r="R29" t="b">
        <f>IF(
    ISNUMBER(Table1[[#This Row],[Strike]]),RTD("tos.rtd", , "ASK", "."&amp;Table1[[#This Row],[Ticker]]&amp;Table1[[#This Row],[Expiry]]&amp;""&amp;"P"&amp;Table1[[#This Row],[Strike]]))</f>
        <v>0</v>
      </c>
      <c r="S29" s="17"/>
      <c r="T29" t="b">
        <f>IF(
    ISNUMBER(Table1[[#This Row],[Strike]]),RTD("tos.rtd", , "OPEN_INT", "."&amp;Table1[[#This Row],[Ticker]]&amp;Table1[[#This Row],[Expiry]]&amp;""&amp;"P"&amp;Table1[[#This Row],[Strike]]))</f>
        <v>0</v>
      </c>
      <c r="U2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9" t="b">
        <f>IF(
    ISNUMBER(Table1[[#This Row],[Strike]]),RTD("tos.rtd", , "DELTA", "."&amp;Table1[[#This Row],[Ticker]]&amp;Table1[[#This Row],[Expiry]]&amp;""&amp;"P"&amp;Table1[[#This Row],[Strike]]))</f>
        <v>0</v>
      </c>
      <c r="Y29" s="19">
        <f>-40.5* IF($M$1="NDX", 10, IF(OR($M$1="SPX", $M$1="RUT"), 2, 1))</f>
        <v>-81</v>
      </c>
      <c r="Z29">
        <f ca="1">IFERROR(Table1[[#This Row],[call gamma]]*(Table1[[#This Row],[Open.Int]])*$A$4^2,0)</f>
        <v>0</v>
      </c>
      <c r="AA29">
        <f ca="1">IFERROR(((Table1[[#This Row],[Open.Int8]])*Table1[[#This Row],[Put gamma]])*-1*$A$4^2,0)</f>
        <v>0</v>
      </c>
      <c r="AB29">
        <f ca="1">(Table1[[#This Row],[Call Gex]]+Table1[[#This Row],[Put Gex]])</f>
        <v>0</v>
      </c>
      <c r="AC29">
        <f ca="1">Table1[[#This Row],[call delta adj]]+Table1[[#This Row],[put delta adj]]</f>
        <v>0</v>
      </c>
      <c r="AD29">
        <f ca="1">Table1[[#This Row],[Put Gex]]*Table1[[#This Row],[DeltaP]]*-1</f>
        <v>0</v>
      </c>
      <c r="AE29">
        <f ca="1">Table1[[#This Row],[Call Gex]]*Table1[[#This Row],[DeltaC]]</f>
        <v>0</v>
      </c>
      <c r="AF29">
        <f>IF(Table1[[#This Row],[DeltaC]]-ABS(Table1[[#This Row],[DeltaP]])="0","0.01",Table1[[#This Row],[DeltaC]]-ABS(Table1[[#This Row],[DeltaP]]))</f>
        <v>0</v>
      </c>
      <c r="AG29" t="e">
        <f ca="1">((LN($A$4/Table1[[#This Row],[Strike]]) + (0.411 + 0.5 * Table1[[#This Row],[IV Calc P]]^2) *Table1[[#This Row],[T]])) / (Table1[[#This Row],[IV Calc P]] * SQRT(Table1[[#This Row],[T]]))</f>
        <v>#DIV/0!</v>
      </c>
      <c r="AH29" t="e">
        <f ca="1">(LN($A$4/Table1[[#This Row],[Strike]]) + (0.411-0 + 0.5 * Table1[[#This Row],[IV Calc C]]^2) *Table1[[#This Row],[T]]) / (Table1[[#This Row],[IV Calc C]] * SQRT(Table1[[#This Row],[T]]))</f>
        <v>#DIV/0!</v>
      </c>
      <c r="AI29" t="e">
        <f ca="1">(EXP(-(AG29^2)/2)/SQRT(2*PI())*EXP(0*SQRT(Table1[[#This Row],[T]]))/$A$4*18%*SQRT(SQRT(Table1[[#This Row],[T]])))</f>
        <v>#DIV/0!</v>
      </c>
      <c r="AJ29" t="e">
        <f ca="1">(EXP(-(AH29^2)/2)/SQRT(2*PI())*EXP(0*SQRT(Table1[[#This Row],[T]]))/$A$4*18%*SQRT(SQRT(Table1[[#This Row],[T]])))</f>
        <v>#DIV/0!</v>
      </c>
      <c r="AK29" t="e">
        <f ca="1">Table1[[#This Row],[Call D1]]-Table1[[#This Row],[IV Calc C]]*SQRT(Table1[[#This Row],[T]])</f>
        <v>#DIV/0!</v>
      </c>
      <c r="AL29" t="e">
        <f ca="1">Table1[[#This Row],[Put D1]]-Table1[[#This Row],[IV Calc P]]*SQRT(Table1[[#This Row],[T]])</f>
        <v>#DIV/0!</v>
      </c>
      <c r="AM29" t="e">
        <f ca="1">EXP(-0.5*Table1[[#This Row],[Call D1]]^2)/SQRT(2*PI())</f>
        <v>#DIV/0!</v>
      </c>
      <c r="AN29" t="e">
        <f ca="1">EXP(-0.5*Table1[[#This Row],[Put D1]]^2)/SQRT(2*PI())</f>
        <v>#DIV/0!</v>
      </c>
      <c r="AO29">
        <f ca="1">IFERROR((EXP(0*Table1[[#This Row],[T]])*Table1[[#This Row],[call N(d1)]]*(Table1[[#This Row],[call d2]]/Table1[[#This Row],[IV Calc C]]))*Table1[[#This Row],[Open.Int]]*Table1[[#This Row],[DeltaC]],0)</f>
        <v>0</v>
      </c>
      <c r="AP29">
        <f ca="1">IFERROR((EXP(0*Table1[[#This Row],[T]])*Table1[[#This Row],[put N(d1)]]*(Table1[[#This Row],[put d2]]/Table1[[#This Row],[IV Calc P]]))*Table1[[#This Row],[Open.Int8]]*Table1[[#This Row],[DeltaP]]*-1,0)</f>
        <v>0</v>
      </c>
      <c r="AQ29">
        <f ca="1">((Table1[[#This Row],[call vanna]]+Table1[[#This Row],[put vanna]])*$A$4)</f>
        <v>0</v>
      </c>
      <c r="AR2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9" s="9" t="str" cm="1">
        <f t="array" ref="AT29">_xlfn.IFS(     $M$1="SPX","SPXW",     $M$1="RUT","RUTW",  $M$1="NDX","NDXP",   TRUE,$M$1 )</f>
        <v>SPXW</v>
      </c>
      <c r="AU29" s="2">
        <f t="shared" si="7"/>
        <v>6915</v>
      </c>
      <c r="AV29" t="str">
        <f t="shared" si="8"/>
        <v>260123</v>
      </c>
      <c r="AW29" s="19">
        <f ca="1">IFERROR((EXP(0*Table1[[#This Row],[T]])*Table1[[#This Row],[put N(d1)]]*(Table1[[#This Row],[put d2]]/Table1[[#This Row],[IV Calc P]]))*Table1[[#This Row],[Open.Int8]]*Table1[[#This Row],[DeltaP]]*-1,0)</f>
        <v>0</v>
      </c>
      <c r="AX29">
        <f ca="1">IFERROR((EXP(0*Table1[[#This Row],[T]])*Table1[[#This Row],[call N(d1)]]*(Table1[[#This Row],[call d2]]/Table1[[#This Row],[IV Calc C]]))*Table1[[#This Row],[Open.Int]]*Table1[[#This Row],[DeltaC]],0)</f>
        <v>0</v>
      </c>
      <c r="AY2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9">
        <f>((Table1[[#This Row],[High C]]+Table1[[#This Row],[Low C]])/2)*Table1[[#This Row],[gammac]]*Table1[[#This Row],[Volume]]</f>
        <v>0</v>
      </c>
      <c r="BD29">
        <f>((Table1[[#This Row],[High P]]+Table1[[#This Row],[Low P]])/2)*Table1[[#This Row],[gammap]]*Table1[[#This Row],[Volume9]]*-1</f>
        <v>0</v>
      </c>
      <c r="BE29">
        <f>(Table1[[#This Row],[SgammaC]]+Table1[[#This Row],[SgammaP]])*$A$4*-100</f>
        <v>0</v>
      </c>
      <c r="BF29">
        <f>Table1[[#This Row],[DEXc]]+Table1[[#This Row],[DEXp]]</f>
        <v>0</v>
      </c>
      <c r="BG29">
        <f>IFERROR(Table1[[#This Row],[DeltaC]]*Table1[[#This Row],[Open.Int]]*$A$4,0)</f>
        <v>0</v>
      </c>
      <c r="BH29">
        <f>IFERROR(Table1[[#This Row],[DeltaP]]*Table1[[#This Row],[Open.Int8]]*$A$4,0)</f>
        <v>0</v>
      </c>
      <c r="BI2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9">
        <f ca="1">Table1[[#This Row],[Charmc]]+Table1[[#This Row],[Charmp]]</f>
        <v>0</v>
      </c>
      <c r="BL2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9" s="78">
        <f ca="1">Table1[[#This Row],[call helper]]+Table1[[#This Row],[put helper]]</f>
        <v>0</v>
      </c>
      <c r="BP29" t="str">
        <f>RTD("tos.rtd", , "STRIKE", "."&amp;Table1[[#This Row],[Ticker]]&amp;Table1[[#This Row],[Expiry]]&amp;""&amp;"C"&amp;Table1[[#This Row],[Spot]]+Table1[[#This Row],[step]])</f>
        <v>N/A</v>
      </c>
      <c r="BQ29">
        <v>6910</v>
      </c>
      <c r="BV29">
        <f ca="1"/>
        <v>6910</v>
      </c>
      <c r="BW29" s="77">
        <f ca="1"/>
        <v>112081.55050203692</v>
      </c>
      <c r="BX29" s="77">
        <f ca="1"/>
        <v>-104075.64896883153</v>
      </c>
      <c r="BY29" s="17">
        <f ca="1"/>
        <v>0.12427360190796766</v>
      </c>
      <c r="BZ29">
        <f ca="1"/>
        <v>-5</v>
      </c>
      <c r="CA29">
        <f ca="1"/>
        <v>5612501.6169478875</v>
      </c>
      <c r="CB29">
        <f ca="1"/>
        <v>-4094737.8265587222</v>
      </c>
    </row>
    <row r="30" spans="1:80" x14ac:dyDescent="0.25">
      <c r="A30">
        <f t="shared" ca="1" si="4"/>
        <v>2.5814307458086375E-3</v>
      </c>
      <c r="C30" s="17"/>
      <c r="D30">
        <f>IF(
    ISNUMBER(Table1[[#This Row],[Strike]]),RTD("tos.rtd", , "OPEN_INT", "."&amp;Table1[[#This Row],[Ticker]]&amp;Table1[[#This Row],[Expiry]]&amp;""&amp;"C"&amp;Table1[[#This Row],[Strike]]))</f>
        <v>257</v>
      </c>
      <c r="E3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52</v>
      </c>
      <c r="G30">
        <f>IF(
    ISNUMBER(Table1[[#This Row],[Strike]]),RTD("tos.rtd", , "DELTA", "."&amp;Table1[[#This Row],[Ticker]]&amp;Table1[[#This Row],[Expiry]]&amp;""&amp;"C"&amp;Table1[[#This Row],[Strike]]))</f>
        <v>1</v>
      </c>
      <c r="H30" s="17" cm="1">
        <f t="array" aca="1" ref="H30" ca="1">IF(
    ISNUMBER(Table1[[#This Row],[Strike]]),IndividualLegIVCore($A$4, Table1[[#This Row],[Strike]], 0.0411, Table1[[#This Row],[T]], ((Table1[[#This Row],[BIDC]]+Table1[[#This Row],[ASKC]])/2), TRUE))</f>
        <v>0.01</v>
      </c>
      <c r="I30">
        <f>IF(
    ISNUMBER(Table1[[#This Row],[Strike]]),RTD("tos.rtd", , "BID", "."&amp;Table1[[#This Row],[Ticker]]&amp;Table1[[#This Row],[Expiry]]&amp;""&amp;"C"&amp;Table1[[#This Row],[Strike]]))</f>
        <v>74.599999999999994</v>
      </c>
      <c r="J30">
        <f>IF(
    ISNUMBER(Table1[[#This Row],[Strike]]),RTD("tos.rtd", , "ASK", "."&amp;Table1[[#This Row],[Ticker]]&amp;Table1[[#This Row],[Expiry]]&amp;""&amp;"C"&amp;Table1[[#This Row],[Strike]]))</f>
        <v>79.099999999999994</v>
      </c>
      <c r="K3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0.17384713601824275</v>
      </c>
      <c r="L30" s="17" cm="1">
        <f t="array" aca="1" ref="L30" ca="1">CubicSplineIVSmile($A$4, Table1[[#This Row],[Strike]], 0.0411, Table1[[#This Row],[T]], (Table1[[#This Row],[BIDC]]+Table1[[#This Row],[ASKC]])/2, (Table1[[#This Row],[BIDP]]+Table1[[#This Row],[ASKP]])/2, Table1[Strike], Table1[IV Calc AVG])</f>
        <v>0.17384713601824275</v>
      </c>
      <c r="M30" s="1">
        <f t="shared" si="5"/>
        <v>46045</v>
      </c>
      <c r="N30">
        <f t="shared" si="6"/>
        <v>6835</v>
      </c>
      <c r="P30" s="17" cm="1">
        <f t="array" aca="1" ref="P30" ca="1">IF(
    ISNUMBER(Table1[[#This Row],[Strike]]),IndividualLegIVCore($A$4, Table1[[#This Row],[Strike]], 0.0411, Table1[[#This Row],[T]], ((Table1[[#This Row],[BIDP]]+Table1[[#This Row],[ASKP]])/2), FALSE))</f>
        <v>0.17384713601824275</v>
      </c>
      <c r="Q30">
        <f>IF(
    ISNUMBER(Table1[[#This Row],[Strike]]),RTD("tos.rtd", , "BID", "."&amp;Table1[[#This Row],[Ticker]]&amp;Table1[[#This Row],[Expiry]]&amp;""&amp;"P"&amp;Table1[[#This Row],[Strike]]))</f>
        <v>2.6</v>
      </c>
      <c r="R30">
        <f>IF(
    ISNUMBER(Table1[[#This Row],[Strike]]),RTD("tos.rtd", , "ASK", "."&amp;Table1[[#This Row],[Ticker]]&amp;Table1[[#This Row],[Expiry]]&amp;""&amp;"P"&amp;Table1[[#This Row],[Strike]]))</f>
        <v>2.9</v>
      </c>
      <c r="S30" s="17"/>
      <c r="T30">
        <f>IF(
    ISNUMBER(Table1[[#This Row],[Strike]]),RTD("tos.rtd", , "OPEN_INT", "."&amp;Table1[[#This Row],[Ticker]]&amp;Table1[[#This Row],[Expiry]]&amp;""&amp;"P"&amp;Table1[[#This Row],[Strike]]))</f>
        <v>949</v>
      </c>
      <c r="U3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3610</v>
      </c>
      <c r="W30">
        <f>IF(
    ISNUMBER(Table1[[#This Row],[Strike]]),RTD("tos.rtd", , "DELTA", "."&amp;Table1[[#This Row],[Ticker]]&amp;Table1[[#This Row],[Expiry]]&amp;""&amp;"P"&amp;Table1[[#This Row],[Strike]]))</f>
        <v>-0.1</v>
      </c>
      <c r="Y30" s="19">
        <f>-40* IF($M$1="NDX", 10, IF(OR($M$1="SPX", $M$1="RUT"), 2, 1))</f>
        <v>-80</v>
      </c>
      <c r="Z30">
        <f ca="1">IFERROR(Table1[[#This Row],[call gamma]]*(Table1[[#This Row],[Open.Int]])*$A$4^2,0)</f>
        <v>7.6687733639534615E-127</v>
      </c>
      <c r="AA30">
        <f ca="1">IFERROR(((Table1[[#This Row],[Open.Int8]])*Table1[[#This Row],[Put gamma]])*-1*$A$4^2,0)</f>
        <v>-39026.889469670459</v>
      </c>
      <c r="AB30">
        <f ca="1">(Table1[[#This Row],[Call Gex]]+Table1[[#This Row],[Put Gex]])</f>
        <v>-39026.889469670459</v>
      </c>
      <c r="AC30">
        <f ca="1">Table1[[#This Row],[call delta adj]]+Table1[[#This Row],[put delta adj]]</f>
        <v>-3902.6889469670459</v>
      </c>
      <c r="AD30">
        <f ca="1">Table1[[#This Row],[Put Gex]]*Table1[[#This Row],[DeltaP]]*-1</f>
        <v>-3902.6889469670459</v>
      </c>
      <c r="AE30">
        <f ca="1">Table1[[#This Row],[Call Gex]]*Table1[[#This Row],[DeltaC]]</f>
        <v>7.6687733639534615E-127</v>
      </c>
      <c r="AF30">
        <f>IF(Table1[[#This Row],[DeltaC]]-ABS(Table1[[#This Row],[DeltaP]])="0","0.01",Table1[[#This Row],[DeltaC]]-ABS(Table1[[#This Row],[DeltaP]]))</f>
        <v>0.9</v>
      </c>
      <c r="AG30">
        <f ca="1">((LN($A$4/Table1[[#This Row],[Strike]]) + (0.411 + 0.5 * Table1[[#This Row],[IV Calc P]]^2) *Table1[[#This Row],[T]])) / (Table1[[#This Row],[IV Calc P]] * SQRT(Table1[[#This Row],[T]]))</f>
        <v>1.4149363306040166</v>
      </c>
      <c r="AH30">
        <f ca="1">(LN($A$4/Table1[[#This Row],[Strike]]) + (0.411-0 + 0.5 * Table1[[#This Row],[IV Calc C]]^2) *Table1[[#This Row],[T]]) / (Table1[[#This Row],[IV Calc C]] * SQRT(Table1[[#This Row],[T]]))</f>
        <v>24.521739171248001</v>
      </c>
      <c r="AI30">
        <f ca="1">(EXP(-(AG30^2)/2)/SQRT(2*PI())*EXP(0*SQRT(Table1[[#This Row],[T]]))/$A$4*18%*SQRT(SQRT(Table1[[#This Row],[T]])))</f>
        <v>8.6044009061162725E-7</v>
      </c>
      <c r="AJ30">
        <f ca="1">(EXP(-(AH30^2)/2)/SQRT(2*PI())*EXP(0*SQRT(Table1[[#This Row],[T]]))/$A$4*18%*SQRT(SQRT(Table1[[#This Row],[T]])))</f>
        <v>6.2433213807847517E-137</v>
      </c>
      <c r="AK30">
        <f ca="1">Table1[[#This Row],[Call D1]]-Table1[[#This Row],[IV Calc C]]*SQRT(Table1[[#This Row],[T]])</f>
        <v>24.52123109342465</v>
      </c>
      <c r="AL30">
        <f ca="1">Table1[[#This Row],[Put D1]]-Table1[[#This Row],[IV Calc P]]*SQRT(Table1[[#This Row],[T]])</f>
        <v>1.406103543157625</v>
      </c>
      <c r="AM30">
        <f ca="1">EXP(-0.5*Table1[[#This Row],[Call D1]]^2)/SQRT(2*PI())</f>
        <v>1.0638162276799576E-131</v>
      </c>
      <c r="AN30">
        <f ca="1">EXP(-0.5*Table1[[#This Row],[Put D1]]^2)/SQRT(2*PI())</f>
        <v>0.14661268826497725</v>
      </c>
      <c r="AO30">
        <f ca="1">IFERROR((EXP(0*Table1[[#This Row],[T]])*Table1[[#This Row],[call N(d1)]]*(Table1[[#This Row],[call d2]]/Table1[[#This Row],[IV Calc C]]))*Table1[[#This Row],[Open.Int]]*Table1[[#This Row],[DeltaC]],0)</f>
        <v>6.7041234748880011E-126</v>
      </c>
      <c r="AP30">
        <f ca="1">IFERROR((EXP(0*Table1[[#This Row],[T]])*Table1[[#This Row],[put N(d1)]]*(Table1[[#This Row],[put d2]]/Table1[[#This Row],[IV Calc P]]))*Table1[[#This Row],[Open.Int8]]*Table1[[#This Row],[DeltaP]]*-1,0)</f>
        <v>112.53497830313161</v>
      </c>
      <c r="AQ30">
        <f ca="1">((Table1[[#This Row],[call vanna]]+Table1[[#This Row],[put vanna]])*$A$4)</f>
        <v>777993.69225195493</v>
      </c>
      <c r="AR3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7.6687733639534615E-127</v>
      </c>
      <c r="AS3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-39026.889469670459</v>
      </c>
      <c r="AT30" s="9" t="str" cm="1">
        <f t="array" ref="AT30">_xlfn.IFS(     $M$1="SPX","SPXW",     $M$1="RUT","RUTW",  $M$1="NDX","NDXP",   TRUE,$M$1 )</f>
        <v>SPXW</v>
      </c>
      <c r="AU30" s="2">
        <f t="shared" si="7"/>
        <v>6915</v>
      </c>
      <c r="AV30" t="str">
        <f t="shared" si="8"/>
        <v>260123</v>
      </c>
      <c r="AW30" s="19">
        <f ca="1">IFERROR((EXP(0*Table1[[#This Row],[T]])*Table1[[#This Row],[put N(d1)]]*(Table1[[#This Row],[put d2]]/Table1[[#This Row],[IV Calc P]]))*Table1[[#This Row],[Open.Int8]]*Table1[[#This Row],[DeltaP]]*-1,0)</f>
        <v>112.53497830313161</v>
      </c>
      <c r="AX30">
        <f ca="1">IFERROR((EXP(0*Table1[[#This Row],[T]])*Table1[[#This Row],[call N(d1)]]*(Table1[[#This Row],[call d2]]/Table1[[#This Row],[IV Calc C]]))*Table1[[#This Row],[Open.Int]]*Table1[[#This Row],[DeltaC]],0)</f>
        <v>6.7041234748880011E-126</v>
      </c>
      <c r="AY30">
        <f>IF(
    ISNUMBER(Table1[[#This Row],[Strike]]),RTD("tos.rtd", , "high", "."&amp;Table1[[#This Row],[Ticker]]&amp;Table1[[#This Row],[Expiry]]&amp;""&amp;"C"&amp;Table1[[#This Row],[Spot]]+Table1[[#This Row],[step]]))</f>
        <v>101.9</v>
      </c>
      <c r="AZ30">
        <f>IF(
    ISNUMBER(Table1[[#This Row],[Strike]]),RTD("tos.rtd", , "low", "."&amp;Table1[[#This Row],[Ticker]]&amp;Table1[[#This Row],[Expiry]]&amp;""&amp;"C"&amp;Table1[[#This Row],[Spot]]+Table1[[#This Row],[step]]))</f>
        <v>71.13</v>
      </c>
      <c r="BA30">
        <f>IF(
    ISNUMBER(Table1[[#This Row],[Strike]]),RTD("tos.rtd", , "high", "."&amp;Table1[[#This Row],[Ticker]]&amp;Table1[[#This Row],[Expiry]]&amp;""&amp;"P"&amp;Table1[[#This Row],[Spot]]+Table1[[#This Row],[step]]))</f>
        <v>8.1999999999999993</v>
      </c>
      <c r="BB30">
        <f>IF(
    ISNUMBER(Table1[[#This Row],[Strike]]),RTD("tos.rtd", , "low", "."&amp;Table1[[#This Row],[Ticker]]&amp;Table1[[#This Row],[Expiry]]&amp;""&amp;"P"&amp;Table1[[#This Row],[Spot]]+Table1[[#This Row],[step]]))</f>
        <v>1.4</v>
      </c>
      <c r="BC30">
        <f>((Table1[[#This Row],[High C]]+Table1[[#This Row],[Low C]])/2)*Table1[[#This Row],[gammac]]*Table1[[#This Row],[Volume]]</f>
        <v>0</v>
      </c>
      <c r="BD30">
        <f>((Table1[[#This Row],[High P]]+Table1[[#This Row],[Low P]])/2)*Table1[[#This Row],[gammap]]*Table1[[#This Row],[Volume9]]*-1</f>
        <v>0</v>
      </c>
      <c r="BE30">
        <f>(Table1[[#This Row],[SgammaC]]+Table1[[#This Row],[SgammaP]])*$A$4*-100</f>
        <v>0</v>
      </c>
      <c r="BF30">
        <f>Table1[[#This Row],[DEXc]]+Table1[[#This Row],[DEXp]]</f>
        <v>1120654.0350000001</v>
      </c>
      <c r="BG30">
        <f>IFERROR(Table1[[#This Row],[DeltaC]]*Table1[[#This Row],[Open.Int]]*$A$4,0)</f>
        <v>1776730.9500000002</v>
      </c>
      <c r="BH30">
        <f>IFERROR(Table1[[#This Row],[DeltaP]]*Table1[[#This Row],[Open.Int8]]*$A$4,0)</f>
        <v>-656076.91500000004</v>
      </c>
      <c r="BI3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4.7459066750102427E-106</v>
      </c>
      <c r="BJ3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1306584.0004338112</v>
      </c>
      <c r="BK30">
        <f ca="1">Table1[[#This Row],[Charmc]]+Table1[[#This Row],[Charmp]]</f>
        <v>1306584.0004338112</v>
      </c>
      <c r="BL3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3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30" s="78">
        <f ca="1">Table1[[#This Row],[call helper]]+Table1[[#This Row],[put helper]]</f>
        <v>-39026.889469670459</v>
      </c>
      <c r="BP30">
        <f>RTD("tos.rtd", , "STRIKE", "."&amp;Table1[[#This Row],[Ticker]]&amp;Table1[[#This Row],[Expiry]]&amp;""&amp;"C"&amp;Table1[[#This Row],[Spot]]+Table1[[#This Row],[step]])</f>
        <v>6835</v>
      </c>
      <c r="BQ30">
        <v>6915</v>
      </c>
      <c r="BV30">
        <f ca="1"/>
        <v>6915</v>
      </c>
      <c r="BW30" s="77">
        <f ca="1"/>
        <v>235451.85453396733</v>
      </c>
      <c r="BX30" s="77">
        <f ca="1"/>
        <v>-79020.962127594365</v>
      </c>
      <c r="BY30" s="17">
        <f ca="1"/>
        <v>0.12545574355621728</v>
      </c>
      <c r="BZ30">
        <f ca="1"/>
        <v>0</v>
      </c>
      <c r="CA30">
        <f ca="1"/>
        <v>4677248.2311649788</v>
      </c>
      <c r="CB30">
        <f ca="1"/>
        <v>-6764975.918028621</v>
      </c>
    </row>
    <row r="31" spans="1:80" x14ac:dyDescent="0.25">
      <c r="A31">
        <f t="shared" ca="1" si="4"/>
        <v>2.5814307458086375E-3</v>
      </c>
      <c r="C31" s="17"/>
      <c r="D31" t="b">
        <f>IF(
    ISNUMBER(Table1[[#This Row],[Strike]]),RTD("tos.rtd", , "OPEN_INT", "."&amp;Table1[[#This Row],[Ticker]]&amp;Table1[[#This Row],[Expiry]]&amp;""&amp;"C"&amp;Table1[[#This Row],[Strike]]))</f>
        <v>0</v>
      </c>
      <c r="E3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1" t="b">
        <f>IF(
    ISNUMBER(Table1[[#This Row],[Strike]]),RTD("tos.rtd", , "DELTA", "."&amp;Table1[[#This Row],[Ticker]]&amp;Table1[[#This Row],[Expiry]]&amp;""&amp;"C"&amp;Table1[[#This Row],[Strike]]))</f>
        <v>0</v>
      </c>
      <c r="H31" s="17" t="b" cm="1">
        <f t="array" ref="H31">IF(
    ISNUMBER(Table1[[#This Row],[Strike]]),IndividualLegIVCore($A$4, Table1[[#This Row],[Strike]], 0.0411, Table1[[#This Row],[T]], ((Table1[[#This Row],[BIDC]]+Table1[[#This Row],[ASKC]])/2), TRUE))</f>
        <v>0</v>
      </c>
      <c r="I31" t="b">
        <f>IF(
    ISNUMBER(Table1[[#This Row],[Strike]]),RTD("tos.rtd", , "BID", "."&amp;Table1[[#This Row],[Ticker]]&amp;Table1[[#This Row],[Expiry]]&amp;""&amp;"C"&amp;Table1[[#This Row],[Strike]]))</f>
        <v>0</v>
      </c>
      <c r="J31" t="b">
        <f>IF(
    ISNUMBER(Table1[[#This Row],[Strike]]),RTD("tos.rtd", , "ASK", "."&amp;Table1[[#This Row],[Ticker]]&amp;Table1[[#This Row],[Expiry]]&amp;""&amp;"C"&amp;Table1[[#This Row],[Strike]]))</f>
        <v>0</v>
      </c>
      <c r="K3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1" s="17" cm="1">
        <f t="array" aca="1" ref="L3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1" s="1">
        <f t="shared" si="5"/>
        <v>46045</v>
      </c>
      <c r="N31" t="b">
        <f t="shared" si="6"/>
        <v>0</v>
      </c>
      <c r="P31" s="17" t="b" cm="1">
        <f t="array" ref="P31">IF(
    ISNUMBER(Table1[[#This Row],[Strike]]),IndividualLegIVCore($A$4, Table1[[#This Row],[Strike]], 0.0411, Table1[[#This Row],[T]], ((Table1[[#This Row],[BIDP]]+Table1[[#This Row],[ASKP]])/2), FALSE))</f>
        <v>0</v>
      </c>
      <c r="Q31" t="b">
        <f>IF(
    ISNUMBER(Table1[[#This Row],[Strike]]),RTD("tos.rtd", , "BID", "."&amp;Table1[[#This Row],[Ticker]]&amp;Table1[[#This Row],[Expiry]]&amp;""&amp;"P"&amp;Table1[[#This Row],[Strike]]))</f>
        <v>0</v>
      </c>
      <c r="R31" t="b">
        <f>IF(
    ISNUMBER(Table1[[#This Row],[Strike]]),RTD("tos.rtd", , "ASK", "."&amp;Table1[[#This Row],[Ticker]]&amp;Table1[[#This Row],[Expiry]]&amp;""&amp;"P"&amp;Table1[[#This Row],[Strike]]))</f>
        <v>0</v>
      </c>
      <c r="S31" s="17"/>
      <c r="T31" t="b">
        <f>IF(
    ISNUMBER(Table1[[#This Row],[Strike]]),RTD("tos.rtd", , "OPEN_INT", "."&amp;Table1[[#This Row],[Ticker]]&amp;Table1[[#This Row],[Expiry]]&amp;""&amp;"P"&amp;Table1[[#This Row],[Strike]]))</f>
        <v>0</v>
      </c>
      <c r="U3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1" t="b">
        <f>IF(
    ISNUMBER(Table1[[#This Row],[Strike]]),RTD("tos.rtd", , "DELTA", "."&amp;Table1[[#This Row],[Ticker]]&amp;Table1[[#This Row],[Expiry]]&amp;""&amp;"P"&amp;Table1[[#This Row],[Strike]]))</f>
        <v>0</v>
      </c>
      <c r="Y31" s="19">
        <f>-39.5* IF($M$1="NDX", 10, IF(OR($M$1="SPX", $M$1="RUT"), 2, 1))</f>
        <v>-79</v>
      </c>
      <c r="Z31">
        <f ca="1">IFERROR(Table1[[#This Row],[call gamma]]*(Table1[[#This Row],[Open.Int]])*$A$4^2,0)</f>
        <v>0</v>
      </c>
      <c r="AA31">
        <f ca="1">IFERROR(((Table1[[#This Row],[Open.Int8]])*Table1[[#This Row],[Put gamma]])*-1*$A$4^2,0)</f>
        <v>0</v>
      </c>
      <c r="AB31">
        <f ca="1">(Table1[[#This Row],[Call Gex]]+Table1[[#This Row],[Put Gex]])</f>
        <v>0</v>
      </c>
      <c r="AC31">
        <f ca="1">Table1[[#This Row],[call delta adj]]+Table1[[#This Row],[put delta adj]]</f>
        <v>0</v>
      </c>
      <c r="AD31">
        <f ca="1">Table1[[#This Row],[Put Gex]]*Table1[[#This Row],[DeltaP]]*-1</f>
        <v>0</v>
      </c>
      <c r="AE31">
        <f ca="1">Table1[[#This Row],[Call Gex]]*Table1[[#This Row],[DeltaC]]</f>
        <v>0</v>
      </c>
      <c r="AF31">
        <f>IF(Table1[[#This Row],[DeltaC]]-ABS(Table1[[#This Row],[DeltaP]])="0","0.01",Table1[[#This Row],[DeltaC]]-ABS(Table1[[#This Row],[DeltaP]]))</f>
        <v>0</v>
      </c>
      <c r="AG31" t="e">
        <f ca="1">((LN($A$4/Table1[[#This Row],[Strike]]) + (0.411 + 0.5 * Table1[[#This Row],[IV Calc P]]^2) *Table1[[#This Row],[T]])) / (Table1[[#This Row],[IV Calc P]] * SQRT(Table1[[#This Row],[T]]))</f>
        <v>#DIV/0!</v>
      </c>
      <c r="AH31" t="e">
        <f ca="1">(LN($A$4/Table1[[#This Row],[Strike]]) + (0.411-0 + 0.5 * Table1[[#This Row],[IV Calc C]]^2) *Table1[[#This Row],[T]]) / (Table1[[#This Row],[IV Calc C]] * SQRT(Table1[[#This Row],[T]]))</f>
        <v>#DIV/0!</v>
      </c>
      <c r="AI31" t="e">
        <f ca="1">(EXP(-(AG31^2)/2)/SQRT(2*PI())*EXP(0*SQRT(Table1[[#This Row],[T]]))/$A$4*18%*SQRT(SQRT(Table1[[#This Row],[T]])))</f>
        <v>#DIV/0!</v>
      </c>
      <c r="AJ31" t="e">
        <f ca="1">(EXP(-(AH31^2)/2)/SQRT(2*PI())*EXP(0*SQRT(Table1[[#This Row],[T]]))/$A$4*18%*SQRT(SQRT(Table1[[#This Row],[T]])))</f>
        <v>#DIV/0!</v>
      </c>
      <c r="AK31" t="e">
        <f ca="1">Table1[[#This Row],[Call D1]]-Table1[[#This Row],[IV Calc C]]*SQRT(Table1[[#This Row],[T]])</f>
        <v>#DIV/0!</v>
      </c>
      <c r="AL31" t="e">
        <f ca="1">Table1[[#This Row],[Put D1]]-Table1[[#This Row],[IV Calc P]]*SQRT(Table1[[#This Row],[T]])</f>
        <v>#DIV/0!</v>
      </c>
      <c r="AM31" t="e">
        <f ca="1">EXP(-0.5*Table1[[#This Row],[Call D1]]^2)/SQRT(2*PI())</f>
        <v>#DIV/0!</v>
      </c>
      <c r="AN31" t="e">
        <f ca="1">EXP(-0.5*Table1[[#This Row],[Put D1]]^2)/SQRT(2*PI())</f>
        <v>#DIV/0!</v>
      </c>
      <c r="AO31">
        <f ca="1">IFERROR((EXP(0*Table1[[#This Row],[T]])*Table1[[#This Row],[call N(d1)]]*(Table1[[#This Row],[call d2]]/Table1[[#This Row],[IV Calc C]]))*Table1[[#This Row],[Open.Int]]*Table1[[#This Row],[DeltaC]],0)</f>
        <v>0</v>
      </c>
      <c r="AP31">
        <f ca="1">IFERROR((EXP(0*Table1[[#This Row],[T]])*Table1[[#This Row],[put N(d1)]]*(Table1[[#This Row],[put d2]]/Table1[[#This Row],[IV Calc P]]))*Table1[[#This Row],[Open.Int8]]*Table1[[#This Row],[DeltaP]]*-1,0)</f>
        <v>0</v>
      </c>
      <c r="AQ31">
        <f ca="1">((Table1[[#This Row],[call vanna]]+Table1[[#This Row],[put vanna]])*$A$4)</f>
        <v>0</v>
      </c>
      <c r="AR3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1" s="9" t="str" cm="1">
        <f t="array" ref="AT31">_xlfn.IFS(     $M$1="SPX","SPXW",     $M$1="RUT","RUTW",  $M$1="NDX","NDXP",   TRUE,$M$1 )</f>
        <v>SPXW</v>
      </c>
      <c r="AU31" s="2">
        <f t="shared" si="7"/>
        <v>6915</v>
      </c>
      <c r="AV31" t="str">
        <f t="shared" si="8"/>
        <v>260123</v>
      </c>
      <c r="AW31" s="19">
        <f ca="1">IFERROR((EXP(0*Table1[[#This Row],[T]])*Table1[[#This Row],[put N(d1)]]*(Table1[[#This Row],[put d2]]/Table1[[#This Row],[IV Calc P]]))*Table1[[#This Row],[Open.Int8]]*Table1[[#This Row],[DeltaP]]*-1,0)</f>
        <v>0</v>
      </c>
      <c r="AX31">
        <f ca="1">IFERROR((EXP(0*Table1[[#This Row],[T]])*Table1[[#This Row],[call N(d1)]]*(Table1[[#This Row],[call d2]]/Table1[[#This Row],[IV Calc C]]))*Table1[[#This Row],[Open.Int]]*Table1[[#This Row],[DeltaC]],0)</f>
        <v>0</v>
      </c>
      <c r="AY3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1">
        <f>((Table1[[#This Row],[High C]]+Table1[[#This Row],[Low C]])/2)*Table1[[#This Row],[gammac]]*Table1[[#This Row],[Volume]]</f>
        <v>0</v>
      </c>
      <c r="BD31">
        <f>((Table1[[#This Row],[High P]]+Table1[[#This Row],[Low P]])/2)*Table1[[#This Row],[gammap]]*Table1[[#This Row],[Volume9]]*-1</f>
        <v>0</v>
      </c>
      <c r="BE31">
        <f>(Table1[[#This Row],[SgammaC]]+Table1[[#This Row],[SgammaP]])*$A$4*-100</f>
        <v>0</v>
      </c>
      <c r="BF31">
        <f>Table1[[#This Row],[DEXc]]+Table1[[#This Row],[DEXp]]</f>
        <v>0</v>
      </c>
      <c r="BG31">
        <f>IFERROR(Table1[[#This Row],[DeltaC]]*Table1[[#This Row],[Open.Int]]*$A$4,0)</f>
        <v>0</v>
      </c>
      <c r="BH31" s="80">
        <f>IFERROR(Table1[[#This Row],[DeltaP]]*Table1[[#This Row],[Open.Int8]]*$A$4,0)</f>
        <v>0</v>
      </c>
      <c r="BI31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1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1">
        <f ca="1">Table1[[#This Row],[Charmc]]+Table1[[#This Row],[Charmp]]</f>
        <v>0</v>
      </c>
      <c r="BL3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1" s="78">
        <f ca="1">Table1[[#This Row],[call helper]]+Table1[[#This Row],[put helper]]</f>
        <v>0</v>
      </c>
      <c r="BP31" t="str">
        <f>RTD("tos.rtd", , "STRIKE", "."&amp;Table1[[#This Row],[Ticker]]&amp;Table1[[#This Row],[Expiry]]&amp;""&amp;"C"&amp;Table1[[#This Row],[Spot]]+Table1[[#This Row],[step]])</f>
        <v>N/A</v>
      </c>
      <c r="BQ31">
        <v>6920</v>
      </c>
      <c r="BV31">
        <f ca="1"/>
        <v>6920</v>
      </c>
      <c r="BW31">
        <f ca="1"/>
        <v>153494.77811755534</v>
      </c>
      <c r="BX31">
        <f ca="1"/>
        <v>-204301.53031920904</v>
      </c>
      <c r="BY31" s="17">
        <f ca="1"/>
        <v>0.12646625765257094</v>
      </c>
      <c r="BZ31">
        <f ca="1"/>
        <v>5</v>
      </c>
      <c r="CA31">
        <f ca="1"/>
        <v>441616.00661532726</v>
      </c>
      <c r="CB31">
        <f ca="1"/>
        <v>-9075227.4689991381</v>
      </c>
    </row>
    <row r="32" spans="1:80" x14ac:dyDescent="0.25">
      <c r="A32">
        <f t="shared" ca="1" si="4"/>
        <v>2.5814307458086375E-3</v>
      </c>
      <c r="C32" s="17"/>
      <c r="D32" t="b">
        <f>IF(
    ISNUMBER(Table1[[#This Row],[Strike]]),RTD("tos.rtd", , "OPEN_INT", "."&amp;Table1[[#This Row],[Ticker]]&amp;Table1[[#This Row],[Expiry]]&amp;""&amp;"C"&amp;Table1[[#This Row],[Strike]]))</f>
        <v>0</v>
      </c>
      <c r="E3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2" t="b">
        <f>IF(
    ISNUMBER(Table1[[#This Row],[Strike]]),RTD("tos.rtd", , "DELTA", "."&amp;Table1[[#This Row],[Ticker]]&amp;Table1[[#This Row],[Expiry]]&amp;""&amp;"C"&amp;Table1[[#This Row],[Strike]]))</f>
        <v>0</v>
      </c>
      <c r="H32" s="17" t="b" cm="1">
        <f t="array" ref="H32">IF(
    ISNUMBER(Table1[[#This Row],[Strike]]),IndividualLegIVCore($A$4, Table1[[#This Row],[Strike]], 0.0411, Table1[[#This Row],[T]], ((Table1[[#This Row],[BIDC]]+Table1[[#This Row],[ASKC]])/2), TRUE))</f>
        <v>0</v>
      </c>
      <c r="I32" t="b">
        <f>IF(
    ISNUMBER(Table1[[#This Row],[Strike]]),RTD("tos.rtd", , "BID", "."&amp;Table1[[#This Row],[Ticker]]&amp;Table1[[#This Row],[Expiry]]&amp;""&amp;"C"&amp;Table1[[#This Row],[Strike]]))</f>
        <v>0</v>
      </c>
      <c r="J32" t="b">
        <f>IF(
    ISNUMBER(Table1[[#This Row],[Strike]]),RTD("tos.rtd", , "ASK", "."&amp;Table1[[#This Row],[Ticker]]&amp;Table1[[#This Row],[Expiry]]&amp;""&amp;"C"&amp;Table1[[#This Row],[Strike]]))</f>
        <v>0</v>
      </c>
      <c r="K3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2" s="17" cm="1">
        <f t="array" aca="1" ref="L3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2" s="1">
        <f t="shared" si="5"/>
        <v>46045</v>
      </c>
      <c r="N32" t="b">
        <f t="shared" si="6"/>
        <v>0</v>
      </c>
      <c r="P32" s="17" t="b" cm="1">
        <f t="array" ref="P32">IF(
    ISNUMBER(Table1[[#This Row],[Strike]]),IndividualLegIVCore($A$4, Table1[[#This Row],[Strike]], 0.0411, Table1[[#This Row],[T]], ((Table1[[#This Row],[BIDP]]+Table1[[#This Row],[ASKP]])/2), FALSE))</f>
        <v>0</v>
      </c>
      <c r="Q32" t="b">
        <f>IF(
    ISNUMBER(Table1[[#This Row],[Strike]]),RTD("tos.rtd", , "BID", "."&amp;Table1[[#This Row],[Ticker]]&amp;Table1[[#This Row],[Expiry]]&amp;""&amp;"P"&amp;Table1[[#This Row],[Strike]]))</f>
        <v>0</v>
      </c>
      <c r="R32" t="b">
        <f>IF(
    ISNUMBER(Table1[[#This Row],[Strike]]),RTD("tos.rtd", , "ASK", "."&amp;Table1[[#This Row],[Ticker]]&amp;Table1[[#This Row],[Expiry]]&amp;""&amp;"P"&amp;Table1[[#This Row],[Strike]]))</f>
        <v>0</v>
      </c>
      <c r="S32" s="17"/>
      <c r="T32" t="b">
        <f>IF(
    ISNUMBER(Table1[[#This Row],[Strike]]),RTD("tos.rtd", , "OPEN_INT", "."&amp;Table1[[#This Row],[Ticker]]&amp;Table1[[#This Row],[Expiry]]&amp;""&amp;"P"&amp;Table1[[#This Row],[Strike]]))</f>
        <v>0</v>
      </c>
      <c r="U3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2" t="b">
        <f>IF(
    ISNUMBER(Table1[[#This Row],[Strike]]),RTD("tos.rtd", , "DELTA", "."&amp;Table1[[#This Row],[Ticker]]&amp;Table1[[#This Row],[Expiry]]&amp;""&amp;"P"&amp;Table1[[#This Row],[Strike]]))</f>
        <v>0</v>
      </c>
      <c r="Y32" s="19">
        <f>-39* IF($M$1="NDX", 10, IF(OR($M$1="SPX", $M$1="RUT"), 2, 1))</f>
        <v>-78</v>
      </c>
      <c r="Z32">
        <f ca="1">IFERROR(Table1[[#This Row],[call gamma]]*(Table1[[#This Row],[Open.Int]])*$A$4^2,0)</f>
        <v>0</v>
      </c>
      <c r="AA32">
        <f ca="1">IFERROR(((Table1[[#This Row],[Open.Int8]])*Table1[[#This Row],[Put gamma]])*-1*$A$4^2,0)</f>
        <v>0</v>
      </c>
      <c r="AB32">
        <f ca="1">(Table1[[#This Row],[Call Gex]]+Table1[[#This Row],[Put Gex]])</f>
        <v>0</v>
      </c>
      <c r="AC32">
        <f ca="1">Table1[[#This Row],[call delta adj]]+Table1[[#This Row],[put delta adj]]</f>
        <v>0</v>
      </c>
      <c r="AD32">
        <f ca="1">Table1[[#This Row],[Put Gex]]*Table1[[#This Row],[DeltaP]]*-1</f>
        <v>0</v>
      </c>
      <c r="AE32">
        <f ca="1">Table1[[#This Row],[Call Gex]]*Table1[[#This Row],[DeltaC]]</f>
        <v>0</v>
      </c>
      <c r="AF32">
        <f>IF(Table1[[#This Row],[DeltaC]]-ABS(Table1[[#This Row],[DeltaP]])="0","0.01",Table1[[#This Row],[DeltaC]]-ABS(Table1[[#This Row],[DeltaP]]))</f>
        <v>0</v>
      </c>
      <c r="AG32" t="e">
        <f ca="1">((LN($A$4/Table1[[#This Row],[Strike]]) + (0.411 + 0.5 * Table1[[#This Row],[IV Calc P]]^2) *Table1[[#This Row],[T]])) / (Table1[[#This Row],[IV Calc P]] * SQRT(Table1[[#This Row],[T]]))</f>
        <v>#DIV/0!</v>
      </c>
      <c r="AH32" t="e">
        <f ca="1">(LN($A$4/Table1[[#This Row],[Strike]]) + (0.411-0 + 0.5 * Table1[[#This Row],[IV Calc C]]^2) *Table1[[#This Row],[T]]) / (Table1[[#This Row],[IV Calc C]] * SQRT(Table1[[#This Row],[T]]))</f>
        <v>#DIV/0!</v>
      </c>
      <c r="AI32" t="e">
        <f ca="1">(EXP(-(AG32^2)/2)/SQRT(2*PI())*EXP(0*SQRT(Table1[[#This Row],[T]]))/$A$4*18%*SQRT(SQRT(Table1[[#This Row],[T]])))</f>
        <v>#DIV/0!</v>
      </c>
      <c r="AJ32" t="e">
        <f ca="1">(EXP(-(AH32^2)/2)/SQRT(2*PI())*EXP(0*SQRT(Table1[[#This Row],[T]]))/$A$4*18%*SQRT(SQRT(Table1[[#This Row],[T]])))</f>
        <v>#DIV/0!</v>
      </c>
      <c r="AK32" t="e">
        <f ca="1">Table1[[#This Row],[Call D1]]-Table1[[#This Row],[IV Calc C]]*SQRT(Table1[[#This Row],[T]])</f>
        <v>#DIV/0!</v>
      </c>
      <c r="AL32" t="e">
        <f ca="1">Table1[[#This Row],[Put D1]]-Table1[[#This Row],[IV Calc P]]*SQRT(Table1[[#This Row],[T]])</f>
        <v>#DIV/0!</v>
      </c>
      <c r="AM32" t="e">
        <f ca="1">EXP(-0.5*Table1[[#This Row],[Call D1]]^2)/SQRT(2*PI())</f>
        <v>#DIV/0!</v>
      </c>
      <c r="AN32" t="e">
        <f ca="1">EXP(-0.5*Table1[[#This Row],[Put D1]]^2)/SQRT(2*PI())</f>
        <v>#DIV/0!</v>
      </c>
      <c r="AO32">
        <f ca="1">IFERROR((EXP(0*Table1[[#This Row],[T]])*Table1[[#This Row],[call N(d1)]]*(Table1[[#This Row],[call d2]]/Table1[[#This Row],[IV Calc C]]))*Table1[[#This Row],[Open.Int]]*Table1[[#This Row],[DeltaC]],0)</f>
        <v>0</v>
      </c>
      <c r="AP32">
        <f ca="1">IFERROR((EXP(0*Table1[[#This Row],[T]])*Table1[[#This Row],[put N(d1)]]*(Table1[[#This Row],[put d2]]/Table1[[#This Row],[IV Calc P]]))*Table1[[#This Row],[Open.Int8]]*Table1[[#This Row],[DeltaP]]*-1,0)</f>
        <v>0</v>
      </c>
      <c r="AQ32">
        <f ca="1">((Table1[[#This Row],[call vanna]]+Table1[[#This Row],[put vanna]])*$A$4)</f>
        <v>0</v>
      </c>
      <c r="AR3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2" s="9" t="str" cm="1">
        <f t="array" ref="AT32">_xlfn.IFS(     $M$1="SPX","SPXW",     $M$1="RUT","RUTW",  $M$1="NDX","NDXP",   TRUE,$M$1 )</f>
        <v>SPXW</v>
      </c>
      <c r="AU32" s="2">
        <f t="shared" si="7"/>
        <v>6915</v>
      </c>
      <c r="AV32" t="str">
        <f t="shared" si="8"/>
        <v>260123</v>
      </c>
      <c r="AW32" s="19">
        <f ca="1">IFERROR((EXP(0*Table1[[#This Row],[T]])*Table1[[#This Row],[put N(d1)]]*(Table1[[#This Row],[put d2]]/Table1[[#This Row],[IV Calc P]]))*Table1[[#This Row],[Open.Int8]]*Table1[[#This Row],[DeltaP]]*-1,0)</f>
        <v>0</v>
      </c>
      <c r="AX32">
        <f ca="1">IFERROR((EXP(0*Table1[[#This Row],[T]])*Table1[[#This Row],[call N(d1)]]*(Table1[[#This Row],[call d2]]/Table1[[#This Row],[IV Calc C]]))*Table1[[#This Row],[Open.Int]]*Table1[[#This Row],[DeltaC]],0)</f>
        <v>0</v>
      </c>
      <c r="AY3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2">
        <f>((Table1[[#This Row],[High C]]+Table1[[#This Row],[Low C]])/2)*Table1[[#This Row],[gammac]]*Table1[[#This Row],[Volume]]</f>
        <v>0</v>
      </c>
      <c r="BD32">
        <f>((Table1[[#This Row],[High P]]+Table1[[#This Row],[Low P]])/2)*Table1[[#This Row],[gammap]]*Table1[[#This Row],[Volume9]]*-1</f>
        <v>0</v>
      </c>
      <c r="BE32">
        <f>(Table1[[#This Row],[SgammaC]]+Table1[[#This Row],[SgammaP]])*$A$4*-100</f>
        <v>0</v>
      </c>
      <c r="BF32">
        <f>Table1[[#This Row],[DEXc]]+Table1[[#This Row],[DEXp]]</f>
        <v>0</v>
      </c>
      <c r="BG32">
        <f>IFERROR(Table1[[#This Row],[DeltaC]]*Table1[[#This Row],[Open.Int]]*$A$4,0)</f>
        <v>0</v>
      </c>
      <c r="BH32" s="80">
        <f>IFERROR(Table1[[#This Row],[DeltaP]]*Table1[[#This Row],[Open.Int8]]*$A$4,0)</f>
        <v>0</v>
      </c>
      <c r="BI32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2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2">
        <f ca="1">Table1[[#This Row],[Charmc]]+Table1[[#This Row],[Charmp]]</f>
        <v>0</v>
      </c>
      <c r="BL3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2" s="78">
        <f ca="1">Table1[[#This Row],[call helper]]+Table1[[#This Row],[put helper]]</f>
        <v>0</v>
      </c>
      <c r="BP32" t="str">
        <f>RTD("tos.rtd", , "STRIKE", "."&amp;Table1[[#This Row],[Ticker]]&amp;Table1[[#This Row],[Expiry]]&amp;""&amp;"C"&amp;Table1[[#This Row],[Spot]]+Table1[[#This Row],[step]])</f>
        <v>N/A</v>
      </c>
      <c r="BQ32">
        <v>6925</v>
      </c>
      <c r="BV32">
        <f ca="1"/>
        <v>6925</v>
      </c>
      <c r="BW32">
        <f ca="1"/>
        <v>366006.45870414143</v>
      </c>
      <c r="BX32">
        <f ca="1"/>
        <v>-309695.97009793337</v>
      </c>
      <c r="BY32" s="17">
        <f ca="1"/>
        <v>0.12748304001714347</v>
      </c>
      <c r="BZ32">
        <f ca="1"/>
        <v>10</v>
      </c>
      <c r="CA32">
        <f ca="1"/>
        <v>-6711637.9185746312</v>
      </c>
      <c r="CB32">
        <f ca="1"/>
        <v>-18890695.262248162</v>
      </c>
    </row>
    <row r="33" spans="1:80" x14ac:dyDescent="0.25">
      <c r="A33">
        <f t="shared" ca="1" si="4"/>
        <v>2.5814307458086375E-3</v>
      </c>
      <c r="C33" s="17"/>
      <c r="D33" t="b">
        <f>IF(
    ISNUMBER(Table1[[#This Row],[Strike]]),RTD("tos.rtd", , "OPEN_INT", "."&amp;Table1[[#This Row],[Ticker]]&amp;Table1[[#This Row],[Expiry]]&amp;""&amp;"C"&amp;Table1[[#This Row],[Strike]]))</f>
        <v>0</v>
      </c>
      <c r="E3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3" t="b">
        <f>IF(
    ISNUMBER(Table1[[#This Row],[Strike]]),RTD("tos.rtd", , "DELTA", "."&amp;Table1[[#This Row],[Ticker]]&amp;Table1[[#This Row],[Expiry]]&amp;""&amp;"C"&amp;Table1[[#This Row],[Strike]]))</f>
        <v>0</v>
      </c>
      <c r="H33" s="17" t="b" cm="1">
        <f t="array" ref="H33">IF(
    ISNUMBER(Table1[[#This Row],[Strike]]),IndividualLegIVCore($A$4, Table1[[#This Row],[Strike]], 0.0411, Table1[[#This Row],[T]], ((Table1[[#This Row],[BIDC]]+Table1[[#This Row],[ASKC]])/2), TRUE))</f>
        <v>0</v>
      </c>
      <c r="I33" t="b">
        <f>IF(
    ISNUMBER(Table1[[#This Row],[Strike]]),RTD("tos.rtd", , "BID", "."&amp;Table1[[#This Row],[Ticker]]&amp;Table1[[#This Row],[Expiry]]&amp;""&amp;"C"&amp;Table1[[#This Row],[Strike]]))</f>
        <v>0</v>
      </c>
      <c r="J33" t="b">
        <f>IF(
    ISNUMBER(Table1[[#This Row],[Strike]]),RTD("tos.rtd", , "ASK", "."&amp;Table1[[#This Row],[Ticker]]&amp;Table1[[#This Row],[Expiry]]&amp;""&amp;"C"&amp;Table1[[#This Row],[Strike]]))</f>
        <v>0</v>
      </c>
      <c r="K3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3" s="17" cm="1">
        <f t="array" aca="1" ref="L3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3" s="1">
        <f t="shared" si="5"/>
        <v>46045</v>
      </c>
      <c r="N33" t="b">
        <f t="shared" si="6"/>
        <v>0</v>
      </c>
      <c r="P33" s="17" t="b" cm="1">
        <f t="array" ref="P33">IF(
    ISNUMBER(Table1[[#This Row],[Strike]]),IndividualLegIVCore($A$4, Table1[[#This Row],[Strike]], 0.0411, Table1[[#This Row],[T]], ((Table1[[#This Row],[BIDP]]+Table1[[#This Row],[ASKP]])/2), FALSE))</f>
        <v>0</v>
      </c>
      <c r="Q33" t="b">
        <f>IF(
    ISNUMBER(Table1[[#This Row],[Strike]]),RTD("tos.rtd", , "BID", "."&amp;Table1[[#This Row],[Ticker]]&amp;Table1[[#This Row],[Expiry]]&amp;""&amp;"P"&amp;Table1[[#This Row],[Strike]]))</f>
        <v>0</v>
      </c>
      <c r="R33" t="b">
        <f>IF(
    ISNUMBER(Table1[[#This Row],[Strike]]),RTD("tos.rtd", , "ASK", "."&amp;Table1[[#This Row],[Ticker]]&amp;Table1[[#This Row],[Expiry]]&amp;""&amp;"P"&amp;Table1[[#This Row],[Strike]]))</f>
        <v>0</v>
      </c>
      <c r="S33" s="17"/>
      <c r="T33" t="b">
        <f>IF(
    ISNUMBER(Table1[[#This Row],[Strike]]),RTD("tos.rtd", , "OPEN_INT", "."&amp;Table1[[#This Row],[Ticker]]&amp;Table1[[#This Row],[Expiry]]&amp;""&amp;"P"&amp;Table1[[#This Row],[Strike]]))</f>
        <v>0</v>
      </c>
      <c r="U3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3" t="b">
        <f>IF(
    ISNUMBER(Table1[[#This Row],[Strike]]),RTD("tos.rtd", , "DELTA", "."&amp;Table1[[#This Row],[Ticker]]&amp;Table1[[#This Row],[Expiry]]&amp;""&amp;"P"&amp;Table1[[#This Row],[Strike]]))</f>
        <v>0</v>
      </c>
      <c r="Y33" s="19">
        <f>-38.5* IF($M$1="NDX", 10, IF(OR($M$1="SPX", $M$1="RUT"), 2, 1))</f>
        <v>-77</v>
      </c>
      <c r="Z33">
        <f ca="1">IFERROR(Table1[[#This Row],[call gamma]]*(Table1[[#This Row],[Open.Int]])*$A$4^2,0)</f>
        <v>0</v>
      </c>
      <c r="AA33">
        <f ca="1">IFERROR(((Table1[[#This Row],[Open.Int8]])*Table1[[#This Row],[Put gamma]])*-1*$A$4^2,0)</f>
        <v>0</v>
      </c>
      <c r="AB33">
        <f ca="1">(Table1[[#This Row],[Call Gex]]+Table1[[#This Row],[Put Gex]])</f>
        <v>0</v>
      </c>
      <c r="AC33">
        <f ca="1">Table1[[#This Row],[call delta adj]]+Table1[[#This Row],[put delta adj]]</f>
        <v>0</v>
      </c>
      <c r="AD33">
        <f ca="1">Table1[[#This Row],[Put Gex]]*Table1[[#This Row],[DeltaP]]*-1</f>
        <v>0</v>
      </c>
      <c r="AE33">
        <f ca="1">Table1[[#This Row],[Call Gex]]*Table1[[#This Row],[DeltaC]]</f>
        <v>0</v>
      </c>
      <c r="AF33">
        <f>IF(Table1[[#This Row],[DeltaC]]-ABS(Table1[[#This Row],[DeltaP]])="0","0.01",Table1[[#This Row],[DeltaC]]-ABS(Table1[[#This Row],[DeltaP]]))</f>
        <v>0</v>
      </c>
      <c r="AG33" t="e">
        <f ca="1">((LN($A$4/Table1[[#This Row],[Strike]]) + (0.411 + 0.5 * Table1[[#This Row],[IV Calc P]]^2) *Table1[[#This Row],[T]])) / (Table1[[#This Row],[IV Calc P]] * SQRT(Table1[[#This Row],[T]]))</f>
        <v>#DIV/0!</v>
      </c>
      <c r="AH33" t="e">
        <f ca="1">(LN($A$4/Table1[[#This Row],[Strike]]) + (0.411-0 + 0.5 * Table1[[#This Row],[IV Calc C]]^2) *Table1[[#This Row],[T]]) / (Table1[[#This Row],[IV Calc C]] * SQRT(Table1[[#This Row],[T]]))</f>
        <v>#DIV/0!</v>
      </c>
      <c r="AI33" t="e">
        <f ca="1">(EXP(-(AG33^2)/2)/SQRT(2*PI())*EXP(0*SQRT(Table1[[#This Row],[T]]))/$A$4*18%*SQRT(SQRT(Table1[[#This Row],[T]])))</f>
        <v>#DIV/0!</v>
      </c>
      <c r="AJ33" t="e">
        <f ca="1">(EXP(-(AH33^2)/2)/SQRT(2*PI())*EXP(0*SQRT(Table1[[#This Row],[T]]))/$A$4*18%*SQRT(SQRT(Table1[[#This Row],[T]])))</f>
        <v>#DIV/0!</v>
      </c>
      <c r="AK33" t="e">
        <f ca="1">Table1[[#This Row],[Call D1]]-Table1[[#This Row],[IV Calc C]]*SQRT(Table1[[#This Row],[T]])</f>
        <v>#DIV/0!</v>
      </c>
      <c r="AL33" t="e">
        <f ca="1">Table1[[#This Row],[Put D1]]-Table1[[#This Row],[IV Calc P]]*SQRT(Table1[[#This Row],[T]])</f>
        <v>#DIV/0!</v>
      </c>
      <c r="AM33" t="e">
        <f ca="1">EXP(-0.5*Table1[[#This Row],[Call D1]]^2)/SQRT(2*PI())</f>
        <v>#DIV/0!</v>
      </c>
      <c r="AN33" t="e">
        <f ca="1">EXP(-0.5*Table1[[#This Row],[Put D1]]^2)/SQRT(2*PI())</f>
        <v>#DIV/0!</v>
      </c>
      <c r="AO33">
        <f ca="1">IFERROR((EXP(0*Table1[[#This Row],[T]])*Table1[[#This Row],[call N(d1)]]*(Table1[[#This Row],[call d2]]/Table1[[#This Row],[IV Calc C]]))*Table1[[#This Row],[Open.Int]]*Table1[[#This Row],[DeltaC]],0)</f>
        <v>0</v>
      </c>
      <c r="AP33">
        <f ca="1">IFERROR((EXP(0*Table1[[#This Row],[T]])*Table1[[#This Row],[put N(d1)]]*(Table1[[#This Row],[put d2]]/Table1[[#This Row],[IV Calc P]]))*Table1[[#This Row],[Open.Int8]]*Table1[[#This Row],[DeltaP]]*-1,0)</f>
        <v>0</v>
      </c>
      <c r="AQ33">
        <f ca="1">((Table1[[#This Row],[call vanna]]+Table1[[#This Row],[put vanna]])*$A$4)</f>
        <v>0</v>
      </c>
      <c r="AR3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3" s="9" t="str" cm="1">
        <f t="array" ref="AT33">_xlfn.IFS(     $M$1="SPX","SPXW",     $M$1="RUT","RUTW",  $M$1="NDX","NDXP",   TRUE,$M$1 )</f>
        <v>SPXW</v>
      </c>
      <c r="AU33" s="2">
        <f t="shared" si="7"/>
        <v>6915</v>
      </c>
      <c r="AV33" t="str">
        <f t="shared" si="8"/>
        <v>260123</v>
      </c>
      <c r="AW33" s="19">
        <f ca="1">IFERROR((EXP(0*Table1[[#This Row],[T]])*Table1[[#This Row],[put N(d1)]]*(Table1[[#This Row],[put d2]]/Table1[[#This Row],[IV Calc P]]))*Table1[[#This Row],[Open.Int8]]*Table1[[#This Row],[DeltaP]]*-1,0)</f>
        <v>0</v>
      </c>
      <c r="AX33">
        <f ca="1">IFERROR((EXP(0*Table1[[#This Row],[T]])*Table1[[#This Row],[call N(d1)]]*(Table1[[#This Row],[call d2]]/Table1[[#This Row],[IV Calc C]]))*Table1[[#This Row],[Open.Int]]*Table1[[#This Row],[DeltaC]],0)</f>
        <v>0</v>
      </c>
      <c r="AY3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3">
        <f>((Table1[[#This Row],[High C]]+Table1[[#This Row],[Low C]])/2)*Table1[[#This Row],[gammac]]*Table1[[#This Row],[Volume]]</f>
        <v>0</v>
      </c>
      <c r="BD33">
        <f>((Table1[[#This Row],[High P]]+Table1[[#This Row],[Low P]])/2)*Table1[[#This Row],[gammap]]*Table1[[#This Row],[Volume9]]*-1</f>
        <v>0</v>
      </c>
      <c r="BE33">
        <f>(Table1[[#This Row],[SgammaC]]+Table1[[#This Row],[SgammaP]])*$A$4*-100</f>
        <v>0</v>
      </c>
      <c r="BF33">
        <f>Table1[[#This Row],[DEXc]]+Table1[[#This Row],[DEXp]]</f>
        <v>0</v>
      </c>
      <c r="BG33">
        <f>IFERROR(Table1[[#This Row],[DeltaC]]*Table1[[#This Row],[Open.Int]]*$A$4,0)</f>
        <v>0</v>
      </c>
      <c r="BH33" s="80">
        <f>IFERROR(Table1[[#This Row],[DeltaP]]*Table1[[#This Row],[Open.Int8]]*$A$4,0)</f>
        <v>0</v>
      </c>
      <c r="BI33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3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3">
        <f ca="1">Table1[[#This Row],[Charmc]]+Table1[[#This Row],[Charmp]]</f>
        <v>0</v>
      </c>
      <c r="BL3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3" s="78">
        <f ca="1">Table1[[#This Row],[call helper]]+Table1[[#This Row],[put helper]]</f>
        <v>0</v>
      </c>
      <c r="BP33" t="str">
        <f>RTD("tos.rtd", , "STRIKE", "."&amp;Table1[[#This Row],[Ticker]]&amp;Table1[[#This Row],[Expiry]]&amp;""&amp;"C"&amp;Table1[[#This Row],[Spot]]+Table1[[#This Row],[step]])</f>
        <v>N/A</v>
      </c>
      <c r="BQ33">
        <v>6930</v>
      </c>
      <c r="BV33">
        <f ca="1"/>
        <v>6930</v>
      </c>
      <c r="BW33">
        <f ca="1"/>
        <v>243446.76078197287</v>
      </c>
      <c r="BX33">
        <f ca="1"/>
        <v>-76830.303644291518</v>
      </c>
      <c r="BY33" s="17">
        <f ca="1"/>
        <v>0.12911050043439212</v>
      </c>
      <c r="BZ33">
        <f ca="1"/>
        <v>15</v>
      </c>
      <c r="CA33">
        <f ca="1"/>
        <v>-6404980.4018474082</v>
      </c>
      <c r="CB33">
        <f ca="1"/>
        <v>-9601279.3320177086</v>
      </c>
    </row>
    <row r="34" spans="1:80" x14ac:dyDescent="0.25">
      <c r="A34">
        <f t="shared" ca="1" si="4"/>
        <v>2.5814307458086375E-3</v>
      </c>
      <c r="C34" s="17"/>
      <c r="D34" t="b">
        <f>IF(
    ISNUMBER(Table1[[#This Row],[Strike]]),RTD("tos.rtd", , "OPEN_INT", "."&amp;Table1[[#This Row],[Ticker]]&amp;Table1[[#This Row],[Expiry]]&amp;""&amp;"C"&amp;Table1[[#This Row],[Strike]]))</f>
        <v>0</v>
      </c>
      <c r="E3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4" t="b">
        <f>IF(
    ISNUMBER(Table1[[#This Row],[Strike]]),RTD("tos.rtd", , "DELTA", "."&amp;Table1[[#This Row],[Ticker]]&amp;Table1[[#This Row],[Expiry]]&amp;""&amp;"C"&amp;Table1[[#This Row],[Strike]]))</f>
        <v>0</v>
      </c>
      <c r="H34" s="17" t="b" cm="1">
        <f t="array" ref="H34">IF(
    ISNUMBER(Table1[[#This Row],[Strike]]),IndividualLegIVCore($A$4, Table1[[#This Row],[Strike]], 0.0411, Table1[[#This Row],[T]], ((Table1[[#This Row],[BIDC]]+Table1[[#This Row],[ASKC]])/2), TRUE))</f>
        <v>0</v>
      </c>
      <c r="I34" t="b">
        <f>IF(
    ISNUMBER(Table1[[#This Row],[Strike]]),RTD("tos.rtd", , "BID", "."&amp;Table1[[#This Row],[Ticker]]&amp;Table1[[#This Row],[Expiry]]&amp;""&amp;"C"&amp;Table1[[#This Row],[Strike]]))</f>
        <v>0</v>
      </c>
      <c r="J34" t="b">
        <f>IF(
    ISNUMBER(Table1[[#This Row],[Strike]]),RTD("tos.rtd", , "ASK", "."&amp;Table1[[#This Row],[Ticker]]&amp;Table1[[#This Row],[Expiry]]&amp;""&amp;"C"&amp;Table1[[#This Row],[Strike]]))</f>
        <v>0</v>
      </c>
      <c r="K3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4" s="17" cm="1">
        <f t="array" aca="1" ref="L3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4" s="1">
        <f t="shared" si="5"/>
        <v>46045</v>
      </c>
      <c r="N34" t="b">
        <f t="shared" si="6"/>
        <v>0</v>
      </c>
      <c r="P34" s="17" t="b" cm="1">
        <f t="array" ref="P34">IF(
    ISNUMBER(Table1[[#This Row],[Strike]]),IndividualLegIVCore($A$4, Table1[[#This Row],[Strike]], 0.0411, Table1[[#This Row],[T]], ((Table1[[#This Row],[BIDP]]+Table1[[#This Row],[ASKP]])/2), FALSE))</f>
        <v>0</v>
      </c>
      <c r="Q34" t="b">
        <f>IF(
    ISNUMBER(Table1[[#This Row],[Strike]]),RTD("tos.rtd", , "BID", "."&amp;Table1[[#This Row],[Ticker]]&amp;Table1[[#This Row],[Expiry]]&amp;""&amp;"P"&amp;Table1[[#This Row],[Strike]]))</f>
        <v>0</v>
      </c>
      <c r="R34" t="b">
        <f>IF(
    ISNUMBER(Table1[[#This Row],[Strike]]),RTD("tos.rtd", , "ASK", "."&amp;Table1[[#This Row],[Ticker]]&amp;Table1[[#This Row],[Expiry]]&amp;""&amp;"P"&amp;Table1[[#This Row],[Strike]]))</f>
        <v>0</v>
      </c>
      <c r="S34" s="17"/>
      <c r="T34" t="b">
        <f>IF(
    ISNUMBER(Table1[[#This Row],[Strike]]),RTD("tos.rtd", , "OPEN_INT", "."&amp;Table1[[#This Row],[Ticker]]&amp;Table1[[#This Row],[Expiry]]&amp;""&amp;"P"&amp;Table1[[#This Row],[Strike]]))</f>
        <v>0</v>
      </c>
      <c r="U3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4" t="b">
        <f>IF(
    ISNUMBER(Table1[[#This Row],[Strike]]),RTD("tos.rtd", , "DELTA", "."&amp;Table1[[#This Row],[Ticker]]&amp;Table1[[#This Row],[Expiry]]&amp;""&amp;"P"&amp;Table1[[#This Row],[Strike]]))</f>
        <v>0</v>
      </c>
      <c r="Y34" s="19">
        <f>-38* IF($M$1="NDX", 10, IF(OR($M$1="SPX", $M$1="RUT"), 2, 1))</f>
        <v>-76</v>
      </c>
      <c r="Z34">
        <f ca="1">IFERROR(Table1[[#This Row],[call gamma]]*(Table1[[#This Row],[Open.Int]])*$A$4^2,0)</f>
        <v>0</v>
      </c>
      <c r="AA34">
        <f ca="1">IFERROR(((Table1[[#This Row],[Open.Int8]])*Table1[[#This Row],[Put gamma]])*-1*$A$4^2,0)</f>
        <v>0</v>
      </c>
      <c r="AB34">
        <f ca="1">(Table1[[#This Row],[Call Gex]]+Table1[[#This Row],[Put Gex]])</f>
        <v>0</v>
      </c>
      <c r="AC34">
        <f ca="1">Table1[[#This Row],[call delta adj]]+Table1[[#This Row],[put delta adj]]</f>
        <v>0</v>
      </c>
      <c r="AD34">
        <f ca="1">Table1[[#This Row],[Put Gex]]*Table1[[#This Row],[DeltaP]]*-1</f>
        <v>0</v>
      </c>
      <c r="AE34">
        <f ca="1">Table1[[#This Row],[Call Gex]]*Table1[[#This Row],[DeltaC]]</f>
        <v>0</v>
      </c>
      <c r="AF34">
        <f>IF(Table1[[#This Row],[DeltaC]]-ABS(Table1[[#This Row],[DeltaP]])="0","0.01",Table1[[#This Row],[DeltaC]]-ABS(Table1[[#This Row],[DeltaP]]))</f>
        <v>0</v>
      </c>
      <c r="AG34" t="e">
        <f ca="1">((LN($A$4/Table1[[#This Row],[Strike]]) + (0.411 + 0.5 * Table1[[#This Row],[IV Calc P]]^2) *Table1[[#This Row],[T]])) / (Table1[[#This Row],[IV Calc P]] * SQRT(Table1[[#This Row],[T]]))</f>
        <v>#DIV/0!</v>
      </c>
      <c r="AH34" t="e">
        <f ca="1">(LN($A$4/Table1[[#This Row],[Strike]]) + (0.411-0 + 0.5 * Table1[[#This Row],[IV Calc C]]^2) *Table1[[#This Row],[T]]) / (Table1[[#This Row],[IV Calc C]] * SQRT(Table1[[#This Row],[T]]))</f>
        <v>#DIV/0!</v>
      </c>
      <c r="AI34" t="e">
        <f ca="1">(EXP(-(AG34^2)/2)/SQRT(2*PI())*EXP(0*SQRT(Table1[[#This Row],[T]]))/$A$4*18%*SQRT(SQRT(Table1[[#This Row],[T]])))</f>
        <v>#DIV/0!</v>
      </c>
      <c r="AJ34" t="e">
        <f ca="1">(EXP(-(AH34^2)/2)/SQRT(2*PI())*EXP(0*SQRT(Table1[[#This Row],[T]]))/$A$4*18%*SQRT(SQRT(Table1[[#This Row],[T]])))</f>
        <v>#DIV/0!</v>
      </c>
      <c r="AK34" t="e">
        <f ca="1">Table1[[#This Row],[Call D1]]-Table1[[#This Row],[IV Calc C]]*SQRT(Table1[[#This Row],[T]])</f>
        <v>#DIV/0!</v>
      </c>
      <c r="AL34" t="e">
        <f ca="1">Table1[[#This Row],[Put D1]]-Table1[[#This Row],[IV Calc P]]*SQRT(Table1[[#This Row],[T]])</f>
        <v>#DIV/0!</v>
      </c>
      <c r="AM34" t="e">
        <f ca="1">EXP(-0.5*Table1[[#This Row],[Call D1]]^2)/SQRT(2*PI())</f>
        <v>#DIV/0!</v>
      </c>
      <c r="AN34" t="e">
        <f ca="1">EXP(-0.5*Table1[[#This Row],[Put D1]]^2)/SQRT(2*PI())</f>
        <v>#DIV/0!</v>
      </c>
      <c r="AO34">
        <f ca="1">IFERROR((EXP(0*Table1[[#This Row],[T]])*Table1[[#This Row],[call N(d1)]]*(Table1[[#This Row],[call d2]]/Table1[[#This Row],[IV Calc C]]))*Table1[[#This Row],[Open.Int]]*Table1[[#This Row],[DeltaC]],0)</f>
        <v>0</v>
      </c>
      <c r="AP34">
        <f ca="1">IFERROR((EXP(0*Table1[[#This Row],[T]])*Table1[[#This Row],[put N(d1)]]*(Table1[[#This Row],[put d2]]/Table1[[#This Row],[IV Calc P]]))*Table1[[#This Row],[Open.Int8]]*Table1[[#This Row],[DeltaP]]*-1,0)</f>
        <v>0</v>
      </c>
      <c r="AQ34">
        <f ca="1">((Table1[[#This Row],[call vanna]]+Table1[[#This Row],[put vanna]])*$A$4)</f>
        <v>0</v>
      </c>
      <c r="AR3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4" s="9" t="str" cm="1">
        <f t="array" ref="AT34">_xlfn.IFS(     $M$1="SPX","SPXW",     $M$1="RUT","RUTW",  $M$1="NDX","NDXP",   TRUE,$M$1 )</f>
        <v>SPXW</v>
      </c>
      <c r="AU34" s="2">
        <f t="shared" si="7"/>
        <v>6915</v>
      </c>
      <c r="AV34" t="str">
        <f t="shared" si="8"/>
        <v>260123</v>
      </c>
      <c r="AW34" s="19">
        <f ca="1">IFERROR((EXP(0*Table1[[#This Row],[T]])*Table1[[#This Row],[put N(d1)]]*(Table1[[#This Row],[put d2]]/Table1[[#This Row],[IV Calc P]]))*Table1[[#This Row],[Open.Int8]]*Table1[[#This Row],[DeltaP]]*-1,0)</f>
        <v>0</v>
      </c>
      <c r="AX34">
        <f ca="1">IFERROR((EXP(0*Table1[[#This Row],[T]])*Table1[[#This Row],[call N(d1)]]*(Table1[[#This Row],[call d2]]/Table1[[#This Row],[IV Calc C]]))*Table1[[#This Row],[Open.Int]]*Table1[[#This Row],[DeltaC]],0)</f>
        <v>0</v>
      </c>
      <c r="AY3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4">
        <f>((Table1[[#This Row],[High C]]+Table1[[#This Row],[Low C]])/2)*Table1[[#This Row],[gammac]]*Table1[[#This Row],[Volume]]</f>
        <v>0</v>
      </c>
      <c r="BD34">
        <f>((Table1[[#This Row],[High P]]+Table1[[#This Row],[Low P]])/2)*Table1[[#This Row],[gammap]]*Table1[[#This Row],[Volume9]]*-1</f>
        <v>0</v>
      </c>
      <c r="BE34">
        <f>(Table1[[#This Row],[SgammaC]]+Table1[[#This Row],[SgammaP]])*$A$4*-100</f>
        <v>0</v>
      </c>
      <c r="BF34">
        <f>Table1[[#This Row],[DEXc]]+Table1[[#This Row],[DEXp]]</f>
        <v>0</v>
      </c>
      <c r="BG34">
        <f>IFERROR(Table1[[#This Row],[DeltaC]]*Table1[[#This Row],[Open.Int]]*$A$4,0)</f>
        <v>0</v>
      </c>
      <c r="BH34" s="80">
        <f>IFERROR(Table1[[#This Row],[DeltaP]]*Table1[[#This Row],[Open.Int8]]*$A$4,0)</f>
        <v>0</v>
      </c>
      <c r="BI34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4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4">
        <f ca="1">Table1[[#This Row],[Charmc]]+Table1[[#This Row],[Charmp]]</f>
        <v>0</v>
      </c>
      <c r="BL3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4" s="78">
        <f ca="1">Table1[[#This Row],[call helper]]+Table1[[#This Row],[put helper]]</f>
        <v>0</v>
      </c>
      <c r="BP34" t="str">
        <f>RTD("tos.rtd", , "STRIKE", "."&amp;Table1[[#This Row],[Ticker]]&amp;Table1[[#This Row],[Expiry]]&amp;""&amp;"C"&amp;Table1[[#This Row],[Spot]]+Table1[[#This Row],[step]])</f>
        <v>N/A</v>
      </c>
      <c r="BQ34">
        <v>6935</v>
      </c>
      <c r="BV34">
        <f ca="1"/>
        <v>6935</v>
      </c>
      <c r="BW34">
        <f ca="1"/>
        <v>79639.882025577492</v>
      </c>
      <c r="BX34">
        <f ca="1"/>
        <v>-63555.105226468433</v>
      </c>
      <c r="BY34" s="17">
        <f ca="1"/>
        <v>0.13008302336738117</v>
      </c>
      <c r="BZ34">
        <f ca="1"/>
        <v>20</v>
      </c>
      <c r="CA34">
        <f ca="1"/>
        <v>-4201379.3099637991</v>
      </c>
      <c r="CB34">
        <f ca="1"/>
        <v>-4773735.7378771435</v>
      </c>
    </row>
    <row r="35" spans="1:80" x14ac:dyDescent="0.25">
      <c r="A35">
        <f t="shared" ca="1" si="4"/>
        <v>2.5814307458086375E-3</v>
      </c>
      <c r="C35" s="17"/>
      <c r="D35">
        <f>IF(
    ISNUMBER(Table1[[#This Row],[Strike]]),RTD("tos.rtd", , "OPEN_INT", "."&amp;Table1[[#This Row],[Ticker]]&amp;Table1[[#This Row],[Expiry]]&amp;""&amp;"C"&amp;Table1[[#This Row],[Strike]]))</f>
        <v>369</v>
      </c>
      <c r="E3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146</v>
      </c>
      <c r="G35">
        <f>IF(
    ISNUMBER(Table1[[#This Row],[Strike]]),RTD("tos.rtd", , "DELTA", "."&amp;Table1[[#This Row],[Ticker]]&amp;Table1[[#This Row],[Expiry]]&amp;""&amp;"C"&amp;Table1[[#This Row],[Strike]]))</f>
        <v>1</v>
      </c>
      <c r="H35" s="17" cm="1">
        <f t="array" aca="1" ref="H35" ca="1">IF(
    ISNUMBER(Table1[[#This Row],[Strike]]),IndividualLegIVCore($A$4, Table1[[#This Row],[Strike]], 0.0411, Table1[[#This Row],[T]], ((Table1[[#This Row],[BIDC]]+Table1[[#This Row],[ASKC]])/2), TRUE))</f>
        <v>0.01</v>
      </c>
      <c r="I35">
        <f>IF(
    ISNUMBER(Table1[[#This Row],[Strike]]),RTD("tos.rtd", , "BID", "."&amp;Table1[[#This Row],[Ticker]]&amp;Table1[[#This Row],[Expiry]]&amp;""&amp;"C"&amp;Table1[[#This Row],[Strike]]))</f>
        <v>71.8</v>
      </c>
      <c r="J35">
        <f>IF(
    ISNUMBER(Table1[[#This Row],[Strike]]),RTD("tos.rtd", , "ASK", "."&amp;Table1[[#This Row],[Ticker]]&amp;Table1[[#This Row],[Expiry]]&amp;""&amp;"C"&amp;Table1[[#This Row],[Strike]]))</f>
        <v>72.900000000000006</v>
      </c>
      <c r="K3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0.17159877380001254</v>
      </c>
      <c r="L35" s="17" cm="1">
        <f t="array" aca="1" ref="L35" ca="1">CubicSplineIVSmile($A$4, Table1[[#This Row],[Strike]], 0.0411, Table1[[#This Row],[T]], (Table1[[#This Row],[BIDC]]+Table1[[#This Row],[ASKC]])/2, (Table1[[#This Row],[BIDP]]+Table1[[#This Row],[ASKP]])/2, Table1[Strike], Table1[IV Calc AVG])</f>
        <v>0.17159877380001254</v>
      </c>
      <c r="M35" s="1">
        <f t="shared" si="5"/>
        <v>46045</v>
      </c>
      <c r="N35">
        <f t="shared" si="6"/>
        <v>6840</v>
      </c>
      <c r="P35" s="17" cm="1">
        <f t="array" aca="1" ref="P35" ca="1">IF(
    ISNUMBER(Table1[[#This Row],[Strike]]),IndividualLegIVCore($A$4, Table1[[#This Row],[Strike]], 0.0411, Table1[[#This Row],[T]], ((Table1[[#This Row],[BIDP]]+Table1[[#This Row],[ASKP]])/2), FALSE))</f>
        <v>0.17159877380001254</v>
      </c>
      <c r="Q35">
        <f>IF(
    ISNUMBER(Table1[[#This Row],[Strike]]),RTD("tos.rtd", , "BID", "."&amp;Table1[[#This Row],[Ticker]]&amp;Table1[[#This Row],[Expiry]]&amp;""&amp;"P"&amp;Table1[[#This Row],[Strike]]))</f>
        <v>2.95</v>
      </c>
      <c r="R35">
        <f>IF(
    ISNUMBER(Table1[[#This Row],[Strike]]),RTD("tos.rtd", , "ASK", "."&amp;Table1[[#This Row],[Ticker]]&amp;Table1[[#This Row],[Expiry]]&amp;""&amp;"P"&amp;Table1[[#This Row],[Strike]]))</f>
        <v>3.3</v>
      </c>
      <c r="S35" s="17"/>
      <c r="T35">
        <f>IF(
    ISNUMBER(Table1[[#This Row],[Strike]]),RTD("tos.rtd", , "OPEN_INT", "."&amp;Table1[[#This Row],[Ticker]]&amp;Table1[[#This Row],[Expiry]]&amp;""&amp;"P"&amp;Table1[[#This Row],[Strike]]))</f>
        <v>1780</v>
      </c>
      <c r="U3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4191</v>
      </c>
      <c r="W35">
        <f>IF(
    ISNUMBER(Table1[[#This Row],[Strike]]),RTD("tos.rtd", , "DELTA", "."&amp;Table1[[#This Row],[Ticker]]&amp;Table1[[#This Row],[Expiry]]&amp;""&amp;"P"&amp;Table1[[#This Row],[Strike]]))</f>
        <v>-0.11</v>
      </c>
      <c r="Y35" s="19">
        <f>-37.5* IF($M$1="NDX", 10, IF(OR($M$1="SPX", $M$1="RUT"), 2, 1))</f>
        <v>-75</v>
      </c>
      <c r="Z35">
        <f ca="1">IFERROR(Table1[[#This Row],[call gamma]]*(Table1[[#This Row],[Open.Int]])*$A$4^2,0)</f>
        <v>8.3125670633582739E-112</v>
      </c>
      <c r="AA35">
        <f ca="1">IFERROR(((Table1[[#This Row],[Open.Int8]])*Table1[[#This Row],[Put gamma]])*-1*$A$4^2,0)</f>
        <v>-80132.09953304482</v>
      </c>
      <c r="AB35">
        <f ca="1">(Table1[[#This Row],[Call Gex]]+Table1[[#This Row],[Put Gex]])</f>
        <v>-80132.09953304482</v>
      </c>
      <c r="AC35">
        <f ca="1">Table1[[#This Row],[call delta adj]]+Table1[[#This Row],[put delta adj]]</f>
        <v>-8814.5309486349306</v>
      </c>
      <c r="AD35">
        <f ca="1">Table1[[#This Row],[Put Gex]]*Table1[[#This Row],[DeltaP]]*-1</f>
        <v>-8814.5309486349306</v>
      </c>
      <c r="AE35">
        <f ca="1">Table1[[#This Row],[Call Gex]]*Table1[[#This Row],[DeltaC]]</f>
        <v>8.3125670633582739E-112</v>
      </c>
      <c r="AF35">
        <f>IF(Table1[[#This Row],[DeltaC]]-ABS(Table1[[#This Row],[DeltaP]])="0","0.01",Table1[[#This Row],[DeltaC]]-ABS(Table1[[#This Row],[DeltaP]]))</f>
        <v>0.89</v>
      </c>
      <c r="AG35">
        <f ca="1">((LN($A$4/Table1[[#This Row],[Strike]]) + (0.411 + 0.5 * Table1[[#This Row],[IV Calc P]]^2) *Table1[[#This Row],[T]])) / (Table1[[#This Row],[IV Calc P]] * SQRT(Table1[[#This Row],[T]]))</f>
        <v>1.3494862871543389</v>
      </c>
      <c r="AH35">
        <f ca="1">(LN($A$4/Table1[[#This Row],[Strike]]) + (0.411-0 + 0.5 * Table1[[#This Row],[IV Calc C]]^2) *Table1[[#This Row],[T]]) / (Table1[[#This Row],[IV Calc C]] * SQRT(Table1[[#This Row],[T]]))</f>
        <v>23.082468600996247</v>
      </c>
      <c r="AI35">
        <f ca="1">(EXP(-(AG35^2)/2)/SQRT(2*PI())*EXP(0*SQRT(Table1[[#This Row],[T]]))/$A$4*18%*SQRT(SQRT(Table1[[#This Row],[T]])))</f>
        <v>9.4191005014552764E-7</v>
      </c>
      <c r="AJ35">
        <f ca="1">(EXP(-(AH35^2)/2)/SQRT(2*PI())*EXP(0*SQRT(Table1[[#This Row],[T]]))/$A$4*18%*SQRT(SQRT(Table1[[#This Row],[T]])))</f>
        <v>4.7133718885373661E-122</v>
      </c>
      <c r="AK35">
        <f ca="1">Table1[[#This Row],[Call D1]]-Table1[[#This Row],[IV Calc C]]*SQRT(Table1[[#This Row],[T]])</f>
        <v>23.081960523172896</v>
      </c>
      <c r="AL35">
        <f ca="1">Table1[[#This Row],[Put D1]]-Table1[[#This Row],[IV Calc P]]*SQRT(Table1[[#This Row],[T]])</f>
        <v>1.3407677340061417</v>
      </c>
      <c r="AM35">
        <f ca="1">EXP(-0.5*Table1[[#This Row],[Call D1]]^2)/SQRT(2*PI())</f>
        <v>8.0312404188398916E-117</v>
      </c>
      <c r="AN35">
        <f ca="1">EXP(-0.5*Table1[[#This Row],[Put D1]]^2)/SQRT(2*PI())</f>
        <v>0.16049457255934285</v>
      </c>
      <c r="AO35">
        <f ca="1">IFERROR((EXP(0*Table1[[#This Row],[T]])*Table1[[#This Row],[call N(d1)]]*(Table1[[#This Row],[call d2]]/Table1[[#This Row],[IV Calc C]]))*Table1[[#This Row],[Open.Int]]*Table1[[#This Row],[DeltaC]],0)</f>
        <v>6.8404029716616217E-111</v>
      </c>
      <c r="AP35">
        <f ca="1">IFERROR((EXP(0*Table1[[#This Row],[T]])*Table1[[#This Row],[put N(d1)]]*(Table1[[#This Row],[put d2]]/Table1[[#This Row],[IV Calc P]]))*Table1[[#This Row],[Open.Int8]]*Table1[[#This Row],[DeltaP]]*-1,0)</f>
        <v>245.53443462761487</v>
      </c>
      <c r="AQ35">
        <f ca="1">((Table1[[#This Row],[call vanna]]+Table1[[#This Row],[put vanna]])*$A$4)</f>
        <v>1697465.4836328214</v>
      </c>
      <c r="AR3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8.3125670633582739E-112</v>
      </c>
      <c r="AS3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-80132.09953304482</v>
      </c>
      <c r="AT35" s="9" t="str" cm="1">
        <f t="array" ref="AT35">_xlfn.IFS(     $M$1="SPX","SPXW",     $M$1="RUT","RUTW",  $M$1="NDX","NDXP",   TRUE,$M$1 )</f>
        <v>SPXW</v>
      </c>
      <c r="AU35" s="2">
        <f t="shared" si="7"/>
        <v>6915</v>
      </c>
      <c r="AV35" t="str">
        <f t="shared" si="8"/>
        <v>260123</v>
      </c>
      <c r="AW35" s="19">
        <f ca="1">IFERROR((EXP(0*Table1[[#This Row],[T]])*Table1[[#This Row],[put N(d1)]]*(Table1[[#This Row],[put d2]]/Table1[[#This Row],[IV Calc P]]))*Table1[[#This Row],[Open.Int8]]*Table1[[#This Row],[DeltaP]]*-1,0)</f>
        <v>245.53443462761487</v>
      </c>
      <c r="AX35">
        <f ca="1">IFERROR((EXP(0*Table1[[#This Row],[T]])*Table1[[#This Row],[call N(d1)]]*(Table1[[#This Row],[call d2]]/Table1[[#This Row],[IV Calc C]]))*Table1[[#This Row],[Open.Int]]*Table1[[#This Row],[DeltaC]],0)</f>
        <v>6.8404029716616217E-111</v>
      </c>
      <c r="AY35">
        <f>IF(
    ISNUMBER(Table1[[#This Row],[Strike]]),RTD("tos.rtd", , "high", "."&amp;Table1[[#This Row],[Ticker]]&amp;Table1[[#This Row],[Expiry]]&amp;""&amp;"C"&amp;Table1[[#This Row],[Spot]]+Table1[[#This Row],[step]]))</f>
        <v>95.8</v>
      </c>
      <c r="AZ35">
        <f>IF(
    ISNUMBER(Table1[[#This Row],[Strike]]),RTD("tos.rtd", , "low", "."&amp;Table1[[#This Row],[Ticker]]&amp;Table1[[#This Row],[Expiry]]&amp;""&amp;"C"&amp;Table1[[#This Row],[Spot]]+Table1[[#This Row],[step]]))</f>
        <v>66</v>
      </c>
      <c r="BA35">
        <f>IF(
    ISNUMBER(Table1[[#This Row],[Strike]]),RTD("tos.rtd", , "high", "."&amp;Table1[[#This Row],[Ticker]]&amp;Table1[[#This Row],[Expiry]]&amp;""&amp;"P"&amp;Table1[[#This Row],[Spot]]+Table1[[#This Row],[step]]))</f>
        <v>8.8000000000000007</v>
      </c>
      <c r="BB35">
        <f>IF(
    ISNUMBER(Table1[[#This Row],[Strike]]),RTD("tos.rtd", , "low", "."&amp;Table1[[#This Row],[Ticker]]&amp;Table1[[#This Row],[Expiry]]&amp;""&amp;"P"&amp;Table1[[#This Row],[Spot]]+Table1[[#This Row],[step]]))</f>
        <v>1.6</v>
      </c>
      <c r="BC35">
        <f>((Table1[[#This Row],[High C]]+Table1[[#This Row],[Low C]])/2)*Table1[[#This Row],[gammac]]*Table1[[#This Row],[Volume]]</f>
        <v>0</v>
      </c>
      <c r="BD35">
        <f>((Table1[[#This Row],[High P]]+Table1[[#This Row],[Low P]])/2)*Table1[[#This Row],[gammap]]*Table1[[#This Row],[Volume9]]*-1</f>
        <v>0</v>
      </c>
      <c r="BE35">
        <f>(Table1[[#This Row],[SgammaC]]+Table1[[#This Row],[SgammaP]])*$A$4*-100</f>
        <v>0</v>
      </c>
      <c r="BF35">
        <f>Table1[[#This Row],[DEXc]]+Table1[[#This Row],[DEXp]]</f>
        <v>1197392.2199999997</v>
      </c>
      <c r="BG35">
        <f>IFERROR(Table1[[#This Row],[DeltaC]]*Table1[[#This Row],[Open.Int]]*$A$4,0)</f>
        <v>2551026.15</v>
      </c>
      <c r="BH35" s="80">
        <f>IFERROR(Table1[[#This Row],[DeltaP]]*Table1[[#This Row],[Open.Int8]]*$A$4,0)</f>
        <v>-1353633.9300000002</v>
      </c>
      <c r="BI35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3.0969174816144723E-92</v>
      </c>
      <c r="BJ35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2390677.3661444033</v>
      </c>
      <c r="BK35">
        <f ca="1">Table1[[#This Row],[Charmc]]+Table1[[#This Row],[Charmp]]</f>
        <v>2390677.3661444033</v>
      </c>
      <c r="BL3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3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35" s="78">
        <f ca="1">Table1[[#This Row],[call helper]]+Table1[[#This Row],[put helper]]</f>
        <v>-80132.09953304482</v>
      </c>
      <c r="BP35">
        <f>RTD("tos.rtd", , "STRIKE", "."&amp;Table1[[#This Row],[Ticker]]&amp;Table1[[#This Row],[Expiry]]&amp;""&amp;"C"&amp;Table1[[#This Row],[Spot]]+Table1[[#This Row],[step]])</f>
        <v>6840</v>
      </c>
      <c r="BQ35">
        <v>6940</v>
      </c>
      <c r="BV35">
        <f ca="1"/>
        <v>6940</v>
      </c>
      <c r="BW35">
        <f ca="1"/>
        <v>198265.7314651667</v>
      </c>
      <c r="BX35">
        <f ca="1"/>
        <v>-66172.448126559408</v>
      </c>
      <c r="BY35" s="17">
        <f ca="1"/>
        <v>0.13238121204618628</v>
      </c>
      <c r="BZ35">
        <f ca="1"/>
        <v>25</v>
      </c>
      <c r="CA35">
        <f ca="1"/>
        <v>-9253819.4190202784</v>
      </c>
      <c r="CB35">
        <f ca="1"/>
        <v>-9238653.3089270014</v>
      </c>
    </row>
    <row r="36" spans="1:80" x14ac:dyDescent="0.25">
      <c r="A36">
        <f t="shared" ca="1" si="4"/>
        <v>2.5814307458086375E-3</v>
      </c>
      <c r="C36" s="17"/>
      <c r="D36" t="b">
        <f>IF(
    ISNUMBER(Table1[[#This Row],[Strike]]),RTD("tos.rtd", , "OPEN_INT", "."&amp;Table1[[#This Row],[Ticker]]&amp;Table1[[#This Row],[Expiry]]&amp;""&amp;"C"&amp;Table1[[#This Row],[Strike]]))</f>
        <v>0</v>
      </c>
      <c r="E3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6" t="b">
        <f>IF(
    ISNUMBER(Table1[[#This Row],[Strike]]),RTD("tos.rtd", , "DELTA", "."&amp;Table1[[#This Row],[Ticker]]&amp;Table1[[#This Row],[Expiry]]&amp;""&amp;"C"&amp;Table1[[#This Row],[Strike]]))</f>
        <v>0</v>
      </c>
      <c r="H36" s="17" t="b" cm="1">
        <f t="array" ref="H36">IF(
    ISNUMBER(Table1[[#This Row],[Strike]]),IndividualLegIVCore($A$4, Table1[[#This Row],[Strike]], 0.0411, Table1[[#This Row],[T]], ((Table1[[#This Row],[BIDC]]+Table1[[#This Row],[ASKC]])/2), TRUE))</f>
        <v>0</v>
      </c>
      <c r="I36" t="b">
        <f>IF(
    ISNUMBER(Table1[[#This Row],[Strike]]),RTD("tos.rtd", , "BID", "."&amp;Table1[[#This Row],[Ticker]]&amp;Table1[[#This Row],[Expiry]]&amp;""&amp;"C"&amp;Table1[[#This Row],[Strike]]))</f>
        <v>0</v>
      </c>
      <c r="J36" t="b">
        <f>IF(
    ISNUMBER(Table1[[#This Row],[Strike]]),RTD("tos.rtd", , "ASK", "."&amp;Table1[[#This Row],[Ticker]]&amp;Table1[[#This Row],[Expiry]]&amp;""&amp;"C"&amp;Table1[[#This Row],[Strike]]))</f>
        <v>0</v>
      </c>
      <c r="K3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6" s="17" cm="1">
        <f t="array" aca="1" ref="L3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6" s="1">
        <f t="shared" si="5"/>
        <v>46045</v>
      </c>
      <c r="N36" t="b">
        <f t="shared" si="6"/>
        <v>0</v>
      </c>
      <c r="P36" s="17" t="b" cm="1">
        <f t="array" ref="P36">IF(
    ISNUMBER(Table1[[#This Row],[Strike]]),IndividualLegIVCore($A$4, Table1[[#This Row],[Strike]], 0.0411, Table1[[#This Row],[T]], ((Table1[[#This Row],[BIDP]]+Table1[[#This Row],[ASKP]])/2), FALSE))</f>
        <v>0</v>
      </c>
      <c r="Q36" t="b">
        <f>IF(
    ISNUMBER(Table1[[#This Row],[Strike]]),RTD("tos.rtd", , "BID", "."&amp;Table1[[#This Row],[Ticker]]&amp;Table1[[#This Row],[Expiry]]&amp;""&amp;"P"&amp;Table1[[#This Row],[Strike]]))</f>
        <v>0</v>
      </c>
      <c r="R36" t="b">
        <f>IF(
    ISNUMBER(Table1[[#This Row],[Strike]]),RTD("tos.rtd", , "ASK", "."&amp;Table1[[#This Row],[Ticker]]&amp;Table1[[#This Row],[Expiry]]&amp;""&amp;"P"&amp;Table1[[#This Row],[Strike]]))</f>
        <v>0</v>
      </c>
      <c r="S36" s="17"/>
      <c r="T36" t="b">
        <f>IF(
    ISNUMBER(Table1[[#This Row],[Strike]]),RTD("tos.rtd", , "OPEN_INT", "."&amp;Table1[[#This Row],[Ticker]]&amp;Table1[[#This Row],[Expiry]]&amp;""&amp;"P"&amp;Table1[[#This Row],[Strike]]))</f>
        <v>0</v>
      </c>
      <c r="U3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6" t="b">
        <f>IF(
    ISNUMBER(Table1[[#This Row],[Strike]]),RTD("tos.rtd", , "DELTA", "."&amp;Table1[[#This Row],[Ticker]]&amp;Table1[[#This Row],[Expiry]]&amp;""&amp;"P"&amp;Table1[[#This Row],[Strike]]))</f>
        <v>0</v>
      </c>
      <c r="Y36" s="19">
        <f xml:space="preserve"> -37 * IF($M$1="NDX", 10, IF(OR($M$1="SPX", $M$1="RUT"), 2, 1))</f>
        <v>-74</v>
      </c>
      <c r="Z36">
        <f ca="1">IFERROR(Table1[[#This Row],[call gamma]]*(Table1[[#This Row],[Open.Int]])*$A$4^2,0)</f>
        <v>0</v>
      </c>
      <c r="AA36">
        <f ca="1">IFERROR(((Table1[[#This Row],[Open.Int8]])*Table1[[#This Row],[Put gamma]])*-1*$A$4^2,0)</f>
        <v>0</v>
      </c>
      <c r="AB36">
        <f ca="1">(Table1[[#This Row],[Call Gex]]+Table1[[#This Row],[Put Gex]])</f>
        <v>0</v>
      </c>
      <c r="AC36">
        <f ca="1">Table1[[#This Row],[call delta adj]]+Table1[[#This Row],[put delta adj]]</f>
        <v>0</v>
      </c>
      <c r="AD36">
        <f ca="1">Table1[[#This Row],[Put Gex]]*Table1[[#This Row],[DeltaP]]*-1</f>
        <v>0</v>
      </c>
      <c r="AE36">
        <f ca="1">Table1[[#This Row],[Call Gex]]*Table1[[#This Row],[DeltaC]]</f>
        <v>0</v>
      </c>
      <c r="AF36">
        <f>IF(Table1[[#This Row],[DeltaC]]-ABS(Table1[[#This Row],[DeltaP]])="0","0.01",Table1[[#This Row],[DeltaC]]-ABS(Table1[[#This Row],[DeltaP]]))</f>
        <v>0</v>
      </c>
      <c r="AG36" t="e">
        <f ca="1">((LN($A$4/Table1[[#This Row],[Strike]]) + (0.411 + 0.5 * Table1[[#This Row],[IV Calc P]]^2) *Table1[[#This Row],[T]])) / (Table1[[#This Row],[IV Calc P]] * SQRT(Table1[[#This Row],[T]]))</f>
        <v>#DIV/0!</v>
      </c>
      <c r="AH36" t="e">
        <f ca="1">(LN($A$4/Table1[[#This Row],[Strike]]) + (0.411-0 + 0.5 * Table1[[#This Row],[IV Calc C]]^2) *Table1[[#This Row],[T]]) / (Table1[[#This Row],[IV Calc C]] * SQRT(Table1[[#This Row],[T]]))</f>
        <v>#DIV/0!</v>
      </c>
      <c r="AI36" t="e">
        <f ca="1">(EXP(-(AG36^2)/2)/SQRT(2*PI())*EXP(0*SQRT(Table1[[#This Row],[T]]))/$A$4*18%*SQRT(SQRT(Table1[[#This Row],[T]])))</f>
        <v>#DIV/0!</v>
      </c>
      <c r="AJ36" t="e">
        <f ca="1">(EXP(-(AH36^2)/2)/SQRT(2*PI())*EXP(0*SQRT(Table1[[#This Row],[T]]))/$A$4*18%*SQRT(SQRT(Table1[[#This Row],[T]])))</f>
        <v>#DIV/0!</v>
      </c>
      <c r="AK36" t="e">
        <f ca="1">Table1[[#This Row],[Call D1]]-Table1[[#This Row],[IV Calc C]]*SQRT(Table1[[#This Row],[T]])</f>
        <v>#DIV/0!</v>
      </c>
      <c r="AL36" t="e">
        <f ca="1">Table1[[#This Row],[Put D1]]-Table1[[#This Row],[IV Calc P]]*SQRT(Table1[[#This Row],[T]])</f>
        <v>#DIV/0!</v>
      </c>
      <c r="AM36" t="e">
        <f ca="1">EXP(-0.5*Table1[[#This Row],[Call D1]]^2)/SQRT(2*PI())</f>
        <v>#DIV/0!</v>
      </c>
      <c r="AN36" t="e">
        <f ca="1">EXP(-0.5*Table1[[#This Row],[Put D1]]^2)/SQRT(2*PI())</f>
        <v>#DIV/0!</v>
      </c>
      <c r="AO36">
        <f ca="1">IFERROR((EXP(0*Table1[[#This Row],[T]])*Table1[[#This Row],[call N(d1)]]*(Table1[[#This Row],[call d2]]/Table1[[#This Row],[IV Calc C]]))*Table1[[#This Row],[Open.Int]]*Table1[[#This Row],[DeltaC]],0)</f>
        <v>0</v>
      </c>
      <c r="AP36">
        <f ca="1">IFERROR((EXP(0*Table1[[#This Row],[T]])*Table1[[#This Row],[put N(d1)]]*(Table1[[#This Row],[put d2]]/Table1[[#This Row],[IV Calc P]]))*Table1[[#This Row],[Open.Int8]]*Table1[[#This Row],[DeltaP]]*-1,0)</f>
        <v>0</v>
      </c>
      <c r="AQ36">
        <f ca="1">((Table1[[#This Row],[call vanna]]+Table1[[#This Row],[put vanna]])*$A$4)</f>
        <v>0</v>
      </c>
      <c r="AR3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6" s="9" t="str" cm="1">
        <f t="array" ref="AT36">_xlfn.IFS(     $M$1="SPX","SPXW",     $M$1="RUT","RUTW",  $M$1="NDX","NDXP",   TRUE,$M$1 )</f>
        <v>SPXW</v>
      </c>
      <c r="AU36" s="2">
        <f t="shared" si="7"/>
        <v>6915</v>
      </c>
      <c r="AV36" t="str">
        <f t="shared" si="8"/>
        <v>260123</v>
      </c>
      <c r="AW36" s="19">
        <f ca="1">IFERROR((EXP(0*Table1[[#This Row],[T]])*Table1[[#This Row],[put N(d1)]]*(Table1[[#This Row],[put d2]]/Table1[[#This Row],[IV Calc P]]))*Table1[[#This Row],[Open.Int8]]*Table1[[#This Row],[DeltaP]]*-1,0)</f>
        <v>0</v>
      </c>
      <c r="AX36">
        <f ca="1">IFERROR((EXP(0*Table1[[#This Row],[T]])*Table1[[#This Row],[call N(d1)]]*(Table1[[#This Row],[call d2]]/Table1[[#This Row],[IV Calc C]]))*Table1[[#This Row],[Open.Int]]*Table1[[#This Row],[DeltaC]],0)</f>
        <v>0</v>
      </c>
      <c r="AY3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6">
        <f>((Table1[[#This Row],[High C]]+Table1[[#This Row],[Low C]])/2)*Table1[[#This Row],[gammac]]*Table1[[#This Row],[Volume]]</f>
        <v>0</v>
      </c>
      <c r="BD36">
        <f>((Table1[[#This Row],[High P]]+Table1[[#This Row],[Low P]])/2)*Table1[[#This Row],[gammap]]*Table1[[#This Row],[Volume9]]*-1</f>
        <v>0</v>
      </c>
      <c r="BE36">
        <f>(Table1[[#This Row],[SgammaC]]+Table1[[#This Row],[SgammaP]])*$A$4*-100</f>
        <v>0</v>
      </c>
      <c r="BF36">
        <f>Table1[[#This Row],[DEXc]]+Table1[[#This Row],[DEXp]]</f>
        <v>0</v>
      </c>
      <c r="BG36">
        <f>IFERROR(Table1[[#This Row],[DeltaC]]*Table1[[#This Row],[Open.Int]]*$A$4,0)</f>
        <v>0</v>
      </c>
      <c r="BH36" s="80">
        <f>IFERROR(Table1[[#This Row],[DeltaP]]*Table1[[#This Row],[Open.Int8]]*$A$4,0)</f>
        <v>0</v>
      </c>
      <c r="BI36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6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6">
        <f ca="1">Table1[[#This Row],[Charmc]]+Table1[[#This Row],[Charmp]]</f>
        <v>0</v>
      </c>
      <c r="BL3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6" s="78">
        <f ca="1">Table1[[#This Row],[call helper]]+Table1[[#This Row],[put helper]]</f>
        <v>0</v>
      </c>
      <c r="BP36" t="str">
        <f>RTD("tos.rtd", , "STRIKE", "."&amp;Table1[[#This Row],[Ticker]]&amp;Table1[[#This Row],[Expiry]]&amp;""&amp;"C"&amp;Table1[[#This Row],[Spot]]+Table1[[#This Row],[step]])</f>
        <v>N/A</v>
      </c>
      <c r="BQ36">
        <v>6945</v>
      </c>
      <c r="BV36">
        <f ca="1"/>
        <v>6945</v>
      </c>
      <c r="BW36">
        <f ca="1"/>
        <v>193906.86276422543</v>
      </c>
      <c r="BX36">
        <f ca="1"/>
        <v>-60438.981364232888</v>
      </c>
      <c r="BY36" s="17">
        <f ca="1"/>
        <v>0.13540670995667589</v>
      </c>
      <c r="BZ36">
        <f ca="1"/>
        <v>30</v>
      </c>
      <c r="CA36">
        <f ca="1"/>
        <v>-9883016.6573950574</v>
      </c>
      <c r="CB36">
        <f ca="1"/>
        <v>-9465896.4896639995</v>
      </c>
    </row>
    <row r="37" spans="1:80" x14ac:dyDescent="0.25">
      <c r="A37">
        <f t="shared" ca="1" si="4"/>
        <v>2.5814307458086375E-3</v>
      </c>
      <c r="C37" s="17"/>
      <c r="D37" t="b">
        <f>IF(
    ISNUMBER(Table1[[#This Row],[Strike]]),RTD("tos.rtd", , "OPEN_INT", "."&amp;Table1[[#This Row],[Ticker]]&amp;Table1[[#This Row],[Expiry]]&amp;""&amp;"C"&amp;Table1[[#This Row],[Strike]]))</f>
        <v>0</v>
      </c>
      <c r="E3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7" t="b">
        <f>IF(
    ISNUMBER(Table1[[#This Row],[Strike]]),RTD("tos.rtd", , "DELTA", "."&amp;Table1[[#This Row],[Ticker]]&amp;Table1[[#This Row],[Expiry]]&amp;""&amp;"C"&amp;Table1[[#This Row],[Strike]]))</f>
        <v>0</v>
      </c>
      <c r="H37" s="17" t="b" cm="1">
        <f t="array" ref="H37">IF(
    ISNUMBER(Table1[[#This Row],[Strike]]),IndividualLegIVCore($A$4, Table1[[#This Row],[Strike]], 0.0411, Table1[[#This Row],[T]], ((Table1[[#This Row],[BIDC]]+Table1[[#This Row],[ASKC]])/2), TRUE))</f>
        <v>0</v>
      </c>
      <c r="I37" t="b">
        <f>IF(
    ISNUMBER(Table1[[#This Row],[Strike]]),RTD("tos.rtd", , "BID", "."&amp;Table1[[#This Row],[Ticker]]&amp;Table1[[#This Row],[Expiry]]&amp;""&amp;"C"&amp;Table1[[#This Row],[Strike]]))</f>
        <v>0</v>
      </c>
      <c r="J37" t="b">
        <f>IF(
    ISNUMBER(Table1[[#This Row],[Strike]]),RTD("tos.rtd", , "ASK", "."&amp;Table1[[#This Row],[Ticker]]&amp;Table1[[#This Row],[Expiry]]&amp;""&amp;"C"&amp;Table1[[#This Row],[Strike]]))</f>
        <v>0</v>
      </c>
      <c r="K3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7" s="17" cm="1">
        <f t="array" aca="1" ref="L3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7" s="1">
        <f t="shared" si="5"/>
        <v>46045</v>
      </c>
      <c r="N37" t="b">
        <f t="shared" si="6"/>
        <v>0</v>
      </c>
      <c r="P37" s="17" t="b" cm="1">
        <f t="array" ref="P37">IF(
    ISNUMBER(Table1[[#This Row],[Strike]]),IndividualLegIVCore($A$4, Table1[[#This Row],[Strike]], 0.0411, Table1[[#This Row],[T]], ((Table1[[#This Row],[BIDP]]+Table1[[#This Row],[ASKP]])/2), FALSE))</f>
        <v>0</v>
      </c>
      <c r="Q37" t="b">
        <f>IF(
    ISNUMBER(Table1[[#This Row],[Strike]]),RTD("tos.rtd", , "BID", "."&amp;Table1[[#This Row],[Ticker]]&amp;Table1[[#This Row],[Expiry]]&amp;""&amp;"P"&amp;Table1[[#This Row],[Strike]]))</f>
        <v>0</v>
      </c>
      <c r="R37" t="b">
        <f>IF(
    ISNUMBER(Table1[[#This Row],[Strike]]),RTD("tos.rtd", , "ASK", "."&amp;Table1[[#This Row],[Ticker]]&amp;Table1[[#This Row],[Expiry]]&amp;""&amp;"P"&amp;Table1[[#This Row],[Strike]]))</f>
        <v>0</v>
      </c>
      <c r="S37" s="17"/>
      <c r="T37" t="b">
        <f>IF(
    ISNUMBER(Table1[[#This Row],[Strike]]),RTD("tos.rtd", , "OPEN_INT", "."&amp;Table1[[#This Row],[Ticker]]&amp;Table1[[#This Row],[Expiry]]&amp;""&amp;"P"&amp;Table1[[#This Row],[Strike]]))</f>
        <v>0</v>
      </c>
      <c r="U3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7" t="b">
        <f>IF(
    ISNUMBER(Table1[[#This Row],[Strike]]),RTD("tos.rtd", , "DELTA", "."&amp;Table1[[#This Row],[Ticker]]&amp;Table1[[#This Row],[Expiry]]&amp;""&amp;"P"&amp;Table1[[#This Row],[Strike]]))</f>
        <v>0</v>
      </c>
      <c r="Y37" s="19">
        <f>-36.5 * IF($M$1="NDX", 10, IF(OR($M$1="SPX", $M$1="RUT"), 2, 1))</f>
        <v>-73</v>
      </c>
      <c r="Z37">
        <f ca="1">IFERROR(Table1[[#This Row],[call gamma]]*(Table1[[#This Row],[Open.Int]])*$A$4^2,0)</f>
        <v>0</v>
      </c>
      <c r="AA37">
        <f ca="1">IFERROR(((Table1[[#This Row],[Open.Int8]])*Table1[[#This Row],[Put gamma]])*-1*$A$4^2,0)</f>
        <v>0</v>
      </c>
      <c r="AB37">
        <f ca="1">(Table1[[#This Row],[Call Gex]]+Table1[[#This Row],[Put Gex]])</f>
        <v>0</v>
      </c>
      <c r="AC37">
        <f ca="1">Table1[[#This Row],[call delta adj]]+Table1[[#This Row],[put delta adj]]</f>
        <v>0</v>
      </c>
      <c r="AD37">
        <f ca="1">Table1[[#This Row],[Put Gex]]*Table1[[#This Row],[DeltaP]]*-1</f>
        <v>0</v>
      </c>
      <c r="AE37">
        <f ca="1">Table1[[#This Row],[Call Gex]]*Table1[[#This Row],[DeltaC]]</f>
        <v>0</v>
      </c>
      <c r="AF37">
        <f>IF(Table1[[#This Row],[DeltaC]]-ABS(Table1[[#This Row],[DeltaP]])="0","0.01",Table1[[#This Row],[DeltaC]]-ABS(Table1[[#This Row],[DeltaP]]))</f>
        <v>0</v>
      </c>
      <c r="AG37" t="e">
        <f ca="1">((LN($A$4/Table1[[#This Row],[Strike]]) + (0.411 + 0.5 * Table1[[#This Row],[IV Calc P]]^2) *Table1[[#This Row],[T]])) / (Table1[[#This Row],[IV Calc P]] * SQRT(Table1[[#This Row],[T]]))</f>
        <v>#DIV/0!</v>
      </c>
      <c r="AH37" t="e">
        <f ca="1">(LN($A$4/Table1[[#This Row],[Strike]]) + (0.411-0 + 0.5 * Table1[[#This Row],[IV Calc C]]^2) *Table1[[#This Row],[T]]) / (Table1[[#This Row],[IV Calc C]] * SQRT(Table1[[#This Row],[T]]))</f>
        <v>#DIV/0!</v>
      </c>
      <c r="AI37" t="e">
        <f ca="1">(EXP(-(AG37^2)/2)/SQRT(2*PI())*EXP(0*SQRT(Table1[[#This Row],[T]]))/$A$4*18%*SQRT(SQRT(Table1[[#This Row],[T]])))</f>
        <v>#DIV/0!</v>
      </c>
      <c r="AJ37" t="e">
        <f ca="1">(EXP(-(AH37^2)/2)/SQRT(2*PI())*EXP(0*SQRT(Table1[[#This Row],[T]]))/$A$4*18%*SQRT(SQRT(Table1[[#This Row],[T]])))</f>
        <v>#DIV/0!</v>
      </c>
      <c r="AK37" t="e">
        <f ca="1">Table1[[#This Row],[Call D1]]-Table1[[#This Row],[IV Calc C]]*SQRT(Table1[[#This Row],[T]])</f>
        <v>#DIV/0!</v>
      </c>
      <c r="AL37" t="e">
        <f ca="1">Table1[[#This Row],[Put D1]]-Table1[[#This Row],[IV Calc P]]*SQRT(Table1[[#This Row],[T]])</f>
        <v>#DIV/0!</v>
      </c>
      <c r="AM37" t="e">
        <f ca="1">EXP(-0.5*Table1[[#This Row],[Call D1]]^2)/SQRT(2*PI())</f>
        <v>#DIV/0!</v>
      </c>
      <c r="AN37" t="e">
        <f ca="1">EXP(-0.5*Table1[[#This Row],[Put D1]]^2)/SQRT(2*PI())</f>
        <v>#DIV/0!</v>
      </c>
      <c r="AO37">
        <f ca="1">IFERROR((EXP(0*Table1[[#This Row],[T]])*Table1[[#This Row],[call N(d1)]]*(Table1[[#This Row],[call d2]]/Table1[[#This Row],[IV Calc C]]))*Table1[[#This Row],[Open.Int]]*Table1[[#This Row],[DeltaC]],0)</f>
        <v>0</v>
      </c>
      <c r="AP37">
        <f ca="1">IFERROR((EXP(0*Table1[[#This Row],[T]])*Table1[[#This Row],[put N(d1)]]*(Table1[[#This Row],[put d2]]/Table1[[#This Row],[IV Calc P]]))*Table1[[#This Row],[Open.Int8]]*Table1[[#This Row],[DeltaP]]*-1,0)</f>
        <v>0</v>
      </c>
      <c r="AQ37">
        <f ca="1">((Table1[[#This Row],[call vanna]]+Table1[[#This Row],[put vanna]])*$A$4)</f>
        <v>0</v>
      </c>
      <c r="AR3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7" s="9" t="str" cm="1">
        <f t="array" ref="AT37">_xlfn.IFS(     $M$1="SPX","SPXW",     $M$1="RUT","RUTW",  $M$1="NDX","NDXP",   TRUE,$M$1 )</f>
        <v>SPXW</v>
      </c>
      <c r="AU37" s="2">
        <f t="shared" si="7"/>
        <v>6915</v>
      </c>
      <c r="AV37" t="str">
        <f t="shared" si="8"/>
        <v>260123</v>
      </c>
      <c r="AW37" s="19">
        <f ca="1">IFERROR((EXP(0*Table1[[#This Row],[T]])*Table1[[#This Row],[put N(d1)]]*(Table1[[#This Row],[put d2]]/Table1[[#This Row],[IV Calc P]]))*Table1[[#This Row],[Open.Int8]]*Table1[[#This Row],[DeltaP]]*-1,0)</f>
        <v>0</v>
      </c>
      <c r="AX37">
        <f ca="1">IFERROR((EXP(0*Table1[[#This Row],[T]])*Table1[[#This Row],[call N(d1)]]*(Table1[[#This Row],[call d2]]/Table1[[#This Row],[IV Calc C]]))*Table1[[#This Row],[Open.Int]]*Table1[[#This Row],[DeltaC]],0)</f>
        <v>0</v>
      </c>
      <c r="AY3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7">
        <f>((Table1[[#This Row],[High C]]+Table1[[#This Row],[Low C]])/2)*Table1[[#This Row],[gammac]]*Table1[[#This Row],[Volume]]</f>
        <v>0</v>
      </c>
      <c r="BD37">
        <f>((Table1[[#This Row],[High P]]+Table1[[#This Row],[Low P]])/2)*Table1[[#This Row],[gammap]]*Table1[[#This Row],[Volume9]]*-1</f>
        <v>0</v>
      </c>
      <c r="BE37">
        <f>(Table1[[#This Row],[SgammaC]]+Table1[[#This Row],[SgammaP]])*$A$4*-100</f>
        <v>0</v>
      </c>
      <c r="BF37">
        <f>Table1[[#This Row],[DEXc]]+Table1[[#This Row],[DEXp]]</f>
        <v>0</v>
      </c>
      <c r="BG37">
        <f>IFERROR(Table1[[#This Row],[DeltaC]]*Table1[[#This Row],[Open.Int]]*$A$4,0)</f>
        <v>0</v>
      </c>
      <c r="BH37" s="80">
        <f>IFERROR(Table1[[#This Row],[DeltaP]]*Table1[[#This Row],[Open.Int8]]*$A$4,0)</f>
        <v>0</v>
      </c>
      <c r="BI37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7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7">
        <f ca="1">Table1[[#This Row],[Charmc]]+Table1[[#This Row],[Charmp]]</f>
        <v>0</v>
      </c>
      <c r="BL3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7" s="78">
        <f ca="1">Table1[[#This Row],[call helper]]+Table1[[#This Row],[put helper]]</f>
        <v>0</v>
      </c>
      <c r="BP37" t="str">
        <f>RTD("tos.rtd", , "STRIKE", "."&amp;Table1[[#This Row],[Ticker]]&amp;Table1[[#This Row],[Expiry]]&amp;""&amp;"C"&amp;Table1[[#This Row],[Spot]]+Table1[[#This Row],[step]])</f>
        <v>N/A</v>
      </c>
      <c r="BQ37">
        <v>6950</v>
      </c>
      <c r="BV37">
        <f ca="1"/>
        <v>6950</v>
      </c>
      <c r="BW37">
        <f ca="1"/>
        <v>608971.34790735343</v>
      </c>
      <c r="BX37">
        <f ca="1"/>
        <v>-435103.93900151388</v>
      </c>
      <c r="BY37" s="17">
        <f ca="1"/>
        <v>0.13940323446839686</v>
      </c>
      <c r="BZ37">
        <f ca="1"/>
        <v>35</v>
      </c>
      <c r="CA37">
        <f ca="1"/>
        <v>-49540158.424377404</v>
      </c>
      <c r="CB37">
        <f ca="1"/>
        <v>-42378436.271217369</v>
      </c>
    </row>
    <row r="38" spans="1:80" x14ac:dyDescent="0.25">
      <c r="A38">
        <f t="shared" ca="1" si="4"/>
        <v>2.5814307458086375E-3</v>
      </c>
      <c r="C38" s="17"/>
      <c r="D38" t="b">
        <f>IF(
    ISNUMBER(Table1[[#This Row],[Strike]]),RTD("tos.rtd", , "OPEN_INT", "."&amp;Table1[[#This Row],[Ticker]]&amp;Table1[[#This Row],[Expiry]]&amp;""&amp;"C"&amp;Table1[[#This Row],[Strike]]))</f>
        <v>0</v>
      </c>
      <c r="E3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8" t="b">
        <f>IF(
    ISNUMBER(Table1[[#This Row],[Strike]]),RTD("tos.rtd", , "DELTA", "."&amp;Table1[[#This Row],[Ticker]]&amp;Table1[[#This Row],[Expiry]]&amp;""&amp;"C"&amp;Table1[[#This Row],[Strike]]))</f>
        <v>0</v>
      </c>
      <c r="H38" s="17" t="b" cm="1">
        <f t="array" ref="H38">IF(
    ISNUMBER(Table1[[#This Row],[Strike]]),IndividualLegIVCore($A$4, Table1[[#This Row],[Strike]], 0.0411, Table1[[#This Row],[T]], ((Table1[[#This Row],[BIDC]]+Table1[[#This Row],[ASKC]])/2), TRUE))</f>
        <v>0</v>
      </c>
      <c r="I38" t="b">
        <f>IF(
    ISNUMBER(Table1[[#This Row],[Strike]]),RTD("tos.rtd", , "BID", "."&amp;Table1[[#This Row],[Ticker]]&amp;Table1[[#This Row],[Expiry]]&amp;""&amp;"C"&amp;Table1[[#This Row],[Strike]]))</f>
        <v>0</v>
      </c>
      <c r="J38" t="b">
        <f>IF(
    ISNUMBER(Table1[[#This Row],[Strike]]),RTD("tos.rtd", , "ASK", "."&amp;Table1[[#This Row],[Ticker]]&amp;Table1[[#This Row],[Expiry]]&amp;""&amp;"C"&amp;Table1[[#This Row],[Strike]]))</f>
        <v>0</v>
      </c>
      <c r="K3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8" s="17" cm="1">
        <f t="array" aca="1" ref="L3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8" s="1">
        <f t="shared" si="5"/>
        <v>46045</v>
      </c>
      <c r="N38" t="b">
        <f t="shared" si="6"/>
        <v>0</v>
      </c>
      <c r="P38" s="17" t="b" cm="1">
        <f t="array" ref="P38">IF(
    ISNUMBER(Table1[[#This Row],[Strike]]),IndividualLegIVCore($A$4, Table1[[#This Row],[Strike]], 0.0411, Table1[[#This Row],[T]], ((Table1[[#This Row],[BIDP]]+Table1[[#This Row],[ASKP]])/2), FALSE))</f>
        <v>0</v>
      </c>
      <c r="Q38" t="b">
        <f>IF(
    ISNUMBER(Table1[[#This Row],[Strike]]),RTD("tos.rtd", , "BID", "."&amp;Table1[[#This Row],[Ticker]]&amp;Table1[[#This Row],[Expiry]]&amp;""&amp;"P"&amp;Table1[[#This Row],[Strike]]))</f>
        <v>0</v>
      </c>
      <c r="R38" t="b">
        <f>IF(
    ISNUMBER(Table1[[#This Row],[Strike]]),RTD("tos.rtd", , "ASK", "."&amp;Table1[[#This Row],[Ticker]]&amp;Table1[[#This Row],[Expiry]]&amp;""&amp;"P"&amp;Table1[[#This Row],[Strike]]))</f>
        <v>0</v>
      </c>
      <c r="S38" s="17"/>
      <c r="T38" t="b">
        <f>IF(
    ISNUMBER(Table1[[#This Row],[Strike]]),RTD("tos.rtd", , "OPEN_INT", "."&amp;Table1[[#This Row],[Ticker]]&amp;Table1[[#This Row],[Expiry]]&amp;""&amp;"P"&amp;Table1[[#This Row],[Strike]]))</f>
        <v>0</v>
      </c>
      <c r="U3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8" t="b">
        <f>IF(
    ISNUMBER(Table1[[#This Row],[Strike]]),RTD("tos.rtd", , "DELTA", "."&amp;Table1[[#This Row],[Ticker]]&amp;Table1[[#This Row],[Expiry]]&amp;""&amp;"P"&amp;Table1[[#This Row],[Strike]]))</f>
        <v>0</v>
      </c>
      <c r="Y38" s="19">
        <f>-36 * IF($M$1="NDX", 10, IF(OR($M$1="SPX", $M$1="RUT"), 2, 1))</f>
        <v>-72</v>
      </c>
      <c r="Z38">
        <f ca="1">IFERROR(Table1[[#This Row],[call gamma]]*(Table1[[#This Row],[Open.Int]])*$A$4^2,0)</f>
        <v>0</v>
      </c>
      <c r="AA38">
        <f ca="1">IFERROR(((Table1[[#This Row],[Open.Int8]])*Table1[[#This Row],[Put gamma]])*-1*$A$4^2,0)</f>
        <v>0</v>
      </c>
      <c r="AB38">
        <f ca="1">(Table1[[#This Row],[Call Gex]]+Table1[[#This Row],[Put Gex]])</f>
        <v>0</v>
      </c>
      <c r="AC38">
        <f ca="1">Table1[[#This Row],[call delta adj]]+Table1[[#This Row],[put delta adj]]</f>
        <v>0</v>
      </c>
      <c r="AD38">
        <f ca="1">Table1[[#This Row],[Put Gex]]*Table1[[#This Row],[DeltaP]]*-1</f>
        <v>0</v>
      </c>
      <c r="AE38">
        <f ca="1">Table1[[#This Row],[Call Gex]]*Table1[[#This Row],[DeltaC]]</f>
        <v>0</v>
      </c>
      <c r="AF38">
        <f>IF(Table1[[#This Row],[DeltaC]]-ABS(Table1[[#This Row],[DeltaP]])="0","0.01",Table1[[#This Row],[DeltaC]]-ABS(Table1[[#This Row],[DeltaP]]))</f>
        <v>0</v>
      </c>
      <c r="AG38" t="e">
        <f ca="1">((LN($A$4/Table1[[#This Row],[Strike]]) + (0.411 + 0.5 * Table1[[#This Row],[IV Calc P]]^2) *Table1[[#This Row],[T]])) / (Table1[[#This Row],[IV Calc P]] * SQRT(Table1[[#This Row],[T]]))</f>
        <v>#DIV/0!</v>
      </c>
      <c r="AH38" t="e">
        <f ca="1">(LN($A$4/Table1[[#This Row],[Strike]]) + (0.411-0 + 0.5 * Table1[[#This Row],[IV Calc C]]^2) *Table1[[#This Row],[T]]) / (Table1[[#This Row],[IV Calc C]] * SQRT(Table1[[#This Row],[T]]))</f>
        <v>#DIV/0!</v>
      </c>
      <c r="AI38" t="e">
        <f ca="1">(EXP(-(AG38^2)/2)/SQRT(2*PI())*EXP(0*SQRT(Table1[[#This Row],[T]]))/$A$4*18%*SQRT(SQRT(Table1[[#This Row],[T]])))</f>
        <v>#DIV/0!</v>
      </c>
      <c r="AJ38" t="e">
        <f ca="1">(EXP(-(AH38^2)/2)/SQRT(2*PI())*EXP(0*SQRT(Table1[[#This Row],[T]]))/$A$4*18%*SQRT(SQRT(Table1[[#This Row],[T]])))</f>
        <v>#DIV/0!</v>
      </c>
      <c r="AK38" t="e">
        <f ca="1">Table1[[#This Row],[Call D1]]-Table1[[#This Row],[IV Calc C]]*SQRT(Table1[[#This Row],[T]])</f>
        <v>#DIV/0!</v>
      </c>
      <c r="AL38" t="e">
        <f ca="1">Table1[[#This Row],[Put D1]]-Table1[[#This Row],[IV Calc P]]*SQRT(Table1[[#This Row],[T]])</f>
        <v>#DIV/0!</v>
      </c>
      <c r="AM38" t="e">
        <f ca="1">EXP(-0.5*Table1[[#This Row],[Call D1]]^2)/SQRT(2*PI())</f>
        <v>#DIV/0!</v>
      </c>
      <c r="AN38" t="e">
        <f ca="1">EXP(-0.5*Table1[[#This Row],[Put D1]]^2)/SQRT(2*PI())</f>
        <v>#DIV/0!</v>
      </c>
      <c r="AO38">
        <f ca="1">IFERROR((EXP(0*Table1[[#This Row],[T]])*Table1[[#This Row],[call N(d1)]]*(Table1[[#This Row],[call d2]]/Table1[[#This Row],[IV Calc C]]))*Table1[[#This Row],[Open.Int]]*Table1[[#This Row],[DeltaC]],0)</f>
        <v>0</v>
      </c>
      <c r="AP38">
        <f ca="1">IFERROR((EXP(0*Table1[[#This Row],[T]])*Table1[[#This Row],[put N(d1)]]*(Table1[[#This Row],[put d2]]/Table1[[#This Row],[IV Calc P]]))*Table1[[#This Row],[Open.Int8]]*Table1[[#This Row],[DeltaP]]*-1,0)</f>
        <v>0</v>
      </c>
      <c r="AQ38">
        <f ca="1">((Table1[[#This Row],[call vanna]]+Table1[[#This Row],[put vanna]])*$A$4)</f>
        <v>0</v>
      </c>
      <c r="AR3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8" s="9" t="str" cm="1">
        <f t="array" ref="AT38">_xlfn.IFS(     $M$1="SPX","SPXW",     $M$1="RUT","RUTW",  $M$1="NDX","NDXP",   TRUE,$M$1 )</f>
        <v>SPXW</v>
      </c>
      <c r="AU38" s="2">
        <f t="shared" si="7"/>
        <v>6915</v>
      </c>
      <c r="AV38" t="str">
        <f t="shared" si="8"/>
        <v>260123</v>
      </c>
      <c r="AW38" s="19">
        <f ca="1">IFERROR((EXP(0*Table1[[#This Row],[T]])*Table1[[#This Row],[put N(d1)]]*(Table1[[#This Row],[put d2]]/Table1[[#This Row],[IV Calc P]]))*Table1[[#This Row],[Open.Int8]]*Table1[[#This Row],[DeltaP]]*-1,0)</f>
        <v>0</v>
      </c>
      <c r="AX38">
        <f ca="1">IFERROR((EXP(0*Table1[[#This Row],[T]])*Table1[[#This Row],[call N(d1)]]*(Table1[[#This Row],[call d2]]/Table1[[#This Row],[IV Calc C]]))*Table1[[#This Row],[Open.Int]]*Table1[[#This Row],[DeltaC]],0)</f>
        <v>0</v>
      </c>
      <c r="AY3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8">
        <f>((Table1[[#This Row],[High C]]+Table1[[#This Row],[Low C]])/2)*Table1[[#This Row],[gammac]]*Table1[[#This Row],[Volume]]</f>
        <v>0</v>
      </c>
      <c r="BD38">
        <f>((Table1[[#This Row],[High P]]+Table1[[#This Row],[Low P]])/2)*Table1[[#This Row],[gammap]]*Table1[[#This Row],[Volume9]]*-1</f>
        <v>0</v>
      </c>
      <c r="BE38">
        <f>(Table1[[#This Row],[SgammaC]]+Table1[[#This Row],[SgammaP]])*$A$4*-100</f>
        <v>0</v>
      </c>
      <c r="BF38">
        <f>Table1[[#This Row],[DEXc]]+Table1[[#This Row],[DEXp]]</f>
        <v>0</v>
      </c>
      <c r="BG38">
        <f>IFERROR(Table1[[#This Row],[DeltaC]]*Table1[[#This Row],[Open.Int]]*$A$4,0)</f>
        <v>0</v>
      </c>
      <c r="BH38" s="80">
        <f>IFERROR(Table1[[#This Row],[DeltaP]]*Table1[[#This Row],[Open.Int8]]*$A$4,0)</f>
        <v>0</v>
      </c>
      <c r="BI38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8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8">
        <f ca="1">Table1[[#This Row],[Charmc]]+Table1[[#This Row],[Charmp]]</f>
        <v>0</v>
      </c>
      <c r="BL3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8" s="78">
        <f ca="1">Table1[[#This Row],[call helper]]+Table1[[#This Row],[put helper]]</f>
        <v>0</v>
      </c>
      <c r="BP38" t="str">
        <f>RTD("tos.rtd", , "STRIKE", "."&amp;Table1[[#This Row],[Ticker]]&amp;Table1[[#This Row],[Expiry]]&amp;""&amp;"C"&amp;Table1[[#This Row],[Spot]]+Table1[[#This Row],[step]])</f>
        <v>N/A</v>
      </c>
      <c r="BQ38">
        <v>6955</v>
      </c>
      <c r="BV38">
        <f ca="1"/>
        <v>6955</v>
      </c>
      <c r="BW38">
        <f ca="1"/>
        <v>85538.627551993661</v>
      </c>
      <c r="BX38">
        <f ca="1"/>
        <v>-43055.567807050371</v>
      </c>
      <c r="BY38" s="17">
        <f ca="1"/>
        <v>0.14417502455814851</v>
      </c>
      <c r="BZ38">
        <f ca="1"/>
        <v>40</v>
      </c>
      <c r="CA38">
        <f ca="1"/>
        <v>-5997855.0515464693</v>
      </c>
      <c r="CB38">
        <f ca="1"/>
        <v>-5432378.7488956749</v>
      </c>
    </row>
    <row r="39" spans="1:80" x14ac:dyDescent="0.25">
      <c r="A39">
        <f t="shared" ca="1" si="4"/>
        <v>2.5814307458086375E-3</v>
      </c>
      <c r="C39" s="17"/>
      <c r="D39" t="b">
        <f>IF(
    ISNUMBER(Table1[[#This Row],[Strike]]),RTD("tos.rtd", , "OPEN_INT", "."&amp;Table1[[#This Row],[Ticker]]&amp;Table1[[#This Row],[Expiry]]&amp;""&amp;"C"&amp;Table1[[#This Row],[Strike]]))</f>
        <v>0</v>
      </c>
      <c r="E3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9" t="b">
        <f>IF(
    ISNUMBER(Table1[[#This Row],[Strike]]),RTD("tos.rtd", , "DELTA", "."&amp;Table1[[#This Row],[Ticker]]&amp;Table1[[#This Row],[Expiry]]&amp;""&amp;"C"&amp;Table1[[#This Row],[Strike]]))</f>
        <v>0</v>
      </c>
      <c r="H39" s="17" t="b" cm="1">
        <f t="array" ref="H39">IF(
    ISNUMBER(Table1[[#This Row],[Strike]]),IndividualLegIVCore($A$4, Table1[[#This Row],[Strike]], 0.0411, Table1[[#This Row],[T]], ((Table1[[#This Row],[BIDC]]+Table1[[#This Row],[ASKC]])/2), TRUE))</f>
        <v>0</v>
      </c>
      <c r="I39" t="b">
        <f>IF(
    ISNUMBER(Table1[[#This Row],[Strike]]),RTD("tos.rtd", , "BID", "."&amp;Table1[[#This Row],[Ticker]]&amp;Table1[[#This Row],[Expiry]]&amp;""&amp;"C"&amp;Table1[[#This Row],[Strike]]))</f>
        <v>0</v>
      </c>
      <c r="J39" t="b">
        <f>IF(
    ISNUMBER(Table1[[#This Row],[Strike]]),RTD("tos.rtd", , "ASK", "."&amp;Table1[[#This Row],[Ticker]]&amp;Table1[[#This Row],[Expiry]]&amp;""&amp;"C"&amp;Table1[[#This Row],[Strike]]))</f>
        <v>0</v>
      </c>
      <c r="K3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9" s="17" cm="1">
        <f t="array" aca="1" ref="L3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9" s="1">
        <f t="shared" si="5"/>
        <v>46045</v>
      </c>
      <c r="N39" t="b">
        <f t="shared" si="6"/>
        <v>0</v>
      </c>
      <c r="P39" s="17" t="b" cm="1">
        <f t="array" ref="P39">IF(
    ISNUMBER(Table1[[#This Row],[Strike]]),IndividualLegIVCore($A$4, Table1[[#This Row],[Strike]], 0.0411, Table1[[#This Row],[T]], ((Table1[[#This Row],[BIDP]]+Table1[[#This Row],[ASKP]])/2), FALSE))</f>
        <v>0</v>
      </c>
      <c r="Q39" t="b">
        <f>IF(
    ISNUMBER(Table1[[#This Row],[Strike]]),RTD("tos.rtd", , "BID", "."&amp;Table1[[#This Row],[Ticker]]&amp;Table1[[#This Row],[Expiry]]&amp;""&amp;"P"&amp;Table1[[#This Row],[Strike]]))</f>
        <v>0</v>
      </c>
      <c r="R39" t="b">
        <f>IF(
    ISNUMBER(Table1[[#This Row],[Strike]]),RTD("tos.rtd", , "ASK", "."&amp;Table1[[#This Row],[Ticker]]&amp;Table1[[#This Row],[Expiry]]&amp;""&amp;"P"&amp;Table1[[#This Row],[Strike]]))</f>
        <v>0</v>
      </c>
      <c r="S39" s="17"/>
      <c r="T39" t="b">
        <f>IF(
    ISNUMBER(Table1[[#This Row],[Strike]]),RTD("tos.rtd", , "OPEN_INT", "."&amp;Table1[[#This Row],[Ticker]]&amp;Table1[[#This Row],[Expiry]]&amp;""&amp;"P"&amp;Table1[[#This Row],[Strike]]))</f>
        <v>0</v>
      </c>
      <c r="U3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9" t="b">
        <f>IF(
    ISNUMBER(Table1[[#This Row],[Strike]]),RTD("tos.rtd", , "DELTA", "."&amp;Table1[[#This Row],[Ticker]]&amp;Table1[[#This Row],[Expiry]]&amp;""&amp;"P"&amp;Table1[[#This Row],[Strike]]))</f>
        <v>0</v>
      </c>
      <c r="Y39" s="19">
        <f>-35.5 * IF($M$1="NDX", 10, IF(OR($M$1="SPX", $M$1="RUT"), 2, 1))</f>
        <v>-71</v>
      </c>
      <c r="Z39">
        <f ca="1">IFERROR(Table1[[#This Row],[call gamma]]*(Table1[[#This Row],[Open.Int]])*$A$4^2,0)</f>
        <v>0</v>
      </c>
      <c r="AA39">
        <f ca="1">IFERROR(((Table1[[#This Row],[Open.Int8]])*Table1[[#This Row],[Put gamma]])*-1*$A$4^2,0)</f>
        <v>0</v>
      </c>
      <c r="AB39">
        <f ca="1">(Table1[[#This Row],[Call Gex]]+Table1[[#This Row],[Put Gex]])</f>
        <v>0</v>
      </c>
      <c r="AC39">
        <f ca="1">Table1[[#This Row],[call delta adj]]+Table1[[#This Row],[put delta adj]]</f>
        <v>0</v>
      </c>
      <c r="AD39">
        <f ca="1">Table1[[#This Row],[Put Gex]]*Table1[[#This Row],[DeltaP]]*-1</f>
        <v>0</v>
      </c>
      <c r="AE39">
        <f ca="1">Table1[[#This Row],[Call Gex]]*Table1[[#This Row],[DeltaC]]</f>
        <v>0</v>
      </c>
      <c r="AF39">
        <f>IF(Table1[[#This Row],[DeltaC]]-ABS(Table1[[#This Row],[DeltaP]])="0","0.01",Table1[[#This Row],[DeltaC]]-ABS(Table1[[#This Row],[DeltaP]]))</f>
        <v>0</v>
      </c>
      <c r="AG39" t="e">
        <f ca="1">((LN($A$4/Table1[[#This Row],[Strike]]) + (0.411 + 0.5 * Table1[[#This Row],[IV Calc P]]^2) *Table1[[#This Row],[T]])) / (Table1[[#This Row],[IV Calc P]] * SQRT(Table1[[#This Row],[T]]))</f>
        <v>#DIV/0!</v>
      </c>
      <c r="AH39" t="e">
        <f ca="1">(LN($A$4/Table1[[#This Row],[Strike]]) + (0.411-0 + 0.5 * Table1[[#This Row],[IV Calc C]]^2) *Table1[[#This Row],[T]]) / (Table1[[#This Row],[IV Calc C]] * SQRT(Table1[[#This Row],[T]]))</f>
        <v>#DIV/0!</v>
      </c>
      <c r="AI39" t="e">
        <f ca="1">(EXP(-(AG39^2)/2)/SQRT(2*PI())*EXP(0*SQRT(Table1[[#This Row],[T]]))/$A$4*18%*SQRT(SQRT(Table1[[#This Row],[T]])))</f>
        <v>#DIV/0!</v>
      </c>
      <c r="AJ39" t="e">
        <f ca="1">(EXP(-(AH39^2)/2)/SQRT(2*PI())*EXP(0*SQRT(Table1[[#This Row],[T]]))/$A$4*18%*SQRT(SQRT(Table1[[#This Row],[T]])))</f>
        <v>#DIV/0!</v>
      </c>
      <c r="AK39" t="e">
        <f ca="1">Table1[[#This Row],[Call D1]]-Table1[[#This Row],[IV Calc C]]*SQRT(Table1[[#This Row],[T]])</f>
        <v>#DIV/0!</v>
      </c>
      <c r="AL39" t="e">
        <f ca="1">Table1[[#This Row],[Put D1]]-Table1[[#This Row],[IV Calc P]]*SQRT(Table1[[#This Row],[T]])</f>
        <v>#DIV/0!</v>
      </c>
      <c r="AM39" t="e">
        <f ca="1">EXP(-0.5*Table1[[#This Row],[Call D1]]^2)/SQRT(2*PI())</f>
        <v>#DIV/0!</v>
      </c>
      <c r="AN39" t="e">
        <f ca="1">EXP(-0.5*Table1[[#This Row],[Put D1]]^2)/SQRT(2*PI())</f>
        <v>#DIV/0!</v>
      </c>
      <c r="AO39">
        <f ca="1">IFERROR((EXP(0*Table1[[#This Row],[T]])*Table1[[#This Row],[call N(d1)]]*(Table1[[#This Row],[call d2]]/Table1[[#This Row],[IV Calc C]]))*Table1[[#This Row],[Open.Int]]*Table1[[#This Row],[DeltaC]],0)</f>
        <v>0</v>
      </c>
      <c r="AP39">
        <f ca="1">IFERROR((EXP(0*Table1[[#This Row],[T]])*Table1[[#This Row],[put N(d1)]]*(Table1[[#This Row],[put d2]]/Table1[[#This Row],[IV Calc P]]))*Table1[[#This Row],[Open.Int8]]*Table1[[#This Row],[DeltaP]]*-1,0)</f>
        <v>0</v>
      </c>
      <c r="AQ39">
        <f ca="1">((Table1[[#This Row],[call vanna]]+Table1[[#This Row],[put vanna]])*$A$4)</f>
        <v>0</v>
      </c>
      <c r="AR3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9" s="9" t="str" cm="1">
        <f t="array" ref="AT39">_xlfn.IFS(     $M$1="SPX","SPXW",     $M$1="RUT","RUTW",  $M$1="NDX","NDXP",   TRUE,$M$1 )</f>
        <v>SPXW</v>
      </c>
      <c r="AU39" s="2">
        <f t="shared" si="7"/>
        <v>6915</v>
      </c>
      <c r="AV39" t="str">
        <f t="shared" si="8"/>
        <v>260123</v>
      </c>
      <c r="AW39" s="19">
        <f ca="1">IFERROR((EXP(0*Table1[[#This Row],[T]])*Table1[[#This Row],[put N(d1)]]*(Table1[[#This Row],[put d2]]/Table1[[#This Row],[IV Calc P]]))*Table1[[#This Row],[Open.Int8]]*Table1[[#This Row],[DeltaP]]*-1,0)</f>
        <v>0</v>
      </c>
      <c r="AX39">
        <f ca="1">IFERROR((EXP(0*Table1[[#This Row],[T]])*Table1[[#This Row],[call N(d1)]]*(Table1[[#This Row],[call d2]]/Table1[[#This Row],[IV Calc C]]))*Table1[[#This Row],[Open.Int]]*Table1[[#This Row],[DeltaC]],0)</f>
        <v>0</v>
      </c>
      <c r="AY3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9">
        <f>((Table1[[#This Row],[High C]]+Table1[[#This Row],[Low C]])/2)*Table1[[#This Row],[gammac]]*Table1[[#This Row],[Volume]]</f>
        <v>0</v>
      </c>
      <c r="BD39">
        <f>((Table1[[#This Row],[High P]]+Table1[[#This Row],[Low P]])/2)*Table1[[#This Row],[gammap]]*Table1[[#This Row],[Volume9]]*-1</f>
        <v>0</v>
      </c>
      <c r="BE39">
        <f>(Table1[[#This Row],[SgammaC]]+Table1[[#This Row],[SgammaP]])*$A$4*-100</f>
        <v>0</v>
      </c>
      <c r="BF39">
        <f>Table1[[#This Row],[DEXc]]+Table1[[#This Row],[DEXp]]</f>
        <v>0</v>
      </c>
      <c r="BG39">
        <f>IFERROR(Table1[[#This Row],[DeltaC]]*Table1[[#This Row],[Open.Int]]*$A$4,0)</f>
        <v>0</v>
      </c>
      <c r="BH39" s="80">
        <f>IFERROR(Table1[[#This Row],[DeltaP]]*Table1[[#This Row],[Open.Int8]]*$A$4,0)</f>
        <v>0</v>
      </c>
      <c r="BI39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9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9">
        <f ca="1">Table1[[#This Row],[Charmc]]+Table1[[#This Row],[Charmp]]</f>
        <v>0</v>
      </c>
      <c r="BL3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9" s="78">
        <f ca="1">Table1[[#This Row],[call helper]]+Table1[[#This Row],[put helper]]</f>
        <v>0</v>
      </c>
      <c r="BP39" t="str">
        <f>RTD("tos.rtd", , "STRIKE", "."&amp;Table1[[#This Row],[Ticker]]&amp;Table1[[#This Row],[Expiry]]&amp;""&amp;"C"&amp;Table1[[#This Row],[Spot]]+Table1[[#This Row],[step]])</f>
        <v>N/A</v>
      </c>
      <c r="BQ39">
        <v>6960</v>
      </c>
      <c r="BV39">
        <f ca="1"/>
        <v>6960</v>
      </c>
      <c r="BW39">
        <f ca="1"/>
        <v>101376.63072860302</v>
      </c>
      <c r="BX39">
        <f ca="1"/>
        <v>-153750.66375982849</v>
      </c>
      <c r="BY39" s="17">
        <f ca="1"/>
        <v>0.14965288791618611</v>
      </c>
      <c r="BZ39">
        <f ca="1"/>
        <v>45</v>
      </c>
      <c r="CA39">
        <f ca="1"/>
        <v>-16031672.228977721</v>
      </c>
      <c r="CB39">
        <f ca="1"/>
        <v>-11962173.035077384</v>
      </c>
    </row>
    <row r="40" spans="1:80" x14ac:dyDescent="0.25">
      <c r="A40">
        <f t="shared" ca="1" si="4"/>
        <v>2.5814307458086375E-3</v>
      </c>
      <c r="C40" s="17"/>
      <c r="D40">
        <f>IF(
    ISNUMBER(Table1[[#This Row],[Strike]]),RTD("tos.rtd", , "OPEN_INT", "."&amp;Table1[[#This Row],[Ticker]]&amp;Table1[[#This Row],[Expiry]]&amp;""&amp;"C"&amp;Table1[[#This Row],[Strike]]))</f>
        <v>406</v>
      </c>
      <c r="E4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310</v>
      </c>
      <c r="G40">
        <f>IF(
    ISNUMBER(Table1[[#This Row],[Strike]]),RTD("tos.rtd", , "DELTA", "."&amp;Table1[[#This Row],[Ticker]]&amp;Table1[[#This Row],[Expiry]]&amp;""&amp;"C"&amp;Table1[[#This Row],[Strike]]))</f>
        <v>1</v>
      </c>
      <c r="H40" s="17" cm="1">
        <f t="array" aca="1" ref="H40" ca="1">IF(
    ISNUMBER(Table1[[#This Row],[Strike]]),IndividualLegIVCore($A$4, Table1[[#This Row],[Strike]], 0.0411, Table1[[#This Row],[T]], ((Table1[[#This Row],[BIDC]]+Table1[[#This Row],[ASKC]])/2), TRUE))</f>
        <v>0.01</v>
      </c>
      <c r="I40">
        <f>IF(
    ISNUMBER(Table1[[#This Row],[Strike]]),RTD("tos.rtd", , "BID", "."&amp;Table1[[#This Row],[Ticker]]&amp;Table1[[#This Row],[Expiry]]&amp;""&amp;"C"&amp;Table1[[#This Row],[Strike]]))</f>
        <v>67.2</v>
      </c>
      <c r="J40">
        <f>IF(
    ISNUMBER(Table1[[#This Row],[Strike]]),RTD("tos.rtd", , "ASK", "."&amp;Table1[[#This Row],[Ticker]]&amp;Table1[[#This Row],[Expiry]]&amp;""&amp;"C"&amp;Table1[[#This Row],[Strike]]))</f>
        <v>68.3</v>
      </c>
      <c r="K4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0.16933754683301233</v>
      </c>
      <c r="L40" s="17" cm="1">
        <f t="array" aca="1" ref="L40" ca="1">CubicSplineIVSmile($A$4, Table1[[#This Row],[Strike]], 0.0411, Table1[[#This Row],[T]], (Table1[[#This Row],[BIDC]]+Table1[[#This Row],[ASKC]])/2, (Table1[[#This Row],[BIDP]]+Table1[[#This Row],[ASKP]])/2, Table1[Strike], Table1[IV Calc AVG])</f>
        <v>0.16933754683301233</v>
      </c>
      <c r="M40" s="1">
        <f t="shared" si="5"/>
        <v>46045</v>
      </c>
      <c r="N40">
        <f t="shared" si="6"/>
        <v>6845</v>
      </c>
      <c r="P40" s="17" cm="1">
        <f t="array" aca="1" ref="P40" ca="1">IF(
    ISNUMBER(Table1[[#This Row],[Strike]]),IndividualLegIVCore($A$4, Table1[[#This Row],[Strike]], 0.0411, Table1[[#This Row],[T]], ((Table1[[#This Row],[BIDP]]+Table1[[#This Row],[ASKP]])/2), FALSE))</f>
        <v>0.16933754683301233</v>
      </c>
      <c r="Q40">
        <f>IF(
    ISNUMBER(Table1[[#This Row],[Strike]]),RTD("tos.rtd", , "BID", "."&amp;Table1[[#This Row],[Ticker]]&amp;Table1[[#This Row],[Expiry]]&amp;""&amp;"P"&amp;Table1[[#This Row],[Strike]]))</f>
        <v>3.4</v>
      </c>
      <c r="R40">
        <f>IF(
    ISNUMBER(Table1[[#This Row],[Strike]]),RTD("tos.rtd", , "ASK", "."&amp;Table1[[#This Row],[Ticker]]&amp;Table1[[#This Row],[Expiry]]&amp;""&amp;"P"&amp;Table1[[#This Row],[Strike]]))</f>
        <v>3.7</v>
      </c>
      <c r="S40" s="17"/>
      <c r="T40">
        <f>IF(
    ISNUMBER(Table1[[#This Row],[Strike]]),RTD("tos.rtd", , "OPEN_INT", "."&amp;Table1[[#This Row],[Ticker]]&amp;Table1[[#This Row],[Expiry]]&amp;""&amp;"P"&amp;Table1[[#This Row],[Strike]]))</f>
        <v>839</v>
      </c>
      <c r="U4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3547</v>
      </c>
      <c r="W40">
        <f>IF(
    ISNUMBER(Table1[[#This Row],[Strike]]),RTD("tos.rtd", , "DELTA", "."&amp;Table1[[#This Row],[Ticker]]&amp;Table1[[#This Row],[Expiry]]&amp;""&amp;"P"&amp;Table1[[#This Row],[Strike]]))</f>
        <v>-0.12</v>
      </c>
      <c r="Y40" s="19">
        <f>-35 * IF($M$1="NDX", 10, IF(OR($M$1="SPX", $M$1="RUT"), 2, 1))</f>
        <v>-70</v>
      </c>
      <c r="Z40">
        <f ca="1">IFERROR(Table1[[#This Row],[call gamma]]*(Table1[[#This Row],[Open.Int]])*$A$4^2,0)</f>
        <v>8.5040161274450639E-98</v>
      </c>
      <c r="AA40">
        <f ca="1">IFERROR(((Table1[[#This Row],[Open.Int8]])*Table1[[#This Row],[Put gamma]])*-1*$A$4^2,0)</f>
        <v>-41253.046952885925</v>
      </c>
      <c r="AB40">
        <f ca="1">(Table1[[#This Row],[Call Gex]]+Table1[[#This Row],[Put Gex]])</f>
        <v>-41253.046952885925</v>
      </c>
      <c r="AC40">
        <f ca="1">Table1[[#This Row],[call delta adj]]+Table1[[#This Row],[put delta adj]]</f>
        <v>-4950.3656343463108</v>
      </c>
      <c r="AD40">
        <f ca="1">Table1[[#This Row],[Put Gex]]*Table1[[#This Row],[DeltaP]]*-1</f>
        <v>-4950.3656343463108</v>
      </c>
      <c r="AE40">
        <f ca="1">Table1[[#This Row],[Call Gex]]*Table1[[#This Row],[DeltaC]]</f>
        <v>8.5040161274450639E-98</v>
      </c>
      <c r="AF40">
        <f>IF(Table1[[#This Row],[DeltaC]]-ABS(Table1[[#This Row],[DeltaP]])="0","0.01",Table1[[#This Row],[DeltaC]]-ABS(Table1[[#This Row],[DeltaP]]))</f>
        <v>0.88</v>
      </c>
      <c r="AG40">
        <f ca="1">((LN($A$4/Table1[[#This Row],[Strike]]) + (0.411 + 0.5 * Table1[[#This Row],[IV Calc P]]^2) *Table1[[#This Row],[T]])) / (Table1[[#This Row],[IV Calc P]] * SQRT(Table1[[#This Row],[T]]))</f>
        <v>1.2824587511844665</v>
      </c>
      <c r="AH40">
        <f ca="1">(LN($A$4/Table1[[#This Row],[Strike]]) + (0.411-0 + 0.5 * Table1[[#This Row],[IV Calc C]]^2) *Table1[[#This Row],[T]]) / (Table1[[#This Row],[IV Calc C]] * SQRT(Table1[[#This Row],[T]]))</f>
        <v>21.644249744810438</v>
      </c>
      <c r="AI40">
        <f ca="1">(EXP(-(AG40^2)/2)/SQRT(2*PI())*EXP(0*SQRT(Table1[[#This Row],[T]]))/$A$4*18%*SQRT(SQRT(Table1[[#This Row],[T]])))</f>
        <v>1.0287668975854521E-6</v>
      </c>
      <c r="AJ40">
        <f ca="1">(EXP(-(AH40^2)/2)/SQRT(2*PI())*EXP(0*SQRT(Table1[[#This Row],[T]]))/$A$4*18%*SQRT(SQRT(Table1[[#This Row],[T]])))</f>
        <v>4.3824901928155397E-108</v>
      </c>
      <c r="AK40">
        <f ca="1">Table1[[#This Row],[Call D1]]-Table1[[#This Row],[IV Calc C]]*SQRT(Table1[[#This Row],[T]])</f>
        <v>21.643741666987086</v>
      </c>
      <c r="AL40">
        <f ca="1">Table1[[#This Row],[Put D1]]-Table1[[#This Row],[IV Calc P]]*SQRT(Table1[[#This Row],[T]])</f>
        <v>1.2738550859638187</v>
      </c>
      <c r="AM40">
        <f ca="1">EXP(-0.5*Table1[[#This Row],[Call D1]]^2)/SQRT(2*PI())</f>
        <v>7.4674422481506612E-103</v>
      </c>
      <c r="AN40">
        <f ca="1">EXP(-0.5*Table1[[#This Row],[Put D1]]^2)/SQRT(2*PI())</f>
        <v>0.17529434309111383</v>
      </c>
      <c r="AO40">
        <f ca="1">IFERROR((EXP(0*Table1[[#This Row],[T]])*Table1[[#This Row],[call N(d1)]]*(Table1[[#This Row],[call d2]]/Table1[[#This Row],[IV Calc C]]))*Table1[[#This Row],[Open.Int]]*Table1[[#This Row],[DeltaC]],0)</f>
        <v>6.5619096718439976E-97</v>
      </c>
      <c r="AP40">
        <f ca="1">IFERROR((EXP(0*Table1[[#This Row],[T]])*Table1[[#This Row],[put N(d1)]]*(Table1[[#This Row],[put d2]]/Table1[[#This Row],[IV Calc P]]))*Table1[[#This Row],[Open.Int8]]*Table1[[#This Row],[DeltaP]]*-1,0)</f>
        <v>132.76324826195446</v>
      </c>
      <c r="AQ40">
        <f ca="1">((Table1[[#This Row],[call vanna]]+Table1[[#This Row],[put vanna]])*$A$4)</f>
        <v>917838.80237178295</v>
      </c>
      <c r="AR4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8.5040161274450639E-98</v>
      </c>
      <c r="AS4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-41253.046952885925</v>
      </c>
      <c r="AT40" s="9" t="str" cm="1">
        <f t="array" ref="AT40">_xlfn.IFS(     $M$1="SPX","SPXW",     $M$1="RUT","RUTW",  $M$1="NDX","NDXP",   TRUE,$M$1 )</f>
        <v>SPXW</v>
      </c>
      <c r="AU40" s="2">
        <f t="shared" si="7"/>
        <v>6915</v>
      </c>
      <c r="AV40" t="str">
        <f t="shared" si="8"/>
        <v>260123</v>
      </c>
      <c r="AW40" s="19">
        <f ca="1">IFERROR((EXP(0*Table1[[#This Row],[T]])*Table1[[#This Row],[put N(d1)]]*(Table1[[#This Row],[put d2]]/Table1[[#This Row],[IV Calc P]]))*Table1[[#This Row],[Open.Int8]]*Table1[[#This Row],[DeltaP]]*-1,0)</f>
        <v>132.76324826195446</v>
      </c>
      <c r="AX40">
        <f ca="1">IFERROR((EXP(0*Table1[[#This Row],[T]])*Table1[[#This Row],[call N(d1)]]*(Table1[[#This Row],[call d2]]/Table1[[#This Row],[IV Calc C]]))*Table1[[#This Row],[Open.Int]]*Table1[[#This Row],[DeltaC]],0)</f>
        <v>6.5619096718439976E-97</v>
      </c>
      <c r="AY40">
        <f>IF(
    ISNUMBER(Table1[[#This Row],[Strike]]),RTD("tos.rtd", , "high", "."&amp;Table1[[#This Row],[Ticker]]&amp;Table1[[#This Row],[Expiry]]&amp;""&amp;"C"&amp;Table1[[#This Row],[Spot]]+Table1[[#This Row],[step]]))</f>
        <v>92</v>
      </c>
      <c r="AZ40">
        <f>IF(
    ISNUMBER(Table1[[#This Row],[Strike]]),RTD("tos.rtd", , "low", "."&amp;Table1[[#This Row],[Ticker]]&amp;Table1[[#This Row],[Expiry]]&amp;""&amp;"C"&amp;Table1[[#This Row],[Spot]]+Table1[[#This Row],[step]]))</f>
        <v>61.91</v>
      </c>
      <c r="BA40">
        <f>IF(
    ISNUMBER(Table1[[#This Row],[Strike]]),RTD("tos.rtd", , "high", "."&amp;Table1[[#This Row],[Ticker]]&amp;Table1[[#This Row],[Expiry]]&amp;""&amp;"P"&amp;Table1[[#This Row],[Spot]]+Table1[[#This Row],[step]]))</f>
        <v>9.8000000000000007</v>
      </c>
      <c r="BB40">
        <f>IF(
    ISNUMBER(Table1[[#This Row],[Strike]]),RTD("tos.rtd", , "low", "."&amp;Table1[[#This Row],[Ticker]]&amp;Table1[[#This Row],[Expiry]]&amp;""&amp;"P"&amp;Table1[[#This Row],[Spot]]+Table1[[#This Row],[step]]))</f>
        <v>1.75</v>
      </c>
      <c r="BC40">
        <f>((Table1[[#This Row],[High C]]+Table1[[#This Row],[Low C]])/2)*Table1[[#This Row],[gammac]]*Table1[[#This Row],[Volume]]</f>
        <v>0</v>
      </c>
      <c r="BD40">
        <f>((Table1[[#This Row],[High P]]+Table1[[#This Row],[Low P]])/2)*Table1[[#This Row],[gammap]]*Table1[[#This Row],[Volume9]]*-1</f>
        <v>0</v>
      </c>
      <c r="BE40">
        <f>(Table1[[#This Row],[SgammaC]]+Table1[[#This Row],[SgammaP]])*$A$4*-100</f>
        <v>0</v>
      </c>
      <c r="BF40">
        <f>Table1[[#This Row],[DEXc]]+Table1[[#This Row],[DEXp]]</f>
        <v>2110784.0219999999</v>
      </c>
      <c r="BG40">
        <f>IFERROR(Table1[[#This Row],[DeltaC]]*Table1[[#This Row],[Open.Int]]*$A$4,0)</f>
        <v>2806820.1</v>
      </c>
      <c r="BH40" s="80">
        <f>IFERROR(Table1[[#This Row],[DeltaP]]*Table1[[#This Row],[Open.Int8]]*$A$4,0)</f>
        <v>-696036.07799999998</v>
      </c>
      <c r="BI40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1.8877610559782508E-79</v>
      </c>
      <c r="BJ40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1079299.7908861525</v>
      </c>
      <c r="BK40">
        <f ca="1">Table1[[#This Row],[Charmc]]+Table1[[#This Row],[Charmp]]</f>
        <v>1079299.7908861525</v>
      </c>
      <c r="BL4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4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40" s="78">
        <f ca="1">Table1[[#This Row],[call helper]]+Table1[[#This Row],[put helper]]</f>
        <v>-41253.046952885925</v>
      </c>
      <c r="BP40">
        <f>RTD("tos.rtd", , "STRIKE", "."&amp;Table1[[#This Row],[Ticker]]&amp;Table1[[#This Row],[Expiry]]&amp;""&amp;"C"&amp;Table1[[#This Row],[Spot]]+Table1[[#This Row],[step]])</f>
        <v>6845</v>
      </c>
      <c r="BQ40">
        <v>6965</v>
      </c>
      <c r="BV40">
        <f ca="1"/>
        <v>6965</v>
      </c>
      <c r="BW40">
        <f ca="1"/>
        <v>77718.158163438391</v>
      </c>
      <c r="BX40">
        <f ca="1"/>
        <v>-32677.564820300184</v>
      </c>
      <c r="BY40" s="17">
        <f ca="1"/>
        <v>0.15550036702941394</v>
      </c>
      <c r="BZ40">
        <f ca="1"/>
        <v>50</v>
      </c>
      <c r="CA40">
        <f ca="1"/>
        <v>-4925466.0004819809</v>
      </c>
      <c r="CB40">
        <f ca="1"/>
        <v>-5097568.3061326891</v>
      </c>
    </row>
    <row r="41" spans="1:80" x14ac:dyDescent="0.25">
      <c r="A41">
        <f t="shared" ca="1" si="4"/>
        <v>2.5814307458086375E-3</v>
      </c>
      <c r="C41" s="17"/>
      <c r="D41" t="b">
        <f>IF(
    ISNUMBER(Table1[[#This Row],[Strike]]),RTD("tos.rtd", , "OPEN_INT", "."&amp;Table1[[#This Row],[Ticker]]&amp;Table1[[#This Row],[Expiry]]&amp;""&amp;"C"&amp;Table1[[#This Row],[Strike]]))</f>
        <v>0</v>
      </c>
      <c r="E4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1" t="b">
        <f>IF(
    ISNUMBER(Table1[[#This Row],[Strike]]),RTD("tos.rtd", , "DELTA", "."&amp;Table1[[#This Row],[Ticker]]&amp;Table1[[#This Row],[Expiry]]&amp;""&amp;"C"&amp;Table1[[#This Row],[Strike]]))</f>
        <v>0</v>
      </c>
      <c r="H41" s="17" t="b" cm="1">
        <f t="array" ref="H41">IF(
    ISNUMBER(Table1[[#This Row],[Strike]]),IndividualLegIVCore($A$4, Table1[[#This Row],[Strike]], 0.0411, Table1[[#This Row],[T]], ((Table1[[#This Row],[BIDC]]+Table1[[#This Row],[ASKC]])/2), TRUE))</f>
        <v>0</v>
      </c>
      <c r="I41" t="b">
        <f>IF(
    ISNUMBER(Table1[[#This Row],[Strike]]),RTD("tos.rtd", , "BID", "."&amp;Table1[[#This Row],[Ticker]]&amp;Table1[[#This Row],[Expiry]]&amp;""&amp;"C"&amp;Table1[[#This Row],[Strike]]))</f>
        <v>0</v>
      </c>
      <c r="J41" t="b">
        <f>IF(
    ISNUMBER(Table1[[#This Row],[Strike]]),RTD("tos.rtd", , "ASK", "."&amp;Table1[[#This Row],[Ticker]]&amp;Table1[[#This Row],[Expiry]]&amp;""&amp;"C"&amp;Table1[[#This Row],[Strike]]))</f>
        <v>0</v>
      </c>
      <c r="K4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1" s="17" cm="1">
        <f t="array" aca="1" ref="L4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1" s="1">
        <f t="shared" si="5"/>
        <v>46045</v>
      </c>
      <c r="N41" t="b">
        <f t="shared" si="6"/>
        <v>0</v>
      </c>
      <c r="P41" s="17" t="b" cm="1">
        <f t="array" ref="P41">IF(
    ISNUMBER(Table1[[#This Row],[Strike]]),IndividualLegIVCore($A$4, Table1[[#This Row],[Strike]], 0.0411, Table1[[#This Row],[T]], ((Table1[[#This Row],[BIDP]]+Table1[[#This Row],[ASKP]])/2), FALSE))</f>
        <v>0</v>
      </c>
      <c r="Q41" t="b">
        <f>IF(
    ISNUMBER(Table1[[#This Row],[Strike]]),RTD("tos.rtd", , "BID", "."&amp;Table1[[#This Row],[Ticker]]&amp;Table1[[#This Row],[Expiry]]&amp;""&amp;"P"&amp;Table1[[#This Row],[Strike]]))</f>
        <v>0</v>
      </c>
      <c r="R41" t="b">
        <f>IF(
    ISNUMBER(Table1[[#This Row],[Strike]]),RTD("tos.rtd", , "ASK", "."&amp;Table1[[#This Row],[Ticker]]&amp;Table1[[#This Row],[Expiry]]&amp;""&amp;"P"&amp;Table1[[#This Row],[Strike]]))</f>
        <v>0</v>
      </c>
      <c r="S41" s="17"/>
      <c r="T41" t="b">
        <f>IF(
    ISNUMBER(Table1[[#This Row],[Strike]]),RTD("tos.rtd", , "OPEN_INT", "."&amp;Table1[[#This Row],[Ticker]]&amp;Table1[[#This Row],[Expiry]]&amp;""&amp;"P"&amp;Table1[[#This Row],[Strike]]))</f>
        <v>0</v>
      </c>
      <c r="U4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1" t="b">
        <f>IF(
    ISNUMBER(Table1[[#This Row],[Strike]]),RTD("tos.rtd", , "DELTA", "."&amp;Table1[[#This Row],[Ticker]]&amp;Table1[[#This Row],[Expiry]]&amp;""&amp;"P"&amp;Table1[[#This Row],[Strike]]))</f>
        <v>0</v>
      </c>
      <c r="Y41" s="19">
        <f>-34.5 * IF($M$1="NDX", 10, IF(OR($M$1="SPX", $M$1="RUT"), 2, 1))</f>
        <v>-69</v>
      </c>
      <c r="Z41">
        <f ca="1">IFERROR(Table1[[#This Row],[call gamma]]*(Table1[[#This Row],[Open.Int]])*$A$4^2,0)</f>
        <v>0</v>
      </c>
      <c r="AA41">
        <f ca="1">IFERROR(((Table1[[#This Row],[Open.Int8]])*Table1[[#This Row],[Put gamma]])*-1*$A$4^2,0)</f>
        <v>0</v>
      </c>
      <c r="AB41">
        <f ca="1">(Table1[[#This Row],[Call Gex]]+Table1[[#This Row],[Put Gex]])</f>
        <v>0</v>
      </c>
      <c r="AC41">
        <f ca="1">Table1[[#This Row],[call delta adj]]+Table1[[#This Row],[put delta adj]]</f>
        <v>0</v>
      </c>
      <c r="AD41">
        <f ca="1">Table1[[#This Row],[Put Gex]]*Table1[[#This Row],[DeltaP]]*-1</f>
        <v>0</v>
      </c>
      <c r="AE41">
        <f ca="1">Table1[[#This Row],[Call Gex]]*Table1[[#This Row],[DeltaC]]</f>
        <v>0</v>
      </c>
      <c r="AF41">
        <f>IF(Table1[[#This Row],[DeltaC]]-ABS(Table1[[#This Row],[DeltaP]])="0","0.01",Table1[[#This Row],[DeltaC]]-ABS(Table1[[#This Row],[DeltaP]]))</f>
        <v>0</v>
      </c>
      <c r="AG41" t="e">
        <f ca="1">((LN($A$4/Table1[[#This Row],[Strike]]) + (0.411 + 0.5 * Table1[[#This Row],[IV Calc P]]^2) *Table1[[#This Row],[T]])) / (Table1[[#This Row],[IV Calc P]] * SQRT(Table1[[#This Row],[T]]))</f>
        <v>#DIV/0!</v>
      </c>
      <c r="AH41" t="e">
        <f ca="1">(LN($A$4/Table1[[#This Row],[Strike]]) + (0.411-0 + 0.5 * Table1[[#This Row],[IV Calc C]]^2) *Table1[[#This Row],[T]]) / (Table1[[#This Row],[IV Calc C]] * SQRT(Table1[[#This Row],[T]]))</f>
        <v>#DIV/0!</v>
      </c>
      <c r="AI41" t="e">
        <f ca="1">(EXP(-(AG41^2)/2)/SQRT(2*PI())*EXP(0*SQRT(Table1[[#This Row],[T]]))/$A$4*18%*SQRT(SQRT(Table1[[#This Row],[T]])))</f>
        <v>#DIV/0!</v>
      </c>
      <c r="AJ41" t="e">
        <f ca="1">(EXP(-(AH41^2)/2)/SQRT(2*PI())*EXP(0*SQRT(Table1[[#This Row],[T]]))/$A$4*18%*SQRT(SQRT(Table1[[#This Row],[T]])))</f>
        <v>#DIV/0!</v>
      </c>
      <c r="AK41" t="e">
        <f ca="1">Table1[[#This Row],[Call D1]]-Table1[[#This Row],[IV Calc C]]*SQRT(Table1[[#This Row],[T]])</f>
        <v>#DIV/0!</v>
      </c>
      <c r="AL41" t="e">
        <f ca="1">Table1[[#This Row],[Put D1]]-Table1[[#This Row],[IV Calc P]]*SQRT(Table1[[#This Row],[T]])</f>
        <v>#DIV/0!</v>
      </c>
      <c r="AM41" t="e">
        <f ca="1">EXP(-0.5*Table1[[#This Row],[Call D1]]^2)/SQRT(2*PI())</f>
        <v>#DIV/0!</v>
      </c>
      <c r="AN41" t="e">
        <f ca="1">EXP(-0.5*Table1[[#This Row],[Put D1]]^2)/SQRT(2*PI())</f>
        <v>#DIV/0!</v>
      </c>
      <c r="AO41">
        <f ca="1">IFERROR((EXP(0*Table1[[#This Row],[T]])*Table1[[#This Row],[call N(d1)]]*(Table1[[#This Row],[call d2]]/Table1[[#This Row],[IV Calc C]]))*Table1[[#This Row],[Open.Int]]*Table1[[#This Row],[DeltaC]],0)</f>
        <v>0</v>
      </c>
      <c r="AP41">
        <f ca="1">IFERROR((EXP(0*Table1[[#This Row],[T]])*Table1[[#This Row],[put N(d1)]]*(Table1[[#This Row],[put d2]]/Table1[[#This Row],[IV Calc P]]))*Table1[[#This Row],[Open.Int8]]*Table1[[#This Row],[DeltaP]]*-1,0)</f>
        <v>0</v>
      </c>
      <c r="AQ41">
        <f ca="1">((Table1[[#This Row],[call vanna]]+Table1[[#This Row],[put vanna]])*$A$4)</f>
        <v>0</v>
      </c>
      <c r="AR4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1" s="9" t="str" cm="1">
        <f t="array" ref="AT41">_xlfn.IFS(     $M$1="SPX","SPXW",     $M$1="RUT","RUTW",  $M$1="NDX","NDXP",   TRUE,$M$1 )</f>
        <v>SPXW</v>
      </c>
      <c r="AU41" s="2">
        <f t="shared" si="7"/>
        <v>6915</v>
      </c>
      <c r="AV41" t="str">
        <f t="shared" si="8"/>
        <v>260123</v>
      </c>
      <c r="AW41" s="19">
        <f ca="1">IFERROR((EXP(0*Table1[[#This Row],[T]])*Table1[[#This Row],[put N(d1)]]*(Table1[[#This Row],[put d2]]/Table1[[#This Row],[IV Calc P]]))*Table1[[#This Row],[Open.Int8]]*Table1[[#This Row],[DeltaP]]*-1,0)</f>
        <v>0</v>
      </c>
      <c r="AX41">
        <f ca="1">IFERROR((EXP(0*Table1[[#This Row],[T]])*Table1[[#This Row],[call N(d1)]]*(Table1[[#This Row],[call d2]]/Table1[[#This Row],[IV Calc C]]))*Table1[[#This Row],[Open.Int]]*Table1[[#This Row],[DeltaC]],0)</f>
        <v>0</v>
      </c>
      <c r="AY4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1">
        <f>((Table1[[#This Row],[High C]]+Table1[[#This Row],[Low C]])/2)*Table1[[#This Row],[gammac]]*Table1[[#This Row],[Volume]]</f>
        <v>0</v>
      </c>
      <c r="BD41">
        <f>((Table1[[#This Row],[High P]]+Table1[[#This Row],[Low P]])/2)*Table1[[#This Row],[gammap]]*Table1[[#This Row],[Volume9]]*-1</f>
        <v>0</v>
      </c>
      <c r="BE41">
        <f>(Table1[[#This Row],[SgammaC]]+Table1[[#This Row],[SgammaP]])*$A$4*-100</f>
        <v>0</v>
      </c>
      <c r="BF41">
        <f>Table1[[#This Row],[DEXc]]+Table1[[#This Row],[DEXp]]</f>
        <v>0</v>
      </c>
      <c r="BG41">
        <f>IFERROR(Table1[[#This Row],[DeltaC]]*Table1[[#This Row],[Open.Int]]*$A$4,0)</f>
        <v>0</v>
      </c>
      <c r="BH41" s="80">
        <f>IFERROR(Table1[[#This Row],[DeltaP]]*Table1[[#This Row],[Open.Int8]]*$A$4,0)</f>
        <v>0</v>
      </c>
      <c r="BI41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1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1">
        <f ca="1">Table1[[#This Row],[Charmc]]+Table1[[#This Row],[Charmp]]</f>
        <v>0</v>
      </c>
      <c r="BL4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1" s="78">
        <f ca="1">Table1[[#This Row],[call helper]]+Table1[[#This Row],[put helper]]</f>
        <v>0</v>
      </c>
      <c r="BP41" t="str">
        <f>RTD("tos.rtd", , "STRIKE", "."&amp;Table1[[#This Row],[Ticker]]&amp;Table1[[#This Row],[Expiry]]&amp;""&amp;"C"&amp;Table1[[#This Row],[Spot]]+Table1[[#This Row],[step]])</f>
        <v>N/A</v>
      </c>
      <c r="BQ41">
        <v>6970</v>
      </c>
      <c r="BV41">
        <f ca="1"/>
        <v>6970</v>
      </c>
      <c r="BW41">
        <f ca="1"/>
        <v>68088.109654128348</v>
      </c>
      <c r="BX41">
        <f ca="1"/>
        <v>-29387.821215768785</v>
      </c>
      <c r="BY41" s="17">
        <f ca="1"/>
        <v>0.16268507829873671</v>
      </c>
      <c r="BZ41">
        <f ca="1"/>
        <v>55</v>
      </c>
      <c r="CA41">
        <f ca="1"/>
        <v>-4218010.5949452436</v>
      </c>
      <c r="CB41">
        <f ca="1"/>
        <v>-4699424.6030531405</v>
      </c>
    </row>
    <row r="42" spans="1:80" x14ac:dyDescent="0.25">
      <c r="A42">
        <f t="shared" ca="1" si="4"/>
        <v>2.5814307458086375E-3</v>
      </c>
      <c r="C42" s="17"/>
      <c r="D42" t="b">
        <f>IF(
    ISNUMBER(Table1[[#This Row],[Strike]]),RTD("tos.rtd", , "OPEN_INT", "."&amp;Table1[[#This Row],[Ticker]]&amp;Table1[[#This Row],[Expiry]]&amp;""&amp;"C"&amp;Table1[[#This Row],[Strike]]))</f>
        <v>0</v>
      </c>
      <c r="E4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2" t="b">
        <f>IF(
    ISNUMBER(Table1[[#This Row],[Strike]]),RTD("tos.rtd", , "DELTA", "."&amp;Table1[[#This Row],[Ticker]]&amp;Table1[[#This Row],[Expiry]]&amp;""&amp;"C"&amp;Table1[[#This Row],[Strike]]))</f>
        <v>0</v>
      </c>
      <c r="H42" s="17" t="b" cm="1">
        <f t="array" ref="H42">IF(
    ISNUMBER(Table1[[#This Row],[Strike]]),IndividualLegIVCore($A$4, Table1[[#This Row],[Strike]], 0.0411, Table1[[#This Row],[T]], ((Table1[[#This Row],[BIDC]]+Table1[[#This Row],[ASKC]])/2), TRUE))</f>
        <v>0</v>
      </c>
      <c r="I42" t="b">
        <f>IF(
    ISNUMBER(Table1[[#This Row],[Strike]]),RTD("tos.rtd", , "BID", "."&amp;Table1[[#This Row],[Ticker]]&amp;Table1[[#This Row],[Expiry]]&amp;""&amp;"C"&amp;Table1[[#This Row],[Strike]]))</f>
        <v>0</v>
      </c>
      <c r="J42" t="b">
        <f>IF(
    ISNUMBER(Table1[[#This Row],[Strike]]),RTD("tos.rtd", , "ASK", "."&amp;Table1[[#This Row],[Ticker]]&amp;Table1[[#This Row],[Expiry]]&amp;""&amp;"C"&amp;Table1[[#This Row],[Strike]]))</f>
        <v>0</v>
      </c>
      <c r="K4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2" s="17" cm="1">
        <f t="array" aca="1" ref="L4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2" s="1">
        <f t="shared" si="5"/>
        <v>46045</v>
      </c>
      <c r="N42" t="b">
        <f t="shared" si="6"/>
        <v>0</v>
      </c>
      <c r="P42" s="17" t="b" cm="1">
        <f t="array" ref="P42">IF(
    ISNUMBER(Table1[[#This Row],[Strike]]),IndividualLegIVCore($A$4, Table1[[#This Row],[Strike]], 0.0411, Table1[[#This Row],[T]], ((Table1[[#This Row],[BIDP]]+Table1[[#This Row],[ASKP]])/2), FALSE))</f>
        <v>0</v>
      </c>
      <c r="Q42" t="b">
        <f>IF(
    ISNUMBER(Table1[[#This Row],[Strike]]),RTD("tos.rtd", , "BID", "."&amp;Table1[[#This Row],[Ticker]]&amp;Table1[[#This Row],[Expiry]]&amp;""&amp;"P"&amp;Table1[[#This Row],[Strike]]))</f>
        <v>0</v>
      </c>
      <c r="R42" t="b">
        <f>IF(
    ISNUMBER(Table1[[#This Row],[Strike]]),RTD("tos.rtd", , "ASK", "."&amp;Table1[[#This Row],[Ticker]]&amp;Table1[[#This Row],[Expiry]]&amp;""&amp;"P"&amp;Table1[[#This Row],[Strike]]))</f>
        <v>0</v>
      </c>
      <c r="S42" s="17"/>
      <c r="T42" t="b">
        <f>IF(
    ISNUMBER(Table1[[#This Row],[Strike]]),RTD("tos.rtd", , "OPEN_INT", "."&amp;Table1[[#This Row],[Ticker]]&amp;Table1[[#This Row],[Expiry]]&amp;""&amp;"P"&amp;Table1[[#This Row],[Strike]]))</f>
        <v>0</v>
      </c>
      <c r="U4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2" t="b">
        <f>IF(
    ISNUMBER(Table1[[#This Row],[Strike]]),RTD("tos.rtd", , "DELTA", "."&amp;Table1[[#This Row],[Ticker]]&amp;Table1[[#This Row],[Expiry]]&amp;""&amp;"P"&amp;Table1[[#This Row],[Strike]]))</f>
        <v>0</v>
      </c>
      <c r="Y42" s="19">
        <f>-34 * IF($M$1="NDX", 10, IF(OR($M$1="SPX", $M$1="RUT"), 2, 1))</f>
        <v>-68</v>
      </c>
      <c r="Z42">
        <f ca="1">IFERROR(Table1[[#This Row],[call gamma]]*(Table1[[#This Row],[Open.Int]])*$A$4^2,0)</f>
        <v>0</v>
      </c>
      <c r="AA42">
        <f ca="1">IFERROR(((Table1[[#This Row],[Open.Int8]])*Table1[[#This Row],[Put gamma]])*-1*$A$4^2,0)</f>
        <v>0</v>
      </c>
      <c r="AB42">
        <f ca="1">(Table1[[#This Row],[Call Gex]]+Table1[[#This Row],[Put Gex]])</f>
        <v>0</v>
      </c>
      <c r="AC42">
        <f ca="1">Table1[[#This Row],[call delta adj]]+Table1[[#This Row],[put delta adj]]</f>
        <v>0</v>
      </c>
      <c r="AD42">
        <f ca="1">Table1[[#This Row],[Put Gex]]*Table1[[#This Row],[DeltaP]]*-1</f>
        <v>0</v>
      </c>
      <c r="AE42">
        <f ca="1">Table1[[#This Row],[Call Gex]]*Table1[[#This Row],[DeltaC]]</f>
        <v>0</v>
      </c>
      <c r="AF42">
        <f>IF(Table1[[#This Row],[DeltaC]]-ABS(Table1[[#This Row],[DeltaP]])="0","0.01",Table1[[#This Row],[DeltaC]]-ABS(Table1[[#This Row],[DeltaP]]))</f>
        <v>0</v>
      </c>
      <c r="AG42" t="e">
        <f ca="1">((LN($A$4/Table1[[#This Row],[Strike]]) + (0.411 + 0.5 * Table1[[#This Row],[IV Calc P]]^2) *Table1[[#This Row],[T]])) / (Table1[[#This Row],[IV Calc P]] * SQRT(Table1[[#This Row],[T]]))</f>
        <v>#DIV/0!</v>
      </c>
      <c r="AH42" t="e">
        <f ca="1">(LN($A$4/Table1[[#This Row],[Strike]]) + (0.411-0 + 0.5 * Table1[[#This Row],[IV Calc C]]^2) *Table1[[#This Row],[T]]) / (Table1[[#This Row],[IV Calc C]] * SQRT(Table1[[#This Row],[T]]))</f>
        <v>#DIV/0!</v>
      </c>
      <c r="AI42" t="e">
        <f ca="1">(EXP(-(AG42^2)/2)/SQRT(2*PI())*EXP(0*SQRT(Table1[[#This Row],[T]]))/$A$4*18%*SQRT(SQRT(Table1[[#This Row],[T]])))</f>
        <v>#DIV/0!</v>
      </c>
      <c r="AJ42" t="e">
        <f ca="1">(EXP(-(AH42^2)/2)/SQRT(2*PI())*EXP(0*SQRT(Table1[[#This Row],[T]]))/$A$4*18%*SQRT(SQRT(Table1[[#This Row],[T]])))</f>
        <v>#DIV/0!</v>
      </c>
      <c r="AK42" t="e">
        <f ca="1">Table1[[#This Row],[Call D1]]-Table1[[#This Row],[IV Calc C]]*SQRT(Table1[[#This Row],[T]])</f>
        <v>#DIV/0!</v>
      </c>
      <c r="AL42" t="e">
        <f ca="1">Table1[[#This Row],[Put D1]]-Table1[[#This Row],[IV Calc P]]*SQRT(Table1[[#This Row],[T]])</f>
        <v>#DIV/0!</v>
      </c>
      <c r="AM42" t="e">
        <f ca="1">EXP(-0.5*Table1[[#This Row],[Call D1]]^2)/SQRT(2*PI())</f>
        <v>#DIV/0!</v>
      </c>
      <c r="AN42" t="e">
        <f ca="1">EXP(-0.5*Table1[[#This Row],[Put D1]]^2)/SQRT(2*PI())</f>
        <v>#DIV/0!</v>
      </c>
      <c r="AO42">
        <f ca="1">IFERROR((EXP(0*Table1[[#This Row],[T]])*Table1[[#This Row],[call N(d1)]]*(Table1[[#This Row],[call d2]]/Table1[[#This Row],[IV Calc C]]))*Table1[[#This Row],[Open.Int]]*Table1[[#This Row],[DeltaC]],0)</f>
        <v>0</v>
      </c>
      <c r="AP42">
        <f ca="1">IFERROR((EXP(0*Table1[[#This Row],[T]])*Table1[[#This Row],[put N(d1)]]*(Table1[[#This Row],[put d2]]/Table1[[#This Row],[IV Calc P]]))*Table1[[#This Row],[Open.Int8]]*Table1[[#This Row],[DeltaP]]*-1,0)</f>
        <v>0</v>
      </c>
      <c r="AQ42">
        <f ca="1">((Table1[[#This Row],[call vanna]]+Table1[[#This Row],[put vanna]])*$A$4)</f>
        <v>0</v>
      </c>
      <c r="AR4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2" s="9" t="str" cm="1">
        <f t="array" ref="AT42">_xlfn.IFS(     $M$1="SPX","SPXW",     $M$1="RUT","RUTW",  $M$1="NDX","NDXP",   TRUE,$M$1 )</f>
        <v>SPXW</v>
      </c>
      <c r="AU42" s="2">
        <f t="shared" si="7"/>
        <v>6915</v>
      </c>
      <c r="AV42" t="str">
        <f t="shared" si="8"/>
        <v>260123</v>
      </c>
      <c r="AW42" s="19">
        <f ca="1">IFERROR((EXP(0*Table1[[#This Row],[T]])*Table1[[#This Row],[put N(d1)]]*(Table1[[#This Row],[put d2]]/Table1[[#This Row],[IV Calc P]]))*Table1[[#This Row],[Open.Int8]]*Table1[[#This Row],[DeltaP]]*-1,0)</f>
        <v>0</v>
      </c>
      <c r="AX42">
        <f ca="1">IFERROR((EXP(0*Table1[[#This Row],[T]])*Table1[[#This Row],[call N(d1)]]*(Table1[[#This Row],[call d2]]/Table1[[#This Row],[IV Calc C]]))*Table1[[#This Row],[Open.Int]]*Table1[[#This Row],[DeltaC]],0)</f>
        <v>0</v>
      </c>
      <c r="AY4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2">
        <f>((Table1[[#This Row],[High C]]+Table1[[#This Row],[Low C]])/2)*Table1[[#This Row],[gammac]]*Table1[[#This Row],[Volume]]</f>
        <v>0</v>
      </c>
      <c r="BD42">
        <f>((Table1[[#This Row],[High P]]+Table1[[#This Row],[Low P]])/2)*Table1[[#This Row],[gammap]]*Table1[[#This Row],[Volume9]]*-1</f>
        <v>0</v>
      </c>
      <c r="BE42">
        <f>(Table1[[#This Row],[SgammaC]]+Table1[[#This Row],[SgammaP]])*$A$4*-100</f>
        <v>0</v>
      </c>
      <c r="BF42">
        <f>Table1[[#This Row],[DEXc]]+Table1[[#This Row],[DEXp]]</f>
        <v>0</v>
      </c>
      <c r="BG42">
        <f>IFERROR(Table1[[#This Row],[DeltaC]]*Table1[[#This Row],[Open.Int]]*$A$4,0)</f>
        <v>0</v>
      </c>
      <c r="BH42" s="80">
        <f>IFERROR(Table1[[#This Row],[DeltaP]]*Table1[[#This Row],[Open.Int8]]*$A$4,0)</f>
        <v>0</v>
      </c>
      <c r="BI42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2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2">
        <f ca="1">Table1[[#This Row],[Charmc]]+Table1[[#This Row],[Charmp]]</f>
        <v>0</v>
      </c>
      <c r="BL4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2" s="78">
        <f ca="1">Table1[[#This Row],[call helper]]+Table1[[#This Row],[put helper]]</f>
        <v>0</v>
      </c>
      <c r="BP42" t="str">
        <f>RTD("tos.rtd", , "STRIKE", "."&amp;Table1[[#This Row],[Ticker]]&amp;Table1[[#This Row],[Expiry]]&amp;""&amp;"C"&amp;Table1[[#This Row],[Spot]]+Table1[[#This Row],[step]])</f>
        <v>N/A</v>
      </c>
      <c r="BQ42">
        <v>6975</v>
      </c>
      <c r="BV42">
        <f ca="1"/>
        <v>6975</v>
      </c>
      <c r="BW42">
        <f ca="1"/>
        <v>145625.45643899566</v>
      </c>
      <c r="BX42">
        <f ca="1"/>
        <v>-41478.166600485718</v>
      </c>
      <c r="BY42" s="17">
        <f ca="1"/>
        <v>0.16876131167352071</v>
      </c>
      <c r="BZ42">
        <f ca="1"/>
        <v>60</v>
      </c>
      <c r="CA42">
        <f ca="1"/>
        <v>-6895497.9741484486</v>
      </c>
      <c r="CB42">
        <f ca="1"/>
        <v>-9205990.7287986744</v>
      </c>
    </row>
    <row r="43" spans="1:80" x14ac:dyDescent="0.25">
      <c r="A43">
        <f t="shared" ca="1" si="4"/>
        <v>2.5814307458086375E-3</v>
      </c>
      <c r="C43" s="17"/>
      <c r="D43" t="b">
        <f>IF(
    ISNUMBER(Table1[[#This Row],[Strike]]),RTD("tos.rtd", , "OPEN_INT", "."&amp;Table1[[#This Row],[Ticker]]&amp;Table1[[#This Row],[Expiry]]&amp;""&amp;"C"&amp;Table1[[#This Row],[Strike]]))</f>
        <v>0</v>
      </c>
      <c r="E4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3" t="b">
        <f>IF(
    ISNUMBER(Table1[[#This Row],[Strike]]),RTD("tos.rtd", , "DELTA", "."&amp;Table1[[#This Row],[Ticker]]&amp;Table1[[#This Row],[Expiry]]&amp;""&amp;"C"&amp;Table1[[#This Row],[Strike]]))</f>
        <v>0</v>
      </c>
      <c r="H43" s="17" t="b" cm="1">
        <f t="array" ref="H43">IF(
    ISNUMBER(Table1[[#This Row],[Strike]]),IndividualLegIVCore($A$4, Table1[[#This Row],[Strike]], 0.0411, Table1[[#This Row],[T]], ((Table1[[#This Row],[BIDC]]+Table1[[#This Row],[ASKC]])/2), TRUE))</f>
        <v>0</v>
      </c>
      <c r="I43" t="b">
        <f>IF(
    ISNUMBER(Table1[[#This Row],[Strike]]),RTD("tos.rtd", , "BID", "."&amp;Table1[[#This Row],[Ticker]]&amp;Table1[[#This Row],[Expiry]]&amp;""&amp;"C"&amp;Table1[[#This Row],[Strike]]))</f>
        <v>0</v>
      </c>
      <c r="J43" t="b">
        <f>IF(
    ISNUMBER(Table1[[#This Row],[Strike]]),RTD("tos.rtd", , "ASK", "."&amp;Table1[[#This Row],[Ticker]]&amp;Table1[[#This Row],[Expiry]]&amp;""&amp;"C"&amp;Table1[[#This Row],[Strike]]))</f>
        <v>0</v>
      </c>
      <c r="K4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3" s="17" cm="1">
        <f t="array" aca="1" ref="L4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3" s="1">
        <f t="shared" si="5"/>
        <v>46045</v>
      </c>
      <c r="N43" t="b">
        <f t="shared" si="6"/>
        <v>0</v>
      </c>
      <c r="P43" s="17" t="b" cm="1">
        <f t="array" ref="P43">IF(
    ISNUMBER(Table1[[#This Row],[Strike]]),IndividualLegIVCore($A$4, Table1[[#This Row],[Strike]], 0.0411, Table1[[#This Row],[T]], ((Table1[[#This Row],[BIDP]]+Table1[[#This Row],[ASKP]])/2), FALSE))</f>
        <v>0</v>
      </c>
      <c r="Q43" t="b">
        <f>IF(
    ISNUMBER(Table1[[#This Row],[Strike]]),RTD("tos.rtd", , "BID", "."&amp;Table1[[#This Row],[Ticker]]&amp;Table1[[#This Row],[Expiry]]&amp;""&amp;"P"&amp;Table1[[#This Row],[Strike]]))</f>
        <v>0</v>
      </c>
      <c r="R43" t="b">
        <f>IF(
    ISNUMBER(Table1[[#This Row],[Strike]]),RTD("tos.rtd", , "ASK", "."&amp;Table1[[#This Row],[Ticker]]&amp;Table1[[#This Row],[Expiry]]&amp;""&amp;"P"&amp;Table1[[#This Row],[Strike]]))</f>
        <v>0</v>
      </c>
      <c r="S43" s="17"/>
      <c r="T43" t="b">
        <f>IF(
    ISNUMBER(Table1[[#This Row],[Strike]]),RTD("tos.rtd", , "OPEN_INT", "."&amp;Table1[[#This Row],[Ticker]]&amp;Table1[[#This Row],[Expiry]]&amp;""&amp;"P"&amp;Table1[[#This Row],[Strike]]))</f>
        <v>0</v>
      </c>
      <c r="U4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3" t="b">
        <f>IF(
    ISNUMBER(Table1[[#This Row],[Strike]]),RTD("tos.rtd", , "DELTA", "."&amp;Table1[[#This Row],[Ticker]]&amp;Table1[[#This Row],[Expiry]]&amp;""&amp;"P"&amp;Table1[[#This Row],[Strike]]))</f>
        <v>0</v>
      </c>
      <c r="Y43" s="19">
        <f>-33.5 * IF($M$1="NDX", 10, IF(OR($M$1="SPX", $M$1="RUT"), 2, 1))</f>
        <v>-67</v>
      </c>
      <c r="Z43">
        <f ca="1">IFERROR(Table1[[#This Row],[call gamma]]*(Table1[[#This Row],[Open.Int]])*$A$4^2,0)</f>
        <v>0</v>
      </c>
      <c r="AA43">
        <f ca="1">IFERROR(((Table1[[#This Row],[Open.Int8]])*Table1[[#This Row],[Put gamma]])*-1*$A$4^2,0)</f>
        <v>0</v>
      </c>
      <c r="AB43">
        <f ca="1">(Table1[[#This Row],[Call Gex]]+Table1[[#This Row],[Put Gex]])</f>
        <v>0</v>
      </c>
      <c r="AC43">
        <f ca="1">Table1[[#This Row],[call delta adj]]+Table1[[#This Row],[put delta adj]]</f>
        <v>0</v>
      </c>
      <c r="AD43">
        <f ca="1">Table1[[#This Row],[Put Gex]]*Table1[[#This Row],[DeltaP]]*-1</f>
        <v>0</v>
      </c>
      <c r="AE43">
        <f ca="1">Table1[[#This Row],[Call Gex]]*Table1[[#This Row],[DeltaC]]</f>
        <v>0</v>
      </c>
      <c r="AF43">
        <f>IF(Table1[[#This Row],[DeltaC]]-ABS(Table1[[#This Row],[DeltaP]])="0","0.01",Table1[[#This Row],[DeltaC]]-ABS(Table1[[#This Row],[DeltaP]]))</f>
        <v>0</v>
      </c>
      <c r="AG43" t="e">
        <f ca="1">((LN($A$4/Table1[[#This Row],[Strike]]) + (0.411 + 0.5 * Table1[[#This Row],[IV Calc P]]^2) *Table1[[#This Row],[T]])) / (Table1[[#This Row],[IV Calc P]] * SQRT(Table1[[#This Row],[T]]))</f>
        <v>#DIV/0!</v>
      </c>
      <c r="AH43" t="e">
        <f ca="1">(LN($A$4/Table1[[#This Row],[Strike]]) + (0.411-0 + 0.5 * Table1[[#This Row],[IV Calc C]]^2) *Table1[[#This Row],[T]]) / (Table1[[#This Row],[IV Calc C]] * SQRT(Table1[[#This Row],[T]]))</f>
        <v>#DIV/0!</v>
      </c>
      <c r="AI43" t="e">
        <f ca="1">(EXP(-(AG43^2)/2)/SQRT(2*PI())*EXP(0*SQRT(Table1[[#This Row],[T]]))/$A$4*18%*SQRT(SQRT(Table1[[#This Row],[T]])))</f>
        <v>#DIV/0!</v>
      </c>
      <c r="AJ43" t="e">
        <f ca="1">(EXP(-(AH43^2)/2)/SQRT(2*PI())*EXP(0*SQRT(Table1[[#This Row],[T]]))/$A$4*18%*SQRT(SQRT(Table1[[#This Row],[T]])))</f>
        <v>#DIV/0!</v>
      </c>
      <c r="AK43" t="e">
        <f ca="1">Table1[[#This Row],[Call D1]]-Table1[[#This Row],[IV Calc C]]*SQRT(Table1[[#This Row],[T]])</f>
        <v>#DIV/0!</v>
      </c>
      <c r="AL43" t="e">
        <f ca="1">Table1[[#This Row],[Put D1]]-Table1[[#This Row],[IV Calc P]]*SQRT(Table1[[#This Row],[T]])</f>
        <v>#DIV/0!</v>
      </c>
      <c r="AM43" t="e">
        <f ca="1">EXP(-0.5*Table1[[#This Row],[Call D1]]^2)/SQRT(2*PI())</f>
        <v>#DIV/0!</v>
      </c>
      <c r="AN43" t="e">
        <f ca="1">EXP(-0.5*Table1[[#This Row],[Put D1]]^2)/SQRT(2*PI())</f>
        <v>#DIV/0!</v>
      </c>
      <c r="AO43">
        <f ca="1">IFERROR((EXP(0*Table1[[#This Row],[T]])*Table1[[#This Row],[call N(d1)]]*(Table1[[#This Row],[call d2]]/Table1[[#This Row],[IV Calc C]]))*Table1[[#This Row],[Open.Int]]*Table1[[#This Row],[DeltaC]],0)</f>
        <v>0</v>
      </c>
      <c r="AP43">
        <f ca="1">IFERROR((EXP(0*Table1[[#This Row],[T]])*Table1[[#This Row],[put N(d1)]]*(Table1[[#This Row],[put d2]]/Table1[[#This Row],[IV Calc P]]))*Table1[[#This Row],[Open.Int8]]*Table1[[#This Row],[DeltaP]]*-1,0)</f>
        <v>0</v>
      </c>
      <c r="AQ43">
        <f ca="1">((Table1[[#This Row],[call vanna]]+Table1[[#This Row],[put vanna]])*$A$4)</f>
        <v>0</v>
      </c>
      <c r="AR4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3" s="9" t="str" cm="1">
        <f t="array" ref="AT43">_xlfn.IFS(     $M$1="SPX","SPXW",     $M$1="RUT","RUTW",  $M$1="NDX","NDXP",   TRUE,$M$1 )</f>
        <v>SPXW</v>
      </c>
      <c r="AU43" s="2">
        <f t="shared" si="7"/>
        <v>6915</v>
      </c>
      <c r="AV43" t="str">
        <f t="shared" si="8"/>
        <v>260123</v>
      </c>
      <c r="AW43" s="19">
        <f ca="1">IFERROR((EXP(0*Table1[[#This Row],[T]])*Table1[[#This Row],[put N(d1)]]*(Table1[[#This Row],[put d2]]/Table1[[#This Row],[IV Calc P]]))*Table1[[#This Row],[Open.Int8]]*Table1[[#This Row],[DeltaP]]*-1,0)</f>
        <v>0</v>
      </c>
      <c r="AX43">
        <f ca="1">IFERROR((EXP(0*Table1[[#This Row],[T]])*Table1[[#This Row],[call N(d1)]]*(Table1[[#This Row],[call d2]]/Table1[[#This Row],[IV Calc C]]))*Table1[[#This Row],[Open.Int]]*Table1[[#This Row],[DeltaC]],0)</f>
        <v>0</v>
      </c>
      <c r="AY4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3">
        <f>((Table1[[#This Row],[High C]]+Table1[[#This Row],[Low C]])/2)*Table1[[#This Row],[gammac]]*Table1[[#This Row],[Volume]]</f>
        <v>0</v>
      </c>
      <c r="BD43">
        <f>((Table1[[#This Row],[High P]]+Table1[[#This Row],[Low P]])/2)*Table1[[#This Row],[gammap]]*Table1[[#This Row],[Volume9]]*-1</f>
        <v>0</v>
      </c>
      <c r="BE43">
        <f>(Table1[[#This Row],[SgammaC]]+Table1[[#This Row],[SgammaP]])*$A$4*-100</f>
        <v>0</v>
      </c>
      <c r="BF43">
        <f>Table1[[#This Row],[DEXc]]+Table1[[#This Row],[DEXp]]</f>
        <v>0</v>
      </c>
      <c r="BG43">
        <f>IFERROR(Table1[[#This Row],[DeltaC]]*Table1[[#This Row],[Open.Int]]*$A$4,0)</f>
        <v>0</v>
      </c>
      <c r="BH43" s="80">
        <f>IFERROR(Table1[[#This Row],[DeltaP]]*Table1[[#This Row],[Open.Int8]]*$A$4,0)</f>
        <v>0</v>
      </c>
      <c r="BI43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3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3">
        <f ca="1">Table1[[#This Row],[Charmc]]+Table1[[#This Row],[Charmp]]</f>
        <v>0</v>
      </c>
      <c r="BL4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3" s="78">
        <f ca="1">Table1[[#This Row],[call helper]]+Table1[[#This Row],[put helper]]</f>
        <v>0</v>
      </c>
      <c r="BP43" t="str">
        <f>RTD("tos.rtd", , "STRIKE", "."&amp;Table1[[#This Row],[Ticker]]&amp;Table1[[#This Row],[Expiry]]&amp;""&amp;"C"&amp;Table1[[#This Row],[Spot]]+Table1[[#This Row],[step]])</f>
        <v>N/A</v>
      </c>
      <c r="BQ43">
        <v>6980</v>
      </c>
      <c r="BV43">
        <f ca="1"/>
        <v>6980</v>
      </c>
      <c r="BW43">
        <f ca="1"/>
        <v>56817.868255114336</v>
      </c>
      <c r="BX43">
        <f ca="1"/>
        <v>-32433.220482777062</v>
      </c>
      <c r="BY43" s="17">
        <f ca="1"/>
        <v>0.17642013420034691</v>
      </c>
      <c r="BZ43">
        <f ca="1"/>
        <v>65</v>
      </c>
      <c r="CA43">
        <f ca="1"/>
        <v>-4013669.2913381965</v>
      </c>
      <c r="CB43">
        <f ca="1"/>
        <v>-4744837.4928641394</v>
      </c>
    </row>
    <row r="44" spans="1:80" x14ac:dyDescent="0.25">
      <c r="A44">
        <f t="shared" ca="1" si="4"/>
        <v>2.5814307458086375E-3</v>
      </c>
      <c r="C44" s="17"/>
      <c r="D44" t="b">
        <f>IF(
    ISNUMBER(Table1[[#This Row],[Strike]]),RTD("tos.rtd", , "OPEN_INT", "."&amp;Table1[[#This Row],[Ticker]]&amp;Table1[[#This Row],[Expiry]]&amp;""&amp;"C"&amp;Table1[[#This Row],[Strike]]))</f>
        <v>0</v>
      </c>
      <c r="E4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4" t="b">
        <f>IF(
    ISNUMBER(Table1[[#This Row],[Strike]]),RTD("tos.rtd", , "DELTA", "."&amp;Table1[[#This Row],[Ticker]]&amp;Table1[[#This Row],[Expiry]]&amp;""&amp;"C"&amp;Table1[[#This Row],[Strike]]))</f>
        <v>0</v>
      </c>
      <c r="H44" s="17" t="b" cm="1">
        <f t="array" ref="H44">IF(
    ISNUMBER(Table1[[#This Row],[Strike]]),IndividualLegIVCore($A$4, Table1[[#This Row],[Strike]], 0.0411, Table1[[#This Row],[T]], ((Table1[[#This Row],[BIDC]]+Table1[[#This Row],[ASKC]])/2), TRUE))</f>
        <v>0</v>
      </c>
      <c r="I44" t="b">
        <f>IF(
    ISNUMBER(Table1[[#This Row],[Strike]]),RTD("tos.rtd", , "BID", "."&amp;Table1[[#This Row],[Ticker]]&amp;Table1[[#This Row],[Expiry]]&amp;""&amp;"C"&amp;Table1[[#This Row],[Strike]]))</f>
        <v>0</v>
      </c>
      <c r="J44" t="b">
        <f>IF(
    ISNUMBER(Table1[[#This Row],[Strike]]),RTD("tos.rtd", , "ASK", "."&amp;Table1[[#This Row],[Ticker]]&amp;Table1[[#This Row],[Expiry]]&amp;""&amp;"C"&amp;Table1[[#This Row],[Strike]]))</f>
        <v>0</v>
      </c>
      <c r="K4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4" s="17" cm="1">
        <f t="array" aca="1" ref="L4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4" s="1">
        <f t="shared" si="5"/>
        <v>46045</v>
      </c>
      <c r="N44" t="b">
        <f t="shared" si="6"/>
        <v>0</v>
      </c>
      <c r="P44" s="17" t="b" cm="1">
        <f t="array" ref="P44">IF(
    ISNUMBER(Table1[[#This Row],[Strike]]),IndividualLegIVCore($A$4, Table1[[#This Row],[Strike]], 0.0411, Table1[[#This Row],[T]], ((Table1[[#This Row],[BIDP]]+Table1[[#This Row],[ASKP]])/2), FALSE))</f>
        <v>0</v>
      </c>
      <c r="Q44" t="b">
        <f>IF(
    ISNUMBER(Table1[[#This Row],[Strike]]),RTD("tos.rtd", , "BID", "."&amp;Table1[[#This Row],[Ticker]]&amp;Table1[[#This Row],[Expiry]]&amp;""&amp;"P"&amp;Table1[[#This Row],[Strike]]))</f>
        <v>0</v>
      </c>
      <c r="R44" t="b">
        <f>IF(
    ISNUMBER(Table1[[#This Row],[Strike]]),RTD("tos.rtd", , "ASK", "."&amp;Table1[[#This Row],[Ticker]]&amp;Table1[[#This Row],[Expiry]]&amp;""&amp;"P"&amp;Table1[[#This Row],[Strike]]))</f>
        <v>0</v>
      </c>
      <c r="S44" s="17"/>
      <c r="T44" t="b">
        <f>IF(
    ISNUMBER(Table1[[#This Row],[Strike]]),RTD("tos.rtd", , "OPEN_INT", "."&amp;Table1[[#This Row],[Ticker]]&amp;Table1[[#This Row],[Expiry]]&amp;""&amp;"P"&amp;Table1[[#This Row],[Strike]]))</f>
        <v>0</v>
      </c>
      <c r="U4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4" t="b">
        <f>IF(
    ISNUMBER(Table1[[#This Row],[Strike]]),RTD("tos.rtd", , "DELTA", "."&amp;Table1[[#This Row],[Ticker]]&amp;Table1[[#This Row],[Expiry]]&amp;""&amp;"P"&amp;Table1[[#This Row],[Strike]]))</f>
        <v>0</v>
      </c>
      <c r="Y44" s="19">
        <f>-33 * IF($M$1="NDX", 10, IF(OR($M$1="SPX", $M$1="RUT"), 2, 1))</f>
        <v>-66</v>
      </c>
      <c r="Z44">
        <f ca="1">IFERROR(Table1[[#This Row],[call gamma]]*(Table1[[#This Row],[Open.Int]])*$A$4^2,0)</f>
        <v>0</v>
      </c>
      <c r="AA44">
        <f ca="1">IFERROR(((Table1[[#This Row],[Open.Int8]])*Table1[[#This Row],[Put gamma]])*-1*$A$4^2,0)</f>
        <v>0</v>
      </c>
      <c r="AB44">
        <f ca="1">(Table1[[#This Row],[Call Gex]]+Table1[[#This Row],[Put Gex]])</f>
        <v>0</v>
      </c>
      <c r="AC44">
        <f ca="1">Table1[[#This Row],[call delta adj]]+Table1[[#This Row],[put delta adj]]</f>
        <v>0</v>
      </c>
      <c r="AD44">
        <f ca="1">Table1[[#This Row],[Put Gex]]*Table1[[#This Row],[DeltaP]]*-1</f>
        <v>0</v>
      </c>
      <c r="AE44">
        <f ca="1">Table1[[#This Row],[Call Gex]]*Table1[[#This Row],[DeltaC]]</f>
        <v>0</v>
      </c>
      <c r="AF44">
        <f>IF(Table1[[#This Row],[DeltaC]]-ABS(Table1[[#This Row],[DeltaP]])="0","0.01",Table1[[#This Row],[DeltaC]]-ABS(Table1[[#This Row],[DeltaP]]))</f>
        <v>0</v>
      </c>
      <c r="AG44" t="e">
        <f ca="1">((LN($A$4/Table1[[#This Row],[Strike]]) + (0.411 + 0.5 * Table1[[#This Row],[IV Calc P]]^2) *Table1[[#This Row],[T]])) / (Table1[[#This Row],[IV Calc P]] * SQRT(Table1[[#This Row],[T]]))</f>
        <v>#DIV/0!</v>
      </c>
      <c r="AH44" t="e">
        <f ca="1">(LN($A$4/Table1[[#This Row],[Strike]]) + (0.411-0 + 0.5 * Table1[[#This Row],[IV Calc C]]^2) *Table1[[#This Row],[T]]) / (Table1[[#This Row],[IV Calc C]] * SQRT(Table1[[#This Row],[T]]))</f>
        <v>#DIV/0!</v>
      </c>
      <c r="AI44" t="e">
        <f ca="1">(EXP(-(AG44^2)/2)/SQRT(2*PI())*EXP(0*SQRT(Table1[[#This Row],[T]]))/$A$4*18%*SQRT(SQRT(Table1[[#This Row],[T]])))</f>
        <v>#DIV/0!</v>
      </c>
      <c r="AJ44" t="e">
        <f ca="1">(EXP(-(AH44^2)/2)/SQRT(2*PI())*EXP(0*SQRT(Table1[[#This Row],[T]]))/$A$4*18%*SQRT(SQRT(Table1[[#This Row],[T]])))</f>
        <v>#DIV/0!</v>
      </c>
      <c r="AK44" t="e">
        <f ca="1">Table1[[#This Row],[Call D1]]-Table1[[#This Row],[IV Calc C]]*SQRT(Table1[[#This Row],[T]])</f>
        <v>#DIV/0!</v>
      </c>
      <c r="AL44" t="e">
        <f ca="1">Table1[[#This Row],[Put D1]]-Table1[[#This Row],[IV Calc P]]*SQRT(Table1[[#This Row],[T]])</f>
        <v>#DIV/0!</v>
      </c>
      <c r="AM44" t="e">
        <f ca="1">EXP(-0.5*Table1[[#This Row],[Call D1]]^2)/SQRT(2*PI())</f>
        <v>#DIV/0!</v>
      </c>
      <c r="AN44" t="e">
        <f ca="1">EXP(-0.5*Table1[[#This Row],[Put D1]]^2)/SQRT(2*PI())</f>
        <v>#DIV/0!</v>
      </c>
      <c r="AO44">
        <f ca="1">IFERROR((EXP(0*Table1[[#This Row],[T]])*Table1[[#This Row],[call N(d1)]]*(Table1[[#This Row],[call d2]]/Table1[[#This Row],[IV Calc C]]))*Table1[[#This Row],[Open.Int]]*Table1[[#This Row],[DeltaC]],0)</f>
        <v>0</v>
      </c>
      <c r="AP44">
        <f ca="1">IFERROR((EXP(0*Table1[[#This Row],[T]])*Table1[[#This Row],[put N(d1)]]*(Table1[[#This Row],[put d2]]/Table1[[#This Row],[IV Calc P]]))*Table1[[#This Row],[Open.Int8]]*Table1[[#This Row],[DeltaP]]*-1,0)</f>
        <v>0</v>
      </c>
      <c r="AQ44">
        <f ca="1">((Table1[[#This Row],[call vanna]]+Table1[[#This Row],[put vanna]])*$A$4)</f>
        <v>0</v>
      </c>
      <c r="AR4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4" s="9" t="str" cm="1">
        <f t="array" ref="AT44">_xlfn.IFS(     $M$1="SPX","SPXW",     $M$1="RUT","RUTW",  $M$1="NDX","NDXP",   TRUE,$M$1 )</f>
        <v>SPXW</v>
      </c>
      <c r="AU44" s="2">
        <f t="shared" si="7"/>
        <v>6915</v>
      </c>
      <c r="AV44" t="str">
        <f t="shared" si="8"/>
        <v>260123</v>
      </c>
      <c r="AW44" s="19">
        <f ca="1">IFERROR((EXP(0*Table1[[#This Row],[T]])*Table1[[#This Row],[put N(d1)]]*(Table1[[#This Row],[put d2]]/Table1[[#This Row],[IV Calc P]]))*Table1[[#This Row],[Open.Int8]]*Table1[[#This Row],[DeltaP]]*-1,0)</f>
        <v>0</v>
      </c>
      <c r="AX44">
        <f ca="1">IFERROR((EXP(0*Table1[[#This Row],[T]])*Table1[[#This Row],[call N(d1)]]*(Table1[[#This Row],[call d2]]/Table1[[#This Row],[IV Calc C]]))*Table1[[#This Row],[Open.Int]]*Table1[[#This Row],[DeltaC]],0)</f>
        <v>0</v>
      </c>
      <c r="AY4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4">
        <f>((Table1[[#This Row],[High C]]+Table1[[#This Row],[Low C]])/2)*Table1[[#This Row],[gammac]]*Table1[[#This Row],[Volume]]</f>
        <v>0</v>
      </c>
      <c r="BD44">
        <f>((Table1[[#This Row],[High P]]+Table1[[#This Row],[Low P]])/2)*Table1[[#This Row],[gammap]]*Table1[[#This Row],[Volume9]]*-1</f>
        <v>0</v>
      </c>
      <c r="BE44">
        <f>(Table1[[#This Row],[SgammaC]]+Table1[[#This Row],[SgammaP]])*$A$4*-100</f>
        <v>0</v>
      </c>
      <c r="BF44">
        <f>Table1[[#This Row],[DEXc]]+Table1[[#This Row],[DEXp]]</f>
        <v>0</v>
      </c>
      <c r="BG44">
        <f>IFERROR(Table1[[#This Row],[DeltaC]]*Table1[[#This Row],[Open.Int]]*$A$4,0)</f>
        <v>0</v>
      </c>
      <c r="BH44" s="80">
        <f>IFERROR(Table1[[#This Row],[DeltaP]]*Table1[[#This Row],[Open.Int8]]*$A$4,0)</f>
        <v>0</v>
      </c>
      <c r="BI44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4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4">
        <f ca="1">Table1[[#This Row],[Charmc]]+Table1[[#This Row],[Charmp]]</f>
        <v>0</v>
      </c>
      <c r="BL4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4" s="78">
        <f ca="1">Table1[[#This Row],[call helper]]+Table1[[#This Row],[put helper]]</f>
        <v>0</v>
      </c>
      <c r="BP44" t="str">
        <f>RTD("tos.rtd", , "STRIKE", "."&amp;Table1[[#This Row],[Ticker]]&amp;Table1[[#This Row],[Expiry]]&amp;""&amp;"C"&amp;Table1[[#This Row],[Spot]]+Table1[[#This Row],[step]])</f>
        <v>N/A</v>
      </c>
      <c r="BQ44">
        <v>6985</v>
      </c>
      <c r="BV44">
        <f ca="1"/>
        <v>6985</v>
      </c>
      <c r="BW44">
        <f ca="1"/>
        <v>153466.89966780978</v>
      </c>
      <c r="BX44">
        <f ca="1"/>
        <v>-15751.766369354218</v>
      </c>
      <c r="BY44" s="17">
        <f ca="1"/>
        <v>0.18394027739344745</v>
      </c>
      <c r="BZ44">
        <f ca="1"/>
        <v>70</v>
      </c>
      <c r="CA44">
        <f ca="1"/>
        <v>-3598930.0551118096</v>
      </c>
      <c r="CB44">
        <f ca="1"/>
        <v>-8557272.3658886869</v>
      </c>
    </row>
    <row r="45" spans="1:80" x14ac:dyDescent="0.25">
      <c r="A45">
        <f t="shared" ca="1" si="4"/>
        <v>2.5814307458086375E-3</v>
      </c>
      <c r="C45" s="17"/>
      <c r="D45">
        <f>IF(
    ISNUMBER(Table1[[#This Row],[Strike]]),RTD("tos.rtd", , "OPEN_INT", "."&amp;Table1[[#This Row],[Ticker]]&amp;Table1[[#This Row],[Expiry]]&amp;""&amp;"C"&amp;Table1[[#This Row],[Strike]]))</f>
        <v>3032</v>
      </c>
      <c r="E4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275</v>
      </c>
      <c r="G45">
        <f>IF(
    ISNUMBER(Table1[[#This Row],[Strike]]),RTD("tos.rtd", , "DELTA", "."&amp;Table1[[#This Row],[Ticker]]&amp;Table1[[#This Row],[Expiry]]&amp;""&amp;"C"&amp;Table1[[#This Row],[Strike]]))</f>
        <v>1</v>
      </c>
      <c r="H45" s="17" cm="1">
        <f t="array" aca="1" ref="H45" ca="1">IF(
    ISNUMBER(Table1[[#This Row],[Strike]]),IndividualLegIVCore($A$4, Table1[[#This Row],[Strike]], 0.0411, Table1[[#This Row],[T]], ((Table1[[#This Row],[BIDC]]+Table1[[#This Row],[ASKC]])/2), TRUE))</f>
        <v>0.01</v>
      </c>
      <c r="I45">
        <f>IF(
    ISNUMBER(Table1[[#This Row],[Strike]]),RTD("tos.rtd", , "BID", "."&amp;Table1[[#This Row],[Ticker]]&amp;Table1[[#This Row],[Expiry]]&amp;""&amp;"C"&amp;Table1[[#This Row],[Strike]]))</f>
        <v>62.7</v>
      </c>
      <c r="J45">
        <f>IF(
    ISNUMBER(Table1[[#This Row],[Strike]]),RTD("tos.rtd", , "ASK", "."&amp;Table1[[#This Row],[Ticker]]&amp;Table1[[#This Row],[Expiry]]&amp;""&amp;"C"&amp;Table1[[#This Row],[Strike]]))</f>
        <v>63.8</v>
      </c>
      <c r="K4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0.16665099106808279</v>
      </c>
      <c r="L45" s="17" cm="1">
        <f t="array" aca="1" ref="L45" ca="1">CubicSplineIVSmile($A$4, Table1[[#This Row],[Strike]], 0.0411, Table1[[#This Row],[T]], (Table1[[#This Row],[BIDC]]+Table1[[#This Row],[ASKC]])/2, (Table1[[#This Row],[BIDP]]+Table1[[#This Row],[ASKP]])/2, Table1[Strike], Table1[IV Calc AVG])</f>
        <v>0.16665099106808279</v>
      </c>
      <c r="M45" s="1">
        <f t="shared" si="5"/>
        <v>46045</v>
      </c>
      <c r="N45">
        <f t="shared" si="6"/>
        <v>6850</v>
      </c>
      <c r="P45" s="17" cm="1">
        <f t="array" aca="1" ref="P45" ca="1">IF(
    ISNUMBER(Table1[[#This Row],[Strike]]),IndividualLegIVCore($A$4, Table1[[#This Row],[Strike]], 0.0411, Table1[[#This Row],[T]], ((Table1[[#This Row],[BIDP]]+Table1[[#This Row],[ASKP]])/2), FALSE))</f>
        <v>0.16665099106808279</v>
      </c>
      <c r="Q45">
        <f>IF(
    ISNUMBER(Table1[[#This Row],[Strike]]),RTD("tos.rtd", , "BID", "."&amp;Table1[[#This Row],[Ticker]]&amp;Table1[[#This Row],[Expiry]]&amp;""&amp;"P"&amp;Table1[[#This Row],[Strike]]))</f>
        <v>3.9</v>
      </c>
      <c r="R45">
        <f>IF(
    ISNUMBER(Table1[[#This Row],[Strike]]),RTD("tos.rtd", , "ASK", "."&amp;Table1[[#This Row],[Ticker]]&amp;Table1[[#This Row],[Expiry]]&amp;""&amp;"P"&amp;Table1[[#This Row],[Strike]]))</f>
        <v>4.0999999999999996</v>
      </c>
      <c r="S45" s="17"/>
      <c r="T45">
        <f>IF(
    ISNUMBER(Table1[[#This Row],[Strike]]),RTD("tos.rtd", , "OPEN_INT", "."&amp;Table1[[#This Row],[Ticker]]&amp;Table1[[#This Row],[Expiry]]&amp;""&amp;"P"&amp;Table1[[#This Row],[Strike]]))</f>
        <v>5036</v>
      </c>
      <c r="U4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12680</v>
      </c>
      <c r="W45">
        <f>IF(
    ISNUMBER(Table1[[#This Row],[Strike]]),RTD("tos.rtd", , "DELTA", "."&amp;Table1[[#This Row],[Ticker]]&amp;Table1[[#This Row],[Expiry]]&amp;""&amp;"P"&amp;Table1[[#This Row],[Strike]]))</f>
        <v>-0.13</v>
      </c>
      <c r="Y45" s="19">
        <f>-32.5 * IF($M$1="NDX", 10, IF(OR($M$1="SPX", $M$1="RUT"), 2, 1))</f>
        <v>-65</v>
      </c>
      <c r="Z45">
        <f ca="1">IFERROR(Table1[[#This Row],[call gamma]]*(Table1[[#This Row],[Open.Int]])*$A$4^2,0)</f>
        <v>7.3059034337663598E-84</v>
      </c>
      <c r="AA45">
        <f ca="1">IFERROR(((Table1[[#This Row],[Open.Int8]])*Table1[[#This Row],[Put gamma]])*-1*$A$4^2,0)</f>
        <v>-268804.08046253206</v>
      </c>
      <c r="AB45">
        <f ca="1">(Table1[[#This Row],[Call Gex]]+Table1[[#This Row],[Put Gex]])</f>
        <v>-268804.08046253206</v>
      </c>
      <c r="AC45">
        <f ca="1">Table1[[#This Row],[call delta adj]]+Table1[[#This Row],[put delta adj]]</f>
        <v>-34944.530460129172</v>
      </c>
      <c r="AD45">
        <f ca="1">Table1[[#This Row],[Put Gex]]*Table1[[#This Row],[DeltaP]]*-1</f>
        <v>-34944.530460129172</v>
      </c>
      <c r="AE45">
        <f ca="1">Table1[[#This Row],[Call Gex]]*Table1[[#This Row],[DeltaC]]</f>
        <v>7.3059034337663598E-84</v>
      </c>
      <c r="AF45">
        <f>IF(Table1[[#This Row],[DeltaC]]-ABS(Table1[[#This Row],[DeltaP]])="0","0.01",Table1[[#This Row],[DeltaC]]-ABS(Table1[[#This Row],[DeltaP]]))</f>
        <v>0.87</v>
      </c>
      <c r="AG45">
        <f ca="1">((LN($A$4/Table1[[#This Row],[Strike]]) + (0.411 + 0.5 * Table1[[#This Row],[IV Calc P]]^2) *Table1[[#This Row],[T]])) / (Table1[[#This Row],[IV Calc P]] * SQRT(Table1[[#This Row],[T]]))</f>
        <v>1.2167572475175013</v>
      </c>
      <c r="AH45">
        <f ca="1">(LN($A$4/Table1[[#This Row],[Strike]]) + (0.411-0 + 0.5 * Table1[[#This Row],[IV Calc C]]^2) *Table1[[#This Row],[T]]) / (Table1[[#This Row],[IV Calc C]] * SQRT(Table1[[#This Row],[T]]))</f>
        <v>20.207081066779583</v>
      </c>
      <c r="AI45">
        <f ca="1">(EXP(-(AG45^2)/2)/SQRT(2*PI())*EXP(0*SQRT(Table1[[#This Row],[T]]))/$A$4*18%*SQRT(SQRT(Table1[[#This Row],[T]])))</f>
        <v>1.116793935520367E-6</v>
      </c>
      <c r="AJ45">
        <f ca="1">(EXP(-(AH45^2)/2)/SQRT(2*PI())*EXP(0*SQRT(Table1[[#This Row],[T]]))/$A$4*18%*SQRT(SQRT(Table1[[#This Row],[T]])))</f>
        <v>5.0415913648746693E-95</v>
      </c>
      <c r="AK45">
        <f ca="1">Table1[[#This Row],[Call D1]]-Table1[[#This Row],[IV Calc C]]*SQRT(Table1[[#This Row],[T]])</f>
        <v>20.206572988956232</v>
      </c>
      <c r="AL45">
        <f ca="1">Table1[[#This Row],[Put D1]]-Table1[[#This Row],[IV Calc P]]*SQRT(Table1[[#This Row],[T]])</f>
        <v>1.208290080237389</v>
      </c>
      <c r="AM45">
        <f ca="1">EXP(-0.5*Table1[[#This Row],[Call D1]]^2)/SQRT(2*PI())</f>
        <v>8.5905023627194387E-90</v>
      </c>
      <c r="AN45">
        <f ca="1">EXP(-0.5*Table1[[#This Row],[Put D1]]^2)/SQRT(2*PI())</f>
        <v>0.19029350551097171</v>
      </c>
      <c r="AO45">
        <f ca="1">IFERROR((EXP(0*Table1[[#This Row],[T]])*Table1[[#This Row],[call N(d1)]]*(Table1[[#This Row],[call d2]]/Table1[[#This Row],[IV Calc C]]))*Table1[[#This Row],[Open.Int]]*Table1[[#This Row],[DeltaC]],0)</f>
        <v>5.2630854662840486E-83</v>
      </c>
      <c r="AP45">
        <f ca="1">IFERROR((EXP(0*Table1[[#This Row],[T]])*Table1[[#This Row],[put N(d1)]]*(Table1[[#This Row],[put d2]]/Table1[[#This Row],[IV Calc P]]))*Table1[[#This Row],[Open.Int8]]*Table1[[#This Row],[DeltaP]]*-1,0)</f>
        <v>903.2674277330334</v>
      </c>
      <c r="AQ45">
        <f ca="1">((Table1[[#This Row],[call vanna]]+Table1[[#This Row],[put vanna]])*$A$4)</f>
        <v>6244603.8715181667</v>
      </c>
      <c r="AR4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7.3059034337663598E-84</v>
      </c>
      <c r="AS4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-268804.08046253206</v>
      </c>
      <c r="AT45" s="9" t="str" cm="1">
        <f t="array" ref="AT45">_xlfn.IFS(     $M$1="SPX","SPXW",     $M$1="RUT","RUTW",  $M$1="NDX","NDXP",   TRUE,$M$1 )</f>
        <v>SPXW</v>
      </c>
      <c r="AU45" s="2">
        <f t="shared" si="7"/>
        <v>6915</v>
      </c>
      <c r="AV45" t="str">
        <f t="shared" si="8"/>
        <v>260123</v>
      </c>
      <c r="AW45" s="19">
        <f ca="1">IFERROR((EXP(0*Table1[[#This Row],[T]])*Table1[[#This Row],[put N(d1)]]*(Table1[[#This Row],[put d2]]/Table1[[#This Row],[IV Calc P]]))*Table1[[#This Row],[Open.Int8]]*Table1[[#This Row],[DeltaP]]*-1,0)</f>
        <v>903.2674277330334</v>
      </c>
      <c r="AX45">
        <f ca="1">IFERROR((EXP(0*Table1[[#This Row],[T]])*Table1[[#This Row],[call N(d1)]]*(Table1[[#This Row],[call d2]]/Table1[[#This Row],[IV Calc C]]))*Table1[[#This Row],[Open.Int]]*Table1[[#This Row],[DeltaC]],0)</f>
        <v>5.2630854662840486E-83</v>
      </c>
      <c r="AY45">
        <f>IF(
    ISNUMBER(Table1[[#This Row],[Strike]]),RTD("tos.rtd", , "high", "."&amp;Table1[[#This Row],[Ticker]]&amp;Table1[[#This Row],[Expiry]]&amp;""&amp;"C"&amp;Table1[[#This Row],[Spot]]+Table1[[#This Row],[step]]))</f>
        <v>88.47</v>
      </c>
      <c r="AZ45">
        <f>IF(
    ISNUMBER(Table1[[#This Row],[Strike]]),RTD("tos.rtd", , "low", "."&amp;Table1[[#This Row],[Ticker]]&amp;Table1[[#This Row],[Expiry]]&amp;""&amp;"C"&amp;Table1[[#This Row],[Spot]]+Table1[[#This Row],[step]]))</f>
        <v>56.9</v>
      </c>
      <c r="BA45">
        <f>IF(
    ISNUMBER(Table1[[#This Row],[Strike]]),RTD("tos.rtd", , "high", "."&amp;Table1[[#This Row],[Ticker]]&amp;Table1[[#This Row],[Expiry]]&amp;""&amp;"P"&amp;Table1[[#This Row],[Spot]]+Table1[[#This Row],[step]]))</f>
        <v>10.75</v>
      </c>
      <c r="BB45">
        <f>IF(
    ISNUMBER(Table1[[#This Row],[Strike]]),RTD("tos.rtd", , "low", "."&amp;Table1[[#This Row],[Ticker]]&amp;Table1[[#This Row],[Expiry]]&amp;""&amp;"P"&amp;Table1[[#This Row],[Spot]]+Table1[[#This Row],[step]]))</f>
        <v>1.98</v>
      </c>
      <c r="BC45">
        <f>((Table1[[#This Row],[High C]]+Table1[[#This Row],[Low C]])/2)*Table1[[#This Row],[gammac]]*Table1[[#This Row],[Volume]]</f>
        <v>0</v>
      </c>
      <c r="BD45">
        <f>((Table1[[#This Row],[High P]]+Table1[[#This Row],[Low P]])/2)*Table1[[#This Row],[gammap]]*Table1[[#This Row],[Volume9]]*-1</f>
        <v>0</v>
      </c>
      <c r="BE45">
        <f>(Table1[[#This Row],[SgammaC]]+Table1[[#This Row],[SgammaP]])*$A$4*-100</f>
        <v>0</v>
      </c>
      <c r="BF45">
        <f>Table1[[#This Row],[DEXc]]+Table1[[#This Row],[DEXp]]</f>
        <v>16435245.221999999</v>
      </c>
      <c r="BG45">
        <f>IFERROR(Table1[[#This Row],[DeltaC]]*Table1[[#This Row],[Open.Int]]*$A$4,0)</f>
        <v>20961277.199999999</v>
      </c>
      <c r="BH45" s="80">
        <f>IFERROR(Table1[[#This Row],[DeltaP]]*Table1[[#This Row],[Open.Int8]]*$A$4,0)</f>
        <v>-4526031.9780000011</v>
      </c>
      <c r="BI45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9.5331021344779276E-67</v>
      </c>
      <c r="BJ45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6041134.7880290505</v>
      </c>
      <c r="BK45">
        <f ca="1">Table1[[#This Row],[Charmc]]+Table1[[#This Row],[Charmp]]</f>
        <v>6041134.7880290505</v>
      </c>
      <c r="BL4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4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45" s="78">
        <f ca="1">Table1[[#This Row],[call helper]]+Table1[[#This Row],[put helper]]</f>
        <v>-268804.08046253206</v>
      </c>
      <c r="BP45">
        <f>RTD("tos.rtd", , "STRIKE", "."&amp;Table1[[#This Row],[Ticker]]&amp;Table1[[#This Row],[Expiry]]&amp;""&amp;"C"&amp;Table1[[#This Row],[Spot]]+Table1[[#This Row],[step]])</f>
        <v>6850</v>
      </c>
      <c r="BQ45">
        <v>6990</v>
      </c>
      <c r="BV45">
        <f ca="1"/>
        <v>6990</v>
      </c>
      <c r="BW45">
        <f ca="1"/>
        <v>31709.759295043972</v>
      </c>
      <c r="BX45">
        <f ca="1"/>
        <v>-22592.236012252586</v>
      </c>
      <c r="BY45" s="17">
        <f ca="1"/>
        <v>0.19180815566145509</v>
      </c>
      <c r="BZ45">
        <f ca="1"/>
        <v>75</v>
      </c>
      <c r="CA45">
        <f ca="1"/>
        <v>-2663491.7656663158</v>
      </c>
      <c r="CB45">
        <f ca="1"/>
        <v>-3170943.3854237045</v>
      </c>
    </row>
    <row r="46" spans="1:80" x14ac:dyDescent="0.25">
      <c r="A46">
        <f t="shared" ca="1" si="4"/>
        <v>2.5814307458086375E-3</v>
      </c>
      <c r="C46" s="17"/>
      <c r="D46" t="b">
        <f>IF(
    ISNUMBER(Table1[[#This Row],[Strike]]),RTD("tos.rtd", , "OPEN_INT", "."&amp;Table1[[#This Row],[Ticker]]&amp;Table1[[#This Row],[Expiry]]&amp;""&amp;"C"&amp;Table1[[#This Row],[Strike]]))</f>
        <v>0</v>
      </c>
      <c r="E4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6" t="b">
        <f>IF(
    ISNUMBER(Table1[[#This Row],[Strike]]),RTD("tos.rtd", , "DELTA", "."&amp;Table1[[#This Row],[Ticker]]&amp;Table1[[#This Row],[Expiry]]&amp;""&amp;"C"&amp;Table1[[#This Row],[Strike]]))</f>
        <v>0</v>
      </c>
      <c r="H46" s="17" t="b" cm="1">
        <f t="array" ref="H46">IF(
    ISNUMBER(Table1[[#This Row],[Strike]]),IndividualLegIVCore($A$4, Table1[[#This Row],[Strike]], 0.0411, Table1[[#This Row],[T]], ((Table1[[#This Row],[BIDC]]+Table1[[#This Row],[ASKC]])/2), TRUE))</f>
        <v>0</v>
      </c>
      <c r="I46" t="b">
        <f>IF(
    ISNUMBER(Table1[[#This Row],[Strike]]),RTD("tos.rtd", , "BID", "."&amp;Table1[[#This Row],[Ticker]]&amp;Table1[[#This Row],[Expiry]]&amp;""&amp;"C"&amp;Table1[[#This Row],[Strike]]))</f>
        <v>0</v>
      </c>
      <c r="J46" t="b">
        <f>IF(
    ISNUMBER(Table1[[#This Row],[Strike]]),RTD("tos.rtd", , "ASK", "."&amp;Table1[[#This Row],[Ticker]]&amp;Table1[[#This Row],[Expiry]]&amp;""&amp;"C"&amp;Table1[[#This Row],[Strike]]))</f>
        <v>0</v>
      </c>
      <c r="K4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6" s="17" cm="1">
        <f t="array" aca="1" ref="L4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6" s="1">
        <f t="shared" si="5"/>
        <v>46045</v>
      </c>
      <c r="N46" t="b">
        <f t="shared" si="6"/>
        <v>0</v>
      </c>
      <c r="P46" s="17" t="b" cm="1">
        <f t="array" ref="P46">IF(
    ISNUMBER(Table1[[#This Row],[Strike]]),IndividualLegIVCore($A$4, Table1[[#This Row],[Strike]], 0.0411, Table1[[#This Row],[T]], ((Table1[[#This Row],[BIDP]]+Table1[[#This Row],[ASKP]])/2), FALSE))</f>
        <v>0</v>
      </c>
      <c r="Q46" t="b">
        <f>IF(
    ISNUMBER(Table1[[#This Row],[Strike]]),RTD("tos.rtd", , "BID", "."&amp;Table1[[#This Row],[Ticker]]&amp;Table1[[#This Row],[Expiry]]&amp;""&amp;"P"&amp;Table1[[#This Row],[Strike]]))</f>
        <v>0</v>
      </c>
      <c r="R46" t="b">
        <f>IF(
    ISNUMBER(Table1[[#This Row],[Strike]]),RTD("tos.rtd", , "ASK", "."&amp;Table1[[#This Row],[Ticker]]&amp;Table1[[#This Row],[Expiry]]&amp;""&amp;"P"&amp;Table1[[#This Row],[Strike]]))</f>
        <v>0</v>
      </c>
      <c r="S46" s="17"/>
      <c r="T46" t="b">
        <f>IF(
    ISNUMBER(Table1[[#This Row],[Strike]]),RTD("tos.rtd", , "OPEN_INT", "."&amp;Table1[[#This Row],[Ticker]]&amp;Table1[[#This Row],[Expiry]]&amp;""&amp;"P"&amp;Table1[[#This Row],[Strike]]))</f>
        <v>0</v>
      </c>
      <c r="U4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6" t="b">
        <f>IF(
    ISNUMBER(Table1[[#This Row],[Strike]]),RTD("tos.rtd", , "DELTA", "."&amp;Table1[[#This Row],[Ticker]]&amp;Table1[[#This Row],[Expiry]]&amp;""&amp;"P"&amp;Table1[[#This Row],[Strike]]))</f>
        <v>0</v>
      </c>
      <c r="Y46" s="19">
        <f>-32 * IF($M$1="NDX", 10, IF(OR($M$1="SPX", $M$1="RUT"), 2, 1))</f>
        <v>-64</v>
      </c>
      <c r="Z46">
        <f ca="1">IFERROR(Table1[[#This Row],[call gamma]]*(Table1[[#This Row],[Open.Int]])*$A$4^2,0)</f>
        <v>0</v>
      </c>
      <c r="AA46">
        <f ca="1">IFERROR(((Table1[[#This Row],[Open.Int8]])*Table1[[#This Row],[Put gamma]])*-1*$A$4^2,0)</f>
        <v>0</v>
      </c>
      <c r="AB46">
        <f ca="1">(Table1[[#This Row],[Call Gex]]+Table1[[#This Row],[Put Gex]])</f>
        <v>0</v>
      </c>
      <c r="AC46">
        <f ca="1">Table1[[#This Row],[call delta adj]]+Table1[[#This Row],[put delta adj]]</f>
        <v>0</v>
      </c>
      <c r="AD46">
        <f ca="1">Table1[[#This Row],[Put Gex]]*Table1[[#This Row],[DeltaP]]*-1</f>
        <v>0</v>
      </c>
      <c r="AE46">
        <f ca="1">Table1[[#This Row],[Call Gex]]*Table1[[#This Row],[DeltaC]]</f>
        <v>0</v>
      </c>
      <c r="AF46">
        <f>IF(Table1[[#This Row],[DeltaC]]-ABS(Table1[[#This Row],[DeltaP]])="0","0.01",Table1[[#This Row],[DeltaC]]-ABS(Table1[[#This Row],[DeltaP]]))</f>
        <v>0</v>
      </c>
      <c r="AG46" t="e">
        <f ca="1">((LN($A$4/Table1[[#This Row],[Strike]]) + (0.411 + 0.5 * Table1[[#This Row],[IV Calc P]]^2) *Table1[[#This Row],[T]])) / (Table1[[#This Row],[IV Calc P]] * SQRT(Table1[[#This Row],[T]]))</f>
        <v>#DIV/0!</v>
      </c>
      <c r="AH46" t="e">
        <f ca="1">(LN($A$4/Table1[[#This Row],[Strike]]) + (0.411-0 + 0.5 * Table1[[#This Row],[IV Calc C]]^2) *Table1[[#This Row],[T]]) / (Table1[[#This Row],[IV Calc C]] * SQRT(Table1[[#This Row],[T]]))</f>
        <v>#DIV/0!</v>
      </c>
      <c r="AI46" t="e">
        <f ca="1">(EXP(-(AG46^2)/2)/SQRT(2*PI())*EXP(0*SQRT(Table1[[#This Row],[T]]))/$A$4*18%*SQRT(SQRT(Table1[[#This Row],[T]])))</f>
        <v>#DIV/0!</v>
      </c>
      <c r="AJ46" t="e">
        <f ca="1">(EXP(-(AH46^2)/2)/SQRT(2*PI())*EXP(0*SQRT(Table1[[#This Row],[T]]))/$A$4*18%*SQRT(SQRT(Table1[[#This Row],[T]])))</f>
        <v>#DIV/0!</v>
      </c>
      <c r="AK46" t="e">
        <f ca="1">Table1[[#This Row],[Call D1]]-Table1[[#This Row],[IV Calc C]]*SQRT(Table1[[#This Row],[T]])</f>
        <v>#DIV/0!</v>
      </c>
      <c r="AL46" t="e">
        <f ca="1">Table1[[#This Row],[Put D1]]-Table1[[#This Row],[IV Calc P]]*SQRT(Table1[[#This Row],[T]])</f>
        <v>#DIV/0!</v>
      </c>
      <c r="AM46" t="e">
        <f ca="1">EXP(-0.5*Table1[[#This Row],[Call D1]]^2)/SQRT(2*PI())</f>
        <v>#DIV/0!</v>
      </c>
      <c r="AN46" t="e">
        <f ca="1">EXP(-0.5*Table1[[#This Row],[Put D1]]^2)/SQRT(2*PI())</f>
        <v>#DIV/0!</v>
      </c>
      <c r="AO46">
        <f ca="1">IFERROR((EXP(0*Table1[[#This Row],[T]])*Table1[[#This Row],[call N(d1)]]*(Table1[[#This Row],[call d2]]/Table1[[#This Row],[IV Calc C]]))*Table1[[#This Row],[Open.Int]]*Table1[[#This Row],[DeltaC]],0)</f>
        <v>0</v>
      </c>
      <c r="AP46">
        <f ca="1">IFERROR((EXP(0*Table1[[#This Row],[T]])*Table1[[#This Row],[put N(d1)]]*(Table1[[#This Row],[put d2]]/Table1[[#This Row],[IV Calc P]]))*Table1[[#This Row],[Open.Int8]]*Table1[[#This Row],[DeltaP]]*-1,0)</f>
        <v>0</v>
      </c>
      <c r="AQ46">
        <f ca="1">((Table1[[#This Row],[call vanna]]+Table1[[#This Row],[put vanna]])*$A$4)</f>
        <v>0</v>
      </c>
      <c r="AR4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6" s="9" t="str" cm="1">
        <f t="array" ref="AT46">_xlfn.IFS(     $M$1="SPX","SPXW",     $M$1="RUT","RUTW",  $M$1="NDX","NDXP",   TRUE,$M$1 )</f>
        <v>SPXW</v>
      </c>
      <c r="AU46" s="2">
        <f t="shared" si="7"/>
        <v>6915</v>
      </c>
      <c r="AV46" t="str">
        <f t="shared" si="8"/>
        <v>260123</v>
      </c>
      <c r="AW46" s="19">
        <f ca="1">IFERROR((EXP(0*Table1[[#This Row],[T]])*Table1[[#This Row],[put N(d1)]]*(Table1[[#This Row],[put d2]]/Table1[[#This Row],[IV Calc P]]))*Table1[[#This Row],[Open.Int8]]*Table1[[#This Row],[DeltaP]]*-1,0)</f>
        <v>0</v>
      </c>
      <c r="AX46">
        <f ca="1">IFERROR((EXP(0*Table1[[#This Row],[T]])*Table1[[#This Row],[call N(d1)]]*(Table1[[#This Row],[call d2]]/Table1[[#This Row],[IV Calc C]]))*Table1[[#This Row],[Open.Int]]*Table1[[#This Row],[DeltaC]],0)</f>
        <v>0</v>
      </c>
      <c r="AY4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6">
        <f>((Table1[[#This Row],[High C]]+Table1[[#This Row],[Low C]])/2)*Table1[[#This Row],[gammac]]*Table1[[#This Row],[Volume]]</f>
        <v>0</v>
      </c>
      <c r="BD46">
        <f>((Table1[[#This Row],[High P]]+Table1[[#This Row],[Low P]])/2)*Table1[[#This Row],[gammap]]*Table1[[#This Row],[Volume9]]*-1</f>
        <v>0</v>
      </c>
      <c r="BE46">
        <f>(Table1[[#This Row],[SgammaC]]+Table1[[#This Row],[SgammaP]])*$A$4*-100</f>
        <v>0</v>
      </c>
      <c r="BF46">
        <f>Table1[[#This Row],[DEXc]]+Table1[[#This Row],[DEXp]]</f>
        <v>0</v>
      </c>
      <c r="BG46">
        <f>IFERROR(Table1[[#This Row],[DeltaC]]*Table1[[#This Row],[Open.Int]]*$A$4,0)</f>
        <v>0</v>
      </c>
      <c r="BH46" s="80">
        <f>IFERROR(Table1[[#This Row],[DeltaP]]*Table1[[#This Row],[Open.Int8]]*$A$4,0)</f>
        <v>0</v>
      </c>
      <c r="BI46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6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6">
        <f ca="1">Table1[[#This Row],[Charmc]]+Table1[[#This Row],[Charmp]]</f>
        <v>0</v>
      </c>
      <c r="BL4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6" s="78">
        <f ca="1">Table1[[#This Row],[call helper]]+Table1[[#This Row],[put helper]]</f>
        <v>0</v>
      </c>
      <c r="BP46" t="str">
        <f>RTD("tos.rtd", , "STRIKE", "."&amp;Table1[[#This Row],[Ticker]]&amp;Table1[[#This Row],[Expiry]]&amp;""&amp;"C"&amp;Table1[[#This Row],[Spot]]+Table1[[#This Row],[step]])</f>
        <v>N/A</v>
      </c>
      <c r="BQ46">
        <v>6995</v>
      </c>
      <c r="BV46">
        <f ca="1"/>
        <v>6995</v>
      </c>
      <c r="BW46">
        <f ca="1"/>
        <v>87387.296151552</v>
      </c>
      <c r="BX46">
        <f ca="1"/>
        <v>-7810.6504705397529</v>
      </c>
      <c r="BY46" s="17">
        <f ca="1"/>
        <v>0.20010705858935268</v>
      </c>
      <c r="BZ46">
        <f ca="1"/>
        <v>80</v>
      </c>
      <c r="CA46">
        <f ca="1"/>
        <v>-1625015.8250665721</v>
      </c>
      <c r="CB46">
        <f ca="1"/>
        <v>-5134916.5666532023</v>
      </c>
    </row>
    <row r="47" spans="1:80" x14ac:dyDescent="0.25">
      <c r="A47">
        <f t="shared" ca="1" si="4"/>
        <v>2.5814307458086375E-3</v>
      </c>
      <c r="C47" s="17"/>
      <c r="D47" t="b">
        <f>IF(
    ISNUMBER(Table1[[#This Row],[Strike]]),RTD("tos.rtd", , "OPEN_INT", "."&amp;Table1[[#This Row],[Ticker]]&amp;Table1[[#This Row],[Expiry]]&amp;""&amp;"C"&amp;Table1[[#This Row],[Strike]]))</f>
        <v>0</v>
      </c>
      <c r="E4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7" t="b">
        <f>IF(
    ISNUMBER(Table1[[#This Row],[Strike]]),RTD("tos.rtd", , "DELTA", "."&amp;Table1[[#This Row],[Ticker]]&amp;Table1[[#This Row],[Expiry]]&amp;""&amp;"C"&amp;Table1[[#This Row],[Strike]]))</f>
        <v>0</v>
      </c>
      <c r="H47" s="17" t="b" cm="1">
        <f t="array" ref="H47">IF(
    ISNUMBER(Table1[[#This Row],[Strike]]),IndividualLegIVCore($A$4, Table1[[#This Row],[Strike]], 0.0411, Table1[[#This Row],[T]], ((Table1[[#This Row],[BIDC]]+Table1[[#This Row],[ASKC]])/2), TRUE))</f>
        <v>0</v>
      </c>
      <c r="I47" t="b">
        <f>IF(
    ISNUMBER(Table1[[#This Row],[Strike]]),RTD("tos.rtd", , "BID", "."&amp;Table1[[#This Row],[Ticker]]&amp;Table1[[#This Row],[Expiry]]&amp;""&amp;"C"&amp;Table1[[#This Row],[Strike]]))</f>
        <v>0</v>
      </c>
      <c r="J47" t="b">
        <f>IF(
    ISNUMBER(Table1[[#This Row],[Strike]]),RTD("tos.rtd", , "ASK", "."&amp;Table1[[#This Row],[Ticker]]&amp;Table1[[#This Row],[Expiry]]&amp;""&amp;"C"&amp;Table1[[#This Row],[Strike]]))</f>
        <v>0</v>
      </c>
      <c r="K4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7" s="17" cm="1">
        <f t="array" aca="1" ref="L4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7" s="1">
        <f t="shared" si="5"/>
        <v>46045</v>
      </c>
      <c r="N47" t="b">
        <f t="shared" si="6"/>
        <v>0</v>
      </c>
      <c r="P47" s="17" t="b" cm="1">
        <f t="array" ref="P47">IF(
    ISNUMBER(Table1[[#This Row],[Strike]]),IndividualLegIVCore($A$4, Table1[[#This Row],[Strike]], 0.0411, Table1[[#This Row],[T]], ((Table1[[#This Row],[BIDP]]+Table1[[#This Row],[ASKP]])/2), FALSE))</f>
        <v>0</v>
      </c>
      <c r="Q47" t="b">
        <f>IF(
    ISNUMBER(Table1[[#This Row],[Strike]]),RTD("tos.rtd", , "BID", "."&amp;Table1[[#This Row],[Ticker]]&amp;Table1[[#This Row],[Expiry]]&amp;""&amp;"P"&amp;Table1[[#This Row],[Strike]]))</f>
        <v>0</v>
      </c>
      <c r="R47" t="b">
        <f>IF(
    ISNUMBER(Table1[[#This Row],[Strike]]),RTD("tos.rtd", , "ASK", "."&amp;Table1[[#This Row],[Ticker]]&amp;Table1[[#This Row],[Expiry]]&amp;""&amp;"P"&amp;Table1[[#This Row],[Strike]]))</f>
        <v>0</v>
      </c>
      <c r="S47" s="17"/>
      <c r="T47" t="b">
        <f>IF(
    ISNUMBER(Table1[[#This Row],[Strike]]),RTD("tos.rtd", , "OPEN_INT", "."&amp;Table1[[#This Row],[Ticker]]&amp;Table1[[#This Row],[Expiry]]&amp;""&amp;"P"&amp;Table1[[#This Row],[Strike]]))</f>
        <v>0</v>
      </c>
      <c r="U4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7" t="b">
        <f>IF(
    ISNUMBER(Table1[[#This Row],[Strike]]),RTD("tos.rtd", , "DELTA", "."&amp;Table1[[#This Row],[Ticker]]&amp;Table1[[#This Row],[Expiry]]&amp;""&amp;"P"&amp;Table1[[#This Row],[Strike]]))</f>
        <v>0</v>
      </c>
      <c r="Y47" s="19">
        <f>-31.5 * IF($M$1="NDX", 10, IF(OR($M$1="SPX", $M$1="RUT"), 2, 1))</f>
        <v>-63</v>
      </c>
      <c r="Z47">
        <f ca="1">IFERROR(Table1[[#This Row],[call gamma]]*(Table1[[#This Row],[Open.Int]])*$A$4^2,0)</f>
        <v>0</v>
      </c>
      <c r="AA47">
        <f ca="1">IFERROR(((Table1[[#This Row],[Open.Int8]])*Table1[[#This Row],[Put gamma]])*-1*$A$4^2,0)</f>
        <v>0</v>
      </c>
      <c r="AB47">
        <f ca="1">(Table1[[#This Row],[Call Gex]]+Table1[[#This Row],[Put Gex]])</f>
        <v>0</v>
      </c>
      <c r="AC47">
        <f ca="1">Table1[[#This Row],[call delta adj]]+Table1[[#This Row],[put delta adj]]</f>
        <v>0</v>
      </c>
      <c r="AD47">
        <f ca="1">Table1[[#This Row],[Put Gex]]*Table1[[#This Row],[DeltaP]]*-1</f>
        <v>0</v>
      </c>
      <c r="AE47">
        <f ca="1">Table1[[#This Row],[Call Gex]]*Table1[[#This Row],[DeltaC]]</f>
        <v>0</v>
      </c>
      <c r="AF47">
        <f>IF(Table1[[#This Row],[DeltaC]]-ABS(Table1[[#This Row],[DeltaP]])="0","0.01",Table1[[#This Row],[DeltaC]]-ABS(Table1[[#This Row],[DeltaP]]))</f>
        <v>0</v>
      </c>
      <c r="AG47" t="e">
        <f ca="1">((LN($A$4/Table1[[#This Row],[Strike]]) + (0.411 + 0.5 * Table1[[#This Row],[IV Calc P]]^2) *Table1[[#This Row],[T]])) / (Table1[[#This Row],[IV Calc P]] * SQRT(Table1[[#This Row],[T]]))</f>
        <v>#DIV/0!</v>
      </c>
      <c r="AH47" t="e">
        <f ca="1">(LN($A$4/Table1[[#This Row],[Strike]]) + (0.411-0 + 0.5 * Table1[[#This Row],[IV Calc C]]^2) *Table1[[#This Row],[T]]) / (Table1[[#This Row],[IV Calc C]] * SQRT(Table1[[#This Row],[T]]))</f>
        <v>#DIV/0!</v>
      </c>
      <c r="AI47" t="e">
        <f ca="1">(EXP(-(AG47^2)/2)/SQRT(2*PI())*EXP(0*SQRT(Table1[[#This Row],[T]]))/$A$4*18%*SQRT(SQRT(Table1[[#This Row],[T]])))</f>
        <v>#DIV/0!</v>
      </c>
      <c r="AJ47" t="e">
        <f ca="1">(EXP(-(AH47^2)/2)/SQRT(2*PI())*EXP(0*SQRT(Table1[[#This Row],[T]]))/$A$4*18%*SQRT(SQRT(Table1[[#This Row],[T]])))</f>
        <v>#DIV/0!</v>
      </c>
      <c r="AK47" t="e">
        <f ca="1">Table1[[#This Row],[Call D1]]-Table1[[#This Row],[IV Calc C]]*SQRT(Table1[[#This Row],[T]])</f>
        <v>#DIV/0!</v>
      </c>
      <c r="AL47" t="e">
        <f ca="1">Table1[[#This Row],[Put D1]]-Table1[[#This Row],[IV Calc P]]*SQRT(Table1[[#This Row],[T]])</f>
        <v>#DIV/0!</v>
      </c>
      <c r="AM47" t="e">
        <f ca="1">EXP(-0.5*Table1[[#This Row],[Call D1]]^2)/SQRT(2*PI())</f>
        <v>#DIV/0!</v>
      </c>
      <c r="AN47" t="e">
        <f ca="1">EXP(-0.5*Table1[[#This Row],[Put D1]]^2)/SQRT(2*PI())</f>
        <v>#DIV/0!</v>
      </c>
      <c r="AO47">
        <f ca="1">IFERROR((EXP(0*Table1[[#This Row],[T]])*Table1[[#This Row],[call N(d1)]]*(Table1[[#This Row],[call d2]]/Table1[[#This Row],[IV Calc C]]))*Table1[[#This Row],[Open.Int]]*Table1[[#This Row],[DeltaC]],0)</f>
        <v>0</v>
      </c>
      <c r="AP47">
        <f ca="1">IFERROR((EXP(0*Table1[[#This Row],[T]])*Table1[[#This Row],[put N(d1)]]*(Table1[[#This Row],[put d2]]/Table1[[#This Row],[IV Calc P]]))*Table1[[#This Row],[Open.Int8]]*Table1[[#This Row],[DeltaP]]*-1,0)</f>
        <v>0</v>
      </c>
      <c r="AQ47">
        <f ca="1">((Table1[[#This Row],[call vanna]]+Table1[[#This Row],[put vanna]])*$A$4)</f>
        <v>0</v>
      </c>
      <c r="AR4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7" s="9" t="str" cm="1">
        <f t="array" ref="AT47">_xlfn.IFS(     $M$1="SPX","SPXW",     $M$1="RUT","RUTW",  $M$1="NDX","NDXP",   TRUE,$M$1 )</f>
        <v>SPXW</v>
      </c>
      <c r="AU47" s="2">
        <f t="shared" si="7"/>
        <v>6915</v>
      </c>
      <c r="AV47" t="str">
        <f t="shared" si="8"/>
        <v>260123</v>
      </c>
      <c r="AW47" s="19">
        <f ca="1">IFERROR((EXP(0*Table1[[#This Row],[T]])*Table1[[#This Row],[put N(d1)]]*(Table1[[#This Row],[put d2]]/Table1[[#This Row],[IV Calc P]]))*Table1[[#This Row],[Open.Int8]]*Table1[[#This Row],[DeltaP]]*-1,0)</f>
        <v>0</v>
      </c>
      <c r="AX47">
        <f ca="1">IFERROR((EXP(0*Table1[[#This Row],[T]])*Table1[[#This Row],[call N(d1)]]*(Table1[[#This Row],[call d2]]/Table1[[#This Row],[IV Calc C]]))*Table1[[#This Row],[Open.Int]]*Table1[[#This Row],[DeltaC]],0)</f>
        <v>0</v>
      </c>
      <c r="AY4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7">
        <f>((Table1[[#This Row],[High C]]+Table1[[#This Row],[Low C]])/2)*Table1[[#This Row],[gammac]]*Table1[[#This Row],[Volume]]</f>
        <v>0</v>
      </c>
      <c r="BD47">
        <f>((Table1[[#This Row],[High P]]+Table1[[#This Row],[Low P]])/2)*Table1[[#This Row],[gammap]]*Table1[[#This Row],[Volume9]]*-1</f>
        <v>0</v>
      </c>
      <c r="BE47">
        <f>(Table1[[#This Row],[SgammaC]]+Table1[[#This Row],[SgammaP]])*$A$4*-100</f>
        <v>0</v>
      </c>
      <c r="BF47">
        <f>Table1[[#This Row],[DEXc]]+Table1[[#This Row],[DEXp]]</f>
        <v>0</v>
      </c>
      <c r="BG47">
        <f>IFERROR(Table1[[#This Row],[DeltaC]]*Table1[[#This Row],[Open.Int]]*$A$4,0)</f>
        <v>0</v>
      </c>
      <c r="BH47" s="80">
        <f>IFERROR(Table1[[#This Row],[DeltaP]]*Table1[[#This Row],[Open.Int8]]*$A$4,0)</f>
        <v>0</v>
      </c>
      <c r="BI47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7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7">
        <f ca="1">Table1[[#This Row],[Charmc]]+Table1[[#This Row],[Charmp]]</f>
        <v>0</v>
      </c>
      <c r="BL4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7" s="78">
        <f ca="1">Table1[[#This Row],[call helper]]+Table1[[#This Row],[put helper]]</f>
        <v>0</v>
      </c>
      <c r="BP47" t="str">
        <f>RTD("tos.rtd", , "STRIKE", "."&amp;Table1[[#This Row],[Ticker]]&amp;Table1[[#This Row],[Expiry]]&amp;""&amp;"C"&amp;Table1[[#This Row],[Spot]]+Table1[[#This Row],[step]])</f>
        <v>N/A</v>
      </c>
      <c r="BQ47">
        <v>7000</v>
      </c>
      <c r="BV47">
        <f ca="1"/>
        <v>7000</v>
      </c>
      <c r="BW47">
        <f ca="1"/>
        <v>122315.38525329587</v>
      </c>
      <c r="BX47">
        <f ca="1"/>
        <v>-393437.0801274128</v>
      </c>
      <c r="BY47" s="17">
        <f ca="1"/>
        <v>0.2082824941320468</v>
      </c>
      <c r="BZ47">
        <f ca="1"/>
        <v>85</v>
      </c>
      <c r="CA47">
        <f ca="1"/>
        <v>-41583717.724945538</v>
      </c>
      <c r="CB47">
        <f ca="1"/>
        <v>-36544903.553659439</v>
      </c>
    </row>
    <row r="48" spans="1:80" x14ac:dyDescent="0.25">
      <c r="A48">
        <f t="shared" ca="1" si="4"/>
        <v>2.5814307458086375E-3</v>
      </c>
      <c r="C48" s="17"/>
      <c r="D48" t="b">
        <f>IF(
    ISNUMBER(Table1[[#This Row],[Strike]]),RTD("tos.rtd", , "OPEN_INT", "."&amp;Table1[[#This Row],[Ticker]]&amp;Table1[[#This Row],[Expiry]]&amp;""&amp;"C"&amp;Table1[[#This Row],[Strike]]))</f>
        <v>0</v>
      </c>
      <c r="E4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8" t="b">
        <f>IF(
    ISNUMBER(Table1[[#This Row],[Strike]]),RTD("tos.rtd", , "DELTA", "."&amp;Table1[[#This Row],[Ticker]]&amp;Table1[[#This Row],[Expiry]]&amp;""&amp;"C"&amp;Table1[[#This Row],[Strike]]))</f>
        <v>0</v>
      </c>
      <c r="H48" s="17" t="b" cm="1">
        <f t="array" ref="H48">IF(
    ISNUMBER(Table1[[#This Row],[Strike]]),IndividualLegIVCore($A$4, Table1[[#This Row],[Strike]], 0.0411, Table1[[#This Row],[T]], ((Table1[[#This Row],[BIDC]]+Table1[[#This Row],[ASKC]])/2), TRUE))</f>
        <v>0</v>
      </c>
      <c r="I48" t="b">
        <f>IF(
    ISNUMBER(Table1[[#This Row],[Strike]]),RTD("tos.rtd", , "BID", "."&amp;Table1[[#This Row],[Ticker]]&amp;Table1[[#This Row],[Expiry]]&amp;""&amp;"C"&amp;Table1[[#This Row],[Strike]]))</f>
        <v>0</v>
      </c>
      <c r="J48" t="b">
        <f>IF(
    ISNUMBER(Table1[[#This Row],[Strike]]),RTD("tos.rtd", , "ASK", "."&amp;Table1[[#This Row],[Ticker]]&amp;Table1[[#This Row],[Expiry]]&amp;""&amp;"C"&amp;Table1[[#This Row],[Strike]]))</f>
        <v>0</v>
      </c>
      <c r="K4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8" s="17" cm="1">
        <f t="array" aca="1" ref="L4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8" s="1">
        <f t="shared" si="5"/>
        <v>46045</v>
      </c>
      <c r="N48" t="b">
        <f t="shared" si="6"/>
        <v>0</v>
      </c>
      <c r="P48" s="17" t="b" cm="1">
        <f t="array" ref="P48">IF(
    ISNUMBER(Table1[[#This Row],[Strike]]),IndividualLegIVCore($A$4, Table1[[#This Row],[Strike]], 0.0411, Table1[[#This Row],[T]], ((Table1[[#This Row],[BIDP]]+Table1[[#This Row],[ASKP]])/2), FALSE))</f>
        <v>0</v>
      </c>
      <c r="Q48" t="b">
        <f>IF(
    ISNUMBER(Table1[[#This Row],[Strike]]),RTD("tos.rtd", , "BID", "."&amp;Table1[[#This Row],[Ticker]]&amp;Table1[[#This Row],[Expiry]]&amp;""&amp;"P"&amp;Table1[[#This Row],[Strike]]))</f>
        <v>0</v>
      </c>
      <c r="R48" t="b">
        <f>IF(
    ISNUMBER(Table1[[#This Row],[Strike]]),RTD("tos.rtd", , "ASK", "."&amp;Table1[[#This Row],[Ticker]]&amp;Table1[[#This Row],[Expiry]]&amp;""&amp;"P"&amp;Table1[[#This Row],[Strike]]))</f>
        <v>0</v>
      </c>
      <c r="S48" s="17"/>
      <c r="T48" t="b">
        <f>IF(
    ISNUMBER(Table1[[#This Row],[Strike]]),RTD("tos.rtd", , "OPEN_INT", "."&amp;Table1[[#This Row],[Ticker]]&amp;Table1[[#This Row],[Expiry]]&amp;""&amp;"P"&amp;Table1[[#This Row],[Strike]]))</f>
        <v>0</v>
      </c>
      <c r="U4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8" t="b">
        <f>IF(
    ISNUMBER(Table1[[#This Row],[Strike]]),RTD("tos.rtd", , "DELTA", "."&amp;Table1[[#This Row],[Ticker]]&amp;Table1[[#This Row],[Expiry]]&amp;""&amp;"P"&amp;Table1[[#This Row],[Strike]]))</f>
        <v>0</v>
      </c>
      <c r="Y48" s="19">
        <f>-31 * IF($M$1="NDX", 10, IF(OR($M$1="SPX", $M$1="RUT"), 2, 1))</f>
        <v>-62</v>
      </c>
      <c r="Z48">
        <f ca="1">IFERROR(Table1[[#This Row],[call gamma]]*(Table1[[#This Row],[Open.Int]])*$A$4^2,0)</f>
        <v>0</v>
      </c>
      <c r="AA48">
        <f ca="1">IFERROR(((Table1[[#This Row],[Open.Int8]])*Table1[[#This Row],[Put gamma]])*-1*$A$4^2,0)</f>
        <v>0</v>
      </c>
      <c r="AB48">
        <f ca="1">(Table1[[#This Row],[Call Gex]]+Table1[[#This Row],[Put Gex]])</f>
        <v>0</v>
      </c>
      <c r="AC48">
        <f ca="1">Table1[[#This Row],[call delta adj]]+Table1[[#This Row],[put delta adj]]</f>
        <v>0</v>
      </c>
      <c r="AD48">
        <f ca="1">Table1[[#This Row],[Put Gex]]*Table1[[#This Row],[DeltaP]]*-1</f>
        <v>0</v>
      </c>
      <c r="AE48">
        <f ca="1">Table1[[#This Row],[Call Gex]]*Table1[[#This Row],[DeltaC]]</f>
        <v>0</v>
      </c>
      <c r="AF48">
        <f>IF(Table1[[#This Row],[DeltaC]]-ABS(Table1[[#This Row],[DeltaP]])="0","0.01",Table1[[#This Row],[DeltaC]]-ABS(Table1[[#This Row],[DeltaP]]))</f>
        <v>0</v>
      </c>
      <c r="AG48" t="e">
        <f ca="1">((LN($A$4/Table1[[#This Row],[Strike]]) + (0.411 + 0.5 * Table1[[#This Row],[IV Calc P]]^2) *Table1[[#This Row],[T]])) / (Table1[[#This Row],[IV Calc P]] * SQRT(Table1[[#This Row],[T]]))</f>
        <v>#DIV/0!</v>
      </c>
      <c r="AH48" t="e">
        <f ca="1">(LN($A$4/Table1[[#This Row],[Strike]]) + (0.411-0 + 0.5 * Table1[[#This Row],[IV Calc C]]^2) *Table1[[#This Row],[T]]) / (Table1[[#This Row],[IV Calc C]] * SQRT(Table1[[#This Row],[T]]))</f>
        <v>#DIV/0!</v>
      </c>
      <c r="AI48" t="e">
        <f ca="1">(EXP(-(AG48^2)/2)/SQRT(2*PI())*EXP(0*SQRT(Table1[[#This Row],[T]]))/$A$4*18%*SQRT(SQRT(Table1[[#This Row],[T]])))</f>
        <v>#DIV/0!</v>
      </c>
      <c r="AJ48" t="e">
        <f ca="1">(EXP(-(AH48^2)/2)/SQRT(2*PI())*EXP(0*SQRT(Table1[[#This Row],[T]]))/$A$4*18%*SQRT(SQRT(Table1[[#This Row],[T]])))</f>
        <v>#DIV/0!</v>
      </c>
      <c r="AK48" t="e">
        <f ca="1">Table1[[#This Row],[Call D1]]-Table1[[#This Row],[IV Calc C]]*SQRT(Table1[[#This Row],[T]])</f>
        <v>#DIV/0!</v>
      </c>
      <c r="AL48" t="e">
        <f ca="1">Table1[[#This Row],[Put D1]]-Table1[[#This Row],[IV Calc P]]*SQRT(Table1[[#This Row],[T]])</f>
        <v>#DIV/0!</v>
      </c>
      <c r="AM48" t="e">
        <f ca="1">EXP(-0.5*Table1[[#This Row],[Call D1]]^2)/SQRT(2*PI())</f>
        <v>#DIV/0!</v>
      </c>
      <c r="AN48" t="e">
        <f ca="1">EXP(-0.5*Table1[[#This Row],[Put D1]]^2)/SQRT(2*PI())</f>
        <v>#DIV/0!</v>
      </c>
      <c r="AO48">
        <f ca="1">IFERROR((EXP(0*Table1[[#This Row],[T]])*Table1[[#This Row],[call N(d1)]]*(Table1[[#This Row],[call d2]]/Table1[[#This Row],[IV Calc C]]))*Table1[[#This Row],[Open.Int]]*Table1[[#This Row],[DeltaC]],0)</f>
        <v>0</v>
      </c>
      <c r="AP48">
        <f ca="1">IFERROR((EXP(0*Table1[[#This Row],[T]])*Table1[[#This Row],[put N(d1)]]*(Table1[[#This Row],[put d2]]/Table1[[#This Row],[IV Calc P]]))*Table1[[#This Row],[Open.Int8]]*Table1[[#This Row],[DeltaP]]*-1,0)</f>
        <v>0</v>
      </c>
      <c r="AQ48">
        <f ca="1">((Table1[[#This Row],[call vanna]]+Table1[[#This Row],[put vanna]])*$A$4)</f>
        <v>0</v>
      </c>
      <c r="AR4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8" s="9" t="str" cm="1">
        <f t="array" ref="AT48">_xlfn.IFS(     $M$1="SPX","SPXW",     $M$1="RUT","RUTW",  $M$1="NDX","NDXP",   TRUE,$M$1 )</f>
        <v>SPXW</v>
      </c>
      <c r="AU48" s="2">
        <f t="shared" si="7"/>
        <v>6915</v>
      </c>
      <c r="AV48" t="str">
        <f t="shared" si="8"/>
        <v>260123</v>
      </c>
      <c r="AW48" s="19">
        <f ca="1">IFERROR((EXP(0*Table1[[#This Row],[T]])*Table1[[#This Row],[put N(d1)]]*(Table1[[#This Row],[put d2]]/Table1[[#This Row],[IV Calc P]]))*Table1[[#This Row],[Open.Int8]]*Table1[[#This Row],[DeltaP]]*-1,0)</f>
        <v>0</v>
      </c>
      <c r="AX48">
        <f ca="1">IFERROR((EXP(0*Table1[[#This Row],[T]])*Table1[[#This Row],[call N(d1)]]*(Table1[[#This Row],[call d2]]/Table1[[#This Row],[IV Calc C]]))*Table1[[#This Row],[Open.Int]]*Table1[[#This Row],[DeltaC]],0)</f>
        <v>0</v>
      </c>
      <c r="AY4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8">
        <f>((Table1[[#This Row],[High C]]+Table1[[#This Row],[Low C]])/2)*Table1[[#This Row],[gammac]]*Table1[[#This Row],[Volume]]</f>
        <v>0</v>
      </c>
      <c r="BD48">
        <f>((Table1[[#This Row],[High P]]+Table1[[#This Row],[Low P]])/2)*Table1[[#This Row],[gammap]]*Table1[[#This Row],[Volume9]]*-1</f>
        <v>0</v>
      </c>
      <c r="BE48">
        <f>(Table1[[#This Row],[SgammaC]]+Table1[[#This Row],[SgammaP]])*$A$4*-100</f>
        <v>0</v>
      </c>
      <c r="BF48">
        <f>Table1[[#This Row],[DEXc]]+Table1[[#This Row],[DEXp]]</f>
        <v>0</v>
      </c>
      <c r="BG48">
        <f>IFERROR(Table1[[#This Row],[DeltaC]]*Table1[[#This Row],[Open.Int]]*$A$4,0)</f>
        <v>0</v>
      </c>
      <c r="BH48" s="80">
        <f>IFERROR(Table1[[#This Row],[DeltaP]]*Table1[[#This Row],[Open.Int8]]*$A$4,0)</f>
        <v>0</v>
      </c>
      <c r="BI48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8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8">
        <f ca="1">Table1[[#This Row],[Charmc]]+Table1[[#This Row],[Charmp]]</f>
        <v>0</v>
      </c>
      <c r="BL4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8" s="78">
        <f ca="1">Table1[[#This Row],[call helper]]+Table1[[#This Row],[put helper]]</f>
        <v>0</v>
      </c>
      <c r="BP48" t="str">
        <f>RTD("tos.rtd", , "STRIKE", "."&amp;Table1[[#This Row],[Ticker]]&amp;Table1[[#This Row],[Expiry]]&amp;""&amp;"C"&amp;Table1[[#This Row],[Spot]]+Table1[[#This Row],[step]])</f>
        <v>N/A</v>
      </c>
      <c r="BQ48">
        <v>7005</v>
      </c>
      <c r="BV48">
        <f ca="1"/>
        <v>7005</v>
      </c>
      <c r="BW48">
        <f ca="1"/>
        <v>12145.305466268219</v>
      </c>
      <c r="BX48">
        <f ca="1"/>
        <v>-1662.3796149134603</v>
      </c>
      <c r="BY48" s="17">
        <f ca="1"/>
        <v>0.2169778410067377</v>
      </c>
      <c r="BZ48">
        <f ca="1"/>
        <v>90</v>
      </c>
      <c r="CA48">
        <f ca="1"/>
        <v>-237211.27662609579</v>
      </c>
      <c r="CB48">
        <f ca="1"/>
        <v>-779116.48697614437</v>
      </c>
    </row>
    <row r="49" spans="1:80" x14ac:dyDescent="0.25">
      <c r="A49">
        <f t="shared" ca="1" si="4"/>
        <v>2.5814307458086375E-3</v>
      </c>
      <c r="C49" s="17"/>
      <c r="D49" t="b">
        <f>IF(
    ISNUMBER(Table1[[#This Row],[Strike]]),RTD("tos.rtd", , "OPEN_INT", "."&amp;Table1[[#This Row],[Ticker]]&amp;Table1[[#This Row],[Expiry]]&amp;""&amp;"C"&amp;Table1[[#This Row],[Strike]]))</f>
        <v>0</v>
      </c>
      <c r="E4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9" t="b">
        <f>IF(
    ISNUMBER(Table1[[#This Row],[Strike]]),RTD("tos.rtd", , "DELTA", "."&amp;Table1[[#This Row],[Ticker]]&amp;Table1[[#This Row],[Expiry]]&amp;""&amp;"C"&amp;Table1[[#This Row],[Strike]]))</f>
        <v>0</v>
      </c>
      <c r="H49" s="17" t="b" cm="1">
        <f t="array" ref="H49">IF(
    ISNUMBER(Table1[[#This Row],[Strike]]),IndividualLegIVCore($A$4, Table1[[#This Row],[Strike]], 0.0411, Table1[[#This Row],[T]], ((Table1[[#This Row],[BIDC]]+Table1[[#This Row],[ASKC]])/2), TRUE))</f>
        <v>0</v>
      </c>
      <c r="I49" t="b">
        <f>IF(
    ISNUMBER(Table1[[#This Row],[Strike]]),RTD("tos.rtd", , "BID", "."&amp;Table1[[#This Row],[Ticker]]&amp;Table1[[#This Row],[Expiry]]&amp;""&amp;"C"&amp;Table1[[#This Row],[Strike]]))</f>
        <v>0</v>
      </c>
      <c r="J49" t="b">
        <f>IF(
    ISNUMBER(Table1[[#This Row],[Strike]]),RTD("tos.rtd", , "ASK", "."&amp;Table1[[#This Row],[Ticker]]&amp;Table1[[#This Row],[Expiry]]&amp;""&amp;"C"&amp;Table1[[#This Row],[Strike]]))</f>
        <v>0</v>
      </c>
      <c r="K4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9" s="17" cm="1">
        <f t="array" aca="1" ref="L4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9" s="1">
        <f t="shared" si="5"/>
        <v>46045</v>
      </c>
      <c r="N49" t="b">
        <f t="shared" si="6"/>
        <v>0</v>
      </c>
      <c r="P49" s="17" t="b" cm="1">
        <f t="array" ref="P49">IF(
    ISNUMBER(Table1[[#This Row],[Strike]]),IndividualLegIVCore($A$4, Table1[[#This Row],[Strike]], 0.0411, Table1[[#This Row],[T]], ((Table1[[#This Row],[BIDP]]+Table1[[#This Row],[ASKP]])/2), FALSE))</f>
        <v>0</v>
      </c>
      <c r="Q49" t="b">
        <f>IF(
    ISNUMBER(Table1[[#This Row],[Strike]]),RTD("tos.rtd", , "BID", "."&amp;Table1[[#This Row],[Ticker]]&amp;Table1[[#This Row],[Expiry]]&amp;""&amp;"P"&amp;Table1[[#This Row],[Strike]]))</f>
        <v>0</v>
      </c>
      <c r="R49" t="b">
        <f>IF(
    ISNUMBER(Table1[[#This Row],[Strike]]),RTD("tos.rtd", , "ASK", "."&amp;Table1[[#This Row],[Ticker]]&amp;Table1[[#This Row],[Expiry]]&amp;""&amp;"P"&amp;Table1[[#This Row],[Strike]]))</f>
        <v>0</v>
      </c>
      <c r="S49" s="17"/>
      <c r="T49" t="b">
        <f>IF(
    ISNUMBER(Table1[[#This Row],[Strike]]),RTD("tos.rtd", , "OPEN_INT", "."&amp;Table1[[#This Row],[Ticker]]&amp;Table1[[#This Row],[Expiry]]&amp;""&amp;"P"&amp;Table1[[#This Row],[Strike]]))</f>
        <v>0</v>
      </c>
      <c r="U4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9" t="b">
        <f>IF(
    ISNUMBER(Table1[[#This Row],[Strike]]),RTD("tos.rtd", , "DELTA", "."&amp;Table1[[#This Row],[Ticker]]&amp;Table1[[#This Row],[Expiry]]&amp;""&amp;"P"&amp;Table1[[#This Row],[Strike]]))</f>
        <v>0</v>
      </c>
      <c r="Y49" s="19">
        <f>-30.5* IF($M$1="NDX", 10, IF(OR($M$1="SPX", $M$1="RUT"), 2, 1))</f>
        <v>-61</v>
      </c>
      <c r="Z49">
        <f ca="1">IFERROR(Table1[[#This Row],[call gamma]]*(Table1[[#This Row],[Open.Int]])*$A$4^2,0)</f>
        <v>0</v>
      </c>
      <c r="AA49">
        <f ca="1">IFERROR(((Table1[[#This Row],[Open.Int8]])*Table1[[#This Row],[Put gamma]])*-1*$A$4^2,0)</f>
        <v>0</v>
      </c>
      <c r="AB49">
        <f ca="1">(Table1[[#This Row],[Call Gex]]+Table1[[#This Row],[Put Gex]])</f>
        <v>0</v>
      </c>
      <c r="AC49">
        <f ca="1">Table1[[#This Row],[call delta adj]]+Table1[[#This Row],[put delta adj]]</f>
        <v>0</v>
      </c>
      <c r="AD49">
        <f ca="1">Table1[[#This Row],[Put Gex]]*Table1[[#This Row],[DeltaP]]*-1</f>
        <v>0</v>
      </c>
      <c r="AE49">
        <f ca="1">Table1[[#This Row],[Call Gex]]*Table1[[#This Row],[DeltaC]]</f>
        <v>0</v>
      </c>
      <c r="AF49">
        <f>IF(Table1[[#This Row],[DeltaC]]-ABS(Table1[[#This Row],[DeltaP]])="0","0.01",Table1[[#This Row],[DeltaC]]-ABS(Table1[[#This Row],[DeltaP]]))</f>
        <v>0</v>
      </c>
      <c r="AG49" t="e">
        <f ca="1">((LN($A$4/Table1[[#This Row],[Strike]]) + (0.411 + 0.5 * Table1[[#This Row],[IV Calc P]]^2) *Table1[[#This Row],[T]])) / (Table1[[#This Row],[IV Calc P]] * SQRT(Table1[[#This Row],[T]]))</f>
        <v>#DIV/0!</v>
      </c>
      <c r="AH49" t="e">
        <f ca="1">(LN($A$4/Table1[[#This Row],[Strike]]) + (0.411-0 + 0.5 * Table1[[#This Row],[IV Calc C]]^2) *Table1[[#This Row],[T]]) / (Table1[[#This Row],[IV Calc C]] * SQRT(Table1[[#This Row],[T]]))</f>
        <v>#DIV/0!</v>
      </c>
      <c r="AI49" t="e">
        <f ca="1">(EXP(-(AG49^2)/2)/SQRT(2*PI())*EXP(0*SQRT(Table1[[#This Row],[T]]))/$A$4*18%*SQRT(SQRT(Table1[[#This Row],[T]])))</f>
        <v>#DIV/0!</v>
      </c>
      <c r="AJ49" t="e">
        <f ca="1">(EXP(-(AH49^2)/2)/SQRT(2*PI())*EXP(0*SQRT(Table1[[#This Row],[T]]))/$A$4*18%*SQRT(SQRT(Table1[[#This Row],[T]])))</f>
        <v>#DIV/0!</v>
      </c>
      <c r="AK49" t="e">
        <f ca="1">Table1[[#This Row],[Call D1]]-Table1[[#This Row],[IV Calc C]]*SQRT(Table1[[#This Row],[T]])</f>
        <v>#DIV/0!</v>
      </c>
      <c r="AL49" t="e">
        <f ca="1">Table1[[#This Row],[Put D1]]-Table1[[#This Row],[IV Calc P]]*SQRT(Table1[[#This Row],[T]])</f>
        <v>#DIV/0!</v>
      </c>
      <c r="AM49" t="e">
        <f ca="1">EXP(-0.5*Table1[[#This Row],[Call D1]]^2)/SQRT(2*PI())</f>
        <v>#DIV/0!</v>
      </c>
      <c r="AN49" t="e">
        <f ca="1">EXP(-0.5*Table1[[#This Row],[Put D1]]^2)/SQRT(2*PI())</f>
        <v>#DIV/0!</v>
      </c>
      <c r="AO49">
        <f ca="1">IFERROR((EXP(0*Table1[[#This Row],[T]])*Table1[[#This Row],[call N(d1)]]*(Table1[[#This Row],[call d2]]/Table1[[#This Row],[IV Calc C]]))*Table1[[#This Row],[Open.Int]]*Table1[[#This Row],[DeltaC]],0)</f>
        <v>0</v>
      </c>
      <c r="AP49">
        <f ca="1">IFERROR((EXP(0*Table1[[#This Row],[T]])*Table1[[#This Row],[put N(d1)]]*(Table1[[#This Row],[put d2]]/Table1[[#This Row],[IV Calc P]]))*Table1[[#This Row],[Open.Int8]]*Table1[[#This Row],[DeltaP]]*-1,0)</f>
        <v>0</v>
      </c>
      <c r="AQ49">
        <f ca="1">((Table1[[#This Row],[call vanna]]+Table1[[#This Row],[put vanna]])*$A$4)</f>
        <v>0</v>
      </c>
      <c r="AR4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9" s="9" t="str" cm="1">
        <f t="array" ref="AT49">_xlfn.IFS(     $M$1="SPX","SPXW",     $M$1="RUT","RUTW",  $M$1="NDX","NDXP",   TRUE,$M$1 )</f>
        <v>SPXW</v>
      </c>
      <c r="AU49" s="2">
        <f t="shared" si="7"/>
        <v>6915</v>
      </c>
      <c r="AV49" t="str">
        <f t="shared" si="8"/>
        <v>260123</v>
      </c>
      <c r="AW49" s="19">
        <f ca="1">IFERROR((EXP(0*Table1[[#This Row],[T]])*Table1[[#This Row],[put N(d1)]]*(Table1[[#This Row],[put d2]]/Table1[[#This Row],[IV Calc P]]))*Table1[[#This Row],[Open.Int8]]*Table1[[#This Row],[DeltaP]]*-1,0)</f>
        <v>0</v>
      </c>
      <c r="AX49">
        <f ca="1">IFERROR((EXP(0*Table1[[#This Row],[T]])*Table1[[#This Row],[call N(d1)]]*(Table1[[#This Row],[call d2]]/Table1[[#This Row],[IV Calc C]]))*Table1[[#This Row],[Open.Int]]*Table1[[#This Row],[DeltaC]],0)</f>
        <v>0</v>
      </c>
      <c r="AY4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9">
        <f>((Table1[[#This Row],[High C]]+Table1[[#This Row],[Low C]])/2)*Table1[[#This Row],[gammac]]*Table1[[#This Row],[Volume]]</f>
        <v>0</v>
      </c>
      <c r="BD49">
        <f>((Table1[[#This Row],[High P]]+Table1[[#This Row],[Low P]])/2)*Table1[[#This Row],[gammap]]*Table1[[#This Row],[Volume9]]*-1</f>
        <v>0</v>
      </c>
      <c r="BE49">
        <f>(Table1[[#This Row],[SgammaC]]+Table1[[#This Row],[SgammaP]])*$A$4*-100</f>
        <v>0</v>
      </c>
      <c r="BF49">
        <f>Table1[[#This Row],[DEXc]]+Table1[[#This Row],[DEXp]]</f>
        <v>0</v>
      </c>
      <c r="BG49">
        <f>IFERROR(Table1[[#This Row],[DeltaC]]*Table1[[#This Row],[Open.Int]]*$A$4,0)</f>
        <v>0</v>
      </c>
      <c r="BH49" s="80">
        <f>IFERROR(Table1[[#This Row],[DeltaP]]*Table1[[#This Row],[Open.Int8]]*$A$4,0)</f>
        <v>0</v>
      </c>
      <c r="BI49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9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9">
        <f ca="1">Table1[[#This Row],[Charmc]]+Table1[[#This Row],[Charmp]]</f>
        <v>0</v>
      </c>
      <c r="BL4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9" s="78">
        <f ca="1">Table1[[#This Row],[call helper]]+Table1[[#This Row],[put helper]]</f>
        <v>0</v>
      </c>
      <c r="BP49" t="str">
        <f>RTD("tos.rtd", , "STRIKE", "."&amp;Table1[[#This Row],[Ticker]]&amp;Table1[[#This Row],[Expiry]]&amp;""&amp;"C"&amp;Table1[[#This Row],[Spot]]+Table1[[#This Row],[step]])</f>
        <v>N/A</v>
      </c>
      <c r="BQ49">
        <v>7010</v>
      </c>
      <c r="BV49">
        <f ca="1"/>
        <v>7010</v>
      </c>
      <c r="BW49">
        <f ca="1"/>
        <v>11308.233330951012</v>
      </c>
      <c r="BX49">
        <f ca="1"/>
        <v>-7472.5643405761966</v>
      </c>
      <c r="BY49" s="17">
        <f ca="1"/>
        <v>0.22492888294235022</v>
      </c>
      <c r="BZ49">
        <f ca="1"/>
        <v>95</v>
      </c>
      <c r="CA49">
        <f ca="1"/>
        <v>-825337.18276848726</v>
      </c>
      <c r="CB49">
        <f ca="1"/>
        <v>-1258909.5120700994</v>
      </c>
    </row>
    <row r="50" spans="1:80" x14ac:dyDescent="0.25">
      <c r="A50">
        <f t="shared" ca="1" si="4"/>
        <v>2.5814307458086375E-3</v>
      </c>
      <c r="C50" s="17"/>
      <c r="D50">
        <f>IF(
    ISNUMBER(Table1[[#This Row],[Strike]]),RTD("tos.rtd", , "OPEN_INT", "."&amp;Table1[[#This Row],[Ticker]]&amp;Table1[[#This Row],[Expiry]]&amp;""&amp;"C"&amp;Table1[[#This Row],[Strike]]))</f>
        <v>355</v>
      </c>
      <c r="E5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172</v>
      </c>
      <c r="G50">
        <f>IF(
    ISNUMBER(Table1[[#This Row],[Strike]]),RTD("tos.rtd", , "DELTA", "."&amp;Table1[[#This Row],[Ticker]]&amp;Table1[[#This Row],[Expiry]]&amp;""&amp;"C"&amp;Table1[[#This Row],[Strike]]))</f>
        <v>1</v>
      </c>
      <c r="H50" s="17" cm="1">
        <f t="array" aca="1" ref="H50" ca="1">IF(
    ISNUMBER(Table1[[#This Row],[Strike]]),IndividualLegIVCore($A$4, Table1[[#This Row],[Strike]], 0.0411, Table1[[#This Row],[T]], ((Table1[[#This Row],[BIDC]]+Table1[[#This Row],[ASKC]])/2), TRUE))</f>
        <v>0.01</v>
      </c>
      <c r="I50">
        <f>IF(
    ISNUMBER(Table1[[#This Row],[Strike]]),RTD("tos.rtd", , "BID", "."&amp;Table1[[#This Row],[Ticker]]&amp;Table1[[#This Row],[Expiry]]&amp;""&amp;"C"&amp;Table1[[#This Row],[Strike]]))</f>
        <v>58.1</v>
      </c>
      <c r="J50">
        <f>IF(
    ISNUMBER(Table1[[#This Row],[Strike]]),RTD("tos.rtd", , "ASK", "."&amp;Table1[[#This Row],[Ticker]]&amp;Table1[[#This Row],[Expiry]]&amp;""&amp;"C"&amp;Table1[[#This Row],[Strike]]))</f>
        <v>59.4</v>
      </c>
      <c r="K5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0.16384955583655231</v>
      </c>
      <c r="L50" s="17" cm="1">
        <f t="array" aca="1" ref="L50" ca="1">CubicSplineIVSmile($A$4, Table1[[#This Row],[Strike]], 0.0411, Table1[[#This Row],[T]], (Table1[[#This Row],[BIDC]]+Table1[[#This Row],[ASKC]])/2, (Table1[[#This Row],[BIDP]]+Table1[[#This Row],[ASKP]])/2, Table1[Strike], Table1[IV Calc AVG])</f>
        <v>0.16384955583655231</v>
      </c>
      <c r="M50" s="1">
        <f t="shared" si="5"/>
        <v>46045</v>
      </c>
      <c r="N50">
        <f t="shared" si="6"/>
        <v>6855</v>
      </c>
      <c r="P50" s="17" cm="1">
        <f t="array" aca="1" ref="P50" ca="1">IF(
    ISNUMBER(Table1[[#This Row],[Strike]]),IndividualLegIVCore($A$4, Table1[[#This Row],[Strike]], 0.0411, Table1[[#This Row],[T]], ((Table1[[#This Row],[BIDP]]+Table1[[#This Row],[ASKP]])/2), FALSE))</f>
        <v>0.16384955583655231</v>
      </c>
      <c r="Q50">
        <f>IF(
    ISNUMBER(Table1[[#This Row],[Strike]]),RTD("tos.rtd", , "BID", "."&amp;Table1[[#This Row],[Ticker]]&amp;Table1[[#This Row],[Expiry]]&amp;""&amp;"P"&amp;Table1[[#This Row],[Strike]]))</f>
        <v>4.3</v>
      </c>
      <c r="R50">
        <f>IF(
    ISNUMBER(Table1[[#This Row],[Strike]]),RTD("tos.rtd", , "ASK", "."&amp;Table1[[#This Row],[Ticker]]&amp;Table1[[#This Row],[Expiry]]&amp;""&amp;"P"&amp;Table1[[#This Row],[Strike]]))</f>
        <v>4.7</v>
      </c>
      <c r="S50" s="17"/>
      <c r="T50">
        <f>IF(
    ISNUMBER(Table1[[#This Row],[Strike]]),RTD("tos.rtd", , "OPEN_INT", "."&amp;Table1[[#This Row],[Ticker]]&amp;Table1[[#This Row],[Expiry]]&amp;""&amp;"P"&amp;Table1[[#This Row],[Strike]]))</f>
        <v>506</v>
      </c>
      <c r="U5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2838</v>
      </c>
      <c r="W50">
        <f>IF(
    ISNUMBER(Table1[[#This Row],[Strike]]),RTD("tos.rtd", , "DELTA", "."&amp;Table1[[#This Row],[Ticker]]&amp;Table1[[#This Row],[Expiry]]&amp;""&amp;"P"&amp;Table1[[#This Row],[Strike]]))</f>
        <v>-0.15</v>
      </c>
      <c r="Y50" s="19">
        <f>-30* IF($M$1="NDX", 10, IF(OR($M$1="SPX", $M$1="RUT"), 2, 1))</f>
        <v>-60</v>
      </c>
      <c r="Z50">
        <f ca="1">IFERROR(Table1[[#This Row],[call gamma]]*(Table1[[#This Row],[Open.Int]])*$A$4^2,0)</f>
        <v>1.2230835631178991E-72</v>
      </c>
      <c r="AA50">
        <f ca="1">IFERROR(((Table1[[#This Row],[Open.Int8]])*Table1[[#This Row],[Put gamma]])*-1*$A$4^2,0)</f>
        <v>-29236.478890530787</v>
      </c>
      <c r="AB50">
        <f ca="1">(Table1[[#This Row],[Call Gex]]+Table1[[#This Row],[Put Gex]])</f>
        <v>-29236.478890530787</v>
      </c>
      <c r="AC50">
        <f ca="1">Table1[[#This Row],[call delta adj]]+Table1[[#This Row],[put delta adj]]</f>
        <v>-4385.4718335796179</v>
      </c>
      <c r="AD50">
        <f ca="1">Table1[[#This Row],[Put Gex]]*Table1[[#This Row],[DeltaP]]*-1</f>
        <v>-4385.4718335796179</v>
      </c>
      <c r="AE50">
        <f ca="1">Table1[[#This Row],[Call Gex]]*Table1[[#This Row],[DeltaC]]</f>
        <v>1.2230835631178991E-72</v>
      </c>
      <c r="AF50">
        <f>IF(Table1[[#This Row],[DeltaC]]-ABS(Table1[[#This Row],[DeltaP]])="0","0.01",Table1[[#This Row],[DeltaC]]-ABS(Table1[[#This Row],[DeltaP]]))</f>
        <v>0.85</v>
      </c>
      <c r="AG50">
        <f ca="1">((LN($A$4/Table1[[#This Row],[Strike]]) + (0.411 + 0.5 * Table1[[#This Row],[IV Calc P]]^2) *Table1[[#This Row],[T]])) / (Table1[[#This Row],[IV Calc P]] * SQRT(Table1[[#This Row],[T]]))</f>
        <v>1.149768634110736</v>
      </c>
      <c r="AH50">
        <f ca="1">(LN($A$4/Table1[[#This Row],[Strike]]) + (0.411-0 + 0.5 * Table1[[#This Row],[IV Calc C]]^2) *Table1[[#This Row],[T]]) / (Table1[[#This Row],[IV Calc C]] * SQRT(Table1[[#This Row],[T]]))</f>
        <v>18.770961034356738</v>
      </c>
      <c r="AI50">
        <f ca="1">(EXP(-(AG50^2)/2)/SQRT(2*PI())*EXP(0*SQRT(Table1[[#This Row],[T]]))/$A$4*18%*SQRT(SQRT(Table1[[#This Row],[T]])))</f>
        <v>1.2089197188397323E-6</v>
      </c>
      <c r="AJ50">
        <f ca="1">(EXP(-(AH50^2)/2)/SQRT(2*PI())*EXP(0*SQRT(Table1[[#This Row],[T]]))/$A$4*18%*SQRT(SQRT(Table1[[#This Row],[T]])))</f>
        <v>7.2085960256283315E-83</v>
      </c>
      <c r="AK50">
        <f ca="1">Table1[[#This Row],[Call D1]]-Table1[[#This Row],[IV Calc C]]*SQRT(Table1[[#This Row],[T]])</f>
        <v>18.770452956533386</v>
      </c>
      <c r="AL50">
        <f ca="1">Table1[[#This Row],[Put D1]]-Table1[[#This Row],[IV Calc P]]*SQRT(Table1[[#This Row],[T]])</f>
        <v>1.1414438015420934</v>
      </c>
      <c r="AM50">
        <f ca="1">EXP(-0.5*Table1[[#This Row],[Call D1]]^2)/SQRT(2*PI())</f>
        <v>1.22829195601793E-77</v>
      </c>
      <c r="AN50">
        <f ca="1">EXP(-0.5*Table1[[#This Row],[Put D1]]^2)/SQRT(2*PI())</f>
        <v>0.20599106411887882</v>
      </c>
      <c r="AO50">
        <f ca="1">IFERROR((EXP(0*Table1[[#This Row],[T]])*Table1[[#This Row],[call N(d1)]]*(Table1[[#This Row],[call d2]]/Table1[[#This Row],[IV Calc C]]))*Table1[[#This Row],[Open.Int]]*Table1[[#This Row],[DeltaC]],0)</f>
        <v>8.1847367139496398E-72</v>
      </c>
      <c r="AP50">
        <f ca="1">IFERROR((EXP(0*Table1[[#This Row],[T]])*Table1[[#This Row],[put N(d1)]]*(Table1[[#This Row],[put d2]]/Table1[[#This Row],[IV Calc P]]))*Table1[[#This Row],[Open.Int8]]*Table1[[#This Row],[DeltaP]]*-1,0)</f>
        <v>108.91794096255803</v>
      </c>
      <c r="AQ50">
        <f ca="1">((Table1[[#This Row],[call vanna]]+Table1[[#This Row],[put vanna]])*$A$4)</f>
        <v>752987.84715350065</v>
      </c>
      <c r="AR5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1.2230835631178991E-72</v>
      </c>
      <c r="AS5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-29236.478890530787</v>
      </c>
      <c r="AT50" s="9" t="str" cm="1">
        <f t="array" ref="AT50">_xlfn.IFS(     $M$1="SPX","SPXW",     $M$1="RUT","RUTW",  $M$1="NDX","NDXP",   TRUE,$M$1 )</f>
        <v>SPXW</v>
      </c>
      <c r="AU50" s="2">
        <f t="shared" si="7"/>
        <v>6915</v>
      </c>
      <c r="AV50" t="str">
        <f t="shared" si="8"/>
        <v>260123</v>
      </c>
      <c r="AW50" s="19">
        <f ca="1">IFERROR((EXP(0*Table1[[#This Row],[T]])*Table1[[#This Row],[put N(d1)]]*(Table1[[#This Row],[put d2]]/Table1[[#This Row],[IV Calc P]]))*Table1[[#This Row],[Open.Int8]]*Table1[[#This Row],[DeltaP]]*-1,0)</f>
        <v>108.91794096255803</v>
      </c>
      <c r="AX50">
        <f ca="1">IFERROR((EXP(0*Table1[[#This Row],[T]])*Table1[[#This Row],[call N(d1)]]*(Table1[[#This Row],[call d2]]/Table1[[#This Row],[IV Calc C]]))*Table1[[#This Row],[Open.Int]]*Table1[[#This Row],[DeltaC]],0)</f>
        <v>8.1847367139496398E-72</v>
      </c>
      <c r="AY50">
        <f>IF(
    ISNUMBER(Table1[[#This Row],[Strike]]),RTD("tos.rtd", , "high", "."&amp;Table1[[#This Row],[Ticker]]&amp;Table1[[#This Row],[Expiry]]&amp;""&amp;"C"&amp;Table1[[#This Row],[Spot]]+Table1[[#This Row],[step]]))</f>
        <v>82.28</v>
      </c>
      <c r="AZ50">
        <f>IF(
    ISNUMBER(Table1[[#This Row],[Strike]]),RTD("tos.rtd", , "low", "."&amp;Table1[[#This Row],[Ticker]]&amp;Table1[[#This Row],[Expiry]]&amp;""&amp;"C"&amp;Table1[[#This Row],[Spot]]+Table1[[#This Row],[step]]))</f>
        <v>52.99</v>
      </c>
      <c r="BA50">
        <f>IF(
    ISNUMBER(Table1[[#This Row],[Strike]]),RTD("tos.rtd", , "high", "."&amp;Table1[[#This Row],[Ticker]]&amp;Table1[[#This Row],[Expiry]]&amp;""&amp;"P"&amp;Table1[[#This Row],[Spot]]+Table1[[#This Row],[step]]))</f>
        <v>11.4</v>
      </c>
      <c r="BB50">
        <f>IF(
    ISNUMBER(Table1[[#This Row],[Strike]]),RTD("tos.rtd", , "low", "."&amp;Table1[[#This Row],[Ticker]]&amp;Table1[[#This Row],[Expiry]]&amp;""&amp;"P"&amp;Table1[[#This Row],[Spot]]+Table1[[#This Row],[step]]))</f>
        <v>2.15</v>
      </c>
      <c r="BC50">
        <f>((Table1[[#This Row],[High C]]+Table1[[#This Row],[Low C]])/2)*Table1[[#This Row],[gammac]]*Table1[[#This Row],[Volume]]</f>
        <v>0</v>
      </c>
      <c r="BD50">
        <f>((Table1[[#This Row],[High P]]+Table1[[#This Row],[Low P]])/2)*Table1[[#This Row],[gammap]]*Table1[[#This Row],[Volume9]]*-1</f>
        <v>0</v>
      </c>
      <c r="BE50">
        <f>(Table1[[#This Row],[SgammaC]]+Table1[[#This Row],[SgammaP]])*$A$4*-100</f>
        <v>0</v>
      </c>
      <c r="BF50">
        <f>Table1[[#This Row],[DEXc]]+Table1[[#This Row],[DEXp]]</f>
        <v>1929515.9849999999</v>
      </c>
      <c r="BG50">
        <f>IFERROR(Table1[[#This Row],[DeltaC]]*Table1[[#This Row],[Open.Int]]*$A$4,0)</f>
        <v>2454239.25</v>
      </c>
      <c r="BH50" s="80">
        <f>IFERROR(Table1[[#This Row],[DeltaP]]*Table1[[#This Row],[Open.Int8]]*$A$4,0)</f>
        <v>-524723.26500000001</v>
      </c>
      <c r="BI50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9.2106732558451093E-57</v>
      </c>
      <c r="BJ50" s="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548969.22516351799</v>
      </c>
      <c r="BK50">
        <f ca="1">Table1[[#This Row],[Charmc]]+Table1[[#This Row],[Charmp]]</f>
        <v>548969.22516351799</v>
      </c>
      <c r="BL5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5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50" s="78">
        <f ca="1">Table1[[#This Row],[call helper]]+Table1[[#This Row],[put helper]]</f>
        <v>-29236.478890530787</v>
      </c>
      <c r="BP50">
        <f>RTD("tos.rtd", , "STRIKE", "."&amp;Table1[[#This Row],[Ticker]]&amp;Table1[[#This Row],[Expiry]]&amp;""&amp;"C"&amp;Table1[[#This Row],[Spot]]+Table1[[#This Row],[step]])</f>
        <v>6855</v>
      </c>
      <c r="BQ50">
        <v>7015</v>
      </c>
      <c r="BV50">
        <f ca="1"/>
        <v>7015</v>
      </c>
      <c r="BW50">
        <f ca="1"/>
        <v>5923.5602847580703</v>
      </c>
      <c r="BX50">
        <f ca="1"/>
        <v>-7039.671040012794</v>
      </c>
      <c r="BY50" s="17">
        <f ca="1"/>
        <v>0.23275703617378968</v>
      </c>
      <c r="BZ50">
        <f ca="1"/>
        <v>100</v>
      </c>
      <c r="CA50">
        <f ca="1"/>
        <v>-743444.33109396696</v>
      </c>
      <c r="CB50">
        <f ca="1"/>
        <v>-961621.97613706882</v>
      </c>
    </row>
    <row r="51" spans="1:80" x14ac:dyDescent="0.25">
      <c r="A51">
        <f t="shared" ca="1" si="4"/>
        <v>2.5814307458086375E-3</v>
      </c>
      <c r="C51" s="17"/>
      <c r="D51" t="b">
        <f>IF(
    ISNUMBER(Table1[[#This Row],[Strike]]),RTD("tos.rtd", , "OPEN_INT", "."&amp;Table1[[#This Row],[Ticker]]&amp;Table1[[#This Row],[Expiry]]&amp;""&amp;"C"&amp;Table1[[#This Row],[Strike]]))</f>
        <v>0</v>
      </c>
      <c r="E5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1" t="b">
        <f>IF(
    ISNUMBER(Table1[[#This Row],[Strike]]),RTD("tos.rtd", , "DELTA", "."&amp;Table1[[#This Row],[Ticker]]&amp;Table1[[#This Row],[Expiry]]&amp;""&amp;"C"&amp;Table1[[#This Row],[Strike]]))</f>
        <v>0</v>
      </c>
      <c r="H51" s="17" t="b" cm="1">
        <f t="array" ref="H51">IF(
    ISNUMBER(Table1[[#This Row],[Strike]]),IndividualLegIVCore($A$4, Table1[[#This Row],[Strike]], 0.0411, Table1[[#This Row],[T]], ((Table1[[#This Row],[BIDC]]+Table1[[#This Row],[ASKC]])/2), TRUE))</f>
        <v>0</v>
      </c>
      <c r="I51" t="b">
        <f>IF(
    ISNUMBER(Table1[[#This Row],[Strike]]),RTD("tos.rtd", , "BID", "."&amp;Table1[[#This Row],[Ticker]]&amp;Table1[[#This Row],[Expiry]]&amp;""&amp;"C"&amp;Table1[[#This Row],[Strike]]))</f>
        <v>0</v>
      </c>
      <c r="J51" t="b">
        <f>IF(
    ISNUMBER(Table1[[#This Row],[Strike]]),RTD("tos.rtd", , "ASK", "."&amp;Table1[[#This Row],[Ticker]]&amp;Table1[[#This Row],[Expiry]]&amp;""&amp;"C"&amp;Table1[[#This Row],[Strike]]))</f>
        <v>0</v>
      </c>
      <c r="K5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1" s="17" cm="1">
        <f t="array" aca="1" ref="L5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1" s="1">
        <f t="shared" si="5"/>
        <v>46045</v>
      </c>
      <c r="N51" t="b">
        <f t="shared" si="6"/>
        <v>0</v>
      </c>
      <c r="P51" s="17" t="b" cm="1">
        <f t="array" ref="P51">IF(
    ISNUMBER(Table1[[#This Row],[Strike]]),IndividualLegIVCore($A$4, Table1[[#This Row],[Strike]], 0.0411, Table1[[#This Row],[T]], ((Table1[[#This Row],[BIDP]]+Table1[[#This Row],[ASKP]])/2), FALSE))</f>
        <v>0</v>
      </c>
      <c r="Q51" t="b">
        <f>IF(
    ISNUMBER(Table1[[#This Row],[Strike]]),RTD("tos.rtd", , "BID", "."&amp;Table1[[#This Row],[Ticker]]&amp;Table1[[#This Row],[Expiry]]&amp;""&amp;"P"&amp;Table1[[#This Row],[Strike]]))</f>
        <v>0</v>
      </c>
      <c r="R51" t="b">
        <f>IF(
    ISNUMBER(Table1[[#This Row],[Strike]]),RTD("tos.rtd", , "ASK", "."&amp;Table1[[#This Row],[Ticker]]&amp;Table1[[#This Row],[Expiry]]&amp;""&amp;"P"&amp;Table1[[#This Row],[Strike]]))</f>
        <v>0</v>
      </c>
      <c r="S51" s="17"/>
      <c r="T51" t="b">
        <f>IF(
    ISNUMBER(Table1[[#This Row],[Strike]]),RTD("tos.rtd", , "OPEN_INT", "."&amp;Table1[[#This Row],[Ticker]]&amp;Table1[[#This Row],[Expiry]]&amp;""&amp;"P"&amp;Table1[[#This Row],[Strike]]))</f>
        <v>0</v>
      </c>
      <c r="U5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1" t="b">
        <f>IF(
    ISNUMBER(Table1[[#This Row],[Strike]]),RTD("tos.rtd", , "DELTA", "."&amp;Table1[[#This Row],[Ticker]]&amp;Table1[[#This Row],[Expiry]]&amp;""&amp;"P"&amp;Table1[[#This Row],[Strike]]))</f>
        <v>0</v>
      </c>
      <c r="Y51" s="19">
        <f>-29.5* IF($M$1="NDX", 10, IF(OR($M$1="SPX", $M$1="RUT"), 2, 1))</f>
        <v>-59</v>
      </c>
      <c r="Z51">
        <f ca="1">IFERROR(Table1[[#This Row],[call gamma]]*(Table1[[#This Row],[Open.Int]])*$A$4^2,0)</f>
        <v>0</v>
      </c>
      <c r="AA51">
        <f ca="1">IFERROR(((Table1[[#This Row],[Open.Int8]])*Table1[[#This Row],[Put gamma]])*-1*$A$4^2,0)</f>
        <v>0</v>
      </c>
      <c r="AB51">
        <f ca="1">(Table1[[#This Row],[Call Gex]]+Table1[[#This Row],[Put Gex]])</f>
        <v>0</v>
      </c>
      <c r="AC51">
        <f ca="1">Table1[[#This Row],[call delta adj]]+Table1[[#This Row],[put delta adj]]</f>
        <v>0</v>
      </c>
      <c r="AD51">
        <f ca="1">Table1[[#This Row],[Put Gex]]*Table1[[#This Row],[DeltaP]]*-1</f>
        <v>0</v>
      </c>
      <c r="AE51">
        <f ca="1">Table1[[#This Row],[Call Gex]]*Table1[[#This Row],[DeltaC]]</f>
        <v>0</v>
      </c>
      <c r="AF51">
        <f>IF(Table1[[#This Row],[DeltaC]]-ABS(Table1[[#This Row],[DeltaP]])="0","0.01",Table1[[#This Row],[DeltaC]]-ABS(Table1[[#This Row],[DeltaP]]))</f>
        <v>0</v>
      </c>
      <c r="AG51" t="e">
        <f ca="1">((LN($A$4/Table1[[#This Row],[Strike]]) + (0.411 + 0.5 * Table1[[#This Row],[IV Calc P]]^2) *Table1[[#This Row],[T]])) / (Table1[[#This Row],[IV Calc P]] * SQRT(Table1[[#This Row],[T]]))</f>
        <v>#DIV/0!</v>
      </c>
      <c r="AH51" t="e">
        <f ca="1">(LN($A$4/Table1[[#This Row],[Strike]]) + (0.411-0 + 0.5 * Table1[[#This Row],[IV Calc C]]^2) *Table1[[#This Row],[T]]) / (Table1[[#This Row],[IV Calc C]] * SQRT(Table1[[#This Row],[T]]))</f>
        <v>#DIV/0!</v>
      </c>
      <c r="AI51" t="e">
        <f ca="1">(EXP(-(AG51^2)/2)/SQRT(2*PI())*EXP(0*SQRT(Table1[[#This Row],[T]]))/$A$4*18%*SQRT(SQRT(Table1[[#This Row],[T]])))</f>
        <v>#DIV/0!</v>
      </c>
      <c r="AJ51" t="e">
        <f ca="1">(EXP(-(AH51^2)/2)/SQRT(2*PI())*EXP(0*SQRT(Table1[[#This Row],[T]]))/$A$4*18%*SQRT(SQRT(Table1[[#This Row],[T]])))</f>
        <v>#DIV/0!</v>
      </c>
      <c r="AK51" t="e">
        <f ca="1">Table1[[#This Row],[Call D1]]-Table1[[#This Row],[IV Calc C]]*SQRT(Table1[[#This Row],[T]])</f>
        <v>#DIV/0!</v>
      </c>
      <c r="AL51" t="e">
        <f ca="1">Table1[[#This Row],[Put D1]]-Table1[[#This Row],[IV Calc P]]*SQRT(Table1[[#This Row],[T]])</f>
        <v>#DIV/0!</v>
      </c>
      <c r="AM51" t="e">
        <f ca="1">EXP(-0.5*Table1[[#This Row],[Call D1]]^2)/SQRT(2*PI())</f>
        <v>#DIV/0!</v>
      </c>
      <c r="AN51" t="e">
        <f ca="1">EXP(-0.5*Table1[[#This Row],[Put D1]]^2)/SQRT(2*PI())</f>
        <v>#DIV/0!</v>
      </c>
      <c r="AO51">
        <f ca="1">IFERROR((EXP(0*Table1[[#This Row],[T]])*Table1[[#This Row],[call N(d1)]]*(Table1[[#This Row],[call d2]]/Table1[[#This Row],[IV Calc C]]))*Table1[[#This Row],[Open.Int]]*Table1[[#This Row],[DeltaC]],0)</f>
        <v>0</v>
      </c>
      <c r="AP51">
        <f ca="1">IFERROR((EXP(0*Table1[[#This Row],[T]])*Table1[[#This Row],[put N(d1)]]*(Table1[[#This Row],[put d2]]/Table1[[#This Row],[IV Calc P]]))*Table1[[#This Row],[Open.Int8]]*Table1[[#This Row],[DeltaP]]*-1,0)</f>
        <v>0</v>
      </c>
      <c r="AQ51">
        <f ca="1">((Table1[[#This Row],[call vanna]]+Table1[[#This Row],[put vanna]])*$A$4)</f>
        <v>0</v>
      </c>
      <c r="AR5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1" s="9" t="str" cm="1">
        <f t="array" ref="AT51">_xlfn.IFS(     $M$1="SPX","SPXW",     $M$1="RUT","RUTW",  $M$1="NDX","NDXP",   TRUE,$M$1 )</f>
        <v>SPXW</v>
      </c>
      <c r="AU51" s="2">
        <f t="shared" si="7"/>
        <v>6915</v>
      </c>
      <c r="AV51" t="str">
        <f t="shared" si="8"/>
        <v>260123</v>
      </c>
      <c r="AW51" s="19">
        <f ca="1">IFERROR((EXP(0*Table1[[#This Row],[T]])*Table1[[#This Row],[put N(d1)]]*(Table1[[#This Row],[put d2]]/Table1[[#This Row],[IV Calc P]]))*Table1[[#This Row],[Open.Int8]]*Table1[[#This Row],[DeltaP]]*-1,0)</f>
        <v>0</v>
      </c>
      <c r="AX51">
        <f ca="1">IFERROR((EXP(0*Table1[[#This Row],[T]])*Table1[[#This Row],[call N(d1)]]*(Table1[[#This Row],[call d2]]/Table1[[#This Row],[IV Calc C]]))*Table1[[#This Row],[Open.Int]]*Table1[[#This Row],[DeltaC]],0)</f>
        <v>0</v>
      </c>
      <c r="AY5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1">
        <f>((Table1[[#This Row],[High C]]+Table1[[#This Row],[Low C]])/2)*Table1[[#This Row],[gammac]]*Table1[[#This Row],[Volume]]</f>
        <v>0</v>
      </c>
      <c r="BD51">
        <f>((Table1[[#This Row],[High P]]+Table1[[#This Row],[Low P]])/2)*Table1[[#This Row],[gammap]]*Table1[[#This Row],[Volume9]]*-1</f>
        <v>0</v>
      </c>
      <c r="BE51">
        <f>(Table1[[#This Row],[SgammaC]]+Table1[[#This Row],[SgammaP]])*$A$4*-100</f>
        <v>0</v>
      </c>
      <c r="BF51">
        <f>Table1[[#This Row],[DEXc]]+Table1[[#This Row],[DEXp]]</f>
        <v>0</v>
      </c>
      <c r="BG51">
        <f>IFERROR(Table1[[#This Row],[DeltaC]]*Table1[[#This Row],[Open.Int]]*$A$4,0)</f>
        <v>0</v>
      </c>
      <c r="BH51" s="80">
        <f>IFERROR(Table1[[#This Row],[DeltaP]]*Table1[[#This Row],[Open.Int8]]*$A$4,0)</f>
        <v>0</v>
      </c>
      <c r="BI51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1">
        <f ca="1">Table1[[#This Row],[Charmc]]+Table1[[#This Row],[Charmp]]</f>
        <v>0</v>
      </c>
      <c r="BL5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1" s="78">
        <f ca="1">Table1[[#This Row],[call helper]]+Table1[[#This Row],[put helper]]</f>
        <v>0</v>
      </c>
      <c r="BP51" t="str">
        <f>RTD("tos.rtd", , "STRIKE", "."&amp;Table1[[#This Row],[Ticker]]&amp;Table1[[#This Row],[Expiry]]&amp;""&amp;"C"&amp;Table1[[#This Row],[Spot]]+Table1[[#This Row],[step]])</f>
        <v>N/A</v>
      </c>
    </row>
    <row r="52" spans="1:80" s="13" customFormat="1" x14ac:dyDescent="0.25">
      <c r="A52">
        <f t="shared" ca="1" si="4"/>
        <v>2.5814307458086375E-3</v>
      </c>
      <c r="B52"/>
      <c r="C52" s="17"/>
      <c r="D52" t="b">
        <f>IF(
    ISNUMBER(Table1[[#This Row],[Strike]]),RTD("tos.rtd", , "OPEN_INT", "."&amp;Table1[[#This Row],[Ticker]]&amp;Table1[[#This Row],[Expiry]]&amp;""&amp;"C"&amp;Table1[[#This Row],[Strike]]))</f>
        <v>0</v>
      </c>
      <c r="E5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52"/>
      <c r="G52" t="b">
        <f>IF(
    ISNUMBER(Table1[[#This Row],[Strike]]),RTD("tos.rtd", , "DELTA", "."&amp;Table1[[#This Row],[Ticker]]&amp;Table1[[#This Row],[Expiry]]&amp;""&amp;"C"&amp;Table1[[#This Row],[Strike]]))</f>
        <v>0</v>
      </c>
      <c r="H52" s="17" t="b" cm="1">
        <f t="array" ref="H52">IF(
    ISNUMBER(Table1[[#This Row],[Strike]]),IndividualLegIVCore($A$4, Table1[[#This Row],[Strike]], 0.0411, Table1[[#This Row],[T]], ((Table1[[#This Row],[BIDC]]+Table1[[#This Row],[ASKC]])/2), TRUE))</f>
        <v>0</v>
      </c>
      <c r="I52" t="b">
        <f>IF(
    ISNUMBER(Table1[[#This Row],[Strike]]),RTD("tos.rtd", , "BID", "."&amp;Table1[[#This Row],[Ticker]]&amp;Table1[[#This Row],[Expiry]]&amp;""&amp;"C"&amp;Table1[[#This Row],[Strike]]))</f>
        <v>0</v>
      </c>
      <c r="J52" t="b">
        <f>IF(
    ISNUMBER(Table1[[#This Row],[Strike]]),RTD("tos.rtd", , "ASK", "."&amp;Table1[[#This Row],[Ticker]]&amp;Table1[[#This Row],[Expiry]]&amp;""&amp;"C"&amp;Table1[[#This Row],[Strike]]))</f>
        <v>0</v>
      </c>
      <c r="K5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2" s="17" cm="1">
        <f t="array" aca="1" ref="L5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2" s="1">
        <f t="shared" si="5"/>
        <v>46045</v>
      </c>
      <c r="N52" t="b">
        <f t="shared" si="6"/>
        <v>0</v>
      </c>
      <c r="O52"/>
      <c r="P52" s="17" t="b" cm="1">
        <f t="array" ref="P52">IF(
    ISNUMBER(Table1[[#This Row],[Strike]]),IndividualLegIVCore($A$4, Table1[[#This Row],[Strike]], 0.0411, Table1[[#This Row],[T]], ((Table1[[#This Row],[BIDP]]+Table1[[#This Row],[ASKP]])/2), FALSE))</f>
        <v>0</v>
      </c>
      <c r="Q52" t="b">
        <f>IF(
    ISNUMBER(Table1[[#This Row],[Strike]]),RTD("tos.rtd", , "BID", "."&amp;Table1[[#This Row],[Ticker]]&amp;Table1[[#This Row],[Expiry]]&amp;""&amp;"P"&amp;Table1[[#This Row],[Strike]]))</f>
        <v>0</v>
      </c>
      <c r="R52" t="b">
        <f>IF(
    ISNUMBER(Table1[[#This Row],[Strike]]),RTD("tos.rtd", , "ASK", "."&amp;Table1[[#This Row],[Ticker]]&amp;Table1[[#This Row],[Expiry]]&amp;""&amp;"P"&amp;Table1[[#This Row],[Strike]]))</f>
        <v>0</v>
      </c>
      <c r="S52" s="17"/>
      <c r="T52" t="b">
        <f>IF(
    ISNUMBER(Table1[[#This Row],[Strike]]),RTD("tos.rtd", , "OPEN_INT", "."&amp;Table1[[#This Row],[Ticker]]&amp;Table1[[#This Row],[Expiry]]&amp;""&amp;"P"&amp;Table1[[#This Row],[Strike]]))</f>
        <v>0</v>
      </c>
      <c r="U5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52"/>
      <c r="W52" t="b">
        <f>IF(
    ISNUMBER(Table1[[#This Row],[Strike]]),RTD("tos.rtd", , "DELTA", "."&amp;Table1[[#This Row],[Ticker]]&amp;Table1[[#This Row],[Expiry]]&amp;""&amp;"P"&amp;Table1[[#This Row],[Strike]]))</f>
        <v>0</v>
      </c>
      <c r="X52"/>
      <c r="Y52" s="19">
        <f>-29* IF($M$1="NDX", 10, IF(OR($M$1="SPX", $M$1="RUT"), 2, 1))</f>
        <v>-58</v>
      </c>
      <c r="Z52">
        <f ca="1">IFERROR(Table1[[#This Row],[call gamma]]*(Table1[[#This Row],[Open.Int]])*$A$4^2,0)</f>
        <v>0</v>
      </c>
      <c r="AA52">
        <f ca="1">IFERROR(((Table1[[#This Row],[Open.Int8]])*Table1[[#This Row],[Put gamma]])*-1*$A$4^2,0)</f>
        <v>0</v>
      </c>
      <c r="AB52">
        <f ca="1">(Table1[[#This Row],[Call Gex]]+Table1[[#This Row],[Put Gex]])</f>
        <v>0</v>
      </c>
      <c r="AC52">
        <f ca="1">Table1[[#This Row],[call delta adj]]+Table1[[#This Row],[put delta adj]]</f>
        <v>0</v>
      </c>
      <c r="AD52">
        <f ca="1">Table1[[#This Row],[Put Gex]]*Table1[[#This Row],[DeltaP]]*-1</f>
        <v>0</v>
      </c>
      <c r="AE52">
        <f ca="1">Table1[[#This Row],[Call Gex]]*Table1[[#This Row],[DeltaC]]</f>
        <v>0</v>
      </c>
      <c r="AF52">
        <f>IF(Table1[[#This Row],[DeltaC]]-ABS(Table1[[#This Row],[DeltaP]])="0","0.01",Table1[[#This Row],[DeltaC]]-ABS(Table1[[#This Row],[DeltaP]]))</f>
        <v>0</v>
      </c>
      <c r="AG52" t="e">
        <f ca="1">((LN($A$4/Table1[[#This Row],[Strike]]) + (0.411 + 0.5 * Table1[[#This Row],[IV Calc P]]^2) *Table1[[#This Row],[T]])) / (Table1[[#This Row],[IV Calc P]] * SQRT(Table1[[#This Row],[T]]))</f>
        <v>#DIV/0!</v>
      </c>
      <c r="AH52" t="e">
        <f ca="1">(LN($A$4/Table1[[#This Row],[Strike]]) + (0.411-0 + 0.5 * Table1[[#This Row],[IV Calc C]]^2) *Table1[[#This Row],[T]]) / (Table1[[#This Row],[IV Calc C]] * SQRT(Table1[[#This Row],[T]]))</f>
        <v>#DIV/0!</v>
      </c>
      <c r="AI52" t="e">
        <f ca="1">(EXP(-(AG52^2)/2)/SQRT(2*PI())*EXP(0*SQRT(Table1[[#This Row],[T]]))/$A$4*18%*SQRT(SQRT(Table1[[#This Row],[T]])))</f>
        <v>#DIV/0!</v>
      </c>
      <c r="AJ52" t="e">
        <f ca="1">(EXP(-(AH52^2)/2)/SQRT(2*PI())*EXP(0*SQRT(Table1[[#This Row],[T]]))/$A$4*18%*SQRT(SQRT(Table1[[#This Row],[T]])))</f>
        <v>#DIV/0!</v>
      </c>
      <c r="AK52" t="e">
        <f ca="1">Table1[[#This Row],[Call D1]]-Table1[[#This Row],[IV Calc C]]*SQRT(Table1[[#This Row],[T]])</f>
        <v>#DIV/0!</v>
      </c>
      <c r="AL52" t="e">
        <f ca="1">Table1[[#This Row],[Put D1]]-Table1[[#This Row],[IV Calc P]]*SQRT(Table1[[#This Row],[T]])</f>
        <v>#DIV/0!</v>
      </c>
      <c r="AM52" t="e">
        <f ca="1">EXP(-0.5*Table1[[#This Row],[Call D1]]^2)/SQRT(2*PI())</f>
        <v>#DIV/0!</v>
      </c>
      <c r="AN52" t="e">
        <f ca="1">EXP(-0.5*Table1[[#This Row],[Put D1]]^2)/SQRT(2*PI())</f>
        <v>#DIV/0!</v>
      </c>
      <c r="AO52">
        <f ca="1">IFERROR((EXP(0*Table1[[#This Row],[T]])*Table1[[#This Row],[call N(d1)]]*(Table1[[#This Row],[call d2]]/Table1[[#This Row],[IV Calc C]]))*Table1[[#This Row],[Open.Int]]*Table1[[#This Row],[DeltaC]],0)</f>
        <v>0</v>
      </c>
      <c r="AP52">
        <f ca="1">IFERROR((EXP(0*Table1[[#This Row],[T]])*Table1[[#This Row],[put N(d1)]]*(Table1[[#This Row],[put d2]]/Table1[[#This Row],[IV Calc P]]))*Table1[[#This Row],[Open.Int8]]*Table1[[#This Row],[DeltaP]]*-1,0)</f>
        <v>0</v>
      </c>
      <c r="AQ52">
        <f ca="1">((Table1[[#This Row],[call vanna]]+Table1[[#This Row],[put vanna]])*$A$4)</f>
        <v>0</v>
      </c>
      <c r="AR5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2" s="9" t="str" cm="1">
        <f t="array" ref="AT52">_xlfn.IFS(     $M$1="SPX","SPXW",     $M$1="RUT","RUTW",  $M$1="NDX","NDXP",   TRUE,$M$1 )</f>
        <v>SPXW</v>
      </c>
      <c r="AU52" s="2">
        <f t="shared" si="7"/>
        <v>6915</v>
      </c>
      <c r="AV52" t="str">
        <f t="shared" si="8"/>
        <v>260123</v>
      </c>
      <c r="AW52" s="19">
        <f ca="1">IFERROR((EXP(0*Table1[[#This Row],[T]])*Table1[[#This Row],[put N(d1)]]*(Table1[[#This Row],[put d2]]/Table1[[#This Row],[IV Calc P]]))*Table1[[#This Row],[Open.Int8]]*Table1[[#This Row],[DeltaP]]*-1,0)</f>
        <v>0</v>
      </c>
      <c r="AX52">
        <f ca="1">IFERROR((EXP(0*Table1[[#This Row],[T]])*Table1[[#This Row],[call N(d1)]]*(Table1[[#This Row],[call d2]]/Table1[[#This Row],[IV Calc C]]))*Table1[[#This Row],[Open.Int]]*Table1[[#This Row],[DeltaC]],0)</f>
        <v>0</v>
      </c>
      <c r="AY5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2">
        <f>((Table1[[#This Row],[High C]]+Table1[[#This Row],[Low C]])/2)*Table1[[#This Row],[gammac]]*Table1[[#This Row],[Volume]]</f>
        <v>0</v>
      </c>
      <c r="BD52">
        <f>((Table1[[#This Row],[High P]]+Table1[[#This Row],[Low P]])/2)*Table1[[#This Row],[gammap]]*Table1[[#This Row],[Volume9]]*-1</f>
        <v>0</v>
      </c>
      <c r="BE52">
        <f>(Table1[[#This Row],[SgammaC]]+Table1[[#This Row],[SgammaP]])*$A$4*-100</f>
        <v>0</v>
      </c>
      <c r="BF52" s="13">
        <f>Table1[[#This Row],[DEXc]]+Table1[[#This Row],[DEXp]]</f>
        <v>0</v>
      </c>
      <c r="BG52">
        <f>IFERROR(Table1[[#This Row],[DeltaC]]*Table1[[#This Row],[Open.Int]]*$A$4,0)</f>
        <v>0</v>
      </c>
      <c r="BH52" s="80">
        <f>IFERROR(Table1[[#This Row],[DeltaP]]*Table1[[#This Row],[Open.Int8]]*$A$4,0)</f>
        <v>0</v>
      </c>
      <c r="BI52" s="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2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2" s="13">
        <f ca="1">Table1[[#This Row],[Charmc]]+Table1[[#This Row],[Charmp]]</f>
        <v>0</v>
      </c>
      <c r="BL5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2" s="90">
        <f ca="1">Table1[[#This Row],[call helper]]+Table1[[#This Row],[put helper]]</f>
        <v>0</v>
      </c>
      <c r="BO52" s="81"/>
      <c r="BP52" t="str">
        <f>RTD("tos.rtd", , "STRIKE", "."&amp;Table1[[#This Row],[Ticker]]&amp;Table1[[#This Row],[Expiry]]&amp;""&amp;"C"&amp;Table1[[#This Row],[Spot]]+Table1[[#This Row],[step]])</f>
        <v>N/A</v>
      </c>
      <c r="BQ52"/>
      <c r="BY52" s="81"/>
    </row>
    <row r="53" spans="1:80" x14ac:dyDescent="0.25">
      <c r="A53">
        <f t="shared" ca="1" si="4"/>
        <v>2.5814307458086375E-3</v>
      </c>
      <c r="C53" s="17"/>
      <c r="D53" t="b">
        <f>IF(
    ISNUMBER(Table1[[#This Row],[Strike]]),RTD("tos.rtd", , "OPEN_INT", "."&amp;Table1[[#This Row],[Ticker]]&amp;Table1[[#This Row],[Expiry]]&amp;""&amp;"C"&amp;Table1[[#This Row],[Strike]]))</f>
        <v>0</v>
      </c>
      <c r="E5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3" t="b">
        <f>IF(
    ISNUMBER(Table1[[#This Row],[Strike]]),RTD("tos.rtd", , "DELTA", "."&amp;Table1[[#This Row],[Ticker]]&amp;Table1[[#This Row],[Expiry]]&amp;""&amp;"C"&amp;Table1[[#This Row],[Strike]]))</f>
        <v>0</v>
      </c>
      <c r="H53" s="17" t="b" cm="1">
        <f t="array" ref="H53">IF(
    ISNUMBER(Table1[[#This Row],[Strike]]),IndividualLegIVCore($A$4, Table1[[#This Row],[Strike]], 0.0411, Table1[[#This Row],[T]], ((Table1[[#This Row],[BIDC]]+Table1[[#This Row],[ASKC]])/2), TRUE))</f>
        <v>0</v>
      </c>
      <c r="I53" t="b">
        <f>IF(
    ISNUMBER(Table1[[#This Row],[Strike]]),RTD("tos.rtd", , "BID", "."&amp;Table1[[#This Row],[Ticker]]&amp;Table1[[#This Row],[Expiry]]&amp;""&amp;"C"&amp;Table1[[#This Row],[Strike]]))</f>
        <v>0</v>
      </c>
      <c r="J53" t="b">
        <f>IF(
    ISNUMBER(Table1[[#This Row],[Strike]]),RTD("tos.rtd", , "ASK", "."&amp;Table1[[#This Row],[Ticker]]&amp;Table1[[#This Row],[Expiry]]&amp;""&amp;"C"&amp;Table1[[#This Row],[Strike]]))</f>
        <v>0</v>
      </c>
      <c r="K5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3" s="17" cm="1">
        <f t="array" aca="1" ref="L5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3" s="1">
        <f t="shared" si="5"/>
        <v>46045</v>
      </c>
      <c r="N53" t="b">
        <f t="shared" si="6"/>
        <v>0</v>
      </c>
      <c r="P53" s="17" t="b" cm="1">
        <f t="array" ref="P53">IF(
    ISNUMBER(Table1[[#This Row],[Strike]]),IndividualLegIVCore($A$4, Table1[[#This Row],[Strike]], 0.0411, Table1[[#This Row],[T]], ((Table1[[#This Row],[BIDP]]+Table1[[#This Row],[ASKP]])/2), FALSE))</f>
        <v>0</v>
      </c>
      <c r="Q53" t="b">
        <f>IF(
    ISNUMBER(Table1[[#This Row],[Strike]]),RTD("tos.rtd", , "BID", "."&amp;Table1[[#This Row],[Ticker]]&amp;Table1[[#This Row],[Expiry]]&amp;""&amp;"P"&amp;Table1[[#This Row],[Strike]]))</f>
        <v>0</v>
      </c>
      <c r="R53" t="b">
        <f>IF(
    ISNUMBER(Table1[[#This Row],[Strike]]),RTD("tos.rtd", , "ASK", "."&amp;Table1[[#This Row],[Ticker]]&amp;Table1[[#This Row],[Expiry]]&amp;""&amp;"P"&amp;Table1[[#This Row],[Strike]]))</f>
        <v>0</v>
      </c>
      <c r="S53" s="17"/>
      <c r="T53" t="b">
        <f>IF(
    ISNUMBER(Table1[[#This Row],[Strike]]),RTD("tos.rtd", , "OPEN_INT", "."&amp;Table1[[#This Row],[Ticker]]&amp;Table1[[#This Row],[Expiry]]&amp;""&amp;"P"&amp;Table1[[#This Row],[Strike]]))</f>
        <v>0</v>
      </c>
      <c r="U5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3" t="b">
        <f>IF(
    ISNUMBER(Table1[[#This Row],[Strike]]),RTD("tos.rtd", , "DELTA", "."&amp;Table1[[#This Row],[Ticker]]&amp;Table1[[#This Row],[Expiry]]&amp;""&amp;"P"&amp;Table1[[#This Row],[Strike]]))</f>
        <v>0</v>
      </c>
      <c r="Y53" s="19">
        <f>-28.5* IF($M$1="NDX", 10, IF(OR($M$1="SPX", $M$1="RUT"), 2, 1))</f>
        <v>-57</v>
      </c>
      <c r="Z53">
        <f ca="1">IFERROR(Table1[[#This Row],[call gamma]]*(Table1[[#This Row],[Open.Int]])*$A$4^2,0)</f>
        <v>0</v>
      </c>
      <c r="AA53">
        <f ca="1">IFERROR(((Table1[[#This Row],[Open.Int8]])*Table1[[#This Row],[Put gamma]])*-1*$A$4^2,0)</f>
        <v>0</v>
      </c>
      <c r="AB53">
        <f ca="1">(Table1[[#This Row],[Call Gex]]+Table1[[#This Row],[Put Gex]])</f>
        <v>0</v>
      </c>
      <c r="AC53">
        <f ca="1">Table1[[#This Row],[call delta adj]]+Table1[[#This Row],[put delta adj]]</f>
        <v>0</v>
      </c>
      <c r="AD53">
        <f ca="1">Table1[[#This Row],[Put Gex]]*Table1[[#This Row],[DeltaP]]*-1</f>
        <v>0</v>
      </c>
      <c r="AE53">
        <f ca="1">Table1[[#This Row],[Call Gex]]*Table1[[#This Row],[DeltaC]]</f>
        <v>0</v>
      </c>
      <c r="AF53">
        <f>IF(Table1[[#This Row],[DeltaC]]-ABS(Table1[[#This Row],[DeltaP]])="0","0.01",Table1[[#This Row],[DeltaC]]-ABS(Table1[[#This Row],[DeltaP]]))</f>
        <v>0</v>
      </c>
      <c r="AG53" t="e">
        <f ca="1">((LN($A$4/Table1[[#This Row],[Strike]]) + (0.411 + 0.5 * Table1[[#This Row],[IV Calc P]]^2) *Table1[[#This Row],[T]])) / (Table1[[#This Row],[IV Calc P]] * SQRT(Table1[[#This Row],[T]]))</f>
        <v>#DIV/0!</v>
      </c>
      <c r="AH53" t="e">
        <f ca="1">(LN($A$4/Table1[[#This Row],[Strike]]) + (0.411-0 + 0.5 * Table1[[#This Row],[IV Calc C]]^2) *Table1[[#This Row],[T]]) / (Table1[[#This Row],[IV Calc C]] * SQRT(Table1[[#This Row],[T]]))</f>
        <v>#DIV/0!</v>
      </c>
      <c r="AI53" t="e">
        <f ca="1">(EXP(-(AG53^2)/2)/SQRT(2*PI())*EXP(0*SQRT(Table1[[#This Row],[T]]))/$A$4*18%*SQRT(SQRT(Table1[[#This Row],[T]])))</f>
        <v>#DIV/0!</v>
      </c>
      <c r="AJ53" t="e">
        <f ca="1">(EXP(-(AH53^2)/2)/SQRT(2*PI())*EXP(0*SQRT(Table1[[#This Row],[T]]))/$A$4*18%*SQRT(SQRT(Table1[[#This Row],[T]])))</f>
        <v>#DIV/0!</v>
      </c>
      <c r="AK53" t="e">
        <f ca="1">Table1[[#This Row],[Call D1]]-Table1[[#This Row],[IV Calc C]]*SQRT(Table1[[#This Row],[T]])</f>
        <v>#DIV/0!</v>
      </c>
      <c r="AL53" t="e">
        <f ca="1">Table1[[#This Row],[Put D1]]-Table1[[#This Row],[IV Calc P]]*SQRT(Table1[[#This Row],[T]])</f>
        <v>#DIV/0!</v>
      </c>
      <c r="AM53" t="e">
        <f ca="1">EXP(-0.5*Table1[[#This Row],[Call D1]]^2)/SQRT(2*PI())</f>
        <v>#DIV/0!</v>
      </c>
      <c r="AN53" t="e">
        <f ca="1">EXP(-0.5*Table1[[#This Row],[Put D1]]^2)/SQRT(2*PI())</f>
        <v>#DIV/0!</v>
      </c>
      <c r="AO53">
        <f ca="1">IFERROR((EXP(0*Table1[[#This Row],[T]])*Table1[[#This Row],[call N(d1)]]*(Table1[[#This Row],[call d2]]/Table1[[#This Row],[IV Calc C]]))*Table1[[#This Row],[Open.Int]]*Table1[[#This Row],[DeltaC]],0)</f>
        <v>0</v>
      </c>
      <c r="AP53">
        <f ca="1">IFERROR((EXP(0*Table1[[#This Row],[T]])*Table1[[#This Row],[put N(d1)]]*(Table1[[#This Row],[put d2]]/Table1[[#This Row],[IV Calc P]]))*Table1[[#This Row],[Open.Int8]]*Table1[[#This Row],[DeltaP]]*-1,0)</f>
        <v>0</v>
      </c>
      <c r="AQ53">
        <f ca="1">((Table1[[#This Row],[call vanna]]+Table1[[#This Row],[put vanna]])*$A$4)</f>
        <v>0</v>
      </c>
      <c r="AR5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3" s="9" t="str" cm="1">
        <f t="array" ref="AT53">_xlfn.IFS(     $M$1="SPX","SPXW",     $M$1="RUT","RUTW",  $M$1="NDX","NDXP",   TRUE,$M$1 )</f>
        <v>SPXW</v>
      </c>
      <c r="AU53" s="2">
        <f t="shared" si="7"/>
        <v>6915</v>
      </c>
      <c r="AV53" t="str">
        <f t="shared" si="8"/>
        <v>260123</v>
      </c>
      <c r="AW53" s="19">
        <f ca="1">IFERROR((EXP(0*Table1[[#This Row],[T]])*Table1[[#This Row],[put N(d1)]]*(Table1[[#This Row],[put d2]]/Table1[[#This Row],[IV Calc P]]))*Table1[[#This Row],[Open.Int8]]*Table1[[#This Row],[DeltaP]]*-1,0)</f>
        <v>0</v>
      </c>
      <c r="AX53">
        <f ca="1">IFERROR((EXP(0*Table1[[#This Row],[T]])*Table1[[#This Row],[call N(d1)]]*(Table1[[#This Row],[call d2]]/Table1[[#This Row],[IV Calc C]]))*Table1[[#This Row],[Open.Int]]*Table1[[#This Row],[DeltaC]],0)</f>
        <v>0</v>
      </c>
      <c r="AY5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3">
        <f>((Table1[[#This Row],[High C]]+Table1[[#This Row],[Low C]])/2)*Table1[[#This Row],[gammac]]*Table1[[#This Row],[Volume]]</f>
        <v>0</v>
      </c>
      <c r="BD53">
        <f>((Table1[[#This Row],[High P]]+Table1[[#This Row],[Low P]])/2)*Table1[[#This Row],[gammap]]*Table1[[#This Row],[Volume9]]*-1</f>
        <v>0</v>
      </c>
      <c r="BE53">
        <f>(Table1[[#This Row],[SgammaC]]+Table1[[#This Row],[SgammaP]])*$A$4*-100</f>
        <v>0</v>
      </c>
      <c r="BF53">
        <f>Table1[[#This Row],[DEXc]]+Table1[[#This Row],[DEXp]]</f>
        <v>0</v>
      </c>
      <c r="BG53">
        <f>IFERROR(Table1[[#This Row],[DeltaC]]*Table1[[#This Row],[Open.Int]]*$A$4,0)</f>
        <v>0</v>
      </c>
      <c r="BH53">
        <f>IFERROR(Table1[[#This Row],[DeltaP]]*Table1[[#This Row],[Open.Int8]]*$A$4,0)</f>
        <v>0</v>
      </c>
      <c r="BI5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3">
        <f ca="1">Table1[[#This Row],[Charmc]]+Table1[[#This Row],[Charmp]]</f>
        <v>0</v>
      </c>
      <c r="BL5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3" s="78">
        <f ca="1">Table1[[#This Row],[call helper]]+Table1[[#This Row],[put helper]]</f>
        <v>0</v>
      </c>
      <c r="BP53" t="str">
        <f>RTD("tos.rtd", , "STRIKE", "."&amp;Table1[[#This Row],[Ticker]]&amp;Table1[[#This Row],[Expiry]]&amp;""&amp;"C"&amp;Table1[[#This Row],[Spot]]+Table1[[#This Row],[step]])</f>
        <v>N/A</v>
      </c>
    </row>
    <row r="54" spans="1:80" x14ac:dyDescent="0.25">
      <c r="A54">
        <f t="shared" ca="1" si="4"/>
        <v>2.5814307458086375E-3</v>
      </c>
      <c r="C54" s="17"/>
      <c r="D54" t="b">
        <f>IF(
    ISNUMBER(Table1[[#This Row],[Strike]]),RTD("tos.rtd", , "OPEN_INT", "."&amp;Table1[[#This Row],[Ticker]]&amp;Table1[[#This Row],[Expiry]]&amp;""&amp;"C"&amp;Table1[[#This Row],[Strike]]))</f>
        <v>0</v>
      </c>
      <c r="E5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4" t="b">
        <f>IF(
    ISNUMBER(Table1[[#This Row],[Strike]]),RTD("tos.rtd", , "DELTA", "."&amp;Table1[[#This Row],[Ticker]]&amp;Table1[[#This Row],[Expiry]]&amp;""&amp;"C"&amp;Table1[[#This Row],[Strike]]))</f>
        <v>0</v>
      </c>
      <c r="H54" s="17" t="b" cm="1">
        <f t="array" ref="H54">IF(
    ISNUMBER(Table1[[#This Row],[Strike]]),IndividualLegIVCore($A$4, Table1[[#This Row],[Strike]], 0.0411, Table1[[#This Row],[T]], ((Table1[[#This Row],[BIDC]]+Table1[[#This Row],[ASKC]])/2), TRUE))</f>
        <v>0</v>
      </c>
      <c r="I54" t="b">
        <f>IF(
    ISNUMBER(Table1[[#This Row],[Strike]]),RTD("tos.rtd", , "BID", "."&amp;Table1[[#This Row],[Ticker]]&amp;Table1[[#This Row],[Expiry]]&amp;""&amp;"C"&amp;Table1[[#This Row],[Strike]]))</f>
        <v>0</v>
      </c>
      <c r="J54" t="b">
        <f>IF(
    ISNUMBER(Table1[[#This Row],[Strike]]),RTD("tos.rtd", , "ASK", "."&amp;Table1[[#This Row],[Ticker]]&amp;Table1[[#This Row],[Expiry]]&amp;""&amp;"C"&amp;Table1[[#This Row],[Strike]]))</f>
        <v>0</v>
      </c>
      <c r="K5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4" s="17" cm="1">
        <f t="array" aca="1" ref="L5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4" s="1">
        <f t="shared" si="5"/>
        <v>46045</v>
      </c>
      <c r="N54" t="b">
        <f t="shared" si="6"/>
        <v>0</v>
      </c>
      <c r="P54" s="17" t="b" cm="1">
        <f t="array" ref="P54">IF(
    ISNUMBER(Table1[[#This Row],[Strike]]),IndividualLegIVCore($A$4, Table1[[#This Row],[Strike]], 0.0411, Table1[[#This Row],[T]], ((Table1[[#This Row],[BIDP]]+Table1[[#This Row],[ASKP]])/2), FALSE))</f>
        <v>0</v>
      </c>
      <c r="Q54" t="b">
        <f>IF(
    ISNUMBER(Table1[[#This Row],[Strike]]),RTD("tos.rtd", , "BID", "."&amp;Table1[[#This Row],[Ticker]]&amp;Table1[[#This Row],[Expiry]]&amp;""&amp;"P"&amp;Table1[[#This Row],[Strike]]))</f>
        <v>0</v>
      </c>
      <c r="R54" t="b">
        <f>IF(
    ISNUMBER(Table1[[#This Row],[Strike]]),RTD("tos.rtd", , "ASK", "."&amp;Table1[[#This Row],[Ticker]]&amp;Table1[[#This Row],[Expiry]]&amp;""&amp;"P"&amp;Table1[[#This Row],[Strike]]))</f>
        <v>0</v>
      </c>
      <c r="S54" s="17"/>
      <c r="T54" t="b">
        <f>IF(
    ISNUMBER(Table1[[#This Row],[Strike]]),RTD("tos.rtd", , "OPEN_INT", "."&amp;Table1[[#This Row],[Ticker]]&amp;Table1[[#This Row],[Expiry]]&amp;""&amp;"P"&amp;Table1[[#This Row],[Strike]]))</f>
        <v>0</v>
      </c>
      <c r="U5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4" t="b">
        <f>IF(
    ISNUMBER(Table1[[#This Row],[Strike]]),RTD("tos.rtd", , "DELTA", "."&amp;Table1[[#This Row],[Ticker]]&amp;Table1[[#This Row],[Expiry]]&amp;""&amp;"P"&amp;Table1[[#This Row],[Strike]]))</f>
        <v>0</v>
      </c>
      <c r="Y54" s="19">
        <f>-28* IF($M$1="NDX", 10, IF(OR($M$1="SPX", $M$1="RUT"), 2, 1))</f>
        <v>-56</v>
      </c>
      <c r="Z54">
        <f ca="1">IFERROR(Table1[[#This Row],[call gamma]]*(Table1[[#This Row],[Open.Int]])*$A$4^2,0)</f>
        <v>0</v>
      </c>
      <c r="AA54">
        <f ca="1">IFERROR(((Table1[[#This Row],[Open.Int8]])*Table1[[#This Row],[Put gamma]])*-1*$A$4^2,0)</f>
        <v>0</v>
      </c>
      <c r="AB54">
        <f ca="1">(Table1[[#This Row],[Call Gex]]+Table1[[#This Row],[Put Gex]])</f>
        <v>0</v>
      </c>
      <c r="AC54">
        <f ca="1">Table1[[#This Row],[call delta adj]]+Table1[[#This Row],[put delta adj]]</f>
        <v>0</v>
      </c>
      <c r="AD54">
        <f ca="1">Table1[[#This Row],[Put Gex]]*Table1[[#This Row],[DeltaP]]*-1</f>
        <v>0</v>
      </c>
      <c r="AE54">
        <f ca="1">Table1[[#This Row],[Call Gex]]*Table1[[#This Row],[DeltaC]]</f>
        <v>0</v>
      </c>
      <c r="AF54">
        <f>IF(Table1[[#This Row],[DeltaC]]-ABS(Table1[[#This Row],[DeltaP]])="0","0.01",Table1[[#This Row],[DeltaC]]-ABS(Table1[[#This Row],[DeltaP]]))</f>
        <v>0</v>
      </c>
      <c r="AG54" t="e">
        <f ca="1">((LN($A$4/Table1[[#This Row],[Strike]]) + (0.411 + 0.5 * Table1[[#This Row],[IV Calc P]]^2) *Table1[[#This Row],[T]])) / (Table1[[#This Row],[IV Calc P]] * SQRT(Table1[[#This Row],[T]]))</f>
        <v>#DIV/0!</v>
      </c>
      <c r="AH54" t="e">
        <f ca="1">(LN($A$4/Table1[[#This Row],[Strike]]) + (0.411-0 + 0.5 * Table1[[#This Row],[IV Calc C]]^2) *Table1[[#This Row],[T]]) / (Table1[[#This Row],[IV Calc C]] * SQRT(Table1[[#This Row],[T]]))</f>
        <v>#DIV/0!</v>
      </c>
      <c r="AI54" t="e">
        <f ca="1">(EXP(-(AG54^2)/2)/SQRT(2*PI())*EXP(0*SQRT(Table1[[#This Row],[T]]))/$A$4*18%*SQRT(SQRT(Table1[[#This Row],[T]])))</f>
        <v>#DIV/0!</v>
      </c>
      <c r="AJ54" t="e">
        <f ca="1">(EXP(-(AH54^2)/2)/SQRT(2*PI())*EXP(0*SQRT(Table1[[#This Row],[T]]))/$A$4*18%*SQRT(SQRT(Table1[[#This Row],[T]])))</f>
        <v>#DIV/0!</v>
      </c>
      <c r="AK54" t="e">
        <f ca="1">Table1[[#This Row],[Call D1]]-Table1[[#This Row],[IV Calc C]]*SQRT(Table1[[#This Row],[T]])</f>
        <v>#DIV/0!</v>
      </c>
      <c r="AL54" t="e">
        <f ca="1">Table1[[#This Row],[Put D1]]-Table1[[#This Row],[IV Calc P]]*SQRT(Table1[[#This Row],[T]])</f>
        <v>#DIV/0!</v>
      </c>
      <c r="AM54" t="e">
        <f ca="1">EXP(-0.5*Table1[[#This Row],[Call D1]]^2)/SQRT(2*PI())</f>
        <v>#DIV/0!</v>
      </c>
      <c r="AN54" t="e">
        <f ca="1">EXP(-0.5*Table1[[#This Row],[Put D1]]^2)/SQRT(2*PI())</f>
        <v>#DIV/0!</v>
      </c>
      <c r="AO54">
        <f ca="1">IFERROR((EXP(0*Table1[[#This Row],[T]])*Table1[[#This Row],[call N(d1)]]*(Table1[[#This Row],[call d2]]/Table1[[#This Row],[IV Calc C]]))*Table1[[#This Row],[Open.Int]]*Table1[[#This Row],[DeltaC]],0)</f>
        <v>0</v>
      </c>
      <c r="AP54">
        <f ca="1">IFERROR((EXP(0*Table1[[#This Row],[T]])*Table1[[#This Row],[put N(d1)]]*(Table1[[#This Row],[put d2]]/Table1[[#This Row],[IV Calc P]]))*Table1[[#This Row],[Open.Int8]]*Table1[[#This Row],[DeltaP]]*-1,0)</f>
        <v>0</v>
      </c>
      <c r="AQ54">
        <f ca="1">((Table1[[#This Row],[call vanna]]+Table1[[#This Row],[put vanna]])*$A$4)</f>
        <v>0</v>
      </c>
      <c r="AR5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4" s="9" t="str" cm="1">
        <f t="array" ref="AT54">_xlfn.IFS(     $M$1="SPX","SPXW",     $M$1="RUT","RUTW",  $M$1="NDX","NDXP",   TRUE,$M$1 )</f>
        <v>SPXW</v>
      </c>
      <c r="AU54" s="2">
        <f t="shared" si="7"/>
        <v>6915</v>
      </c>
      <c r="AV54" t="str">
        <f t="shared" si="8"/>
        <v>260123</v>
      </c>
      <c r="AW54" s="19">
        <f ca="1">IFERROR((EXP(0*Table1[[#This Row],[T]])*Table1[[#This Row],[put N(d1)]]*(Table1[[#This Row],[put d2]]/Table1[[#This Row],[IV Calc P]]))*Table1[[#This Row],[Open.Int8]]*Table1[[#This Row],[DeltaP]]*-1,0)</f>
        <v>0</v>
      </c>
      <c r="AX54">
        <f ca="1">IFERROR((EXP(0*Table1[[#This Row],[T]])*Table1[[#This Row],[call N(d1)]]*(Table1[[#This Row],[call d2]]/Table1[[#This Row],[IV Calc C]]))*Table1[[#This Row],[Open.Int]]*Table1[[#This Row],[DeltaC]],0)</f>
        <v>0</v>
      </c>
      <c r="AY5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4">
        <f>((Table1[[#This Row],[High C]]+Table1[[#This Row],[Low C]])/2)*Table1[[#This Row],[gammac]]*Table1[[#This Row],[Volume]]</f>
        <v>0</v>
      </c>
      <c r="BD54">
        <f>((Table1[[#This Row],[High P]]+Table1[[#This Row],[Low P]])/2)*Table1[[#This Row],[gammap]]*Table1[[#This Row],[Volume9]]*-1</f>
        <v>0</v>
      </c>
      <c r="BE54">
        <f>(Table1[[#This Row],[SgammaC]]+Table1[[#This Row],[SgammaP]])*$A$4*-100</f>
        <v>0</v>
      </c>
      <c r="BF54">
        <f>Table1[[#This Row],[DEXc]]+Table1[[#This Row],[DEXp]]</f>
        <v>0</v>
      </c>
      <c r="BG54">
        <f>IFERROR(Table1[[#This Row],[DeltaC]]*Table1[[#This Row],[Open.Int]]*$A$4,0)</f>
        <v>0</v>
      </c>
      <c r="BH54">
        <f>IFERROR(Table1[[#This Row],[DeltaP]]*Table1[[#This Row],[Open.Int8]]*$A$4,0)</f>
        <v>0</v>
      </c>
      <c r="BI5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4">
        <f ca="1">Table1[[#This Row],[Charmc]]+Table1[[#This Row],[Charmp]]</f>
        <v>0</v>
      </c>
      <c r="BL5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4" s="78">
        <f ca="1">Table1[[#This Row],[call helper]]+Table1[[#This Row],[put helper]]</f>
        <v>0</v>
      </c>
      <c r="BP54" t="str">
        <f>RTD("tos.rtd", , "STRIKE", "."&amp;Table1[[#This Row],[Ticker]]&amp;Table1[[#This Row],[Expiry]]&amp;""&amp;"C"&amp;Table1[[#This Row],[Spot]]+Table1[[#This Row],[step]])</f>
        <v>N/A</v>
      </c>
    </row>
    <row r="55" spans="1:80" x14ac:dyDescent="0.25">
      <c r="A55">
        <f t="shared" ca="1" si="4"/>
        <v>2.5814307458086375E-3</v>
      </c>
      <c r="C55" s="17"/>
      <c r="D55">
        <f>IF(
    ISNUMBER(Table1[[#This Row],[Strike]]),RTD("tos.rtd", , "OPEN_INT", "."&amp;Table1[[#This Row],[Ticker]]&amp;Table1[[#This Row],[Expiry]]&amp;""&amp;"C"&amp;Table1[[#This Row],[Strike]]))</f>
        <v>718</v>
      </c>
      <c r="E5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411</v>
      </c>
      <c r="G55">
        <f>IF(
    ISNUMBER(Table1[[#This Row],[Strike]]),RTD("tos.rtd", , "DELTA", "."&amp;Table1[[#This Row],[Ticker]]&amp;Table1[[#This Row],[Expiry]]&amp;""&amp;"C"&amp;Table1[[#This Row],[Strike]]))</f>
        <v>0.97</v>
      </c>
      <c r="H55" s="17" cm="1">
        <f t="array" aca="1" ref="H55" ca="1">IF(
    ISNUMBER(Table1[[#This Row],[Strike]]),IndividualLegIVCore($A$4, Table1[[#This Row],[Strike]], 0.0411, Table1[[#This Row],[T]], ((Table1[[#This Row],[BIDC]]+Table1[[#This Row],[ASKC]])/2), TRUE))</f>
        <v>7.9418918803841707E-2</v>
      </c>
      <c r="I55">
        <f>IF(
    ISNUMBER(Table1[[#This Row],[Strike]]),RTD("tos.rtd", , "BID", "."&amp;Table1[[#This Row],[Ticker]]&amp;Table1[[#This Row],[Expiry]]&amp;""&amp;"C"&amp;Table1[[#This Row],[Strike]]))</f>
        <v>53.7</v>
      </c>
      <c r="J55">
        <f>IF(
    ISNUMBER(Table1[[#This Row],[Strike]]),RTD("tos.rtd", , "ASK", "."&amp;Table1[[#This Row],[Ticker]]&amp;Table1[[#This Row],[Expiry]]&amp;""&amp;"C"&amp;Table1[[#This Row],[Strike]]))</f>
        <v>55</v>
      </c>
      <c r="K5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0.16143687394226275</v>
      </c>
      <c r="L55" s="17" cm="1">
        <f t="array" aca="1" ref="L55" ca="1">CubicSplineIVSmile($A$4, Table1[[#This Row],[Strike]], 0.0411, Table1[[#This Row],[T]], (Table1[[#This Row],[BIDC]]+Table1[[#This Row],[ASKC]])/2, (Table1[[#This Row],[BIDP]]+Table1[[#This Row],[ASKP]])/2, Table1[Strike], Table1[IV Calc AVG])</f>
        <v>8.7549660146172076E-2</v>
      </c>
      <c r="M55" s="1">
        <f t="shared" si="5"/>
        <v>46045</v>
      </c>
      <c r="N55">
        <f t="shared" si="6"/>
        <v>6860</v>
      </c>
      <c r="P55" s="17" cm="1">
        <f t="array" aca="1" ref="P55" ca="1">IF(
    ISNUMBER(Table1[[#This Row],[Strike]]),IndividualLegIVCore($A$4, Table1[[#This Row],[Strike]], 0.0411, Table1[[#This Row],[T]], ((Table1[[#This Row],[BIDP]]+Table1[[#This Row],[ASKP]])/2), FALSE))</f>
        <v>0.16143687394226275</v>
      </c>
      <c r="Q55">
        <f>IF(
    ISNUMBER(Table1[[#This Row],[Strike]]),RTD("tos.rtd", , "BID", "."&amp;Table1[[#This Row],[Ticker]]&amp;Table1[[#This Row],[Expiry]]&amp;""&amp;"P"&amp;Table1[[#This Row],[Strike]]))</f>
        <v>4.9000000000000004</v>
      </c>
      <c r="R55">
        <f>IF(
    ISNUMBER(Table1[[#This Row],[Strike]]),RTD("tos.rtd", , "ASK", "."&amp;Table1[[#This Row],[Ticker]]&amp;Table1[[#This Row],[Expiry]]&amp;""&amp;"P"&amp;Table1[[#This Row],[Strike]]))</f>
        <v>5.3</v>
      </c>
      <c r="S55" s="17"/>
      <c r="T55">
        <f>IF(
    ISNUMBER(Table1[[#This Row],[Strike]]),RTD("tos.rtd", , "OPEN_INT", "."&amp;Table1[[#This Row],[Ticker]]&amp;Table1[[#This Row],[Expiry]]&amp;""&amp;"P"&amp;Table1[[#This Row],[Strike]]))</f>
        <v>1759</v>
      </c>
      <c r="U5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5104</v>
      </c>
      <c r="W55">
        <f>IF(
    ISNUMBER(Table1[[#This Row],[Strike]]),RTD("tos.rtd", , "DELTA", "."&amp;Table1[[#This Row],[Ticker]]&amp;Table1[[#This Row],[Expiry]]&amp;""&amp;"P"&amp;Table1[[#This Row],[Strike]]))</f>
        <v>-0.17</v>
      </c>
      <c r="Y55" s="19">
        <f>-27.5* IF($M$1="NDX", 10, IF(OR($M$1="SPX", $M$1="RUT"), 2, 1))</f>
        <v>-55</v>
      </c>
      <c r="Z55">
        <f ca="1">IFERROR(Table1[[#This Row],[call gamma]]*(Table1[[#This Row],[Open.Int]])*$A$4^2,0)</f>
        <v>7386.102986624127</v>
      </c>
      <c r="AA55">
        <f ca="1">IFERROR(((Table1[[#This Row],[Open.Int8]])*Table1[[#This Row],[Put gamma]])*-1*$A$4^2,0)</f>
        <v>-110100.50100056954</v>
      </c>
      <c r="AB55">
        <f ca="1">(Table1[[#This Row],[Call Gex]]+Table1[[#This Row],[Put Gex]])</f>
        <v>-102714.39801394541</v>
      </c>
      <c r="AC55">
        <f ca="1">Table1[[#This Row],[call delta adj]]+Table1[[#This Row],[put delta adj]]</f>
        <v>-11552.565273071421</v>
      </c>
      <c r="AD55">
        <f ca="1">Table1[[#This Row],[Put Gex]]*Table1[[#This Row],[DeltaP]]*-1</f>
        <v>-18717.085170096823</v>
      </c>
      <c r="AE55">
        <f ca="1">Table1[[#This Row],[Call Gex]]*Table1[[#This Row],[DeltaC]]</f>
        <v>7164.5198970254032</v>
      </c>
      <c r="AF55">
        <f>IF(Table1[[#This Row],[DeltaC]]-ABS(Table1[[#This Row],[DeltaP]])="0","0.01",Table1[[#This Row],[DeltaC]]-ABS(Table1[[#This Row],[DeltaP]]))</f>
        <v>0.79999999999999993</v>
      </c>
      <c r="AG55">
        <f ca="1">((LN($A$4/Table1[[#This Row],[Strike]]) + (0.411 + 0.5 * Table1[[#This Row],[IV Calc P]]^2) *Table1[[#This Row],[T]])) / (Table1[[#This Row],[IV Calc P]] * SQRT(Table1[[#This Row],[T]]))</f>
        <v>1.0779347326812165</v>
      </c>
      <c r="AH55">
        <f ca="1">(LN($A$4/Table1[[#This Row],[Strike]]) + (0.411-0 + 0.5 * Table1[[#This Row],[IV Calc C]]^2) *Table1[[#This Row],[T]]) / (Table1[[#This Row],[IV Calc C]] * SQRT(Table1[[#This Row],[T]]))</f>
        <v>2.1848266762281141</v>
      </c>
      <c r="AI55">
        <f ca="1">(EXP(-(AG55^2)/2)/SQRT(2*PI())*EXP(0*SQRT(Table1[[#This Row],[T]]))/$A$4*18%*SQRT(SQRT(Table1[[#This Row],[T]])))</f>
        <v>1.3096232213003013E-6</v>
      </c>
      <c r="AJ55">
        <f ca="1">(EXP(-(AH55^2)/2)/SQRT(2*PI())*EXP(0*SQRT(Table1[[#This Row],[T]]))/$A$4*18%*SQRT(SQRT(Table1[[#This Row],[T]])))</f>
        <v>2.15235461552619E-7</v>
      </c>
      <c r="AK55">
        <f ca="1">Table1[[#This Row],[Call D1]]-Table1[[#This Row],[IV Calc C]]*SQRT(Table1[[#This Row],[T]])</f>
        <v>2.1807915770882413</v>
      </c>
      <c r="AL55">
        <f ca="1">Table1[[#This Row],[Put D1]]-Table1[[#This Row],[IV Calc P]]*SQRT(Table1[[#This Row],[T]])</f>
        <v>1.0697324831291026</v>
      </c>
      <c r="AM55">
        <f ca="1">EXP(-0.5*Table1[[#This Row],[Call D1]]^2)/SQRT(2*PI())</f>
        <v>3.6674545935849498E-2</v>
      </c>
      <c r="AN55">
        <f ca="1">EXP(-0.5*Table1[[#This Row],[Put D1]]^2)/SQRT(2*PI())</f>
        <v>0.22315020323215259</v>
      </c>
      <c r="AO55">
        <f ca="1">IFERROR((EXP(0*Table1[[#This Row],[T]])*Table1[[#This Row],[call N(d1)]]*(Table1[[#This Row],[call d2]]/Table1[[#This Row],[IV Calc C]]))*Table1[[#This Row],[Open.Int]]*Table1[[#This Row],[DeltaC]],0)</f>
        <v>701.37634550534369</v>
      </c>
      <c r="AP55">
        <f ca="1">IFERROR((EXP(0*Table1[[#This Row],[T]])*Table1[[#This Row],[put N(d1)]]*(Table1[[#This Row],[put d2]]/Table1[[#This Row],[IV Calc P]]))*Table1[[#This Row],[Open.Int8]]*Table1[[#This Row],[DeltaP]]*-1,0)</f>
        <v>442.16513161320188</v>
      </c>
      <c r="AQ55">
        <f ca="1">((Table1[[#This Row],[call vanna]]+Table1[[#This Row],[put vanna]])*$A$4)</f>
        <v>7905702.4708374972</v>
      </c>
      <c r="AR5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7386.102986624127</v>
      </c>
      <c r="AS5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-110100.50100056954</v>
      </c>
      <c r="AT55" s="9" t="str" cm="1">
        <f t="array" ref="AT55">_xlfn.IFS(     $M$1="SPX","SPXW",     $M$1="RUT","RUTW",  $M$1="NDX","NDXP",   TRUE,$M$1 )</f>
        <v>SPXW</v>
      </c>
      <c r="AU55" s="2">
        <f t="shared" si="7"/>
        <v>6915</v>
      </c>
      <c r="AV55" t="str">
        <f t="shared" si="8"/>
        <v>260123</v>
      </c>
      <c r="AW55" s="19">
        <f ca="1">IFERROR((EXP(0*Table1[[#This Row],[T]])*Table1[[#This Row],[put N(d1)]]*(Table1[[#This Row],[put d2]]/Table1[[#This Row],[IV Calc P]]))*Table1[[#This Row],[Open.Int8]]*Table1[[#This Row],[DeltaP]]*-1,0)</f>
        <v>442.16513161320188</v>
      </c>
      <c r="AX55">
        <f ca="1">IFERROR((EXP(0*Table1[[#This Row],[T]])*Table1[[#This Row],[call N(d1)]]*(Table1[[#This Row],[call d2]]/Table1[[#This Row],[IV Calc C]]))*Table1[[#This Row],[Open.Int]]*Table1[[#This Row],[DeltaC]],0)</f>
        <v>701.37634550534369</v>
      </c>
      <c r="AY55">
        <f>IF(
    ISNUMBER(Table1[[#This Row],[Strike]]),RTD("tos.rtd", , "high", "."&amp;Table1[[#This Row],[Ticker]]&amp;Table1[[#This Row],[Expiry]]&amp;""&amp;"C"&amp;Table1[[#This Row],[Spot]]+Table1[[#This Row],[step]]))</f>
        <v>77</v>
      </c>
      <c r="AZ55">
        <f>IF(
    ISNUMBER(Table1[[#This Row],[Strike]]),RTD("tos.rtd", , "low", "."&amp;Table1[[#This Row],[Ticker]]&amp;Table1[[#This Row],[Expiry]]&amp;""&amp;"C"&amp;Table1[[#This Row],[Spot]]+Table1[[#This Row],[step]]))</f>
        <v>50.22</v>
      </c>
      <c r="BA55">
        <f>IF(
    ISNUMBER(Table1[[#This Row],[Strike]]),RTD("tos.rtd", , "high", "."&amp;Table1[[#This Row],[Ticker]]&amp;Table1[[#This Row],[Expiry]]&amp;""&amp;"P"&amp;Table1[[#This Row],[Spot]]+Table1[[#This Row],[step]]))</f>
        <v>12.7</v>
      </c>
      <c r="BB55">
        <f>IF(
    ISNUMBER(Table1[[#This Row],[Strike]]),RTD("tos.rtd", , "low", "."&amp;Table1[[#This Row],[Ticker]]&amp;Table1[[#This Row],[Expiry]]&amp;""&amp;"P"&amp;Table1[[#This Row],[Spot]]+Table1[[#This Row],[step]]))</f>
        <v>2.5</v>
      </c>
      <c r="BC55">
        <f>((Table1[[#This Row],[High C]]+Table1[[#This Row],[Low C]])/2)*Table1[[#This Row],[gammac]]*Table1[[#This Row],[Volume]]</f>
        <v>0</v>
      </c>
      <c r="BD55">
        <f>((Table1[[#This Row],[High P]]+Table1[[#This Row],[Low P]])/2)*Table1[[#This Row],[gammap]]*Table1[[#This Row],[Volume9]]*-1</f>
        <v>0</v>
      </c>
      <c r="BE55">
        <f>(Table1[[#This Row],[SgammaC]]+Table1[[#This Row],[SgammaP]])*$A$4*-100</f>
        <v>0</v>
      </c>
      <c r="BF55">
        <f>Table1[[#This Row],[DEXc]]+Table1[[#This Row],[DEXp]]</f>
        <v>2747572.6905</v>
      </c>
      <c r="BG55">
        <f>IFERROR(Table1[[#This Row],[DeltaC]]*Table1[[#This Row],[Open.Int]]*$A$4,0)</f>
        <v>4814871.7410000004</v>
      </c>
      <c r="BH55">
        <f>IFERROR(Table1[[#This Row],[DeltaP]]*Table1[[#This Row],[Open.Int8]]*$A$4,0)</f>
        <v>-2067299.0505000004</v>
      </c>
      <c r="BI5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210934.49177386693</v>
      </c>
      <c r="BJ5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1660212.7151190806</v>
      </c>
      <c r="BK55">
        <f ca="1">Table1[[#This Row],[Charmc]]+Table1[[#This Row],[Charmp]]</f>
        <v>1871147.2068929477</v>
      </c>
      <c r="BL5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5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55" s="78">
        <f ca="1">Table1[[#This Row],[call helper]]+Table1[[#This Row],[put helper]]</f>
        <v>-102714.39801394541</v>
      </c>
      <c r="BP55">
        <f>RTD("tos.rtd", , "STRIKE", "."&amp;Table1[[#This Row],[Ticker]]&amp;Table1[[#This Row],[Expiry]]&amp;""&amp;"C"&amp;Table1[[#This Row],[Spot]]+Table1[[#This Row],[step]])</f>
        <v>6860</v>
      </c>
    </row>
    <row r="56" spans="1:80" x14ac:dyDescent="0.25">
      <c r="A56">
        <f t="shared" ca="1" si="4"/>
        <v>2.5814307458086375E-3</v>
      </c>
      <c r="C56" s="17"/>
      <c r="D56" t="b">
        <f>IF(
    ISNUMBER(Table1[[#This Row],[Strike]]),RTD("tos.rtd", , "OPEN_INT", "."&amp;Table1[[#This Row],[Ticker]]&amp;Table1[[#This Row],[Expiry]]&amp;""&amp;"C"&amp;Table1[[#This Row],[Strike]]))</f>
        <v>0</v>
      </c>
      <c r="E5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6" t="b">
        <f>IF(
    ISNUMBER(Table1[[#This Row],[Strike]]),RTD("tos.rtd", , "DELTA", "."&amp;Table1[[#This Row],[Ticker]]&amp;Table1[[#This Row],[Expiry]]&amp;""&amp;"C"&amp;Table1[[#This Row],[Strike]]))</f>
        <v>0</v>
      </c>
      <c r="H56" s="17" t="b" cm="1">
        <f t="array" ref="H56">IF(
    ISNUMBER(Table1[[#This Row],[Strike]]),IndividualLegIVCore($A$4, Table1[[#This Row],[Strike]], 0.0411, Table1[[#This Row],[T]], ((Table1[[#This Row],[BIDC]]+Table1[[#This Row],[ASKC]])/2), TRUE))</f>
        <v>0</v>
      </c>
      <c r="I56" t="b">
        <f>IF(
    ISNUMBER(Table1[[#This Row],[Strike]]),RTD("tos.rtd", , "BID", "."&amp;Table1[[#This Row],[Ticker]]&amp;Table1[[#This Row],[Expiry]]&amp;""&amp;"C"&amp;Table1[[#This Row],[Strike]]))</f>
        <v>0</v>
      </c>
      <c r="J56" t="b">
        <f>IF(
    ISNUMBER(Table1[[#This Row],[Strike]]),RTD("tos.rtd", , "ASK", "."&amp;Table1[[#This Row],[Ticker]]&amp;Table1[[#This Row],[Expiry]]&amp;""&amp;"C"&amp;Table1[[#This Row],[Strike]]))</f>
        <v>0</v>
      </c>
      <c r="K5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6" s="17" cm="1">
        <f t="array" aca="1" ref="L5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6" s="1">
        <f t="shared" si="5"/>
        <v>46045</v>
      </c>
      <c r="N56" t="b">
        <f t="shared" si="6"/>
        <v>0</v>
      </c>
      <c r="P56" s="17" t="b" cm="1">
        <f t="array" ref="P56">IF(
    ISNUMBER(Table1[[#This Row],[Strike]]),IndividualLegIVCore($A$4, Table1[[#This Row],[Strike]], 0.0411, Table1[[#This Row],[T]], ((Table1[[#This Row],[BIDP]]+Table1[[#This Row],[ASKP]])/2), FALSE))</f>
        <v>0</v>
      </c>
      <c r="Q56" t="b">
        <f>IF(
    ISNUMBER(Table1[[#This Row],[Strike]]),RTD("tos.rtd", , "BID", "."&amp;Table1[[#This Row],[Ticker]]&amp;Table1[[#This Row],[Expiry]]&amp;""&amp;"P"&amp;Table1[[#This Row],[Strike]]))</f>
        <v>0</v>
      </c>
      <c r="R56" t="b">
        <f>IF(
    ISNUMBER(Table1[[#This Row],[Strike]]),RTD("tos.rtd", , "ASK", "."&amp;Table1[[#This Row],[Ticker]]&amp;Table1[[#This Row],[Expiry]]&amp;""&amp;"P"&amp;Table1[[#This Row],[Strike]]))</f>
        <v>0</v>
      </c>
      <c r="S56" s="17"/>
      <c r="T56" t="b">
        <f>IF(
    ISNUMBER(Table1[[#This Row],[Strike]]),RTD("tos.rtd", , "OPEN_INT", "."&amp;Table1[[#This Row],[Ticker]]&amp;Table1[[#This Row],[Expiry]]&amp;""&amp;"P"&amp;Table1[[#This Row],[Strike]]))</f>
        <v>0</v>
      </c>
      <c r="U5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6" t="b">
        <f>IF(
    ISNUMBER(Table1[[#This Row],[Strike]]),RTD("tos.rtd", , "DELTA", "."&amp;Table1[[#This Row],[Ticker]]&amp;Table1[[#This Row],[Expiry]]&amp;""&amp;"P"&amp;Table1[[#This Row],[Strike]]))</f>
        <v>0</v>
      </c>
      <c r="Y56" s="19">
        <f>-27* IF($M$1="NDX", 10, IF(OR($M$1="SPX", $M$1="RUT"), 2, 1))</f>
        <v>-54</v>
      </c>
      <c r="Z56">
        <f ca="1">IFERROR(Table1[[#This Row],[call gamma]]*(Table1[[#This Row],[Open.Int]])*$A$4^2,0)</f>
        <v>0</v>
      </c>
      <c r="AA56">
        <f ca="1">IFERROR(((Table1[[#This Row],[Open.Int8]])*Table1[[#This Row],[Put gamma]])*-1*$A$4^2,0)</f>
        <v>0</v>
      </c>
      <c r="AB56">
        <f ca="1">(Table1[[#This Row],[Call Gex]]+Table1[[#This Row],[Put Gex]])</f>
        <v>0</v>
      </c>
      <c r="AC56">
        <f ca="1">Table1[[#This Row],[call delta adj]]+Table1[[#This Row],[put delta adj]]</f>
        <v>0</v>
      </c>
      <c r="AD56">
        <f ca="1">Table1[[#This Row],[Put Gex]]*Table1[[#This Row],[DeltaP]]*-1</f>
        <v>0</v>
      </c>
      <c r="AE56">
        <f ca="1">Table1[[#This Row],[Call Gex]]*Table1[[#This Row],[DeltaC]]</f>
        <v>0</v>
      </c>
      <c r="AF56">
        <f>IF(Table1[[#This Row],[DeltaC]]-ABS(Table1[[#This Row],[DeltaP]])="0","0.01",Table1[[#This Row],[DeltaC]]-ABS(Table1[[#This Row],[DeltaP]]))</f>
        <v>0</v>
      </c>
      <c r="AG56" t="e">
        <f ca="1">((LN($A$4/Table1[[#This Row],[Strike]]) + (0.411 + 0.5 * Table1[[#This Row],[IV Calc P]]^2) *Table1[[#This Row],[T]])) / (Table1[[#This Row],[IV Calc P]] * SQRT(Table1[[#This Row],[T]]))</f>
        <v>#DIV/0!</v>
      </c>
      <c r="AH56" t="e">
        <f ca="1">(LN($A$4/Table1[[#This Row],[Strike]]) + (0.411-0 + 0.5 * Table1[[#This Row],[IV Calc C]]^2) *Table1[[#This Row],[T]]) / (Table1[[#This Row],[IV Calc C]] * SQRT(Table1[[#This Row],[T]]))</f>
        <v>#DIV/0!</v>
      </c>
      <c r="AI56" t="e">
        <f ca="1">(EXP(-(AG56^2)/2)/SQRT(2*PI())*EXP(0*SQRT(Table1[[#This Row],[T]]))/$A$4*18%*SQRT(SQRT(Table1[[#This Row],[T]])))</f>
        <v>#DIV/0!</v>
      </c>
      <c r="AJ56" t="e">
        <f ca="1">(EXP(-(AH56^2)/2)/SQRT(2*PI())*EXP(0*SQRT(Table1[[#This Row],[T]]))/$A$4*18%*SQRT(SQRT(Table1[[#This Row],[T]])))</f>
        <v>#DIV/0!</v>
      </c>
      <c r="AK56" t="e">
        <f ca="1">Table1[[#This Row],[Call D1]]-Table1[[#This Row],[IV Calc C]]*SQRT(Table1[[#This Row],[T]])</f>
        <v>#DIV/0!</v>
      </c>
      <c r="AL56" t="e">
        <f ca="1">Table1[[#This Row],[Put D1]]-Table1[[#This Row],[IV Calc P]]*SQRT(Table1[[#This Row],[T]])</f>
        <v>#DIV/0!</v>
      </c>
      <c r="AM56" t="e">
        <f ca="1">EXP(-0.5*Table1[[#This Row],[Call D1]]^2)/SQRT(2*PI())</f>
        <v>#DIV/0!</v>
      </c>
      <c r="AN56" t="e">
        <f ca="1">EXP(-0.5*Table1[[#This Row],[Put D1]]^2)/SQRT(2*PI())</f>
        <v>#DIV/0!</v>
      </c>
      <c r="AO56">
        <f ca="1">IFERROR((EXP(0*Table1[[#This Row],[T]])*Table1[[#This Row],[call N(d1)]]*(Table1[[#This Row],[call d2]]/Table1[[#This Row],[IV Calc C]]))*Table1[[#This Row],[Open.Int]]*Table1[[#This Row],[DeltaC]],0)</f>
        <v>0</v>
      </c>
      <c r="AP56">
        <f ca="1">IFERROR((EXP(0*Table1[[#This Row],[T]])*Table1[[#This Row],[put N(d1)]]*(Table1[[#This Row],[put d2]]/Table1[[#This Row],[IV Calc P]]))*Table1[[#This Row],[Open.Int8]]*Table1[[#This Row],[DeltaP]]*-1,0)</f>
        <v>0</v>
      </c>
      <c r="AQ56">
        <f ca="1">((Table1[[#This Row],[call vanna]]+Table1[[#This Row],[put vanna]])*$A$4)</f>
        <v>0</v>
      </c>
      <c r="AR5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6" s="9" t="str" cm="1">
        <f t="array" ref="AT56">_xlfn.IFS(     $M$1="SPX","SPXW",     $M$1="RUT","RUTW",  $M$1="NDX","NDXP",   TRUE,$M$1 )</f>
        <v>SPXW</v>
      </c>
      <c r="AU56" s="2">
        <f t="shared" si="7"/>
        <v>6915</v>
      </c>
      <c r="AV56" t="str">
        <f t="shared" si="8"/>
        <v>260123</v>
      </c>
      <c r="AW56" s="19">
        <f ca="1">IFERROR((EXP(0*Table1[[#This Row],[T]])*Table1[[#This Row],[put N(d1)]]*(Table1[[#This Row],[put d2]]/Table1[[#This Row],[IV Calc P]]))*Table1[[#This Row],[Open.Int8]]*Table1[[#This Row],[DeltaP]]*-1,0)</f>
        <v>0</v>
      </c>
      <c r="AX56">
        <f ca="1">IFERROR((EXP(0*Table1[[#This Row],[T]])*Table1[[#This Row],[call N(d1)]]*(Table1[[#This Row],[call d2]]/Table1[[#This Row],[IV Calc C]]))*Table1[[#This Row],[Open.Int]]*Table1[[#This Row],[DeltaC]],0)</f>
        <v>0</v>
      </c>
      <c r="AY5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6">
        <f>((Table1[[#This Row],[High C]]+Table1[[#This Row],[Low C]])/2)*Table1[[#This Row],[gammac]]*Table1[[#This Row],[Volume]]</f>
        <v>0</v>
      </c>
      <c r="BD56">
        <f>((Table1[[#This Row],[High P]]+Table1[[#This Row],[Low P]])/2)*Table1[[#This Row],[gammap]]*Table1[[#This Row],[Volume9]]*-1</f>
        <v>0</v>
      </c>
      <c r="BE56">
        <f>(Table1[[#This Row],[SgammaC]]+Table1[[#This Row],[SgammaP]])*$A$4*-100</f>
        <v>0</v>
      </c>
      <c r="BF56">
        <f>Table1[[#This Row],[DEXc]]+Table1[[#This Row],[DEXp]]</f>
        <v>0</v>
      </c>
      <c r="BG56">
        <f>IFERROR(Table1[[#This Row],[DeltaC]]*Table1[[#This Row],[Open.Int]]*$A$4,0)</f>
        <v>0</v>
      </c>
      <c r="BH56">
        <f>IFERROR(Table1[[#This Row],[DeltaP]]*Table1[[#This Row],[Open.Int8]]*$A$4,0)</f>
        <v>0</v>
      </c>
      <c r="BI5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6">
        <f ca="1">Table1[[#This Row],[Charmc]]+Table1[[#This Row],[Charmp]]</f>
        <v>0</v>
      </c>
      <c r="BL5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6" s="78">
        <f ca="1">Table1[[#This Row],[call helper]]+Table1[[#This Row],[put helper]]</f>
        <v>0</v>
      </c>
      <c r="BP56" t="str">
        <f>RTD("tos.rtd", , "STRIKE", "."&amp;Table1[[#This Row],[Ticker]]&amp;Table1[[#This Row],[Expiry]]&amp;""&amp;"C"&amp;Table1[[#This Row],[Spot]]+Table1[[#This Row],[step]])</f>
        <v>N/A</v>
      </c>
    </row>
    <row r="57" spans="1:80" x14ac:dyDescent="0.25">
      <c r="A57">
        <f t="shared" ca="1" si="4"/>
        <v>2.5814307458086375E-3</v>
      </c>
      <c r="C57" s="17"/>
      <c r="D57" t="b">
        <f>IF(
    ISNUMBER(Table1[[#This Row],[Strike]]),RTD("tos.rtd", , "OPEN_INT", "."&amp;Table1[[#This Row],[Ticker]]&amp;Table1[[#This Row],[Expiry]]&amp;""&amp;"C"&amp;Table1[[#This Row],[Strike]]))</f>
        <v>0</v>
      </c>
      <c r="E5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7" t="b">
        <f>IF(
    ISNUMBER(Table1[[#This Row],[Strike]]),RTD("tos.rtd", , "DELTA", "."&amp;Table1[[#This Row],[Ticker]]&amp;Table1[[#This Row],[Expiry]]&amp;""&amp;"C"&amp;Table1[[#This Row],[Strike]]))</f>
        <v>0</v>
      </c>
      <c r="H57" s="17" t="b" cm="1">
        <f t="array" ref="H57">IF(
    ISNUMBER(Table1[[#This Row],[Strike]]),IndividualLegIVCore($A$4, Table1[[#This Row],[Strike]], 0.0411, Table1[[#This Row],[T]], ((Table1[[#This Row],[BIDC]]+Table1[[#This Row],[ASKC]])/2), TRUE))</f>
        <v>0</v>
      </c>
      <c r="I57" t="b">
        <f>IF(
    ISNUMBER(Table1[[#This Row],[Strike]]),RTD("tos.rtd", , "BID", "."&amp;Table1[[#This Row],[Ticker]]&amp;Table1[[#This Row],[Expiry]]&amp;""&amp;"C"&amp;Table1[[#This Row],[Strike]]))</f>
        <v>0</v>
      </c>
      <c r="J57" t="b">
        <f>IF(
    ISNUMBER(Table1[[#This Row],[Strike]]),RTD("tos.rtd", , "ASK", "."&amp;Table1[[#This Row],[Ticker]]&amp;Table1[[#This Row],[Expiry]]&amp;""&amp;"C"&amp;Table1[[#This Row],[Strike]]))</f>
        <v>0</v>
      </c>
      <c r="K5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7" s="17" cm="1">
        <f t="array" aca="1" ref="L5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7" s="1">
        <f t="shared" si="5"/>
        <v>46045</v>
      </c>
      <c r="N57" t="b">
        <f t="shared" si="6"/>
        <v>0</v>
      </c>
      <c r="P57" s="17" t="b" cm="1">
        <f t="array" ref="P57">IF(
    ISNUMBER(Table1[[#This Row],[Strike]]),IndividualLegIVCore($A$4, Table1[[#This Row],[Strike]], 0.0411, Table1[[#This Row],[T]], ((Table1[[#This Row],[BIDP]]+Table1[[#This Row],[ASKP]])/2), FALSE))</f>
        <v>0</v>
      </c>
      <c r="Q57" t="b">
        <f>IF(
    ISNUMBER(Table1[[#This Row],[Strike]]),RTD("tos.rtd", , "BID", "."&amp;Table1[[#This Row],[Ticker]]&amp;Table1[[#This Row],[Expiry]]&amp;""&amp;"P"&amp;Table1[[#This Row],[Strike]]))</f>
        <v>0</v>
      </c>
      <c r="R57" t="b">
        <f>IF(
    ISNUMBER(Table1[[#This Row],[Strike]]),RTD("tos.rtd", , "ASK", "."&amp;Table1[[#This Row],[Ticker]]&amp;Table1[[#This Row],[Expiry]]&amp;""&amp;"P"&amp;Table1[[#This Row],[Strike]]))</f>
        <v>0</v>
      </c>
      <c r="S57" s="17"/>
      <c r="T57" t="b">
        <f>IF(
    ISNUMBER(Table1[[#This Row],[Strike]]),RTD("tos.rtd", , "OPEN_INT", "."&amp;Table1[[#This Row],[Ticker]]&amp;Table1[[#This Row],[Expiry]]&amp;""&amp;"P"&amp;Table1[[#This Row],[Strike]]))</f>
        <v>0</v>
      </c>
      <c r="U5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7" t="b">
        <f>IF(
    ISNUMBER(Table1[[#This Row],[Strike]]),RTD("tos.rtd", , "DELTA", "."&amp;Table1[[#This Row],[Ticker]]&amp;Table1[[#This Row],[Expiry]]&amp;""&amp;"P"&amp;Table1[[#This Row],[Strike]]))</f>
        <v>0</v>
      </c>
      <c r="Y57" s="19">
        <f>-26.5* IF($M$1="NDX", 10, IF(OR($M$1="SPX", $M$1="RUT"), 2, 1))</f>
        <v>-53</v>
      </c>
      <c r="Z57">
        <f ca="1">IFERROR(Table1[[#This Row],[call gamma]]*(Table1[[#This Row],[Open.Int]])*$A$4^2,0)</f>
        <v>0</v>
      </c>
      <c r="AA57">
        <f ca="1">IFERROR(((Table1[[#This Row],[Open.Int8]])*Table1[[#This Row],[Put gamma]])*-1*$A$4^2,0)</f>
        <v>0</v>
      </c>
      <c r="AB57">
        <f ca="1">(Table1[[#This Row],[Call Gex]]+Table1[[#This Row],[Put Gex]])</f>
        <v>0</v>
      </c>
      <c r="AC57">
        <f ca="1">Table1[[#This Row],[call delta adj]]+Table1[[#This Row],[put delta adj]]</f>
        <v>0</v>
      </c>
      <c r="AD57">
        <f ca="1">Table1[[#This Row],[Put Gex]]*Table1[[#This Row],[DeltaP]]*-1</f>
        <v>0</v>
      </c>
      <c r="AE57">
        <f ca="1">Table1[[#This Row],[Call Gex]]*Table1[[#This Row],[DeltaC]]</f>
        <v>0</v>
      </c>
      <c r="AF57">
        <f>IF(Table1[[#This Row],[DeltaC]]-ABS(Table1[[#This Row],[DeltaP]])="0","0.01",Table1[[#This Row],[DeltaC]]-ABS(Table1[[#This Row],[DeltaP]]))</f>
        <v>0</v>
      </c>
      <c r="AG57" t="e">
        <f ca="1">((LN($A$4/Table1[[#This Row],[Strike]]) + (0.411 + 0.5 * Table1[[#This Row],[IV Calc P]]^2) *Table1[[#This Row],[T]])) / (Table1[[#This Row],[IV Calc P]] * SQRT(Table1[[#This Row],[T]]))</f>
        <v>#DIV/0!</v>
      </c>
      <c r="AH57" t="e">
        <f ca="1">(LN($A$4/Table1[[#This Row],[Strike]]) + (0.411-0 + 0.5 * Table1[[#This Row],[IV Calc C]]^2) *Table1[[#This Row],[T]]) / (Table1[[#This Row],[IV Calc C]] * SQRT(Table1[[#This Row],[T]]))</f>
        <v>#DIV/0!</v>
      </c>
      <c r="AI57" t="e">
        <f ca="1">(EXP(-(AG57^2)/2)/SQRT(2*PI())*EXP(0*SQRT(Table1[[#This Row],[T]]))/$A$4*18%*SQRT(SQRT(Table1[[#This Row],[T]])))</f>
        <v>#DIV/0!</v>
      </c>
      <c r="AJ57" t="e">
        <f ca="1">(EXP(-(AH57^2)/2)/SQRT(2*PI())*EXP(0*SQRT(Table1[[#This Row],[T]]))/$A$4*18%*SQRT(SQRT(Table1[[#This Row],[T]])))</f>
        <v>#DIV/0!</v>
      </c>
      <c r="AK57" t="e">
        <f ca="1">Table1[[#This Row],[Call D1]]-Table1[[#This Row],[IV Calc C]]*SQRT(Table1[[#This Row],[T]])</f>
        <v>#DIV/0!</v>
      </c>
      <c r="AL57" t="e">
        <f ca="1">Table1[[#This Row],[Put D1]]-Table1[[#This Row],[IV Calc P]]*SQRT(Table1[[#This Row],[T]])</f>
        <v>#DIV/0!</v>
      </c>
      <c r="AM57" t="e">
        <f ca="1">EXP(-0.5*Table1[[#This Row],[Call D1]]^2)/SQRT(2*PI())</f>
        <v>#DIV/0!</v>
      </c>
      <c r="AN57" t="e">
        <f ca="1">EXP(-0.5*Table1[[#This Row],[Put D1]]^2)/SQRT(2*PI())</f>
        <v>#DIV/0!</v>
      </c>
      <c r="AO57">
        <f ca="1">IFERROR((EXP(0*Table1[[#This Row],[T]])*Table1[[#This Row],[call N(d1)]]*(Table1[[#This Row],[call d2]]/Table1[[#This Row],[IV Calc C]]))*Table1[[#This Row],[Open.Int]]*Table1[[#This Row],[DeltaC]],0)</f>
        <v>0</v>
      </c>
      <c r="AP57">
        <f ca="1">IFERROR((EXP(0*Table1[[#This Row],[T]])*Table1[[#This Row],[put N(d1)]]*(Table1[[#This Row],[put d2]]/Table1[[#This Row],[IV Calc P]]))*Table1[[#This Row],[Open.Int8]]*Table1[[#This Row],[DeltaP]]*-1,0)</f>
        <v>0</v>
      </c>
      <c r="AQ57">
        <f ca="1">((Table1[[#This Row],[call vanna]]+Table1[[#This Row],[put vanna]])*$A$4)</f>
        <v>0</v>
      </c>
      <c r="AR5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7" s="9" t="str" cm="1">
        <f t="array" ref="AT57">_xlfn.IFS(     $M$1="SPX","SPXW",     $M$1="RUT","RUTW",  $M$1="NDX","NDXP",   TRUE,$M$1 )</f>
        <v>SPXW</v>
      </c>
      <c r="AU57" s="2">
        <f t="shared" si="7"/>
        <v>6915</v>
      </c>
      <c r="AV57" t="str">
        <f t="shared" si="8"/>
        <v>260123</v>
      </c>
      <c r="AW57" s="19">
        <f ca="1">IFERROR((EXP(0*Table1[[#This Row],[T]])*Table1[[#This Row],[put N(d1)]]*(Table1[[#This Row],[put d2]]/Table1[[#This Row],[IV Calc P]]))*Table1[[#This Row],[Open.Int8]]*Table1[[#This Row],[DeltaP]]*-1,0)</f>
        <v>0</v>
      </c>
      <c r="AX57">
        <f ca="1">IFERROR((EXP(0*Table1[[#This Row],[T]])*Table1[[#This Row],[call N(d1)]]*(Table1[[#This Row],[call d2]]/Table1[[#This Row],[IV Calc C]]))*Table1[[#This Row],[Open.Int]]*Table1[[#This Row],[DeltaC]],0)</f>
        <v>0</v>
      </c>
      <c r="AY5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7">
        <f>((Table1[[#This Row],[High C]]+Table1[[#This Row],[Low C]])/2)*Table1[[#This Row],[gammac]]*Table1[[#This Row],[Volume]]</f>
        <v>0</v>
      </c>
      <c r="BD57">
        <f>((Table1[[#This Row],[High P]]+Table1[[#This Row],[Low P]])/2)*Table1[[#This Row],[gammap]]*Table1[[#This Row],[Volume9]]*-1</f>
        <v>0</v>
      </c>
      <c r="BE57">
        <f>(Table1[[#This Row],[SgammaC]]+Table1[[#This Row],[SgammaP]])*$A$4*-100</f>
        <v>0</v>
      </c>
      <c r="BF57">
        <f>Table1[[#This Row],[DEXc]]+Table1[[#This Row],[DEXp]]</f>
        <v>0</v>
      </c>
      <c r="BG57">
        <f>IFERROR(Table1[[#This Row],[DeltaC]]*Table1[[#This Row],[Open.Int]]*$A$4,0)</f>
        <v>0</v>
      </c>
      <c r="BH57">
        <f>IFERROR(Table1[[#This Row],[DeltaP]]*Table1[[#This Row],[Open.Int8]]*$A$4,0)</f>
        <v>0</v>
      </c>
      <c r="BI5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7">
        <f ca="1">Table1[[#This Row],[Charmc]]+Table1[[#This Row],[Charmp]]</f>
        <v>0</v>
      </c>
      <c r="BL5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7" s="78">
        <f ca="1">Table1[[#This Row],[call helper]]+Table1[[#This Row],[put helper]]</f>
        <v>0</v>
      </c>
      <c r="BP57" t="str">
        <f>RTD("tos.rtd", , "STRIKE", "."&amp;Table1[[#This Row],[Ticker]]&amp;Table1[[#This Row],[Expiry]]&amp;""&amp;"C"&amp;Table1[[#This Row],[Spot]]+Table1[[#This Row],[step]])</f>
        <v>N/A</v>
      </c>
    </row>
    <row r="58" spans="1:80" x14ac:dyDescent="0.25">
      <c r="A58">
        <f t="shared" ca="1" si="4"/>
        <v>2.5814307458086375E-3</v>
      </c>
      <c r="C58" s="17"/>
      <c r="D58" t="b">
        <f>IF(
    ISNUMBER(Table1[[#This Row],[Strike]]),RTD("tos.rtd", , "OPEN_INT", "."&amp;Table1[[#This Row],[Ticker]]&amp;Table1[[#This Row],[Expiry]]&amp;""&amp;"C"&amp;Table1[[#This Row],[Strike]]))</f>
        <v>0</v>
      </c>
      <c r="E5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8" t="b">
        <f>IF(
    ISNUMBER(Table1[[#This Row],[Strike]]),RTD("tos.rtd", , "DELTA", "."&amp;Table1[[#This Row],[Ticker]]&amp;Table1[[#This Row],[Expiry]]&amp;""&amp;"C"&amp;Table1[[#This Row],[Strike]]))</f>
        <v>0</v>
      </c>
      <c r="H58" s="17" t="b" cm="1">
        <f t="array" ref="H58">IF(
    ISNUMBER(Table1[[#This Row],[Strike]]),IndividualLegIVCore($A$4, Table1[[#This Row],[Strike]], 0.0411, Table1[[#This Row],[T]], ((Table1[[#This Row],[BIDC]]+Table1[[#This Row],[ASKC]])/2), TRUE))</f>
        <v>0</v>
      </c>
      <c r="I58" t="b">
        <f>IF(
    ISNUMBER(Table1[[#This Row],[Strike]]),RTD("tos.rtd", , "BID", "."&amp;Table1[[#This Row],[Ticker]]&amp;Table1[[#This Row],[Expiry]]&amp;""&amp;"C"&amp;Table1[[#This Row],[Strike]]))</f>
        <v>0</v>
      </c>
      <c r="J58" t="b">
        <f>IF(
    ISNUMBER(Table1[[#This Row],[Strike]]),RTD("tos.rtd", , "ASK", "."&amp;Table1[[#This Row],[Ticker]]&amp;Table1[[#This Row],[Expiry]]&amp;""&amp;"C"&amp;Table1[[#This Row],[Strike]]))</f>
        <v>0</v>
      </c>
      <c r="K5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8" s="17" cm="1">
        <f t="array" aca="1" ref="L5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8" s="1">
        <f t="shared" si="5"/>
        <v>46045</v>
      </c>
      <c r="N58" t="b">
        <f t="shared" si="6"/>
        <v>0</v>
      </c>
      <c r="P58" s="17" t="b" cm="1">
        <f t="array" ref="P58">IF(
    ISNUMBER(Table1[[#This Row],[Strike]]),IndividualLegIVCore($A$4, Table1[[#This Row],[Strike]], 0.0411, Table1[[#This Row],[T]], ((Table1[[#This Row],[BIDP]]+Table1[[#This Row],[ASKP]])/2), FALSE))</f>
        <v>0</v>
      </c>
      <c r="Q58" t="b">
        <f>IF(
    ISNUMBER(Table1[[#This Row],[Strike]]),RTD("tos.rtd", , "BID", "."&amp;Table1[[#This Row],[Ticker]]&amp;Table1[[#This Row],[Expiry]]&amp;""&amp;"P"&amp;Table1[[#This Row],[Strike]]))</f>
        <v>0</v>
      </c>
      <c r="R58" t="b">
        <f>IF(
    ISNUMBER(Table1[[#This Row],[Strike]]),RTD("tos.rtd", , "ASK", "."&amp;Table1[[#This Row],[Ticker]]&amp;Table1[[#This Row],[Expiry]]&amp;""&amp;"P"&amp;Table1[[#This Row],[Strike]]))</f>
        <v>0</v>
      </c>
      <c r="S58" s="17"/>
      <c r="T58" t="b">
        <f>IF(
    ISNUMBER(Table1[[#This Row],[Strike]]),RTD("tos.rtd", , "OPEN_INT", "."&amp;Table1[[#This Row],[Ticker]]&amp;Table1[[#This Row],[Expiry]]&amp;""&amp;"P"&amp;Table1[[#This Row],[Strike]]))</f>
        <v>0</v>
      </c>
      <c r="U5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8" t="b">
        <f>IF(
    ISNUMBER(Table1[[#This Row],[Strike]]),RTD("tos.rtd", , "DELTA", "."&amp;Table1[[#This Row],[Ticker]]&amp;Table1[[#This Row],[Expiry]]&amp;""&amp;"P"&amp;Table1[[#This Row],[Strike]]))</f>
        <v>0</v>
      </c>
      <c r="Y58" s="19">
        <f>-26* IF($M$1="NDX", 10, IF(OR($M$1="SPX", $M$1="RUT"), 2, 1))</f>
        <v>-52</v>
      </c>
      <c r="Z58">
        <f ca="1">IFERROR(Table1[[#This Row],[call gamma]]*(Table1[[#This Row],[Open.Int]])*$A$4^2,0)</f>
        <v>0</v>
      </c>
      <c r="AA58">
        <f ca="1">IFERROR(((Table1[[#This Row],[Open.Int8]])*Table1[[#This Row],[Put gamma]])*-1*$A$4^2,0)</f>
        <v>0</v>
      </c>
      <c r="AB58">
        <f ca="1">(Table1[[#This Row],[Call Gex]]+Table1[[#This Row],[Put Gex]])</f>
        <v>0</v>
      </c>
      <c r="AC58">
        <f ca="1">Table1[[#This Row],[call delta adj]]+Table1[[#This Row],[put delta adj]]</f>
        <v>0</v>
      </c>
      <c r="AD58">
        <f ca="1">Table1[[#This Row],[Put Gex]]*Table1[[#This Row],[DeltaP]]*-1</f>
        <v>0</v>
      </c>
      <c r="AE58">
        <f ca="1">Table1[[#This Row],[Call Gex]]*Table1[[#This Row],[DeltaC]]</f>
        <v>0</v>
      </c>
      <c r="AF58">
        <f>IF(Table1[[#This Row],[DeltaC]]-ABS(Table1[[#This Row],[DeltaP]])="0","0.01",Table1[[#This Row],[DeltaC]]-ABS(Table1[[#This Row],[DeltaP]]))</f>
        <v>0</v>
      </c>
      <c r="AG58" t="e">
        <f ca="1">((LN($A$4/Table1[[#This Row],[Strike]]) + (0.411 + 0.5 * Table1[[#This Row],[IV Calc P]]^2) *Table1[[#This Row],[T]])) / (Table1[[#This Row],[IV Calc P]] * SQRT(Table1[[#This Row],[T]]))</f>
        <v>#DIV/0!</v>
      </c>
      <c r="AH58" t="e">
        <f ca="1">(LN($A$4/Table1[[#This Row],[Strike]]) + (0.411-0 + 0.5 * Table1[[#This Row],[IV Calc C]]^2) *Table1[[#This Row],[T]]) / (Table1[[#This Row],[IV Calc C]] * SQRT(Table1[[#This Row],[T]]))</f>
        <v>#DIV/0!</v>
      </c>
      <c r="AI58" t="e">
        <f ca="1">(EXP(-(AG58^2)/2)/SQRT(2*PI())*EXP(0*SQRT(Table1[[#This Row],[T]]))/$A$4*18%*SQRT(SQRT(Table1[[#This Row],[T]])))</f>
        <v>#DIV/0!</v>
      </c>
      <c r="AJ58" t="e">
        <f ca="1">(EXP(-(AH58^2)/2)/SQRT(2*PI())*EXP(0*SQRT(Table1[[#This Row],[T]]))/$A$4*18%*SQRT(SQRT(Table1[[#This Row],[T]])))</f>
        <v>#DIV/0!</v>
      </c>
      <c r="AK58" t="e">
        <f ca="1">Table1[[#This Row],[Call D1]]-Table1[[#This Row],[IV Calc C]]*SQRT(Table1[[#This Row],[T]])</f>
        <v>#DIV/0!</v>
      </c>
      <c r="AL58" t="e">
        <f ca="1">Table1[[#This Row],[Put D1]]-Table1[[#This Row],[IV Calc P]]*SQRT(Table1[[#This Row],[T]])</f>
        <v>#DIV/0!</v>
      </c>
      <c r="AM58" t="e">
        <f ca="1">EXP(-0.5*Table1[[#This Row],[Call D1]]^2)/SQRT(2*PI())</f>
        <v>#DIV/0!</v>
      </c>
      <c r="AN58" t="e">
        <f ca="1">EXP(-0.5*Table1[[#This Row],[Put D1]]^2)/SQRT(2*PI())</f>
        <v>#DIV/0!</v>
      </c>
      <c r="AO58">
        <f ca="1">IFERROR((EXP(0*Table1[[#This Row],[T]])*Table1[[#This Row],[call N(d1)]]*(Table1[[#This Row],[call d2]]/Table1[[#This Row],[IV Calc C]]))*Table1[[#This Row],[Open.Int]]*Table1[[#This Row],[DeltaC]],0)</f>
        <v>0</v>
      </c>
      <c r="AP58">
        <f ca="1">IFERROR((EXP(0*Table1[[#This Row],[T]])*Table1[[#This Row],[put N(d1)]]*(Table1[[#This Row],[put d2]]/Table1[[#This Row],[IV Calc P]]))*Table1[[#This Row],[Open.Int8]]*Table1[[#This Row],[DeltaP]]*-1,0)</f>
        <v>0</v>
      </c>
      <c r="AQ58">
        <f ca="1">((Table1[[#This Row],[call vanna]]+Table1[[#This Row],[put vanna]])*$A$4)</f>
        <v>0</v>
      </c>
      <c r="AR5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8" s="9" t="str" cm="1">
        <f t="array" ref="AT58">_xlfn.IFS(     $M$1="SPX","SPXW",     $M$1="RUT","RUTW",  $M$1="NDX","NDXP",   TRUE,$M$1 )</f>
        <v>SPXW</v>
      </c>
      <c r="AU58" s="2">
        <f t="shared" si="7"/>
        <v>6915</v>
      </c>
      <c r="AV58" t="str">
        <f t="shared" si="8"/>
        <v>260123</v>
      </c>
      <c r="AW58" s="19">
        <f ca="1">IFERROR((EXP(0*Table1[[#This Row],[T]])*Table1[[#This Row],[put N(d1)]]*(Table1[[#This Row],[put d2]]/Table1[[#This Row],[IV Calc P]]))*Table1[[#This Row],[Open.Int8]]*Table1[[#This Row],[DeltaP]]*-1,0)</f>
        <v>0</v>
      </c>
      <c r="AX58">
        <f ca="1">IFERROR((EXP(0*Table1[[#This Row],[T]])*Table1[[#This Row],[call N(d1)]]*(Table1[[#This Row],[call d2]]/Table1[[#This Row],[IV Calc C]]))*Table1[[#This Row],[Open.Int]]*Table1[[#This Row],[DeltaC]],0)</f>
        <v>0</v>
      </c>
      <c r="AY5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8">
        <f>((Table1[[#This Row],[High C]]+Table1[[#This Row],[Low C]])/2)*Table1[[#This Row],[gammac]]*Table1[[#This Row],[Volume]]</f>
        <v>0</v>
      </c>
      <c r="BD58">
        <f>((Table1[[#This Row],[High P]]+Table1[[#This Row],[Low P]])/2)*Table1[[#This Row],[gammap]]*Table1[[#This Row],[Volume9]]*-1</f>
        <v>0</v>
      </c>
      <c r="BE58">
        <f>(Table1[[#This Row],[SgammaC]]+Table1[[#This Row],[SgammaP]])*$A$4*-100</f>
        <v>0</v>
      </c>
      <c r="BF58">
        <f>Table1[[#This Row],[DEXc]]+Table1[[#This Row],[DEXp]]</f>
        <v>0</v>
      </c>
      <c r="BG58">
        <f>IFERROR(Table1[[#This Row],[DeltaC]]*Table1[[#This Row],[Open.Int]]*$A$4,0)</f>
        <v>0</v>
      </c>
      <c r="BH58">
        <f>IFERROR(Table1[[#This Row],[DeltaP]]*Table1[[#This Row],[Open.Int8]]*$A$4,0)</f>
        <v>0</v>
      </c>
      <c r="BI5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8">
        <f ca="1">Table1[[#This Row],[Charmc]]+Table1[[#This Row],[Charmp]]</f>
        <v>0</v>
      </c>
      <c r="BL5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8" s="78">
        <f ca="1">Table1[[#This Row],[call helper]]+Table1[[#This Row],[put helper]]</f>
        <v>0</v>
      </c>
      <c r="BP58" t="str">
        <f>RTD("tos.rtd", , "STRIKE", "."&amp;Table1[[#This Row],[Ticker]]&amp;Table1[[#This Row],[Expiry]]&amp;""&amp;"C"&amp;Table1[[#This Row],[Spot]]+Table1[[#This Row],[step]])</f>
        <v>N/A</v>
      </c>
    </row>
    <row r="59" spans="1:80" x14ac:dyDescent="0.25">
      <c r="A59">
        <f t="shared" ca="1" si="4"/>
        <v>2.5814307458086375E-3</v>
      </c>
      <c r="C59" s="17"/>
      <c r="D59" t="b">
        <f>IF(
    ISNUMBER(Table1[[#This Row],[Strike]]),RTD("tos.rtd", , "OPEN_INT", "."&amp;Table1[[#This Row],[Ticker]]&amp;Table1[[#This Row],[Expiry]]&amp;""&amp;"C"&amp;Table1[[#This Row],[Strike]]))</f>
        <v>0</v>
      </c>
      <c r="E5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9" t="b">
        <f>IF(
    ISNUMBER(Table1[[#This Row],[Strike]]),RTD("tos.rtd", , "DELTA", "."&amp;Table1[[#This Row],[Ticker]]&amp;Table1[[#This Row],[Expiry]]&amp;""&amp;"C"&amp;Table1[[#This Row],[Strike]]))</f>
        <v>0</v>
      </c>
      <c r="H59" s="17" t="b" cm="1">
        <f t="array" ref="H59">IF(
    ISNUMBER(Table1[[#This Row],[Strike]]),IndividualLegIVCore($A$4, Table1[[#This Row],[Strike]], 0.0411, Table1[[#This Row],[T]], ((Table1[[#This Row],[BIDC]]+Table1[[#This Row],[ASKC]])/2), TRUE))</f>
        <v>0</v>
      </c>
      <c r="I59" t="b">
        <f>IF(
    ISNUMBER(Table1[[#This Row],[Strike]]),RTD("tos.rtd", , "BID", "."&amp;Table1[[#This Row],[Ticker]]&amp;Table1[[#This Row],[Expiry]]&amp;""&amp;"C"&amp;Table1[[#This Row],[Strike]]))</f>
        <v>0</v>
      </c>
      <c r="J59" t="b">
        <f>IF(
    ISNUMBER(Table1[[#This Row],[Strike]]),RTD("tos.rtd", , "ASK", "."&amp;Table1[[#This Row],[Ticker]]&amp;Table1[[#This Row],[Expiry]]&amp;""&amp;"C"&amp;Table1[[#This Row],[Strike]]))</f>
        <v>0</v>
      </c>
      <c r="K5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9" s="17" cm="1">
        <f t="array" aca="1" ref="L5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9" s="1">
        <f t="shared" si="5"/>
        <v>46045</v>
      </c>
      <c r="N59" t="b">
        <f t="shared" si="6"/>
        <v>0</v>
      </c>
      <c r="P59" s="17" t="b" cm="1">
        <f t="array" ref="P59">IF(
    ISNUMBER(Table1[[#This Row],[Strike]]),IndividualLegIVCore($A$4, Table1[[#This Row],[Strike]], 0.0411, Table1[[#This Row],[T]], ((Table1[[#This Row],[BIDP]]+Table1[[#This Row],[ASKP]])/2), FALSE))</f>
        <v>0</v>
      </c>
      <c r="Q59" t="b">
        <f>IF(
    ISNUMBER(Table1[[#This Row],[Strike]]),RTD("tos.rtd", , "BID", "."&amp;Table1[[#This Row],[Ticker]]&amp;Table1[[#This Row],[Expiry]]&amp;""&amp;"P"&amp;Table1[[#This Row],[Strike]]))</f>
        <v>0</v>
      </c>
      <c r="R59" t="b">
        <f>IF(
    ISNUMBER(Table1[[#This Row],[Strike]]),RTD("tos.rtd", , "ASK", "."&amp;Table1[[#This Row],[Ticker]]&amp;Table1[[#This Row],[Expiry]]&amp;""&amp;"P"&amp;Table1[[#This Row],[Strike]]))</f>
        <v>0</v>
      </c>
      <c r="S59" s="17"/>
      <c r="T59" t="b">
        <f>IF(
    ISNUMBER(Table1[[#This Row],[Strike]]),RTD("tos.rtd", , "OPEN_INT", "."&amp;Table1[[#This Row],[Ticker]]&amp;Table1[[#This Row],[Expiry]]&amp;""&amp;"P"&amp;Table1[[#This Row],[Strike]]))</f>
        <v>0</v>
      </c>
      <c r="U5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9" t="b">
        <f>IF(
    ISNUMBER(Table1[[#This Row],[Strike]]),RTD("tos.rtd", , "DELTA", "."&amp;Table1[[#This Row],[Ticker]]&amp;Table1[[#This Row],[Expiry]]&amp;""&amp;"P"&amp;Table1[[#This Row],[Strike]]))</f>
        <v>0</v>
      </c>
      <c r="Y59" s="19">
        <f>-25.5* IF($M$1="NDX", 10, IF(OR($M$1="SPX", $M$1="RUT"), 2, 1))</f>
        <v>-51</v>
      </c>
      <c r="Z59">
        <f ca="1">IFERROR(Table1[[#This Row],[call gamma]]*(Table1[[#This Row],[Open.Int]])*$A$4^2,0)</f>
        <v>0</v>
      </c>
      <c r="AA59">
        <f ca="1">IFERROR(((Table1[[#This Row],[Open.Int8]])*Table1[[#This Row],[Put gamma]])*-1*$A$4^2,0)</f>
        <v>0</v>
      </c>
      <c r="AB59">
        <f ca="1">(Table1[[#This Row],[Call Gex]]+Table1[[#This Row],[Put Gex]])</f>
        <v>0</v>
      </c>
      <c r="AC59">
        <f ca="1">Table1[[#This Row],[call delta adj]]+Table1[[#This Row],[put delta adj]]</f>
        <v>0</v>
      </c>
      <c r="AD59">
        <f ca="1">Table1[[#This Row],[Put Gex]]*Table1[[#This Row],[DeltaP]]*-1</f>
        <v>0</v>
      </c>
      <c r="AE59">
        <f ca="1">Table1[[#This Row],[Call Gex]]*Table1[[#This Row],[DeltaC]]</f>
        <v>0</v>
      </c>
      <c r="AF59">
        <f>IF(Table1[[#This Row],[DeltaC]]-ABS(Table1[[#This Row],[DeltaP]])="0","0.01",Table1[[#This Row],[DeltaC]]-ABS(Table1[[#This Row],[DeltaP]]))</f>
        <v>0</v>
      </c>
      <c r="AG59" t="e">
        <f ca="1">((LN($A$4/Table1[[#This Row],[Strike]]) + (0.411 + 0.5 * Table1[[#This Row],[IV Calc P]]^2) *Table1[[#This Row],[T]])) / (Table1[[#This Row],[IV Calc P]] * SQRT(Table1[[#This Row],[T]]))</f>
        <v>#DIV/0!</v>
      </c>
      <c r="AH59" t="e">
        <f ca="1">(LN($A$4/Table1[[#This Row],[Strike]]) + (0.411-0 + 0.5 * Table1[[#This Row],[IV Calc C]]^2) *Table1[[#This Row],[T]]) / (Table1[[#This Row],[IV Calc C]] * SQRT(Table1[[#This Row],[T]]))</f>
        <v>#DIV/0!</v>
      </c>
      <c r="AI59" t="e">
        <f ca="1">(EXP(-(AG59^2)/2)/SQRT(2*PI())*EXP(0*SQRT(Table1[[#This Row],[T]]))/$A$4*18%*SQRT(SQRT(Table1[[#This Row],[T]])))</f>
        <v>#DIV/0!</v>
      </c>
      <c r="AJ59" t="e">
        <f ca="1">(EXP(-(AH59^2)/2)/SQRT(2*PI())*EXP(0*SQRT(Table1[[#This Row],[T]]))/$A$4*18%*SQRT(SQRT(Table1[[#This Row],[T]])))</f>
        <v>#DIV/0!</v>
      </c>
      <c r="AK59" t="e">
        <f ca="1">Table1[[#This Row],[Call D1]]-Table1[[#This Row],[IV Calc C]]*SQRT(Table1[[#This Row],[T]])</f>
        <v>#DIV/0!</v>
      </c>
      <c r="AL59" t="e">
        <f ca="1">Table1[[#This Row],[Put D1]]-Table1[[#This Row],[IV Calc P]]*SQRT(Table1[[#This Row],[T]])</f>
        <v>#DIV/0!</v>
      </c>
      <c r="AM59" t="e">
        <f ca="1">EXP(-0.5*Table1[[#This Row],[Call D1]]^2)/SQRT(2*PI())</f>
        <v>#DIV/0!</v>
      </c>
      <c r="AN59" t="e">
        <f ca="1">EXP(-0.5*Table1[[#This Row],[Put D1]]^2)/SQRT(2*PI())</f>
        <v>#DIV/0!</v>
      </c>
      <c r="AO59">
        <f ca="1">IFERROR((EXP(0*Table1[[#This Row],[T]])*Table1[[#This Row],[call N(d1)]]*(Table1[[#This Row],[call d2]]/Table1[[#This Row],[IV Calc C]]))*Table1[[#This Row],[Open.Int]]*Table1[[#This Row],[DeltaC]],0)</f>
        <v>0</v>
      </c>
      <c r="AP59">
        <f ca="1">IFERROR((EXP(0*Table1[[#This Row],[T]])*Table1[[#This Row],[put N(d1)]]*(Table1[[#This Row],[put d2]]/Table1[[#This Row],[IV Calc P]]))*Table1[[#This Row],[Open.Int8]]*Table1[[#This Row],[DeltaP]]*-1,0)</f>
        <v>0</v>
      </c>
      <c r="AQ59">
        <f ca="1">((Table1[[#This Row],[call vanna]]+Table1[[#This Row],[put vanna]])*$A$4)</f>
        <v>0</v>
      </c>
      <c r="AR5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9" s="9" t="str" cm="1">
        <f t="array" ref="AT59">_xlfn.IFS(     $M$1="SPX","SPXW",     $M$1="RUT","RUTW",  $M$1="NDX","NDXP",   TRUE,$M$1 )</f>
        <v>SPXW</v>
      </c>
      <c r="AU59" s="2">
        <f t="shared" si="7"/>
        <v>6915</v>
      </c>
      <c r="AV59" t="str">
        <f t="shared" si="8"/>
        <v>260123</v>
      </c>
      <c r="AW59" s="19">
        <f ca="1">IFERROR((EXP(0*Table1[[#This Row],[T]])*Table1[[#This Row],[put N(d1)]]*(Table1[[#This Row],[put d2]]/Table1[[#This Row],[IV Calc P]]))*Table1[[#This Row],[Open.Int8]]*Table1[[#This Row],[DeltaP]]*-1,0)</f>
        <v>0</v>
      </c>
      <c r="AX59">
        <f ca="1">IFERROR((EXP(0*Table1[[#This Row],[T]])*Table1[[#This Row],[call N(d1)]]*(Table1[[#This Row],[call d2]]/Table1[[#This Row],[IV Calc C]]))*Table1[[#This Row],[Open.Int]]*Table1[[#This Row],[DeltaC]],0)</f>
        <v>0</v>
      </c>
      <c r="AY5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9">
        <f>((Table1[[#This Row],[High C]]+Table1[[#This Row],[Low C]])/2)*Table1[[#This Row],[gammac]]*Table1[[#This Row],[Volume]]</f>
        <v>0</v>
      </c>
      <c r="BD59">
        <f>((Table1[[#This Row],[High P]]+Table1[[#This Row],[Low P]])/2)*Table1[[#This Row],[gammap]]*Table1[[#This Row],[Volume9]]*-1</f>
        <v>0</v>
      </c>
      <c r="BE59">
        <f>(Table1[[#This Row],[SgammaC]]+Table1[[#This Row],[SgammaP]])*$A$4*-100</f>
        <v>0</v>
      </c>
      <c r="BF59">
        <f>Table1[[#This Row],[DEXc]]+Table1[[#This Row],[DEXp]]</f>
        <v>0</v>
      </c>
      <c r="BG59">
        <f>IFERROR(Table1[[#This Row],[DeltaC]]*Table1[[#This Row],[Open.Int]]*$A$4,0)</f>
        <v>0</v>
      </c>
      <c r="BH59">
        <f>IFERROR(Table1[[#This Row],[DeltaP]]*Table1[[#This Row],[Open.Int8]]*$A$4,0)</f>
        <v>0</v>
      </c>
      <c r="BI5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9">
        <f ca="1">Table1[[#This Row],[Charmc]]+Table1[[#This Row],[Charmp]]</f>
        <v>0</v>
      </c>
      <c r="BL5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9" s="78">
        <f ca="1">Table1[[#This Row],[call helper]]+Table1[[#This Row],[put helper]]</f>
        <v>0</v>
      </c>
      <c r="BP59" t="str">
        <f>RTD("tos.rtd", , "STRIKE", "."&amp;Table1[[#This Row],[Ticker]]&amp;Table1[[#This Row],[Expiry]]&amp;""&amp;"C"&amp;Table1[[#This Row],[Spot]]+Table1[[#This Row],[step]])</f>
        <v>N/A</v>
      </c>
    </row>
    <row r="60" spans="1:80" x14ac:dyDescent="0.25">
      <c r="A60">
        <f t="shared" ca="1" si="4"/>
        <v>2.5814307458086375E-3</v>
      </c>
      <c r="C60" s="17"/>
      <c r="D60">
        <f>IF(
    ISNUMBER(Table1[[#This Row],[Strike]]),RTD("tos.rtd", , "OPEN_INT", "."&amp;Table1[[#This Row],[Ticker]]&amp;Table1[[#This Row],[Expiry]]&amp;""&amp;"C"&amp;Table1[[#This Row],[Strike]]))</f>
        <v>316</v>
      </c>
      <c r="E6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472</v>
      </c>
      <c r="G60">
        <f>IF(
    ISNUMBER(Table1[[#This Row],[Strike]]),RTD("tos.rtd", , "DELTA", "."&amp;Table1[[#This Row],[Ticker]]&amp;Table1[[#This Row],[Expiry]]&amp;""&amp;"C"&amp;Table1[[#This Row],[Strike]]))</f>
        <v>0.93</v>
      </c>
      <c r="H60" s="17" cm="1">
        <f t="array" aca="1" ref="H60" ca="1">IF(
    ISNUMBER(Table1[[#This Row],[Strike]]),IndividualLegIVCore($A$4, Table1[[#This Row],[Strike]], 0.0411, Table1[[#This Row],[T]], ((Table1[[#This Row],[BIDC]]+Table1[[#This Row],[ASKC]])/2), TRUE))</f>
        <v>9.3762860915141355E-2</v>
      </c>
      <c r="I60">
        <f>IF(
    ISNUMBER(Table1[[#This Row],[Strike]]),RTD("tos.rtd", , "BID", "."&amp;Table1[[#This Row],[Ticker]]&amp;Table1[[#This Row],[Expiry]]&amp;""&amp;"C"&amp;Table1[[#This Row],[Strike]]))</f>
        <v>49.4</v>
      </c>
      <c r="J60">
        <f>IF(
    ISNUMBER(Table1[[#This Row],[Strike]]),RTD("tos.rtd", , "ASK", "."&amp;Table1[[#This Row],[Ticker]]&amp;Table1[[#This Row],[Expiry]]&amp;""&amp;"C"&amp;Table1[[#This Row],[Strike]]))</f>
        <v>50.7</v>
      </c>
      <c r="K6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0.15924477054078004</v>
      </c>
      <c r="L60" s="17" cm="1">
        <f t="array" aca="1" ref="L60" ca="1">CubicSplineIVSmile($A$4, Table1[[#This Row],[Strike]], 0.0411, Table1[[#This Row],[T]], (Table1[[#This Row],[BIDC]]+Table1[[#This Row],[ASKC]])/2, (Table1[[#This Row],[BIDP]]+Table1[[#This Row],[ASKP]])/2, Table1[Strike], Table1[IV Calc AVG])</f>
        <v>0.10248131475845175</v>
      </c>
      <c r="M60" s="1">
        <f t="shared" si="5"/>
        <v>46045</v>
      </c>
      <c r="N60">
        <f t="shared" si="6"/>
        <v>6865</v>
      </c>
      <c r="P60" s="17" cm="1">
        <f t="array" aca="1" ref="P60" ca="1">IF(
    ISNUMBER(Table1[[#This Row],[Strike]]),IndividualLegIVCore($A$4, Table1[[#This Row],[Strike]], 0.0411, Table1[[#This Row],[T]], ((Table1[[#This Row],[BIDP]]+Table1[[#This Row],[ASKP]])/2), FALSE))</f>
        <v>0.15924477054078004</v>
      </c>
      <c r="Q60">
        <f>IF(
    ISNUMBER(Table1[[#This Row],[Strike]]),RTD("tos.rtd", , "BID", "."&amp;Table1[[#This Row],[Ticker]]&amp;Table1[[#This Row],[Expiry]]&amp;""&amp;"P"&amp;Table1[[#This Row],[Strike]]))</f>
        <v>5.6</v>
      </c>
      <c r="R60">
        <f>IF(
    ISNUMBER(Table1[[#This Row],[Strike]]),RTD("tos.rtd", , "ASK", "."&amp;Table1[[#This Row],[Ticker]]&amp;Table1[[#This Row],[Expiry]]&amp;""&amp;"P"&amp;Table1[[#This Row],[Strike]]))</f>
        <v>6</v>
      </c>
      <c r="S60" s="17"/>
      <c r="T60">
        <f>IF(
    ISNUMBER(Table1[[#This Row],[Strike]]),RTD("tos.rtd", , "OPEN_INT", "."&amp;Table1[[#This Row],[Ticker]]&amp;Table1[[#This Row],[Expiry]]&amp;""&amp;"P"&amp;Table1[[#This Row],[Strike]]))</f>
        <v>691</v>
      </c>
      <c r="U6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3267</v>
      </c>
      <c r="W60">
        <f>IF(
    ISNUMBER(Table1[[#This Row],[Strike]]),RTD("tos.rtd", , "DELTA", "."&amp;Table1[[#This Row],[Ticker]]&amp;Table1[[#This Row],[Expiry]]&amp;""&amp;"P"&amp;Table1[[#This Row],[Strike]]))</f>
        <v>-0.19</v>
      </c>
      <c r="Y60" s="19">
        <f>-25* IF($M$1="NDX", 10, IF(OR($M$1="SPX", $M$1="RUT"), 2, 1))</f>
        <v>-50</v>
      </c>
      <c r="Z60">
        <f ca="1">IFERROR(Table1[[#This Row],[call gamma]]*(Table1[[#This Row],[Open.Int]])*$A$4^2,0)</f>
        <v>8360.0144056213503</v>
      </c>
      <c r="AA60">
        <f ca="1">IFERROR(((Table1[[#This Row],[Open.Int8]])*Table1[[#This Row],[Put gamma]])*-1*$A$4^2,0)</f>
        <v>-46777.000926157001</v>
      </c>
      <c r="AB60">
        <f ca="1">(Table1[[#This Row],[Call Gex]]+Table1[[#This Row],[Put Gex]])</f>
        <v>-38416.986520535647</v>
      </c>
      <c r="AC60">
        <f ca="1">Table1[[#This Row],[call delta adj]]+Table1[[#This Row],[put delta adj]]</f>
        <v>-1112.8167787419743</v>
      </c>
      <c r="AD60">
        <f ca="1">Table1[[#This Row],[Put Gex]]*Table1[[#This Row],[DeltaP]]*-1</f>
        <v>-8887.6301759698308</v>
      </c>
      <c r="AE60">
        <f ca="1">Table1[[#This Row],[Call Gex]]*Table1[[#This Row],[DeltaC]]</f>
        <v>7774.8133972278565</v>
      </c>
      <c r="AF60">
        <f>IF(Table1[[#This Row],[DeltaC]]-ABS(Table1[[#This Row],[DeltaP]])="0","0.01",Table1[[#This Row],[DeltaC]]-ABS(Table1[[#This Row],[DeltaP]]))</f>
        <v>0.74</v>
      </c>
      <c r="AG60">
        <f ca="1">((LN($A$4/Table1[[#This Row],[Strike]]) + (0.411 + 0.5 * Table1[[#This Row],[IV Calc P]]^2) *Table1[[#This Row],[T]])) / (Table1[[#This Row],[IV Calc P]] * SQRT(Table1[[#This Row],[T]]))</f>
        <v>1.002609264064114</v>
      </c>
      <c r="AH60">
        <f ca="1">(LN($A$4/Table1[[#This Row],[Strike]]) + (0.411-0 + 0.5 * Table1[[#This Row],[IV Calc C]]^2) *Table1[[#This Row],[T]]) / (Table1[[#This Row],[IV Calc C]] * SQRT(Table1[[#This Row],[T]]))</f>
        <v>1.6983206744818342</v>
      </c>
      <c r="AI60">
        <f ca="1">(EXP(-(AG60^2)/2)/SQRT(2*PI())*EXP(0*SQRT(Table1[[#This Row],[T]]))/$A$4*18%*SQRT(SQRT(Table1[[#This Row],[T]])))</f>
        <v>1.4163716907333727E-6</v>
      </c>
      <c r="AJ60">
        <f ca="1">(EXP(-(AH60^2)/2)/SQRT(2*PI())*EXP(0*SQRT(Table1[[#This Row],[T]]))/$A$4*18%*SQRT(SQRT(Table1[[#This Row],[T]])))</f>
        <v>5.535321552006685E-7</v>
      </c>
      <c r="AK60">
        <f ca="1">Table1[[#This Row],[Call D1]]-Table1[[#This Row],[IV Calc C]]*SQRT(Table1[[#This Row],[T]])</f>
        <v>1.6935567914533436</v>
      </c>
      <c r="AL60">
        <f ca="1">Table1[[#This Row],[Put D1]]-Table1[[#This Row],[IV Calc P]]*SQRT(Table1[[#This Row],[T]])</f>
        <v>0.99451839042447865</v>
      </c>
      <c r="AM60">
        <f ca="1">EXP(-0.5*Table1[[#This Row],[Call D1]]^2)/SQRT(2*PI())</f>
        <v>9.4317824332649666E-2</v>
      </c>
      <c r="AN60">
        <f ca="1">EXP(-0.5*Table1[[#This Row],[Put D1]]^2)/SQRT(2*PI())</f>
        <v>0.24133936043498511</v>
      </c>
      <c r="AO60">
        <f ca="1">IFERROR((EXP(0*Table1[[#This Row],[T]])*Table1[[#This Row],[call N(d1)]]*(Table1[[#This Row],[call d2]]/Table1[[#This Row],[IV Calc C]]))*Table1[[#This Row],[Open.Int]]*Table1[[#This Row],[DeltaC]],0)</f>
        <v>500.64827016985544</v>
      </c>
      <c r="AP60">
        <f ca="1">IFERROR((EXP(0*Table1[[#This Row],[T]])*Table1[[#This Row],[put N(d1)]]*(Table1[[#This Row],[put d2]]/Table1[[#This Row],[IV Calc P]]))*Table1[[#This Row],[Open.Int8]]*Table1[[#This Row],[DeltaP]]*-1,0)</f>
        <v>197.88252567290937</v>
      </c>
      <c r="AQ60">
        <f ca="1">((Table1[[#This Row],[call vanna]]+Table1[[#This Row],[put vanna]])*$A$4)</f>
        <v>4829187.8774395781</v>
      </c>
      <c r="AR6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8360.0144056213503</v>
      </c>
      <c r="AS6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-46777.000926157001</v>
      </c>
      <c r="AT60" s="9" t="str" cm="1">
        <f t="array" ref="AT60">_xlfn.IFS(     $M$1="SPX","SPXW",     $M$1="RUT","RUTW",  $M$1="NDX","NDXP",   TRUE,$M$1 )</f>
        <v>SPXW</v>
      </c>
      <c r="AU60" s="2">
        <f t="shared" si="7"/>
        <v>6915</v>
      </c>
      <c r="AV60" t="str">
        <f t="shared" si="8"/>
        <v>260123</v>
      </c>
      <c r="AW60" s="19">
        <f ca="1">IFERROR((EXP(0*Table1[[#This Row],[T]])*Table1[[#This Row],[put N(d1)]]*(Table1[[#This Row],[put d2]]/Table1[[#This Row],[IV Calc P]]))*Table1[[#This Row],[Open.Int8]]*Table1[[#This Row],[DeltaP]]*-1,0)</f>
        <v>197.88252567290937</v>
      </c>
      <c r="AX60">
        <f ca="1">IFERROR((EXP(0*Table1[[#This Row],[T]])*Table1[[#This Row],[call N(d1)]]*(Table1[[#This Row],[call d2]]/Table1[[#This Row],[IV Calc C]]))*Table1[[#This Row],[Open.Int]]*Table1[[#This Row],[DeltaC]],0)</f>
        <v>500.64827016985544</v>
      </c>
      <c r="AY60">
        <f>IF(
    ISNUMBER(Table1[[#This Row],[Strike]]),RTD("tos.rtd", , "high", "."&amp;Table1[[#This Row],[Ticker]]&amp;Table1[[#This Row],[Expiry]]&amp;""&amp;"C"&amp;Table1[[#This Row],[Spot]]+Table1[[#This Row],[step]]))</f>
        <v>70.38</v>
      </c>
      <c r="AZ60">
        <f>IF(
    ISNUMBER(Table1[[#This Row],[Strike]]),RTD("tos.rtd", , "low", "."&amp;Table1[[#This Row],[Ticker]]&amp;Table1[[#This Row],[Expiry]]&amp;""&amp;"C"&amp;Table1[[#This Row],[Spot]]+Table1[[#This Row],[step]]))</f>
        <v>44.8</v>
      </c>
      <c r="BA60">
        <f>IF(
    ISNUMBER(Table1[[#This Row],[Strike]]),RTD("tos.rtd", , "high", "."&amp;Table1[[#This Row],[Ticker]]&amp;Table1[[#This Row],[Expiry]]&amp;""&amp;"P"&amp;Table1[[#This Row],[Spot]]+Table1[[#This Row],[step]]))</f>
        <v>13.9</v>
      </c>
      <c r="BB60">
        <f>IF(
    ISNUMBER(Table1[[#This Row],[Strike]]),RTD("tos.rtd", , "low", "."&amp;Table1[[#This Row],[Ticker]]&amp;Table1[[#This Row],[Expiry]]&amp;""&amp;"P"&amp;Table1[[#This Row],[Spot]]+Table1[[#This Row],[step]]))</f>
        <v>2.8</v>
      </c>
      <c r="BC60">
        <f>((Table1[[#This Row],[High C]]+Table1[[#This Row],[Low C]])/2)*Table1[[#This Row],[gammac]]*Table1[[#This Row],[Volume]]</f>
        <v>0</v>
      </c>
      <c r="BD60">
        <f>((Table1[[#This Row],[High P]]+Table1[[#This Row],[Low P]])/2)*Table1[[#This Row],[gammap]]*Table1[[#This Row],[Volume9]]*-1</f>
        <v>0</v>
      </c>
      <c r="BE60">
        <f>(Table1[[#This Row],[SgammaC]]+Table1[[#This Row],[SgammaP]])*$A$4*-100</f>
        <v>0</v>
      </c>
      <c r="BF60">
        <f>Table1[[#This Row],[DEXc]]+Table1[[#This Row],[DEXp]]</f>
        <v>1124041.5765000002</v>
      </c>
      <c r="BG60">
        <f>IFERROR(Table1[[#This Row],[DeltaC]]*Table1[[#This Row],[Open.Int]]*$A$4,0)</f>
        <v>2031695.2980000002</v>
      </c>
      <c r="BH60">
        <f>IFERROR(Table1[[#This Row],[DeltaP]]*Table1[[#This Row],[Open.Int8]]*$A$4,0)</f>
        <v>-907653.72149999999</v>
      </c>
      <c r="BI6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161451.9939312292</v>
      </c>
      <c r="BJ6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532740.42061575537</v>
      </c>
      <c r="BK60">
        <f ca="1">Table1[[#This Row],[Charmc]]+Table1[[#This Row],[Charmp]]</f>
        <v>694192.4145469846</v>
      </c>
      <c r="BL6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6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60" s="78">
        <f ca="1">Table1[[#This Row],[call helper]]+Table1[[#This Row],[put helper]]</f>
        <v>-38416.986520535647</v>
      </c>
      <c r="BP60">
        <f>RTD("tos.rtd", , "STRIKE", "."&amp;Table1[[#This Row],[Ticker]]&amp;Table1[[#This Row],[Expiry]]&amp;""&amp;"C"&amp;Table1[[#This Row],[Spot]]+Table1[[#This Row],[step]])</f>
        <v>6865</v>
      </c>
    </row>
    <row r="61" spans="1:80" x14ac:dyDescent="0.25">
      <c r="A61">
        <f t="shared" ca="1" si="4"/>
        <v>2.5814307458086375E-3</v>
      </c>
      <c r="C61" s="17"/>
      <c r="D61" t="b">
        <f>IF(
    ISNUMBER(Table1[[#This Row],[Strike]]),RTD("tos.rtd", , "OPEN_INT", "."&amp;Table1[[#This Row],[Ticker]]&amp;Table1[[#This Row],[Expiry]]&amp;""&amp;"C"&amp;Table1[[#This Row],[Strike]]))</f>
        <v>0</v>
      </c>
      <c r="E6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1" t="b">
        <f>IF(
    ISNUMBER(Table1[[#This Row],[Strike]]),RTD("tos.rtd", , "DELTA", "."&amp;Table1[[#This Row],[Ticker]]&amp;Table1[[#This Row],[Expiry]]&amp;""&amp;"C"&amp;Table1[[#This Row],[Strike]]))</f>
        <v>0</v>
      </c>
      <c r="H61" s="17" t="b" cm="1">
        <f t="array" ref="H61">IF(
    ISNUMBER(Table1[[#This Row],[Strike]]),IndividualLegIVCore($A$4, Table1[[#This Row],[Strike]], 0.0411, Table1[[#This Row],[T]], ((Table1[[#This Row],[BIDC]]+Table1[[#This Row],[ASKC]])/2), TRUE))</f>
        <v>0</v>
      </c>
      <c r="I61" t="b">
        <f>IF(
    ISNUMBER(Table1[[#This Row],[Strike]]),RTD("tos.rtd", , "BID", "."&amp;Table1[[#This Row],[Ticker]]&amp;Table1[[#This Row],[Expiry]]&amp;""&amp;"C"&amp;Table1[[#This Row],[Strike]]))</f>
        <v>0</v>
      </c>
      <c r="J61" t="b">
        <f>IF(
    ISNUMBER(Table1[[#This Row],[Strike]]),RTD("tos.rtd", , "ASK", "."&amp;Table1[[#This Row],[Ticker]]&amp;Table1[[#This Row],[Expiry]]&amp;""&amp;"C"&amp;Table1[[#This Row],[Strike]]))</f>
        <v>0</v>
      </c>
      <c r="K6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1" s="17" cm="1">
        <f t="array" aca="1" ref="L6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1" s="1">
        <f t="shared" si="5"/>
        <v>46045</v>
      </c>
      <c r="N61" t="b">
        <f t="shared" si="6"/>
        <v>0</v>
      </c>
      <c r="P61" s="17" t="b" cm="1">
        <f t="array" ref="P61">IF(
    ISNUMBER(Table1[[#This Row],[Strike]]),IndividualLegIVCore($A$4, Table1[[#This Row],[Strike]], 0.0411, Table1[[#This Row],[T]], ((Table1[[#This Row],[BIDP]]+Table1[[#This Row],[ASKP]])/2), FALSE))</f>
        <v>0</v>
      </c>
      <c r="Q61" t="b">
        <f>IF(
    ISNUMBER(Table1[[#This Row],[Strike]]),RTD("tos.rtd", , "BID", "."&amp;Table1[[#This Row],[Ticker]]&amp;Table1[[#This Row],[Expiry]]&amp;""&amp;"P"&amp;Table1[[#This Row],[Strike]]))</f>
        <v>0</v>
      </c>
      <c r="R61" t="b">
        <f>IF(
    ISNUMBER(Table1[[#This Row],[Strike]]),RTD("tos.rtd", , "ASK", "."&amp;Table1[[#This Row],[Ticker]]&amp;Table1[[#This Row],[Expiry]]&amp;""&amp;"P"&amp;Table1[[#This Row],[Strike]]))</f>
        <v>0</v>
      </c>
      <c r="S61" s="17"/>
      <c r="T61" t="b">
        <f>IF(
    ISNUMBER(Table1[[#This Row],[Strike]]),RTD("tos.rtd", , "OPEN_INT", "."&amp;Table1[[#This Row],[Ticker]]&amp;Table1[[#This Row],[Expiry]]&amp;""&amp;"P"&amp;Table1[[#This Row],[Strike]]))</f>
        <v>0</v>
      </c>
      <c r="U6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1" t="b">
        <f>IF(
    ISNUMBER(Table1[[#This Row],[Strike]]),RTD("tos.rtd", , "DELTA", "."&amp;Table1[[#This Row],[Ticker]]&amp;Table1[[#This Row],[Expiry]]&amp;""&amp;"P"&amp;Table1[[#This Row],[Strike]]))</f>
        <v>0</v>
      </c>
      <c r="Y61" s="19">
        <f>-24.5* IF($M$1="NDX", 10, IF(OR($M$1="SPX", $M$1="RUT"), 2, 1))</f>
        <v>-49</v>
      </c>
      <c r="Z61">
        <f ca="1">IFERROR(Table1[[#This Row],[call gamma]]*(Table1[[#This Row],[Open.Int]])*$A$4^2,0)</f>
        <v>0</v>
      </c>
      <c r="AA61">
        <f ca="1">IFERROR(((Table1[[#This Row],[Open.Int8]])*Table1[[#This Row],[Put gamma]])*-1*$A$4^2,0)</f>
        <v>0</v>
      </c>
      <c r="AB61">
        <f ca="1">(Table1[[#This Row],[Call Gex]]+Table1[[#This Row],[Put Gex]])</f>
        <v>0</v>
      </c>
      <c r="AC61">
        <f ca="1">Table1[[#This Row],[call delta adj]]+Table1[[#This Row],[put delta adj]]</f>
        <v>0</v>
      </c>
      <c r="AD61">
        <f ca="1">Table1[[#This Row],[Put Gex]]*Table1[[#This Row],[DeltaP]]*-1</f>
        <v>0</v>
      </c>
      <c r="AE61">
        <f ca="1">Table1[[#This Row],[Call Gex]]*Table1[[#This Row],[DeltaC]]</f>
        <v>0</v>
      </c>
      <c r="AF61">
        <f>IF(Table1[[#This Row],[DeltaC]]-ABS(Table1[[#This Row],[DeltaP]])="0","0.01",Table1[[#This Row],[DeltaC]]-ABS(Table1[[#This Row],[DeltaP]]))</f>
        <v>0</v>
      </c>
      <c r="AG61" t="e">
        <f ca="1">((LN($A$4/Table1[[#This Row],[Strike]]) + (0.411 + 0.5 * Table1[[#This Row],[IV Calc P]]^2) *Table1[[#This Row],[T]])) / (Table1[[#This Row],[IV Calc P]] * SQRT(Table1[[#This Row],[T]]))</f>
        <v>#DIV/0!</v>
      </c>
      <c r="AH61" t="e">
        <f ca="1">(LN($A$4/Table1[[#This Row],[Strike]]) + (0.411-0 + 0.5 * Table1[[#This Row],[IV Calc C]]^2) *Table1[[#This Row],[T]]) / (Table1[[#This Row],[IV Calc C]] * SQRT(Table1[[#This Row],[T]]))</f>
        <v>#DIV/0!</v>
      </c>
      <c r="AI61" t="e">
        <f ca="1">(EXP(-(AG61^2)/2)/SQRT(2*PI())*EXP(0*SQRT(Table1[[#This Row],[T]]))/$A$4*18%*SQRT(SQRT(Table1[[#This Row],[T]])))</f>
        <v>#DIV/0!</v>
      </c>
      <c r="AJ61" t="e">
        <f ca="1">(EXP(-(AH61^2)/2)/SQRT(2*PI())*EXP(0*SQRT(Table1[[#This Row],[T]]))/$A$4*18%*SQRT(SQRT(Table1[[#This Row],[T]])))</f>
        <v>#DIV/0!</v>
      </c>
      <c r="AK61" t="e">
        <f ca="1">Table1[[#This Row],[Call D1]]-Table1[[#This Row],[IV Calc C]]*SQRT(Table1[[#This Row],[T]])</f>
        <v>#DIV/0!</v>
      </c>
      <c r="AL61" t="e">
        <f ca="1">Table1[[#This Row],[Put D1]]-Table1[[#This Row],[IV Calc P]]*SQRT(Table1[[#This Row],[T]])</f>
        <v>#DIV/0!</v>
      </c>
      <c r="AM61" t="e">
        <f ca="1">EXP(-0.5*Table1[[#This Row],[Call D1]]^2)/SQRT(2*PI())</f>
        <v>#DIV/0!</v>
      </c>
      <c r="AN61" t="e">
        <f ca="1">EXP(-0.5*Table1[[#This Row],[Put D1]]^2)/SQRT(2*PI())</f>
        <v>#DIV/0!</v>
      </c>
      <c r="AO61">
        <f ca="1">IFERROR((EXP(0*Table1[[#This Row],[T]])*Table1[[#This Row],[call N(d1)]]*(Table1[[#This Row],[call d2]]/Table1[[#This Row],[IV Calc C]]))*Table1[[#This Row],[Open.Int]]*Table1[[#This Row],[DeltaC]],0)</f>
        <v>0</v>
      </c>
      <c r="AP61">
        <f ca="1">IFERROR((EXP(0*Table1[[#This Row],[T]])*Table1[[#This Row],[put N(d1)]]*(Table1[[#This Row],[put d2]]/Table1[[#This Row],[IV Calc P]]))*Table1[[#This Row],[Open.Int8]]*Table1[[#This Row],[DeltaP]]*-1,0)</f>
        <v>0</v>
      </c>
      <c r="AQ61">
        <f ca="1">((Table1[[#This Row],[call vanna]]+Table1[[#This Row],[put vanna]])*$A$4)</f>
        <v>0</v>
      </c>
      <c r="AR6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1" s="9" t="str" cm="1">
        <f t="array" ref="AT61">_xlfn.IFS(     $M$1="SPX","SPXW",     $M$1="RUT","RUTW",  $M$1="NDX","NDXP",   TRUE,$M$1 )</f>
        <v>SPXW</v>
      </c>
      <c r="AU61" s="2">
        <f t="shared" si="7"/>
        <v>6915</v>
      </c>
      <c r="AV61" t="str">
        <f t="shared" si="8"/>
        <v>260123</v>
      </c>
      <c r="AW61" s="19">
        <f ca="1">IFERROR((EXP(0*Table1[[#This Row],[T]])*Table1[[#This Row],[put N(d1)]]*(Table1[[#This Row],[put d2]]/Table1[[#This Row],[IV Calc P]]))*Table1[[#This Row],[Open.Int8]]*Table1[[#This Row],[DeltaP]]*-1,0)</f>
        <v>0</v>
      </c>
      <c r="AX61">
        <f ca="1">IFERROR((EXP(0*Table1[[#This Row],[T]])*Table1[[#This Row],[call N(d1)]]*(Table1[[#This Row],[call d2]]/Table1[[#This Row],[IV Calc C]]))*Table1[[#This Row],[Open.Int]]*Table1[[#This Row],[DeltaC]],0)</f>
        <v>0</v>
      </c>
      <c r="AY6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1">
        <f>((Table1[[#This Row],[High C]]+Table1[[#This Row],[Low C]])/2)*Table1[[#This Row],[gammac]]*Table1[[#This Row],[Volume]]</f>
        <v>0</v>
      </c>
      <c r="BD61">
        <f>((Table1[[#This Row],[High P]]+Table1[[#This Row],[Low P]])/2)*Table1[[#This Row],[gammap]]*Table1[[#This Row],[Volume9]]*-1</f>
        <v>0</v>
      </c>
      <c r="BE61">
        <f>(Table1[[#This Row],[SgammaC]]+Table1[[#This Row],[SgammaP]])*$A$4*-100</f>
        <v>0</v>
      </c>
      <c r="BF61">
        <f>Table1[[#This Row],[DEXc]]+Table1[[#This Row],[DEXp]]</f>
        <v>0</v>
      </c>
      <c r="BG61">
        <f>IFERROR(Table1[[#This Row],[DeltaC]]*Table1[[#This Row],[Open.Int]]*$A$4,0)</f>
        <v>0</v>
      </c>
      <c r="BH61">
        <f>IFERROR(Table1[[#This Row],[DeltaP]]*Table1[[#This Row],[Open.Int8]]*$A$4,0)</f>
        <v>0</v>
      </c>
      <c r="BI6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1">
        <f ca="1">Table1[[#This Row],[Charmc]]+Table1[[#This Row],[Charmp]]</f>
        <v>0</v>
      </c>
      <c r="BL6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1" s="78">
        <f ca="1">Table1[[#This Row],[call helper]]+Table1[[#This Row],[put helper]]</f>
        <v>0</v>
      </c>
      <c r="BP61" t="str">
        <f>RTD("tos.rtd", , "STRIKE", "."&amp;Table1[[#This Row],[Ticker]]&amp;Table1[[#This Row],[Expiry]]&amp;""&amp;"C"&amp;Table1[[#This Row],[Spot]]+Table1[[#This Row],[step]])</f>
        <v>N/A</v>
      </c>
    </row>
    <row r="62" spans="1:80" x14ac:dyDescent="0.25">
      <c r="A62">
        <f t="shared" ca="1" si="4"/>
        <v>2.5814307458086375E-3</v>
      </c>
      <c r="C62" s="17"/>
      <c r="D62" t="b">
        <f>IF(
    ISNUMBER(Table1[[#This Row],[Strike]]),RTD("tos.rtd", , "OPEN_INT", "."&amp;Table1[[#This Row],[Ticker]]&amp;Table1[[#This Row],[Expiry]]&amp;""&amp;"C"&amp;Table1[[#This Row],[Strike]]))</f>
        <v>0</v>
      </c>
      <c r="E6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2" t="b">
        <f>IF(
    ISNUMBER(Table1[[#This Row],[Strike]]),RTD("tos.rtd", , "DELTA", "."&amp;Table1[[#This Row],[Ticker]]&amp;Table1[[#This Row],[Expiry]]&amp;""&amp;"C"&amp;Table1[[#This Row],[Strike]]))</f>
        <v>0</v>
      </c>
      <c r="H62" s="17" t="b" cm="1">
        <f t="array" ref="H62">IF(
    ISNUMBER(Table1[[#This Row],[Strike]]),IndividualLegIVCore($A$4, Table1[[#This Row],[Strike]], 0.0411, Table1[[#This Row],[T]], ((Table1[[#This Row],[BIDC]]+Table1[[#This Row],[ASKC]])/2), TRUE))</f>
        <v>0</v>
      </c>
      <c r="I62" t="b">
        <f>IF(
    ISNUMBER(Table1[[#This Row],[Strike]]),RTD("tos.rtd", , "BID", "."&amp;Table1[[#This Row],[Ticker]]&amp;Table1[[#This Row],[Expiry]]&amp;""&amp;"C"&amp;Table1[[#This Row],[Strike]]))</f>
        <v>0</v>
      </c>
      <c r="J62" t="b">
        <f>IF(
    ISNUMBER(Table1[[#This Row],[Strike]]),RTD("tos.rtd", , "ASK", "."&amp;Table1[[#This Row],[Ticker]]&amp;Table1[[#This Row],[Expiry]]&amp;""&amp;"C"&amp;Table1[[#This Row],[Strike]]))</f>
        <v>0</v>
      </c>
      <c r="K6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2" s="17" cm="1">
        <f t="array" aca="1" ref="L6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2" s="1">
        <f t="shared" si="5"/>
        <v>46045</v>
      </c>
      <c r="N62" t="b">
        <f t="shared" si="6"/>
        <v>0</v>
      </c>
      <c r="P62" s="17" t="b" cm="1">
        <f t="array" ref="P62">IF(
    ISNUMBER(Table1[[#This Row],[Strike]]),IndividualLegIVCore($A$4, Table1[[#This Row],[Strike]], 0.0411, Table1[[#This Row],[T]], ((Table1[[#This Row],[BIDP]]+Table1[[#This Row],[ASKP]])/2), FALSE))</f>
        <v>0</v>
      </c>
      <c r="Q62" t="b">
        <f>IF(
    ISNUMBER(Table1[[#This Row],[Strike]]),RTD("tos.rtd", , "BID", "."&amp;Table1[[#This Row],[Ticker]]&amp;Table1[[#This Row],[Expiry]]&amp;""&amp;"P"&amp;Table1[[#This Row],[Strike]]))</f>
        <v>0</v>
      </c>
      <c r="R62" t="b">
        <f>IF(
    ISNUMBER(Table1[[#This Row],[Strike]]),RTD("tos.rtd", , "ASK", "."&amp;Table1[[#This Row],[Ticker]]&amp;Table1[[#This Row],[Expiry]]&amp;""&amp;"P"&amp;Table1[[#This Row],[Strike]]))</f>
        <v>0</v>
      </c>
      <c r="S62" s="17"/>
      <c r="T62" t="b">
        <f>IF(
    ISNUMBER(Table1[[#This Row],[Strike]]),RTD("tos.rtd", , "OPEN_INT", "."&amp;Table1[[#This Row],[Ticker]]&amp;Table1[[#This Row],[Expiry]]&amp;""&amp;"P"&amp;Table1[[#This Row],[Strike]]))</f>
        <v>0</v>
      </c>
      <c r="U6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2" t="b">
        <f>IF(
    ISNUMBER(Table1[[#This Row],[Strike]]),RTD("tos.rtd", , "DELTA", "."&amp;Table1[[#This Row],[Ticker]]&amp;Table1[[#This Row],[Expiry]]&amp;""&amp;"P"&amp;Table1[[#This Row],[Strike]]))</f>
        <v>0</v>
      </c>
      <c r="Y62" s="19">
        <f>-24* IF($M$1="NDX", 10, IF(OR($M$1="SPX", $M$1="RUT"), 2, 1))</f>
        <v>-48</v>
      </c>
      <c r="Z62">
        <f ca="1">IFERROR(Table1[[#This Row],[call gamma]]*(Table1[[#This Row],[Open.Int]])*$A$4^2,0)</f>
        <v>0</v>
      </c>
      <c r="AA62">
        <f ca="1">IFERROR(((Table1[[#This Row],[Open.Int8]])*Table1[[#This Row],[Put gamma]])*-1*$A$4^2,0)</f>
        <v>0</v>
      </c>
      <c r="AB62">
        <f ca="1">(Table1[[#This Row],[Call Gex]]+Table1[[#This Row],[Put Gex]])</f>
        <v>0</v>
      </c>
      <c r="AC62">
        <f ca="1">Table1[[#This Row],[call delta adj]]+Table1[[#This Row],[put delta adj]]</f>
        <v>0</v>
      </c>
      <c r="AD62">
        <f ca="1">Table1[[#This Row],[Put Gex]]*Table1[[#This Row],[DeltaP]]*-1</f>
        <v>0</v>
      </c>
      <c r="AE62">
        <f ca="1">Table1[[#This Row],[Call Gex]]*Table1[[#This Row],[DeltaC]]</f>
        <v>0</v>
      </c>
      <c r="AF62">
        <f>IF(Table1[[#This Row],[DeltaC]]-ABS(Table1[[#This Row],[DeltaP]])="0","0.01",Table1[[#This Row],[DeltaC]]-ABS(Table1[[#This Row],[DeltaP]]))</f>
        <v>0</v>
      </c>
      <c r="AG62" t="e">
        <f ca="1">((LN($A$4/Table1[[#This Row],[Strike]]) + (0.411 + 0.5 * Table1[[#This Row],[IV Calc P]]^2) *Table1[[#This Row],[T]])) / (Table1[[#This Row],[IV Calc P]] * SQRT(Table1[[#This Row],[T]]))</f>
        <v>#DIV/0!</v>
      </c>
      <c r="AH62" t="e">
        <f ca="1">(LN($A$4/Table1[[#This Row],[Strike]]) + (0.411-0 + 0.5 * Table1[[#This Row],[IV Calc C]]^2) *Table1[[#This Row],[T]]) / (Table1[[#This Row],[IV Calc C]] * SQRT(Table1[[#This Row],[T]]))</f>
        <v>#DIV/0!</v>
      </c>
      <c r="AI62" t="e">
        <f ca="1">(EXP(-(AG62^2)/2)/SQRT(2*PI())*EXP(0*SQRT(Table1[[#This Row],[T]]))/$A$4*18%*SQRT(SQRT(Table1[[#This Row],[T]])))</f>
        <v>#DIV/0!</v>
      </c>
      <c r="AJ62" t="e">
        <f ca="1">(EXP(-(AH62^2)/2)/SQRT(2*PI())*EXP(0*SQRT(Table1[[#This Row],[T]]))/$A$4*18%*SQRT(SQRT(Table1[[#This Row],[T]])))</f>
        <v>#DIV/0!</v>
      </c>
      <c r="AK62" t="e">
        <f ca="1">Table1[[#This Row],[Call D1]]-Table1[[#This Row],[IV Calc C]]*SQRT(Table1[[#This Row],[T]])</f>
        <v>#DIV/0!</v>
      </c>
      <c r="AL62" t="e">
        <f ca="1">Table1[[#This Row],[Put D1]]-Table1[[#This Row],[IV Calc P]]*SQRT(Table1[[#This Row],[T]])</f>
        <v>#DIV/0!</v>
      </c>
      <c r="AM62" t="e">
        <f ca="1">EXP(-0.5*Table1[[#This Row],[Call D1]]^2)/SQRT(2*PI())</f>
        <v>#DIV/0!</v>
      </c>
      <c r="AN62" t="e">
        <f ca="1">EXP(-0.5*Table1[[#This Row],[Put D1]]^2)/SQRT(2*PI())</f>
        <v>#DIV/0!</v>
      </c>
      <c r="AO62">
        <f ca="1">IFERROR((EXP(0*Table1[[#This Row],[T]])*Table1[[#This Row],[call N(d1)]]*(Table1[[#This Row],[call d2]]/Table1[[#This Row],[IV Calc C]]))*Table1[[#This Row],[Open.Int]]*Table1[[#This Row],[DeltaC]],0)</f>
        <v>0</v>
      </c>
      <c r="AP62">
        <f ca="1">IFERROR((EXP(0*Table1[[#This Row],[T]])*Table1[[#This Row],[put N(d1)]]*(Table1[[#This Row],[put d2]]/Table1[[#This Row],[IV Calc P]]))*Table1[[#This Row],[Open.Int8]]*Table1[[#This Row],[DeltaP]]*-1,0)</f>
        <v>0</v>
      </c>
      <c r="AQ62">
        <f ca="1">((Table1[[#This Row],[call vanna]]+Table1[[#This Row],[put vanna]])*$A$4)</f>
        <v>0</v>
      </c>
      <c r="AR6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2" s="9" t="str" cm="1">
        <f t="array" ref="AT62">_xlfn.IFS(     $M$1="SPX","SPXW",     $M$1="RUT","RUTW",  $M$1="NDX","NDXP",   TRUE,$M$1 )</f>
        <v>SPXW</v>
      </c>
      <c r="AU62" s="2">
        <f t="shared" si="7"/>
        <v>6915</v>
      </c>
      <c r="AV62" t="str">
        <f t="shared" si="8"/>
        <v>260123</v>
      </c>
      <c r="AW62" s="19">
        <f ca="1">IFERROR((EXP(0*Table1[[#This Row],[T]])*Table1[[#This Row],[put N(d1)]]*(Table1[[#This Row],[put d2]]/Table1[[#This Row],[IV Calc P]]))*Table1[[#This Row],[Open.Int8]]*Table1[[#This Row],[DeltaP]]*-1,0)</f>
        <v>0</v>
      </c>
      <c r="AX62">
        <f ca="1">IFERROR((EXP(0*Table1[[#This Row],[T]])*Table1[[#This Row],[call N(d1)]]*(Table1[[#This Row],[call d2]]/Table1[[#This Row],[IV Calc C]]))*Table1[[#This Row],[Open.Int]]*Table1[[#This Row],[DeltaC]],0)</f>
        <v>0</v>
      </c>
      <c r="AY6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2">
        <f>((Table1[[#This Row],[High C]]+Table1[[#This Row],[Low C]])/2)*Table1[[#This Row],[gammac]]*Table1[[#This Row],[Volume]]</f>
        <v>0</v>
      </c>
      <c r="BD62">
        <f>((Table1[[#This Row],[High P]]+Table1[[#This Row],[Low P]])/2)*Table1[[#This Row],[gammap]]*Table1[[#This Row],[Volume9]]*-1</f>
        <v>0</v>
      </c>
      <c r="BE62">
        <f>(Table1[[#This Row],[SgammaC]]+Table1[[#This Row],[SgammaP]])*$A$4*-100</f>
        <v>0</v>
      </c>
      <c r="BF62">
        <f>Table1[[#This Row],[DEXc]]+Table1[[#This Row],[DEXp]]</f>
        <v>0</v>
      </c>
      <c r="BG62">
        <f>IFERROR(Table1[[#This Row],[DeltaC]]*Table1[[#This Row],[Open.Int]]*$A$4,0)</f>
        <v>0</v>
      </c>
      <c r="BH62">
        <f>IFERROR(Table1[[#This Row],[DeltaP]]*Table1[[#This Row],[Open.Int8]]*$A$4,0)</f>
        <v>0</v>
      </c>
      <c r="BI6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2">
        <f ca="1">Table1[[#This Row],[Charmc]]+Table1[[#This Row],[Charmp]]</f>
        <v>0</v>
      </c>
      <c r="BL6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2" s="78">
        <f ca="1">Table1[[#This Row],[call helper]]+Table1[[#This Row],[put helper]]</f>
        <v>0</v>
      </c>
      <c r="BP62" t="str">
        <f>RTD("tos.rtd", , "STRIKE", "."&amp;Table1[[#This Row],[Ticker]]&amp;Table1[[#This Row],[Expiry]]&amp;""&amp;"C"&amp;Table1[[#This Row],[Spot]]+Table1[[#This Row],[step]])</f>
        <v>N/A</v>
      </c>
    </row>
    <row r="63" spans="1:80" x14ac:dyDescent="0.25">
      <c r="A63">
        <f t="shared" ca="1" si="4"/>
        <v>2.5814307458086375E-3</v>
      </c>
      <c r="C63" s="17"/>
      <c r="D63" t="b">
        <f>IF(
    ISNUMBER(Table1[[#This Row],[Strike]]),RTD("tos.rtd", , "OPEN_INT", "."&amp;Table1[[#This Row],[Ticker]]&amp;Table1[[#This Row],[Expiry]]&amp;""&amp;"C"&amp;Table1[[#This Row],[Strike]]))</f>
        <v>0</v>
      </c>
      <c r="E6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3" t="b">
        <f>IF(
    ISNUMBER(Table1[[#This Row],[Strike]]),RTD("tos.rtd", , "DELTA", "."&amp;Table1[[#This Row],[Ticker]]&amp;Table1[[#This Row],[Expiry]]&amp;""&amp;"C"&amp;Table1[[#This Row],[Strike]]))</f>
        <v>0</v>
      </c>
      <c r="H63" s="17" t="b" cm="1">
        <f t="array" ref="H63">IF(
    ISNUMBER(Table1[[#This Row],[Strike]]),IndividualLegIVCore($A$4, Table1[[#This Row],[Strike]], 0.0411, Table1[[#This Row],[T]], ((Table1[[#This Row],[BIDC]]+Table1[[#This Row],[ASKC]])/2), TRUE))</f>
        <v>0</v>
      </c>
      <c r="I63" t="b">
        <f>IF(
    ISNUMBER(Table1[[#This Row],[Strike]]),RTD("tos.rtd", , "BID", "."&amp;Table1[[#This Row],[Ticker]]&amp;Table1[[#This Row],[Expiry]]&amp;""&amp;"C"&amp;Table1[[#This Row],[Strike]]))</f>
        <v>0</v>
      </c>
      <c r="J63" t="b">
        <f>IF(
    ISNUMBER(Table1[[#This Row],[Strike]]),RTD("tos.rtd", , "ASK", "."&amp;Table1[[#This Row],[Ticker]]&amp;Table1[[#This Row],[Expiry]]&amp;""&amp;"C"&amp;Table1[[#This Row],[Strike]]))</f>
        <v>0</v>
      </c>
      <c r="K6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3" s="17" cm="1">
        <f t="array" aca="1" ref="L6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3" s="1">
        <f t="shared" si="5"/>
        <v>46045</v>
      </c>
      <c r="N63" t="b">
        <f t="shared" si="6"/>
        <v>0</v>
      </c>
      <c r="P63" s="17" t="b" cm="1">
        <f t="array" ref="P63">IF(
    ISNUMBER(Table1[[#This Row],[Strike]]),IndividualLegIVCore($A$4, Table1[[#This Row],[Strike]], 0.0411, Table1[[#This Row],[T]], ((Table1[[#This Row],[BIDP]]+Table1[[#This Row],[ASKP]])/2), FALSE))</f>
        <v>0</v>
      </c>
      <c r="Q63" t="b">
        <f>IF(
    ISNUMBER(Table1[[#This Row],[Strike]]),RTD("tos.rtd", , "BID", "."&amp;Table1[[#This Row],[Ticker]]&amp;Table1[[#This Row],[Expiry]]&amp;""&amp;"P"&amp;Table1[[#This Row],[Strike]]))</f>
        <v>0</v>
      </c>
      <c r="R63" t="b">
        <f>IF(
    ISNUMBER(Table1[[#This Row],[Strike]]),RTD("tos.rtd", , "ASK", "."&amp;Table1[[#This Row],[Ticker]]&amp;Table1[[#This Row],[Expiry]]&amp;""&amp;"P"&amp;Table1[[#This Row],[Strike]]))</f>
        <v>0</v>
      </c>
      <c r="S63" s="17"/>
      <c r="T63" t="b">
        <f>IF(
    ISNUMBER(Table1[[#This Row],[Strike]]),RTD("tos.rtd", , "OPEN_INT", "."&amp;Table1[[#This Row],[Ticker]]&amp;Table1[[#This Row],[Expiry]]&amp;""&amp;"P"&amp;Table1[[#This Row],[Strike]]))</f>
        <v>0</v>
      </c>
      <c r="U6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3" t="b">
        <f>IF(
    ISNUMBER(Table1[[#This Row],[Strike]]),RTD("tos.rtd", , "DELTA", "."&amp;Table1[[#This Row],[Ticker]]&amp;Table1[[#This Row],[Expiry]]&amp;""&amp;"P"&amp;Table1[[#This Row],[Strike]]))</f>
        <v>0</v>
      </c>
      <c r="Y63" s="19">
        <f>-23.5* IF($M$1="NDX", 10, IF(OR($M$1="SPX", $M$1="RUT"), 2, 1))</f>
        <v>-47</v>
      </c>
      <c r="Z63">
        <f ca="1">IFERROR(Table1[[#This Row],[call gamma]]*(Table1[[#This Row],[Open.Int]])*$A$4^2,0)</f>
        <v>0</v>
      </c>
      <c r="AA63">
        <f ca="1">IFERROR(((Table1[[#This Row],[Open.Int8]])*Table1[[#This Row],[Put gamma]])*-1*$A$4^2,0)</f>
        <v>0</v>
      </c>
      <c r="AB63">
        <f ca="1">(Table1[[#This Row],[Call Gex]]+Table1[[#This Row],[Put Gex]])</f>
        <v>0</v>
      </c>
      <c r="AC63">
        <f ca="1">Table1[[#This Row],[call delta adj]]+Table1[[#This Row],[put delta adj]]</f>
        <v>0</v>
      </c>
      <c r="AD63">
        <f ca="1">Table1[[#This Row],[Put Gex]]*Table1[[#This Row],[DeltaP]]*-1</f>
        <v>0</v>
      </c>
      <c r="AE63">
        <f ca="1">Table1[[#This Row],[Call Gex]]*Table1[[#This Row],[DeltaC]]</f>
        <v>0</v>
      </c>
      <c r="AF63">
        <f>IF(Table1[[#This Row],[DeltaC]]-ABS(Table1[[#This Row],[DeltaP]])="0","0.01",Table1[[#This Row],[DeltaC]]-ABS(Table1[[#This Row],[DeltaP]]))</f>
        <v>0</v>
      </c>
      <c r="AG63" t="e">
        <f ca="1">((LN($A$4/Table1[[#This Row],[Strike]]) + (0.411 + 0.5 * Table1[[#This Row],[IV Calc P]]^2) *Table1[[#This Row],[T]])) / (Table1[[#This Row],[IV Calc P]] * SQRT(Table1[[#This Row],[T]]))</f>
        <v>#DIV/0!</v>
      </c>
      <c r="AH63" t="e">
        <f ca="1">(LN($A$4/Table1[[#This Row],[Strike]]) + (0.411-0 + 0.5 * Table1[[#This Row],[IV Calc C]]^2) *Table1[[#This Row],[T]]) / (Table1[[#This Row],[IV Calc C]] * SQRT(Table1[[#This Row],[T]]))</f>
        <v>#DIV/0!</v>
      </c>
      <c r="AI63" t="e">
        <f ca="1">(EXP(-(AG63^2)/2)/SQRT(2*PI())*EXP(0*SQRT(Table1[[#This Row],[T]]))/$A$4*18%*SQRT(SQRT(Table1[[#This Row],[T]])))</f>
        <v>#DIV/0!</v>
      </c>
      <c r="AJ63" t="e">
        <f ca="1">(EXP(-(AH63^2)/2)/SQRT(2*PI())*EXP(0*SQRT(Table1[[#This Row],[T]]))/$A$4*18%*SQRT(SQRT(Table1[[#This Row],[T]])))</f>
        <v>#DIV/0!</v>
      </c>
      <c r="AK63" t="e">
        <f ca="1">Table1[[#This Row],[Call D1]]-Table1[[#This Row],[IV Calc C]]*SQRT(Table1[[#This Row],[T]])</f>
        <v>#DIV/0!</v>
      </c>
      <c r="AL63" t="e">
        <f ca="1">Table1[[#This Row],[Put D1]]-Table1[[#This Row],[IV Calc P]]*SQRT(Table1[[#This Row],[T]])</f>
        <v>#DIV/0!</v>
      </c>
      <c r="AM63" t="e">
        <f ca="1">EXP(-0.5*Table1[[#This Row],[Call D1]]^2)/SQRT(2*PI())</f>
        <v>#DIV/0!</v>
      </c>
      <c r="AN63" t="e">
        <f ca="1">EXP(-0.5*Table1[[#This Row],[Put D1]]^2)/SQRT(2*PI())</f>
        <v>#DIV/0!</v>
      </c>
      <c r="AO63">
        <f ca="1">IFERROR((EXP(0*Table1[[#This Row],[T]])*Table1[[#This Row],[call N(d1)]]*(Table1[[#This Row],[call d2]]/Table1[[#This Row],[IV Calc C]]))*Table1[[#This Row],[Open.Int]]*Table1[[#This Row],[DeltaC]],0)</f>
        <v>0</v>
      </c>
      <c r="AP63">
        <f ca="1">IFERROR((EXP(0*Table1[[#This Row],[T]])*Table1[[#This Row],[put N(d1)]]*(Table1[[#This Row],[put d2]]/Table1[[#This Row],[IV Calc P]]))*Table1[[#This Row],[Open.Int8]]*Table1[[#This Row],[DeltaP]]*-1,0)</f>
        <v>0</v>
      </c>
      <c r="AQ63">
        <f ca="1">((Table1[[#This Row],[call vanna]]+Table1[[#This Row],[put vanna]])*$A$4)</f>
        <v>0</v>
      </c>
      <c r="AR6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3" s="9" t="str" cm="1">
        <f t="array" ref="AT63">_xlfn.IFS(     $M$1="SPX","SPXW",     $M$1="RUT","RUTW",  $M$1="NDX","NDXP",   TRUE,$M$1 )</f>
        <v>SPXW</v>
      </c>
      <c r="AU63" s="2">
        <f t="shared" si="7"/>
        <v>6915</v>
      </c>
      <c r="AV63" t="str">
        <f t="shared" si="8"/>
        <v>260123</v>
      </c>
      <c r="AW63" s="19">
        <f ca="1">IFERROR((EXP(0*Table1[[#This Row],[T]])*Table1[[#This Row],[put N(d1)]]*(Table1[[#This Row],[put d2]]/Table1[[#This Row],[IV Calc P]]))*Table1[[#This Row],[Open.Int8]]*Table1[[#This Row],[DeltaP]]*-1,0)</f>
        <v>0</v>
      </c>
      <c r="AX63">
        <f ca="1">IFERROR((EXP(0*Table1[[#This Row],[T]])*Table1[[#This Row],[call N(d1)]]*(Table1[[#This Row],[call d2]]/Table1[[#This Row],[IV Calc C]]))*Table1[[#This Row],[Open.Int]]*Table1[[#This Row],[DeltaC]],0)</f>
        <v>0</v>
      </c>
      <c r="AY6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3">
        <f>((Table1[[#This Row],[High C]]+Table1[[#This Row],[Low C]])/2)*Table1[[#This Row],[gammac]]*Table1[[#This Row],[Volume]]</f>
        <v>0</v>
      </c>
      <c r="BD63">
        <f>((Table1[[#This Row],[High P]]+Table1[[#This Row],[Low P]])/2)*Table1[[#This Row],[gammap]]*Table1[[#This Row],[Volume9]]*-1</f>
        <v>0</v>
      </c>
      <c r="BE63">
        <f>(Table1[[#This Row],[SgammaC]]+Table1[[#This Row],[SgammaP]])*$A$4*-100</f>
        <v>0</v>
      </c>
      <c r="BF63">
        <f>Table1[[#This Row],[DEXc]]+Table1[[#This Row],[DEXp]]</f>
        <v>0</v>
      </c>
      <c r="BG63">
        <f>IFERROR(Table1[[#This Row],[DeltaC]]*Table1[[#This Row],[Open.Int]]*$A$4,0)</f>
        <v>0</v>
      </c>
      <c r="BH63">
        <f>IFERROR(Table1[[#This Row],[DeltaP]]*Table1[[#This Row],[Open.Int8]]*$A$4,0)</f>
        <v>0</v>
      </c>
      <c r="BI6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3">
        <f ca="1">Table1[[#This Row],[Charmc]]+Table1[[#This Row],[Charmp]]</f>
        <v>0</v>
      </c>
      <c r="BL6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3" s="78">
        <f ca="1">Table1[[#This Row],[call helper]]+Table1[[#This Row],[put helper]]</f>
        <v>0</v>
      </c>
      <c r="BP63" t="str">
        <f>RTD("tos.rtd", , "STRIKE", "."&amp;Table1[[#This Row],[Ticker]]&amp;Table1[[#This Row],[Expiry]]&amp;""&amp;"C"&amp;Table1[[#This Row],[Spot]]+Table1[[#This Row],[step]])</f>
        <v>N/A</v>
      </c>
    </row>
    <row r="64" spans="1:80" x14ac:dyDescent="0.25">
      <c r="A64">
        <f t="shared" ca="1" si="4"/>
        <v>2.5814307458086375E-3</v>
      </c>
      <c r="C64" s="17"/>
      <c r="D64" t="b">
        <f>IF(
    ISNUMBER(Table1[[#This Row],[Strike]]),RTD("tos.rtd", , "OPEN_INT", "."&amp;Table1[[#This Row],[Ticker]]&amp;Table1[[#This Row],[Expiry]]&amp;""&amp;"C"&amp;Table1[[#This Row],[Strike]]))</f>
        <v>0</v>
      </c>
      <c r="E6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4" t="b">
        <f>IF(
    ISNUMBER(Table1[[#This Row],[Strike]]),RTD("tos.rtd", , "DELTA", "."&amp;Table1[[#This Row],[Ticker]]&amp;Table1[[#This Row],[Expiry]]&amp;""&amp;"C"&amp;Table1[[#This Row],[Strike]]))</f>
        <v>0</v>
      </c>
      <c r="H64" s="17" t="b" cm="1">
        <f t="array" ref="H64">IF(
    ISNUMBER(Table1[[#This Row],[Strike]]),IndividualLegIVCore($A$4, Table1[[#This Row],[Strike]], 0.0411, Table1[[#This Row],[T]], ((Table1[[#This Row],[BIDC]]+Table1[[#This Row],[ASKC]])/2), TRUE))</f>
        <v>0</v>
      </c>
      <c r="I64" t="b">
        <f>IF(
    ISNUMBER(Table1[[#This Row],[Strike]]),RTD("tos.rtd", , "BID", "."&amp;Table1[[#This Row],[Ticker]]&amp;Table1[[#This Row],[Expiry]]&amp;""&amp;"C"&amp;Table1[[#This Row],[Strike]]))</f>
        <v>0</v>
      </c>
      <c r="J64" t="b">
        <f>IF(
    ISNUMBER(Table1[[#This Row],[Strike]]),RTD("tos.rtd", , "ASK", "."&amp;Table1[[#This Row],[Ticker]]&amp;Table1[[#This Row],[Expiry]]&amp;""&amp;"C"&amp;Table1[[#This Row],[Strike]]))</f>
        <v>0</v>
      </c>
      <c r="K6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4" s="17" cm="1">
        <f t="array" aca="1" ref="L6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4" s="1">
        <f t="shared" si="5"/>
        <v>46045</v>
      </c>
      <c r="N64" t="b">
        <f t="shared" si="6"/>
        <v>0</v>
      </c>
      <c r="P64" s="17" t="b" cm="1">
        <f t="array" ref="P64">IF(
    ISNUMBER(Table1[[#This Row],[Strike]]),IndividualLegIVCore($A$4, Table1[[#This Row],[Strike]], 0.0411, Table1[[#This Row],[T]], ((Table1[[#This Row],[BIDP]]+Table1[[#This Row],[ASKP]])/2), FALSE))</f>
        <v>0</v>
      </c>
      <c r="Q64" t="b">
        <f>IF(
    ISNUMBER(Table1[[#This Row],[Strike]]),RTD("tos.rtd", , "BID", "."&amp;Table1[[#This Row],[Ticker]]&amp;Table1[[#This Row],[Expiry]]&amp;""&amp;"P"&amp;Table1[[#This Row],[Strike]]))</f>
        <v>0</v>
      </c>
      <c r="R64" t="b">
        <f>IF(
    ISNUMBER(Table1[[#This Row],[Strike]]),RTD("tos.rtd", , "ASK", "."&amp;Table1[[#This Row],[Ticker]]&amp;Table1[[#This Row],[Expiry]]&amp;""&amp;"P"&amp;Table1[[#This Row],[Strike]]))</f>
        <v>0</v>
      </c>
      <c r="S64" s="17"/>
      <c r="T64" t="b">
        <f>IF(
    ISNUMBER(Table1[[#This Row],[Strike]]),RTD("tos.rtd", , "OPEN_INT", "."&amp;Table1[[#This Row],[Ticker]]&amp;Table1[[#This Row],[Expiry]]&amp;""&amp;"P"&amp;Table1[[#This Row],[Strike]]))</f>
        <v>0</v>
      </c>
      <c r="U6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4" t="b">
        <f>IF(
    ISNUMBER(Table1[[#This Row],[Strike]]),RTD("tos.rtd", , "DELTA", "."&amp;Table1[[#This Row],[Ticker]]&amp;Table1[[#This Row],[Expiry]]&amp;""&amp;"P"&amp;Table1[[#This Row],[Strike]]))</f>
        <v>0</v>
      </c>
      <c r="Y64" s="19">
        <f>-23* IF($M$1="NDX", 10, IF(OR($M$1="SPX", $M$1="RUT"), 2, 1))</f>
        <v>-46</v>
      </c>
      <c r="Z64">
        <f ca="1">IFERROR(Table1[[#This Row],[call gamma]]*(Table1[[#This Row],[Open.Int]])*$A$4^2,0)</f>
        <v>0</v>
      </c>
      <c r="AA64">
        <f ca="1">IFERROR(((Table1[[#This Row],[Open.Int8]])*Table1[[#This Row],[Put gamma]])*-1*$A$4^2,0)</f>
        <v>0</v>
      </c>
      <c r="AB64">
        <f ca="1">(Table1[[#This Row],[Call Gex]]+Table1[[#This Row],[Put Gex]])</f>
        <v>0</v>
      </c>
      <c r="AC64">
        <f ca="1">Table1[[#This Row],[call delta adj]]+Table1[[#This Row],[put delta adj]]</f>
        <v>0</v>
      </c>
      <c r="AD64">
        <f ca="1">Table1[[#This Row],[Put Gex]]*Table1[[#This Row],[DeltaP]]*-1</f>
        <v>0</v>
      </c>
      <c r="AE64">
        <f ca="1">Table1[[#This Row],[Call Gex]]*Table1[[#This Row],[DeltaC]]</f>
        <v>0</v>
      </c>
      <c r="AF64">
        <f>IF(Table1[[#This Row],[DeltaC]]-ABS(Table1[[#This Row],[DeltaP]])="0","0.01",Table1[[#This Row],[DeltaC]]-ABS(Table1[[#This Row],[DeltaP]]))</f>
        <v>0</v>
      </c>
      <c r="AG64" t="e">
        <f ca="1">((LN($A$4/Table1[[#This Row],[Strike]]) + (0.411 + 0.5 * Table1[[#This Row],[IV Calc P]]^2) *Table1[[#This Row],[T]])) / (Table1[[#This Row],[IV Calc P]] * SQRT(Table1[[#This Row],[T]]))</f>
        <v>#DIV/0!</v>
      </c>
      <c r="AH64" t="e">
        <f ca="1">(LN($A$4/Table1[[#This Row],[Strike]]) + (0.411-0 + 0.5 * Table1[[#This Row],[IV Calc C]]^2) *Table1[[#This Row],[T]]) / (Table1[[#This Row],[IV Calc C]] * SQRT(Table1[[#This Row],[T]]))</f>
        <v>#DIV/0!</v>
      </c>
      <c r="AI64" t="e">
        <f ca="1">(EXP(-(AG64^2)/2)/SQRT(2*PI())*EXP(0*SQRT(Table1[[#This Row],[T]]))/$A$4*18%*SQRT(SQRT(Table1[[#This Row],[T]])))</f>
        <v>#DIV/0!</v>
      </c>
      <c r="AJ64" t="e">
        <f ca="1">(EXP(-(AH64^2)/2)/SQRT(2*PI())*EXP(0*SQRT(Table1[[#This Row],[T]]))/$A$4*18%*SQRT(SQRT(Table1[[#This Row],[T]])))</f>
        <v>#DIV/0!</v>
      </c>
      <c r="AK64" t="e">
        <f ca="1">Table1[[#This Row],[Call D1]]-Table1[[#This Row],[IV Calc C]]*SQRT(Table1[[#This Row],[T]])</f>
        <v>#DIV/0!</v>
      </c>
      <c r="AL64" t="e">
        <f ca="1">Table1[[#This Row],[Put D1]]-Table1[[#This Row],[IV Calc P]]*SQRT(Table1[[#This Row],[T]])</f>
        <v>#DIV/0!</v>
      </c>
      <c r="AM64" t="e">
        <f ca="1">EXP(-0.5*Table1[[#This Row],[Call D1]]^2)/SQRT(2*PI())</f>
        <v>#DIV/0!</v>
      </c>
      <c r="AN64" t="e">
        <f ca="1">EXP(-0.5*Table1[[#This Row],[Put D1]]^2)/SQRT(2*PI())</f>
        <v>#DIV/0!</v>
      </c>
      <c r="AO64">
        <f ca="1">IFERROR((EXP(0*Table1[[#This Row],[T]])*Table1[[#This Row],[call N(d1)]]*(Table1[[#This Row],[call d2]]/Table1[[#This Row],[IV Calc C]]))*Table1[[#This Row],[Open.Int]]*Table1[[#This Row],[DeltaC]],0)</f>
        <v>0</v>
      </c>
      <c r="AP64">
        <f ca="1">IFERROR((EXP(0*Table1[[#This Row],[T]])*Table1[[#This Row],[put N(d1)]]*(Table1[[#This Row],[put d2]]/Table1[[#This Row],[IV Calc P]]))*Table1[[#This Row],[Open.Int8]]*Table1[[#This Row],[DeltaP]]*-1,0)</f>
        <v>0</v>
      </c>
      <c r="AQ64">
        <f ca="1">((Table1[[#This Row],[call vanna]]+Table1[[#This Row],[put vanna]])*$A$4)</f>
        <v>0</v>
      </c>
      <c r="AR6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4" s="9" t="str" cm="1">
        <f t="array" ref="AT64">_xlfn.IFS(     $M$1="SPX","SPXW",     $M$1="RUT","RUTW",  $M$1="NDX","NDXP",   TRUE,$M$1 )</f>
        <v>SPXW</v>
      </c>
      <c r="AU64" s="2">
        <f t="shared" si="7"/>
        <v>6915</v>
      </c>
      <c r="AV64" t="str">
        <f t="shared" si="8"/>
        <v>260123</v>
      </c>
      <c r="AW64" s="19">
        <f ca="1">IFERROR((EXP(0*Table1[[#This Row],[T]])*Table1[[#This Row],[put N(d1)]]*(Table1[[#This Row],[put d2]]/Table1[[#This Row],[IV Calc P]]))*Table1[[#This Row],[Open.Int8]]*Table1[[#This Row],[DeltaP]]*-1,0)</f>
        <v>0</v>
      </c>
      <c r="AX64">
        <f ca="1">IFERROR((EXP(0*Table1[[#This Row],[T]])*Table1[[#This Row],[call N(d1)]]*(Table1[[#This Row],[call d2]]/Table1[[#This Row],[IV Calc C]]))*Table1[[#This Row],[Open.Int]]*Table1[[#This Row],[DeltaC]],0)</f>
        <v>0</v>
      </c>
      <c r="AY6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4">
        <f>((Table1[[#This Row],[High C]]+Table1[[#This Row],[Low C]])/2)*Table1[[#This Row],[gammac]]*Table1[[#This Row],[Volume]]</f>
        <v>0</v>
      </c>
      <c r="BD64">
        <f>((Table1[[#This Row],[High P]]+Table1[[#This Row],[Low P]])/2)*Table1[[#This Row],[gammap]]*Table1[[#This Row],[Volume9]]*-1</f>
        <v>0</v>
      </c>
      <c r="BE64">
        <f>(Table1[[#This Row],[SgammaC]]+Table1[[#This Row],[SgammaP]])*$A$4*-100</f>
        <v>0</v>
      </c>
      <c r="BF64">
        <f>Table1[[#This Row],[DEXc]]+Table1[[#This Row],[DEXp]]</f>
        <v>0</v>
      </c>
      <c r="BG64">
        <f>IFERROR(Table1[[#This Row],[DeltaC]]*Table1[[#This Row],[Open.Int]]*$A$4,0)</f>
        <v>0</v>
      </c>
      <c r="BH64">
        <f>IFERROR(Table1[[#This Row],[DeltaP]]*Table1[[#This Row],[Open.Int8]]*$A$4,0)</f>
        <v>0</v>
      </c>
      <c r="BI6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4">
        <f ca="1">Table1[[#This Row],[Charmc]]+Table1[[#This Row],[Charmp]]</f>
        <v>0</v>
      </c>
      <c r="BL6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4" s="78">
        <f ca="1">Table1[[#This Row],[call helper]]+Table1[[#This Row],[put helper]]</f>
        <v>0</v>
      </c>
      <c r="BP64" t="str">
        <f>RTD("tos.rtd", , "STRIKE", "."&amp;Table1[[#This Row],[Ticker]]&amp;Table1[[#This Row],[Expiry]]&amp;""&amp;"C"&amp;Table1[[#This Row],[Spot]]+Table1[[#This Row],[step]])</f>
        <v>N/A</v>
      </c>
    </row>
    <row r="65" spans="1:68" x14ac:dyDescent="0.25">
      <c r="A65">
        <f t="shared" ca="1" si="4"/>
        <v>2.5814307458086375E-3</v>
      </c>
      <c r="C65" s="17"/>
      <c r="D65">
        <f>IF(
    ISNUMBER(Table1[[#This Row],[Strike]]),RTD("tos.rtd", , "OPEN_INT", "."&amp;Table1[[#This Row],[Ticker]]&amp;Table1[[#This Row],[Expiry]]&amp;""&amp;"C"&amp;Table1[[#This Row],[Strike]]))</f>
        <v>512</v>
      </c>
      <c r="E6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477</v>
      </c>
      <c r="G65">
        <f>IF(
    ISNUMBER(Table1[[#This Row],[Strike]]),RTD("tos.rtd", , "DELTA", "."&amp;Table1[[#This Row],[Ticker]]&amp;Table1[[#This Row],[Expiry]]&amp;""&amp;"C"&amp;Table1[[#This Row],[Strike]]))</f>
        <v>0.89</v>
      </c>
      <c r="H65" s="17" cm="1">
        <f t="array" aca="1" ref="H65" ca="1">IF(
    ISNUMBER(Table1[[#This Row],[Strike]]),IndividualLegIVCore($A$4, Table1[[#This Row],[Strike]], 0.0411, Table1[[#This Row],[T]], ((Table1[[#This Row],[BIDC]]+Table1[[#This Row],[ASKC]])/2), TRUE))</f>
        <v>0.10051530162072474</v>
      </c>
      <c r="I65">
        <f>IF(
    ISNUMBER(Table1[[#This Row],[Strike]]),RTD("tos.rtd", , "BID", "."&amp;Table1[[#This Row],[Ticker]]&amp;Table1[[#This Row],[Expiry]]&amp;""&amp;"C"&amp;Table1[[#This Row],[Strike]]))</f>
        <v>45.2</v>
      </c>
      <c r="J65">
        <f>IF(
    ISNUMBER(Table1[[#This Row],[Strike]]),RTD("tos.rtd", , "ASK", "."&amp;Table1[[#This Row],[Ticker]]&amp;Table1[[#This Row],[Expiry]]&amp;""&amp;"C"&amp;Table1[[#This Row],[Strike]]))</f>
        <v>46.5</v>
      </c>
      <c r="K6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0.10051530162072474</v>
      </c>
      <c r="L65" s="17" cm="1">
        <f t="array" aca="1" ref="L65" ca="1">CubicSplineIVSmile($A$4, Table1[[#This Row],[Strike]], 0.0411, Table1[[#This Row],[T]], (Table1[[#This Row],[BIDC]]+Table1[[#This Row],[ASKC]])/2, (Table1[[#This Row],[BIDP]]+Table1[[#This Row],[ASKP]])/2, Table1[Strike], Table1[IV Calc AVG])</f>
        <v>0.10976835240709375</v>
      </c>
      <c r="M65" s="1">
        <f t="shared" si="5"/>
        <v>46045</v>
      </c>
      <c r="N65">
        <f t="shared" si="6"/>
        <v>6870</v>
      </c>
      <c r="P65" s="17" cm="1">
        <f t="array" aca="1" ref="P65" ca="1">IF(
    ISNUMBER(Table1[[#This Row],[Strike]]),IndividualLegIVCore($A$4, Table1[[#This Row],[Strike]], 0.0411, Table1[[#This Row],[T]], ((Table1[[#This Row],[BIDP]]+Table1[[#This Row],[ASKP]])/2), FALSE))</f>
        <v>0.15713677390376485</v>
      </c>
      <c r="Q65">
        <f>IF(
    ISNUMBER(Table1[[#This Row],[Strike]]),RTD("tos.rtd", , "BID", "."&amp;Table1[[#This Row],[Ticker]]&amp;Table1[[#This Row],[Expiry]]&amp;""&amp;"P"&amp;Table1[[#This Row],[Strike]]))</f>
        <v>6.4</v>
      </c>
      <c r="R65">
        <f>IF(
    ISNUMBER(Table1[[#This Row],[Strike]]),RTD("tos.rtd", , "ASK", "."&amp;Table1[[#This Row],[Ticker]]&amp;Table1[[#This Row],[Expiry]]&amp;""&amp;"P"&amp;Table1[[#This Row],[Strike]]))</f>
        <v>6.8</v>
      </c>
      <c r="S65" s="17"/>
      <c r="T65">
        <f>IF(
    ISNUMBER(Table1[[#This Row],[Strike]]),RTD("tos.rtd", , "OPEN_INT", "."&amp;Table1[[#This Row],[Ticker]]&amp;Table1[[#This Row],[Expiry]]&amp;""&amp;"P"&amp;Table1[[#This Row],[Strike]]))</f>
        <v>1379</v>
      </c>
      <c r="U6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4028</v>
      </c>
      <c r="W65">
        <f>IF(
    ISNUMBER(Table1[[#This Row],[Strike]]),RTD("tos.rtd", , "DELTA", "."&amp;Table1[[#This Row],[Ticker]]&amp;Table1[[#This Row],[Expiry]]&amp;""&amp;"P"&amp;Table1[[#This Row],[Strike]]))</f>
        <v>-0.21</v>
      </c>
      <c r="Y65" s="19">
        <f>-22.5* IF($M$1="NDX", 10, IF(OR($M$1="SPX", $M$1="RUT"), 2, 1))</f>
        <v>-45</v>
      </c>
      <c r="Z65">
        <f ca="1">IFERROR(Table1[[#This Row],[call gamma]]*(Table1[[#This Row],[Open.Int]])*$A$4^2,0)</f>
        <v>20257.184128928722</v>
      </c>
      <c r="AA65">
        <f ca="1">IFERROR(((Table1[[#This Row],[Open.Int8]])*Table1[[#This Row],[Put gamma]])*-1*$A$4^2,0)</f>
        <v>-100623.87793072272</v>
      </c>
      <c r="AB65">
        <f ca="1">(Table1[[#This Row],[Call Gex]]+Table1[[#This Row],[Put Gex]])</f>
        <v>-80366.693801793997</v>
      </c>
      <c r="AC65">
        <f ca="1">Table1[[#This Row],[call delta adj]]+Table1[[#This Row],[put delta adj]]</f>
        <v>-3102.1204907052088</v>
      </c>
      <c r="AD65">
        <f ca="1">Table1[[#This Row],[Put Gex]]*Table1[[#This Row],[DeltaP]]*-1</f>
        <v>-21131.014365451771</v>
      </c>
      <c r="AE65">
        <f ca="1">Table1[[#This Row],[Call Gex]]*Table1[[#This Row],[DeltaC]]</f>
        <v>18028.893874746562</v>
      </c>
      <c r="AF65">
        <f>IF(Table1[[#This Row],[DeltaC]]-ABS(Table1[[#This Row],[DeltaP]])="0","0.01",Table1[[#This Row],[DeltaC]]-ABS(Table1[[#This Row],[DeltaP]]))</f>
        <v>0.68</v>
      </c>
      <c r="AG65">
        <f ca="1">((LN($A$4/Table1[[#This Row],[Strike]]) + (0.411 + 0.5 * Table1[[#This Row],[IV Calc P]]^2) *Table1[[#This Row],[T]])) / (Table1[[#This Row],[IV Calc P]] * SQRT(Table1[[#This Row],[T]]))</f>
        <v>0.9247581159099435</v>
      </c>
      <c r="AH65">
        <f ca="1">(LN($A$4/Table1[[#This Row],[Strike]]) + (0.411-0 + 0.5 * Table1[[#This Row],[IV Calc C]]^2) *Table1[[#This Row],[T]]) / (Table1[[#This Row],[IV Calc C]] * SQRT(Table1[[#This Row],[T]]))</f>
        <v>1.44199834671162</v>
      </c>
      <c r="AI65">
        <f ca="1">(EXP(-(AG65^2)/2)/SQRT(2*PI())*EXP(0*SQRT(Table1[[#This Row],[T]]))/$A$4*18%*SQRT(SQRT(Table1[[#This Row],[T]])))</f>
        <v>1.5267210574971012E-6</v>
      </c>
      <c r="AJ65">
        <f ca="1">(EXP(-(AH65^2)/2)/SQRT(2*PI())*EXP(0*SQRT(Table1[[#This Row],[T]]))/$A$4*18%*SQRT(SQRT(Table1[[#This Row],[T]])))</f>
        <v>8.2781258777440259E-7</v>
      </c>
      <c r="AK65">
        <f ca="1">Table1[[#This Row],[Call D1]]-Table1[[#This Row],[IV Calc C]]*SQRT(Table1[[#This Row],[T]])</f>
        <v>1.4368913871455296</v>
      </c>
      <c r="AL65">
        <f ca="1">Table1[[#This Row],[Put D1]]-Table1[[#This Row],[IV Calc P]]*SQRT(Table1[[#This Row],[T]])</f>
        <v>0.91677434490460474</v>
      </c>
      <c r="AM65">
        <f ca="1">EXP(-0.5*Table1[[#This Row],[Call D1]]^2)/SQRT(2*PI())</f>
        <v>0.1410532007950962</v>
      </c>
      <c r="AN65">
        <f ca="1">EXP(-0.5*Table1[[#This Row],[Put D1]]^2)/SQRT(2*PI())</f>
        <v>0.2601420841644988</v>
      </c>
      <c r="AO65">
        <f ca="1">IFERROR((EXP(0*Table1[[#This Row],[T]])*Table1[[#This Row],[call N(d1)]]*(Table1[[#This Row],[call d2]]/Table1[[#This Row],[IV Calc C]]))*Table1[[#This Row],[Open.Int]]*Table1[[#This Row],[DeltaC]],0)</f>
        <v>918.82895931118446</v>
      </c>
      <c r="AP65">
        <f ca="1">IFERROR((EXP(0*Table1[[#This Row],[T]])*Table1[[#This Row],[put N(d1)]]*(Table1[[#This Row],[put d2]]/Table1[[#This Row],[IV Calc P]]))*Table1[[#This Row],[Open.Int8]]*Table1[[#This Row],[DeltaP]]*-1,0)</f>
        <v>439.52015484663298</v>
      </c>
      <c r="AQ65">
        <f ca="1">((Table1[[#This Row],[call vanna]]+Table1[[#This Row],[put vanna]])*$A$4)</f>
        <v>9390742.8483629469</v>
      </c>
      <c r="AR6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20257.184128928722</v>
      </c>
      <c r="AS6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-100623.87793072272</v>
      </c>
      <c r="AT65" s="9" t="str" cm="1">
        <f t="array" ref="AT65">_xlfn.IFS(     $M$1="SPX","SPXW",     $M$1="RUT","RUTW",  $M$1="NDX","NDXP",   TRUE,$M$1 )</f>
        <v>SPXW</v>
      </c>
      <c r="AU65" s="2">
        <f t="shared" si="7"/>
        <v>6915</v>
      </c>
      <c r="AV65" t="str">
        <f t="shared" si="8"/>
        <v>260123</v>
      </c>
      <c r="AW65" s="19">
        <f ca="1">IFERROR((EXP(0*Table1[[#This Row],[T]])*Table1[[#This Row],[put N(d1)]]*(Table1[[#This Row],[put d2]]/Table1[[#This Row],[IV Calc P]]))*Table1[[#This Row],[Open.Int8]]*Table1[[#This Row],[DeltaP]]*-1,0)</f>
        <v>439.52015484663298</v>
      </c>
      <c r="AX65">
        <f ca="1">IFERROR((EXP(0*Table1[[#This Row],[T]])*Table1[[#This Row],[call N(d1)]]*(Table1[[#This Row],[call d2]]/Table1[[#This Row],[IV Calc C]]))*Table1[[#This Row],[Open.Int]]*Table1[[#This Row],[DeltaC]],0)</f>
        <v>918.82895931118446</v>
      </c>
      <c r="AY65">
        <f>IF(
    ISNUMBER(Table1[[#This Row],[Strike]]),RTD("tos.rtd", , "high", "."&amp;Table1[[#This Row],[Ticker]]&amp;Table1[[#This Row],[Expiry]]&amp;""&amp;"C"&amp;Table1[[#This Row],[Spot]]+Table1[[#This Row],[step]]))</f>
        <v>68.75</v>
      </c>
      <c r="AZ65">
        <f>IF(
    ISNUMBER(Table1[[#This Row],[Strike]]),RTD("tos.rtd", , "low", "."&amp;Table1[[#This Row],[Ticker]]&amp;Table1[[#This Row],[Expiry]]&amp;""&amp;"C"&amp;Table1[[#This Row],[Spot]]+Table1[[#This Row],[step]]))</f>
        <v>40.97</v>
      </c>
      <c r="BA65">
        <f>IF(
    ISNUMBER(Table1[[#This Row],[Strike]]),RTD("tos.rtd", , "high", "."&amp;Table1[[#This Row],[Ticker]]&amp;Table1[[#This Row],[Expiry]]&amp;""&amp;"P"&amp;Table1[[#This Row],[Spot]]+Table1[[#This Row],[step]]))</f>
        <v>15.6</v>
      </c>
      <c r="BB65">
        <f>IF(
    ISNUMBER(Table1[[#This Row],[Strike]]),RTD("tos.rtd", , "low", "."&amp;Table1[[#This Row],[Ticker]]&amp;Table1[[#This Row],[Expiry]]&amp;""&amp;"P"&amp;Table1[[#This Row],[Spot]]+Table1[[#This Row],[step]]))</f>
        <v>3.1</v>
      </c>
      <c r="BC65">
        <f>((Table1[[#This Row],[High C]]+Table1[[#This Row],[Low C]])/2)*Table1[[#This Row],[gammac]]*Table1[[#This Row],[Volume]]</f>
        <v>261.68219999999997</v>
      </c>
      <c r="BD65">
        <f>((Table1[[#This Row],[High P]]+Table1[[#This Row],[Low P]])/2)*Table1[[#This Row],[gammap]]*Table1[[#This Row],[Volume9]]*-1</f>
        <v>-376.61799999999999</v>
      </c>
      <c r="BE65">
        <f>(Table1[[#This Row],[SgammaC]]+Table1[[#This Row],[SgammaP]])*$A$4*-100</f>
        <v>79459141.293000028</v>
      </c>
      <c r="BF65">
        <f>Table1[[#This Row],[DEXc]]+Table1[[#This Row],[DEXp]]</f>
        <v>1148238.3015000003</v>
      </c>
      <c r="BG65">
        <f>IFERROR(Table1[[#This Row],[DeltaC]]*Table1[[#This Row],[Open.Int]]*$A$4,0)</f>
        <v>3150275.3280000002</v>
      </c>
      <c r="BH65">
        <f>IFERROR(Table1[[#This Row],[DeltaP]]*Table1[[#This Row],[Open.Int8]]*$A$4,0)</f>
        <v>-2002037.0264999999</v>
      </c>
      <c r="BI6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274618.9849423705</v>
      </c>
      <c r="BJ6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776291.46104291093</v>
      </c>
      <c r="BK65">
        <f ca="1">Table1[[#This Row],[Charmc]]+Table1[[#This Row],[Charmp]]</f>
        <v>1050910.4459852814</v>
      </c>
      <c r="BL6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6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65" s="78">
        <f ca="1">Table1[[#This Row],[call helper]]+Table1[[#This Row],[put helper]]</f>
        <v>-80366.693801793997</v>
      </c>
      <c r="BP65">
        <f>RTD("tos.rtd", , "STRIKE", "."&amp;Table1[[#This Row],[Ticker]]&amp;Table1[[#This Row],[Expiry]]&amp;""&amp;"C"&amp;Table1[[#This Row],[Spot]]+Table1[[#This Row],[step]])</f>
        <v>6870</v>
      </c>
    </row>
    <row r="66" spans="1:68" x14ac:dyDescent="0.25">
      <c r="A66">
        <f t="shared" ca="1" si="4"/>
        <v>2.5814307458086375E-3</v>
      </c>
      <c r="C66" s="17"/>
      <c r="D66" t="b">
        <f>IF(
    ISNUMBER(Table1[[#This Row],[Strike]]),RTD("tos.rtd", , "OPEN_INT", "."&amp;Table1[[#This Row],[Ticker]]&amp;Table1[[#This Row],[Expiry]]&amp;""&amp;"C"&amp;Table1[[#This Row],[Strike]]))</f>
        <v>0</v>
      </c>
      <c r="E6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6" t="b">
        <f>IF(
    ISNUMBER(Table1[[#This Row],[Strike]]),RTD("tos.rtd", , "DELTA", "."&amp;Table1[[#This Row],[Ticker]]&amp;Table1[[#This Row],[Expiry]]&amp;""&amp;"C"&amp;Table1[[#This Row],[Strike]]))</f>
        <v>0</v>
      </c>
      <c r="H66" s="17" t="b" cm="1">
        <f t="array" ref="H66">IF(
    ISNUMBER(Table1[[#This Row],[Strike]]),IndividualLegIVCore($A$4, Table1[[#This Row],[Strike]], 0.0411, Table1[[#This Row],[T]], ((Table1[[#This Row],[BIDC]]+Table1[[#This Row],[ASKC]])/2), TRUE))</f>
        <v>0</v>
      </c>
      <c r="I66" t="b">
        <f>IF(
    ISNUMBER(Table1[[#This Row],[Strike]]),RTD("tos.rtd", , "BID", "."&amp;Table1[[#This Row],[Ticker]]&amp;Table1[[#This Row],[Expiry]]&amp;""&amp;"C"&amp;Table1[[#This Row],[Strike]]))</f>
        <v>0</v>
      </c>
      <c r="J66" t="b">
        <f>IF(
    ISNUMBER(Table1[[#This Row],[Strike]]),RTD("tos.rtd", , "ASK", "."&amp;Table1[[#This Row],[Ticker]]&amp;Table1[[#This Row],[Expiry]]&amp;""&amp;"C"&amp;Table1[[#This Row],[Strike]]))</f>
        <v>0</v>
      </c>
      <c r="K6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6" s="17" cm="1">
        <f t="array" aca="1" ref="L6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6" s="1">
        <f t="shared" si="5"/>
        <v>46045</v>
      </c>
      <c r="N66" t="b">
        <f t="shared" si="6"/>
        <v>0</v>
      </c>
      <c r="P66" s="17" t="b" cm="1">
        <f t="array" ref="P66">IF(
    ISNUMBER(Table1[[#This Row],[Strike]]),IndividualLegIVCore($A$4, Table1[[#This Row],[Strike]], 0.0411, Table1[[#This Row],[T]], ((Table1[[#This Row],[BIDP]]+Table1[[#This Row],[ASKP]])/2), FALSE))</f>
        <v>0</v>
      </c>
      <c r="Q66" t="b">
        <f>IF(
    ISNUMBER(Table1[[#This Row],[Strike]]),RTD("tos.rtd", , "BID", "."&amp;Table1[[#This Row],[Ticker]]&amp;Table1[[#This Row],[Expiry]]&amp;""&amp;"P"&amp;Table1[[#This Row],[Strike]]))</f>
        <v>0</v>
      </c>
      <c r="R66" t="b">
        <f>IF(
    ISNUMBER(Table1[[#This Row],[Strike]]),RTD("tos.rtd", , "ASK", "."&amp;Table1[[#This Row],[Ticker]]&amp;Table1[[#This Row],[Expiry]]&amp;""&amp;"P"&amp;Table1[[#This Row],[Strike]]))</f>
        <v>0</v>
      </c>
      <c r="S66" s="17"/>
      <c r="T66" t="b">
        <f>IF(
    ISNUMBER(Table1[[#This Row],[Strike]]),RTD("tos.rtd", , "OPEN_INT", "."&amp;Table1[[#This Row],[Ticker]]&amp;Table1[[#This Row],[Expiry]]&amp;""&amp;"P"&amp;Table1[[#This Row],[Strike]]))</f>
        <v>0</v>
      </c>
      <c r="U6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6" t="b">
        <f>IF(
    ISNUMBER(Table1[[#This Row],[Strike]]),RTD("tos.rtd", , "DELTA", "."&amp;Table1[[#This Row],[Ticker]]&amp;Table1[[#This Row],[Expiry]]&amp;""&amp;"P"&amp;Table1[[#This Row],[Strike]]))</f>
        <v>0</v>
      </c>
      <c r="Y66" s="19">
        <f>-22* IF($M$1="NDX", 10, IF(OR($M$1="SPX", $M$1="RUT"), 2, 1))</f>
        <v>-44</v>
      </c>
      <c r="Z66">
        <f ca="1">IFERROR(Table1[[#This Row],[call gamma]]*(Table1[[#This Row],[Open.Int]])*$A$4^2,0)</f>
        <v>0</v>
      </c>
      <c r="AA66">
        <f ca="1">IFERROR(((Table1[[#This Row],[Open.Int8]])*Table1[[#This Row],[Put gamma]])*-1*$A$4^2,0)</f>
        <v>0</v>
      </c>
      <c r="AB66">
        <f ca="1">(Table1[[#This Row],[Call Gex]]+Table1[[#This Row],[Put Gex]])</f>
        <v>0</v>
      </c>
      <c r="AC66">
        <f ca="1">Table1[[#This Row],[call delta adj]]+Table1[[#This Row],[put delta adj]]</f>
        <v>0</v>
      </c>
      <c r="AD66">
        <f ca="1">Table1[[#This Row],[Put Gex]]*Table1[[#This Row],[DeltaP]]*-1</f>
        <v>0</v>
      </c>
      <c r="AE66">
        <f ca="1">Table1[[#This Row],[Call Gex]]*Table1[[#This Row],[DeltaC]]</f>
        <v>0</v>
      </c>
      <c r="AF66">
        <f>IF(Table1[[#This Row],[DeltaC]]-ABS(Table1[[#This Row],[DeltaP]])="0","0.01",Table1[[#This Row],[DeltaC]]-ABS(Table1[[#This Row],[DeltaP]]))</f>
        <v>0</v>
      </c>
      <c r="AG66" t="e">
        <f ca="1">((LN($A$4/Table1[[#This Row],[Strike]]) + (0.411 + 0.5 * Table1[[#This Row],[IV Calc P]]^2) *Table1[[#This Row],[T]])) / (Table1[[#This Row],[IV Calc P]] * SQRT(Table1[[#This Row],[T]]))</f>
        <v>#DIV/0!</v>
      </c>
      <c r="AH66" t="e">
        <f ca="1">(LN($A$4/Table1[[#This Row],[Strike]]) + (0.411-0 + 0.5 * Table1[[#This Row],[IV Calc C]]^2) *Table1[[#This Row],[T]]) / (Table1[[#This Row],[IV Calc C]] * SQRT(Table1[[#This Row],[T]]))</f>
        <v>#DIV/0!</v>
      </c>
      <c r="AI66" t="e">
        <f ca="1">(EXP(-(AG66^2)/2)/SQRT(2*PI())*EXP(0*SQRT(Table1[[#This Row],[T]]))/$A$4*18%*SQRT(SQRT(Table1[[#This Row],[T]])))</f>
        <v>#DIV/0!</v>
      </c>
      <c r="AJ66" t="e">
        <f ca="1">(EXP(-(AH66^2)/2)/SQRT(2*PI())*EXP(0*SQRT(Table1[[#This Row],[T]]))/$A$4*18%*SQRT(SQRT(Table1[[#This Row],[T]])))</f>
        <v>#DIV/0!</v>
      </c>
      <c r="AK66" t="e">
        <f ca="1">Table1[[#This Row],[Call D1]]-Table1[[#This Row],[IV Calc C]]*SQRT(Table1[[#This Row],[T]])</f>
        <v>#DIV/0!</v>
      </c>
      <c r="AL66" t="e">
        <f ca="1">Table1[[#This Row],[Put D1]]-Table1[[#This Row],[IV Calc P]]*SQRT(Table1[[#This Row],[T]])</f>
        <v>#DIV/0!</v>
      </c>
      <c r="AM66" t="e">
        <f ca="1">EXP(-0.5*Table1[[#This Row],[Call D1]]^2)/SQRT(2*PI())</f>
        <v>#DIV/0!</v>
      </c>
      <c r="AN66" t="e">
        <f ca="1">EXP(-0.5*Table1[[#This Row],[Put D1]]^2)/SQRT(2*PI())</f>
        <v>#DIV/0!</v>
      </c>
      <c r="AO66">
        <f ca="1">IFERROR((EXP(0*Table1[[#This Row],[T]])*Table1[[#This Row],[call N(d1)]]*(Table1[[#This Row],[call d2]]/Table1[[#This Row],[IV Calc C]]))*Table1[[#This Row],[Open.Int]]*Table1[[#This Row],[DeltaC]],0)</f>
        <v>0</v>
      </c>
      <c r="AP66">
        <f ca="1">IFERROR((EXP(0*Table1[[#This Row],[T]])*Table1[[#This Row],[put N(d1)]]*(Table1[[#This Row],[put d2]]/Table1[[#This Row],[IV Calc P]]))*Table1[[#This Row],[Open.Int8]]*Table1[[#This Row],[DeltaP]]*-1,0)</f>
        <v>0</v>
      </c>
      <c r="AQ66">
        <f ca="1">((Table1[[#This Row],[call vanna]]+Table1[[#This Row],[put vanna]])*$A$4)</f>
        <v>0</v>
      </c>
      <c r="AR6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6" s="9" t="str" cm="1">
        <f t="array" ref="AT66">_xlfn.IFS(     $M$1="SPX","SPXW",     $M$1="RUT","RUTW",  $M$1="NDX","NDXP",   TRUE,$M$1 )</f>
        <v>SPXW</v>
      </c>
      <c r="AU66" s="2">
        <f t="shared" si="7"/>
        <v>6915</v>
      </c>
      <c r="AV66" t="str">
        <f t="shared" si="8"/>
        <v>260123</v>
      </c>
      <c r="AW66" s="19">
        <f ca="1">IFERROR((EXP(0*Table1[[#This Row],[T]])*Table1[[#This Row],[put N(d1)]]*(Table1[[#This Row],[put d2]]/Table1[[#This Row],[IV Calc P]]))*Table1[[#This Row],[Open.Int8]]*Table1[[#This Row],[DeltaP]]*-1,0)</f>
        <v>0</v>
      </c>
      <c r="AX66">
        <f ca="1">IFERROR((EXP(0*Table1[[#This Row],[T]])*Table1[[#This Row],[call N(d1)]]*(Table1[[#This Row],[call d2]]/Table1[[#This Row],[IV Calc C]]))*Table1[[#This Row],[Open.Int]]*Table1[[#This Row],[DeltaC]],0)</f>
        <v>0</v>
      </c>
      <c r="AY6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6">
        <f>((Table1[[#This Row],[High C]]+Table1[[#This Row],[Low C]])/2)*Table1[[#This Row],[gammac]]*Table1[[#This Row],[Volume]]</f>
        <v>0</v>
      </c>
      <c r="BD66">
        <f>((Table1[[#This Row],[High P]]+Table1[[#This Row],[Low P]])/2)*Table1[[#This Row],[gammap]]*Table1[[#This Row],[Volume9]]*-1</f>
        <v>0</v>
      </c>
      <c r="BE66">
        <f>(Table1[[#This Row],[SgammaC]]+Table1[[#This Row],[SgammaP]])*$A$4*-100</f>
        <v>0</v>
      </c>
      <c r="BF66">
        <f>Table1[[#This Row],[DEXc]]+Table1[[#This Row],[DEXp]]</f>
        <v>0</v>
      </c>
      <c r="BG66">
        <f>IFERROR(Table1[[#This Row],[DeltaC]]*Table1[[#This Row],[Open.Int]]*$A$4,0)</f>
        <v>0</v>
      </c>
      <c r="BH66">
        <f>IFERROR(Table1[[#This Row],[DeltaP]]*Table1[[#This Row],[Open.Int8]]*$A$4,0)</f>
        <v>0</v>
      </c>
      <c r="BI6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6">
        <f ca="1">Table1[[#This Row],[Charmc]]+Table1[[#This Row],[Charmp]]</f>
        <v>0</v>
      </c>
      <c r="BL6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6" s="78">
        <f ca="1">Table1[[#This Row],[call helper]]+Table1[[#This Row],[put helper]]</f>
        <v>0</v>
      </c>
      <c r="BP66" t="str">
        <f>RTD("tos.rtd", , "STRIKE", "."&amp;Table1[[#This Row],[Ticker]]&amp;Table1[[#This Row],[Expiry]]&amp;""&amp;"C"&amp;Table1[[#This Row],[Spot]]+Table1[[#This Row],[step]])</f>
        <v>N/A</v>
      </c>
    </row>
    <row r="67" spans="1:68" x14ac:dyDescent="0.25">
      <c r="A67">
        <f t="shared" ca="1" si="4"/>
        <v>2.5814307458086375E-3</v>
      </c>
      <c r="C67" s="17"/>
      <c r="D67" t="b">
        <f>IF(
    ISNUMBER(Table1[[#This Row],[Strike]]),RTD("tos.rtd", , "OPEN_INT", "."&amp;Table1[[#This Row],[Ticker]]&amp;Table1[[#This Row],[Expiry]]&amp;""&amp;"C"&amp;Table1[[#This Row],[Strike]]))</f>
        <v>0</v>
      </c>
      <c r="E6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7" t="b">
        <f>IF(
    ISNUMBER(Table1[[#This Row],[Strike]]),RTD("tos.rtd", , "DELTA", "."&amp;Table1[[#This Row],[Ticker]]&amp;Table1[[#This Row],[Expiry]]&amp;""&amp;"C"&amp;Table1[[#This Row],[Strike]]))</f>
        <v>0</v>
      </c>
      <c r="H67" s="17" t="b" cm="1">
        <f t="array" ref="H67">IF(
    ISNUMBER(Table1[[#This Row],[Strike]]),IndividualLegIVCore($A$4, Table1[[#This Row],[Strike]], 0.0411, Table1[[#This Row],[T]], ((Table1[[#This Row],[BIDC]]+Table1[[#This Row],[ASKC]])/2), TRUE))</f>
        <v>0</v>
      </c>
      <c r="I67" t="b">
        <f>IF(
    ISNUMBER(Table1[[#This Row],[Strike]]),RTD("tos.rtd", , "BID", "."&amp;Table1[[#This Row],[Ticker]]&amp;Table1[[#This Row],[Expiry]]&amp;""&amp;"C"&amp;Table1[[#This Row],[Strike]]))</f>
        <v>0</v>
      </c>
      <c r="J67" t="b">
        <f>IF(
    ISNUMBER(Table1[[#This Row],[Strike]]),RTD("tos.rtd", , "ASK", "."&amp;Table1[[#This Row],[Ticker]]&amp;Table1[[#This Row],[Expiry]]&amp;""&amp;"C"&amp;Table1[[#This Row],[Strike]]))</f>
        <v>0</v>
      </c>
      <c r="K6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7" s="17" cm="1">
        <f t="array" aca="1" ref="L6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7" s="1">
        <f t="shared" si="5"/>
        <v>46045</v>
      </c>
      <c r="N67" t="b">
        <f t="shared" si="6"/>
        <v>0</v>
      </c>
      <c r="P67" s="17" t="b" cm="1">
        <f t="array" ref="P67">IF(
    ISNUMBER(Table1[[#This Row],[Strike]]),IndividualLegIVCore($A$4, Table1[[#This Row],[Strike]], 0.0411, Table1[[#This Row],[T]], ((Table1[[#This Row],[BIDP]]+Table1[[#This Row],[ASKP]])/2), FALSE))</f>
        <v>0</v>
      </c>
      <c r="Q67" t="b">
        <f>IF(
    ISNUMBER(Table1[[#This Row],[Strike]]),RTD("tos.rtd", , "BID", "."&amp;Table1[[#This Row],[Ticker]]&amp;Table1[[#This Row],[Expiry]]&amp;""&amp;"P"&amp;Table1[[#This Row],[Strike]]))</f>
        <v>0</v>
      </c>
      <c r="R67" t="b">
        <f>IF(
    ISNUMBER(Table1[[#This Row],[Strike]]),RTD("tos.rtd", , "ASK", "."&amp;Table1[[#This Row],[Ticker]]&amp;Table1[[#This Row],[Expiry]]&amp;""&amp;"P"&amp;Table1[[#This Row],[Strike]]))</f>
        <v>0</v>
      </c>
      <c r="S67" s="17"/>
      <c r="T67" t="b">
        <f>IF(
    ISNUMBER(Table1[[#This Row],[Strike]]),RTD("tos.rtd", , "OPEN_INT", "."&amp;Table1[[#This Row],[Ticker]]&amp;Table1[[#This Row],[Expiry]]&amp;""&amp;"P"&amp;Table1[[#This Row],[Strike]]))</f>
        <v>0</v>
      </c>
      <c r="U6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7" t="b">
        <f>IF(
    ISNUMBER(Table1[[#This Row],[Strike]]),RTD("tos.rtd", , "DELTA", "."&amp;Table1[[#This Row],[Ticker]]&amp;Table1[[#This Row],[Expiry]]&amp;""&amp;"P"&amp;Table1[[#This Row],[Strike]]))</f>
        <v>0</v>
      </c>
      <c r="Y67" s="19">
        <f>-21.5* IF($M$1="NDX", 10, IF(OR($M$1="SPX", $M$1="RUT"), 2, 1))</f>
        <v>-43</v>
      </c>
      <c r="Z67">
        <f ca="1">IFERROR(Table1[[#This Row],[call gamma]]*(Table1[[#This Row],[Open.Int]])*$A$4^2,0)</f>
        <v>0</v>
      </c>
      <c r="AA67">
        <f ca="1">IFERROR(((Table1[[#This Row],[Open.Int8]])*Table1[[#This Row],[Put gamma]])*-1*$A$4^2,0)</f>
        <v>0</v>
      </c>
      <c r="AB67">
        <f ca="1">(Table1[[#This Row],[Call Gex]]+Table1[[#This Row],[Put Gex]])</f>
        <v>0</v>
      </c>
      <c r="AC67">
        <f ca="1">Table1[[#This Row],[call delta adj]]+Table1[[#This Row],[put delta adj]]</f>
        <v>0</v>
      </c>
      <c r="AD67">
        <f ca="1">Table1[[#This Row],[Put Gex]]*Table1[[#This Row],[DeltaP]]*-1</f>
        <v>0</v>
      </c>
      <c r="AE67">
        <f ca="1">Table1[[#This Row],[Call Gex]]*Table1[[#This Row],[DeltaC]]</f>
        <v>0</v>
      </c>
      <c r="AF67">
        <f>IF(Table1[[#This Row],[DeltaC]]-ABS(Table1[[#This Row],[DeltaP]])="0","0.01",Table1[[#This Row],[DeltaC]]-ABS(Table1[[#This Row],[DeltaP]]))</f>
        <v>0</v>
      </c>
      <c r="AG67" t="e">
        <f ca="1">((LN($A$4/Table1[[#This Row],[Strike]]) + (0.411 + 0.5 * Table1[[#This Row],[IV Calc P]]^2) *Table1[[#This Row],[T]])) / (Table1[[#This Row],[IV Calc P]] * SQRT(Table1[[#This Row],[T]]))</f>
        <v>#DIV/0!</v>
      </c>
      <c r="AH67" t="e">
        <f ca="1">(LN($A$4/Table1[[#This Row],[Strike]]) + (0.411-0 + 0.5 * Table1[[#This Row],[IV Calc C]]^2) *Table1[[#This Row],[T]]) / (Table1[[#This Row],[IV Calc C]] * SQRT(Table1[[#This Row],[T]]))</f>
        <v>#DIV/0!</v>
      </c>
      <c r="AI67" t="e">
        <f ca="1">(EXP(-(AG67^2)/2)/SQRT(2*PI())*EXP(0*SQRT(Table1[[#This Row],[T]]))/$A$4*18%*SQRT(SQRT(Table1[[#This Row],[T]])))</f>
        <v>#DIV/0!</v>
      </c>
      <c r="AJ67" t="e">
        <f ca="1">(EXP(-(AH67^2)/2)/SQRT(2*PI())*EXP(0*SQRT(Table1[[#This Row],[T]]))/$A$4*18%*SQRT(SQRT(Table1[[#This Row],[T]])))</f>
        <v>#DIV/0!</v>
      </c>
      <c r="AK67" t="e">
        <f ca="1">Table1[[#This Row],[Call D1]]-Table1[[#This Row],[IV Calc C]]*SQRT(Table1[[#This Row],[T]])</f>
        <v>#DIV/0!</v>
      </c>
      <c r="AL67" t="e">
        <f ca="1">Table1[[#This Row],[Put D1]]-Table1[[#This Row],[IV Calc P]]*SQRT(Table1[[#This Row],[T]])</f>
        <v>#DIV/0!</v>
      </c>
      <c r="AM67" t="e">
        <f ca="1">EXP(-0.5*Table1[[#This Row],[Call D1]]^2)/SQRT(2*PI())</f>
        <v>#DIV/0!</v>
      </c>
      <c r="AN67" t="e">
        <f ca="1">EXP(-0.5*Table1[[#This Row],[Put D1]]^2)/SQRT(2*PI())</f>
        <v>#DIV/0!</v>
      </c>
      <c r="AO67">
        <f ca="1">IFERROR((EXP(0*Table1[[#This Row],[T]])*Table1[[#This Row],[call N(d1)]]*(Table1[[#This Row],[call d2]]/Table1[[#This Row],[IV Calc C]]))*Table1[[#This Row],[Open.Int]]*Table1[[#This Row],[DeltaC]],0)</f>
        <v>0</v>
      </c>
      <c r="AP67">
        <f ca="1">IFERROR((EXP(0*Table1[[#This Row],[T]])*Table1[[#This Row],[put N(d1)]]*(Table1[[#This Row],[put d2]]/Table1[[#This Row],[IV Calc P]]))*Table1[[#This Row],[Open.Int8]]*Table1[[#This Row],[DeltaP]]*-1,0)</f>
        <v>0</v>
      </c>
      <c r="AQ67">
        <f ca="1">((Table1[[#This Row],[call vanna]]+Table1[[#This Row],[put vanna]])*$A$4)</f>
        <v>0</v>
      </c>
      <c r="AR6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7" s="9" t="str" cm="1">
        <f t="array" ref="AT67">_xlfn.IFS(     $M$1="SPX","SPXW",     $M$1="RUT","RUTW",  $M$1="NDX","NDXP",   TRUE,$M$1 )</f>
        <v>SPXW</v>
      </c>
      <c r="AU67" s="2">
        <f t="shared" si="7"/>
        <v>6915</v>
      </c>
      <c r="AV67" t="str">
        <f t="shared" si="8"/>
        <v>260123</v>
      </c>
      <c r="AW67" s="19">
        <f ca="1">IFERROR((EXP(0*Table1[[#This Row],[T]])*Table1[[#This Row],[put N(d1)]]*(Table1[[#This Row],[put d2]]/Table1[[#This Row],[IV Calc P]]))*Table1[[#This Row],[Open.Int8]]*Table1[[#This Row],[DeltaP]]*-1,0)</f>
        <v>0</v>
      </c>
      <c r="AX67">
        <f ca="1">IFERROR((EXP(0*Table1[[#This Row],[T]])*Table1[[#This Row],[call N(d1)]]*(Table1[[#This Row],[call d2]]/Table1[[#This Row],[IV Calc C]]))*Table1[[#This Row],[Open.Int]]*Table1[[#This Row],[DeltaC]],0)</f>
        <v>0</v>
      </c>
      <c r="AY6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7">
        <f>((Table1[[#This Row],[High C]]+Table1[[#This Row],[Low C]])/2)*Table1[[#This Row],[gammac]]*Table1[[#This Row],[Volume]]</f>
        <v>0</v>
      </c>
      <c r="BD67">
        <f>((Table1[[#This Row],[High P]]+Table1[[#This Row],[Low P]])/2)*Table1[[#This Row],[gammap]]*Table1[[#This Row],[Volume9]]*-1</f>
        <v>0</v>
      </c>
      <c r="BE67">
        <f>(Table1[[#This Row],[SgammaC]]+Table1[[#This Row],[SgammaP]])*$A$4*-100</f>
        <v>0</v>
      </c>
      <c r="BF67">
        <f>Table1[[#This Row],[DEXc]]+Table1[[#This Row],[DEXp]]</f>
        <v>0</v>
      </c>
      <c r="BG67">
        <f>IFERROR(Table1[[#This Row],[DeltaC]]*Table1[[#This Row],[Open.Int]]*$A$4,0)</f>
        <v>0</v>
      </c>
      <c r="BH67">
        <f>IFERROR(Table1[[#This Row],[DeltaP]]*Table1[[#This Row],[Open.Int8]]*$A$4,0)</f>
        <v>0</v>
      </c>
      <c r="BI6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7">
        <f ca="1">Table1[[#This Row],[Charmc]]+Table1[[#This Row],[Charmp]]</f>
        <v>0</v>
      </c>
      <c r="BL6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7" s="78">
        <f ca="1">Table1[[#This Row],[call helper]]+Table1[[#This Row],[put helper]]</f>
        <v>0</v>
      </c>
      <c r="BP67" t="str">
        <f>RTD("tos.rtd", , "STRIKE", "."&amp;Table1[[#This Row],[Ticker]]&amp;Table1[[#This Row],[Expiry]]&amp;""&amp;"C"&amp;Table1[[#This Row],[Spot]]+Table1[[#This Row],[step]])</f>
        <v>N/A</v>
      </c>
    </row>
    <row r="68" spans="1:68" x14ac:dyDescent="0.25">
      <c r="A68">
        <f t="shared" ca="1" si="4"/>
        <v>2.5814307458086375E-3</v>
      </c>
      <c r="C68" s="17"/>
      <c r="D68" t="b">
        <f>IF(
    ISNUMBER(Table1[[#This Row],[Strike]]),RTD("tos.rtd", , "OPEN_INT", "."&amp;Table1[[#This Row],[Ticker]]&amp;Table1[[#This Row],[Expiry]]&amp;""&amp;"C"&amp;Table1[[#This Row],[Strike]]))</f>
        <v>0</v>
      </c>
      <c r="E6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8" t="b">
        <f>IF(
    ISNUMBER(Table1[[#This Row],[Strike]]),RTD("tos.rtd", , "DELTA", "."&amp;Table1[[#This Row],[Ticker]]&amp;Table1[[#This Row],[Expiry]]&amp;""&amp;"C"&amp;Table1[[#This Row],[Strike]]))</f>
        <v>0</v>
      </c>
      <c r="H68" s="17" t="b" cm="1">
        <f t="array" ref="H68">IF(
    ISNUMBER(Table1[[#This Row],[Strike]]),IndividualLegIVCore($A$4, Table1[[#This Row],[Strike]], 0.0411, Table1[[#This Row],[T]], ((Table1[[#This Row],[BIDC]]+Table1[[#This Row],[ASKC]])/2), TRUE))</f>
        <v>0</v>
      </c>
      <c r="I68" t="b">
        <f>IF(
    ISNUMBER(Table1[[#This Row],[Strike]]),RTD("tos.rtd", , "BID", "."&amp;Table1[[#This Row],[Ticker]]&amp;Table1[[#This Row],[Expiry]]&amp;""&amp;"C"&amp;Table1[[#This Row],[Strike]]))</f>
        <v>0</v>
      </c>
      <c r="J68" t="b">
        <f>IF(
    ISNUMBER(Table1[[#This Row],[Strike]]),RTD("tos.rtd", , "ASK", "."&amp;Table1[[#This Row],[Ticker]]&amp;Table1[[#This Row],[Expiry]]&amp;""&amp;"C"&amp;Table1[[#This Row],[Strike]]))</f>
        <v>0</v>
      </c>
      <c r="K6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8" s="17" cm="1">
        <f t="array" aca="1" ref="L6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8" s="1">
        <f t="shared" si="5"/>
        <v>46045</v>
      </c>
      <c r="N68" t="b">
        <f t="shared" si="6"/>
        <v>0</v>
      </c>
      <c r="P68" s="17" t="b" cm="1">
        <f t="array" ref="P68">IF(
    ISNUMBER(Table1[[#This Row],[Strike]]),IndividualLegIVCore($A$4, Table1[[#This Row],[Strike]], 0.0411, Table1[[#This Row],[T]], ((Table1[[#This Row],[BIDP]]+Table1[[#This Row],[ASKP]])/2), FALSE))</f>
        <v>0</v>
      </c>
      <c r="Q68" t="b">
        <f>IF(
    ISNUMBER(Table1[[#This Row],[Strike]]),RTD("tos.rtd", , "BID", "."&amp;Table1[[#This Row],[Ticker]]&amp;Table1[[#This Row],[Expiry]]&amp;""&amp;"P"&amp;Table1[[#This Row],[Strike]]))</f>
        <v>0</v>
      </c>
      <c r="R68" t="b">
        <f>IF(
    ISNUMBER(Table1[[#This Row],[Strike]]),RTD("tos.rtd", , "ASK", "."&amp;Table1[[#This Row],[Ticker]]&amp;Table1[[#This Row],[Expiry]]&amp;""&amp;"P"&amp;Table1[[#This Row],[Strike]]))</f>
        <v>0</v>
      </c>
      <c r="S68" s="17"/>
      <c r="T68" t="b">
        <f>IF(
    ISNUMBER(Table1[[#This Row],[Strike]]),RTD("tos.rtd", , "OPEN_INT", "."&amp;Table1[[#This Row],[Ticker]]&amp;Table1[[#This Row],[Expiry]]&amp;""&amp;"P"&amp;Table1[[#This Row],[Strike]]))</f>
        <v>0</v>
      </c>
      <c r="U6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8" t="b">
        <f>IF(
    ISNUMBER(Table1[[#This Row],[Strike]]),RTD("tos.rtd", , "DELTA", "."&amp;Table1[[#This Row],[Ticker]]&amp;Table1[[#This Row],[Expiry]]&amp;""&amp;"P"&amp;Table1[[#This Row],[Strike]]))</f>
        <v>0</v>
      </c>
      <c r="Y68" s="19">
        <f>-21* IF($M$1="NDX", 10, IF(OR($M$1="SPX", $M$1="RUT"), 2, 1))</f>
        <v>-42</v>
      </c>
      <c r="Z68">
        <f ca="1">IFERROR(Table1[[#This Row],[call gamma]]*(Table1[[#This Row],[Open.Int]])*$A$4^2,0)</f>
        <v>0</v>
      </c>
      <c r="AA68">
        <f ca="1">IFERROR(((Table1[[#This Row],[Open.Int8]])*Table1[[#This Row],[Put gamma]])*-1*$A$4^2,0)</f>
        <v>0</v>
      </c>
      <c r="AB68">
        <f ca="1">(Table1[[#This Row],[Call Gex]]+Table1[[#This Row],[Put Gex]])</f>
        <v>0</v>
      </c>
      <c r="AC68">
        <f ca="1">Table1[[#This Row],[call delta adj]]+Table1[[#This Row],[put delta adj]]</f>
        <v>0</v>
      </c>
      <c r="AD68">
        <f ca="1">Table1[[#This Row],[Put Gex]]*Table1[[#This Row],[DeltaP]]*-1</f>
        <v>0</v>
      </c>
      <c r="AE68">
        <f ca="1">Table1[[#This Row],[Call Gex]]*Table1[[#This Row],[DeltaC]]</f>
        <v>0</v>
      </c>
      <c r="AF68">
        <f>IF(Table1[[#This Row],[DeltaC]]-ABS(Table1[[#This Row],[DeltaP]])="0","0.01",Table1[[#This Row],[DeltaC]]-ABS(Table1[[#This Row],[DeltaP]]))</f>
        <v>0</v>
      </c>
      <c r="AG68" t="e">
        <f ca="1">((LN($A$4/Table1[[#This Row],[Strike]]) + (0.411 + 0.5 * Table1[[#This Row],[IV Calc P]]^2) *Table1[[#This Row],[T]])) / (Table1[[#This Row],[IV Calc P]] * SQRT(Table1[[#This Row],[T]]))</f>
        <v>#DIV/0!</v>
      </c>
      <c r="AH68" t="e">
        <f ca="1">(LN($A$4/Table1[[#This Row],[Strike]]) + (0.411-0 + 0.5 * Table1[[#This Row],[IV Calc C]]^2) *Table1[[#This Row],[T]]) / (Table1[[#This Row],[IV Calc C]] * SQRT(Table1[[#This Row],[T]]))</f>
        <v>#DIV/0!</v>
      </c>
      <c r="AI68" t="e">
        <f ca="1">(EXP(-(AG68^2)/2)/SQRT(2*PI())*EXP(0*SQRT(Table1[[#This Row],[T]]))/$A$4*18%*SQRT(SQRT(Table1[[#This Row],[T]])))</f>
        <v>#DIV/0!</v>
      </c>
      <c r="AJ68" t="e">
        <f ca="1">(EXP(-(AH68^2)/2)/SQRT(2*PI())*EXP(0*SQRT(Table1[[#This Row],[T]]))/$A$4*18%*SQRT(SQRT(Table1[[#This Row],[T]])))</f>
        <v>#DIV/0!</v>
      </c>
      <c r="AK68" t="e">
        <f ca="1">Table1[[#This Row],[Call D1]]-Table1[[#This Row],[IV Calc C]]*SQRT(Table1[[#This Row],[T]])</f>
        <v>#DIV/0!</v>
      </c>
      <c r="AL68" t="e">
        <f ca="1">Table1[[#This Row],[Put D1]]-Table1[[#This Row],[IV Calc P]]*SQRT(Table1[[#This Row],[T]])</f>
        <v>#DIV/0!</v>
      </c>
      <c r="AM68" t="e">
        <f ca="1">EXP(-0.5*Table1[[#This Row],[Call D1]]^2)/SQRT(2*PI())</f>
        <v>#DIV/0!</v>
      </c>
      <c r="AN68" t="e">
        <f ca="1">EXP(-0.5*Table1[[#This Row],[Put D1]]^2)/SQRT(2*PI())</f>
        <v>#DIV/0!</v>
      </c>
      <c r="AO68">
        <f ca="1">IFERROR((EXP(0*Table1[[#This Row],[T]])*Table1[[#This Row],[call N(d1)]]*(Table1[[#This Row],[call d2]]/Table1[[#This Row],[IV Calc C]]))*Table1[[#This Row],[Open.Int]]*Table1[[#This Row],[DeltaC]],0)</f>
        <v>0</v>
      </c>
      <c r="AP68">
        <f ca="1">IFERROR((EXP(0*Table1[[#This Row],[T]])*Table1[[#This Row],[put N(d1)]]*(Table1[[#This Row],[put d2]]/Table1[[#This Row],[IV Calc P]]))*Table1[[#This Row],[Open.Int8]]*Table1[[#This Row],[DeltaP]]*-1,0)</f>
        <v>0</v>
      </c>
      <c r="AQ68">
        <f ca="1">((Table1[[#This Row],[call vanna]]+Table1[[#This Row],[put vanna]])*$A$4)</f>
        <v>0</v>
      </c>
      <c r="AR6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8" s="9" t="str" cm="1">
        <f t="array" ref="AT68">_xlfn.IFS(     $M$1="SPX","SPXW",     $M$1="RUT","RUTW",  $M$1="NDX","NDXP",   TRUE,$M$1 )</f>
        <v>SPXW</v>
      </c>
      <c r="AU68" s="2">
        <f t="shared" si="7"/>
        <v>6915</v>
      </c>
      <c r="AV68" t="str">
        <f t="shared" si="8"/>
        <v>260123</v>
      </c>
      <c r="AW68" s="19">
        <f ca="1">IFERROR((EXP(0*Table1[[#This Row],[T]])*Table1[[#This Row],[put N(d1)]]*(Table1[[#This Row],[put d2]]/Table1[[#This Row],[IV Calc P]]))*Table1[[#This Row],[Open.Int8]]*Table1[[#This Row],[DeltaP]]*-1,0)</f>
        <v>0</v>
      </c>
      <c r="AX68">
        <f ca="1">IFERROR((EXP(0*Table1[[#This Row],[T]])*Table1[[#This Row],[call N(d1)]]*(Table1[[#This Row],[call d2]]/Table1[[#This Row],[IV Calc C]]))*Table1[[#This Row],[Open.Int]]*Table1[[#This Row],[DeltaC]],0)</f>
        <v>0</v>
      </c>
      <c r="AY6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8">
        <f>((Table1[[#This Row],[High C]]+Table1[[#This Row],[Low C]])/2)*Table1[[#This Row],[gammac]]*Table1[[#This Row],[Volume]]</f>
        <v>0</v>
      </c>
      <c r="BD68">
        <f>((Table1[[#This Row],[High P]]+Table1[[#This Row],[Low P]])/2)*Table1[[#This Row],[gammap]]*Table1[[#This Row],[Volume9]]*-1</f>
        <v>0</v>
      </c>
      <c r="BE68">
        <f>(Table1[[#This Row],[SgammaC]]+Table1[[#This Row],[SgammaP]])*$A$4*-100</f>
        <v>0</v>
      </c>
      <c r="BF68">
        <f>Table1[[#This Row],[DEXc]]+Table1[[#This Row],[DEXp]]</f>
        <v>0</v>
      </c>
      <c r="BG68">
        <f>IFERROR(Table1[[#This Row],[DeltaC]]*Table1[[#This Row],[Open.Int]]*$A$4,0)</f>
        <v>0</v>
      </c>
      <c r="BH68">
        <f>IFERROR(Table1[[#This Row],[DeltaP]]*Table1[[#This Row],[Open.Int8]]*$A$4,0)</f>
        <v>0</v>
      </c>
      <c r="BI6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8">
        <f ca="1">Table1[[#This Row],[Charmc]]+Table1[[#This Row],[Charmp]]</f>
        <v>0</v>
      </c>
      <c r="BL6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8" s="78">
        <f ca="1">Table1[[#This Row],[call helper]]+Table1[[#This Row],[put helper]]</f>
        <v>0</v>
      </c>
      <c r="BP68" t="str">
        <f>RTD("tos.rtd", , "STRIKE", "."&amp;Table1[[#This Row],[Ticker]]&amp;Table1[[#This Row],[Expiry]]&amp;""&amp;"C"&amp;Table1[[#This Row],[Spot]]+Table1[[#This Row],[step]])</f>
        <v>N/A</v>
      </c>
    </row>
    <row r="69" spans="1:68" x14ac:dyDescent="0.25">
      <c r="A69" s="13">
        <f t="shared" ca="1" si="4"/>
        <v>2.5814307458086375E-3</v>
      </c>
      <c r="B69" s="13"/>
      <c r="C69" s="17"/>
      <c r="D69" t="b">
        <f>IF(
    ISNUMBER(Table1[[#This Row],[Strike]]),RTD("tos.rtd", , "OPEN_INT", "."&amp;Table1[[#This Row],[Ticker]]&amp;Table1[[#This Row],[Expiry]]&amp;""&amp;"C"&amp;Table1[[#This Row],[Strike]]))</f>
        <v>0</v>
      </c>
      <c r="E6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9" t="b">
        <f>IF(
    ISNUMBER(Table1[[#This Row],[Strike]]),RTD("tos.rtd", , "DELTA", "."&amp;Table1[[#This Row],[Ticker]]&amp;Table1[[#This Row],[Expiry]]&amp;""&amp;"C"&amp;Table1[[#This Row],[Strike]]))</f>
        <v>0</v>
      </c>
      <c r="H69" s="17" t="b" cm="1">
        <f t="array" ref="H69">IF(
    ISNUMBER(Table1[[#This Row],[Strike]]),IndividualLegIVCore($A$4, Table1[[#This Row],[Strike]], 0.0411, Table1[[#This Row],[T]], ((Table1[[#This Row],[BIDC]]+Table1[[#This Row],[ASKC]])/2), TRUE))</f>
        <v>0</v>
      </c>
      <c r="I69" t="b">
        <f>IF(
    ISNUMBER(Table1[[#This Row],[Strike]]),RTD("tos.rtd", , "BID", "."&amp;Table1[[#This Row],[Ticker]]&amp;Table1[[#This Row],[Expiry]]&amp;""&amp;"C"&amp;Table1[[#This Row],[Strike]]))</f>
        <v>0</v>
      </c>
      <c r="J69" t="b">
        <f>IF(
    ISNUMBER(Table1[[#This Row],[Strike]]),RTD("tos.rtd", , "ASK", "."&amp;Table1[[#This Row],[Ticker]]&amp;Table1[[#This Row],[Expiry]]&amp;""&amp;"C"&amp;Table1[[#This Row],[Strike]]))</f>
        <v>0</v>
      </c>
      <c r="K6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9" s="17" cm="1">
        <f t="array" aca="1" ref="L6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9" s="1">
        <f t="shared" si="5"/>
        <v>46045</v>
      </c>
      <c r="N69" t="b">
        <f t="shared" si="6"/>
        <v>0</v>
      </c>
      <c r="P69" s="17" t="b" cm="1">
        <f t="array" ref="P69">IF(
    ISNUMBER(Table1[[#This Row],[Strike]]),IndividualLegIVCore($A$4, Table1[[#This Row],[Strike]], 0.0411, Table1[[#This Row],[T]], ((Table1[[#This Row],[BIDP]]+Table1[[#This Row],[ASKP]])/2), FALSE))</f>
        <v>0</v>
      </c>
      <c r="Q69" t="b">
        <f>IF(
    ISNUMBER(Table1[[#This Row],[Strike]]),RTD("tos.rtd", , "BID", "."&amp;Table1[[#This Row],[Ticker]]&amp;Table1[[#This Row],[Expiry]]&amp;""&amp;"P"&amp;Table1[[#This Row],[Strike]]))</f>
        <v>0</v>
      </c>
      <c r="R69" t="b">
        <f>IF(
    ISNUMBER(Table1[[#This Row],[Strike]]),RTD("tos.rtd", , "ASK", "."&amp;Table1[[#This Row],[Ticker]]&amp;Table1[[#This Row],[Expiry]]&amp;""&amp;"P"&amp;Table1[[#This Row],[Strike]]))</f>
        <v>0</v>
      </c>
      <c r="S69" s="17"/>
      <c r="T69" t="b">
        <f>IF(
    ISNUMBER(Table1[[#This Row],[Strike]]),RTD("tos.rtd", , "OPEN_INT", "."&amp;Table1[[#This Row],[Ticker]]&amp;Table1[[#This Row],[Expiry]]&amp;""&amp;"P"&amp;Table1[[#This Row],[Strike]]))</f>
        <v>0</v>
      </c>
      <c r="U6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9" t="b">
        <f>IF(
    ISNUMBER(Table1[[#This Row],[Strike]]),RTD("tos.rtd", , "DELTA", "."&amp;Table1[[#This Row],[Ticker]]&amp;Table1[[#This Row],[Expiry]]&amp;""&amp;"P"&amp;Table1[[#This Row],[Strike]]))</f>
        <v>0</v>
      </c>
      <c r="X69" s="13"/>
      <c r="Y69" s="19">
        <f>-20.5* IF($M$1="NDX", 10, IF(OR($M$1="SPX", $M$1="RUT"), 2, 1))</f>
        <v>-41</v>
      </c>
      <c r="Z69">
        <f ca="1">IFERROR(Table1[[#This Row],[call gamma]]*(Table1[[#This Row],[Open.Int]])*$A$4^2,0)</f>
        <v>0</v>
      </c>
      <c r="AA69">
        <f ca="1">IFERROR(((Table1[[#This Row],[Open.Int8]])*Table1[[#This Row],[Put gamma]])*-1*$A$4^2,0)</f>
        <v>0</v>
      </c>
      <c r="AB69">
        <f ca="1">(Table1[[#This Row],[Call Gex]]+Table1[[#This Row],[Put Gex]])</f>
        <v>0</v>
      </c>
      <c r="AC69">
        <f ca="1">Table1[[#This Row],[call delta adj]]+Table1[[#This Row],[put delta adj]]</f>
        <v>0</v>
      </c>
      <c r="AD69">
        <f ca="1">Table1[[#This Row],[Put Gex]]*Table1[[#This Row],[DeltaP]]*-1</f>
        <v>0</v>
      </c>
      <c r="AE69">
        <f ca="1">Table1[[#This Row],[Call Gex]]*Table1[[#This Row],[DeltaC]]</f>
        <v>0</v>
      </c>
      <c r="AF69">
        <f>IF(Table1[[#This Row],[DeltaC]]-ABS(Table1[[#This Row],[DeltaP]])="0","0.01",Table1[[#This Row],[DeltaC]]-ABS(Table1[[#This Row],[DeltaP]]))</f>
        <v>0</v>
      </c>
      <c r="AG69" t="e">
        <f ca="1">((LN($A$4/Table1[[#This Row],[Strike]]) + (0.411 + 0.5 * Table1[[#This Row],[IV Calc P]]^2) *Table1[[#This Row],[T]])) / (Table1[[#This Row],[IV Calc P]] * SQRT(Table1[[#This Row],[T]]))</f>
        <v>#DIV/0!</v>
      </c>
      <c r="AH69" t="e">
        <f ca="1">(LN($A$4/Table1[[#This Row],[Strike]]) + (0.411-0 + 0.5 * Table1[[#This Row],[IV Calc C]]^2) *Table1[[#This Row],[T]]) / (Table1[[#This Row],[IV Calc C]] * SQRT(Table1[[#This Row],[T]]))</f>
        <v>#DIV/0!</v>
      </c>
      <c r="AI69" t="e">
        <f ca="1">(EXP(-(AG69^2)/2)/SQRT(2*PI())*EXP(0*SQRT(Table1[[#This Row],[T]]))/$A$4*18%*SQRT(SQRT(Table1[[#This Row],[T]])))</f>
        <v>#DIV/0!</v>
      </c>
      <c r="AJ69" t="e">
        <f ca="1">(EXP(-(AH69^2)/2)/SQRT(2*PI())*EXP(0*SQRT(Table1[[#This Row],[T]]))/$A$4*18%*SQRT(SQRT(Table1[[#This Row],[T]])))</f>
        <v>#DIV/0!</v>
      </c>
      <c r="AK69" t="e">
        <f ca="1">Table1[[#This Row],[Call D1]]-Table1[[#This Row],[IV Calc C]]*SQRT(Table1[[#This Row],[T]])</f>
        <v>#DIV/0!</v>
      </c>
      <c r="AL69" t="e">
        <f ca="1">Table1[[#This Row],[Put D1]]-Table1[[#This Row],[IV Calc P]]*SQRT(Table1[[#This Row],[T]])</f>
        <v>#DIV/0!</v>
      </c>
      <c r="AM69" t="e">
        <f ca="1">EXP(-0.5*Table1[[#This Row],[Call D1]]^2)/SQRT(2*PI())</f>
        <v>#DIV/0!</v>
      </c>
      <c r="AN69" t="e">
        <f ca="1">EXP(-0.5*Table1[[#This Row],[Put D1]]^2)/SQRT(2*PI())</f>
        <v>#DIV/0!</v>
      </c>
      <c r="AO69">
        <f ca="1">IFERROR((EXP(0*Table1[[#This Row],[T]])*Table1[[#This Row],[call N(d1)]]*(Table1[[#This Row],[call d2]]/Table1[[#This Row],[IV Calc C]]))*Table1[[#This Row],[Open.Int]]*Table1[[#This Row],[DeltaC]],0)</f>
        <v>0</v>
      </c>
      <c r="AP69">
        <f ca="1">IFERROR((EXP(0*Table1[[#This Row],[T]])*Table1[[#This Row],[put N(d1)]]*(Table1[[#This Row],[put d2]]/Table1[[#This Row],[IV Calc P]]))*Table1[[#This Row],[Open.Int8]]*Table1[[#This Row],[DeltaP]]*-1,0)</f>
        <v>0</v>
      </c>
      <c r="AQ69">
        <f ca="1">((Table1[[#This Row],[call vanna]]+Table1[[#This Row],[put vanna]])*$A$4)</f>
        <v>0</v>
      </c>
      <c r="AR6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9" s="22" t="str" cm="1">
        <f t="array" ref="AT69">_xlfn.IFS(     $M$1="SPX","SPXW",     $M$1="RUT","RUTW",  $M$1="NDX","NDXP",   TRUE,$M$1 )</f>
        <v>SPXW</v>
      </c>
      <c r="AU69" s="2">
        <f t="shared" si="7"/>
        <v>6915</v>
      </c>
      <c r="AV69" t="str">
        <f t="shared" si="8"/>
        <v>260123</v>
      </c>
      <c r="AW69" s="19">
        <f ca="1">IFERROR((EXP(0*Table1[[#This Row],[T]])*Table1[[#This Row],[put N(d1)]]*(Table1[[#This Row],[put d2]]/Table1[[#This Row],[IV Calc P]]))*Table1[[#This Row],[Open.Int8]]*Table1[[#This Row],[DeltaP]]*-1,0)</f>
        <v>0</v>
      </c>
      <c r="AX69" s="13">
        <f ca="1">IFERROR((EXP(0*Table1[[#This Row],[T]])*Table1[[#This Row],[call N(d1)]]*(Table1[[#This Row],[call d2]]/Table1[[#This Row],[IV Calc C]]))*Table1[[#This Row],[Open.Int]]*Table1[[#This Row],[DeltaC]],0)</f>
        <v>0</v>
      </c>
      <c r="AY69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9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9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9" s="13">
        <f>((Table1[[#This Row],[High C]]+Table1[[#This Row],[Low C]])/2)*Table1[[#This Row],[gammac]]*Table1[[#This Row],[Volume]]</f>
        <v>0</v>
      </c>
      <c r="BD69" s="13">
        <f>((Table1[[#This Row],[High P]]+Table1[[#This Row],[Low P]])/2)*Table1[[#This Row],[gammap]]*Table1[[#This Row],[Volume9]]*-1</f>
        <v>0</v>
      </c>
      <c r="BE69" s="13">
        <f>(Table1[[#This Row],[SgammaC]]+Table1[[#This Row],[SgammaP]])*$A$4*-100</f>
        <v>0</v>
      </c>
      <c r="BF69">
        <f>Table1[[#This Row],[DEXc]]+Table1[[#This Row],[DEXp]]</f>
        <v>0</v>
      </c>
      <c r="BG69">
        <f>IFERROR(Table1[[#This Row],[DeltaC]]*Table1[[#This Row],[Open.Int]]*$A$4,0)</f>
        <v>0</v>
      </c>
      <c r="BH69">
        <f>IFERROR(Table1[[#This Row],[DeltaP]]*Table1[[#This Row],[Open.Int8]]*$A$4,0)</f>
        <v>0</v>
      </c>
      <c r="BI6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9">
        <f ca="1">Table1[[#This Row],[Charmc]]+Table1[[#This Row],[Charmp]]</f>
        <v>0</v>
      </c>
      <c r="BL69" s="90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9" s="90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9" s="78">
        <f ca="1">Table1[[#This Row],[call helper]]+Table1[[#This Row],[put helper]]</f>
        <v>0</v>
      </c>
      <c r="BP69" t="str">
        <f>RTD("tos.rtd", , "STRIKE", "."&amp;Table1[[#This Row],[Ticker]]&amp;Table1[[#This Row],[Expiry]]&amp;""&amp;"C"&amp;Table1[[#This Row],[Spot]]+Table1[[#This Row],[step]])</f>
        <v>N/A</v>
      </c>
    </row>
    <row r="70" spans="1:68" x14ac:dyDescent="0.25">
      <c r="A70">
        <f t="shared" ca="1" si="4"/>
        <v>2.5814307458086375E-3</v>
      </c>
      <c r="C70" s="17"/>
      <c r="D70">
        <f>IF(
    ISNUMBER(Table1[[#This Row],[Strike]]),RTD("tos.rtd", , "OPEN_INT", "."&amp;Table1[[#This Row],[Ticker]]&amp;Table1[[#This Row],[Expiry]]&amp;""&amp;"C"&amp;Table1[[#This Row],[Strike]]))</f>
        <v>1307</v>
      </c>
      <c r="E7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826</v>
      </c>
      <c r="G70">
        <f>IF(
    ISNUMBER(Table1[[#This Row],[Strike]]),RTD("tos.rtd", , "DELTA", "."&amp;Table1[[#This Row],[Ticker]]&amp;Table1[[#This Row],[Expiry]]&amp;""&amp;"C"&amp;Table1[[#This Row],[Strike]]))</f>
        <v>0.86</v>
      </c>
      <c r="H70" s="17" cm="1">
        <f t="array" aca="1" ref="H70" ca="1">IF(
    ISNUMBER(Table1[[#This Row],[Strike]]),IndividualLegIVCore($A$4, Table1[[#This Row],[Strike]], 0.0411, Table1[[#This Row],[T]], ((Table1[[#This Row],[BIDC]]+Table1[[#This Row],[ASKC]])/2), TRUE))</f>
        <v>0.10250865454891152</v>
      </c>
      <c r="I70">
        <f>IF(
    ISNUMBER(Table1[[#This Row],[Strike]]),RTD("tos.rtd", , "BID", "."&amp;Table1[[#This Row],[Ticker]]&amp;Table1[[#This Row],[Expiry]]&amp;""&amp;"C"&amp;Table1[[#This Row],[Strike]]))</f>
        <v>41</v>
      </c>
      <c r="J70">
        <f>IF(
    ISNUMBER(Table1[[#This Row],[Strike]]),RTD("tos.rtd", , "ASK", "."&amp;Table1[[#This Row],[Ticker]]&amp;Table1[[#This Row],[Expiry]]&amp;""&amp;"C"&amp;Table1[[#This Row],[Strike]]))</f>
        <v>42.2</v>
      </c>
      <c r="K7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0.10250865454891152</v>
      </c>
      <c r="L70" s="17" cm="1">
        <f t="array" aca="1" ref="L70" ca="1">CubicSplineIVSmile($A$4, Table1[[#This Row],[Strike]], 0.0411, Table1[[#This Row],[T]], (Table1[[#This Row],[BIDC]]+Table1[[#This Row],[ASKC]])/2, (Table1[[#This Row],[BIDP]]+Table1[[#This Row],[ASKP]])/2, Table1[Strike], Table1[IV Calc AVG])</f>
        <v>0.11259786458791556</v>
      </c>
      <c r="M70" s="1">
        <f t="shared" si="5"/>
        <v>46045</v>
      </c>
      <c r="N70">
        <f t="shared" si="6"/>
        <v>6875</v>
      </c>
      <c r="P70" s="17" cm="1">
        <f t="array" aca="1" ref="P70" ca="1">IF(
    ISNUMBER(Table1[[#This Row],[Strike]]),IndividualLegIVCore($A$4, Table1[[#This Row],[Strike]], 0.0411, Table1[[#This Row],[T]], ((Table1[[#This Row],[BIDP]]+Table1[[#This Row],[ASKP]])/2), FALSE))</f>
        <v>0.15500219689320108</v>
      </c>
      <c r="Q70">
        <f>IF(
    ISNUMBER(Table1[[#This Row],[Strike]]),RTD("tos.rtd", , "BID", "."&amp;Table1[[#This Row],[Ticker]]&amp;Table1[[#This Row],[Expiry]]&amp;""&amp;"P"&amp;Table1[[#This Row],[Strike]]))</f>
        <v>7.3</v>
      </c>
      <c r="R70">
        <f>IF(
    ISNUMBER(Table1[[#This Row],[Strike]]),RTD("tos.rtd", , "ASK", "."&amp;Table1[[#This Row],[Ticker]]&amp;Table1[[#This Row],[Expiry]]&amp;""&amp;"P"&amp;Table1[[#This Row],[Strike]]))</f>
        <v>7.7</v>
      </c>
      <c r="S70" s="17"/>
      <c r="T70">
        <f>IF(
    ISNUMBER(Table1[[#This Row],[Strike]]),RTD("tos.rtd", , "OPEN_INT", "."&amp;Table1[[#This Row],[Ticker]]&amp;Table1[[#This Row],[Expiry]]&amp;""&amp;"P"&amp;Table1[[#This Row],[Strike]]))</f>
        <v>2015</v>
      </c>
      <c r="U7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5722</v>
      </c>
      <c r="W70">
        <f>IF(
    ISNUMBER(Table1[[#This Row],[Strike]]),RTD("tos.rtd", , "DELTA", "."&amp;Table1[[#This Row],[Ticker]]&amp;Table1[[#This Row],[Expiry]]&amp;""&amp;"P"&amp;Table1[[#This Row],[Strike]]))</f>
        <v>-0.23</v>
      </c>
      <c r="Y70" s="19">
        <f>-20* IF($M$1="NDX", 10, IF(OR($M$1="SPX", $M$1="RUT"), 2, 1))</f>
        <v>-40</v>
      </c>
      <c r="Z70">
        <f ca="1">IFERROR(Table1[[#This Row],[call gamma]]*(Table1[[#This Row],[Open.Int]])*$A$4^2,0)</f>
        <v>64932.418592973852</v>
      </c>
      <c r="AA70">
        <f ca="1">IFERROR(((Table1[[#This Row],[Open.Int8]])*Table1[[#This Row],[Put gamma]])*-1*$A$4^2,0)</f>
        <v>-157783.64165801066</v>
      </c>
      <c r="AB70">
        <f ca="1">(Table1[[#This Row],[Call Gex]]+Table1[[#This Row],[Put Gex]])</f>
        <v>-92851.223065036815</v>
      </c>
      <c r="AC70">
        <f ca="1">Table1[[#This Row],[call delta adj]]+Table1[[#This Row],[put delta adj]]</f>
        <v>19551.642408615058</v>
      </c>
      <c r="AD70">
        <f ca="1">Table1[[#This Row],[Put Gex]]*Table1[[#This Row],[DeltaP]]*-1</f>
        <v>-36290.237581342451</v>
      </c>
      <c r="AE70">
        <f ca="1">Table1[[#This Row],[Call Gex]]*Table1[[#This Row],[DeltaC]]</f>
        <v>55841.87998995751</v>
      </c>
      <c r="AF70">
        <f>IF(Table1[[#This Row],[DeltaC]]-ABS(Table1[[#This Row],[DeltaP]])="0","0.01",Table1[[#This Row],[DeltaC]]-ABS(Table1[[#This Row],[DeltaP]]))</f>
        <v>0.63</v>
      </c>
      <c r="AG70">
        <f ca="1">((LN($A$4/Table1[[#This Row],[Strike]]) + (0.411 + 0.5 * Table1[[#This Row],[IV Calc P]]^2) *Table1[[#This Row],[T]])) / (Table1[[#This Row],[IV Calc P]] * SQRT(Table1[[#This Row],[T]]))</f>
        <v>0.84500204701420278</v>
      </c>
      <c r="AH70">
        <f ca="1">(LN($A$4/Table1[[#This Row],[Strike]]) + (0.411-0 + 0.5 * Table1[[#This Row],[IV Calc C]]^2) *Table1[[#This Row],[T]]) / (Table1[[#This Row],[IV Calc C]] * SQRT(Table1[[#This Row],[T]]))</f>
        <v>1.2743682292926191</v>
      </c>
      <c r="AI70">
        <f ca="1">(EXP(-(AG70^2)/2)/SQRT(2*PI())*EXP(0*SQRT(Table1[[#This Row],[T]]))/$A$4*18%*SQRT(SQRT(Table1[[#This Row],[T]])))</f>
        <v>1.6383618861530293E-6</v>
      </c>
      <c r="AJ70">
        <f ca="1">(EXP(-(AH70^2)/2)/SQRT(2*PI())*EXP(0*SQRT(Table1[[#This Row],[T]]))/$A$4*18%*SQRT(SQRT(Table1[[#This Row],[T]])))</f>
        <v>1.0394626849527995E-6</v>
      </c>
      <c r="AK70">
        <f ca="1">Table1[[#This Row],[Call D1]]-Table1[[#This Row],[IV Calc C]]*SQRT(Table1[[#This Row],[T]])</f>
        <v>1.2691599918848362</v>
      </c>
      <c r="AL70">
        <f ca="1">Table1[[#This Row],[Put D1]]-Table1[[#This Row],[IV Calc P]]*SQRT(Table1[[#This Row],[T]])</f>
        <v>0.83712672913299413</v>
      </c>
      <c r="AM70">
        <f ca="1">EXP(-0.5*Table1[[#This Row],[Call D1]]^2)/SQRT(2*PI())</f>
        <v>0.17711682690625397</v>
      </c>
      <c r="AN70">
        <f ca="1">EXP(-0.5*Table1[[#This Row],[Put D1]]^2)/SQRT(2*PI())</f>
        <v>0.27916486353980718</v>
      </c>
      <c r="AO70">
        <f ca="1">IFERROR((EXP(0*Table1[[#This Row],[T]])*Table1[[#This Row],[call N(d1)]]*(Table1[[#This Row],[call d2]]/Table1[[#This Row],[IV Calc C]]))*Table1[[#This Row],[Open.Int]]*Table1[[#This Row],[DeltaC]],0)</f>
        <v>2464.8454975529794</v>
      </c>
      <c r="AP70">
        <f ca="1">IFERROR((EXP(0*Table1[[#This Row],[T]])*Table1[[#This Row],[put N(d1)]]*(Table1[[#This Row],[put d2]]/Table1[[#This Row],[IV Calc P]]))*Table1[[#This Row],[Open.Int8]]*Table1[[#This Row],[DeltaP]]*-1,0)</f>
        <v>698.74223999447395</v>
      </c>
      <c r="AQ70">
        <f ca="1">((Table1[[#This Row],[call vanna]]+Table1[[#This Row],[put vanna]])*$A$4)</f>
        <v>21870989.285373688</v>
      </c>
      <c r="AR7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64932.418592973852</v>
      </c>
      <c r="AS7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-157783.64165801066</v>
      </c>
      <c r="AT70" s="9" t="str" cm="1">
        <f t="array" ref="AT70">_xlfn.IFS(     $M$1="SPX","SPXW",     $M$1="RUT","RUTW",  $M$1="NDX","NDXP",   TRUE,$M$1 )</f>
        <v>SPXW</v>
      </c>
      <c r="AU70" s="2">
        <f t="shared" si="7"/>
        <v>6915</v>
      </c>
      <c r="AV70" t="str">
        <f t="shared" si="8"/>
        <v>260123</v>
      </c>
      <c r="AW70" s="19">
        <f ca="1">IFERROR((EXP(0*Table1[[#This Row],[T]])*Table1[[#This Row],[put N(d1)]]*(Table1[[#This Row],[put d2]]/Table1[[#This Row],[IV Calc P]]))*Table1[[#This Row],[Open.Int8]]*Table1[[#This Row],[DeltaP]]*-1,0)</f>
        <v>698.74223999447395</v>
      </c>
      <c r="AX70">
        <f ca="1">IFERROR((EXP(0*Table1[[#This Row],[T]])*Table1[[#This Row],[call N(d1)]]*(Table1[[#This Row],[call d2]]/Table1[[#This Row],[IV Calc C]]))*Table1[[#This Row],[Open.Int]]*Table1[[#This Row],[DeltaC]],0)</f>
        <v>2464.8454975529794</v>
      </c>
      <c r="AY70">
        <f>IF(
    ISNUMBER(Table1[[#This Row],[Strike]]),RTD("tos.rtd", , "high", "."&amp;Table1[[#This Row],[Ticker]]&amp;Table1[[#This Row],[Expiry]]&amp;""&amp;"C"&amp;Table1[[#This Row],[Spot]]+Table1[[#This Row],[step]]))</f>
        <v>64.55</v>
      </c>
      <c r="AZ70">
        <f>IF(
    ISNUMBER(Table1[[#This Row],[Strike]]),RTD("tos.rtd", , "low", "."&amp;Table1[[#This Row],[Ticker]]&amp;Table1[[#This Row],[Expiry]]&amp;""&amp;"C"&amp;Table1[[#This Row],[Spot]]+Table1[[#This Row],[step]]))</f>
        <v>36.85</v>
      </c>
      <c r="BA70">
        <f>IF(
    ISNUMBER(Table1[[#This Row],[Strike]]),RTD("tos.rtd", , "high", "."&amp;Table1[[#This Row],[Ticker]]&amp;Table1[[#This Row],[Expiry]]&amp;""&amp;"P"&amp;Table1[[#This Row],[Spot]]+Table1[[#This Row],[step]]))</f>
        <v>17.100000000000001</v>
      </c>
      <c r="BB70">
        <f>IF(
    ISNUMBER(Table1[[#This Row],[Strike]]),RTD("tos.rtd", , "low", "."&amp;Table1[[#This Row],[Ticker]]&amp;Table1[[#This Row],[Expiry]]&amp;""&amp;"P"&amp;Table1[[#This Row],[Spot]]+Table1[[#This Row],[step]]))</f>
        <v>3.5</v>
      </c>
      <c r="BC70">
        <f>((Table1[[#This Row],[High C]]+Table1[[#This Row],[Low C]])/2)*Table1[[#This Row],[gammac]]*Table1[[#This Row],[Volume]]</f>
        <v>418.78199999999998</v>
      </c>
      <c r="BD70">
        <f>((Table1[[#This Row],[High P]]+Table1[[#This Row],[Low P]])/2)*Table1[[#This Row],[gammap]]*Table1[[#This Row],[Volume9]]*-1</f>
        <v>-589.3660000000001</v>
      </c>
      <c r="BE70">
        <f>(Table1[[#This Row],[SgammaC]]+Table1[[#This Row],[SgammaP]])*$A$4*-100</f>
        <v>117930689.64000009</v>
      </c>
      <c r="BF70">
        <f>Table1[[#This Row],[DEXc]]+Table1[[#This Row],[DEXp]]</f>
        <v>4566751.6095000003</v>
      </c>
      <c r="BG70">
        <f>IFERROR(Table1[[#This Row],[DeltaC]]*Table1[[#This Row],[Open.Int]]*$A$4,0)</f>
        <v>7770743.6670000004</v>
      </c>
      <c r="BH70">
        <f>IFERROR(Table1[[#This Row],[DeltaP]]*Table1[[#This Row],[Open.Int8]]*$A$4,0)</f>
        <v>-3203992.0575000006</v>
      </c>
      <c r="BI7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569400.048449478</v>
      </c>
      <c r="BJ7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641286.63621734676</v>
      </c>
      <c r="BK70">
        <f ca="1">Table1[[#This Row],[Charmc]]+Table1[[#This Row],[Charmp]]</f>
        <v>1210686.6846668248</v>
      </c>
      <c r="BL7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7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70" s="78">
        <f ca="1">Table1[[#This Row],[call helper]]+Table1[[#This Row],[put helper]]</f>
        <v>-92851.223065036815</v>
      </c>
      <c r="BP70">
        <f>RTD("tos.rtd", , "STRIKE", "."&amp;Table1[[#This Row],[Ticker]]&amp;Table1[[#This Row],[Expiry]]&amp;""&amp;"C"&amp;Table1[[#This Row],[Spot]]+Table1[[#This Row],[step]])</f>
        <v>6875</v>
      </c>
    </row>
    <row r="71" spans="1:68" x14ac:dyDescent="0.25">
      <c r="A71">
        <f t="shared" ca="1" si="4"/>
        <v>2.5814307458086375E-3</v>
      </c>
      <c r="C71" s="17"/>
      <c r="D71" t="b">
        <f>IF(
    ISNUMBER(Table1[[#This Row],[Strike]]),RTD("tos.rtd", , "OPEN_INT", "."&amp;Table1[[#This Row],[Ticker]]&amp;Table1[[#This Row],[Expiry]]&amp;""&amp;"C"&amp;Table1[[#This Row],[Strike]]))</f>
        <v>0</v>
      </c>
      <c r="E7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1" t="b">
        <f>IF(
    ISNUMBER(Table1[[#This Row],[Strike]]),RTD("tos.rtd", , "DELTA", "."&amp;Table1[[#This Row],[Ticker]]&amp;Table1[[#This Row],[Expiry]]&amp;""&amp;"C"&amp;Table1[[#This Row],[Strike]]))</f>
        <v>0</v>
      </c>
      <c r="H71" s="17" t="b" cm="1">
        <f t="array" ref="H71">IF(
    ISNUMBER(Table1[[#This Row],[Strike]]),IndividualLegIVCore($A$4, Table1[[#This Row],[Strike]], 0.0411, Table1[[#This Row],[T]], ((Table1[[#This Row],[BIDC]]+Table1[[#This Row],[ASKC]])/2), TRUE))</f>
        <v>0</v>
      </c>
      <c r="I71" t="b">
        <f>IF(
    ISNUMBER(Table1[[#This Row],[Strike]]),RTD("tos.rtd", , "BID", "."&amp;Table1[[#This Row],[Ticker]]&amp;Table1[[#This Row],[Expiry]]&amp;""&amp;"C"&amp;Table1[[#This Row],[Strike]]))</f>
        <v>0</v>
      </c>
      <c r="J71" t="b">
        <f>IF(
    ISNUMBER(Table1[[#This Row],[Strike]]),RTD("tos.rtd", , "ASK", "."&amp;Table1[[#This Row],[Ticker]]&amp;Table1[[#This Row],[Expiry]]&amp;""&amp;"C"&amp;Table1[[#This Row],[Strike]]))</f>
        <v>0</v>
      </c>
      <c r="K7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1" s="17" cm="1">
        <f t="array" aca="1" ref="L7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1" s="1">
        <f t="shared" si="5"/>
        <v>46045</v>
      </c>
      <c r="N71" t="b">
        <f t="shared" si="6"/>
        <v>0</v>
      </c>
      <c r="P71" s="17" t="b" cm="1">
        <f t="array" ref="P71">IF(
    ISNUMBER(Table1[[#This Row],[Strike]]),IndividualLegIVCore($A$4, Table1[[#This Row],[Strike]], 0.0411, Table1[[#This Row],[T]], ((Table1[[#This Row],[BIDP]]+Table1[[#This Row],[ASKP]])/2), FALSE))</f>
        <v>0</v>
      </c>
      <c r="Q71" t="b">
        <f>IF(
    ISNUMBER(Table1[[#This Row],[Strike]]),RTD("tos.rtd", , "BID", "."&amp;Table1[[#This Row],[Ticker]]&amp;Table1[[#This Row],[Expiry]]&amp;""&amp;"P"&amp;Table1[[#This Row],[Strike]]))</f>
        <v>0</v>
      </c>
      <c r="R71" t="b">
        <f>IF(
    ISNUMBER(Table1[[#This Row],[Strike]]),RTD("tos.rtd", , "ASK", "."&amp;Table1[[#This Row],[Ticker]]&amp;Table1[[#This Row],[Expiry]]&amp;""&amp;"P"&amp;Table1[[#This Row],[Strike]]))</f>
        <v>0</v>
      </c>
      <c r="S71" s="17"/>
      <c r="T71" t="b">
        <f>IF(
    ISNUMBER(Table1[[#This Row],[Strike]]),RTD("tos.rtd", , "OPEN_INT", "."&amp;Table1[[#This Row],[Ticker]]&amp;Table1[[#This Row],[Expiry]]&amp;""&amp;"P"&amp;Table1[[#This Row],[Strike]]))</f>
        <v>0</v>
      </c>
      <c r="U7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1" t="b">
        <f>IF(
    ISNUMBER(Table1[[#This Row],[Strike]]),RTD("tos.rtd", , "DELTA", "."&amp;Table1[[#This Row],[Ticker]]&amp;Table1[[#This Row],[Expiry]]&amp;""&amp;"P"&amp;Table1[[#This Row],[Strike]]))</f>
        <v>0</v>
      </c>
      <c r="Y71" s="19">
        <f>-19.5* IF($M$1="NDX", 10, IF(OR($M$1="SPX", $M$1="RUT"), 2, 1))</f>
        <v>-39</v>
      </c>
      <c r="Z71">
        <f ca="1">IFERROR(Table1[[#This Row],[call gamma]]*(Table1[[#This Row],[Open.Int]])*$A$4^2,0)</f>
        <v>0</v>
      </c>
      <c r="AA71">
        <f ca="1">IFERROR(((Table1[[#This Row],[Open.Int8]])*Table1[[#This Row],[Put gamma]])*-1*$A$4^2,0)</f>
        <v>0</v>
      </c>
      <c r="AB71">
        <f ca="1">(Table1[[#This Row],[Call Gex]]+Table1[[#This Row],[Put Gex]])</f>
        <v>0</v>
      </c>
      <c r="AC71">
        <f ca="1">Table1[[#This Row],[call delta adj]]+Table1[[#This Row],[put delta adj]]</f>
        <v>0</v>
      </c>
      <c r="AD71">
        <f ca="1">Table1[[#This Row],[Put Gex]]*Table1[[#This Row],[DeltaP]]*-1</f>
        <v>0</v>
      </c>
      <c r="AE71">
        <f ca="1">Table1[[#This Row],[Call Gex]]*Table1[[#This Row],[DeltaC]]</f>
        <v>0</v>
      </c>
      <c r="AF71">
        <f>IF(Table1[[#This Row],[DeltaC]]-ABS(Table1[[#This Row],[DeltaP]])="0","0.01",Table1[[#This Row],[DeltaC]]-ABS(Table1[[#This Row],[DeltaP]]))</f>
        <v>0</v>
      </c>
      <c r="AG71" t="e">
        <f ca="1">((LN($A$4/Table1[[#This Row],[Strike]]) + (0.411 + 0.5 * Table1[[#This Row],[IV Calc P]]^2) *Table1[[#This Row],[T]])) / (Table1[[#This Row],[IV Calc P]] * SQRT(Table1[[#This Row],[T]]))</f>
        <v>#DIV/0!</v>
      </c>
      <c r="AH71" t="e">
        <f ca="1">(LN($A$4/Table1[[#This Row],[Strike]]) + (0.411-0 + 0.5 * Table1[[#This Row],[IV Calc C]]^2) *Table1[[#This Row],[T]]) / (Table1[[#This Row],[IV Calc C]] * SQRT(Table1[[#This Row],[T]]))</f>
        <v>#DIV/0!</v>
      </c>
      <c r="AI71" t="e">
        <f ca="1">(EXP(-(AG71^2)/2)/SQRT(2*PI())*EXP(0*SQRT(Table1[[#This Row],[T]]))/$A$4*18%*SQRT(SQRT(Table1[[#This Row],[T]])))</f>
        <v>#DIV/0!</v>
      </c>
      <c r="AJ71" t="e">
        <f ca="1">(EXP(-(AH71^2)/2)/SQRT(2*PI())*EXP(0*SQRT(Table1[[#This Row],[T]]))/$A$4*18%*SQRT(SQRT(Table1[[#This Row],[T]])))</f>
        <v>#DIV/0!</v>
      </c>
      <c r="AK71" t="e">
        <f ca="1">Table1[[#This Row],[Call D1]]-Table1[[#This Row],[IV Calc C]]*SQRT(Table1[[#This Row],[T]])</f>
        <v>#DIV/0!</v>
      </c>
      <c r="AL71" t="e">
        <f ca="1">Table1[[#This Row],[Put D1]]-Table1[[#This Row],[IV Calc P]]*SQRT(Table1[[#This Row],[T]])</f>
        <v>#DIV/0!</v>
      </c>
      <c r="AM71" t="e">
        <f ca="1">EXP(-0.5*Table1[[#This Row],[Call D1]]^2)/SQRT(2*PI())</f>
        <v>#DIV/0!</v>
      </c>
      <c r="AN71" t="e">
        <f ca="1">EXP(-0.5*Table1[[#This Row],[Put D1]]^2)/SQRT(2*PI())</f>
        <v>#DIV/0!</v>
      </c>
      <c r="AO71">
        <f ca="1">IFERROR((EXP(0*Table1[[#This Row],[T]])*Table1[[#This Row],[call N(d1)]]*(Table1[[#This Row],[call d2]]/Table1[[#This Row],[IV Calc C]]))*Table1[[#This Row],[Open.Int]]*Table1[[#This Row],[DeltaC]],0)</f>
        <v>0</v>
      </c>
      <c r="AP71">
        <f ca="1">IFERROR((EXP(0*Table1[[#This Row],[T]])*Table1[[#This Row],[put N(d1)]]*(Table1[[#This Row],[put d2]]/Table1[[#This Row],[IV Calc P]]))*Table1[[#This Row],[Open.Int8]]*Table1[[#This Row],[DeltaP]]*-1,0)</f>
        <v>0</v>
      </c>
      <c r="AQ71">
        <f ca="1">((Table1[[#This Row],[call vanna]]+Table1[[#This Row],[put vanna]])*$A$4)</f>
        <v>0</v>
      </c>
      <c r="AR7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1" s="9" t="str" cm="1">
        <f t="array" ref="AT71">_xlfn.IFS(     $M$1="SPX","SPXW",     $M$1="RUT","RUTW",  $M$1="NDX","NDXP",   TRUE,$M$1 )</f>
        <v>SPXW</v>
      </c>
      <c r="AU71" s="2">
        <f t="shared" si="7"/>
        <v>6915</v>
      </c>
      <c r="AV71" t="str">
        <f t="shared" si="8"/>
        <v>260123</v>
      </c>
      <c r="AW71" s="19">
        <f ca="1">IFERROR((EXP(0*Table1[[#This Row],[T]])*Table1[[#This Row],[put N(d1)]]*(Table1[[#This Row],[put d2]]/Table1[[#This Row],[IV Calc P]]))*Table1[[#This Row],[Open.Int8]]*Table1[[#This Row],[DeltaP]]*-1,0)</f>
        <v>0</v>
      </c>
      <c r="AX71">
        <f ca="1">IFERROR((EXP(0*Table1[[#This Row],[T]])*Table1[[#This Row],[call N(d1)]]*(Table1[[#This Row],[call d2]]/Table1[[#This Row],[IV Calc C]]))*Table1[[#This Row],[Open.Int]]*Table1[[#This Row],[DeltaC]],0)</f>
        <v>0</v>
      </c>
      <c r="AY7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1">
        <f>((Table1[[#This Row],[High C]]+Table1[[#This Row],[Low C]])/2)*Table1[[#This Row],[gammac]]*Table1[[#This Row],[Volume]]</f>
        <v>0</v>
      </c>
      <c r="BD71">
        <f>((Table1[[#This Row],[High P]]+Table1[[#This Row],[Low P]])/2)*Table1[[#This Row],[gammap]]*Table1[[#This Row],[Volume9]]*-1</f>
        <v>0</v>
      </c>
      <c r="BE71">
        <f>(Table1[[#This Row],[SgammaC]]+Table1[[#This Row],[SgammaP]])*$A$4*-100</f>
        <v>0</v>
      </c>
      <c r="BF71">
        <f>Table1[[#This Row],[DEXc]]+Table1[[#This Row],[DEXp]]</f>
        <v>0</v>
      </c>
      <c r="BG71">
        <f>IFERROR(Table1[[#This Row],[DeltaC]]*Table1[[#This Row],[Open.Int]]*$A$4,0)</f>
        <v>0</v>
      </c>
      <c r="BH71">
        <f>IFERROR(Table1[[#This Row],[DeltaP]]*Table1[[#This Row],[Open.Int8]]*$A$4,0)</f>
        <v>0</v>
      </c>
      <c r="BI7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1">
        <f ca="1">Table1[[#This Row],[Charmc]]+Table1[[#This Row],[Charmp]]</f>
        <v>0</v>
      </c>
      <c r="BL7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1" s="78">
        <f ca="1">Table1[[#This Row],[call helper]]+Table1[[#This Row],[put helper]]</f>
        <v>0</v>
      </c>
      <c r="BP71" t="str">
        <f>RTD("tos.rtd", , "STRIKE", "."&amp;Table1[[#This Row],[Ticker]]&amp;Table1[[#This Row],[Expiry]]&amp;""&amp;"C"&amp;Table1[[#This Row],[Spot]]+Table1[[#This Row],[step]])</f>
        <v>N/A</v>
      </c>
    </row>
    <row r="72" spans="1:68" x14ac:dyDescent="0.25">
      <c r="A72">
        <f t="shared" ca="1" si="4"/>
        <v>2.5814307458086375E-3</v>
      </c>
      <c r="C72" s="17"/>
      <c r="D72" t="b">
        <f>IF(
    ISNUMBER(Table1[[#This Row],[Strike]]),RTD("tos.rtd", , "OPEN_INT", "."&amp;Table1[[#This Row],[Ticker]]&amp;Table1[[#This Row],[Expiry]]&amp;""&amp;"C"&amp;Table1[[#This Row],[Strike]]))</f>
        <v>0</v>
      </c>
      <c r="E7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2" t="b">
        <f>IF(
    ISNUMBER(Table1[[#This Row],[Strike]]),RTD("tos.rtd", , "DELTA", "."&amp;Table1[[#This Row],[Ticker]]&amp;Table1[[#This Row],[Expiry]]&amp;""&amp;"C"&amp;Table1[[#This Row],[Strike]]))</f>
        <v>0</v>
      </c>
      <c r="H72" s="17" t="b" cm="1">
        <f t="array" ref="H72">IF(
    ISNUMBER(Table1[[#This Row],[Strike]]),IndividualLegIVCore($A$4, Table1[[#This Row],[Strike]], 0.0411, Table1[[#This Row],[T]], ((Table1[[#This Row],[BIDC]]+Table1[[#This Row],[ASKC]])/2), TRUE))</f>
        <v>0</v>
      </c>
      <c r="I72" t="b">
        <f>IF(
    ISNUMBER(Table1[[#This Row],[Strike]]),RTD("tos.rtd", , "BID", "."&amp;Table1[[#This Row],[Ticker]]&amp;Table1[[#This Row],[Expiry]]&amp;""&amp;"C"&amp;Table1[[#This Row],[Strike]]))</f>
        <v>0</v>
      </c>
      <c r="J72" t="b">
        <f>IF(
    ISNUMBER(Table1[[#This Row],[Strike]]),RTD("tos.rtd", , "ASK", "."&amp;Table1[[#This Row],[Ticker]]&amp;Table1[[#This Row],[Expiry]]&amp;""&amp;"C"&amp;Table1[[#This Row],[Strike]]))</f>
        <v>0</v>
      </c>
      <c r="K7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2" s="17" cm="1">
        <f t="array" aca="1" ref="L7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2" s="1">
        <f t="shared" si="5"/>
        <v>46045</v>
      </c>
      <c r="N72" t="b">
        <f t="shared" si="6"/>
        <v>0</v>
      </c>
      <c r="P72" s="17" t="b" cm="1">
        <f t="array" ref="P72">IF(
    ISNUMBER(Table1[[#This Row],[Strike]]),IndividualLegIVCore($A$4, Table1[[#This Row],[Strike]], 0.0411, Table1[[#This Row],[T]], ((Table1[[#This Row],[BIDP]]+Table1[[#This Row],[ASKP]])/2), FALSE))</f>
        <v>0</v>
      </c>
      <c r="Q72" t="b">
        <f>IF(
    ISNUMBER(Table1[[#This Row],[Strike]]),RTD("tos.rtd", , "BID", "."&amp;Table1[[#This Row],[Ticker]]&amp;Table1[[#This Row],[Expiry]]&amp;""&amp;"P"&amp;Table1[[#This Row],[Strike]]))</f>
        <v>0</v>
      </c>
      <c r="R72" t="b">
        <f>IF(
    ISNUMBER(Table1[[#This Row],[Strike]]),RTD("tos.rtd", , "ASK", "."&amp;Table1[[#This Row],[Ticker]]&amp;Table1[[#This Row],[Expiry]]&amp;""&amp;"P"&amp;Table1[[#This Row],[Strike]]))</f>
        <v>0</v>
      </c>
      <c r="S72" s="17"/>
      <c r="T72" t="b">
        <f>IF(
    ISNUMBER(Table1[[#This Row],[Strike]]),RTD("tos.rtd", , "OPEN_INT", "."&amp;Table1[[#This Row],[Ticker]]&amp;Table1[[#This Row],[Expiry]]&amp;""&amp;"P"&amp;Table1[[#This Row],[Strike]]))</f>
        <v>0</v>
      </c>
      <c r="U7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2" t="b">
        <f>IF(
    ISNUMBER(Table1[[#This Row],[Strike]]),RTD("tos.rtd", , "DELTA", "."&amp;Table1[[#This Row],[Ticker]]&amp;Table1[[#This Row],[Expiry]]&amp;""&amp;"P"&amp;Table1[[#This Row],[Strike]]))</f>
        <v>0</v>
      </c>
      <c r="Y72" s="19">
        <f>-19* IF($M$1="NDX", 10, IF(OR($M$1="SPX", $M$1="RUT"), 2, 1))</f>
        <v>-38</v>
      </c>
      <c r="Z72">
        <f ca="1">IFERROR(Table1[[#This Row],[call gamma]]*(Table1[[#This Row],[Open.Int]])*$A$4^2,0)</f>
        <v>0</v>
      </c>
      <c r="AA72">
        <f ca="1">IFERROR(((Table1[[#This Row],[Open.Int8]])*Table1[[#This Row],[Put gamma]])*-1*$A$4^2,0)</f>
        <v>0</v>
      </c>
      <c r="AB72">
        <f ca="1">(Table1[[#This Row],[Call Gex]]+Table1[[#This Row],[Put Gex]])</f>
        <v>0</v>
      </c>
      <c r="AC72">
        <f ca="1">Table1[[#This Row],[call delta adj]]+Table1[[#This Row],[put delta adj]]</f>
        <v>0</v>
      </c>
      <c r="AD72">
        <f ca="1">Table1[[#This Row],[Put Gex]]*Table1[[#This Row],[DeltaP]]*-1</f>
        <v>0</v>
      </c>
      <c r="AE72">
        <f ca="1">Table1[[#This Row],[Call Gex]]*Table1[[#This Row],[DeltaC]]</f>
        <v>0</v>
      </c>
      <c r="AF72">
        <f>IF(Table1[[#This Row],[DeltaC]]-ABS(Table1[[#This Row],[DeltaP]])="0","0.01",Table1[[#This Row],[DeltaC]]-ABS(Table1[[#This Row],[DeltaP]]))</f>
        <v>0</v>
      </c>
      <c r="AG72" t="e">
        <f ca="1">((LN($A$4/Table1[[#This Row],[Strike]]) + (0.411 + 0.5 * Table1[[#This Row],[IV Calc P]]^2) *Table1[[#This Row],[T]])) / (Table1[[#This Row],[IV Calc P]] * SQRT(Table1[[#This Row],[T]]))</f>
        <v>#DIV/0!</v>
      </c>
      <c r="AH72" t="e">
        <f ca="1">(LN($A$4/Table1[[#This Row],[Strike]]) + (0.411-0 + 0.5 * Table1[[#This Row],[IV Calc C]]^2) *Table1[[#This Row],[T]]) / (Table1[[#This Row],[IV Calc C]] * SQRT(Table1[[#This Row],[T]]))</f>
        <v>#DIV/0!</v>
      </c>
      <c r="AI72" t="e">
        <f ca="1">(EXP(-(AG72^2)/2)/SQRT(2*PI())*EXP(0*SQRT(Table1[[#This Row],[T]]))/$A$4*18%*SQRT(SQRT(Table1[[#This Row],[T]])))</f>
        <v>#DIV/0!</v>
      </c>
      <c r="AJ72" t="e">
        <f ca="1">(EXP(-(AH72^2)/2)/SQRT(2*PI())*EXP(0*SQRT(Table1[[#This Row],[T]]))/$A$4*18%*SQRT(SQRT(Table1[[#This Row],[T]])))</f>
        <v>#DIV/0!</v>
      </c>
      <c r="AK72" t="e">
        <f ca="1">Table1[[#This Row],[Call D1]]-Table1[[#This Row],[IV Calc C]]*SQRT(Table1[[#This Row],[T]])</f>
        <v>#DIV/0!</v>
      </c>
      <c r="AL72" t="e">
        <f ca="1">Table1[[#This Row],[Put D1]]-Table1[[#This Row],[IV Calc P]]*SQRT(Table1[[#This Row],[T]])</f>
        <v>#DIV/0!</v>
      </c>
      <c r="AM72" t="e">
        <f ca="1">EXP(-0.5*Table1[[#This Row],[Call D1]]^2)/SQRT(2*PI())</f>
        <v>#DIV/0!</v>
      </c>
      <c r="AN72" t="e">
        <f ca="1">EXP(-0.5*Table1[[#This Row],[Put D1]]^2)/SQRT(2*PI())</f>
        <v>#DIV/0!</v>
      </c>
      <c r="AO72">
        <f ca="1">IFERROR((EXP(0*Table1[[#This Row],[T]])*Table1[[#This Row],[call N(d1)]]*(Table1[[#This Row],[call d2]]/Table1[[#This Row],[IV Calc C]]))*Table1[[#This Row],[Open.Int]]*Table1[[#This Row],[DeltaC]],0)</f>
        <v>0</v>
      </c>
      <c r="AP72">
        <f ca="1">IFERROR((EXP(0*Table1[[#This Row],[T]])*Table1[[#This Row],[put N(d1)]]*(Table1[[#This Row],[put d2]]/Table1[[#This Row],[IV Calc P]]))*Table1[[#This Row],[Open.Int8]]*Table1[[#This Row],[DeltaP]]*-1,0)</f>
        <v>0</v>
      </c>
      <c r="AQ72">
        <f ca="1">((Table1[[#This Row],[call vanna]]+Table1[[#This Row],[put vanna]])*$A$4)</f>
        <v>0</v>
      </c>
      <c r="AR7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2" s="9" t="str" cm="1">
        <f t="array" ref="AT72">_xlfn.IFS(     $M$1="SPX","SPXW",     $M$1="RUT","RUTW",  $M$1="NDX","NDXP",   TRUE,$M$1 )</f>
        <v>SPXW</v>
      </c>
      <c r="AU72" s="2">
        <f t="shared" si="7"/>
        <v>6915</v>
      </c>
      <c r="AV72" t="str">
        <f t="shared" si="8"/>
        <v>260123</v>
      </c>
      <c r="AW72" s="19">
        <f ca="1">IFERROR((EXP(0*Table1[[#This Row],[T]])*Table1[[#This Row],[put N(d1)]]*(Table1[[#This Row],[put d2]]/Table1[[#This Row],[IV Calc P]]))*Table1[[#This Row],[Open.Int8]]*Table1[[#This Row],[DeltaP]]*-1,0)</f>
        <v>0</v>
      </c>
      <c r="AX72">
        <f ca="1">IFERROR((EXP(0*Table1[[#This Row],[T]])*Table1[[#This Row],[call N(d1)]]*(Table1[[#This Row],[call d2]]/Table1[[#This Row],[IV Calc C]]))*Table1[[#This Row],[Open.Int]]*Table1[[#This Row],[DeltaC]],0)</f>
        <v>0</v>
      </c>
      <c r="AY7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2">
        <f>((Table1[[#This Row],[High C]]+Table1[[#This Row],[Low C]])/2)*Table1[[#This Row],[gammac]]*Table1[[#This Row],[Volume]]</f>
        <v>0</v>
      </c>
      <c r="BD72">
        <f>((Table1[[#This Row],[High P]]+Table1[[#This Row],[Low P]])/2)*Table1[[#This Row],[gammap]]*Table1[[#This Row],[Volume9]]*-1</f>
        <v>0</v>
      </c>
      <c r="BE72">
        <f>(Table1[[#This Row],[SgammaC]]+Table1[[#This Row],[SgammaP]])*$A$4*-100</f>
        <v>0</v>
      </c>
      <c r="BF72">
        <f>Table1[[#This Row],[DEXc]]+Table1[[#This Row],[DEXp]]</f>
        <v>0</v>
      </c>
      <c r="BG72">
        <f>IFERROR(Table1[[#This Row],[DeltaC]]*Table1[[#This Row],[Open.Int]]*$A$4,0)</f>
        <v>0</v>
      </c>
      <c r="BH72">
        <f>IFERROR(Table1[[#This Row],[DeltaP]]*Table1[[#This Row],[Open.Int8]]*$A$4,0)</f>
        <v>0</v>
      </c>
      <c r="BI7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2">
        <f ca="1">Table1[[#This Row],[Charmc]]+Table1[[#This Row],[Charmp]]</f>
        <v>0</v>
      </c>
      <c r="BL7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2" s="78">
        <f ca="1">Table1[[#This Row],[call helper]]+Table1[[#This Row],[put helper]]</f>
        <v>0</v>
      </c>
      <c r="BP72" t="str">
        <f>RTD("tos.rtd", , "STRIKE", "."&amp;Table1[[#This Row],[Ticker]]&amp;Table1[[#This Row],[Expiry]]&amp;""&amp;"C"&amp;Table1[[#This Row],[Spot]]+Table1[[#This Row],[step]])</f>
        <v>N/A</v>
      </c>
    </row>
    <row r="73" spans="1:68" x14ac:dyDescent="0.25">
      <c r="A73">
        <f t="shared" ca="1" si="4"/>
        <v>2.5814307458086375E-3</v>
      </c>
      <c r="C73" s="17"/>
      <c r="D73" t="b">
        <f>IF(
    ISNUMBER(Table1[[#This Row],[Strike]]),RTD("tos.rtd", , "OPEN_INT", "."&amp;Table1[[#This Row],[Ticker]]&amp;Table1[[#This Row],[Expiry]]&amp;""&amp;"C"&amp;Table1[[#This Row],[Strike]]))</f>
        <v>0</v>
      </c>
      <c r="E7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3" t="b">
        <f>IF(
    ISNUMBER(Table1[[#This Row],[Strike]]),RTD("tos.rtd", , "DELTA", "."&amp;Table1[[#This Row],[Ticker]]&amp;Table1[[#This Row],[Expiry]]&amp;""&amp;"C"&amp;Table1[[#This Row],[Strike]]))</f>
        <v>0</v>
      </c>
      <c r="H73" s="17" t="b" cm="1">
        <f t="array" ref="H73">IF(
    ISNUMBER(Table1[[#This Row],[Strike]]),IndividualLegIVCore($A$4, Table1[[#This Row],[Strike]], 0.0411, Table1[[#This Row],[T]], ((Table1[[#This Row],[BIDC]]+Table1[[#This Row],[ASKC]])/2), TRUE))</f>
        <v>0</v>
      </c>
      <c r="I73" t="b">
        <f>IF(
    ISNUMBER(Table1[[#This Row],[Strike]]),RTD("tos.rtd", , "BID", "."&amp;Table1[[#This Row],[Ticker]]&amp;Table1[[#This Row],[Expiry]]&amp;""&amp;"C"&amp;Table1[[#This Row],[Strike]]))</f>
        <v>0</v>
      </c>
      <c r="J73" t="b">
        <f>IF(
    ISNUMBER(Table1[[#This Row],[Strike]]),RTD("tos.rtd", , "ASK", "."&amp;Table1[[#This Row],[Ticker]]&amp;Table1[[#This Row],[Expiry]]&amp;""&amp;"C"&amp;Table1[[#This Row],[Strike]]))</f>
        <v>0</v>
      </c>
      <c r="K7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3" s="17" cm="1">
        <f t="array" aca="1" ref="L7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3" s="1">
        <f t="shared" si="5"/>
        <v>46045</v>
      </c>
      <c r="N73" t="b">
        <f t="shared" si="6"/>
        <v>0</v>
      </c>
      <c r="P73" s="17" t="b" cm="1">
        <f t="array" ref="P73">IF(
    ISNUMBER(Table1[[#This Row],[Strike]]),IndividualLegIVCore($A$4, Table1[[#This Row],[Strike]], 0.0411, Table1[[#This Row],[T]], ((Table1[[#This Row],[BIDP]]+Table1[[#This Row],[ASKP]])/2), FALSE))</f>
        <v>0</v>
      </c>
      <c r="Q73" t="b">
        <f>IF(
    ISNUMBER(Table1[[#This Row],[Strike]]),RTD("tos.rtd", , "BID", "."&amp;Table1[[#This Row],[Ticker]]&amp;Table1[[#This Row],[Expiry]]&amp;""&amp;"P"&amp;Table1[[#This Row],[Strike]]))</f>
        <v>0</v>
      </c>
      <c r="R73" t="b">
        <f>IF(
    ISNUMBER(Table1[[#This Row],[Strike]]),RTD("tos.rtd", , "ASK", "."&amp;Table1[[#This Row],[Ticker]]&amp;Table1[[#This Row],[Expiry]]&amp;""&amp;"P"&amp;Table1[[#This Row],[Strike]]))</f>
        <v>0</v>
      </c>
      <c r="S73" s="17"/>
      <c r="T73" t="b">
        <f>IF(
    ISNUMBER(Table1[[#This Row],[Strike]]),RTD("tos.rtd", , "OPEN_INT", "."&amp;Table1[[#This Row],[Ticker]]&amp;Table1[[#This Row],[Expiry]]&amp;""&amp;"P"&amp;Table1[[#This Row],[Strike]]))</f>
        <v>0</v>
      </c>
      <c r="U7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3" t="b">
        <f>IF(
    ISNUMBER(Table1[[#This Row],[Strike]]),RTD("tos.rtd", , "DELTA", "."&amp;Table1[[#This Row],[Ticker]]&amp;Table1[[#This Row],[Expiry]]&amp;""&amp;"P"&amp;Table1[[#This Row],[Strike]]))</f>
        <v>0</v>
      </c>
      <c r="Y73" s="19">
        <f>-18.5* IF($M$1="NDX", 10, IF(OR($M$1="SPX", $M$1="RUT"), 2, 1))</f>
        <v>-37</v>
      </c>
      <c r="Z73">
        <f ca="1">IFERROR(Table1[[#This Row],[call gamma]]*(Table1[[#This Row],[Open.Int]])*$A$4^2,0)</f>
        <v>0</v>
      </c>
      <c r="AA73">
        <f ca="1">IFERROR(((Table1[[#This Row],[Open.Int8]])*Table1[[#This Row],[Put gamma]])*-1*$A$4^2,0)</f>
        <v>0</v>
      </c>
      <c r="AB73">
        <f ca="1">(Table1[[#This Row],[Call Gex]]+Table1[[#This Row],[Put Gex]])</f>
        <v>0</v>
      </c>
      <c r="AC73">
        <f ca="1">Table1[[#This Row],[call delta adj]]+Table1[[#This Row],[put delta adj]]</f>
        <v>0</v>
      </c>
      <c r="AD73">
        <f ca="1">Table1[[#This Row],[Put Gex]]*Table1[[#This Row],[DeltaP]]*-1</f>
        <v>0</v>
      </c>
      <c r="AE73">
        <f ca="1">Table1[[#This Row],[Call Gex]]*Table1[[#This Row],[DeltaC]]</f>
        <v>0</v>
      </c>
      <c r="AF73">
        <f>IF(Table1[[#This Row],[DeltaC]]-ABS(Table1[[#This Row],[DeltaP]])="0","0.01",Table1[[#This Row],[DeltaC]]-ABS(Table1[[#This Row],[DeltaP]]))</f>
        <v>0</v>
      </c>
      <c r="AG73" t="e">
        <f ca="1">((LN($A$4/Table1[[#This Row],[Strike]]) + (0.411 + 0.5 * Table1[[#This Row],[IV Calc P]]^2) *Table1[[#This Row],[T]])) / (Table1[[#This Row],[IV Calc P]] * SQRT(Table1[[#This Row],[T]]))</f>
        <v>#DIV/0!</v>
      </c>
      <c r="AH73" t="e">
        <f ca="1">(LN($A$4/Table1[[#This Row],[Strike]]) + (0.411-0 + 0.5 * Table1[[#This Row],[IV Calc C]]^2) *Table1[[#This Row],[T]]) / (Table1[[#This Row],[IV Calc C]] * SQRT(Table1[[#This Row],[T]]))</f>
        <v>#DIV/0!</v>
      </c>
      <c r="AI73" t="e">
        <f ca="1">(EXP(-(AG73^2)/2)/SQRT(2*PI())*EXP(0*SQRT(Table1[[#This Row],[T]]))/$A$4*18%*SQRT(SQRT(Table1[[#This Row],[T]])))</f>
        <v>#DIV/0!</v>
      </c>
      <c r="AJ73" t="e">
        <f ca="1">(EXP(-(AH73^2)/2)/SQRT(2*PI())*EXP(0*SQRT(Table1[[#This Row],[T]]))/$A$4*18%*SQRT(SQRT(Table1[[#This Row],[T]])))</f>
        <v>#DIV/0!</v>
      </c>
      <c r="AK73" t="e">
        <f ca="1">Table1[[#This Row],[Call D1]]-Table1[[#This Row],[IV Calc C]]*SQRT(Table1[[#This Row],[T]])</f>
        <v>#DIV/0!</v>
      </c>
      <c r="AL73" t="e">
        <f ca="1">Table1[[#This Row],[Put D1]]-Table1[[#This Row],[IV Calc P]]*SQRT(Table1[[#This Row],[T]])</f>
        <v>#DIV/0!</v>
      </c>
      <c r="AM73" t="e">
        <f ca="1">EXP(-0.5*Table1[[#This Row],[Call D1]]^2)/SQRT(2*PI())</f>
        <v>#DIV/0!</v>
      </c>
      <c r="AN73" t="e">
        <f ca="1">EXP(-0.5*Table1[[#This Row],[Put D1]]^2)/SQRT(2*PI())</f>
        <v>#DIV/0!</v>
      </c>
      <c r="AO73">
        <f ca="1">IFERROR((EXP(0*Table1[[#This Row],[T]])*Table1[[#This Row],[call N(d1)]]*(Table1[[#This Row],[call d2]]/Table1[[#This Row],[IV Calc C]]))*Table1[[#This Row],[Open.Int]]*Table1[[#This Row],[DeltaC]],0)</f>
        <v>0</v>
      </c>
      <c r="AP73">
        <f ca="1">IFERROR((EXP(0*Table1[[#This Row],[T]])*Table1[[#This Row],[put N(d1)]]*(Table1[[#This Row],[put d2]]/Table1[[#This Row],[IV Calc P]]))*Table1[[#This Row],[Open.Int8]]*Table1[[#This Row],[DeltaP]]*-1,0)</f>
        <v>0</v>
      </c>
      <c r="AQ73">
        <f ca="1">((Table1[[#This Row],[call vanna]]+Table1[[#This Row],[put vanna]])*$A$4)</f>
        <v>0</v>
      </c>
      <c r="AR7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3" s="9" t="str" cm="1">
        <f t="array" ref="AT73">_xlfn.IFS(     $M$1="SPX","SPXW",     $M$1="RUT","RUTW",  $M$1="NDX","NDXP",   TRUE,$M$1 )</f>
        <v>SPXW</v>
      </c>
      <c r="AU73" s="2">
        <f t="shared" si="7"/>
        <v>6915</v>
      </c>
      <c r="AV73" t="str">
        <f t="shared" si="8"/>
        <v>260123</v>
      </c>
      <c r="AW73" s="19">
        <f ca="1">IFERROR((EXP(0*Table1[[#This Row],[T]])*Table1[[#This Row],[put N(d1)]]*(Table1[[#This Row],[put d2]]/Table1[[#This Row],[IV Calc P]]))*Table1[[#This Row],[Open.Int8]]*Table1[[#This Row],[DeltaP]]*-1,0)</f>
        <v>0</v>
      </c>
      <c r="AX73">
        <f ca="1">IFERROR((EXP(0*Table1[[#This Row],[T]])*Table1[[#This Row],[call N(d1)]]*(Table1[[#This Row],[call d2]]/Table1[[#This Row],[IV Calc C]]))*Table1[[#This Row],[Open.Int]]*Table1[[#This Row],[DeltaC]],0)</f>
        <v>0</v>
      </c>
      <c r="AY7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3">
        <f>((Table1[[#This Row],[High C]]+Table1[[#This Row],[Low C]])/2)*Table1[[#This Row],[gammac]]*Table1[[#This Row],[Volume]]</f>
        <v>0</v>
      </c>
      <c r="BD73">
        <f>((Table1[[#This Row],[High P]]+Table1[[#This Row],[Low P]])/2)*Table1[[#This Row],[gammap]]*Table1[[#This Row],[Volume9]]*-1</f>
        <v>0</v>
      </c>
      <c r="BE73">
        <f>(Table1[[#This Row],[SgammaC]]+Table1[[#This Row],[SgammaP]])*$A$4*-100</f>
        <v>0</v>
      </c>
      <c r="BF73">
        <f>Table1[[#This Row],[DEXc]]+Table1[[#This Row],[DEXp]]</f>
        <v>0</v>
      </c>
      <c r="BG73">
        <f>IFERROR(Table1[[#This Row],[DeltaC]]*Table1[[#This Row],[Open.Int]]*$A$4,0)</f>
        <v>0</v>
      </c>
      <c r="BH73">
        <f>IFERROR(Table1[[#This Row],[DeltaP]]*Table1[[#This Row],[Open.Int8]]*$A$4,0)</f>
        <v>0</v>
      </c>
      <c r="BI7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3">
        <f ca="1">Table1[[#This Row],[Charmc]]+Table1[[#This Row],[Charmp]]</f>
        <v>0</v>
      </c>
      <c r="BL7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3" s="78">
        <f ca="1">Table1[[#This Row],[call helper]]+Table1[[#This Row],[put helper]]</f>
        <v>0</v>
      </c>
      <c r="BP73" t="str">
        <f>RTD("tos.rtd", , "STRIKE", "."&amp;Table1[[#This Row],[Ticker]]&amp;Table1[[#This Row],[Expiry]]&amp;""&amp;"C"&amp;Table1[[#This Row],[Spot]]+Table1[[#This Row],[step]])</f>
        <v>N/A</v>
      </c>
    </row>
    <row r="74" spans="1:68" x14ac:dyDescent="0.25">
      <c r="A74">
        <f t="shared" ref="A74:A137" ca="1" si="9">$O$3</f>
        <v>2.5814307458086375E-3</v>
      </c>
      <c r="C74" s="17"/>
      <c r="D74" t="b">
        <f>IF(
    ISNUMBER(Table1[[#This Row],[Strike]]),RTD("tos.rtd", , "OPEN_INT", "."&amp;Table1[[#This Row],[Ticker]]&amp;Table1[[#This Row],[Expiry]]&amp;""&amp;"C"&amp;Table1[[#This Row],[Strike]]))</f>
        <v>0</v>
      </c>
      <c r="E7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4" t="b">
        <f>IF(
    ISNUMBER(Table1[[#This Row],[Strike]]),RTD("tos.rtd", , "DELTA", "."&amp;Table1[[#This Row],[Ticker]]&amp;Table1[[#This Row],[Expiry]]&amp;""&amp;"C"&amp;Table1[[#This Row],[Strike]]))</f>
        <v>0</v>
      </c>
      <c r="H74" s="17" t="b" cm="1">
        <f t="array" ref="H74">IF(
    ISNUMBER(Table1[[#This Row],[Strike]]),IndividualLegIVCore($A$4, Table1[[#This Row],[Strike]], 0.0411, Table1[[#This Row],[T]], ((Table1[[#This Row],[BIDC]]+Table1[[#This Row],[ASKC]])/2), TRUE))</f>
        <v>0</v>
      </c>
      <c r="I74" t="b">
        <f>IF(
    ISNUMBER(Table1[[#This Row],[Strike]]),RTD("tos.rtd", , "BID", "."&amp;Table1[[#This Row],[Ticker]]&amp;Table1[[#This Row],[Expiry]]&amp;""&amp;"C"&amp;Table1[[#This Row],[Strike]]))</f>
        <v>0</v>
      </c>
      <c r="J74" t="b">
        <f>IF(
    ISNUMBER(Table1[[#This Row],[Strike]]),RTD("tos.rtd", , "ASK", "."&amp;Table1[[#This Row],[Ticker]]&amp;Table1[[#This Row],[Expiry]]&amp;""&amp;"C"&amp;Table1[[#This Row],[Strike]]))</f>
        <v>0</v>
      </c>
      <c r="K7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4" s="17" cm="1">
        <f t="array" aca="1" ref="L7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4" s="1">
        <f t="shared" ref="M74:M137" si="10">$O$1</f>
        <v>46045</v>
      </c>
      <c r="N74" t="b">
        <f t="shared" ref="N74:N137" si="11">IF(ISNUMBER($BP74), $BP74, FALSE)</f>
        <v>0</v>
      </c>
      <c r="P74" s="17" t="b" cm="1">
        <f t="array" ref="P74">IF(
    ISNUMBER(Table1[[#This Row],[Strike]]),IndividualLegIVCore($A$4, Table1[[#This Row],[Strike]], 0.0411, Table1[[#This Row],[T]], ((Table1[[#This Row],[BIDP]]+Table1[[#This Row],[ASKP]])/2), FALSE))</f>
        <v>0</v>
      </c>
      <c r="Q74" t="b">
        <f>IF(
    ISNUMBER(Table1[[#This Row],[Strike]]),RTD("tos.rtd", , "BID", "."&amp;Table1[[#This Row],[Ticker]]&amp;Table1[[#This Row],[Expiry]]&amp;""&amp;"P"&amp;Table1[[#This Row],[Strike]]))</f>
        <v>0</v>
      </c>
      <c r="R74" t="b">
        <f>IF(
    ISNUMBER(Table1[[#This Row],[Strike]]),RTD("tos.rtd", , "ASK", "."&amp;Table1[[#This Row],[Ticker]]&amp;Table1[[#This Row],[Expiry]]&amp;""&amp;"P"&amp;Table1[[#This Row],[Strike]]))</f>
        <v>0</v>
      </c>
      <c r="S74" s="17"/>
      <c r="T74" t="b">
        <f>IF(
    ISNUMBER(Table1[[#This Row],[Strike]]),RTD("tos.rtd", , "OPEN_INT", "."&amp;Table1[[#This Row],[Ticker]]&amp;Table1[[#This Row],[Expiry]]&amp;""&amp;"P"&amp;Table1[[#This Row],[Strike]]))</f>
        <v>0</v>
      </c>
      <c r="U7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4" t="b">
        <f>IF(
    ISNUMBER(Table1[[#This Row],[Strike]]),RTD("tos.rtd", , "DELTA", "."&amp;Table1[[#This Row],[Ticker]]&amp;Table1[[#This Row],[Expiry]]&amp;""&amp;"P"&amp;Table1[[#This Row],[Strike]]))</f>
        <v>0</v>
      </c>
      <c r="Y74" s="19">
        <f>-18* IF($M$1="NDX", 10, IF(OR($M$1="SPX", $M$1="RUT"), 2, 1))</f>
        <v>-36</v>
      </c>
      <c r="Z74">
        <f ca="1">IFERROR(Table1[[#This Row],[call gamma]]*(Table1[[#This Row],[Open.Int]])*$A$4^2,0)</f>
        <v>0</v>
      </c>
      <c r="AA74">
        <f ca="1">IFERROR(((Table1[[#This Row],[Open.Int8]])*Table1[[#This Row],[Put gamma]])*-1*$A$4^2,0)</f>
        <v>0</v>
      </c>
      <c r="AB74">
        <f ca="1">(Table1[[#This Row],[Call Gex]]+Table1[[#This Row],[Put Gex]])</f>
        <v>0</v>
      </c>
      <c r="AC74">
        <f ca="1">Table1[[#This Row],[call delta adj]]+Table1[[#This Row],[put delta adj]]</f>
        <v>0</v>
      </c>
      <c r="AD74">
        <f ca="1">Table1[[#This Row],[Put Gex]]*Table1[[#This Row],[DeltaP]]*-1</f>
        <v>0</v>
      </c>
      <c r="AE74">
        <f ca="1">Table1[[#This Row],[Call Gex]]*Table1[[#This Row],[DeltaC]]</f>
        <v>0</v>
      </c>
      <c r="AF74">
        <f>IF(Table1[[#This Row],[DeltaC]]-ABS(Table1[[#This Row],[DeltaP]])="0","0.01",Table1[[#This Row],[DeltaC]]-ABS(Table1[[#This Row],[DeltaP]]))</f>
        <v>0</v>
      </c>
      <c r="AG74" t="e">
        <f ca="1">((LN($A$4/Table1[[#This Row],[Strike]]) + (0.411 + 0.5 * Table1[[#This Row],[IV Calc P]]^2) *Table1[[#This Row],[T]])) / (Table1[[#This Row],[IV Calc P]] * SQRT(Table1[[#This Row],[T]]))</f>
        <v>#DIV/0!</v>
      </c>
      <c r="AH74" t="e">
        <f ca="1">(LN($A$4/Table1[[#This Row],[Strike]]) + (0.411-0 + 0.5 * Table1[[#This Row],[IV Calc C]]^2) *Table1[[#This Row],[T]]) / (Table1[[#This Row],[IV Calc C]] * SQRT(Table1[[#This Row],[T]]))</f>
        <v>#DIV/0!</v>
      </c>
      <c r="AI74" t="e">
        <f ca="1">(EXP(-(AG74^2)/2)/SQRT(2*PI())*EXP(0*SQRT(Table1[[#This Row],[T]]))/$A$4*18%*SQRT(SQRT(Table1[[#This Row],[T]])))</f>
        <v>#DIV/0!</v>
      </c>
      <c r="AJ74" t="e">
        <f ca="1">(EXP(-(AH74^2)/2)/SQRT(2*PI())*EXP(0*SQRT(Table1[[#This Row],[T]]))/$A$4*18%*SQRT(SQRT(Table1[[#This Row],[T]])))</f>
        <v>#DIV/0!</v>
      </c>
      <c r="AK74" t="e">
        <f ca="1">Table1[[#This Row],[Call D1]]-Table1[[#This Row],[IV Calc C]]*SQRT(Table1[[#This Row],[T]])</f>
        <v>#DIV/0!</v>
      </c>
      <c r="AL74" t="e">
        <f ca="1">Table1[[#This Row],[Put D1]]-Table1[[#This Row],[IV Calc P]]*SQRT(Table1[[#This Row],[T]])</f>
        <v>#DIV/0!</v>
      </c>
      <c r="AM74" t="e">
        <f ca="1">EXP(-0.5*Table1[[#This Row],[Call D1]]^2)/SQRT(2*PI())</f>
        <v>#DIV/0!</v>
      </c>
      <c r="AN74" t="e">
        <f ca="1">EXP(-0.5*Table1[[#This Row],[Put D1]]^2)/SQRT(2*PI())</f>
        <v>#DIV/0!</v>
      </c>
      <c r="AO74">
        <f ca="1">IFERROR((EXP(0*Table1[[#This Row],[T]])*Table1[[#This Row],[call N(d1)]]*(Table1[[#This Row],[call d2]]/Table1[[#This Row],[IV Calc C]]))*Table1[[#This Row],[Open.Int]]*Table1[[#This Row],[DeltaC]],0)</f>
        <v>0</v>
      </c>
      <c r="AP74">
        <f ca="1">IFERROR((EXP(0*Table1[[#This Row],[T]])*Table1[[#This Row],[put N(d1)]]*(Table1[[#This Row],[put d2]]/Table1[[#This Row],[IV Calc P]]))*Table1[[#This Row],[Open.Int8]]*Table1[[#This Row],[DeltaP]]*-1,0)</f>
        <v>0</v>
      </c>
      <c r="AQ74">
        <f ca="1">((Table1[[#This Row],[call vanna]]+Table1[[#This Row],[put vanna]])*$A$4)</f>
        <v>0</v>
      </c>
      <c r="AR7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4" s="9" t="str" cm="1">
        <f t="array" ref="AT74">_xlfn.IFS(     $M$1="SPX","SPXW",     $M$1="RUT","RUTW",  $M$1="NDX","NDXP",   TRUE,$M$1 )</f>
        <v>SPXW</v>
      </c>
      <c r="AU74" s="2">
        <f t="shared" ref="AU74:AU137" si="12">$N$1</f>
        <v>6915</v>
      </c>
      <c r="AV74" t="str">
        <f t="shared" ref="AV74:AV137" si="13">$O$2</f>
        <v>260123</v>
      </c>
      <c r="AW74" s="19">
        <f ca="1">IFERROR((EXP(0*Table1[[#This Row],[T]])*Table1[[#This Row],[put N(d1)]]*(Table1[[#This Row],[put d2]]/Table1[[#This Row],[IV Calc P]]))*Table1[[#This Row],[Open.Int8]]*Table1[[#This Row],[DeltaP]]*-1,0)</f>
        <v>0</v>
      </c>
      <c r="AX74">
        <f ca="1">IFERROR((EXP(0*Table1[[#This Row],[T]])*Table1[[#This Row],[call N(d1)]]*(Table1[[#This Row],[call d2]]/Table1[[#This Row],[IV Calc C]]))*Table1[[#This Row],[Open.Int]]*Table1[[#This Row],[DeltaC]],0)</f>
        <v>0</v>
      </c>
      <c r="AY7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4">
        <f>((Table1[[#This Row],[High C]]+Table1[[#This Row],[Low C]])/2)*Table1[[#This Row],[gammac]]*Table1[[#This Row],[Volume]]</f>
        <v>0</v>
      </c>
      <c r="BD74">
        <f>((Table1[[#This Row],[High P]]+Table1[[#This Row],[Low P]])/2)*Table1[[#This Row],[gammap]]*Table1[[#This Row],[Volume9]]*-1</f>
        <v>0</v>
      </c>
      <c r="BE74">
        <f>(Table1[[#This Row],[SgammaC]]+Table1[[#This Row],[SgammaP]])*$A$4*-100</f>
        <v>0</v>
      </c>
      <c r="BF74">
        <f>Table1[[#This Row],[DEXc]]+Table1[[#This Row],[DEXp]]</f>
        <v>0</v>
      </c>
      <c r="BG74">
        <f>IFERROR(Table1[[#This Row],[DeltaC]]*Table1[[#This Row],[Open.Int]]*$A$4,0)</f>
        <v>0</v>
      </c>
      <c r="BH74">
        <f>IFERROR(Table1[[#This Row],[DeltaP]]*Table1[[#This Row],[Open.Int8]]*$A$4,0)</f>
        <v>0</v>
      </c>
      <c r="BI7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4">
        <f ca="1">Table1[[#This Row],[Charmc]]+Table1[[#This Row],[Charmp]]</f>
        <v>0</v>
      </c>
      <c r="BL7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4" s="78">
        <f ca="1">Table1[[#This Row],[call helper]]+Table1[[#This Row],[put helper]]</f>
        <v>0</v>
      </c>
      <c r="BP74" t="str">
        <f>RTD("tos.rtd", , "STRIKE", "."&amp;Table1[[#This Row],[Ticker]]&amp;Table1[[#This Row],[Expiry]]&amp;""&amp;"C"&amp;Table1[[#This Row],[Spot]]+Table1[[#This Row],[step]])</f>
        <v>N/A</v>
      </c>
    </row>
    <row r="75" spans="1:68" x14ac:dyDescent="0.25">
      <c r="A75">
        <f t="shared" ca="1" si="9"/>
        <v>2.5814307458086375E-3</v>
      </c>
      <c r="C75" s="17"/>
      <c r="D75">
        <f>IF(
    ISNUMBER(Table1[[#This Row],[Strike]]),RTD("tos.rtd", , "OPEN_INT", "."&amp;Table1[[#This Row],[Ticker]]&amp;Table1[[#This Row],[Expiry]]&amp;""&amp;"C"&amp;Table1[[#This Row],[Strike]]))</f>
        <v>992</v>
      </c>
      <c r="E7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697</v>
      </c>
      <c r="G75">
        <f>IF(
    ISNUMBER(Table1[[#This Row],[Strike]]),RTD("tos.rtd", , "DELTA", "."&amp;Table1[[#This Row],[Ticker]]&amp;Table1[[#This Row],[Expiry]]&amp;""&amp;"C"&amp;Table1[[#This Row],[Strike]]))</f>
        <v>0.82</v>
      </c>
      <c r="H75" s="17" cm="1">
        <f t="array" aca="1" ref="H75" ca="1">IF(
    ISNUMBER(Table1[[#This Row],[Strike]]),IndividualLegIVCore($A$4, Table1[[#This Row],[Strike]], 0.0411, Table1[[#This Row],[T]], ((Table1[[#This Row],[BIDC]]+Table1[[#This Row],[ASKC]])/2), TRUE))</f>
        <v>0.10554922948012453</v>
      </c>
      <c r="I75">
        <f>IF(
    ISNUMBER(Table1[[#This Row],[Strike]]),RTD("tos.rtd", , "BID", "."&amp;Table1[[#This Row],[Ticker]]&amp;Table1[[#This Row],[Expiry]]&amp;""&amp;"C"&amp;Table1[[#This Row],[Strike]]))</f>
        <v>37.1</v>
      </c>
      <c r="J75">
        <f>IF(
    ISNUMBER(Table1[[#This Row],[Strike]]),RTD("tos.rtd", , "ASK", "."&amp;Table1[[#This Row],[Ticker]]&amp;Table1[[#This Row],[Expiry]]&amp;""&amp;"C"&amp;Table1[[#This Row],[Strike]]))</f>
        <v>38.200000000000003</v>
      </c>
      <c r="K7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0.10554922948012453</v>
      </c>
      <c r="L75" s="17" cm="1">
        <f t="array" aca="1" ref="L75" ca="1">CubicSplineIVSmile($A$4, Table1[[#This Row],[Strike]], 0.0411, Table1[[#This Row],[T]], (Table1[[#This Row],[BIDC]]+Table1[[#This Row],[ASKC]])/2, (Table1[[#This Row],[BIDP]]+Table1[[#This Row],[ASKP]])/2, Table1[Strike], Table1[IV Calc AVG])</f>
        <v>0.11615555425258559</v>
      </c>
      <c r="M75" s="1">
        <f t="shared" si="10"/>
        <v>46045</v>
      </c>
      <c r="N75">
        <f t="shared" si="11"/>
        <v>6880</v>
      </c>
      <c r="P75" s="17" cm="1">
        <f t="array" aca="1" ref="P75" ca="1">IF(
    ISNUMBER(Table1[[#This Row],[Strike]]),IndividualLegIVCore($A$4, Table1[[#This Row],[Strike]], 0.0411, Table1[[#This Row],[T]], ((Table1[[#This Row],[BIDP]]+Table1[[#This Row],[ASKP]])/2), FALSE))</f>
        <v>0.15274993423095798</v>
      </c>
      <c r="Q75">
        <f>IF(
    ISNUMBER(Table1[[#This Row],[Strike]]),RTD("tos.rtd", , "BID", "."&amp;Table1[[#This Row],[Ticker]]&amp;Table1[[#This Row],[Expiry]]&amp;""&amp;"P"&amp;Table1[[#This Row],[Strike]]))</f>
        <v>8.3000000000000007</v>
      </c>
      <c r="R75">
        <f>IF(
    ISNUMBER(Table1[[#This Row],[Strike]]),RTD("tos.rtd", , "ASK", "."&amp;Table1[[#This Row],[Ticker]]&amp;Table1[[#This Row],[Expiry]]&amp;""&amp;"P"&amp;Table1[[#This Row],[Strike]]))</f>
        <v>8.6999999999999993</v>
      </c>
      <c r="S75" s="17"/>
      <c r="T75">
        <f>IF(
    ISNUMBER(Table1[[#This Row],[Strike]]),RTD("tos.rtd", , "OPEN_INT", "."&amp;Table1[[#This Row],[Ticker]]&amp;Table1[[#This Row],[Expiry]]&amp;""&amp;"P"&amp;Table1[[#This Row],[Strike]]))</f>
        <v>1451</v>
      </c>
      <c r="U7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5487</v>
      </c>
      <c r="W75">
        <f>IF(
    ISNUMBER(Table1[[#This Row],[Strike]]),RTD("tos.rtd", , "DELTA", "."&amp;Table1[[#This Row],[Ticker]]&amp;Table1[[#This Row],[Expiry]]&amp;""&amp;"P"&amp;Table1[[#This Row],[Strike]]))</f>
        <v>-0.26</v>
      </c>
      <c r="Y75" s="19">
        <f>-17.5* IF($M$1="NDX", 10, IF(OR($M$1="SPX", $M$1="RUT"), 2, 1))</f>
        <v>-35</v>
      </c>
      <c r="Z75">
        <f ca="1">IFERROR(Table1[[#This Row],[call gamma]]*(Table1[[#This Row],[Open.Int]])*$A$4^2,0)</f>
        <v>60468.243999461833</v>
      </c>
      <c r="AA75">
        <f ca="1">IFERROR(((Table1[[#This Row],[Open.Int8]])*Table1[[#This Row],[Put gamma]])*-1*$A$4^2,0)</f>
        <v>-121301.19660176102</v>
      </c>
      <c r="AB75">
        <f ca="1">(Table1[[#This Row],[Call Gex]]+Table1[[#This Row],[Put Gex]])</f>
        <v>-60832.952602299192</v>
      </c>
      <c r="AC75">
        <f ca="1">Table1[[#This Row],[call delta adj]]+Table1[[#This Row],[put delta adj]]</f>
        <v>18045.648963100837</v>
      </c>
      <c r="AD75">
        <f ca="1">Table1[[#This Row],[Put Gex]]*Table1[[#This Row],[DeltaP]]*-1</f>
        <v>-31538.311116457866</v>
      </c>
      <c r="AE75">
        <f ca="1">Table1[[#This Row],[Call Gex]]*Table1[[#This Row],[DeltaC]]</f>
        <v>49583.960079558703</v>
      </c>
      <c r="AF75">
        <f>IF(Table1[[#This Row],[DeltaC]]-ABS(Table1[[#This Row],[DeltaP]])="0","0.01",Table1[[#This Row],[DeltaC]]-ABS(Table1[[#This Row],[DeltaP]]))</f>
        <v>0.55999999999999994</v>
      </c>
      <c r="AG75">
        <f ca="1">((LN($A$4/Table1[[#This Row],[Strike]]) + (0.411 + 0.5 * Table1[[#This Row],[IV Calc P]]^2) *Table1[[#This Row],[T]])) / (Table1[[#This Row],[IV Calc P]] * SQRT(Table1[[#This Row],[T]]))</f>
        <v>0.76367017163848838</v>
      </c>
      <c r="AH75">
        <f ca="1">(LN($A$4/Table1[[#This Row],[Strike]]) + (0.411-0 + 0.5 * Table1[[#This Row],[IV Calc C]]^2) *Table1[[#This Row],[T]]) / (Table1[[#This Row],[IV Calc C]] * SQRT(Table1[[#This Row],[T]]))</f>
        <v>1.1022425014289399</v>
      </c>
      <c r="AI75">
        <f ca="1">(EXP(-(AG75^2)/2)/SQRT(2*PI())*EXP(0*SQRT(Table1[[#This Row],[T]]))/$A$4*18%*SQRT(SQRT(Table1[[#This Row],[T]])))</f>
        <v>1.7491239401295591E-6</v>
      </c>
      <c r="AJ75">
        <f ca="1">(EXP(-(AH75^2)/2)/SQRT(2*PI())*EXP(0*SQRT(Table1[[#This Row],[T]]))/$A$4*18%*SQRT(SQRT(Table1[[#This Row],[T]])))</f>
        <v>1.2753770450450678E-6</v>
      </c>
      <c r="AK75">
        <f ca="1">Table1[[#This Row],[Call D1]]-Table1[[#This Row],[IV Calc C]]*SQRT(Table1[[#This Row],[T]])</f>
        <v>1.0968797791518785</v>
      </c>
      <c r="AL75">
        <f ca="1">Table1[[#This Row],[Put D1]]-Table1[[#This Row],[IV Calc P]]*SQRT(Table1[[#This Row],[T]])</f>
        <v>0.75590928622838438</v>
      </c>
      <c r="AM75">
        <f ca="1">EXP(-0.5*Table1[[#This Row],[Call D1]]^2)/SQRT(2*PI())</f>
        <v>0.21731490566947512</v>
      </c>
      <c r="AN75">
        <f ca="1">EXP(-0.5*Table1[[#This Row],[Put D1]]^2)/SQRT(2*PI())</f>
        <v>0.29803790614723186</v>
      </c>
      <c r="AO75">
        <f ca="1">IFERROR((EXP(0*Table1[[#This Row],[T]])*Table1[[#This Row],[call N(d1)]]*(Table1[[#This Row],[call d2]]/Table1[[#This Row],[IV Calc C]]))*Table1[[#This Row],[Open.Int]]*Table1[[#This Row],[DeltaC]],0)</f>
        <v>1837.0416519633181</v>
      </c>
      <c r="AP75">
        <f ca="1">IFERROR((EXP(0*Table1[[#This Row],[T]])*Table1[[#This Row],[put N(d1)]]*(Table1[[#This Row],[put d2]]/Table1[[#This Row],[IV Calc P]]))*Table1[[#This Row],[Open.Int8]]*Table1[[#This Row],[DeltaP]]*-1,0)</f>
        <v>556.41766924769513</v>
      </c>
      <c r="AQ75">
        <f ca="1">((Table1[[#This Row],[call vanna]]+Table1[[#This Row],[put vanna]])*$A$4)</f>
        <v>16546821.998294158</v>
      </c>
      <c r="AR7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60468.243999461833</v>
      </c>
      <c r="AS7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-121301.19660176102</v>
      </c>
      <c r="AT75" s="9" t="str" cm="1">
        <f t="array" ref="AT75">_xlfn.IFS(     $M$1="SPX","SPXW",     $M$1="RUT","RUTW",  $M$1="NDX","NDXP",   TRUE,$M$1 )</f>
        <v>SPXW</v>
      </c>
      <c r="AU75" s="2">
        <f t="shared" si="12"/>
        <v>6915</v>
      </c>
      <c r="AV75" t="str">
        <f t="shared" si="13"/>
        <v>260123</v>
      </c>
      <c r="AW75" s="19">
        <f ca="1">IFERROR((EXP(0*Table1[[#This Row],[T]])*Table1[[#This Row],[put N(d1)]]*(Table1[[#This Row],[put d2]]/Table1[[#This Row],[IV Calc P]]))*Table1[[#This Row],[Open.Int8]]*Table1[[#This Row],[DeltaP]]*-1,0)</f>
        <v>556.41766924769513</v>
      </c>
      <c r="AX75">
        <f ca="1">IFERROR((EXP(0*Table1[[#This Row],[T]])*Table1[[#This Row],[call N(d1)]]*(Table1[[#This Row],[call d2]]/Table1[[#This Row],[IV Calc C]]))*Table1[[#This Row],[Open.Int]]*Table1[[#This Row],[DeltaC]],0)</f>
        <v>1837.0416519633181</v>
      </c>
      <c r="AY75">
        <f>IF(
    ISNUMBER(Table1[[#This Row],[Strike]]),RTD("tos.rtd", , "high", "."&amp;Table1[[#This Row],[Ticker]]&amp;Table1[[#This Row],[Expiry]]&amp;""&amp;"C"&amp;Table1[[#This Row],[Spot]]+Table1[[#This Row],[step]]))</f>
        <v>60.5</v>
      </c>
      <c r="AZ75">
        <f>IF(
    ISNUMBER(Table1[[#This Row],[Strike]]),RTD("tos.rtd", , "low", "."&amp;Table1[[#This Row],[Ticker]]&amp;Table1[[#This Row],[Expiry]]&amp;""&amp;"C"&amp;Table1[[#This Row],[Spot]]+Table1[[#This Row],[step]]))</f>
        <v>33.1</v>
      </c>
      <c r="BA75">
        <f>IF(
    ISNUMBER(Table1[[#This Row],[Strike]]),RTD("tos.rtd", , "high", "."&amp;Table1[[#This Row],[Ticker]]&amp;Table1[[#This Row],[Expiry]]&amp;""&amp;"P"&amp;Table1[[#This Row],[Spot]]+Table1[[#This Row],[step]]))</f>
        <v>18.5</v>
      </c>
      <c r="BB75">
        <f>IF(
    ISNUMBER(Table1[[#This Row],[Strike]]),RTD("tos.rtd", , "low", "."&amp;Table1[[#This Row],[Ticker]]&amp;Table1[[#This Row],[Expiry]]&amp;""&amp;"P"&amp;Table1[[#This Row],[Spot]]+Table1[[#This Row],[step]]))</f>
        <v>4</v>
      </c>
      <c r="BC75">
        <f>((Table1[[#This Row],[High C]]+Table1[[#This Row],[Low C]])/2)*Table1[[#This Row],[gammac]]*Table1[[#This Row],[Volume]]</f>
        <v>326.19599999999997</v>
      </c>
      <c r="BD75">
        <f>((Table1[[#This Row],[High P]]+Table1[[#This Row],[Low P]])/2)*Table1[[#This Row],[gammap]]*Table1[[#This Row],[Volume9]]*-1</f>
        <v>-617.28750000000002</v>
      </c>
      <c r="BE75">
        <f>(Table1[[#This Row],[SgammaC]]+Table1[[#This Row],[SgammaP]])*$A$4*-100</f>
        <v>201241742.15250003</v>
      </c>
      <c r="BF75">
        <f>Table1[[#This Row],[DEXc]]+Table1[[#This Row],[DEXp]]</f>
        <v>3015465.0029999996</v>
      </c>
      <c r="BG75">
        <f>IFERROR(Table1[[#This Row],[DeltaC]]*Table1[[#This Row],[Open.Int]]*$A$4,0)</f>
        <v>5623595.4239999996</v>
      </c>
      <c r="BH75">
        <f>IFERROR(Table1[[#This Row],[DeltaP]]*Table1[[#This Row],[Open.Int8]]*$A$4,0)</f>
        <v>-2608130.4210000001</v>
      </c>
      <c r="BI7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259647.94137265548</v>
      </c>
      <c r="BJ7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53934.646239398193</v>
      </c>
      <c r="BK75">
        <f ca="1">Table1[[#This Row],[Charmc]]+Table1[[#This Row],[Charmp]]</f>
        <v>313582.58761205367</v>
      </c>
      <c r="BL7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7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75" s="78">
        <f ca="1">Table1[[#This Row],[call helper]]+Table1[[#This Row],[put helper]]</f>
        <v>-60832.952602299192</v>
      </c>
      <c r="BP75">
        <f>RTD("tos.rtd", , "STRIKE", "."&amp;Table1[[#This Row],[Ticker]]&amp;Table1[[#This Row],[Expiry]]&amp;""&amp;"C"&amp;Table1[[#This Row],[Spot]]+Table1[[#This Row],[step]])</f>
        <v>6880</v>
      </c>
    </row>
    <row r="76" spans="1:68" x14ac:dyDescent="0.25">
      <c r="A76">
        <f t="shared" ca="1" si="9"/>
        <v>2.5814307458086375E-3</v>
      </c>
      <c r="C76" s="17"/>
      <c r="D76" t="b">
        <f>IF(
    ISNUMBER(Table1[[#This Row],[Strike]]),RTD("tos.rtd", , "OPEN_INT", "."&amp;Table1[[#This Row],[Ticker]]&amp;Table1[[#This Row],[Expiry]]&amp;""&amp;"C"&amp;Table1[[#This Row],[Strike]]))</f>
        <v>0</v>
      </c>
      <c r="E7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6" t="b">
        <f>IF(
    ISNUMBER(Table1[[#This Row],[Strike]]),RTD("tos.rtd", , "DELTA", "."&amp;Table1[[#This Row],[Ticker]]&amp;Table1[[#This Row],[Expiry]]&amp;""&amp;"C"&amp;Table1[[#This Row],[Strike]]))</f>
        <v>0</v>
      </c>
      <c r="H76" s="17" t="b" cm="1">
        <f t="array" ref="H76">IF(
    ISNUMBER(Table1[[#This Row],[Strike]]),IndividualLegIVCore($A$4, Table1[[#This Row],[Strike]], 0.0411, Table1[[#This Row],[T]], ((Table1[[#This Row],[BIDC]]+Table1[[#This Row],[ASKC]])/2), TRUE))</f>
        <v>0</v>
      </c>
      <c r="I76" t="b">
        <f>IF(
    ISNUMBER(Table1[[#This Row],[Strike]]),RTD("tos.rtd", , "BID", "."&amp;Table1[[#This Row],[Ticker]]&amp;Table1[[#This Row],[Expiry]]&amp;""&amp;"C"&amp;Table1[[#This Row],[Strike]]))</f>
        <v>0</v>
      </c>
      <c r="J76" t="b">
        <f>IF(
    ISNUMBER(Table1[[#This Row],[Strike]]),RTD("tos.rtd", , "ASK", "."&amp;Table1[[#This Row],[Ticker]]&amp;Table1[[#This Row],[Expiry]]&amp;""&amp;"C"&amp;Table1[[#This Row],[Strike]]))</f>
        <v>0</v>
      </c>
      <c r="K7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6" s="17" cm="1">
        <f t="array" aca="1" ref="L7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6" s="1">
        <f t="shared" si="10"/>
        <v>46045</v>
      </c>
      <c r="N76" t="b">
        <f t="shared" si="11"/>
        <v>0</v>
      </c>
      <c r="P76" s="17" t="b" cm="1">
        <f t="array" ref="P76">IF(
    ISNUMBER(Table1[[#This Row],[Strike]]),IndividualLegIVCore($A$4, Table1[[#This Row],[Strike]], 0.0411, Table1[[#This Row],[T]], ((Table1[[#This Row],[BIDP]]+Table1[[#This Row],[ASKP]])/2), FALSE))</f>
        <v>0</v>
      </c>
      <c r="Q76" t="b">
        <f>IF(
    ISNUMBER(Table1[[#This Row],[Strike]]),RTD("tos.rtd", , "BID", "."&amp;Table1[[#This Row],[Ticker]]&amp;Table1[[#This Row],[Expiry]]&amp;""&amp;"P"&amp;Table1[[#This Row],[Strike]]))</f>
        <v>0</v>
      </c>
      <c r="R76" t="b">
        <f>IF(
    ISNUMBER(Table1[[#This Row],[Strike]]),RTD("tos.rtd", , "ASK", "."&amp;Table1[[#This Row],[Ticker]]&amp;Table1[[#This Row],[Expiry]]&amp;""&amp;"P"&amp;Table1[[#This Row],[Strike]]))</f>
        <v>0</v>
      </c>
      <c r="S76" s="17"/>
      <c r="T76" t="b">
        <f>IF(
    ISNUMBER(Table1[[#This Row],[Strike]]),RTD("tos.rtd", , "OPEN_INT", "."&amp;Table1[[#This Row],[Ticker]]&amp;Table1[[#This Row],[Expiry]]&amp;""&amp;"P"&amp;Table1[[#This Row],[Strike]]))</f>
        <v>0</v>
      </c>
      <c r="U7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6" t="b">
        <f>IF(
    ISNUMBER(Table1[[#This Row],[Strike]]),RTD("tos.rtd", , "DELTA", "."&amp;Table1[[#This Row],[Ticker]]&amp;Table1[[#This Row],[Expiry]]&amp;""&amp;"P"&amp;Table1[[#This Row],[Strike]]))</f>
        <v>0</v>
      </c>
      <c r="Y76" s="19">
        <f>-17* IF($M$1="NDX", 10, IF(OR($M$1="SPX", $M$1="RUT"), 2, 1))</f>
        <v>-34</v>
      </c>
      <c r="Z76">
        <f ca="1">IFERROR(Table1[[#This Row],[call gamma]]*(Table1[[#This Row],[Open.Int]])*$A$4^2,0)</f>
        <v>0</v>
      </c>
      <c r="AA76">
        <f ca="1">IFERROR(((Table1[[#This Row],[Open.Int8]])*Table1[[#This Row],[Put gamma]])*-1*$A$4^2,0)</f>
        <v>0</v>
      </c>
      <c r="AB76">
        <f ca="1">(Table1[[#This Row],[Call Gex]]+Table1[[#This Row],[Put Gex]])</f>
        <v>0</v>
      </c>
      <c r="AC76">
        <f ca="1">Table1[[#This Row],[call delta adj]]+Table1[[#This Row],[put delta adj]]</f>
        <v>0</v>
      </c>
      <c r="AD76">
        <f ca="1">Table1[[#This Row],[Put Gex]]*Table1[[#This Row],[DeltaP]]*-1</f>
        <v>0</v>
      </c>
      <c r="AE76">
        <f ca="1">Table1[[#This Row],[Call Gex]]*Table1[[#This Row],[DeltaC]]</f>
        <v>0</v>
      </c>
      <c r="AF76">
        <f>IF(Table1[[#This Row],[DeltaC]]-ABS(Table1[[#This Row],[DeltaP]])="0","0.01",Table1[[#This Row],[DeltaC]]-ABS(Table1[[#This Row],[DeltaP]]))</f>
        <v>0</v>
      </c>
      <c r="AG76" t="e">
        <f ca="1">((LN($A$4/Table1[[#This Row],[Strike]]) + (0.411 + 0.5 * Table1[[#This Row],[IV Calc P]]^2) *Table1[[#This Row],[T]])) / (Table1[[#This Row],[IV Calc P]] * SQRT(Table1[[#This Row],[T]]))</f>
        <v>#DIV/0!</v>
      </c>
      <c r="AH76" t="e">
        <f ca="1">(LN($A$4/Table1[[#This Row],[Strike]]) + (0.411-0 + 0.5 * Table1[[#This Row],[IV Calc C]]^2) *Table1[[#This Row],[T]]) / (Table1[[#This Row],[IV Calc C]] * SQRT(Table1[[#This Row],[T]]))</f>
        <v>#DIV/0!</v>
      </c>
      <c r="AI76" t="e">
        <f ca="1">(EXP(-(AG76^2)/2)/SQRT(2*PI())*EXP(0*SQRT(Table1[[#This Row],[T]]))/$A$4*18%*SQRT(SQRT(Table1[[#This Row],[T]])))</f>
        <v>#DIV/0!</v>
      </c>
      <c r="AJ76" t="e">
        <f ca="1">(EXP(-(AH76^2)/2)/SQRT(2*PI())*EXP(0*SQRT(Table1[[#This Row],[T]]))/$A$4*18%*SQRT(SQRT(Table1[[#This Row],[T]])))</f>
        <v>#DIV/0!</v>
      </c>
      <c r="AK76" t="e">
        <f ca="1">Table1[[#This Row],[Call D1]]-Table1[[#This Row],[IV Calc C]]*SQRT(Table1[[#This Row],[T]])</f>
        <v>#DIV/0!</v>
      </c>
      <c r="AL76" t="e">
        <f ca="1">Table1[[#This Row],[Put D1]]-Table1[[#This Row],[IV Calc P]]*SQRT(Table1[[#This Row],[T]])</f>
        <v>#DIV/0!</v>
      </c>
      <c r="AM76" t="e">
        <f ca="1">EXP(-0.5*Table1[[#This Row],[Call D1]]^2)/SQRT(2*PI())</f>
        <v>#DIV/0!</v>
      </c>
      <c r="AN76" t="e">
        <f ca="1">EXP(-0.5*Table1[[#This Row],[Put D1]]^2)/SQRT(2*PI())</f>
        <v>#DIV/0!</v>
      </c>
      <c r="AO76">
        <f ca="1">IFERROR((EXP(0*Table1[[#This Row],[T]])*Table1[[#This Row],[call N(d1)]]*(Table1[[#This Row],[call d2]]/Table1[[#This Row],[IV Calc C]]))*Table1[[#This Row],[Open.Int]]*Table1[[#This Row],[DeltaC]],0)</f>
        <v>0</v>
      </c>
      <c r="AP76">
        <f ca="1">IFERROR((EXP(0*Table1[[#This Row],[T]])*Table1[[#This Row],[put N(d1)]]*(Table1[[#This Row],[put d2]]/Table1[[#This Row],[IV Calc P]]))*Table1[[#This Row],[Open.Int8]]*Table1[[#This Row],[DeltaP]]*-1,0)</f>
        <v>0</v>
      </c>
      <c r="AQ76">
        <f ca="1">((Table1[[#This Row],[call vanna]]+Table1[[#This Row],[put vanna]])*$A$4)</f>
        <v>0</v>
      </c>
      <c r="AR7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6" s="9" t="str" cm="1">
        <f t="array" ref="AT76">_xlfn.IFS(     $M$1="SPX","SPXW",     $M$1="RUT","RUTW",  $M$1="NDX","NDXP",   TRUE,$M$1 )</f>
        <v>SPXW</v>
      </c>
      <c r="AU76" s="2">
        <f t="shared" si="12"/>
        <v>6915</v>
      </c>
      <c r="AV76" t="str">
        <f t="shared" si="13"/>
        <v>260123</v>
      </c>
      <c r="AW76" s="19">
        <f ca="1">IFERROR((EXP(0*Table1[[#This Row],[T]])*Table1[[#This Row],[put N(d1)]]*(Table1[[#This Row],[put d2]]/Table1[[#This Row],[IV Calc P]]))*Table1[[#This Row],[Open.Int8]]*Table1[[#This Row],[DeltaP]]*-1,0)</f>
        <v>0</v>
      </c>
      <c r="AX76">
        <f ca="1">IFERROR((EXP(0*Table1[[#This Row],[T]])*Table1[[#This Row],[call N(d1)]]*(Table1[[#This Row],[call d2]]/Table1[[#This Row],[IV Calc C]]))*Table1[[#This Row],[Open.Int]]*Table1[[#This Row],[DeltaC]],0)</f>
        <v>0</v>
      </c>
      <c r="AY7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6">
        <f>((Table1[[#This Row],[High C]]+Table1[[#This Row],[Low C]])/2)*Table1[[#This Row],[gammac]]*Table1[[#This Row],[Volume]]</f>
        <v>0</v>
      </c>
      <c r="BD76">
        <f>((Table1[[#This Row],[High P]]+Table1[[#This Row],[Low P]])/2)*Table1[[#This Row],[gammap]]*Table1[[#This Row],[Volume9]]*-1</f>
        <v>0</v>
      </c>
      <c r="BE76">
        <f>(Table1[[#This Row],[SgammaC]]+Table1[[#This Row],[SgammaP]])*$A$4*-100</f>
        <v>0</v>
      </c>
      <c r="BF76">
        <f>Table1[[#This Row],[DEXc]]+Table1[[#This Row],[DEXp]]</f>
        <v>0</v>
      </c>
      <c r="BG76">
        <f>IFERROR(Table1[[#This Row],[DeltaC]]*Table1[[#This Row],[Open.Int]]*$A$4,0)</f>
        <v>0</v>
      </c>
      <c r="BH76">
        <f>IFERROR(Table1[[#This Row],[DeltaP]]*Table1[[#This Row],[Open.Int8]]*$A$4,0)</f>
        <v>0</v>
      </c>
      <c r="BI7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6">
        <f ca="1">Table1[[#This Row],[Charmc]]+Table1[[#This Row],[Charmp]]</f>
        <v>0</v>
      </c>
      <c r="BL7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6" s="78">
        <f ca="1">Table1[[#This Row],[call helper]]+Table1[[#This Row],[put helper]]</f>
        <v>0</v>
      </c>
      <c r="BP76" t="str">
        <f>RTD("tos.rtd", , "STRIKE", "."&amp;Table1[[#This Row],[Ticker]]&amp;Table1[[#This Row],[Expiry]]&amp;""&amp;"C"&amp;Table1[[#This Row],[Spot]]+Table1[[#This Row],[step]])</f>
        <v>N/A</v>
      </c>
    </row>
    <row r="77" spans="1:68" x14ac:dyDescent="0.25">
      <c r="A77">
        <f t="shared" ca="1" si="9"/>
        <v>2.5814307458086375E-3</v>
      </c>
      <c r="C77" s="17"/>
      <c r="D77" t="b">
        <f>IF(
    ISNUMBER(Table1[[#This Row],[Strike]]),RTD("tos.rtd", , "OPEN_INT", "."&amp;Table1[[#This Row],[Ticker]]&amp;Table1[[#This Row],[Expiry]]&amp;""&amp;"C"&amp;Table1[[#This Row],[Strike]]))</f>
        <v>0</v>
      </c>
      <c r="E7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7" t="b">
        <f>IF(
    ISNUMBER(Table1[[#This Row],[Strike]]),RTD("tos.rtd", , "DELTA", "."&amp;Table1[[#This Row],[Ticker]]&amp;Table1[[#This Row],[Expiry]]&amp;""&amp;"C"&amp;Table1[[#This Row],[Strike]]))</f>
        <v>0</v>
      </c>
      <c r="H77" s="17" t="b" cm="1">
        <f t="array" ref="H77">IF(
    ISNUMBER(Table1[[#This Row],[Strike]]),IndividualLegIVCore($A$4, Table1[[#This Row],[Strike]], 0.0411, Table1[[#This Row],[T]], ((Table1[[#This Row],[BIDC]]+Table1[[#This Row],[ASKC]])/2), TRUE))</f>
        <v>0</v>
      </c>
      <c r="I77" t="b">
        <f>IF(
    ISNUMBER(Table1[[#This Row],[Strike]]),RTD("tos.rtd", , "BID", "."&amp;Table1[[#This Row],[Ticker]]&amp;Table1[[#This Row],[Expiry]]&amp;""&amp;"C"&amp;Table1[[#This Row],[Strike]]))</f>
        <v>0</v>
      </c>
      <c r="J77" t="b">
        <f>IF(
    ISNUMBER(Table1[[#This Row],[Strike]]),RTD("tos.rtd", , "ASK", "."&amp;Table1[[#This Row],[Ticker]]&amp;Table1[[#This Row],[Expiry]]&amp;""&amp;"C"&amp;Table1[[#This Row],[Strike]]))</f>
        <v>0</v>
      </c>
      <c r="K7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7" s="17" cm="1">
        <f t="array" aca="1" ref="L7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7" s="1">
        <f t="shared" si="10"/>
        <v>46045</v>
      </c>
      <c r="N77" t="b">
        <f t="shared" si="11"/>
        <v>0</v>
      </c>
      <c r="P77" s="17" t="b" cm="1">
        <f t="array" ref="P77">IF(
    ISNUMBER(Table1[[#This Row],[Strike]]),IndividualLegIVCore($A$4, Table1[[#This Row],[Strike]], 0.0411, Table1[[#This Row],[T]], ((Table1[[#This Row],[BIDP]]+Table1[[#This Row],[ASKP]])/2), FALSE))</f>
        <v>0</v>
      </c>
      <c r="Q77" t="b">
        <f>IF(
    ISNUMBER(Table1[[#This Row],[Strike]]),RTD("tos.rtd", , "BID", "."&amp;Table1[[#This Row],[Ticker]]&amp;Table1[[#This Row],[Expiry]]&amp;""&amp;"P"&amp;Table1[[#This Row],[Strike]]))</f>
        <v>0</v>
      </c>
      <c r="R77" t="b">
        <f>IF(
    ISNUMBER(Table1[[#This Row],[Strike]]),RTD("tos.rtd", , "ASK", "."&amp;Table1[[#This Row],[Ticker]]&amp;Table1[[#This Row],[Expiry]]&amp;""&amp;"P"&amp;Table1[[#This Row],[Strike]]))</f>
        <v>0</v>
      </c>
      <c r="S77" s="17"/>
      <c r="T77" t="b">
        <f>IF(
    ISNUMBER(Table1[[#This Row],[Strike]]),RTD("tos.rtd", , "OPEN_INT", "."&amp;Table1[[#This Row],[Ticker]]&amp;Table1[[#This Row],[Expiry]]&amp;""&amp;"P"&amp;Table1[[#This Row],[Strike]]))</f>
        <v>0</v>
      </c>
      <c r="U7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7" t="b">
        <f>IF(
    ISNUMBER(Table1[[#This Row],[Strike]]),RTD("tos.rtd", , "DELTA", "."&amp;Table1[[#This Row],[Ticker]]&amp;Table1[[#This Row],[Expiry]]&amp;""&amp;"P"&amp;Table1[[#This Row],[Strike]]))</f>
        <v>0</v>
      </c>
      <c r="Y77" s="19">
        <f>-16.5* IF($M$1="NDX", 10, IF(OR($M$1="SPX", $M$1="RUT"), 2, 1))</f>
        <v>-33</v>
      </c>
      <c r="Z77">
        <f ca="1">IFERROR(Table1[[#This Row],[call gamma]]*(Table1[[#This Row],[Open.Int]])*$A$4^2,0)</f>
        <v>0</v>
      </c>
      <c r="AA77">
        <f ca="1">IFERROR(((Table1[[#This Row],[Open.Int8]])*Table1[[#This Row],[Put gamma]])*-1*$A$4^2,0)</f>
        <v>0</v>
      </c>
      <c r="AB77">
        <f ca="1">(Table1[[#This Row],[Call Gex]]+Table1[[#This Row],[Put Gex]])</f>
        <v>0</v>
      </c>
      <c r="AC77">
        <f ca="1">Table1[[#This Row],[call delta adj]]+Table1[[#This Row],[put delta adj]]</f>
        <v>0</v>
      </c>
      <c r="AD77">
        <f ca="1">Table1[[#This Row],[Put Gex]]*Table1[[#This Row],[DeltaP]]*-1</f>
        <v>0</v>
      </c>
      <c r="AE77">
        <f ca="1">Table1[[#This Row],[Call Gex]]*Table1[[#This Row],[DeltaC]]</f>
        <v>0</v>
      </c>
      <c r="AF77">
        <f>IF(Table1[[#This Row],[DeltaC]]-ABS(Table1[[#This Row],[DeltaP]])="0","0.01",Table1[[#This Row],[DeltaC]]-ABS(Table1[[#This Row],[DeltaP]]))</f>
        <v>0</v>
      </c>
      <c r="AG77" t="e">
        <f ca="1">((LN($A$4/Table1[[#This Row],[Strike]]) + (0.411 + 0.5 * Table1[[#This Row],[IV Calc P]]^2) *Table1[[#This Row],[T]])) / (Table1[[#This Row],[IV Calc P]] * SQRT(Table1[[#This Row],[T]]))</f>
        <v>#DIV/0!</v>
      </c>
      <c r="AH77" t="e">
        <f ca="1">(LN($A$4/Table1[[#This Row],[Strike]]) + (0.411-0 + 0.5 * Table1[[#This Row],[IV Calc C]]^2) *Table1[[#This Row],[T]]) / (Table1[[#This Row],[IV Calc C]] * SQRT(Table1[[#This Row],[T]]))</f>
        <v>#DIV/0!</v>
      </c>
      <c r="AI77" t="e">
        <f ca="1">(EXP(-(AG77^2)/2)/SQRT(2*PI())*EXP(0*SQRT(Table1[[#This Row],[T]]))/$A$4*18%*SQRT(SQRT(Table1[[#This Row],[T]])))</f>
        <v>#DIV/0!</v>
      </c>
      <c r="AJ77" t="e">
        <f ca="1">(EXP(-(AH77^2)/2)/SQRT(2*PI())*EXP(0*SQRT(Table1[[#This Row],[T]]))/$A$4*18%*SQRT(SQRT(Table1[[#This Row],[T]])))</f>
        <v>#DIV/0!</v>
      </c>
      <c r="AK77" t="e">
        <f ca="1">Table1[[#This Row],[Call D1]]-Table1[[#This Row],[IV Calc C]]*SQRT(Table1[[#This Row],[T]])</f>
        <v>#DIV/0!</v>
      </c>
      <c r="AL77" t="e">
        <f ca="1">Table1[[#This Row],[Put D1]]-Table1[[#This Row],[IV Calc P]]*SQRT(Table1[[#This Row],[T]])</f>
        <v>#DIV/0!</v>
      </c>
      <c r="AM77" t="e">
        <f ca="1">EXP(-0.5*Table1[[#This Row],[Call D1]]^2)/SQRT(2*PI())</f>
        <v>#DIV/0!</v>
      </c>
      <c r="AN77" t="e">
        <f ca="1">EXP(-0.5*Table1[[#This Row],[Put D1]]^2)/SQRT(2*PI())</f>
        <v>#DIV/0!</v>
      </c>
      <c r="AO77">
        <f ca="1">IFERROR((EXP(0*Table1[[#This Row],[T]])*Table1[[#This Row],[call N(d1)]]*(Table1[[#This Row],[call d2]]/Table1[[#This Row],[IV Calc C]]))*Table1[[#This Row],[Open.Int]]*Table1[[#This Row],[DeltaC]],0)</f>
        <v>0</v>
      </c>
      <c r="AP77">
        <f ca="1">IFERROR((EXP(0*Table1[[#This Row],[T]])*Table1[[#This Row],[put N(d1)]]*(Table1[[#This Row],[put d2]]/Table1[[#This Row],[IV Calc P]]))*Table1[[#This Row],[Open.Int8]]*Table1[[#This Row],[DeltaP]]*-1,0)</f>
        <v>0</v>
      </c>
      <c r="AQ77">
        <f ca="1">((Table1[[#This Row],[call vanna]]+Table1[[#This Row],[put vanna]])*$A$4)</f>
        <v>0</v>
      </c>
      <c r="AR7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7" s="9" t="str" cm="1">
        <f t="array" ref="AT77">_xlfn.IFS(     $M$1="SPX","SPXW",     $M$1="RUT","RUTW",  $M$1="NDX","NDXP",   TRUE,$M$1 )</f>
        <v>SPXW</v>
      </c>
      <c r="AU77" s="2">
        <f t="shared" si="12"/>
        <v>6915</v>
      </c>
      <c r="AV77" t="str">
        <f t="shared" si="13"/>
        <v>260123</v>
      </c>
      <c r="AW77" s="19">
        <f ca="1">IFERROR((EXP(0*Table1[[#This Row],[T]])*Table1[[#This Row],[put N(d1)]]*(Table1[[#This Row],[put d2]]/Table1[[#This Row],[IV Calc P]]))*Table1[[#This Row],[Open.Int8]]*Table1[[#This Row],[DeltaP]]*-1,0)</f>
        <v>0</v>
      </c>
      <c r="AX77">
        <f ca="1">IFERROR((EXP(0*Table1[[#This Row],[T]])*Table1[[#This Row],[call N(d1)]]*(Table1[[#This Row],[call d2]]/Table1[[#This Row],[IV Calc C]]))*Table1[[#This Row],[Open.Int]]*Table1[[#This Row],[DeltaC]],0)</f>
        <v>0</v>
      </c>
      <c r="AY7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7">
        <f>((Table1[[#This Row],[High C]]+Table1[[#This Row],[Low C]])/2)*Table1[[#This Row],[gammac]]*Table1[[#This Row],[Volume]]</f>
        <v>0</v>
      </c>
      <c r="BD77">
        <f>((Table1[[#This Row],[High P]]+Table1[[#This Row],[Low P]])/2)*Table1[[#This Row],[gammap]]*Table1[[#This Row],[Volume9]]*-1</f>
        <v>0</v>
      </c>
      <c r="BE77">
        <f>(Table1[[#This Row],[SgammaC]]+Table1[[#This Row],[SgammaP]])*$A$4*-100</f>
        <v>0</v>
      </c>
      <c r="BF77">
        <f>Table1[[#This Row],[DEXc]]+Table1[[#This Row],[DEXp]]</f>
        <v>0</v>
      </c>
      <c r="BG77">
        <f>IFERROR(Table1[[#This Row],[DeltaC]]*Table1[[#This Row],[Open.Int]]*$A$4,0)</f>
        <v>0</v>
      </c>
      <c r="BH77">
        <f>IFERROR(Table1[[#This Row],[DeltaP]]*Table1[[#This Row],[Open.Int8]]*$A$4,0)</f>
        <v>0</v>
      </c>
      <c r="BI7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7">
        <f ca="1">Table1[[#This Row],[Charmc]]+Table1[[#This Row],[Charmp]]</f>
        <v>0</v>
      </c>
      <c r="BL7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7" s="78">
        <f ca="1">Table1[[#This Row],[call helper]]+Table1[[#This Row],[put helper]]</f>
        <v>0</v>
      </c>
      <c r="BP77" t="str">
        <f>RTD("tos.rtd", , "STRIKE", "."&amp;Table1[[#This Row],[Ticker]]&amp;Table1[[#This Row],[Expiry]]&amp;""&amp;"C"&amp;Table1[[#This Row],[Spot]]+Table1[[#This Row],[step]])</f>
        <v>N/A</v>
      </c>
    </row>
    <row r="78" spans="1:68" x14ac:dyDescent="0.25">
      <c r="A78">
        <f t="shared" ca="1" si="9"/>
        <v>2.5814307458086375E-3</v>
      </c>
      <c r="C78" s="17"/>
      <c r="D78" t="b">
        <f>IF(
    ISNUMBER(Table1[[#This Row],[Strike]]),RTD("tos.rtd", , "OPEN_INT", "."&amp;Table1[[#This Row],[Ticker]]&amp;Table1[[#This Row],[Expiry]]&amp;""&amp;"C"&amp;Table1[[#This Row],[Strike]]))</f>
        <v>0</v>
      </c>
      <c r="E7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8" t="b">
        <f>IF(
    ISNUMBER(Table1[[#This Row],[Strike]]),RTD("tos.rtd", , "DELTA", "."&amp;Table1[[#This Row],[Ticker]]&amp;Table1[[#This Row],[Expiry]]&amp;""&amp;"C"&amp;Table1[[#This Row],[Strike]]))</f>
        <v>0</v>
      </c>
      <c r="H78" s="17" t="b" cm="1">
        <f t="array" ref="H78">IF(
    ISNUMBER(Table1[[#This Row],[Strike]]),IndividualLegIVCore($A$4, Table1[[#This Row],[Strike]], 0.0411, Table1[[#This Row],[T]], ((Table1[[#This Row],[BIDC]]+Table1[[#This Row],[ASKC]])/2), TRUE))</f>
        <v>0</v>
      </c>
      <c r="I78" t="b">
        <f>IF(
    ISNUMBER(Table1[[#This Row],[Strike]]),RTD("tos.rtd", , "BID", "."&amp;Table1[[#This Row],[Ticker]]&amp;Table1[[#This Row],[Expiry]]&amp;""&amp;"C"&amp;Table1[[#This Row],[Strike]]))</f>
        <v>0</v>
      </c>
      <c r="J78" t="b">
        <f>IF(
    ISNUMBER(Table1[[#This Row],[Strike]]),RTD("tos.rtd", , "ASK", "."&amp;Table1[[#This Row],[Ticker]]&amp;Table1[[#This Row],[Expiry]]&amp;""&amp;"C"&amp;Table1[[#This Row],[Strike]]))</f>
        <v>0</v>
      </c>
      <c r="K7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8" s="17" cm="1">
        <f t="array" aca="1" ref="L7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8" s="1">
        <f t="shared" si="10"/>
        <v>46045</v>
      </c>
      <c r="N78" t="b">
        <f t="shared" si="11"/>
        <v>0</v>
      </c>
      <c r="P78" s="17" t="b" cm="1">
        <f t="array" ref="P78">IF(
    ISNUMBER(Table1[[#This Row],[Strike]]),IndividualLegIVCore($A$4, Table1[[#This Row],[Strike]], 0.0411, Table1[[#This Row],[T]], ((Table1[[#This Row],[BIDP]]+Table1[[#This Row],[ASKP]])/2), FALSE))</f>
        <v>0</v>
      </c>
      <c r="Q78" t="b">
        <f>IF(
    ISNUMBER(Table1[[#This Row],[Strike]]),RTD("tos.rtd", , "BID", "."&amp;Table1[[#This Row],[Ticker]]&amp;Table1[[#This Row],[Expiry]]&amp;""&amp;"P"&amp;Table1[[#This Row],[Strike]]))</f>
        <v>0</v>
      </c>
      <c r="R78" t="b">
        <f>IF(
    ISNUMBER(Table1[[#This Row],[Strike]]),RTD("tos.rtd", , "ASK", "."&amp;Table1[[#This Row],[Ticker]]&amp;Table1[[#This Row],[Expiry]]&amp;""&amp;"P"&amp;Table1[[#This Row],[Strike]]))</f>
        <v>0</v>
      </c>
      <c r="S78" s="17"/>
      <c r="T78" t="b">
        <f>IF(
    ISNUMBER(Table1[[#This Row],[Strike]]),RTD("tos.rtd", , "OPEN_INT", "."&amp;Table1[[#This Row],[Ticker]]&amp;Table1[[#This Row],[Expiry]]&amp;""&amp;"P"&amp;Table1[[#This Row],[Strike]]))</f>
        <v>0</v>
      </c>
      <c r="U7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8" t="b">
        <f>IF(
    ISNUMBER(Table1[[#This Row],[Strike]]),RTD("tos.rtd", , "DELTA", "."&amp;Table1[[#This Row],[Ticker]]&amp;Table1[[#This Row],[Expiry]]&amp;""&amp;"P"&amp;Table1[[#This Row],[Strike]]))</f>
        <v>0</v>
      </c>
      <c r="Y78" s="19">
        <f>-16* IF($M$1="NDX", 10, IF(OR($M$1="SPX", $M$1="RUT"), 2, 1))</f>
        <v>-32</v>
      </c>
      <c r="Z78">
        <f ca="1">IFERROR(Table1[[#This Row],[call gamma]]*(Table1[[#This Row],[Open.Int]])*$A$4^2,0)</f>
        <v>0</v>
      </c>
      <c r="AA78">
        <f ca="1">IFERROR(((Table1[[#This Row],[Open.Int8]])*Table1[[#This Row],[Put gamma]])*-1*$A$4^2,0)</f>
        <v>0</v>
      </c>
      <c r="AB78">
        <f ca="1">(Table1[[#This Row],[Call Gex]]+Table1[[#This Row],[Put Gex]])</f>
        <v>0</v>
      </c>
      <c r="AC78">
        <f ca="1">Table1[[#This Row],[call delta adj]]+Table1[[#This Row],[put delta adj]]</f>
        <v>0</v>
      </c>
      <c r="AD78">
        <f ca="1">Table1[[#This Row],[Put Gex]]*Table1[[#This Row],[DeltaP]]*-1</f>
        <v>0</v>
      </c>
      <c r="AE78">
        <f ca="1">Table1[[#This Row],[Call Gex]]*Table1[[#This Row],[DeltaC]]</f>
        <v>0</v>
      </c>
      <c r="AF78">
        <f>IF(Table1[[#This Row],[DeltaC]]-ABS(Table1[[#This Row],[DeltaP]])="0","0.01",Table1[[#This Row],[DeltaC]]-ABS(Table1[[#This Row],[DeltaP]]))</f>
        <v>0</v>
      </c>
      <c r="AG78" t="e">
        <f ca="1">((LN($A$4/Table1[[#This Row],[Strike]]) + (0.411 + 0.5 * Table1[[#This Row],[IV Calc P]]^2) *Table1[[#This Row],[T]])) / (Table1[[#This Row],[IV Calc P]] * SQRT(Table1[[#This Row],[T]]))</f>
        <v>#DIV/0!</v>
      </c>
      <c r="AH78" t="e">
        <f ca="1">(LN($A$4/Table1[[#This Row],[Strike]]) + (0.411-0 + 0.5 * Table1[[#This Row],[IV Calc C]]^2) *Table1[[#This Row],[T]]) / (Table1[[#This Row],[IV Calc C]] * SQRT(Table1[[#This Row],[T]]))</f>
        <v>#DIV/0!</v>
      </c>
      <c r="AI78" t="e">
        <f ca="1">(EXP(-(AG78^2)/2)/SQRT(2*PI())*EXP(0*SQRT(Table1[[#This Row],[T]]))/$A$4*18%*SQRT(SQRT(Table1[[#This Row],[T]])))</f>
        <v>#DIV/0!</v>
      </c>
      <c r="AJ78" t="e">
        <f ca="1">(EXP(-(AH78^2)/2)/SQRT(2*PI())*EXP(0*SQRT(Table1[[#This Row],[T]]))/$A$4*18%*SQRT(SQRT(Table1[[#This Row],[T]])))</f>
        <v>#DIV/0!</v>
      </c>
      <c r="AK78" t="e">
        <f ca="1">Table1[[#This Row],[Call D1]]-Table1[[#This Row],[IV Calc C]]*SQRT(Table1[[#This Row],[T]])</f>
        <v>#DIV/0!</v>
      </c>
      <c r="AL78" t="e">
        <f ca="1">Table1[[#This Row],[Put D1]]-Table1[[#This Row],[IV Calc P]]*SQRT(Table1[[#This Row],[T]])</f>
        <v>#DIV/0!</v>
      </c>
      <c r="AM78" t="e">
        <f ca="1">EXP(-0.5*Table1[[#This Row],[Call D1]]^2)/SQRT(2*PI())</f>
        <v>#DIV/0!</v>
      </c>
      <c r="AN78" t="e">
        <f ca="1">EXP(-0.5*Table1[[#This Row],[Put D1]]^2)/SQRT(2*PI())</f>
        <v>#DIV/0!</v>
      </c>
      <c r="AO78">
        <f ca="1">IFERROR((EXP(0*Table1[[#This Row],[T]])*Table1[[#This Row],[call N(d1)]]*(Table1[[#This Row],[call d2]]/Table1[[#This Row],[IV Calc C]]))*Table1[[#This Row],[Open.Int]]*Table1[[#This Row],[DeltaC]],0)</f>
        <v>0</v>
      </c>
      <c r="AP78">
        <f ca="1">IFERROR((EXP(0*Table1[[#This Row],[T]])*Table1[[#This Row],[put N(d1)]]*(Table1[[#This Row],[put d2]]/Table1[[#This Row],[IV Calc P]]))*Table1[[#This Row],[Open.Int8]]*Table1[[#This Row],[DeltaP]]*-1,0)</f>
        <v>0</v>
      </c>
      <c r="AQ78">
        <f ca="1">((Table1[[#This Row],[call vanna]]+Table1[[#This Row],[put vanna]])*$A$4)</f>
        <v>0</v>
      </c>
      <c r="AR7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8" s="9" t="str" cm="1">
        <f t="array" ref="AT78">_xlfn.IFS(     $M$1="SPX","SPXW",     $M$1="RUT","RUTW",  $M$1="NDX","NDXP",   TRUE,$M$1 )</f>
        <v>SPXW</v>
      </c>
      <c r="AU78" s="2">
        <f t="shared" si="12"/>
        <v>6915</v>
      </c>
      <c r="AV78" t="str">
        <f t="shared" si="13"/>
        <v>260123</v>
      </c>
      <c r="AW78" s="19">
        <f ca="1">IFERROR((EXP(0*Table1[[#This Row],[T]])*Table1[[#This Row],[put N(d1)]]*(Table1[[#This Row],[put d2]]/Table1[[#This Row],[IV Calc P]]))*Table1[[#This Row],[Open.Int8]]*Table1[[#This Row],[DeltaP]]*-1,0)</f>
        <v>0</v>
      </c>
      <c r="AX78">
        <f ca="1">IFERROR((EXP(0*Table1[[#This Row],[T]])*Table1[[#This Row],[call N(d1)]]*(Table1[[#This Row],[call d2]]/Table1[[#This Row],[IV Calc C]]))*Table1[[#This Row],[Open.Int]]*Table1[[#This Row],[DeltaC]],0)</f>
        <v>0</v>
      </c>
      <c r="AY7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8">
        <f>((Table1[[#This Row],[High C]]+Table1[[#This Row],[Low C]])/2)*Table1[[#This Row],[gammac]]*Table1[[#This Row],[Volume]]</f>
        <v>0</v>
      </c>
      <c r="BD78">
        <f>((Table1[[#This Row],[High P]]+Table1[[#This Row],[Low P]])/2)*Table1[[#This Row],[gammap]]*Table1[[#This Row],[Volume9]]*-1</f>
        <v>0</v>
      </c>
      <c r="BE78">
        <f>(Table1[[#This Row],[SgammaC]]+Table1[[#This Row],[SgammaP]])*$A$4*-100</f>
        <v>0</v>
      </c>
      <c r="BF78">
        <f>Table1[[#This Row],[DEXc]]+Table1[[#This Row],[DEXp]]</f>
        <v>0</v>
      </c>
      <c r="BG78">
        <f>IFERROR(Table1[[#This Row],[DeltaC]]*Table1[[#This Row],[Open.Int]]*$A$4,0)</f>
        <v>0</v>
      </c>
      <c r="BH78">
        <f>IFERROR(Table1[[#This Row],[DeltaP]]*Table1[[#This Row],[Open.Int8]]*$A$4,0)</f>
        <v>0</v>
      </c>
      <c r="BI7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8">
        <f ca="1">Table1[[#This Row],[Charmc]]+Table1[[#This Row],[Charmp]]</f>
        <v>0</v>
      </c>
      <c r="BL7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8" s="78">
        <f ca="1">Table1[[#This Row],[call helper]]+Table1[[#This Row],[put helper]]</f>
        <v>0</v>
      </c>
      <c r="BP78" t="str">
        <f>RTD("tos.rtd", , "STRIKE", "."&amp;Table1[[#This Row],[Ticker]]&amp;Table1[[#This Row],[Expiry]]&amp;""&amp;"C"&amp;Table1[[#This Row],[Spot]]+Table1[[#This Row],[step]])</f>
        <v>N/A</v>
      </c>
    </row>
    <row r="79" spans="1:68" x14ac:dyDescent="0.25">
      <c r="A79">
        <f t="shared" ca="1" si="9"/>
        <v>2.5814307458086375E-3</v>
      </c>
      <c r="C79" s="17"/>
      <c r="D79" t="b">
        <f>IF(
    ISNUMBER(Table1[[#This Row],[Strike]]),RTD("tos.rtd", , "OPEN_INT", "."&amp;Table1[[#This Row],[Ticker]]&amp;Table1[[#This Row],[Expiry]]&amp;""&amp;"C"&amp;Table1[[#This Row],[Strike]]))</f>
        <v>0</v>
      </c>
      <c r="E7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9" t="b">
        <f>IF(
    ISNUMBER(Table1[[#This Row],[Strike]]),RTD("tos.rtd", , "DELTA", "."&amp;Table1[[#This Row],[Ticker]]&amp;Table1[[#This Row],[Expiry]]&amp;""&amp;"C"&amp;Table1[[#This Row],[Strike]]))</f>
        <v>0</v>
      </c>
      <c r="H79" s="17" t="b" cm="1">
        <f t="array" ref="H79">IF(
    ISNUMBER(Table1[[#This Row],[Strike]]),IndividualLegIVCore($A$4, Table1[[#This Row],[Strike]], 0.0411, Table1[[#This Row],[T]], ((Table1[[#This Row],[BIDC]]+Table1[[#This Row],[ASKC]])/2), TRUE))</f>
        <v>0</v>
      </c>
      <c r="I79" t="b">
        <f>IF(
    ISNUMBER(Table1[[#This Row],[Strike]]),RTD("tos.rtd", , "BID", "."&amp;Table1[[#This Row],[Ticker]]&amp;Table1[[#This Row],[Expiry]]&amp;""&amp;"C"&amp;Table1[[#This Row],[Strike]]))</f>
        <v>0</v>
      </c>
      <c r="J79" t="b">
        <f>IF(
    ISNUMBER(Table1[[#This Row],[Strike]]),RTD("tos.rtd", , "ASK", "."&amp;Table1[[#This Row],[Ticker]]&amp;Table1[[#This Row],[Expiry]]&amp;""&amp;"C"&amp;Table1[[#This Row],[Strike]]))</f>
        <v>0</v>
      </c>
      <c r="K7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9" s="17" cm="1">
        <f t="array" aca="1" ref="L7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9" s="1">
        <f t="shared" si="10"/>
        <v>46045</v>
      </c>
      <c r="N79" t="b">
        <f t="shared" si="11"/>
        <v>0</v>
      </c>
      <c r="P79" s="17" t="b" cm="1">
        <f t="array" ref="P79">IF(
    ISNUMBER(Table1[[#This Row],[Strike]]),IndividualLegIVCore($A$4, Table1[[#This Row],[Strike]], 0.0411, Table1[[#This Row],[T]], ((Table1[[#This Row],[BIDP]]+Table1[[#This Row],[ASKP]])/2), FALSE))</f>
        <v>0</v>
      </c>
      <c r="Q79" t="b">
        <f>IF(
    ISNUMBER(Table1[[#This Row],[Strike]]),RTD("tos.rtd", , "BID", "."&amp;Table1[[#This Row],[Ticker]]&amp;Table1[[#This Row],[Expiry]]&amp;""&amp;"P"&amp;Table1[[#This Row],[Strike]]))</f>
        <v>0</v>
      </c>
      <c r="R79" t="b">
        <f>IF(
    ISNUMBER(Table1[[#This Row],[Strike]]),RTD("tos.rtd", , "ASK", "."&amp;Table1[[#This Row],[Ticker]]&amp;Table1[[#This Row],[Expiry]]&amp;""&amp;"P"&amp;Table1[[#This Row],[Strike]]))</f>
        <v>0</v>
      </c>
      <c r="S79" s="17"/>
      <c r="T79" t="b">
        <f>IF(
    ISNUMBER(Table1[[#This Row],[Strike]]),RTD("tos.rtd", , "OPEN_INT", "."&amp;Table1[[#This Row],[Ticker]]&amp;Table1[[#This Row],[Expiry]]&amp;""&amp;"P"&amp;Table1[[#This Row],[Strike]]))</f>
        <v>0</v>
      </c>
      <c r="U7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9" t="b">
        <f>IF(
    ISNUMBER(Table1[[#This Row],[Strike]]),RTD("tos.rtd", , "DELTA", "."&amp;Table1[[#This Row],[Ticker]]&amp;Table1[[#This Row],[Expiry]]&amp;""&amp;"P"&amp;Table1[[#This Row],[Strike]]))</f>
        <v>0</v>
      </c>
      <c r="Y79" s="21">
        <f>-15.5* IF($M$1="NDX", 10, IF(OR($M$1="SPX", $M$1="RUT"), 2, 1))</f>
        <v>-31</v>
      </c>
      <c r="Z79">
        <f ca="1">IFERROR(Table1[[#This Row],[call gamma]]*(Table1[[#This Row],[Open.Int]])*$A$4^2,0)</f>
        <v>0</v>
      </c>
      <c r="AA79">
        <f ca="1">IFERROR(((Table1[[#This Row],[Open.Int8]])*Table1[[#This Row],[Put gamma]])*-1*$A$4^2,0)</f>
        <v>0</v>
      </c>
      <c r="AB79">
        <f ca="1">(Table1[[#This Row],[Call Gex]]+Table1[[#This Row],[Put Gex]])</f>
        <v>0</v>
      </c>
      <c r="AC79">
        <f ca="1">Table1[[#This Row],[call delta adj]]+Table1[[#This Row],[put delta adj]]</f>
        <v>0</v>
      </c>
      <c r="AD79">
        <f ca="1">Table1[[#This Row],[Put Gex]]*Table1[[#This Row],[DeltaP]]*-1</f>
        <v>0</v>
      </c>
      <c r="AE79">
        <f ca="1">Table1[[#This Row],[Call Gex]]*Table1[[#This Row],[DeltaC]]</f>
        <v>0</v>
      </c>
      <c r="AF79">
        <f>IF(Table1[[#This Row],[DeltaC]]-ABS(Table1[[#This Row],[DeltaP]])="0","0.01",Table1[[#This Row],[DeltaC]]-ABS(Table1[[#This Row],[DeltaP]]))</f>
        <v>0</v>
      </c>
      <c r="AG79" t="e">
        <f ca="1">((LN($A$4/Table1[[#This Row],[Strike]]) + (0.411 + 0.5 * Table1[[#This Row],[IV Calc P]]^2) *Table1[[#This Row],[T]])) / (Table1[[#This Row],[IV Calc P]] * SQRT(Table1[[#This Row],[T]]))</f>
        <v>#DIV/0!</v>
      </c>
      <c r="AH79" t="e">
        <f ca="1">(LN($A$4/Table1[[#This Row],[Strike]]) + (0.411-0 + 0.5 * Table1[[#This Row],[IV Calc C]]^2) *Table1[[#This Row],[T]]) / (Table1[[#This Row],[IV Calc C]] * SQRT(Table1[[#This Row],[T]]))</f>
        <v>#DIV/0!</v>
      </c>
      <c r="AI79" t="e">
        <f ca="1">(EXP(-(AG79^2)/2)/SQRT(2*PI())*EXP(0*SQRT(Table1[[#This Row],[T]]))/$A$4*18%*SQRT(SQRT(Table1[[#This Row],[T]])))</f>
        <v>#DIV/0!</v>
      </c>
      <c r="AJ79" t="e">
        <f ca="1">(EXP(-(AH79^2)/2)/SQRT(2*PI())*EXP(0*SQRT(Table1[[#This Row],[T]]))/$A$4*18%*SQRT(SQRT(Table1[[#This Row],[T]])))</f>
        <v>#DIV/0!</v>
      </c>
      <c r="AK79" t="e">
        <f ca="1">Table1[[#This Row],[Call D1]]-Table1[[#This Row],[IV Calc C]]*SQRT(Table1[[#This Row],[T]])</f>
        <v>#DIV/0!</v>
      </c>
      <c r="AL79" t="e">
        <f ca="1">Table1[[#This Row],[Put D1]]-Table1[[#This Row],[IV Calc P]]*SQRT(Table1[[#This Row],[T]])</f>
        <v>#DIV/0!</v>
      </c>
      <c r="AM79" t="e">
        <f ca="1">EXP(-0.5*Table1[[#This Row],[Call D1]]^2)/SQRT(2*PI())</f>
        <v>#DIV/0!</v>
      </c>
      <c r="AN79" t="e">
        <f ca="1">EXP(-0.5*Table1[[#This Row],[Put D1]]^2)/SQRT(2*PI())</f>
        <v>#DIV/0!</v>
      </c>
      <c r="AO79">
        <f ca="1">IFERROR((EXP(0*Table1[[#This Row],[T]])*Table1[[#This Row],[call N(d1)]]*(Table1[[#This Row],[call d2]]/Table1[[#This Row],[IV Calc C]]))*Table1[[#This Row],[Open.Int]]*Table1[[#This Row],[DeltaC]],0)</f>
        <v>0</v>
      </c>
      <c r="AP79">
        <f ca="1">IFERROR((EXP(0*Table1[[#This Row],[T]])*Table1[[#This Row],[put N(d1)]]*(Table1[[#This Row],[put d2]]/Table1[[#This Row],[IV Calc P]]))*Table1[[#This Row],[Open.Int8]]*Table1[[#This Row],[DeltaP]]*-1,0)</f>
        <v>0</v>
      </c>
      <c r="AQ79">
        <f ca="1">((Table1[[#This Row],[call vanna]]+Table1[[#This Row],[put vanna]])*$A$4)</f>
        <v>0</v>
      </c>
      <c r="AR7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9" s="9" t="str" cm="1">
        <f t="array" ref="AT79">_xlfn.IFS(     $M$1="SPX","SPXW",     $M$1="RUT","RUTW",  $M$1="NDX","NDXP",   TRUE,$M$1 )</f>
        <v>SPXW</v>
      </c>
      <c r="AU79" s="2">
        <f t="shared" si="12"/>
        <v>6915</v>
      </c>
      <c r="AV79" t="str">
        <f t="shared" si="13"/>
        <v>260123</v>
      </c>
      <c r="AW79" s="21">
        <f ca="1">IFERROR((EXP(0*Table1[[#This Row],[T]])*Table1[[#This Row],[put N(d1)]]*(Table1[[#This Row],[put d2]]/Table1[[#This Row],[IV Calc P]]))*Table1[[#This Row],[Open.Int8]]*Table1[[#This Row],[DeltaP]]*-1,0)</f>
        <v>0</v>
      </c>
      <c r="AX79">
        <f ca="1">IFERROR((EXP(0*Table1[[#This Row],[T]])*Table1[[#This Row],[call N(d1)]]*(Table1[[#This Row],[call d2]]/Table1[[#This Row],[IV Calc C]]))*Table1[[#This Row],[Open.Int]]*Table1[[#This Row],[DeltaC]],0)</f>
        <v>0</v>
      </c>
      <c r="AY7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9">
        <f>((Table1[[#This Row],[High C]]+Table1[[#This Row],[Low C]])/2)*Table1[[#This Row],[gammac]]*Table1[[#This Row],[Volume]]</f>
        <v>0</v>
      </c>
      <c r="BD79">
        <f>((Table1[[#This Row],[High P]]+Table1[[#This Row],[Low P]])/2)*Table1[[#This Row],[gammap]]*Table1[[#This Row],[Volume9]]*-1</f>
        <v>0</v>
      </c>
      <c r="BE79">
        <f>(Table1[[#This Row],[SgammaC]]+Table1[[#This Row],[SgammaP]])*$A$4*-100</f>
        <v>0</v>
      </c>
      <c r="BF79">
        <f>Table1[[#This Row],[DEXc]]+Table1[[#This Row],[DEXp]]</f>
        <v>0</v>
      </c>
      <c r="BG79">
        <f>IFERROR(Table1[[#This Row],[DeltaC]]*Table1[[#This Row],[Open.Int]]*$A$4,0)</f>
        <v>0</v>
      </c>
      <c r="BH79">
        <f>IFERROR(Table1[[#This Row],[DeltaP]]*Table1[[#This Row],[Open.Int8]]*$A$4,0)</f>
        <v>0</v>
      </c>
      <c r="BI7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9">
        <f ca="1">Table1[[#This Row],[Charmc]]+Table1[[#This Row],[Charmp]]</f>
        <v>0</v>
      </c>
      <c r="BL7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9" s="78">
        <f ca="1">Table1[[#This Row],[call helper]]+Table1[[#This Row],[put helper]]</f>
        <v>0</v>
      </c>
      <c r="BP79" t="str">
        <f>RTD("tos.rtd", , "STRIKE", "."&amp;Table1[[#This Row],[Ticker]]&amp;Table1[[#This Row],[Expiry]]&amp;""&amp;"C"&amp;Table1[[#This Row],[Spot]]+Table1[[#This Row],[step]])</f>
        <v>N/A</v>
      </c>
    </row>
    <row r="80" spans="1:68" x14ac:dyDescent="0.25">
      <c r="A80">
        <f t="shared" ca="1" si="9"/>
        <v>2.5814307458086375E-3</v>
      </c>
      <c r="C80" s="17"/>
      <c r="D80">
        <f>IF(
    ISNUMBER(Table1[[#This Row],[Strike]]),RTD("tos.rtd", , "OPEN_INT", "."&amp;Table1[[#This Row],[Ticker]]&amp;Table1[[#This Row],[Expiry]]&amp;""&amp;"C"&amp;Table1[[#This Row],[Strike]]))</f>
        <v>541</v>
      </c>
      <c r="E8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714</v>
      </c>
      <c r="G80">
        <f>IF(
    ISNUMBER(Table1[[#This Row],[Strike]]),RTD("tos.rtd", , "DELTA", "."&amp;Table1[[#This Row],[Ticker]]&amp;Table1[[#This Row],[Expiry]]&amp;""&amp;"C"&amp;Table1[[#This Row],[Strike]]))</f>
        <v>0.78</v>
      </c>
      <c r="H80" s="17" cm="1">
        <f t="array" aca="1" ref="H80" ca="1">IF(
    ISNUMBER(Table1[[#This Row],[Strike]]),IndividualLegIVCore($A$4, Table1[[#This Row],[Strike]], 0.0411, Table1[[#This Row],[T]], ((Table1[[#This Row],[BIDC]]+Table1[[#This Row],[ASKC]])/2), TRUE))</f>
        <v>0.10711849427292977</v>
      </c>
      <c r="I80">
        <f>IF(
    ISNUMBER(Table1[[#This Row],[Strike]]),RTD("tos.rtd", , "BID", "."&amp;Table1[[#This Row],[Ticker]]&amp;Table1[[#This Row],[Expiry]]&amp;""&amp;"C"&amp;Table1[[#This Row],[Strike]]))</f>
        <v>33.5</v>
      </c>
      <c r="J80">
        <f>IF(
    ISNUMBER(Table1[[#This Row],[Strike]]),RTD("tos.rtd", , "ASK", "."&amp;Table1[[#This Row],[Ticker]]&amp;Table1[[#This Row],[Expiry]]&amp;""&amp;"C"&amp;Table1[[#This Row],[Strike]]))</f>
        <v>34.1</v>
      </c>
      <c r="K8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0.10711849427292977</v>
      </c>
      <c r="L80" s="17" cm="1">
        <f t="array" aca="1" ref="L80" ca="1">CubicSplineIVSmile($A$4, Table1[[#This Row],[Strike]], 0.0411, Table1[[#This Row],[T]], (Table1[[#This Row],[BIDC]]+Table1[[#This Row],[ASKC]])/2, (Table1[[#This Row],[BIDP]]+Table1[[#This Row],[ASKP]])/2, Table1[Strike], Table1[IV Calc AVG])</f>
        <v>0.11852715733490957</v>
      </c>
      <c r="M80" s="1">
        <f t="shared" si="10"/>
        <v>46045</v>
      </c>
      <c r="N80">
        <f t="shared" si="11"/>
        <v>6885</v>
      </c>
      <c r="P80" s="17" cm="1">
        <f t="array" aca="1" ref="P80" ca="1">IF(
    ISNUMBER(Table1[[#This Row],[Strike]]),IndividualLegIVCore($A$4, Table1[[#This Row],[Strike]], 0.0411, Table1[[#This Row],[T]], ((Table1[[#This Row],[BIDP]]+Table1[[#This Row],[ASKP]])/2), FALSE))</f>
        <v>0.15113254395526554</v>
      </c>
      <c r="Q80">
        <f>IF(
    ISNUMBER(Table1[[#This Row],[Strike]]),RTD("tos.rtd", , "BID", "."&amp;Table1[[#This Row],[Ticker]]&amp;Table1[[#This Row],[Expiry]]&amp;""&amp;"P"&amp;Table1[[#This Row],[Strike]]))</f>
        <v>9.5</v>
      </c>
      <c r="R80">
        <f>IF(
    ISNUMBER(Table1[[#This Row],[Strike]]),RTD("tos.rtd", , "ASK", "."&amp;Table1[[#This Row],[Ticker]]&amp;Table1[[#This Row],[Expiry]]&amp;""&amp;"P"&amp;Table1[[#This Row],[Strike]]))</f>
        <v>9.9</v>
      </c>
      <c r="S80" s="17"/>
      <c r="T80">
        <f>IF(
    ISNUMBER(Table1[[#This Row],[Strike]]),RTD("tos.rtd", , "OPEN_INT", "."&amp;Table1[[#This Row],[Ticker]]&amp;Table1[[#This Row],[Expiry]]&amp;""&amp;"P"&amp;Table1[[#This Row],[Strike]]))</f>
        <v>536</v>
      </c>
      <c r="U8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3640</v>
      </c>
      <c r="W80">
        <f>IF(
    ISNUMBER(Table1[[#This Row],[Strike]]),RTD("tos.rtd", , "DELTA", "."&amp;Table1[[#This Row],[Ticker]]&amp;Table1[[#This Row],[Expiry]]&amp;""&amp;"P"&amp;Table1[[#This Row],[Strike]]))</f>
        <v>-0.28999999999999998</v>
      </c>
      <c r="Y80" s="19">
        <f>-15* IF($M$1="NDX", 10, IF(OR($M$1="SPX", $M$1="RUT"), 2, 1))</f>
        <v>-30</v>
      </c>
      <c r="Z80">
        <f ca="1">IFERROR(Table1[[#This Row],[call gamma]]*(Table1[[#This Row],[Open.Int]])*$A$4^2,0)</f>
        <v>38454.457156460951</v>
      </c>
      <c r="AA80">
        <f ca="1">IFERROR(((Table1[[#This Row],[Open.Int8]])*Table1[[#This Row],[Put gamma]])*-1*$A$4^2,0)</f>
        <v>-47690.501103657545</v>
      </c>
      <c r="AB80">
        <f ca="1">(Table1[[#This Row],[Call Gex]]+Table1[[#This Row],[Put Gex]])</f>
        <v>-9236.0439471965947</v>
      </c>
      <c r="AC80">
        <f ca="1">Table1[[#This Row],[call delta adj]]+Table1[[#This Row],[put delta adj]]</f>
        <v>16164.231261978857</v>
      </c>
      <c r="AD80">
        <f ca="1">Table1[[#This Row],[Put Gex]]*Table1[[#This Row],[DeltaP]]*-1</f>
        <v>-13830.245320060687</v>
      </c>
      <c r="AE80">
        <f ca="1">Table1[[#This Row],[Call Gex]]*Table1[[#This Row],[DeltaC]]</f>
        <v>29994.476582039544</v>
      </c>
      <c r="AF80">
        <f>IF(Table1[[#This Row],[DeltaC]]-ABS(Table1[[#This Row],[DeltaP]])="0","0.01",Table1[[#This Row],[DeltaC]]-ABS(Table1[[#This Row],[DeltaP]]))</f>
        <v>0.49000000000000005</v>
      </c>
      <c r="AG80">
        <f ca="1">((LN($A$4/Table1[[#This Row],[Strike]]) + (0.411 + 0.5 * Table1[[#This Row],[IV Calc P]]^2) *Table1[[#This Row],[T]])) / (Table1[[#This Row],[IV Calc P]] * SQRT(Table1[[#This Row],[T]]))</f>
        <v>0.67715052189324654</v>
      </c>
      <c r="AH80">
        <f ca="1">(LN($A$4/Table1[[#This Row],[Strike]]) + (0.411-0 + 0.5 * Table1[[#This Row],[IV Calc C]]^2) *Table1[[#This Row],[T]]) / (Table1[[#This Row],[IV Calc C]] * SQRT(Table1[[#This Row],[T]]))</f>
        <v>0.95269004626244558</v>
      </c>
      <c r="AI80">
        <f ca="1">(EXP(-(AG80^2)/2)/SQRT(2*PI())*EXP(0*SQRT(Table1[[#This Row],[T]]))/$A$4*18%*SQRT(SQRT(Table1[[#This Row],[T]])))</f>
        <v>1.8616155906291156E-6</v>
      </c>
      <c r="AJ80">
        <f ca="1">(EXP(-(AH80^2)/2)/SQRT(2*PI())*EXP(0*SQRT(Table1[[#This Row],[T]]))/$A$4*18%*SQRT(SQRT(Table1[[#This Row],[T]])))</f>
        <v>1.4872101173469196E-6</v>
      </c>
      <c r="AK80">
        <f ca="1">Table1[[#This Row],[Call D1]]-Table1[[#This Row],[IV Calc C]]*SQRT(Table1[[#This Row],[T]])</f>
        <v>0.94724759312136531</v>
      </c>
      <c r="AL80">
        <f ca="1">Table1[[#This Row],[Put D1]]-Table1[[#This Row],[IV Calc P]]*SQRT(Table1[[#This Row],[T]])</f>
        <v>0.66947181249622079</v>
      </c>
      <c r="AM80">
        <f ca="1">EXP(-0.5*Table1[[#This Row],[Call D1]]^2)/SQRT(2*PI())</f>
        <v>0.25340970940128082</v>
      </c>
      <c r="AN80">
        <f ca="1">EXP(-0.5*Table1[[#This Row],[Put D1]]^2)/SQRT(2*PI())</f>
        <v>0.31720565933197792</v>
      </c>
      <c r="AO80">
        <f ca="1">IFERROR((EXP(0*Table1[[#This Row],[T]])*Table1[[#This Row],[call N(d1)]]*(Table1[[#This Row],[call d2]]/Table1[[#This Row],[IV Calc C]]))*Table1[[#This Row],[Open.Int]]*Table1[[#This Row],[DeltaC]],0)</f>
        <v>945.61460180194047</v>
      </c>
      <c r="AP80">
        <f ca="1">IFERROR((EXP(0*Table1[[#This Row],[T]])*Table1[[#This Row],[put N(d1)]]*(Table1[[#This Row],[put d2]]/Table1[[#This Row],[IV Calc P]]))*Table1[[#This Row],[Open.Int8]]*Table1[[#This Row],[DeltaP]]*-1,0)</f>
        <v>218.41276562011527</v>
      </c>
      <c r="AQ80">
        <f ca="1">((Table1[[#This Row],[call vanna]]+Table1[[#This Row],[put vanna]])*$A$4)</f>
        <v>8047328.6005672691</v>
      </c>
      <c r="AR8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38454.457156460951</v>
      </c>
      <c r="AS8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-47690.501103657545</v>
      </c>
      <c r="AT80" s="9" t="str" cm="1">
        <f t="array" ref="AT80">_xlfn.IFS(     $M$1="SPX","SPXW",     $M$1="RUT","RUTW",  $M$1="NDX","NDXP",   TRUE,$M$1 )</f>
        <v>SPXW</v>
      </c>
      <c r="AU80" s="2">
        <f t="shared" si="12"/>
        <v>6915</v>
      </c>
      <c r="AV80" t="str">
        <f t="shared" si="13"/>
        <v>260123</v>
      </c>
      <c r="AW80" s="19">
        <f ca="1">IFERROR((EXP(0*Table1[[#This Row],[T]])*Table1[[#This Row],[put N(d1)]]*(Table1[[#This Row],[put d2]]/Table1[[#This Row],[IV Calc P]]))*Table1[[#This Row],[Open.Int8]]*Table1[[#This Row],[DeltaP]]*-1,0)</f>
        <v>218.41276562011527</v>
      </c>
      <c r="AX80">
        <f ca="1">IFERROR((EXP(0*Table1[[#This Row],[T]])*Table1[[#This Row],[call N(d1)]]*(Table1[[#This Row],[call d2]]/Table1[[#This Row],[IV Calc C]]))*Table1[[#This Row],[Open.Int]]*Table1[[#This Row],[DeltaC]],0)</f>
        <v>945.61460180194047</v>
      </c>
      <c r="AY80">
        <f>IF(
    ISNUMBER(Table1[[#This Row],[Strike]]),RTD("tos.rtd", , "high", "."&amp;Table1[[#This Row],[Ticker]]&amp;Table1[[#This Row],[Expiry]]&amp;""&amp;"C"&amp;Table1[[#This Row],[Spot]]+Table1[[#This Row],[step]]))</f>
        <v>54.75</v>
      </c>
      <c r="AZ80">
        <f>IF(
    ISNUMBER(Table1[[#This Row],[Strike]]),RTD("tos.rtd", , "low", "."&amp;Table1[[#This Row],[Ticker]]&amp;Table1[[#This Row],[Expiry]]&amp;""&amp;"C"&amp;Table1[[#This Row],[Spot]]+Table1[[#This Row],[step]]))</f>
        <v>29.37</v>
      </c>
      <c r="BA80">
        <f>IF(
    ISNUMBER(Table1[[#This Row],[Strike]]),RTD("tos.rtd", , "high", "."&amp;Table1[[#This Row],[Ticker]]&amp;Table1[[#This Row],[Expiry]]&amp;""&amp;"P"&amp;Table1[[#This Row],[Spot]]+Table1[[#This Row],[step]]))</f>
        <v>20.100000000000001</v>
      </c>
      <c r="BB80">
        <f>IF(
    ISNUMBER(Table1[[#This Row],[Strike]]),RTD("tos.rtd", , "low", "."&amp;Table1[[#This Row],[Ticker]]&amp;Table1[[#This Row],[Expiry]]&amp;""&amp;"P"&amp;Table1[[#This Row],[Spot]]+Table1[[#This Row],[step]]))</f>
        <v>4.49</v>
      </c>
      <c r="BC80">
        <f>((Table1[[#This Row],[High C]]+Table1[[#This Row],[Low C]])/2)*Table1[[#This Row],[gammac]]*Table1[[#This Row],[Volume]]</f>
        <v>300.30840000000001</v>
      </c>
      <c r="BD80">
        <f>((Table1[[#This Row],[High P]]+Table1[[#This Row],[Low P]])/2)*Table1[[#This Row],[gammap]]*Table1[[#This Row],[Volume9]]*-1</f>
        <v>-447.53800000000007</v>
      </c>
      <c r="BE80">
        <f>(Table1[[#This Row],[SgammaC]]+Table1[[#This Row],[SgammaP]])*$A$4*-100</f>
        <v>101784975.51600005</v>
      </c>
      <c r="BF80">
        <f>Table1[[#This Row],[DEXc]]+Table1[[#This Row],[DEXp]]</f>
        <v>1842684.3090000001</v>
      </c>
      <c r="BG80">
        <f>IFERROR(Table1[[#This Row],[DeltaC]]*Table1[[#This Row],[Open.Int]]*$A$4,0)</f>
        <v>2917295.4330000002</v>
      </c>
      <c r="BH80">
        <f>IFERROR(Table1[[#This Row],[DeltaP]]*Table1[[#This Row],[Open.Int8]]*$A$4,0)</f>
        <v>-1074611.1240000001</v>
      </c>
      <c r="BI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5144.8993820483392</v>
      </c>
      <c r="BJ8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-149345.43233036407</v>
      </c>
      <c r="BK80">
        <f ca="1">Table1[[#This Row],[Charmc]]+Table1[[#This Row],[Charmp]]</f>
        <v>-144200.53294831573</v>
      </c>
      <c r="BL8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8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80" s="78">
        <f ca="1">Table1[[#This Row],[call helper]]+Table1[[#This Row],[put helper]]</f>
        <v>-9236.0439471965947</v>
      </c>
      <c r="BP80">
        <f>RTD("tos.rtd", , "STRIKE", "."&amp;Table1[[#This Row],[Ticker]]&amp;Table1[[#This Row],[Expiry]]&amp;""&amp;"C"&amp;Table1[[#This Row],[Spot]]+Table1[[#This Row],[step]])</f>
        <v>6885</v>
      </c>
    </row>
    <row r="81" spans="1:68" x14ac:dyDescent="0.25">
      <c r="A81" s="13">
        <f t="shared" ca="1" si="9"/>
        <v>2.5814307458086375E-3</v>
      </c>
      <c r="B81" s="13"/>
      <c r="C81" s="17"/>
      <c r="D81" t="b">
        <f>IF(
    ISNUMBER(Table1[[#This Row],[Strike]]),RTD("tos.rtd", , "OPEN_INT", "."&amp;Table1[[#This Row],[Ticker]]&amp;Table1[[#This Row],[Expiry]]&amp;""&amp;"C"&amp;Table1[[#This Row],[Strike]]))</f>
        <v>0</v>
      </c>
      <c r="E8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1" t="b">
        <f>IF(
    ISNUMBER(Table1[[#This Row],[Strike]]),RTD("tos.rtd", , "DELTA", "."&amp;Table1[[#This Row],[Ticker]]&amp;Table1[[#This Row],[Expiry]]&amp;""&amp;"C"&amp;Table1[[#This Row],[Strike]]))</f>
        <v>0</v>
      </c>
      <c r="H81" s="17" t="b" cm="1">
        <f t="array" ref="H81">IF(
    ISNUMBER(Table1[[#This Row],[Strike]]),IndividualLegIVCore($A$4, Table1[[#This Row],[Strike]], 0.0411, Table1[[#This Row],[T]], ((Table1[[#This Row],[BIDC]]+Table1[[#This Row],[ASKC]])/2), TRUE))</f>
        <v>0</v>
      </c>
      <c r="I81" t="b">
        <f>IF(
    ISNUMBER(Table1[[#This Row],[Strike]]),RTD("tos.rtd", , "BID", "."&amp;Table1[[#This Row],[Ticker]]&amp;Table1[[#This Row],[Expiry]]&amp;""&amp;"C"&amp;Table1[[#This Row],[Strike]]))</f>
        <v>0</v>
      </c>
      <c r="J81" t="b">
        <f>IF(
    ISNUMBER(Table1[[#This Row],[Strike]]),RTD("tos.rtd", , "ASK", "."&amp;Table1[[#This Row],[Ticker]]&amp;Table1[[#This Row],[Expiry]]&amp;""&amp;"C"&amp;Table1[[#This Row],[Strike]]))</f>
        <v>0</v>
      </c>
      <c r="K8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1" s="17" cm="1">
        <f t="array" aca="1" ref="L8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1" s="1">
        <f t="shared" si="10"/>
        <v>46045</v>
      </c>
      <c r="N81" t="b">
        <f t="shared" si="11"/>
        <v>0</v>
      </c>
      <c r="P81" s="17" t="b" cm="1">
        <f t="array" ref="P81">IF(
    ISNUMBER(Table1[[#This Row],[Strike]]),IndividualLegIVCore($A$4, Table1[[#This Row],[Strike]], 0.0411, Table1[[#This Row],[T]], ((Table1[[#This Row],[BIDP]]+Table1[[#This Row],[ASKP]])/2), FALSE))</f>
        <v>0</v>
      </c>
      <c r="Q81" t="b">
        <f>IF(
    ISNUMBER(Table1[[#This Row],[Strike]]),RTD("tos.rtd", , "BID", "."&amp;Table1[[#This Row],[Ticker]]&amp;Table1[[#This Row],[Expiry]]&amp;""&amp;"P"&amp;Table1[[#This Row],[Strike]]))</f>
        <v>0</v>
      </c>
      <c r="R81" t="b">
        <f>IF(
    ISNUMBER(Table1[[#This Row],[Strike]]),RTD("tos.rtd", , "ASK", "."&amp;Table1[[#This Row],[Ticker]]&amp;Table1[[#This Row],[Expiry]]&amp;""&amp;"P"&amp;Table1[[#This Row],[Strike]]))</f>
        <v>0</v>
      </c>
      <c r="S81" s="17"/>
      <c r="T81" t="b">
        <f>IF(
    ISNUMBER(Table1[[#This Row],[Strike]]),RTD("tos.rtd", , "OPEN_INT", "."&amp;Table1[[#This Row],[Ticker]]&amp;Table1[[#This Row],[Expiry]]&amp;""&amp;"P"&amp;Table1[[#This Row],[Strike]]))</f>
        <v>0</v>
      </c>
      <c r="U8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1" t="b">
        <f>IF(
    ISNUMBER(Table1[[#This Row],[Strike]]),RTD("tos.rtd", , "DELTA", "."&amp;Table1[[#This Row],[Ticker]]&amp;Table1[[#This Row],[Expiry]]&amp;""&amp;"P"&amp;Table1[[#This Row],[Strike]]))</f>
        <v>0</v>
      </c>
      <c r="X81" s="13"/>
      <c r="Y81" s="19">
        <f>-14.5* IF($M$1="NDX", 10, IF(OR($M$1="SPX", $M$1="RUT"), 2, 1))</f>
        <v>-29</v>
      </c>
      <c r="Z81">
        <f ca="1">IFERROR(Table1[[#This Row],[call gamma]]*(Table1[[#This Row],[Open.Int]])*$A$4^2,0)</f>
        <v>0</v>
      </c>
      <c r="AA81">
        <f ca="1">IFERROR(((Table1[[#This Row],[Open.Int8]])*Table1[[#This Row],[Put gamma]])*-1*$A$4^2,0)</f>
        <v>0</v>
      </c>
      <c r="AB81">
        <f ca="1">(Table1[[#This Row],[Call Gex]]+Table1[[#This Row],[Put Gex]])</f>
        <v>0</v>
      </c>
      <c r="AC81">
        <f ca="1">Table1[[#This Row],[call delta adj]]+Table1[[#This Row],[put delta adj]]</f>
        <v>0</v>
      </c>
      <c r="AD81">
        <f ca="1">Table1[[#This Row],[Put Gex]]*Table1[[#This Row],[DeltaP]]*-1</f>
        <v>0</v>
      </c>
      <c r="AE81">
        <f ca="1">Table1[[#This Row],[Call Gex]]*Table1[[#This Row],[DeltaC]]</f>
        <v>0</v>
      </c>
      <c r="AF81">
        <f>IF(Table1[[#This Row],[DeltaC]]-ABS(Table1[[#This Row],[DeltaP]])="0","0.01",Table1[[#This Row],[DeltaC]]-ABS(Table1[[#This Row],[DeltaP]]))</f>
        <v>0</v>
      </c>
      <c r="AG81" t="e">
        <f ca="1">((LN($A$4/Table1[[#This Row],[Strike]]) + (0.411 + 0.5 * Table1[[#This Row],[IV Calc P]]^2) *Table1[[#This Row],[T]])) / (Table1[[#This Row],[IV Calc P]] * SQRT(Table1[[#This Row],[T]]))</f>
        <v>#DIV/0!</v>
      </c>
      <c r="AH81" t="e">
        <f ca="1">(LN($A$4/Table1[[#This Row],[Strike]]) + (0.411-0 + 0.5 * Table1[[#This Row],[IV Calc C]]^2) *Table1[[#This Row],[T]]) / (Table1[[#This Row],[IV Calc C]] * SQRT(Table1[[#This Row],[T]]))</f>
        <v>#DIV/0!</v>
      </c>
      <c r="AI81" t="e">
        <f ca="1">(EXP(-(AG81^2)/2)/SQRT(2*PI())*EXP(0*SQRT(Table1[[#This Row],[T]]))/$A$4*18%*SQRT(SQRT(Table1[[#This Row],[T]])))</f>
        <v>#DIV/0!</v>
      </c>
      <c r="AJ81" t="e">
        <f ca="1">(EXP(-(AH81^2)/2)/SQRT(2*PI())*EXP(0*SQRT(Table1[[#This Row],[T]]))/$A$4*18%*SQRT(SQRT(Table1[[#This Row],[T]])))</f>
        <v>#DIV/0!</v>
      </c>
      <c r="AK81" t="e">
        <f ca="1">Table1[[#This Row],[Call D1]]-Table1[[#This Row],[IV Calc C]]*SQRT(Table1[[#This Row],[T]])</f>
        <v>#DIV/0!</v>
      </c>
      <c r="AL81" t="e">
        <f ca="1">Table1[[#This Row],[Put D1]]-Table1[[#This Row],[IV Calc P]]*SQRT(Table1[[#This Row],[T]])</f>
        <v>#DIV/0!</v>
      </c>
      <c r="AM81" t="e">
        <f ca="1">EXP(-0.5*Table1[[#This Row],[Call D1]]^2)/SQRT(2*PI())</f>
        <v>#DIV/0!</v>
      </c>
      <c r="AN81" t="e">
        <f ca="1">EXP(-0.5*Table1[[#This Row],[Put D1]]^2)/SQRT(2*PI())</f>
        <v>#DIV/0!</v>
      </c>
      <c r="AO81">
        <f ca="1">IFERROR((EXP(0*Table1[[#This Row],[T]])*Table1[[#This Row],[call N(d1)]]*(Table1[[#This Row],[call d2]]/Table1[[#This Row],[IV Calc C]]))*Table1[[#This Row],[Open.Int]]*Table1[[#This Row],[DeltaC]],0)</f>
        <v>0</v>
      </c>
      <c r="AP81">
        <f ca="1">IFERROR((EXP(0*Table1[[#This Row],[T]])*Table1[[#This Row],[put N(d1)]]*(Table1[[#This Row],[put d2]]/Table1[[#This Row],[IV Calc P]]))*Table1[[#This Row],[Open.Int8]]*Table1[[#This Row],[DeltaP]]*-1,0)</f>
        <v>0</v>
      </c>
      <c r="AQ81">
        <f ca="1">((Table1[[#This Row],[call vanna]]+Table1[[#This Row],[put vanna]])*$A$4)</f>
        <v>0</v>
      </c>
      <c r="AR8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1" s="22" t="str" cm="1">
        <f t="array" ref="AT81">_xlfn.IFS(     $M$1="SPX","SPXW",     $M$1="RUT","RUTW",  $M$1="NDX","NDXP",   TRUE,$M$1 )</f>
        <v>SPXW</v>
      </c>
      <c r="AU81" s="2">
        <f t="shared" si="12"/>
        <v>6915</v>
      </c>
      <c r="AV81" t="str">
        <f t="shared" si="13"/>
        <v>260123</v>
      </c>
      <c r="AW81" s="19">
        <f ca="1">IFERROR((EXP(0*Table1[[#This Row],[T]])*Table1[[#This Row],[put N(d1)]]*(Table1[[#This Row],[put d2]]/Table1[[#This Row],[IV Calc P]]))*Table1[[#This Row],[Open.Int8]]*Table1[[#This Row],[DeltaP]]*-1,0)</f>
        <v>0</v>
      </c>
      <c r="AX81" s="13">
        <f ca="1">IFERROR((EXP(0*Table1[[#This Row],[T]])*Table1[[#This Row],[call N(d1)]]*(Table1[[#This Row],[call d2]]/Table1[[#This Row],[IV Calc C]]))*Table1[[#This Row],[Open.Int]]*Table1[[#This Row],[DeltaC]],0)</f>
        <v>0</v>
      </c>
      <c r="AY81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1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1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1" s="13">
        <f>((Table1[[#This Row],[High C]]+Table1[[#This Row],[Low C]])/2)*Table1[[#This Row],[gammac]]*Table1[[#This Row],[Volume]]</f>
        <v>0</v>
      </c>
      <c r="BD81" s="13">
        <f>((Table1[[#This Row],[High P]]+Table1[[#This Row],[Low P]])/2)*Table1[[#This Row],[gammap]]*Table1[[#This Row],[Volume9]]*-1</f>
        <v>0</v>
      </c>
      <c r="BE81" s="13">
        <f>(Table1[[#This Row],[SgammaC]]+Table1[[#This Row],[SgammaP]])*$A$4*-100</f>
        <v>0</v>
      </c>
      <c r="BF81">
        <f>Table1[[#This Row],[DEXc]]+Table1[[#This Row],[DEXp]]</f>
        <v>0</v>
      </c>
      <c r="BG81">
        <f>IFERROR(Table1[[#This Row],[DeltaC]]*Table1[[#This Row],[Open.Int]]*$A$4,0)</f>
        <v>0</v>
      </c>
      <c r="BH81">
        <f>IFERROR(Table1[[#This Row],[DeltaP]]*Table1[[#This Row],[Open.Int8]]*$A$4,0)</f>
        <v>0</v>
      </c>
      <c r="BI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1">
        <f ca="1">Table1[[#This Row],[Charmc]]+Table1[[#This Row],[Charmp]]</f>
        <v>0</v>
      </c>
      <c r="BL81" s="90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1" s="90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1" s="78">
        <f ca="1">Table1[[#This Row],[call helper]]+Table1[[#This Row],[put helper]]</f>
        <v>0</v>
      </c>
      <c r="BP81" t="str">
        <f>RTD("tos.rtd", , "STRIKE", "."&amp;Table1[[#This Row],[Ticker]]&amp;Table1[[#This Row],[Expiry]]&amp;""&amp;"C"&amp;Table1[[#This Row],[Spot]]+Table1[[#This Row],[step]])</f>
        <v>N/A</v>
      </c>
    </row>
    <row r="82" spans="1:68" x14ac:dyDescent="0.25">
      <c r="A82">
        <f t="shared" ca="1" si="9"/>
        <v>2.5814307458086375E-3</v>
      </c>
      <c r="C82" s="17"/>
      <c r="D82" t="b">
        <f>IF(
    ISNUMBER(Table1[[#This Row],[Strike]]),RTD("tos.rtd", , "OPEN_INT", "."&amp;Table1[[#This Row],[Ticker]]&amp;Table1[[#This Row],[Expiry]]&amp;""&amp;"C"&amp;Table1[[#This Row],[Strike]]))</f>
        <v>0</v>
      </c>
      <c r="E8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2" t="b">
        <f>IF(
    ISNUMBER(Table1[[#This Row],[Strike]]),RTD("tos.rtd", , "DELTA", "."&amp;Table1[[#This Row],[Ticker]]&amp;Table1[[#This Row],[Expiry]]&amp;""&amp;"C"&amp;Table1[[#This Row],[Strike]]))</f>
        <v>0</v>
      </c>
      <c r="H82" s="17" t="b" cm="1">
        <f t="array" ref="H82">IF(
    ISNUMBER(Table1[[#This Row],[Strike]]),IndividualLegIVCore($A$4, Table1[[#This Row],[Strike]], 0.0411, Table1[[#This Row],[T]], ((Table1[[#This Row],[BIDC]]+Table1[[#This Row],[ASKC]])/2), TRUE))</f>
        <v>0</v>
      </c>
      <c r="I82" t="b">
        <f>IF(
    ISNUMBER(Table1[[#This Row],[Strike]]),RTD("tos.rtd", , "BID", "."&amp;Table1[[#This Row],[Ticker]]&amp;Table1[[#This Row],[Expiry]]&amp;""&amp;"C"&amp;Table1[[#This Row],[Strike]]))</f>
        <v>0</v>
      </c>
      <c r="J82" t="b">
        <f>IF(
    ISNUMBER(Table1[[#This Row],[Strike]]),RTD("tos.rtd", , "ASK", "."&amp;Table1[[#This Row],[Ticker]]&amp;Table1[[#This Row],[Expiry]]&amp;""&amp;"C"&amp;Table1[[#This Row],[Strike]]))</f>
        <v>0</v>
      </c>
      <c r="K8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2" s="17" cm="1">
        <f t="array" aca="1" ref="L8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2" s="1">
        <f t="shared" si="10"/>
        <v>46045</v>
      </c>
      <c r="N82" t="b">
        <f t="shared" si="11"/>
        <v>0</v>
      </c>
      <c r="P82" s="17" t="b" cm="1">
        <f t="array" ref="P82">IF(
    ISNUMBER(Table1[[#This Row],[Strike]]),IndividualLegIVCore($A$4, Table1[[#This Row],[Strike]], 0.0411, Table1[[#This Row],[T]], ((Table1[[#This Row],[BIDP]]+Table1[[#This Row],[ASKP]])/2), FALSE))</f>
        <v>0</v>
      </c>
      <c r="Q82" t="b">
        <f>IF(
    ISNUMBER(Table1[[#This Row],[Strike]]),RTD("tos.rtd", , "BID", "."&amp;Table1[[#This Row],[Ticker]]&amp;Table1[[#This Row],[Expiry]]&amp;""&amp;"P"&amp;Table1[[#This Row],[Strike]]))</f>
        <v>0</v>
      </c>
      <c r="R82" t="b">
        <f>IF(
    ISNUMBER(Table1[[#This Row],[Strike]]),RTD("tos.rtd", , "ASK", "."&amp;Table1[[#This Row],[Ticker]]&amp;Table1[[#This Row],[Expiry]]&amp;""&amp;"P"&amp;Table1[[#This Row],[Strike]]))</f>
        <v>0</v>
      </c>
      <c r="S82" s="17"/>
      <c r="T82" t="b">
        <f>IF(
    ISNUMBER(Table1[[#This Row],[Strike]]),RTD("tos.rtd", , "OPEN_INT", "."&amp;Table1[[#This Row],[Ticker]]&amp;Table1[[#This Row],[Expiry]]&amp;""&amp;"P"&amp;Table1[[#This Row],[Strike]]))</f>
        <v>0</v>
      </c>
      <c r="U8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2" t="b">
        <f>IF(
    ISNUMBER(Table1[[#This Row],[Strike]]),RTD("tos.rtd", , "DELTA", "."&amp;Table1[[#This Row],[Ticker]]&amp;Table1[[#This Row],[Expiry]]&amp;""&amp;"P"&amp;Table1[[#This Row],[Strike]]))</f>
        <v>0</v>
      </c>
      <c r="Y82" s="19">
        <f>-14* IF($M$1="NDX", 10, IF(OR($M$1="SPX", $M$1="RUT"), 2, 1))</f>
        <v>-28</v>
      </c>
      <c r="Z82">
        <f ca="1">IFERROR(Table1[[#This Row],[call gamma]]*(Table1[[#This Row],[Open.Int]])*$A$4^2,0)</f>
        <v>0</v>
      </c>
      <c r="AA82">
        <f ca="1">IFERROR(((Table1[[#This Row],[Open.Int8]])*Table1[[#This Row],[Put gamma]])*-1*$A$4^2,0)</f>
        <v>0</v>
      </c>
      <c r="AB82">
        <f ca="1">(Table1[[#This Row],[Call Gex]]+Table1[[#This Row],[Put Gex]])</f>
        <v>0</v>
      </c>
      <c r="AC82">
        <f ca="1">Table1[[#This Row],[call delta adj]]+Table1[[#This Row],[put delta adj]]</f>
        <v>0</v>
      </c>
      <c r="AD82">
        <f ca="1">Table1[[#This Row],[Put Gex]]*Table1[[#This Row],[DeltaP]]*-1</f>
        <v>0</v>
      </c>
      <c r="AE82">
        <f ca="1">Table1[[#This Row],[Call Gex]]*Table1[[#This Row],[DeltaC]]</f>
        <v>0</v>
      </c>
      <c r="AF82">
        <f>IF(Table1[[#This Row],[DeltaC]]-ABS(Table1[[#This Row],[DeltaP]])="0","0.01",Table1[[#This Row],[DeltaC]]-ABS(Table1[[#This Row],[DeltaP]]))</f>
        <v>0</v>
      </c>
      <c r="AG82" t="e">
        <f ca="1">((LN($A$4/Table1[[#This Row],[Strike]]) + (0.411 + 0.5 * Table1[[#This Row],[IV Calc P]]^2) *Table1[[#This Row],[T]])) / (Table1[[#This Row],[IV Calc P]] * SQRT(Table1[[#This Row],[T]]))</f>
        <v>#DIV/0!</v>
      </c>
      <c r="AH82" t="e">
        <f ca="1">(LN($A$4/Table1[[#This Row],[Strike]]) + (0.411-0 + 0.5 * Table1[[#This Row],[IV Calc C]]^2) *Table1[[#This Row],[T]]) / (Table1[[#This Row],[IV Calc C]] * SQRT(Table1[[#This Row],[T]]))</f>
        <v>#DIV/0!</v>
      </c>
      <c r="AI82" t="e">
        <f ca="1">(EXP(-(AG82^2)/2)/SQRT(2*PI())*EXP(0*SQRT(Table1[[#This Row],[T]]))/$A$4*18%*SQRT(SQRT(Table1[[#This Row],[T]])))</f>
        <v>#DIV/0!</v>
      </c>
      <c r="AJ82" t="e">
        <f ca="1">(EXP(-(AH82^2)/2)/SQRT(2*PI())*EXP(0*SQRT(Table1[[#This Row],[T]]))/$A$4*18%*SQRT(SQRT(Table1[[#This Row],[T]])))</f>
        <v>#DIV/0!</v>
      </c>
      <c r="AK82" t="e">
        <f ca="1">Table1[[#This Row],[Call D1]]-Table1[[#This Row],[IV Calc C]]*SQRT(Table1[[#This Row],[T]])</f>
        <v>#DIV/0!</v>
      </c>
      <c r="AL82" t="e">
        <f ca="1">Table1[[#This Row],[Put D1]]-Table1[[#This Row],[IV Calc P]]*SQRT(Table1[[#This Row],[T]])</f>
        <v>#DIV/0!</v>
      </c>
      <c r="AM82" t="e">
        <f ca="1">EXP(-0.5*Table1[[#This Row],[Call D1]]^2)/SQRT(2*PI())</f>
        <v>#DIV/0!</v>
      </c>
      <c r="AN82" t="e">
        <f ca="1">EXP(-0.5*Table1[[#This Row],[Put D1]]^2)/SQRT(2*PI())</f>
        <v>#DIV/0!</v>
      </c>
      <c r="AO82">
        <f ca="1">IFERROR((EXP(0*Table1[[#This Row],[T]])*Table1[[#This Row],[call N(d1)]]*(Table1[[#This Row],[call d2]]/Table1[[#This Row],[IV Calc C]]))*Table1[[#This Row],[Open.Int]]*Table1[[#This Row],[DeltaC]],0)</f>
        <v>0</v>
      </c>
      <c r="AP82">
        <f ca="1">IFERROR((EXP(0*Table1[[#This Row],[T]])*Table1[[#This Row],[put N(d1)]]*(Table1[[#This Row],[put d2]]/Table1[[#This Row],[IV Calc P]]))*Table1[[#This Row],[Open.Int8]]*Table1[[#This Row],[DeltaP]]*-1,0)</f>
        <v>0</v>
      </c>
      <c r="AQ82">
        <f ca="1">((Table1[[#This Row],[call vanna]]+Table1[[#This Row],[put vanna]])*$A$4)</f>
        <v>0</v>
      </c>
      <c r="AR8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2" s="9" t="str" cm="1">
        <f t="array" ref="AT82">_xlfn.IFS(     $M$1="SPX","SPXW",     $M$1="RUT","RUTW",  $M$1="NDX","NDXP",   TRUE,$M$1 )</f>
        <v>SPXW</v>
      </c>
      <c r="AU82" s="2">
        <f t="shared" si="12"/>
        <v>6915</v>
      </c>
      <c r="AV82" t="str">
        <f t="shared" si="13"/>
        <v>260123</v>
      </c>
      <c r="AW82" s="19">
        <f ca="1">IFERROR((EXP(0*Table1[[#This Row],[T]])*Table1[[#This Row],[put N(d1)]]*(Table1[[#This Row],[put d2]]/Table1[[#This Row],[IV Calc P]]))*Table1[[#This Row],[Open.Int8]]*Table1[[#This Row],[DeltaP]]*-1,0)</f>
        <v>0</v>
      </c>
      <c r="AX82">
        <f ca="1">IFERROR((EXP(0*Table1[[#This Row],[T]])*Table1[[#This Row],[call N(d1)]]*(Table1[[#This Row],[call d2]]/Table1[[#This Row],[IV Calc C]]))*Table1[[#This Row],[Open.Int]]*Table1[[#This Row],[DeltaC]],0)</f>
        <v>0</v>
      </c>
      <c r="AY8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2">
        <f>((Table1[[#This Row],[High C]]+Table1[[#This Row],[Low C]])/2)*Table1[[#This Row],[gammac]]*Table1[[#This Row],[Volume]]</f>
        <v>0</v>
      </c>
      <c r="BD82">
        <f>((Table1[[#This Row],[High P]]+Table1[[#This Row],[Low P]])/2)*Table1[[#This Row],[gammap]]*Table1[[#This Row],[Volume9]]*-1</f>
        <v>0</v>
      </c>
      <c r="BE82">
        <f>(Table1[[#This Row],[SgammaC]]+Table1[[#This Row],[SgammaP]])*$A$4*-100</f>
        <v>0</v>
      </c>
      <c r="BF82">
        <f>Table1[[#This Row],[DEXc]]+Table1[[#This Row],[DEXp]]</f>
        <v>0</v>
      </c>
      <c r="BG82">
        <f>IFERROR(Table1[[#This Row],[DeltaC]]*Table1[[#This Row],[Open.Int]]*$A$4,0)</f>
        <v>0</v>
      </c>
      <c r="BH82">
        <f>IFERROR(Table1[[#This Row],[DeltaP]]*Table1[[#This Row],[Open.Int8]]*$A$4,0)</f>
        <v>0</v>
      </c>
      <c r="BI8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2">
        <f ca="1">Table1[[#This Row],[Charmc]]+Table1[[#This Row],[Charmp]]</f>
        <v>0</v>
      </c>
      <c r="BL8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2" s="78">
        <f ca="1">Table1[[#This Row],[call helper]]+Table1[[#This Row],[put helper]]</f>
        <v>0</v>
      </c>
      <c r="BP82" t="str">
        <f>RTD("tos.rtd", , "STRIKE", "."&amp;Table1[[#This Row],[Ticker]]&amp;Table1[[#This Row],[Expiry]]&amp;""&amp;"C"&amp;Table1[[#This Row],[Spot]]+Table1[[#This Row],[step]])</f>
        <v>N/A</v>
      </c>
    </row>
    <row r="83" spans="1:68" x14ac:dyDescent="0.25">
      <c r="A83">
        <f t="shared" ca="1" si="9"/>
        <v>2.5814307458086375E-3</v>
      </c>
      <c r="C83" s="17"/>
      <c r="D83" t="b">
        <f>IF(
    ISNUMBER(Table1[[#This Row],[Strike]]),RTD("tos.rtd", , "OPEN_INT", "."&amp;Table1[[#This Row],[Ticker]]&amp;Table1[[#This Row],[Expiry]]&amp;""&amp;"C"&amp;Table1[[#This Row],[Strike]]))</f>
        <v>0</v>
      </c>
      <c r="E8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3" t="b">
        <f>IF(
    ISNUMBER(Table1[[#This Row],[Strike]]),RTD("tos.rtd", , "DELTA", "."&amp;Table1[[#This Row],[Ticker]]&amp;Table1[[#This Row],[Expiry]]&amp;""&amp;"C"&amp;Table1[[#This Row],[Strike]]))</f>
        <v>0</v>
      </c>
      <c r="H83" s="17" t="b" cm="1">
        <f t="array" ref="H83">IF(
    ISNUMBER(Table1[[#This Row],[Strike]]),IndividualLegIVCore($A$4, Table1[[#This Row],[Strike]], 0.0411, Table1[[#This Row],[T]], ((Table1[[#This Row],[BIDC]]+Table1[[#This Row],[ASKC]])/2), TRUE))</f>
        <v>0</v>
      </c>
      <c r="I83" t="b">
        <f>IF(
    ISNUMBER(Table1[[#This Row],[Strike]]),RTD("tos.rtd", , "BID", "."&amp;Table1[[#This Row],[Ticker]]&amp;Table1[[#This Row],[Expiry]]&amp;""&amp;"C"&amp;Table1[[#This Row],[Strike]]))</f>
        <v>0</v>
      </c>
      <c r="J83" t="b">
        <f>IF(
    ISNUMBER(Table1[[#This Row],[Strike]]),RTD("tos.rtd", , "ASK", "."&amp;Table1[[#This Row],[Ticker]]&amp;Table1[[#This Row],[Expiry]]&amp;""&amp;"C"&amp;Table1[[#This Row],[Strike]]))</f>
        <v>0</v>
      </c>
      <c r="K8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3" s="17" cm="1">
        <f t="array" aca="1" ref="L8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3" s="1">
        <f t="shared" si="10"/>
        <v>46045</v>
      </c>
      <c r="N83" t="b">
        <f t="shared" si="11"/>
        <v>0</v>
      </c>
      <c r="P83" s="17" t="b" cm="1">
        <f t="array" ref="P83">IF(
    ISNUMBER(Table1[[#This Row],[Strike]]),IndividualLegIVCore($A$4, Table1[[#This Row],[Strike]], 0.0411, Table1[[#This Row],[T]], ((Table1[[#This Row],[BIDP]]+Table1[[#This Row],[ASKP]])/2), FALSE))</f>
        <v>0</v>
      </c>
      <c r="Q83" t="b">
        <f>IF(
    ISNUMBER(Table1[[#This Row],[Strike]]),RTD("tos.rtd", , "BID", "."&amp;Table1[[#This Row],[Ticker]]&amp;Table1[[#This Row],[Expiry]]&amp;""&amp;"P"&amp;Table1[[#This Row],[Strike]]))</f>
        <v>0</v>
      </c>
      <c r="R83" t="b">
        <f>IF(
    ISNUMBER(Table1[[#This Row],[Strike]]),RTD("tos.rtd", , "ASK", "."&amp;Table1[[#This Row],[Ticker]]&amp;Table1[[#This Row],[Expiry]]&amp;""&amp;"P"&amp;Table1[[#This Row],[Strike]]))</f>
        <v>0</v>
      </c>
      <c r="S83" s="17"/>
      <c r="T83" t="b">
        <f>IF(
    ISNUMBER(Table1[[#This Row],[Strike]]),RTD("tos.rtd", , "OPEN_INT", "."&amp;Table1[[#This Row],[Ticker]]&amp;Table1[[#This Row],[Expiry]]&amp;""&amp;"P"&amp;Table1[[#This Row],[Strike]]))</f>
        <v>0</v>
      </c>
      <c r="U8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3" t="b">
        <f>IF(
    ISNUMBER(Table1[[#This Row],[Strike]]),RTD("tos.rtd", , "DELTA", "."&amp;Table1[[#This Row],[Ticker]]&amp;Table1[[#This Row],[Expiry]]&amp;""&amp;"P"&amp;Table1[[#This Row],[Strike]]))</f>
        <v>0</v>
      </c>
      <c r="Y83" s="19">
        <f>-13.5* IF($M$1="NDX", 10, IF(OR($M$1="SPX", $M$1="RUT"), 2, 1))</f>
        <v>-27</v>
      </c>
      <c r="Z83">
        <f ca="1">IFERROR(Table1[[#This Row],[call gamma]]*(Table1[[#This Row],[Open.Int]])*$A$4^2,0)</f>
        <v>0</v>
      </c>
      <c r="AA83">
        <f ca="1">IFERROR(((Table1[[#This Row],[Open.Int8]])*Table1[[#This Row],[Put gamma]])*-1*$A$4^2,0)</f>
        <v>0</v>
      </c>
      <c r="AB83">
        <f ca="1">(Table1[[#This Row],[Call Gex]]+Table1[[#This Row],[Put Gex]])</f>
        <v>0</v>
      </c>
      <c r="AC83">
        <f ca="1">Table1[[#This Row],[call delta adj]]+Table1[[#This Row],[put delta adj]]</f>
        <v>0</v>
      </c>
      <c r="AD83">
        <f ca="1">Table1[[#This Row],[Put Gex]]*Table1[[#This Row],[DeltaP]]*-1</f>
        <v>0</v>
      </c>
      <c r="AE83">
        <f ca="1">Table1[[#This Row],[Call Gex]]*Table1[[#This Row],[DeltaC]]</f>
        <v>0</v>
      </c>
      <c r="AF83">
        <f>IF(Table1[[#This Row],[DeltaC]]-ABS(Table1[[#This Row],[DeltaP]])="0","0.01",Table1[[#This Row],[DeltaC]]-ABS(Table1[[#This Row],[DeltaP]]))</f>
        <v>0</v>
      </c>
      <c r="AG83" t="e">
        <f ca="1">((LN($A$4/Table1[[#This Row],[Strike]]) + (0.411 + 0.5 * Table1[[#This Row],[IV Calc P]]^2) *Table1[[#This Row],[T]])) / (Table1[[#This Row],[IV Calc P]] * SQRT(Table1[[#This Row],[T]]))</f>
        <v>#DIV/0!</v>
      </c>
      <c r="AH83" t="e">
        <f ca="1">(LN($A$4/Table1[[#This Row],[Strike]]) + (0.411-0 + 0.5 * Table1[[#This Row],[IV Calc C]]^2) *Table1[[#This Row],[T]]) / (Table1[[#This Row],[IV Calc C]] * SQRT(Table1[[#This Row],[T]]))</f>
        <v>#DIV/0!</v>
      </c>
      <c r="AI83" t="e">
        <f ca="1">(EXP(-(AG83^2)/2)/SQRT(2*PI())*EXP(0*SQRT(Table1[[#This Row],[T]]))/$A$4*18%*SQRT(SQRT(Table1[[#This Row],[T]])))</f>
        <v>#DIV/0!</v>
      </c>
      <c r="AJ83" t="e">
        <f ca="1">(EXP(-(AH83^2)/2)/SQRT(2*PI())*EXP(0*SQRT(Table1[[#This Row],[T]]))/$A$4*18%*SQRT(SQRT(Table1[[#This Row],[T]])))</f>
        <v>#DIV/0!</v>
      </c>
      <c r="AK83" t="e">
        <f ca="1">Table1[[#This Row],[Call D1]]-Table1[[#This Row],[IV Calc C]]*SQRT(Table1[[#This Row],[T]])</f>
        <v>#DIV/0!</v>
      </c>
      <c r="AL83" t="e">
        <f ca="1">Table1[[#This Row],[Put D1]]-Table1[[#This Row],[IV Calc P]]*SQRT(Table1[[#This Row],[T]])</f>
        <v>#DIV/0!</v>
      </c>
      <c r="AM83" t="e">
        <f ca="1">EXP(-0.5*Table1[[#This Row],[Call D1]]^2)/SQRT(2*PI())</f>
        <v>#DIV/0!</v>
      </c>
      <c r="AN83" t="e">
        <f ca="1">EXP(-0.5*Table1[[#This Row],[Put D1]]^2)/SQRT(2*PI())</f>
        <v>#DIV/0!</v>
      </c>
      <c r="AO83">
        <f ca="1">IFERROR((EXP(0*Table1[[#This Row],[T]])*Table1[[#This Row],[call N(d1)]]*(Table1[[#This Row],[call d2]]/Table1[[#This Row],[IV Calc C]]))*Table1[[#This Row],[Open.Int]]*Table1[[#This Row],[DeltaC]],0)</f>
        <v>0</v>
      </c>
      <c r="AP83">
        <f ca="1">IFERROR((EXP(0*Table1[[#This Row],[T]])*Table1[[#This Row],[put N(d1)]]*(Table1[[#This Row],[put d2]]/Table1[[#This Row],[IV Calc P]]))*Table1[[#This Row],[Open.Int8]]*Table1[[#This Row],[DeltaP]]*-1,0)</f>
        <v>0</v>
      </c>
      <c r="AQ83">
        <f ca="1">((Table1[[#This Row],[call vanna]]+Table1[[#This Row],[put vanna]])*$A$4)</f>
        <v>0</v>
      </c>
      <c r="AR8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3" s="9" t="str" cm="1">
        <f t="array" ref="AT83">_xlfn.IFS(     $M$1="SPX","SPXW",     $M$1="RUT","RUTW",  $M$1="NDX","NDXP",   TRUE,$M$1 )</f>
        <v>SPXW</v>
      </c>
      <c r="AU83" s="2">
        <f t="shared" si="12"/>
        <v>6915</v>
      </c>
      <c r="AV83" t="str">
        <f t="shared" si="13"/>
        <v>260123</v>
      </c>
      <c r="AW83" s="19">
        <f ca="1">IFERROR((EXP(0*Table1[[#This Row],[T]])*Table1[[#This Row],[put N(d1)]]*(Table1[[#This Row],[put d2]]/Table1[[#This Row],[IV Calc P]]))*Table1[[#This Row],[Open.Int8]]*Table1[[#This Row],[DeltaP]]*-1,0)</f>
        <v>0</v>
      </c>
      <c r="AX83">
        <f ca="1">IFERROR((EXP(0*Table1[[#This Row],[T]])*Table1[[#This Row],[call N(d1)]]*(Table1[[#This Row],[call d2]]/Table1[[#This Row],[IV Calc C]]))*Table1[[#This Row],[Open.Int]]*Table1[[#This Row],[DeltaC]],0)</f>
        <v>0</v>
      </c>
      <c r="AY8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3">
        <f>((Table1[[#This Row],[High C]]+Table1[[#This Row],[Low C]])/2)*Table1[[#This Row],[gammac]]*Table1[[#This Row],[Volume]]</f>
        <v>0</v>
      </c>
      <c r="BD83">
        <f>((Table1[[#This Row],[High P]]+Table1[[#This Row],[Low P]])/2)*Table1[[#This Row],[gammap]]*Table1[[#This Row],[Volume9]]*-1</f>
        <v>0</v>
      </c>
      <c r="BE83">
        <f>(Table1[[#This Row],[SgammaC]]+Table1[[#This Row],[SgammaP]])*$A$4*-100</f>
        <v>0</v>
      </c>
      <c r="BF83">
        <f>Table1[[#This Row],[DEXc]]+Table1[[#This Row],[DEXp]]</f>
        <v>0</v>
      </c>
      <c r="BG83">
        <f>IFERROR(Table1[[#This Row],[DeltaC]]*Table1[[#This Row],[Open.Int]]*$A$4,0)</f>
        <v>0</v>
      </c>
      <c r="BH83">
        <f>IFERROR(Table1[[#This Row],[DeltaP]]*Table1[[#This Row],[Open.Int8]]*$A$4,0)</f>
        <v>0</v>
      </c>
      <c r="BI8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3">
        <f ca="1">Table1[[#This Row],[Charmc]]+Table1[[#This Row],[Charmp]]</f>
        <v>0</v>
      </c>
      <c r="BL8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3" s="78">
        <f ca="1">Table1[[#This Row],[call helper]]+Table1[[#This Row],[put helper]]</f>
        <v>0</v>
      </c>
      <c r="BP83" t="str">
        <f>RTD("tos.rtd", , "STRIKE", "."&amp;Table1[[#This Row],[Ticker]]&amp;Table1[[#This Row],[Expiry]]&amp;""&amp;"C"&amp;Table1[[#This Row],[Spot]]+Table1[[#This Row],[step]])</f>
        <v>N/A</v>
      </c>
    </row>
    <row r="84" spans="1:68" x14ac:dyDescent="0.25">
      <c r="A84">
        <f t="shared" ca="1" si="9"/>
        <v>2.5814307458086375E-3</v>
      </c>
      <c r="C84" s="17"/>
      <c r="D84" t="b">
        <f>IF(
    ISNUMBER(Table1[[#This Row],[Strike]]),RTD("tos.rtd", , "OPEN_INT", "."&amp;Table1[[#This Row],[Ticker]]&amp;Table1[[#This Row],[Expiry]]&amp;""&amp;"C"&amp;Table1[[#This Row],[Strike]]))</f>
        <v>0</v>
      </c>
      <c r="E8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4" t="b">
        <f>IF(
    ISNUMBER(Table1[[#This Row],[Strike]]),RTD("tos.rtd", , "DELTA", "."&amp;Table1[[#This Row],[Ticker]]&amp;Table1[[#This Row],[Expiry]]&amp;""&amp;"C"&amp;Table1[[#This Row],[Strike]]))</f>
        <v>0</v>
      </c>
      <c r="H84" s="17" t="b" cm="1">
        <f t="array" ref="H84">IF(
    ISNUMBER(Table1[[#This Row],[Strike]]),IndividualLegIVCore($A$4, Table1[[#This Row],[Strike]], 0.0411, Table1[[#This Row],[T]], ((Table1[[#This Row],[BIDC]]+Table1[[#This Row],[ASKC]])/2), TRUE))</f>
        <v>0</v>
      </c>
      <c r="I84" t="b">
        <f>IF(
    ISNUMBER(Table1[[#This Row],[Strike]]),RTD("tos.rtd", , "BID", "."&amp;Table1[[#This Row],[Ticker]]&amp;Table1[[#This Row],[Expiry]]&amp;""&amp;"C"&amp;Table1[[#This Row],[Strike]]))</f>
        <v>0</v>
      </c>
      <c r="J84" t="b">
        <f>IF(
    ISNUMBER(Table1[[#This Row],[Strike]]),RTD("tos.rtd", , "ASK", "."&amp;Table1[[#This Row],[Ticker]]&amp;Table1[[#This Row],[Expiry]]&amp;""&amp;"C"&amp;Table1[[#This Row],[Strike]]))</f>
        <v>0</v>
      </c>
      <c r="K8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4" s="17" cm="1">
        <f t="array" aca="1" ref="L8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4" s="1">
        <f t="shared" si="10"/>
        <v>46045</v>
      </c>
      <c r="N84" t="b">
        <f t="shared" si="11"/>
        <v>0</v>
      </c>
      <c r="P84" s="17" t="b" cm="1">
        <f t="array" ref="P84">IF(
    ISNUMBER(Table1[[#This Row],[Strike]]),IndividualLegIVCore($A$4, Table1[[#This Row],[Strike]], 0.0411, Table1[[#This Row],[T]], ((Table1[[#This Row],[BIDP]]+Table1[[#This Row],[ASKP]])/2), FALSE))</f>
        <v>0</v>
      </c>
      <c r="Q84" t="b">
        <f>IF(
    ISNUMBER(Table1[[#This Row],[Strike]]),RTD("tos.rtd", , "BID", "."&amp;Table1[[#This Row],[Ticker]]&amp;Table1[[#This Row],[Expiry]]&amp;""&amp;"P"&amp;Table1[[#This Row],[Strike]]))</f>
        <v>0</v>
      </c>
      <c r="R84" t="b">
        <f>IF(
    ISNUMBER(Table1[[#This Row],[Strike]]),RTD("tos.rtd", , "ASK", "."&amp;Table1[[#This Row],[Ticker]]&amp;Table1[[#This Row],[Expiry]]&amp;""&amp;"P"&amp;Table1[[#This Row],[Strike]]))</f>
        <v>0</v>
      </c>
      <c r="S84" s="17"/>
      <c r="T84" t="b">
        <f>IF(
    ISNUMBER(Table1[[#This Row],[Strike]]),RTD("tos.rtd", , "OPEN_INT", "."&amp;Table1[[#This Row],[Ticker]]&amp;Table1[[#This Row],[Expiry]]&amp;""&amp;"P"&amp;Table1[[#This Row],[Strike]]))</f>
        <v>0</v>
      </c>
      <c r="U8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4" t="b">
        <f>IF(
    ISNUMBER(Table1[[#This Row],[Strike]]),RTD("tos.rtd", , "DELTA", "."&amp;Table1[[#This Row],[Ticker]]&amp;Table1[[#This Row],[Expiry]]&amp;""&amp;"P"&amp;Table1[[#This Row],[Strike]]))</f>
        <v>0</v>
      </c>
      <c r="Y84" s="19">
        <f>-13* IF($M$1="NDX", 10, IF(OR($M$1="SPX", $M$1="RUT"), 2, 1))</f>
        <v>-26</v>
      </c>
      <c r="Z84">
        <f ca="1">IFERROR(Table1[[#This Row],[call gamma]]*(Table1[[#This Row],[Open.Int]])*$A$4^2,0)</f>
        <v>0</v>
      </c>
      <c r="AA84">
        <f ca="1">IFERROR(((Table1[[#This Row],[Open.Int8]])*Table1[[#This Row],[Put gamma]])*-1*$A$4^2,0)</f>
        <v>0</v>
      </c>
      <c r="AB84">
        <f ca="1">(Table1[[#This Row],[Call Gex]]+Table1[[#This Row],[Put Gex]])</f>
        <v>0</v>
      </c>
      <c r="AC84">
        <f ca="1">Table1[[#This Row],[call delta adj]]+Table1[[#This Row],[put delta adj]]</f>
        <v>0</v>
      </c>
      <c r="AD84">
        <f ca="1">Table1[[#This Row],[Put Gex]]*Table1[[#This Row],[DeltaP]]*-1</f>
        <v>0</v>
      </c>
      <c r="AE84">
        <f ca="1">Table1[[#This Row],[Call Gex]]*Table1[[#This Row],[DeltaC]]</f>
        <v>0</v>
      </c>
      <c r="AF84">
        <f>IF(Table1[[#This Row],[DeltaC]]-ABS(Table1[[#This Row],[DeltaP]])="0","0.01",Table1[[#This Row],[DeltaC]]-ABS(Table1[[#This Row],[DeltaP]]))</f>
        <v>0</v>
      </c>
      <c r="AG84" t="e">
        <f ca="1">((LN($A$4/Table1[[#This Row],[Strike]]) + (0.411 + 0.5 * Table1[[#This Row],[IV Calc P]]^2) *Table1[[#This Row],[T]])) / (Table1[[#This Row],[IV Calc P]] * SQRT(Table1[[#This Row],[T]]))</f>
        <v>#DIV/0!</v>
      </c>
      <c r="AH84" t="e">
        <f ca="1">(LN($A$4/Table1[[#This Row],[Strike]]) + (0.411-0 + 0.5 * Table1[[#This Row],[IV Calc C]]^2) *Table1[[#This Row],[T]]) / (Table1[[#This Row],[IV Calc C]] * SQRT(Table1[[#This Row],[T]]))</f>
        <v>#DIV/0!</v>
      </c>
      <c r="AI84" t="e">
        <f ca="1">(EXP(-(AG84^2)/2)/SQRT(2*PI())*EXP(0*SQRT(Table1[[#This Row],[T]]))/$A$4*18%*SQRT(SQRT(Table1[[#This Row],[T]])))</f>
        <v>#DIV/0!</v>
      </c>
      <c r="AJ84" t="e">
        <f ca="1">(EXP(-(AH84^2)/2)/SQRT(2*PI())*EXP(0*SQRT(Table1[[#This Row],[T]]))/$A$4*18%*SQRT(SQRT(Table1[[#This Row],[T]])))</f>
        <v>#DIV/0!</v>
      </c>
      <c r="AK84" t="e">
        <f ca="1">Table1[[#This Row],[Call D1]]-Table1[[#This Row],[IV Calc C]]*SQRT(Table1[[#This Row],[T]])</f>
        <v>#DIV/0!</v>
      </c>
      <c r="AL84" t="e">
        <f ca="1">Table1[[#This Row],[Put D1]]-Table1[[#This Row],[IV Calc P]]*SQRT(Table1[[#This Row],[T]])</f>
        <v>#DIV/0!</v>
      </c>
      <c r="AM84" t="e">
        <f ca="1">EXP(-0.5*Table1[[#This Row],[Call D1]]^2)/SQRT(2*PI())</f>
        <v>#DIV/0!</v>
      </c>
      <c r="AN84" t="e">
        <f ca="1">EXP(-0.5*Table1[[#This Row],[Put D1]]^2)/SQRT(2*PI())</f>
        <v>#DIV/0!</v>
      </c>
      <c r="AO84">
        <f ca="1">IFERROR((EXP(0*Table1[[#This Row],[T]])*Table1[[#This Row],[call N(d1)]]*(Table1[[#This Row],[call d2]]/Table1[[#This Row],[IV Calc C]]))*Table1[[#This Row],[Open.Int]]*Table1[[#This Row],[DeltaC]],0)</f>
        <v>0</v>
      </c>
      <c r="AP84">
        <f ca="1">IFERROR((EXP(0*Table1[[#This Row],[T]])*Table1[[#This Row],[put N(d1)]]*(Table1[[#This Row],[put d2]]/Table1[[#This Row],[IV Calc P]]))*Table1[[#This Row],[Open.Int8]]*Table1[[#This Row],[DeltaP]]*-1,0)</f>
        <v>0</v>
      </c>
      <c r="AQ84">
        <f ca="1">((Table1[[#This Row],[call vanna]]+Table1[[#This Row],[put vanna]])*$A$4)</f>
        <v>0</v>
      </c>
      <c r="AR8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4" s="9" t="str" cm="1">
        <f t="array" ref="AT84">_xlfn.IFS(     $M$1="SPX","SPXW",     $M$1="RUT","RUTW",  $M$1="NDX","NDXP",   TRUE,$M$1 )</f>
        <v>SPXW</v>
      </c>
      <c r="AU84" s="2">
        <f t="shared" si="12"/>
        <v>6915</v>
      </c>
      <c r="AV84" t="str">
        <f t="shared" si="13"/>
        <v>260123</v>
      </c>
      <c r="AW84" s="19">
        <f ca="1">IFERROR((EXP(0*Table1[[#This Row],[T]])*Table1[[#This Row],[put N(d1)]]*(Table1[[#This Row],[put d2]]/Table1[[#This Row],[IV Calc P]]))*Table1[[#This Row],[Open.Int8]]*Table1[[#This Row],[DeltaP]]*-1,0)</f>
        <v>0</v>
      </c>
      <c r="AX84">
        <f ca="1">IFERROR((EXP(0*Table1[[#This Row],[T]])*Table1[[#This Row],[call N(d1)]]*(Table1[[#This Row],[call d2]]/Table1[[#This Row],[IV Calc C]]))*Table1[[#This Row],[Open.Int]]*Table1[[#This Row],[DeltaC]],0)</f>
        <v>0</v>
      </c>
      <c r="AY8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4">
        <f>((Table1[[#This Row],[High C]]+Table1[[#This Row],[Low C]])/2)*Table1[[#This Row],[gammac]]*Table1[[#This Row],[Volume]]</f>
        <v>0</v>
      </c>
      <c r="BD84">
        <f>((Table1[[#This Row],[High P]]+Table1[[#This Row],[Low P]])/2)*Table1[[#This Row],[gammap]]*Table1[[#This Row],[Volume9]]*-1</f>
        <v>0</v>
      </c>
      <c r="BE84">
        <f>(Table1[[#This Row],[SgammaC]]+Table1[[#This Row],[SgammaP]])*$A$4*-100</f>
        <v>0</v>
      </c>
      <c r="BF84">
        <f>Table1[[#This Row],[DEXc]]+Table1[[#This Row],[DEXp]]</f>
        <v>0</v>
      </c>
      <c r="BG84">
        <f>IFERROR(Table1[[#This Row],[DeltaC]]*Table1[[#This Row],[Open.Int]]*$A$4,0)</f>
        <v>0</v>
      </c>
      <c r="BH84">
        <f>IFERROR(Table1[[#This Row],[DeltaP]]*Table1[[#This Row],[Open.Int8]]*$A$4,0)</f>
        <v>0</v>
      </c>
      <c r="BI8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4">
        <f ca="1">Table1[[#This Row],[Charmc]]+Table1[[#This Row],[Charmp]]</f>
        <v>0</v>
      </c>
      <c r="BL8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4" s="78">
        <f ca="1">Table1[[#This Row],[call helper]]+Table1[[#This Row],[put helper]]</f>
        <v>0</v>
      </c>
      <c r="BP84" t="str">
        <f>RTD("tos.rtd", , "STRIKE", "."&amp;Table1[[#This Row],[Ticker]]&amp;Table1[[#This Row],[Expiry]]&amp;""&amp;"C"&amp;Table1[[#This Row],[Spot]]+Table1[[#This Row],[step]])</f>
        <v>N/A</v>
      </c>
    </row>
    <row r="85" spans="1:68" x14ac:dyDescent="0.25">
      <c r="A85">
        <f t="shared" ca="1" si="9"/>
        <v>2.5814307458086375E-3</v>
      </c>
      <c r="C85" s="17"/>
      <c r="D85">
        <f>IF(
    ISNUMBER(Table1[[#This Row],[Strike]]),RTD("tos.rtd", , "OPEN_INT", "."&amp;Table1[[#This Row],[Ticker]]&amp;Table1[[#This Row],[Expiry]]&amp;""&amp;"C"&amp;Table1[[#This Row],[Strike]]))</f>
        <v>518</v>
      </c>
      <c r="E8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1441</v>
      </c>
      <c r="G85">
        <f>IF(
    ISNUMBER(Table1[[#This Row],[Strike]]),RTD("tos.rtd", , "DELTA", "."&amp;Table1[[#This Row],[Ticker]]&amp;Table1[[#This Row],[Expiry]]&amp;""&amp;"C"&amp;Table1[[#This Row],[Strike]]))</f>
        <v>0.74</v>
      </c>
      <c r="H85" s="17" cm="1">
        <f t="array" aca="1" ref="H85" ca="1">IF(
    ISNUMBER(Table1[[#This Row],[Strike]]),IndividualLegIVCore($A$4, Table1[[#This Row],[Strike]], 0.0411, Table1[[#This Row],[T]], ((Table1[[#This Row],[BIDC]]+Table1[[#This Row],[ASKC]])/2), TRUE))</f>
        <v>0.10796809188356382</v>
      </c>
      <c r="I85">
        <f>IF(
    ISNUMBER(Table1[[#This Row],[Strike]]),RTD("tos.rtd", , "BID", "."&amp;Table1[[#This Row],[Ticker]]&amp;Table1[[#This Row],[Expiry]]&amp;""&amp;"C"&amp;Table1[[#This Row],[Strike]]))</f>
        <v>29.8</v>
      </c>
      <c r="J85">
        <f>IF(
    ISNUMBER(Table1[[#This Row],[Strike]]),RTD("tos.rtd", , "ASK", "."&amp;Table1[[#This Row],[Ticker]]&amp;Table1[[#This Row],[Expiry]]&amp;""&amp;"C"&amp;Table1[[#This Row],[Strike]]))</f>
        <v>30.4</v>
      </c>
      <c r="K8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0.10796809188356382</v>
      </c>
      <c r="L85" s="17" cm="1">
        <f t="array" aca="1" ref="L85" ca="1">CubicSplineIVSmile($A$4, Table1[[#This Row],[Strike]], 0.0411, Table1[[#This Row],[T]], (Table1[[#This Row],[BIDC]]+Table1[[#This Row],[ASKC]])/2, (Table1[[#This Row],[BIDP]]+Table1[[#This Row],[ASKP]])/2, Table1[Strike], Table1[IV Calc AVG])</f>
        <v>0.12014418077332148</v>
      </c>
      <c r="M85" s="1">
        <f t="shared" si="10"/>
        <v>46045</v>
      </c>
      <c r="N85">
        <f t="shared" si="11"/>
        <v>6890</v>
      </c>
      <c r="P85" s="17" cm="1">
        <f t="array" aca="1" ref="P85" ca="1">IF(
    ISNUMBER(Table1[[#This Row],[Strike]]),IndividualLegIVCore($A$4, Table1[[#This Row],[Strike]], 0.0411, Table1[[#This Row],[T]], ((Table1[[#This Row],[BIDP]]+Table1[[#This Row],[ASKP]])/2), FALSE))</f>
        <v>0.14917480670609184</v>
      </c>
      <c r="Q85">
        <f>IF(
    ISNUMBER(Table1[[#This Row],[Strike]]),RTD("tos.rtd", , "BID", "."&amp;Table1[[#This Row],[Ticker]]&amp;Table1[[#This Row],[Expiry]]&amp;""&amp;"P"&amp;Table1[[#This Row],[Strike]]))</f>
        <v>10.8</v>
      </c>
      <c r="R85">
        <f>IF(
    ISNUMBER(Table1[[#This Row],[Strike]]),RTD("tos.rtd", , "ASK", "."&amp;Table1[[#This Row],[Ticker]]&amp;Table1[[#This Row],[Expiry]]&amp;""&amp;"P"&amp;Table1[[#This Row],[Strike]]))</f>
        <v>11.2</v>
      </c>
      <c r="S85" s="17"/>
      <c r="T85">
        <f>IF(
    ISNUMBER(Table1[[#This Row],[Strike]]),RTD("tos.rtd", , "OPEN_INT", "."&amp;Table1[[#This Row],[Ticker]]&amp;Table1[[#This Row],[Expiry]]&amp;""&amp;"P"&amp;Table1[[#This Row],[Strike]]))</f>
        <v>767</v>
      </c>
      <c r="U8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4387</v>
      </c>
      <c r="W85">
        <f>IF(
    ISNUMBER(Table1[[#This Row],[Strike]]),RTD("tos.rtd", , "DELTA", "."&amp;Table1[[#This Row],[Ticker]]&amp;Table1[[#This Row],[Expiry]]&amp;""&amp;"P"&amp;Table1[[#This Row],[Strike]]))</f>
        <v>-0.32</v>
      </c>
      <c r="Y85" s="19">
        <f>-12.5* IF($M$1="NDX", 10, IF(OR($M$1="SPX", $M$1="RUT"), 2, 1))</f>
        <v>-25</v>
      </c>
      <c r="Z85">
        <f ca="1">IFERROR(Table1[[#This Row],[call gamma]]*(Table1[[#This Row],[Open.Int]])*$A$4^2,0)</f>
        <v>41655.666834839954</v>
      </c>
      <c r="AA85">
        <f ca="1">IFERROR(((Table1[[#This Row],[Open.Int8]])*Table1[[#This Row],[Put gamma]])*-1*$A$4^2,0)</f>
        <v>-72111.214393581104</v>
      </c>
      <c r="AB85">
        <f ca="1">(Table1[[#This Row],[Call Gex]]+Table1[[#This Row],[Put Gex]])</f>
        <v>-30455.547558741149</v>
      </c>
      <c r="AC85">
        <f ca="1">Table1[[#This Row],[call delta adj]]+Table1[[#This Row],[put delta adj]]</f>
        <v>7749.604851835611</v>
      </c>
      <c r="AD85">
        <f ca="1">Table1[[#This Row],[Put Gex]]*Table1[[#This Row],[DeltaP]]*-1</f>
        <v>-23075.588605945955</v>
      </c>
      <c r="AE85">
        <f ca="1">Table1[[#This Row],[Call Gex]]*Table1[[#This Row],[DeltaC]]</f>
        <v>30825.193457781566</v>
      </c>
      <c r="AF85">
        <f>IF(Table1[[#This Row],[DeltaC]]-ABS(Table1[[#This Row],[DeltaP]])="0","0.01",Table1[[#This Row],[DeltaC]]-ABS(Table1[[#This Row],[DeltaP]]))</f>
        <v>0.42</v>
      </c>
      <c r="AG85">
        <f ca="1">((LN($A$4/Table1[[#This Row],[Strike]]) + (0.411 + 0.5 * Table1[[#This Row],[IV Calc P]]^2) *Table1[[#This Row],[T]])) / (Table1[[#This Row],[IV Calc P]] * SQRT(Table1[[#This Row],[T]]))</f>
        <v>0.5901554423824803</v>
      </c>
      <c r="AH85">
        <f ca="1">(LN($A$4/Table1[[#This Row],[Strike]]) + (0.411-0 + 0.5 * Table1[[#This Row],[IV Calc C]]^2) *Table1[[#This Row],[T]]) / (Table1[[#This Row],[IV Calc C]] * SQRT(Table1[[#This Row],[T]]))</f>
        <v>0.81289890859451808</v>
      </c>
      <c r="AI85">
        <f ca="1">(EXP(-(AG85^2)/2)/SQRT(2*PI())*EXP(0*SQRT(Table1[[#This Row],[T]]))/$A$4*18%*SQRT(SQRT(Table1[[#This Row],[T]])))</f>
        <v>1.9671177481082866E-6</v>
      </c>
      <c r="AJ85">
        <f ca="1">(EXP(-(AH85^2)/2)/SQRT(2*PI())*EXP(0*SQRT(Table1[[#This Row],[T]]))/$A$4*18%*SQRT(SQRT(Table1[[#This Row],[T]])))</f>
        <v>1.6825471479139784E-6</v>
      </c>
      <c r="AK85">
        <f ca="1">Table1[[#This Row],[Call D1]]-Table1[[#This Row],[IV Calc C]]*SQRT(Table1[[#This Row],[T]])</f>
        <v>0.8074132892829643</v>
      </c>
      <c r="AL85">
        <f ca="1">Table1[[#This Row],[Put D1]]-Table1[[#This Row],[IV Calc P]]*SQRT(Table1[[#This Row],[T]])</f>
        <v>0.58257620127347987</v>
      </c>
      <c r="AM85">
        <f ca="1">EXP(-0.5*Table1[[#This Row],[Call D1]]^2)/SQRT(2*PI())</f>
        <v>0.28669370846364101</v>
      </c>
      <c r="AN85">
        <f ca="1">EXP(-0.5*Table1[[#This Row],[Put D1]]^2)/SQRT(2*PI())</f>
        <v>0.33518245410775493</v>
      </c>
      <c r="AO85">
        <f ca="1">IFERROR((EXP(0*Table1[[#This Row],[T]])*Table1[[#This Row],[call N(d1)]]*(Table1[[#This Row],[call d2]]/Table1[[#This Row],[IV Calc C]]))*Table1[[#This Row],[Open.Int]]*Table1[[#This Row],[DeltaC]],0)</f>
        <v>821.82643913946936</v>
      </c>
      <c r="AP85">
        <f ca="1">IFERROR((EXP(0*Table1[[#This Row],[T]])*Table1[[#This Row],[put N(d1)]]*(Table1[[#This Row],[put d2]]/Table1[[#This Row],[IV Calc P]]))*Table1[[#This Row],[Open.Int8]]*Table1[[#This Row],[DeltaP]]*-1,0)</f>
        <v>321.28013548069345</v>
      </c>
      <c r="AQ85">
        <f ca="1">((Table1[[#This Row],[call vanna]]+Table1[[#This Row],[put vanna]])*$A$4)</f>
        <v>7902695.8376503028</v>
      </c>
      <c r="AR8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41655.666834839954</v>
      </c>
      <c r="AS8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-72111.214393581104</v>
      </c>
      <c r="AT85" s="9" t="str" cm="1">
        <f t="array" ref="AT85">_xlfn.IFS(     $M$1="SPX","SPXW",     $M$1="RUT","RUTW",  $M$1="NDX","NDXP",   TRUE,$M$1 )</f>
        <v>SPXW</v>
      </c>
      <c r="AU85" s="2">
        <f t="shared" si="12"/>
        <v>6915</v>
      </c>
      <c r="AV85" t="str">
        <f t="shared" si="13"/>
        <v>260123</v>
      </c>
      <c r="AW85" s="19">
        <f ca="1">IFERROR((EXP(0*Table1[[#This Row],[T]])*Table1[[#This Row],[put N(d1)]]*(Table1[[#This Row],[put d2]]/Table1[[#This Row],[IV Calc P]]))*Table1[[#This Row],[Open.Int8]]*Table1[[#This Row],[DeltaP]]*-1,0)</f>
        <v>321.28013548069345</v>
      </c>
      <c r="AX85">
        <f ca="1">IFERROR((EXP(0*Table1[[#This Row],[T]])*Table1[[#This Row],[call N(d1)]]*(Table1[[#This Row],[call d2]]/Table1[[#This Row],[IV Calc C]]))*Table1[[#This Row],[Open.Int]]*Table1[[#This Row],[DeltaC]],0)</f>
        <v>821.82643913946936</v>
      </c>
      <c r="AY85">
        <f>IF(
    ISNUMBER(Table1[[#This Row],[Strike]]),RTD("tos.rtd", , "high", "."&amp;Table1[[#This Row],[Ticker]]&amp;Table1[[#This Row],[Expiry]]&amp;""&amp;"C"&amp;Table1[[#This Row],[Spot]]+Table1[[#This Row],[step]]))</f>
        <v>51.43</v>
      </c>
      <c r="AZ85">
        <f>IF(
    ISNUMBER(Table1[[#This Row],[Strike]]),RTD("tos.rtd", , "low", "."&amp;Table1[[#This Row],[Ticker]]&amp;Table1[[#This Row],[Expiry]]&amp;""&amp;"C"&amp;Table1[[#This Row],[Spot]]+Table1[[#This Row],[step]]))</f>
        <v>25.97</v>
      </c>
      <c r="BA85">
        <f>IF(
    ISNUMBER(Table1[[#This Row],[Strike]]),RTD("tos.rtd", , "high", "."&amp;Table1[[#This Row],[Ticker]]&amp;Table1[[#This Row],[Expiry]]&amp;""&amp;"P"&amp;Table1[[#This Row],[Spot]]+Table1[[#This Row],[step]]))</f>
        <v>22.22</v>
      </c>
      <c r="BB85">
        <f>IF(
    ISNUMBER(Table1[[#This Row],[Strike]]),RTD("tos.rtd", , "low", "."&amp;Table1[[#This Row],[Ticker]]&amp;Table1[[#This Row],[Expiry]]&amp;""&amp;"P"&amp;Table1[[#This Row],[Spot]]+Table1[[#This Row],[step]]))</f>
        <v>5.08</v>
      </c>
      <c r="BC85">
        <f>((Table1[[#This Row],[High C]]+Table1[[#This Row],[Low C]])/2)*Table1[[#This Row],[gammac]]*Table1[[#This Row],[Volume]]</f>
        <v>557.66700000000003</v>
      </c>
      <c r="BD85">
        <f>((Table1[[#This Row],[High P]]+Table1[[#This Row],[Low P]])/2)*Table1[[#This Row],[gammap]]*Table1[[#This Row],[Volume9]]*-1</f>
        <v>-598.82549999999992</v>
      </c>
      <c r="BE85">
        <f>(Table1[[#This Row],[SgammaC]]+Table1[[#This Row],[SgammaP]])*$A$4*-100</f>
        <v>28454311.597499926</v>
      </c>
      <c r="BF85">
        <f>Table1[[#This Row],[DEXc]]+Table1[[#This Row],[DEXp]]</f>
        <v>953212.69800000009</v>
      </c>
      <c r="BG85">
        <f>IFERROR(Table1[[#This Row],[DeltaC]]*Table1[[#This Row],[Open.Int]]*$A$4,0)</f>
        <v>2650025.3220000002</v>
      </c>
      <c r="BH85">
        <f>IFERROR(Table1[[#This Row],[DeltaP]]*Table1[[#This Row],[Open.Int8]]*$A$4,0)</f>
        <v>-1696812.6240000001</v>
      </c>
      <c r="BI8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-158424.9594433484</v>
      </c>
      <c r="BJ8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-480505.70774487901</v>
      </c>
      <c r="BK85">
        <f ca="1">Table1[[#This Row],[Charmc]]+Table1[[#This Row],[Charmp]]</f>
        <v>-638930.66718822741</v>
      </c>
      <c r="BL8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8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85" s="78">
        <f ca="1">Table1[[#This Row],[call helper]]+Table1[[#This Row],[put helper]]</f>
        <v>-30455.547558741149</v>
      </c>
      <c r="BP85">
        <f>RTD("tos.rtd", , "STRIKE", "."&amp;Table1[[#This Row],[Ticker]]&amp;Table1[[#This Row],[Expiry]]&amp;""&amp;"C"&amp;Table1[[#This Row],[Spot]]+Table1[[#This Row],[step]])</f>
        <v>6890</v>
      </c>
    </row>
    <row r="86" spans="1:68" x14ac:dyDescent="0.25">
      <c r="A86">
        <f t="shared" ca="1" si="9"/>
        <v>2.5814307458086375E-3</v>
      </c>
      <c r="C86" s="17"/>
      <c r="D86" t="b">
        <f>IF(
    ISNUMBER(Table1[[#This Row],[Strike]]),RTD("tos.rtd", , "OPEN_INT", "."&amp;Table1[[#This Row],[Ticker]]&amp;Table1[[#This Row],[Expiry]]&amp;""&amp;"C"&amp;Table1[[#This Row],[Strike]]))</f>
        <v>0</v>
      </c>
      <c r="E8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6" t="b">
        <f>IF(
    ISNUMBER(Table1[[#This Row],[Strike]]),RTD("tos.rtd", , "DELTA", "."&amp;Table1[[#This Row],[Ticker]]&amp;Table1[[#This Row],[Expiry]]&amp;""&amp;"C"&amp;Table1[[#This Row],[Strike]]))</f>
        <v>0</v>
      </c>
      <c r="H86" s="17" t="b" cm="1">
        <f t="array" ref="H86">IF(
    ISNUMBER(Table1[[#This Row],[Strike]]),IndividualLegIVCore($A$4, Table1[[#This Row],[Strike]], 0.0411, Table1[[#This Row],[T]], ((Table1[[#This Row],[BIDC]]+Table1[[#This Row],[ASKC]])/2), TRUE))</f>
        <v>0</v>
      </c>
      <c r="I86" t="b">
        <f>IF(
    ISNUMBER(Table1[[#This Row],[Strike]]),RTD("tos.rtd", , "BID", "."&amp;Table1[[#This Row],[Ticker]]&amp;Table1[[#This Row],[Expiry]]&amp;""&amp;"C"&amp;Table1[[#This Row],[Strike]]))</f>
        <v>0</v>
      </c>
      <c r="J86" t="b">
        <f>IF(
    ISNUMBER(Table1[[#This Row],[Strike]]),RTD("tos.rtd", , "ASK", "."&amp;Table1[[#This Row],[Ticker]]&amp;Table1[[#This Row],[Expiry]]&amp;""&amp;"C"&amp;Table1[[#This Row],[Strike]]))</f>
        <v>0</v>
      </c>
      <c r="K8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6" s="17" cm="1">
        <f t="array" aca="1" ref="L8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6" s="1">
        <f t="shared" si="10"/>
        <v>46045</v>
      </c>
      <c r="N86" t="b">
        <f t="shared" si="11"/>
        <v>0</v>
      </c>
      <c r="P86" s="17" t="b" cm="1">
        <f t="array" ref="P86">IF(
    ISNUMBER(Table1[[#This Row],[Strike]]),IndividualLegIVCore($A$4, Table1[[#This Row],[Strike]], 0.0411, Table1[[#This Row],[T]], ((Table1[[#This Row],[BIDP]]+Table1[[#This Row],[ASKP]])/2), FALSE))</f>
        <v>0</v>
      </c>
      <c r="Q86" t="b">
        <f>IF(
    ISNUMBER(Table1[[#This Row],[Strike]]),RTD("tos.rtd", , "BID", "."&amp;Table1[[#This Row],[Ticker]]&amp;Table1[[#This Row],[Expiry]]&amp;""&amp;"P"&amp;Table1[[#This Row],[Strike]]))</f>
        <v>0</v>
      </c>
      <c r="R86" t="b">
        <f>IF(
    ISNUMBER(Table1[[#This Row],[Strike]]),RTD("tos.rtd", , "ASK", "."&amp;Table1[[#This Row],[Ticker]]&amp;Table1[[#This Row],[Expiry]]&amp;""&amp;"P"&amp;Table1[[#This Row],[Strike]]))</f>
        <v>0</v>
      </c>
      <c r="S86" s="17"/>
      <c r="T86" t="b">
        <f>IF(
    ISNUMBER(Table1[[#This Row],[Strike]]),RTD("tos.rtd", , "OPEN_INT", "."&amp;Table1[[#This Row],[Ticker]]&amp;Table1[[#This Row],[Expiry]]&amp;""&amp;"P"&amp;Table1[[#This Row],[Strike]]))</f>
        <v>0</v>
      </c>
      <c r="U8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6" t="b">
        <f>IF(
    ISNUMBER(Table1[[#This Row],[Strike]]),RTD("tos.rtd", , "DELTA", "."&amp;Table1[[#This Row],[Ticker]]&amp;Table1[[#This Row],[Expiry]]&amp;""&amp;"P"&amp;Table1[[#This Row],[Strike]]))</f>
        <v>0</v>
      </c>
      <c r="Y86" s="19">
        <f>-12* IF($M$1="NDX", 10, IF(OR($M$1="SPX", $M$1="RUT"), 2, 1))</f>
        <v>-24</v>
      </c>
      <c r="Z86">
        <f ca="1">IFERROR(Table1[[#This Row],[call gamma]]*(Table1[[#This Row],[Open.Int]])*$A$4^2,0)</f>
        <v>0</v>
      </c>
      <c r="AA86">
        <f ca="1">IFERROR(((Table1[[#This Row],[Open.Int8]])*Table1[[#This Row],[Put gamma]])*-1*$A$4^2,0)</f>
        <v>0</v>
      </c>
      <c r="AB86">
        <f ca="1">(Table1[[#This Row],[Call Gex]]+Table1[[#This Row],[Put Gex]])</f>
        <v>0</v>
      </c>
      <c r="AC86">
        <f ca="1">Table1[[#This Row],[call delta adj]]+Table1[[#This Row],[put delta adj]]</f>
        <v>0</v>
      </c>
      <c r="AD86">
        <f ca="1">Table1[[#This Row],[Put Gex]]*Table1[[#This Row],[DeltaP]]*-1</f>
        <v>0</v>
      </c>
      <c r="AE86">
        <f ca="1">Table1[[#This Row],[Call Gex]]*Table1[[#This Row],[DeltaC]]</f>
        <v>0</v>
      </c>
      <c r="AF86">
        <f>IF(Table1[[#This Row],[DeltaC]]-ABS(Table1[[#This Row],[DeltaP]])="0","0.01",Table1[[#This Row],[DeltaC]]-ABS(Table1[[#This Row],[DeltaP]]))</f>
        <v>0</v>
      </c>
      <c r="AG86" t="e">
        <f ca="1">((LN($A$4/Table1[[#This Row],[Strike]]) + (0.411 + 0.5 * Table1[[#This Row],[IV Calc P]]^2) *Table1[[#This Row],[T]])) / (Table1[[#This Row],[IV Calc P]] * SQRT(Table1[[#This Row],[T]]))</f>
        <v>#DIV/0!</v>
      </c>
      <c r="AH86" t="e">
        <f ca="1">(LN($A$4/Table1[[#This Row],[Strike]]) + (0.411-0 + 0.5 * Table1[[#This Row],[IV Calc C]]^2) *Table1[[#This Row],[T]]) / (Table1[[#This Row],[IV Calc C]] * SQRT(Table1[[#This Row],[T]]))</f>
        <v>#DIV/0!</v>
      </c>
      <c r="AI86" t="e">
        <f ca="1">(EXP(-(AG86^2)/2)/SQRT(2*PI())*EXP(0*SQRT(Table1[[#This Row],[T]]))/$A$4*18%*SQRT(SQRT(Table1[[#This Row],[T]])))</f>
        <v>#DIV/0!</v>
      </c>
      <c r="AJ86" t="e">
        <f ca="1">(EXP(-(AH86^2)/2)/SQRT(2*PI())*EXP(0*SQRT(Table1[[#This Row],[T]]))/$A$4*18%*SQRT(SQRT(Table1[[#This Row],[T]])))</f>
        <v>#DIV/0!</v>
      </c>
      <c r="AK86" t="e">
        <f ca="1">Table1[[#This Row],[Call D1]]-Table1[[#This Row],[IV Calc C]]*SQRT(Table1[[#This Row],[T]])</f>
        <v>#DIV/0!</v>
      </c>
      <c r="AL86" t="e">
        <f ca="1">Table1[[#This Row],[Put D1]]-Table1[[#This Row],[IV Calc P]]*SQRT(Table1[[#This Row],[T]])</f>
        <v>#DIV/0!</v>
      </c>
      <c r="AM86" t="e">
        <f ca="1">EXP(-0.5*Table1[[#This Row],[Call D1]]^2)/SQRT(2*PI())</f>
        <v>#DIV/0!</v>
      </c>
      <c r="AN86" t="e">
        <f ca="1">EXP(-0.5*Table1[[#This Row],[Put D1]]^2)/SQRT(2*PI())</f>
        <v>#DIV/0!</v>
      </c>
      <c r="AO86">
        <f ca="1">IFERROR((EXP(0*Table1[[#This Row],[T]])*Table1[[#This Row],[call N(d1)]]*(Table1[[#This Row],[call d2]]/Table1[[#This Row],[IV Calc C]]))*Table1[[#This Row],[Open.Int]]*Table1[[#This Row],[DeltaC]],0)</f>
        <v>0</v>
      </c>
      <c r="AP86">
        <f ca="1">IFERROR((EXP(0*Table1[[#This Row],[T]])*Table1[[#This Row],[put N(d1)]]*(Table1[[#This Row],[put d2]]/Table1[[#This Row],[IV Calc P]]))*Table1[[#This Row],[Open.Int8]]*Table1[[#This Row],[DeltaP]]*-1,0)</f>
        <v>0</v>
      </c>
      <c r="AQ86">
        <f ca="1">((Table1[[#This Row],[call vanna]]+Table1[[#This Row],[put vanna]])*$A$4)</f>
        <v>0</v>
      </c>
      <c r="AR8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6" s="9" t="str" cm="1">
        <f t="array" ref="AT86">_xlfn.IFS(     $M$1="SPX","SPXW",     $M$1="RUT","RUTW",  $M$1="NDX","NDXP",   TRUE,$M$1 )</f>
        <v>SPXW</v>
      </c>
      <c r="AU86" s="2">
        <f t="shared" si="12"/>
        <v>6915</v>
      </c>
      <c r="AV86" t="str">
        <f t="shared" si="13"/>
        <v>260123</v>
      </c>
      <c r="AW86" s="19">
        <f ca="1">IFERROR((EXP(0*Table1[[#This Row],[T]])*Table1[[#This Row],[put N(d1)]]*(Table1[[#This Row],[put d2]]/Table1[[#This Row],[IV Calc P]]))*Table1[[#This Row],[Open.Int8]]*Table1[[#This Row],[DeltaP]]*-1,0)</f>
        <v>0</v>
      </c>
      <c r="AX86">
        <f ca="1">IFERROR((EXP(0*Table1[[#This Row],[T]])*Table1[[#This Row],[call N(d1)]]*(Table1[[#This Row],[call d2]]/Table1[[#This Row],[IV Calc C]]))*Table1[[#This Row],[Open.Int]]*Table1[[#This Row],[DeltaC]],0)</f>
        <v>0</v>
      </c>
      <c r="AY8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6">
        <f>((Table1[[#This Row],[High C]]+Table1[[#This Row],[Low C]])/2)*Table1[[#This Row],[gammac]]*Table1[[#This Row],[Volume]]</f>
        <v>0</v>
      </c>
      <c r="BD86">
        <f>((Table1[[#This Row],[High P]]+Table1[[#This Row],[Low P]])/2)*Table1[[#This Row],[gammap]]*Table1[[#This Row],[Volume9]]*-1</f>
        <v>0</v>
      </c>
      <c r="BE86">
        <f>(Table1[[#This Row],[SgammaC]]+Table1[[#This Row],[SgammaP]])*$A$4*-100</f>
        <v>0</v>
      </c>
      <c r="BF86">
        <f>Table1[[#This Row],[DEXc]]+Table1[[#This Row],[DEXp]]</f>
        <v>0</v>
      </c>
      <c r="BG86">
        <f>IFERROR(Table1[[#This Row],[DeltaC]]*Table1[[#This Row],[Open.Int]]*$A$4,0)</f>
        <v>0</v>
      </c>
      <c r="BH86">
        <f>IFERROR(Table1[[#This Row],[DeltaP]]*Table1[[#This Row],[Open.Int8]]*$A$4,0)</f>
        <v>0</v>
      </c>
      <c r="BI8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6">
        <f ca="1">Table1[[#This Row],[Charmc]]+Table1[[#This Row],[Charmp]]</f>
        <v>0</v>
      </c>
      <c r="BL8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6" s="78">
        <f ca="1">Table1[[#This Row],[call helper]]+Table1[[#This Row],[put helper]]</f>
        <v>0</v>
      </c>
      <c r="BP86" t="str">
        <f>RTD("tos.rtd", , "STRIKE", "."&amp;Table1[[#This Row],[Ticker]]&amp;Table1[[#This Row],[Expiry]]&amp;""&amp;"C"&amp;Table1[[#This Row],[Spot]]+Table1[[#This Row],[step]])</f>
        <v>N/A</v>
      </c>
    </row>
    <row r="87" spans="1:68" x14ac:dyDescent="0.25">
      <c r="A87">
        <f t="shared" ca="1" si="9"/>
        <v>2.5814307458086375E-3</v>
      </c>
      <c r="C87" s="17"/>
      <c r="D87" t="b">
        <f>IF(
    ISNUMBER(Table1[[#This Row],[Strike]]),RTD("tos.rtd", , "OPEN_INT", "."&amp;Table1[[#This Row],[Ticker]]&amp;Table1[[#This Row],[Expiry]]&amp;""&amp;"C"&amp;Table1[[#This Row],[Strike]]))</f>
        <v>0</v>
      </c>
      <c r="E8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7" t="b">
        <f>IF(
    ISNUMBER(Table1[[#This Row],[Strike]]),RTD("tos.rtd", , "DELTA", "."&amp;Table1[[#This Row],[Ticker]]&amp;Table1[[#This Row],[Expiry]]&amp;""&amp;"C"&amp;Table1[[#This Row],[Strike]]))</f>
        <v>0</v>
      </c>
      <c r="H87" s="17" t="b" cm="1">
        <f t="array" ref="H87">IF(
    ISNUMBER(Table1[[#This Row],[Strike]]),IndividualLegIVCore($A$4, Table1[[#This Row],[Strike]], 0.0411, Table1[[#This Row],[T]], ((Table1[[#This Row],[BIDC]]+Table1[[#This Row],[ASKC]])/2), TRUE))</f>
        <v>0</v>
      </c>
      <c r="I87" t="b">
        <f>IF(
    ISNUMBER(Table1[[#This Row],[Strike]]),RTD("tos.rtd", , "BID", "."&amp;Table1[[#This Row],[Ticker]]&amp;Table1[[#This Row],[Expiry]]&amp;""&amp;"C"&amp;Table1[[#This Row],[Strike]]))</f>
        <v>0</v>
      </c>
      <c r="J87" t="b">
        <f>IF(
    ISNUMBER(Table1[[#This Row],[Strike]]),RTD("tos.rtd", , "ASK", "."&amp;Table1[[#This Row],[Ticker]]&amp;Table1[[#This Row],[Expiry]]&amp;""&amp;"C"&amp;Table1[[#This Row],[Strike]]))</f>
        <v>0</v>
      </c>
      <c r="K8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7" s="17" cm="1">
        <f t="array" aca="1" ref="L8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7" s="1">
        <f t="shared" si="10"/>
        <v>46045</v>
      </c>
      <c r="N87" t="b">
        <f t="shared" si="11"/>
        <v>0</v>
      </c>
      <c r="P87" s="17" t="b" cm="1">
        <f t="array" ref="P87">IF(
    ISNUMBER(Table1[[#This Row],[Strike]]),IndividualLegIVCore($A$4, Table1[[#This Row],[Strike]], 0.0411, Table1[[#This Row],[T]], ((Table1[[#This Row],[BIDP]]+Table1[[#This Row],[ASKP]])/2), FALSE))</f>
        <v>0</v>
      </c>
      <c r="Q87" t="b">
        <f>IF(
    ISNUMBER(Table1[[#This Row],[Strike]]),RTD("tos.rtd", , "BID", "."&amp;Table1[[#This Row],[Ticker]]&amp;Table1[[#This Row],[Expiry]]&amp;""&amp;"P"&amp;Table1[[#This Row],[Strike]]))</f>
        <v>0</v>
      </c>
      <c r="R87" t="b">
        <f>IF(
    ISNUMBER(Table1[[#This Row],[Strike]]),RTD("tos.rtd", , "ASK", "."&amp;Table1[[#This Row],[Ticker]]&amp;Table1[[#This Row],[Expiry]]&amp;""&amp;"P"&amp;Table1[[#This Row],[Strike]]))</f>
        <v>0</v>
      </c>
      <c r="S87" s="17"/>
      <c r="T87" t="b">
        <f>IF(
    ISNUMBER(Table1[[#This Row],[Strike]]),RTD("tos.rtd", , "OPEN_INT", "."&amp;Table1[[#This Row],[Ticker]]&amp;Table1[[#This Row],[Expiry]]&amp;""&amp;"P"&amp;Table1[[#This Row],[Strike]]))</f>
        <v>0</v>
      </c>
      <c r="U8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7" t="b">
        <f>IF(
    ISNUMBER(Table1[[#This Row],[Strike]]),RTD("tos.rtd", , "DELTA", "."&amp;Table1[[#This Row],[Ticker]]&amp;Table1[[#This Row],[Expiry]]&amp;""&amp;"P"&amp;Table1[[#This Row],[Strike]]))</f>
        <v>0</v>
      </c>
      <c r="Y87" s="19">
        <f>-11.5* IF($M$1="NDX", 10, IF(OR($M$1="SPX", $M$1="RUT"), 2, 1))</f>
        <v>-23</v>
      </c>
      <c r="Z87">
        <f ca="1">IFERROR(Table1[[#This Row],[call gamma]]*(Table1[[#This Row],[Open.Int]])*$A$4^2,0)</f>
        <v>0</v>
      </c>
      <c r="AA87">
        <f ca="1">IFERROR(((Table1[[#This Row],[Open.Int8]])*Table1[[#This Row],[Put gamma]])*-1*$A$4^2,0)</f>
        <v>0</v>
      </c>
      <c r="AB87">
        <f ca="1">(Table1[[#This Row],[Call Gex]]+Table1[[#This Row],[Put Gex]])</f>
        <v>0</v>
      </c>
      <c r="AC87">
        <f ca="1">Table1[[#This Row],[call delta adj]]+Table1[[#This Row],[put delta adj]]</f>
        <v>0</v>
      </c>
      <c r="AD87">
        <f ca="1">Table1[[#This Row],[Put Gex]]*Table1[[#This Row],[DeltaP]]*-1</f>
        <v>0</v>
      </c>
      <c r="AE87">
        <f ca="1">Table1[[#This Row],[Call Gex]]*Table1[[#This Row],[DeltaC]]</f>
        <v>0</v>
      </c>
      <c r="AF87">
        <f>IF(Table1[[#This Row],[DeltaC]]-ABS(Table1[[#This Row],[DeltaP]])="0","0.01",Table1[[#This Row],[DeltaC]]-ABS(Table1[[#This Row],[DeltaP]]))</f>
        <v>0</v>
      </c>
      <c r="AG87" t="e">
        <f ca="1">((LN($A$4/Table1[[#This Row],[Strike]]) + (0.411 + 0.5 * Table1[[#This Row],[IV Calc P]]^2) *Table1[[#This Row],[T]])) / (Table1[[#This Row],[IV Calc P]] * SQRT(Table1[[#This Row],[T]]))</f>
        <v>#DIV/0!</v>
      </c>
      <c r="AH87" t="e">
        <f ca="1">(LN($A$4/Table1[[#This Row],[Strike]]) + (0.411-0 + 0.5 * Table1[[#This Row],[IV Calc C]]^2) *Table1[[#This Row],[T]]) / (Table1[[#This Row],[IV Calc C]] * SQRT(Table1[[#This Row],[T]]))</f>
        <v>#DIV/0!</v>
      </c>
      <c r="AI87" t="e">
        <f ca="1">(EXP(-(AG87^2)/2)/SQRT(2*PI())*EXP(0*SQRT(Table1[[#This Row],[T]]))/$A$4*18%*SQRT(SQRT(Table1[[#This Row],[T]])))</f>
        <v>#DIV/0!</v>
      </c>
      <c r="AJ87" t="e">
        <f ca="1">(EXP(-(AH87^2)/2)/SQRT(2*PI())*EXP(0*SQRT(Table1[[#This Row],[T]]))/$A$4*18%*SQRT(SQRT(Table1[[#This Row],[T]])))</f>
        <v>#DIV/0!</v>
      </c>
      <c r="AK87" t="e">
        <f ca="1">Table1[[#This Row],[Call D1]]-Table1[[#This Row],[IV Calc C]]*SQRT(Table1[[#This Row],[T]])</f>
        <v>#DIV/0!</v>
      </c>
      <c r="AL87" t="e">
        <f ca="1">Table1[[#This Row],[Put D1]]-Table1[[#This Row],[IV Calc P]]*SQRT(Table1[[#This Row],[T]])</f>
        <v>#DIV/0!</v>
      </c>
      <c r="AM87" t="e">
        <f ca="1">EXP(-0.5*Table1[[#This Row],[Call D1]]^2)/SQRT(2*PI())</f>
        <v>#DIV/0!</v>
      </c>
      <c r="AN87" t="e">
        <f ca="1">EXP(-0.5*Table1[[#This Row],[Put D1]]^2)/SQRT(2*PI())</f>
        <v>#DIV/0!</v>
      </c>
      <c r="AO87">
        <f ca="1">IFERROR((EXP(0*Table1[[#This Row],[T]])*Table1[[#This Row],[call N(d1)]]*(Table1[[#This Row],[call d2]]/Table1[[#This Row],[IV Calc C]]))*Table1[[#This Row],[Open.Int]]*Table1[[#This Row],[DeltaC]],0)</f>
        <v>0</v>
      </c>
      <c r="AP87">
        <f ca="1">IFERROR((EXP(0*Table1[[#This Row],[T]])*Table1[[#This Row],[put N(d1)]]*(Table1[[#This Row],[put d2]]/Table1[[#This Row],[IV Calc P]]))*Table1[[#This Row],[Open.Int8]]*Table1[[#This Row],[DeltaP]]*-1,0)</f>
        <v>0</v>
      </c>
      <c r="AQ87">
        <f ca="1">((Table1[[#This Row],[call vanna]]+Table1[[#This Row],[put vanna]])*$A$4)</f>
        <v>0</v>
      </c>
      <c r="AR8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7" s="9" t="str" cm="1">
        <f t="array" ref="AT87">_xlfn.IFS(     $M$1="SPX","SPXW",     $M$1="RUT","RUTW",  $M$1="NDX","NDXP",   TRUE,$M$1 )</f>
        <v>SPXW</v>
      </c>
      <c r="AU87" s="2">
        <f t="shared" si="12"/>
        <v>6915</v>
      </c>
      <c r="AV87" t="str">
        <f t="shared" si="13"/>
        <v>260123</v>
      </c>
      <c r="AW87" s="19">
        <f ca="1">IFERROR((EXP(0*Table1[[#This Row],[T]])*Table1[[#This Row],[put N(d1)]]*(Table1[[#This Row],[put d2]]/Table1[[#This Row],[IV Calc P]]))*Table1[[#This Row],[Open.Int8]]*Table1[[#This Row],[DeltaP]]*-1,0)</f>
        <v>0</v>
      </c>
      <c r="AX87">
        <f ca="1">IFERROR((EXP(0*Table1[[#This Row],[T]])*Table1[[#This Row],[call N(d1)]]*(Table1[[#This Row],[call d2]]/Table1[[#This Row],[IV Calc C]]))*Table1[[#This Row],[Open.Int]]*Table1[[#This Row],[DeltaC]],0)</f>
        <v>0</v>
      </c>
      <c r="AY8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7">
        <f>((Table1[[#This Row],[High C]]+Table1[[#This Row],[Low C]])/2)*Table1[[#This Row],[gammac]]*Table1[[#This Row],[Volume]]</f>
        <v>0</v>
      </c>
      <c r="BD87">
        <f>((Table1[[#This Row],[High P]]+Table1[[#This Row],[Low P]])/2)*Table1[[#This Row],[gammap]]*Table1[[#This Row],[Volume9]]*-1</f>
        <v>0</v>
      </c>
      <c r="BE87">
        <f>(Table1[[#This Row],[SgammaC]]+Table1[[#This Row],[SgammaP]])*$A$4*-100</f>
        <v>0</v>
      </c>
      <c r="BF87">
        <f>Table1[[#This Row],[DEXc]]+Table1[[#This Row],[DEXp]]</f>
        <v>0</v>
      </c>
      <c r="BG87">
        <f>IFERROR(Table1[[#This Row],[DeltaC]]*Table1[[#This Row],[Open.Int]]*$A$4,0)</f>
        <v>0</v>
      </c>
      <c r="BH87">
        <f>IFERROR(Table1[[#This Row],[DeltaP]]*Table1[[#This Row],[Open.Int8]]*$A$4,0)</f>
        <v>0</v>
      </c>
      <c r="BI8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7">
        <f ca="1">Table1[[#This Row],[Charmc]]+Table1[[#This Row],[Charmp]]</f>
        <v>0</v>
      </c>
      <c r="BL8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7" s="78">
        <f ca="1">Table1[[#This Row],[call helper]]+Table1[[#This Row],[put helper]]</f>
        <v>0</v>
      </c>
      <c r="BP87" t="str">
        <f>RTD("tos.rtd", , "STRIKE", "."&amp;Table1[[#This Row],[Ticker]]&amp;Table1[[#This Row],[Expiry]]&amp;""&amp;"C"&amp;Table1[[#This Row],[Spot]]+Table1[[#This Row],[step]])</f>
        <v>N/A</v>
      </c>
    </row>
    <row r="88" spans="1:68" x14ac:dyDescent="0.25">
      <c r="A88">
        <f t="shared" ca="1" si="9"/>
        <v>2.5814307458086375E-3</v>
      </c>
      <c r="C88" s="17"/>
      <c r="D88" t="b">
        <f>IF(
    ISNUMBER(Table1[[#This Row],[Strike]]),RTD("tos.rtd", , "OPEN_INT", "."&amp;Table1[[#This Row],[Ticker]]&amp;Table1[[#This Row],[Expiry]]&amp;""&amp;"C"&amp;Table1[[#This Row],[Strike]]))</f>
        <v>0</v>
      </c>
      <c r="E8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8" t="b">
        <f>IF(
    ISNUMBER(Table1[[#This Row],[Strike]]),RTD("tos.rtd", , "DELTA", "."&amp;Table1[[#This Row],[Ticker]]&amp;Table1[[#This Row],[Expiry]]&amp;""&amp;"C"&amp;Table1[[#This Row],[Strike]]))</f>
        <v>0</v>
      </c>
      <c r="H88" s="17" t="b" cm="1">
        <f t="array" ref="H88">IF(
    ISNUMBER(Table1[[#This Row],[Strike]]),IndividualLegIVCore($A$4, Table1[[#This Row],[Strike]], 0.0411, Table1[[#This Row],[T]], ((Table1[[#This Row],[BIDC]]+Table1[[#This Row],[ASKC]])/2), TRUE))</f>
        <v>0</v>
      </c>
      <c r="I88" t="b">
        <f>IF(
    ISNUMBER(Table1[[#This Row],[Strike]]),RTD("tos.rtd", , "BID", "."&amp;Table1[[#This Row],[Ticker]]&amp;Table1[[#This Row],[Expiry]]&amp;""&amp;"C"&amp;Table1[[#This Row],[Strike]]))</f>
        <v>0</v>
      </c>
      <c r="J88" t="b">
        <f>IF(
    ISNUMBER(Table1[[#This Row],[Strike]]),RTD("tos.rtd", , "ASK", "."&amp;Table1[[#This Row],[Ticker]]&amp;Table1[[#This Row],[Expiry]]&amp;""&amp;"C"&amp;Table1[[#This Row],[Strike]]))</f>
        <v>0</v>
      </c>
      <c r="K8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8" s="17" cm="1">
        <f t="array" aca="1" ref="L8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8" s="1">
        <f t="shared" si="10"/>
        <v>46045</v>
      </c>
      <c r="N88" t="b">
        <f t="shared" si="11"/>
        <v>0</v>
      </c>
      <c r="P88" s="17" t="b" cm="1">
        <f t="array" ref="P88">IF(
    ISNUMBER(Table1[[#This Row],[Strike]]),IndividualLegIVCore($A$4, Table1[[#This Row],[Strike]], 0.0411, Table1[[#This Row],[T]], ((Table1[[#This Row],[BIDP]]+Table1[[#This Row],[ASKP]])/2), FALSE))</f>
        <v>0</v>
      </c>
      <c r="Q88" t="b">
        <f>IF(
    ISNUMBER(Table1[[#This Row],[Strike]]),RTD("tos.rtd", , "BID", "."&amp;Table1[[#This Row],[Ticker]]&amp;Table1[[#This Row],[Expiry]]&amp;""&amp;"P"&amp;Table1[[#This Row],[Strike]]))</f>
        <v>0</v>
      </c>
      <c r="R88" t="b">
        <f>IF(
    ISNUMBER(Table1[[#This Row],[Strike]]),RTD("tos.rtd", , "ASK", "."&amp;Table1[[#This Row],[Ticker]]&amp;Table1[[#This Row],[Expiry]]&amp;""&amp;"P"&amp;Table1[[#This Row],[Strike]]))</f>
        <v>0</v>
      </c>
      <c r="S88" s="17"/>
      <c r="T88" t="b">
        <f>IF(
    ISNUMBER(Table1[[#This Row],[Strike]]),RTD("tos.rtd", , "OPEN_INT", "."&amp;Table1[[#This Row],[Ticker]]&amp;Table1[[#This Row],[Expiry]]&amp;""&amp;"P"&amp;Table1[[#This Row],[Strike]]))</f>
        <v>0</v>
      </c>
      <c r="U8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8" t="b">
        <f>IF(
    ISNUMBER(Table1[[#This Row],[Strike]]),RTD("tos.rtd", , "DELTA", "."&amp;Table1[[#This Row],[Ticker]]&amp;Table1[[#This Row],[Expiry]]&amp;""&amp;"P"&amp;Table1[[#This Row],[Strike]]))</f>
        <v>0</v>
      </c>
      <c r="Y88" s="19">
        <f>-11* IF($M$1="NDX", 10, IF(OR($M$1="SPX", $M$1="RUT"), 2, 1))</f>
        <v>-22</v>
      </c>
      <c r="Z88">
        <f ca="1">IFERROR(Table1[[#This Row],[call gamma]]*(Table1[[#This Row],[Open.Int]])*$A$4^2,0)</f>
        <v>0</v>
      </c>
      <c r="AA88">
        <f ca="1">IFERROR(((Table1[[#This Row],[Open.Int8]])*Table1[[#This Row],[Put gamma]])*-1*$A$4^2,0)</f>
        <v>0</v>
      </c>
      <c r="AB88">
        <f ca="1">(Table1[[#This Row],[Call Gex]]+Table1[[#This Row],[Put Gex]])</f>
        <v>0</v>
      </c>
      <c r="AC88">
        <f ca="1">Table1[[#This Row],[call delta adj]]+Table1[[#This Row],[put delta adj]]</f>
        <v>0</v>
      </c>
      <c r="AD88">
        <f ca="1">Table1[[#This Row],[Put Gex]]*Table1[[#This Row],[DeltaP]]*-1</f>
        <v>0</v>
      </c>
      <c r="AE88">
        <f ca="1">Table1[[#This Row],[Call Gex]]*Table1[[#This Row],[DeltaC]]</f>
        <v>0</v>
      </c>
      <c r="AF88">
        <f>IF(Table1[[#This Row],[DeltaC]]-ABS(Table1[[#This Row],[DeltaP]])="0","0.01",Table1[[#This Row],[DeltaC]]-ABS(Table1[[#This Row],[DeltaP]]))</f>
        <v>0</v>
      </c>
      <c r="AG88" t="e">
        <f ca="1">((LN($A$4/Table1[[#This Row],[Strike]]) + (0.411 + 0.5 * Table1[[#This Row],[IV Calc P]]^2) *Table1[[#This Row],[T]])) / (Table1[[#This Row],[IV Calc P]] * SQRT(Table1[[#This Row],[T]]))</f>
        <v>#DIV/0!</v>
      </c>
      <c r="AH88" t="e">
        <f ca="1">(LN($A$4/Table1[[#This Row],[Strike]]) + (0.411-0 + 0.5 * Table1[[#This Row],[IV Calc C]]^2) *Table1[[#This Row],[T]]) / (Table1[[#This Row],[IV Calc C]] * SQRT(Table1[[#This Row],[T]]))</f>
        <v>#DIV/0!</v>
      </c>
      <c r="AI88" t="e">
        <f ca="1">(EXP(-(AG88^2)/2)/SQRT(2*PI())*EXP(0*SQRT(Table1[[#This Row],[T]]))/$A$4*18%*SQRT(SQRT(Table1[[#This Row],[T]])))</f>
        <v>#DIV/0!</v>
      </c>
      <c r="AJ88" t="e">
        <f ca="1">(EXP(-(AH88^2)/2)/SQRT(2*PI())*EXP(0*SQRT(Table1[[#This Row],[T]]))/$A$4*18%*SQRT(SQRT(Table1[[#This Row],[T]])))</f>
        <v>#DIV/0!</v>
      </c>
      <c r="AK88" t="e">
        <f ca="1">Table1[[#This Row],[Call D1]]-Table1[[#This Row],[IV Calc C]]*SQRT(Table1[[#This Row],[T]])</f>
        <v>#DIV/0!</v>
      </c>
      <c r="AL88" t="e">
        <f ca="1">Table1[[#This Row],[Put D1]]-Table1[[#This Row],[IV Calc P]]*SQRT(Table1[[#This Row],[T]])</f>
        <v>#DIV/0!</v>
      </c>
      <c r="AM88" t="e">
        <f ca="1">EXP(-0.5*Table1[[#This Row],[Call D1]]^2)/SQRT(2*PI())</f>
        <v>#DIV/0!</v>
      </c>
      <c r="AN88" t="e">
        <f ca="1">EXP(-0.5*Table1[[#This Row],[Put D1]]^2)/SQRT(2*PI())</f>
        <v>#DIV/0!</v>
      </c>
      <c r="AO88">
        <f ca="1">IFERROR((EXP(0*Table1[[#This Row],[T]])*Table1[[#This Row],[call N(d1)]]*(Table1[[#This Row],[call d2]]/Table1[[#This Row],[IV Calc C]]))*Table1[[#This Row],[Open.Int]]*Table1[[#This Row],[DeltaC]],0)</f>
        <v>0</v>
      </c>
      <c r="AP88">
        <f ca="1">IFERROR((EXP(0*Table1[[#This Row],[T]])*Table1[[#This Row],[put N(d1)]]*(Table1[[#This Row],[put d2]]/Table1[[#This Row],[IV Calc P]]))*Table1[[#This Row],[Open.Int8]]*Table1[[#This Row],[DeltaP]]*-1,0)</f>
        <v>0</v>
      </c>
      <c r="AQ88">
        <f ca="1">((Table1[[#This Row],[call vanna]]+Table1[[#This Row],[put vanna]])*$A$4)</f>
        <v>0</v>
      </c>
      <c r="AR8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8" s="9" t="str" cm="1">
        <f t="array" ref="AT88">_xlfn.IFS(     $M$1="SPX","SPXW",     $M$1="RUT","RUTW",  $M$1="NDX","NDXP",   TRUE,$M$1 )</f>
        <v>SPXW</v>
      </c>
      <c r="AU88" s="2">
        <f t="shared" si="12"/>
        <v>6915</v>
      </c>
      <c r="AV88" t="str">
        <f t="shared" si="13"/>
        <v>260123</v>
      </c>
      <c r="AW88" s="19">
        <f ca="1">IFERROR((EXP(0*Table1[[#This Row],[T]])*Table1[[#This Row],[put N(d1)]]*(Table1[[#This Row],[put d2]]/Table1[[#This Row],[IV Calc P]]))*Table1[[#This Row],[Open.Int8]]*Table1[[#This Row],[DeltaP]]*-1,0)</f>
        <v>0</v>
      </c>
      <c r="AX88">
        <f ca="1">IFERROR((EXP(0*Table1[[#This Row],[T]])*Table1[[#This Row],[call N(d1)]]*(Table1[[#This Row],[call d2]]/Table1[[#This Row],[IV Calc C]]))*Table1[[#This Row],[Open.Int]]*Table1[[#This Row],[DeltaC]],0)</f>
        <v>0</v>
      </c>
      <c r="AY8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8">
        <f>((Table1[[#This Row],[High C]]+Table1[[#This Row],[Low C]])/2)*Table1[[#This Row],[gammac]]*Table1[[#This Row],[Volume]]</f>
        <v>0</v>
      </c>
      <c r="BD88">
        <f>((Table1[[#This Row],[High P]]+Table1[[#This Row],[Low P]])/2)*Table1[[#This Row],[gammap]]*Table1[[#This Row],[Volume9]]*-1</f>
        <v>0</v>
      </c>
      <c r="BE88">
        <f>(Table1[[#This Row],[SgammaC]]+Table1[[#This Row],[SgammaP]])*$A$4*-100</f>
        <v>0</v>
      </c>
      <c r="BF88">
        <f>Table1[[#This Row],[DEXc]]+Table1[[#This Row],[DEXp]]</f>
        <v>0</v>
      </c>
      <c r="BG88">
        <f>IFERROR(Table1[[#This Row],[DeltaC]]*Table1[[#This Row],[Open.Int]]*$A$4,0)</f>
        <v>0</v>
      </c>
      <c r="BH88">
        <f>IFERROR(Table1[[#This Row],[DeltaP]]*Table1[[#This Row],[Open.Int8]]*$A$4,0)</f>
        <v>0</v>
      </c>
      <c r="BI8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8">
        <f ca="1">Table1[[#This Row],[Charmc]]+Table1[[#This Row],[Charmp]]</f>
        <v>0</v>
      </c>
      <c r="BL8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8" s="78">
        <f ca="1">Table1[[#This Row],[call helper]]+Table1[[#This Row],[put helper]]</f>
        <v>0</v>
      </c>
      <c r="BP88" t="str">
        <f>RTD("tos.rtd", , "STRIKE", "."&amp;Table1[[#This Row],[Ticker]]&amp;Table1[[#This Row],[Expiry]]&amp;""&amp;"C"&amp;Table1[[#This Row],[Spot]]+Table1[[#This Row],[step]])</f>
        <v>N/A</v>
      </c>
    </row>
    <row r="89" spans="1:68" x14ac:dyDescent="0.25">
      <c r="A89">
        <f t="shared" ca="1" si="9"/>
        <v>2.5814307458086375E-3</v>
      </c>
      <c r="C89" s="17"/>
      <c r="D89" t="b">
        <f>IF(
    ISNUMBER(Table1[[#This Row],[Strike]]),RTD("tos.rtd", , "OPEN_INT", "."&amp;Table1[[#This Row],[Ticker]]&amp;Table1[[#This Row],[Expiry]]&amp;""&amp;"C"&amp;Table1[[#This Row],[Strike]]))</f>
        <v>0</v>
      </c>
      <c r="E8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9" t="b">
        <f>IF(
    ISNUMBER(Table1[[#This Row],[Strike]]),RTD("tos.rtd", , "DELTA", "."&amp;Table1[[#This Row],[Ticker]]&amp;Table1[[#This Row],[Expiry]]&amp;""&amp;"C"&amp;Table1[[#This Row],[Strike]]))</f>
        <v>0</v>
      </c>
      <c r="H89" s="17" t="b" cm="1">
        <f t="array" ref="H89">IF(
    ISNUMBER(Table1[[#This Row],[Strike]]),IndividualLegIVCore($A$4, Table1[[#This Row],[Strike]], 0.0411, Table1[[#This Row],[T]], ((Table1[[#This Row],[BIDC]]+Table1[[#This Row],[ASKC]])/2), TRUE))</f>
        <v>0</v>
      </c>
      <c r="I89" t="b">
        <f>IF(
    ISNUMBER(Table1[[#This Row],[Strike]]),RTD("tos.rtd", , "BID", "."&amp;Table1[[#This Row],[Ticker]]&amp;Table1[[#This Row],[Expiry]]&amp;""&amp;"C"&amp;Table1[[#This Row],[Strike]]))</f>
        <v>0</v>
      </c>
      <c r="J89" t="b">
        <f>IF(
    ISNUMBER(Table1[[#This Row],[Strike]]),RTD("tos.rtd", , "ASK", "."&amp;Table1[[#This Row],[Ticker]]&amp;Table1[[#This Row],[Expiry]]&amp;""&amp;"C"&amp;Table1[[#This Row],[Strike]]))</f>
        <v>0</v>
      </c>
      <c r="K8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9" s="17" cm="1">
        <f t="array" aca="1" ref="L8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9" s="1">
        <f t="shared" si="10"/>
        <v>46045</v>
      </c>
      <c r="N89" t="b">
        <f t="shared" si="11"/>
        <v>0</v>
      </c>
      <c r="P89" s="17" t="b" cm="1">
        <f t="array" ref="P89">IF(
    ISNUMBER(Table1[[#This Row],[Strike]]),IndividualLegIVCore($A$4, Table1[[#This Row],[Strike]], 0.0411, Table1[[#This Row],[T]], ((Table1[[#This Row],[BIDP]]+Table1[[#This Row],[ASKP]])/2), FALSE))</f>
        <v>0</v>
      </c>
      <c r="Q89" t="b">
        <f>IF(
    ISNUMBER(Table1[[#This Row],[Strike]]),RTD("tos.rtd", , "BID", "."&amp;Table1[[#This Row],[Ticker]]&amp;Table1[[#This Row],[Expiry]]&amp;""&amp;"P"&amp;Table1[[#This Row],[Strike]]))</f>
        <v>0</v>
      </c>
      <c r="R89" t="b">
        <f>IF(
    ISNUMBER(Table1[[#This Row],[Strike]]),RTD("tos.rtd", , "ASK", "."&amp;Table1[[#This Row],[Ticker]]&amp;Table1[[#This Row],[Expiry]]&amp;""&amp;"P"&amp;Table1[[#This Row],[Strike]]))</f>
        <v>0</v>
      </c>
      <c r="S89" s="17"/>
      <c r="T89" t="b">
        <f>IF(
    ISNUMBER(Table1[[#This Row],[Strike]]),RTD("tos.rtd", , "OPEN_INT", "."&amp;Table1[[#This Row],[Ticker]]&amp;Table1[[#This Row],[Expiry]]&amp;""&amp;"P"&amp;Table1[[#This Row],[Strike]]))</f>
        <v>0</v>
      </c>
      <c r="U8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9" t="b">
        <f>IF(
    ISNUMBER(Table1[[#This Row],[Strike]]),RTD("tos.rtd", , "DELTA", "."&amp;Table1[[#This Row],[Ticker]]&amp;Table1[[#This Row],[Expiry]]&amp;""&amp;"P"&amp;Table1[[#This Row],[Strike]]))</f>
        <v>0</v>
      </c>
      <c r="Y89" s="19">
        <f>-10.5* IF($M$1="NDX", 10, IF(OR($M$1="SPX", $M$1="RUT"), 2, 1))</f>
        <v>-21</v>
      </c>
      <c r="Z89">
        <f ca="1">IFERROR(Table1[[#This Row],[call gamma]]*(Table1[[#This Row],[Open.Int]])*$A$4^2,0)</f>
        <v>0</v>
      </c>
      <c r="AA89">
        <f ca="1">IFERROR(((Table1[[#This Row],[Open.Int8]])*Table1[[#This Row],[Put gamma]])*-1*$A$4^2,0)</f>
        <v>0</v>
      </c>
      <c r="AB89">
        <f ca="1">(Table1[[#This Row],[Call Gex]]+Table1[[#This Row],[Put Gex]])</f>
        <v>0</v>
      </c>
      <c r="AC89">
        <f ca="1">Table1[[#This Row],[call delta adj]]+Table1[[#This Row],[put delta adj]]</f>
        <v>0</v>
      </c>
      <c r="AD89">
        <f ca="1">Table1[[#This Row],[Put Gex]]*Table1[[#This Row],[DeltaP]]*-1</f>
        <v>0</v>
      </c>
      <c r="AE89">
        <f ca="1">Table1[[#This Row],[Call Gex]]*Table1[[#This Row],[DeltaC]]</f>
        <v>0</v>
      </c>
      <c r="AF89">
        <f>IF(Table1[[#This Row],[DeltaC]]-ABS(Table1[[#This Row],[DeltaP]])="0","0.01",Table1[[#This Row],[DeltaC]]-ABS(Table1[[#This Row],[DeltaP]]))</f>
        <v>0</v>
      </c>
      <c r="AG89" t="e">
        <f ca="1">((LN($A$4/Table1[[#This Row],[Strike]]) + (0.411 + 0.5 * Table1[[#This Row],[IV Calc P]]^2) *Table1[[#This Row],[T]])) / (Table1[[#This Row],[IV Calc P]] * SQRT(Table1[[#This Row],[T]]))</f>
        <v>#DIV/0!</v>
      </c>
      <c r="AH89" t="e">
        <f ca="1">(LN($A$4/Table1[[#This Row],[Strike]]) + (0.411-0 + 0.5 * Table1[[#This Row],[IV Calc C]]^2) *Table1[[#This Row],[T]]) / (Table1[[#This Row],[IV Calc C]] * SQRT(Table1[[#This Row],[T]]))</f>
        <v>#DIV/0!</v>
      </c>
      <c r="AI89" t="e">
        <f ca="1">(EXP(-(AG89^2)/2)/SQRT(2*PI())*EXP(0*SQRT(Table1[[#This Row],[T]]))/$A$4*18%*SQRT(SQRT(Table1[[#This Row],[T]])))</f>
        <v>#DIV/0!</v>
      </c>
      <c r="AJ89" t="e">
        <f ca="1">(EXP(-(AH89^2)/2)/SQRT(2*PI())*EXP(0*SQRT(Table1[[#This Row],[T]]))/$A$4*18%*SQRT(SQRT(Table1[[#This Row],[T]])))</f>
        <v>#DIV/0!</v>
      </c>
      <c r="AK89" t="e">
        <f ca="1">Table1[[#This Row],[Call D1]]-Table1[[#This Row],[IV Calc C]]*SQRT(Table1[[#This Row],[T]])</f>
        <v>#DIV/0!</v>
      </c>
      <c r="AL89" t="e">
        <f ca="1">Table1[[#This Row],[Put D1]]-Table1[[#This Row],[IV Calc P]]*SQRT(Table1[[#This Row],[T]])</f>
        <v>#DIV/0!</v>
      </c>
      <c r="AM89" t="e">
        <f ca="1">EXP(-0.5*Table1[[#This Row],[Call D1]]^2)/SQRT(2*PI())</f>
        <v>#DIV/0!</v>
      </c>
      <c r="AN89" t="e">
        <f ca="1">EXP(-0.5*Table1[[#This Row],[Put D1]]^2)/SQRT(2*PI())</f>
        <v>#DIV/0!</v>
      </c>
      <c r="AO89">
        <f ca="1">IFERROR((EXP(0*Table1[[#This Row],[T]])*Table1[[#This Row],[call N(d1)]]*(Table1[[#This Row],[call d2]]/Table1[[#This Row],[IV Calc C]]))*Table1[[#This Row],[Open.Int]]*Table1[[#This Row],[DeltaC]],0)</f>
        <v>0</v>
      </c>
      <c r="AP89">
        <f ca="1">IFERROR((EXP(0*Table1[[#This Row],[T]])*Table1[[#This Row],[put N(d1)]]*(Table1[[#This Row],[put d2]]/Table1[[#This Row],[IV Calc P]]))*Table1[[#This Row],[Open.Int8]]*Table1[[#This Row],[DeltaP]]*-1,0)</f>
        <v>0</v>
      </c>
      <c r="AQ89">
        <f ca="1">((Table1[[#This Row],[call vanna]]+Table1[[#This Row],[put vanna]])*$A$4)</f>
        <v>0</v>
      </c>
      <c r="AR8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9" s="9" t="str" cm="1">
        <f t="array" ref="AT89">_xlfn.IFS(     $M$1="SPX","SPXW",     $M$1="RUT","RUTW",  $M$1="NDX","NDXP",   TRUE,$M$1 )</f>
        <v>SPXW</v>
      </c>
      <c r="AU89" s="2">
        <f t="shared" si="12"/>
        <v>6915</v>
      </c>
      <c r="AV89" t="str">
        <f t="shared" si="13"/>
        <v>260123</v>
      </c>
      <c r="AW89" s="19">
        <f ca="1">IFERROR((EXP(0*Table1[[#This Row],[T]])*Table1[[#This Row],[put N(d1)]]*(Table1[[#This Row],[put d2]]/Table1[[#This Row],[IV Calc P]]))*Table1[[#This Row],[Open.Int8]]*Table1[[#This Row],[DeltaP]]*-1,0)</f>
        <v>0</v>
      </c>
      <c r="AX89">
        <f ca="1">IFERROR((EXP(0*Table1[[#This Row],[T]])*Table1[[#This Row],[call N(d1)]]*(Table1[[#This Row],[call d2]]/Table1[[#This Row],[IV Calc C]]))*Table1[[#This Row],[Open.Int]]*Table1[[#This Row],[DeltaC]],0)</f>
        <v>0</v>
      </c>
      <c r="AY8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9">
        <f>((Table1[[#This Row],[High C]]+Table1[[#This Row],[Low C]])/2)*Table1[[#This Row],[gammac]]*Table1[[#This Row],[Volume]]</f>
        <v>0</v>
      </c>
      <c r="BD89">
        <f>((Table1[[#This Row],[High P]]+Table1[[#This Row],[Low P]])/2)*Table1[[#This Row],[gammap]]*Table1[[#This Row],[Volume9]]*-1</f>
        <v>0</v>
      </c>
      <c r="BE89">
        <f>(Table1[[#This Row],[SgammaC]]+Table1[[#This Row],[SgammaP]])*$A$4*-100</f>
        <v>0</v>
      </c>
      <c r="BF89">
        <f>Table1[[#This Row],[DEXc]]+Table1[[#This Row],[DEXp]]</f>
        <v>0</v>
      </c>
      <c r="BG89">
        <f>IFERROR(Table1[[#This Row],[DeltaC]]*Table1[[#This Row],[Open.Int]]*$A$4,0)</f>
        <v>0</v>
      </c>
      <c r="BH89">
        <f>IFERROR(Table1[[#This Row],[DeltaP]]*Table1[[#This Row],[Open.Int8]]*$A$4,0)</f>
        <v>0</v>
      </c>
      <c r="BI8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9">
        <f ca="1">Table1[[#This Row],[Charmc]]+Table1[[#This Row],[Charmp]]</f>
        <v>0</v>
      </c>
      <c r="BL8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9" s="78">
        <f ca="1">Table1[[#This Row],[call helper]]+Table1[[#This Row],[put helper]]</f>
        <v>0</v>
      </c>
      <c r="BP89" t="str">
        <f>RTD("tos.rtd", , "STRIKE", "."&amp;Table1[[#This Row],[Ticker]]&amp;Table1[[#This Row],[Expiry]]&amp;""&amp;"C"&amp;Table1[[#This Row],[Spot]]+Table1[[#This Row],[step]])</f>
        <v>N/A</v>
      </c>
    </row>
    <row r="90" spans="1:68" x14ac:dyDescent="0.25">
      <c r="A90">
        <f t="shared" ca="1" si="9"/>
        <v>2.5814307458086375E-3</v>
      </c>
      <c r="C90" s="17"/>
      <c r="D90">
        <f>IF(
    ISNUMBER(Table1[[#This Row],[Strike]]),RTD("tos.rtd", , "OPEN_INT", "."&amp;Table1[[#This Row],[Ticker]]&amp;Table1[[#This Row],[Expiry]]&amp;""&amp;"C"&amp;Table1[[#This Row],[Strike]]))</f>
        <v>1260</v>
      </c>
      <c r="E9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1540</v>
      </c>
      <c r="G90">
        <f>IF(
    ISNUMBER(Table1[[#This Row],[Strike]]),RTD("tos.rtd", , "DELTA", "."&amp;Table1[[#This Row],[Ticker]]&amp;Table1[[#This Row],[Expiry]]&amp;""&amp;"C"&amp;Table1[[#This Row],[Strike]]))</f>
        <v>0.69</v>
      </c>
      <c r="H90" s="17" cm="1">
        <f t="array" aca="1" ref="H90" ca="1">IF(
    ISNUMBER(Table1[[#This Row],[Strike]]),IndividualLegIVCore($A$4, Table1[[#This Row],[Strike]], 0.0411, Table1[[#This Row],[T]], ((Table1[[#This Row],[BIDC]]+Table1[[#This Row],[ASKC]])/2), TRUE))</f>
        <v>0.10855561719051884</v>
      </c>
      <c r="I90">
        <f>IF(
    ISNUMBER(Table1[[#This Row],[Strike]]),RTD("tos.rtd", , "BID", "."&amp;Table1[[#This Row],[Ticker]]&amp;Table1[[#This Row],[Expiry]]&amp;""&amp;"C"&amp;Table1[[#This Row],[Strike]]))</f>
        <v>26.3</v>
      </c>
      <c r="J90">
        <f>IF(
    ISNUMBER(Table1[[#This Row],[Strike]]),RTD("tos.rtd", , "ASK", "."&amp;Table1[[#This Row],[Ticker]]&amp;Table1[[#This Row],[Expiry]]&amp;""&amp;"C"&amp;Table1[[#This Row],[Strike]]))</f>
        <v>26.9</v>
      </c>
      <c r="K9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0.10855561719051884</v>
      </c>
      <c r="L90" s="17" cm="1">
        <f t="array" aca="1" ref="L90" ca="1">CubicSplineIVSmile($A$4, Table1[[#This Row],[Strike]], 0.0411, Table1[[#This Row],[T]], (Table1[[#This Row],[BIDC]]+Table1[[#This Row],[ASKC]])/2, (Table1[[#This Row],[BIDP]]+Table1[[#This Row],[ASKP]])/2, Table1[Strike], Table1[IV Calc AVG])</f>
        <v>0.12160703936754415</v>
      </c>
      <c r="M90" s="1">
        <f t="shared" si="10"/>
        <v>46045</v>
      </c>
      <c r="N90">
        <f t="shared" si="11"/>
        <v>6895</v>
      </c>
      <c r="P90" s="17" cm="1">
        <f t="array" aca="1" ref="P90" ca="1">IF(
    ISNUMBER(Table1[[#This Row],[Strike]]),IndividualLegIVCore($A$4, Table1[[#This Row],[Strike]], 0.0411, Table1[[#This Row],[T]], ((Table1[[#This Row],[BIDP]]+Table1[[#This Row],[ASKP]])/2), FALSE))</f>
        <v>0.14759370943514497</v>
      </c>
      <c r="Q90">
        <f>IF(
    ISNUMBER(Table1[[#This Row],[Strike]]),RTD("tos.rtd", , "BID", "."&amp;Table1[[#This Row],[Ticker]]&amp;Table1[[#This Row],[Expiry]]&amp;""&amp;"P"&amp;Table1[[#This Row],[Strike]]))</f>
        <v>12.3</v>
      </c>
      <c r="R90">
        <f>IF(
    ISNUMBER(Table1[[#This Row],[Strike]]),RTD("tos.rtd", , "ASK", "."&amp;Table1[[#This Row],[Ticker]]&amp;Table1[[#This Row],[Expiry]]&amp;""&amp;"P"&amp;Table1[[#This Row],[Strike]]))</f>
        <v>12.7</v>
      </c>
      <c r="S90" s="17"/>
      <c r="T90">
        <f>IF(
    ISNUMBER(Table1[[#This Row],[Strike]]),RTD("tos.rtd", , "OPEN_INT", "."&amp;Table1[[#This Row],[Ticker]]&amp;Table1[[#This Row],[Expiry]]&amp;""&amp;"P"&amp;Table1[[#This Row],[Strike]]))</f>
        <v>571</v>
      </c>
      <c r="U9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3742</v>
      </c>
      <c r="W90">
        <f>IF(
    ISNUMBER(Table1[[#This Row],[Strike]]),RTD("tos.rtd", , "DELTA", "."&amp;Table1[[#This Row],[Ticker]]&amp;Table1[[#This Row],[Expiry]]&amp;""&amp;"P"&amp;Table1[[#This Row],[Strike]]))</f>
        <v>-0.36</v>
      </c>
      <c r="Y90" s="19">
        <f>-10* IF($M$1="NDX", 10, IF(OR($M$1="SPX", $M$1="RUT"), 2, 1))</f>
        <v>-20</v>
      </c>
      <c r="Z90">
        <f ca="1">IFERROR(Table1[[#This Row],[call gamma]]*(Table1[[#This Row],[Open.Int]])*$A$4^2,0)</f>
        <v>112119.43728463945</v>
      </c>
      <c r="AA90">
        <f ca="1">IFERROR(((Table1[[#This Row],[Open.Int8]])*Table1[[#This Row],[Put gamma]])*-1*$A$4^2,0)</f>
        <v>-56397.45701531315</v>
      </c>
      <c r="AB90">
        <f ca="1">(Table1[[#This Row],[Call Gex]]+Table1[[#This Row],[Put Gex]])</f>
        <v>55721.980269326305</v>
      </c>
      <c r="AC90">
        <f ca="1">Table1[[#This Row],[call delta adj]]+Table1[[#This Row],[put delta adj]]</f>
        <v>57059.327200888481</v>
      </c>
      <c r="AD90">
        <f ca="1">Table1[[#This Row],[Put Gex]]*Table1[[#This Row],[DeltaP]]*-1</f>
        <v>-20303.084525512731</v>
      </c>
      <c r="AE90">
        <f ca="1">Table1[[#This Row],[Call Gex]]*Table1[[#This Row],[DeltaC]]</f>
        <v>77362.411726401217</v>
      </c>
      <c r="AF90">
        <f>IF(Table1[[#This Row],[DeltaC]]-ABS(Table1[[#This Row],[DeltaP]])="0","0.01",Table1[[#This Row],[DeltaC]]-ABS(Table1[[#This Row],[DeltaP]]))</f>
        <v>0.32999999999999996</v>
      </c>
      <c r="AG90">
        <f ca="1">((LN($A$4/Table1[[#This Row],[Strike]]) + (0.411 + 0.5 * Table1[[#This Row],[IV Calc P]]^2) *Table1[[#This Row],[T]])) / (Table1[[#This Row],[IV Calc P]] * SQRT(Table1[[#This Row],[T]]))</f>
        <v>0.49965915163110813</v>
      </c>
      <c r="AH90">
        <f ca="1">(LN($A$4/Table1[[#This Row],[Strike]]) + (0.411-0 + 0.5 * Table1[[#This Row],[IV Calc C]]^2) *Table1[[#This Row],[T]]) / (Table1[[#This Row],[IV Calc C]] * SQRT(Table1[[#This Row],[T]]))</f>
        <v>0.67700337648100684</v>
      </c>
      <c r="AI90">
        <f ca="1">(EXP(-(AG90^2)/2)/SQRT(2*PI())*EXP(0*SQRT(Table1[[#This Row],[T]]))/$A$4*18%*SQRT(SQRT(Table1[[#This Row],[T]])))</f>
        <v>2.0665519392402135E-6</v>
      </c>
      <c r="AJ90">
        <f ca="1">(EXP(-(AH90^2)/2)/SQRT(2*PI())*EXP(0*SQRT(Table1[[#This Row],[T]]))/$A$4*18%*SQRT(SQRT(Table1[[#This Row],[T]])))</f>
        <v>1.8618010703340808E-6</v>
      </c>
      <c r="AK90">
        <f ca="1">Table1[[#This Row],[Call D1]]-Table1[[#This Row],[IV Calc C]]*SQRT(Table1[[#This Row],[T]])</f>
        <v>0.67148790631154098</v>
      </c>
      <c r="AL90">
        <f ca="1">Table1[[#This Row],[Put D1]]-Table1[[#This Row],[IV Calc P]]*SQRT(Table1[[#This Row],[T]])</f>
        <v>0.49216024256810059</v>
      </c>
      <c r="AM90">
        <f ca="1">EXP(-0.5*Table1[[#This Row],[Call D1]]^2)/SQRT(2*PI())</f>
        <v>0.3172372637149678</v>
      </c>
      <c r="AN90">
        <f ca="1">EXP(-0.5*Table1[[#This Row],[Put D1]]^2)/SQRT(2*PI())</f>
        <v>0.35212531186899976</v>
      </c>
      <c r="AO90">
        <f ca="1">IFERROR((EXP(0*Table1[[#This Row],[T]])*Table1[[#This Row],[call N(d1)]]*(Table1[[#This Row],[call d2]]/Table1[[#This Row],[IV Calc C]]))*Table1[[#This Row],[Open.Int]]*Table1[[#This Row],[DeltaC]],0)</f>
        <v>1706.0420274452276</v>
      </c>
      <c r="AP90">
        <f ca="1">IFERROR((EXP(0*Table1[[#This Row],[T]])*Table1[[#This Row],[put N(d1)]]*(Table1[[#This Row],[put d2]]/Table1[[#This Row],[IV Calc P]]))*Table1[[#This Row],[Open.Int8]]*Table1[[#This Row],[DeltaP]]*-1,0)</f>
        <v>241.36513321471847</v>
      </c>
      <c r="AQ90">
        <f ca="1">((Table1[[#This Row],[call vanna]]+Table1[[#This Row],[put vanna]])*$A$4)</f>
        <v>13463107.29414844</v>
      </c>
      <c r="AR9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112119.43728463945</v>
      </c>
      <c r="AS9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-56397.45701531315</v>
      </c>
      <c r="AT90" s="9" t="str" cm="1">
        <f t="array" ref="AT90">_xlfn.IFS(     $M$1="SPX","SPXW",     $M$1="RUT","RUTW",  $M$1="NDX","NDXP",   TRUE,$M$1 )</f>
        <v>SPXW</v>
      </c>
      <c r="AU90" s="2">
        <f t="shared" si="12"/>
        <v>6915</v>
      </c>
      <c r="AV90" t="str">
        <f t="shared" si="13"/>
        <v>260123</v>
      </c>
      <c r="AW90" s="19">
        <f ca="1">IFERROR((EXP(0*Table1[[#This Row],[T]])*Table1[[#This Row],[put N(d1)]]*(Table1[[#This Row],[put d2]]/Table1[[#This Row],[IV Calc P]]))*Table1[[#This Row],[Open.Int8]]*Table1[[#This Row],[DeltaP]]*-1,0)</f>
        <v>241.36513321471847</v>
      </c>
      <c r="AX90">
        <f ca="1">IFERROR((EXP(0*Table1[[#This Row],[T]])*Table1[[#This Row],[call N(d1)]]*(Table1[[#This Row],[call d2]]/Table1[[#This Row],[IV Calc C]]))*Table1[[#This Row],[Open.Int]]*Table1[[#This Row],[DeltaC]],0)</f>
        <v>1706.0420274452276</v>
      </c>
      <c r="AY90">
        <f>IF(
    ISNUMBER(Table1[[#This Row],[Strike]]),RTD("tos.rtd", , "high", "."&amp;Table1[[#This Row],[Ticker]]&amp;Table1[[#This Row],[Expiry]]&amp;""&amp;"C"&amp;Table1[[#This Row],[Spot]]+Table1[[#This Row],[step]]))</f>
        <v>47.18</v>
      </c>
      <c r="AZ90">
        <f>IF(
    ISNUMBER(Table1[[#This Row],[Strike]]),RTD("tos.rtd", , "low", "."&amp;Table1[[#This Row],[Ticker]]&amp;Table1[[#This Row],[Expiry]]&amp;""&amp;"C"&amp;Table1[[#This Row],[Spot]]+Table1[[#This Row],[step]]))</f>
        <v>22.9</v>
      </c>
      <c r="BA90">
        <f>IF(
    ISNUMBER(Table1[[#This Row],[Strike]]),RTD("tos.rtd", , "high", "."&amp;Table1[[#This Row],[Ticker]]&amp;Table1[[#This Row],[Expiry]]&amp;""&amp;"P"&amp;Table1[[#This Row],[Spot]]+Table1[[#This Row],[step]]))</f>
        <v>24.32</v>
      </c>
      <c r="BB90">
        <f>IF(
    ISNUMBER(Table1[[#This Row],[Strike]]),RTD("tos.rtd", , "low", "."&amp;Table1[[#This Row],[Ticker]]&amp;Table1[[#This Row],[Expiry]]&amp;""&amp;"P"&amp;Table1[[#This Row],[Spot]]+Table1[[#This Row],[step]]))</f>
        <v>5.78</v>
      </c>
      <c r="BC90">
        <f>((Table1[[#This Row],[High C]]+Table1[[#This Row],[Low C]])/2)*Table1[[#This Row],[gammac]]*Table1[[#This Row],[Volume]]</f>
        <v>539.61599999999999</v>
      </c>
      <c r="BD90">
        <f>((Table1[[#This Row],[High P]]+Table1[[#This Row],[Low P]])/2)*Table1[[#This Row],[gammap]]*Table1[[#This Row],[Volume9]]*-1</f>
        <v>-563.17100000000005</v>
      </c>
      <c r="BE90">
        <f>(Table1[[#This Row],[SgammaC]]+Table1[[#This Row],[SgammaP]])*$A$4*-100</f>
        <v>16284395.925000045</v>
      </c>
      <c r="BF90">
        <f>Table1[[#This Row],[DEXc]]+Table1[[#This Row],[DEXp]]</f>
        <v>4589358.2640000004</v>
      </c>
      <c r="BG90">
        <f>IFERROR(Table1[[#This Row],[DeltaC]]*Table1[[#This Row],[Open.Int]]*$A$4,0)</f>
        <v>6010466.4900000002</v>
      </c>
      <c r="BH90">
        <f>IFERROR(Table1[[#This Row],[DeltaP]]*Table1[[#This Row],[Open.Int8]]*$A$4,0)</f>
        <v>-1421108.226</v>
      </c>
      <c r="BI9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-846415.14768021356</v>
      </c>
      <c r="BJ9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-571798.66010457615</v>
      </c>
      <c r="BK90">
        <f ca="1">Table1[[#This Row],[Charmc]]+Table1[[#This Row],[Charmp]]</f>
        <v>-1418213.8077847897</v>
      </c>
      <c r="BL9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9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90" s="78">
        <f ca="1">Table1[[#This Row],[call helper]]+Table1[[#This Row],[put helper]]</f>
        <v>55721.980269326305</v>
      </c>
      <c r="BP90">
        <f>RTD("tos.rtd", , "STRIKE", "."&amp;Table1[[#This Row],[Ticker]]&amp;Table1[[#This Row],[Expiry]]&amp;""&amp;"C"&amp;Table1[[#This Row],[Spot]]+Table1[[#This Row],[step]])</f>
        <v>6895</v>
      </c>
    </row>
    <row r="91" spans="1:68" x14ac:dyDescent="0.25">
      <c r="A91">
        <f t="shared" ca="1" si="9"/>
        <v>2.5814307458086375E-3</v>
      </c>
      <c r="C91" s="17"/>
      <c r="D91" t="b">
        <f>IF(
    ISNUMBER(Table1[[#This Row],[Strike]]),RTD("tos.rtd", , "OPEN_INT", "."&amp;Table1[[#This Row],[Ticker]]&amp;Table1[[#This Row],[Expiry]]&amp;""&amp;"C"&amp;Table1[[#This Row],[Strike]]))</f>
        <v>0</v>
      </c>
      <c r="E9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1" t="b">
        <f>IF(
    ISNUMBER(Table1[[#This Row],[Strike]]),RTD("tos.rtd", , "DELTA", "."&amp;Table1[[#This Row],[Ticker]]&amp;Table1[[#This Row],[Expiry]]&amp;""&amp;"C"&amp;Table1[[#This Row],[Strike]]))</f>
        <v>0</v>
      </c>
      <c r="H91" s="17" t="b" cm="1">
        <f t="array" ref="H91">IF(
    ISNUMBER(Table1[[#This Row],[Strike]]),IndividualLegIVCore($A$4, Table1[[#This Row],[Strike]], 0.0411, Table1[[#This Row],[T]], ((Table1[[#This Row],[BIDC]]+Table1[[#This Row],[ASKC]])/2), TRUE))</f>
        <v>0</v>
      </c>
      <c r="I91" t="b">
        <f>IF(
    ISNUMBER(Table1[[#This Row],[Strike]]),RTD("tos.rtd", , "BID", "."&amp;Table1[[#This Row],[Ticker]]&amp;Table1[[#This Row],[Expiry]]&amp;""&amp;"C"&amp;Table1[[#This Row],[Strike]]))</f>
        <v>0</v>
      </c>
      <c r="J91" t="b">
        <f>IF(
    ISNUMBER(Table1[[#This Row],[Strike]]),RTD("tos.rtd", , "ASK", "."&amp;Table1[[#This Row],[Ticker]]&amp;Table1[[#This Row],[Expiry]]&amp;""&amp;"C"&amp;Table1[[#This Row],[Strike]]))</f>
        <v>0</v>
      </c>
      <c r="K9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1" s="17" cm="1">
        <f t="array" aca="1" ref="L9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1" s="1">
        <f t="shared" si="10"/>
        <v>46045</v>
      </c>
      <c r="N91" t="b">
        <f t="shared" si="11"/>
        <v>0</v>
      </c>
      <c r="P91" s="17" t="b" cm="1">
        <f t="array" ref="P91">IF(
    ISNUMBER(Table1[[#This Row],[Strike]]),IndividualLegIVCore($A$4, Table1[[#This Row],[Strike]], 0.0411, Table1[[#This Row],[T]], ((Table1[[#This Row],[BIDP]]+Table1[[#This Row],[ASKP]])/2), FALSE))</f>
        <v>0</v>
      </c>
      <c r="Q91" t="b">
        <f>IF(
    ISNUMBER(Table1[[#This Row],[Strike]]),RTD("tos.rtd", , "BID", "."&amp;Table1[[#This Row],[Ticker]]&amp;Table1[[#This Row],[Expiry]]&amp;""&amp;"P"&amp;Table1[[#This Row],[Strike]]))</f>
        <v>0</v>
      </c>
      <c r="R91" t="b">
        <f>IF(
    ISNUMBER(Table1[[#This Row],[Strike]]),RTD("tos.rtd", , "ASK", "."&amp;Table1[[#This Row],[Ticker]]&amp;Table1[[#This Row],[Expiry]]&amp;""&amp;"P"&amp;Table1[[#This Row],[Strike]]))</f>
        <v>0</v>
      </c>
      <c r="S91" s="17"/>
      <c r="T91" t="b">
        <f>IF(
    ISNUMBER(Table1[[#This Row],[Strike]]),RTD("tos.rtd", , "OPEN_INT", "."&amp;Table1[[#This Row],[Ticker]]&amp;Table1[[#This Row],[Expiry]]&amp;""&amp;"P"&amp;Table1[[#This Row],[Strike]]))</f>
        <v>0</v>
      </c>
      <c r="U9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1" t="b">
        <f>IF(
    ISNUMBER(Table1[[#This Row],[Strike]]),RTD("tos.rtd", , "DELTA", "."&amp;Table1[[#This Row],[Ticker]]&amp;Table1[[#This Row],[Expiry]]&amp;""&amp;"P"&amp;Table1[[#This Row],[Strike]]))</f>
        <v>0</v>
      </c>
      <c r="Y91" s="21">
        <f>-9.5* IF($M$1="NDX", 10, IF(OR($M$1="SPX", $M$1="RUT"), 2, 1))</f>
        <v>-19</v>
      </c>
      <c r="Z91">
        <f ca="1">IFERROR(Table1[[#This Row],[call gamma]]*(Table1[[#This Row],[Open.Int]])*$A$4^2,0)</f>
        <v>0</v>
      </c>
      <c r="AA91">
        <f ca="1">IFERROR(((Table1[[#This Row],[Open.Int8]])*Table1[[#This Row],[Put gamma]])*-1*$A$4^2,0)</f>
        <v>0</v>
      </c>
      <c r="AB91">
        <f ca="1">(Table1[[#This Row],[Call Gex]]+Table1[[#This Row],[Put Gex]])</f>
        <v>0</v>
      </c>
      <c r="AC91">
        <f ca="1">Table1[[#This Row],[call delta adj]]+Table1[[#This Row],[put delta adj]]</f>
        <v>0</v>
      </c>
      <c r="AD91">
        <f ca="1">Table1[[#This Row],[Put Gex]]*Table1[[#This Row],[DeltaP]]*-1</f>
        <v>0</v>
      </c>
      <c r="AE91">
        <f ca="1">Table1[[#This Row],[Call Gex]]*Table1[[#This Row],[DeltaC]]</f>
        <v>0</v>
      </c>
      <c r="AF91">
        <f>IF(Table1[[#This Row],[DeltaC]]-ABS(Table1[[#This Row],[DeltaP]])="0","0.01",Table1[[#This Row],[DeltaC]]-ABS(Table1[[#This Row],[DeltaP]]))</f>
        <v>0</v>
      </c>
      <c r="AG91" t="e">
        <f ca="1">((LN($A$4/Table1[[#This Row],[Strike]]) + (0.411 + 0.5 * Table1[[#This Row],[IV Calc P]]^2) *Table1[[#This Row],[T]])) / (Table1[[#This Row],[IV Calc P]] * SQRT(Table1[[#This Row],[T]]))</f>
        <v>#DIV/0!</v>
      </c>
      <c r="AH91" t="e">
        <f ca="1">(LN($A$4/Table1[[#This Row],[Strike]]) + (0.411-0 + 0.5 * Table1[[#This Row],[IV Calc C]]^2) *Table1[[#This Row],[T]]) / (Table1[[#This Row],[IV Calc C]] * SQRT(Table1[[#This Row],[T]]))</f>
        <v>#DIV/0!</v>
      </c>
      <c r="AI91" t="e">
        <f ca="1">(EXP(-(AG91^2)/2)/SQRT(2*PI())*EXP(0*SQRT(Table1[[#This Row],[T]]))/$A$4*18%*SQRT(SQRT(Table1[[#This Row],[T]])))</f>
        <v>#DIV/0!</v>
      </c>
      <c r="AJ91" t="e">
        <f ca="1">(EXP(-(AH91^2)/2)/SQRT(2*PI())*EXP(0*SQRT(Table1[[#This Row],[T]]))/$A$4*18%*SQRT(SQRT(Table1[[#This Row],[T]])))</f>
        <v>#DIV/0!</v>
      </c>
      <c r="AK91" t="e">
        <f ca="1">Table1[[#This Row],[Call D1]]-Table1[[#This Row],[IV Calc C]]*SQRT(Table1[[#This Row],[T]])</f>
        <v>#DIV/0!</v>
      </c>
      <c r="AL91" t="e">
        <f ca="1">Table1[[#This Row],[Put D1]]-Table1[[#This Row],[IV Calc P]]*SQRT(Table1[[#This Row],[T]])</f>
        <v>#DIV/0!</v>
      </c>
      <c r="AM91" t="e">
        <f ca="1">EXP(-0.5*Table1[[#This Row],[Call D1]]^2)/SQRT(2*PI())</f>
        <v>#DIV/0!</v>
      </c>
      <c r="AN91" t="e">
        <f ca="1">EXP(-0.5*Table1[[#This Row],[Put D1]]^2)/SQRT(2*PI())</f>
        <v>#DIV/0!</v>
      </c>
      <c r="AO91">
        <f ca="1">IFERROR((EXP(0*Table1[[#This Row],[T]])*Table1[[#This Row],[call N(d1)]]*(Table1[[#This Row],[call d2]]/Table1[[#This Row],[IV Calc C]]))*Table1[[#This Row],[Open.Int]]*Table1[[#This Row],[DeltaC]],0)</f>
        <v>0</v>
      </c>
      <c r="AP91">
        <f ca="1">IFERROR((EXP(0*Table1[[#This Row],[T]])*Table1[[#This Row],[put N(d1)]]*(Table1[[#This Row],[put d2]]/Table1[[#This Row],[IV Calc P]]))*Table1[[#This Row],[Open.Int8]]*Table1[[#This Row],[DeltaP]]*-1,0)</f>
        <v>0</v>
      </c>
      <c r="AQ91">
        <f ca="1">((Table1[[#This Row],[call vanna]]+Table1[[#This Row],[put vanna]])*$A$4)</f>
        <v>0</v>
      </c>
      <c r="AR9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1" s="9" t="str" cm="1">
        <f t="array" ref="AT91">_xlfn.IFS(     $M$1="SPX","SPXW",     $M$1="RUT","RUTW",  $M$1="NDX","NDXP",   TRUE,$M$1 )</f>
        <v>SPXW</v>
      </c>
      <c r="AU91" s="2">
        <f t="shared" si="12"/>
        <v>6915</v>
      </c>
      <c r="AV91" t="str">
        <f t="shared" si="13"/>
        <v>260123</v>
      </c>
      <c r="AW91" s="21">
        <f ca="1">IFERROR((EXP(0*Table1[[#This Row],[T]])*Table1[[#This Row],[put N(d1)]]*(Table1[[#This Row],[put d2]]/Table1[[#This Row],[IV Calc P]]))*Table1[[#This Row],[Open.Int8]]*Table1[[#This Row],[DeltaP]]*-1,0)</f>
        <v>0</v>
      </c>
      <c r="AX91">
        <f ca="1">IFERROR((EXP(0*Table1[[#This Row],[T]])*Table1[[#This Row],[call N(d1)]]*(Table1[[#This Row],[call d2]]/Table1[[#This Row],[IV Calc C]]))*Table1[[#This Row],[Open.Int]]*Table1[[#This Row],[DeltaC]],0)</f>
        <v>0</v>
      </c>
      <c r="AY9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1">
        <f>((Table1[[#This Row],[High C]]+Table1[[#This Row],[Low C]])/2)*Table1[[#This Row],[gammac]]*Table1[[#This Row],[Volume]]</f>
        <v>0</v>
      </c>
      <c r="BD91">
        <f>((Table1[[#This Row],[High P]]+Table1[[#This Row],[Low P]])/2)*Table1[[#This Row],[gammap]]*Table1[[#This Row],[Volume9]]*-1</f>
        <v>0</v>
      </c>
      <c r="BE91">
        <f>(Table1[[#This Row],[SgammaC]]+Table1[[#This Row],[SgammaP]])*$A$4*-100</f>
        <v>0</v>
      </c>
      <c r="BF91">
        <f>Table1[[#This Row],[DEXc]]+Table1[[#This Row],[DEXp]]</f>
        <v>0</v>
      </c>
      <c r="BG91">
        <f>IFERROR(Table1[[#This Row],[DeltaC]]*Table1[[#This Row],[Open.Int]]*$A$4,0)</f>
        <v>0</v>
      </c>
      <c r="BH91">
        <f>IFERROR(Table1[[#This Row],[DeltaP]]*Table1[[#This Row],[Open.Int8]]*$A$4,0)</f>
        <v>0</v>
      </c>
      <c r="BI9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1">
        <f ca="1">Table1[[#This Row],[Charmc]]+Table1[[#This Row],[Charmp]]</f>
        <v>0</v>
      </c>
      <c r="BL9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1" s="78">
        <f ca="1">Table1[[#This Row],[call helper]]+Table1[[#This Row],[put helper]]</f>
        <v>0</v>
      </c>
      <c r="BP91" t="str">
        <f>RTD("tos.rtd", , "STRIKE", "."&amp;Table1[[#This Row],[Ticker]]&amp;Table1[[#This Row],[Expiry]]&amp;""&amp;"C"&amp;Table1[[#This Row],[Spot]]+Table1[[#This Row],[step]])</f>
        <v>N/A</v>
      </c>
    </row>
    <row r="92" spans="1:68" x14ac:dyDescent="0.25">
      <c r="A92">
        <f t="shared" ca="1" si="9"/>
        <v>2.5814307458086375E-3</v>
      </c>
      <c r="C92" s="17"/>
      <c r="D92" t="b">
        <f>IF(
    ISNUMBER(Table1[[#This Row],[Strike]]),RTD("tos.rtd", , "OPEN_INT", "."&amp;Table1[[#This Row],[Ticker]]&amp;Table1[[#This Row],[Expiry]]&amp;""&amp;"C"&amp;Table1[[#This Row],[Strike]]))</f>
        <v>0</v>
      </c>
      <c r="E9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2" t="b">
        <f>IF(
    ISNUMBER(Table1[[#This Row],[Strike]]),RTD("tos.rtd", , "DELTA", "."&amp;Table1[[#This Row],[Ticker]]&amp;Table1[[#This Row],[Expiry]]&amp;""&amp;"C"&amp;Table1[[#This Row],[Strike]]))</f>
        <v>0</v>
      </c>
      <c r="H92" s="17" t="b" cm="1">
        <f t="array" ref="H92">IF(
    ISNUMBER(Table1[[#This Row],[Strike]]),IndividualLegIVCore($A$4, Table1[[#This Row],[Strike]], 0.0411, Table1[[#This Row],[T]], ((Table1[[#This Row],[BIDC]]+Table1[[#This Row],[ASKC]])/2), TRUE))</f>
        <v>0</v>
      </c>
      <c r="I92" t="b">
        <f>IF(
    ISNUMBER(Table1[[#This Row],[Strike]]),RTD("tos.rtd", , "BID", "."&amp;Table1[[#This Row],[Ticker]]&amp;Table1[[#This Row],[Expiry]]&amp;""&amp;"C"&amp;Table1[[#This Row],[Strike]]))</f>
        <v>0</v>
      </c>
      <c r="J92" t="b">
        <f>IF(
    ISNUMBER(Table1[[#This Row],[Strike]]),RTD("tos.rtd", , "ASK", "."&amp;Table1[[#This Row],[Ticker]]&amp;Table1[[#This Row],[Expiry]]&amp;""&amp;"C"&amp;Table1[[#This Row],[Strike]]))</f>
        <v>0</v>
      </c>
      <c r="K9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2" s="17" cm="1">
        <f t="array" aca="1" ref="L9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2" s="1">
        <f t="shared" si="10"/>
        <v>46045</v>
      </c>
      <c r="N92" t="b">
        <f t="shared" si="11"/>
        <v>0</v>
      </c>
      <c r="P92" s="17" t="b" cm="1">
        <f t="array" ref="P92">IF(
    ISNUMBER(Table1[[#This Row],[Strike]]),IndividualLegIVCore($A$4, Table1[[#This Row],[Strike]], 0.0411, Table1[[#This Row],[T]], ((Table1[[#This Row],[BIDP]]+Table1[[#This Row],[ASKP]])/2), FALSE))</f>
        <v>0</v>
      </c>
      <c r="Q92" t="b">
        <f>IF(
    ISNUMBER(Table1[[#This Row],[Strike]]),RTD("tos.rtd", , "BID", "."&amp;Table1[[#This Row],[Ticker]]&amp;Table1[[#This Row],[Expiry]]&amp;""&amp;"P"&amp;Table1[[#This Row],[Strike]]))</f>
        <v>0</v>
      </c>
      <c r="R92" t="b">
        <f>IF(
    ISNUMBER(Table1[[#This Row],[Strike]]),RTD("tos.rtd", , "ASK", "."&amp;Table1[[#This Row],[Ticker]]&amp;Table1[[#This Row],[Expiry]]&amp;""&amp;"P"&amp;Table1[[#This Row],[Strike]]))</f>
        <v>0</v>
      </c>
      <c r="S92" s="17"/>
      <c r="T92" t="b">
        <f>IF(
    ISNUMBER(Table1[[#This Row],[Strike]]),RTD("tos.rtd", , "OPEN_INT", "."&amp;Table1[[#This Row],[Ticker]]&amp;Table1[[#This Row],[Expiry]]&amp;""&amp;"P"&amp;Table1[[#This Row],[Strike]]))</f>
        <v>0</v>
      </c>
      <c r="U9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2" t="b">
        <f>IF(
    ISNUMBER(Table1[[#This Row],[Strike]]),RTD("tos.rtd", , "DELTA", "."&amp;Table1[[#This Row],[Ticker]]&amp;Table1[[#This Row],[Expiry]]&amp;""&amp;"P"&amp;Table1[[#This Row],[Strike]]))</f>
        <v>0</v>
      </c>
      <c r="Y92" s="19">
        <f>-9* IF($M$1="NDX", 10, IF(OR($M$1="SPX", $M$1="RUT"), 2, 1))</f>
        <v>-18</v>
      </c>
      <c r="Z92">
        <f ca="1">IFERROR(Table1[[#This Row],[call gamma]]*(Table1[[#This Row],[Open.Int]])*$A$4^2,0)</f>
        <v>0</v>
      </c>
      <c r="AA92">
        <f ca="1">IFERROR(((Table1[[#This Row],[Open.Int8]])*Table1[[#This Row],[Put gamma]])*-1*$A$4^2,0)</f>
        <v>0</v>
      </c>
      <c r="AB92">
        <f ca="1">(Table1[[#This Row],[Call Gex]]+Table1[[#This Row],[Put Gex]])</f>
        <v>0</v>
      </c>
      <c r="AC92">
        <f ca="1">Table1[[#This Row],[call delta adj]]+Table1[[#This Row],[put delta adj]]</f>
        <v>0</v>
      </c>
      <c r="AD92">
        <f ca="1">Table1[[#This Row],[Put Gex]]*Table1[[#This Row],[DeltaP]]*-1</f>
        <v>0</v>
      </c>
      <c r="AE92">
        <f ca="1">Table1[[#This Row],[Call Gex]]*Table1[[#This Row],[DeltaC]]</f>
        <v>0</v>
      </c>
      <c r="AF92">
        <f>IF(Table1[[#This Row],[DeltaC]]-ABS(Table1[[#This Row],[DeltaP]])="0","0.01",Table1[[#This Row],[DeltaC]]-ABS(Table1[[#This Row],[DeltaP]]))</f>
        <v>0</v>
      </c>
      <c r="AG92" t="e">
        <f ca="1">((LN($A$4/Table1[[#This Row],[Strike]]) + (0.411 + 0.5 * Table1[[#This Row],[IV Calc P]]^2) *Table1[[#This Row],[T]])) / (Table1[[#This Row],[IV Calc P]] * SQRT(Table1[[#This Row],[T]]))</f>
        <v>#DIV/0!</v>
      </c>
      <c r="AH92" t="e">
        <f ca="1">(LN($A$4/Table1[[#This Row],[Strike]]) + (0.411-0 + 0.5 * Table1[[#This Row],[IV Calc C]]^2) *Table1[[#This Row],[T]]) / (Table1[[#This Row],[IV Calc C]] * SQRT(Table1[[#This Row],[T]]))</f>
        <v>#DIV/0!</v>
      </c>
      <c r="AI92" t="e">
        <f ca="1">(EXP(-(AG92^2)/2)/SQRT(2*PI())*EXP(0*SQRT(Table1[[#This Row],[T]]))/$A$4*18%*SQRT(SQRT(Table1[[#This Row],[T]])))</f>
        <v>#DIV/0!</v>
      </c>
      <c r="AJ92" t="e">
        <f ca="1">(EXP(-(AH92^2)/2)/SQRT(2*PI())*EXP(0*SQRT(Table1[[#This Row],[T]]))/$A$4*18%*SQRT(SQRT(Table1[[#This Row],[T]])))</f>
        <v>#DIV/0!</v>
      </c>
      <c r="AK92" t="e">
        <f ca="1">Table1[[#This Row],[Call D1]]-Table1[[#This Row],[IV Calc C]]*SQRT(Table1[[#This Row],[T]])</f>
        <v>#DIV/0!</v>
      </c>
      <c r="AL92" t="e">
        <f ca="1">Table1[[#This Row],[Put D1]]-Table1[[#This Row],[IV Calc P]]*SQRT(Table1[[#This Row],[T]])</f>
        <v>#DIV/0!</v>
      </c>
      <c r="AM92" t="e">
        <f ca="1">EXP(-0.5*Table1[[#This Row],[Call D1]]^2)/SQRT(2*PI())</f>
        <v>#DIV/0!</v>
      </c>
      <c r="AN92" t="e">
        <f ca="1">EXP(-0.5*Table1[[#This Row],[Put D1]]^2)/SQRT(2*PI())</f>
        <v>#DIV/0!</v>
      </c>
      <c r="AO92">
        <f ca="1">IFERROR((EXP(0*Table1[[#This Row],[T]])*Table1[[#This Row],[call N(d1)]]*(Table1[[#This Row],[call d2]]/Table1[[#This Row],[IV Calc C]]))*Table1[[#This Row],[Open.Int]]*Table1[[#This Row],[DeltaC]],0)</f>
        <v>0</v>
      </c>
      <c r="AP92">
        <f ca="1">IFERROR((EXP(0*Table1[[#This Row],[T]])*Table1[[#This Row],[put N(d1)]]*(Table1[[#This Row],[put d2]]/Table1[[#This Row],[IV Calc P]]))*Table1[[#This Row],[Open.Int8]]*Table1[[#This Row],[DeltaP]]*-1,0)</f>
        <v>0</v>
      </c>
      <c r="AQ92">
        <f ca="1">((Table1[[#This Row],[call vanna]]+Table1[[#This Row],[put vanna]])*$A$4)</f>
        <v>0</v>
      </c>
      <c r="AR9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2" s="9" t="str" cm="1">
        <f t="array" ref="AT92">_xlfn.IFS(     $M$1="SPX","SPXW",     $M$1="RUT","RUTW",  $M$1="NDX","NDXP",   TRUE,$M$1 )</f>
        <v>SPXW</v>
      </c>
      <c r="AU92" s="2">
        <f t="shared" si="12"/>
        <v>6915</v>
      </c>
      <c r="AV92" t="str">
        <f t="shared" si="13"/>
        <v>260123</v>
      </c>
      <c r="AW92" s="19">
        <f ca="1">IFERROR((EXP(0*Table1[[#This Row],[T]])*Table1[[#This Row],[put N(d1)]]*(Table1[[#This Row],[put d2]]/Table1[[#This Row],[IV Calc P]]))*Table1[[#This Row],[Open.Int8]]*Table1[[#This Row],[DeltaP]]*-1,0)</f>
        <v>0</v>
      </c>
      <c r="AX92">
        <f ca="1">IFERROR((EXP(0*Table1[[#This Row],[T]])*Table1[[#This Row],[call N(d1)]]*(Table1[[#This Row],[call d2]]/Table1[[#This Row],[IV Calc C]]))*Table1[[#This Row],[Open.Int]]*Table1[[#This Row],[DeltaC]],0)</f>
        <v>0</v>
      </c>
      <c r="AY9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2">
        <f>((Table1[[#This Row],[High C]]+Table1[[#This Row],[Low C]])/2)*Table1[[#This Row],[gammac]]*Table1[[#This Row],[Volume]]</f>
        <v>0</v>
      </c>
      <c r="BD92">
        <f>((Table1[[#This Row],[High P]]+Table1[[#This Row],[Low P]])/2)*Table1[[#This Row],[gammap]]*Table1[[#This Row],[Volume9]]*-1</f>
        <v>0</v>
      </c>
      <c r="BE92">
        <f>(Table1[[#This Row],[SgammaC]]+Table1[[#This Row],[SgammaP]])*$A$4*-100</f>
        <v>0</v>
      </c>
      <c r="BF92">
        <f>Table1[[#This Row],[DEXc]]+Table1[[#This Row],[DEXp]]</f>
        <v>0</v>
      </c>
      <c r="BG92">
        <f>IFERROR(Table1[[#This Row],[DeltaC]]*Table1[[#This Row],[Open.Int]]*$A$4,0)</f>
        <v>0</v>
      </c>
      <c r="BH92">
        <f>IFERROR(Table1[[#This Row],[DeltaP]]*Table1[[#This Row],[Open.Int8]]*$A$4,0)</f>
        <v>0</v>
      </c>
      <c r="BI9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2">
        <f ca="1">Table1[[#This Row],[Charmc]]+Table1[[#This Row],[Charmp]]</f>
        <v>0</v>
      </c>
      <c r="BL9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2" s="78">
        <f ca="1">Table1[[#This Row],[call helper]]+Table1[[#This Row],[put helper]]</f>
        <v>0</v>
      </c>
      <c r="BP92" t="str">
        <f>RTD("tos.rtd", , "STRIKE", "."&amp;Table1[[#This Row],[Ticker]]&amp;Table1[[#This Row],[Expiry]]&amp;""&amp;"C"&amp;Table1[[#This Row],[Spot]]+Table1[[#This Row],[step]])</f>
        <v>N/A</v>
      </c>
    </row>
    <row r="93" spans="1:68" x14ac:dyDescent="0.25">
      <c r="A93">
        <f t="shared" ca="1" si="9"/>
        <v>2.5814307458086375E-3</v>
      </c>
      <c r="C93" s="17"/>
      <c r="D93" t="b">
        <f>IF(
    ISNUMBER(Table1[[#This Row],[Strike]]),RTD("tos.rtd", , "OPEN_INT", "."&amp;Table1[[#This Row],[Ticker]]&amp;Table1[[#This Row],[Expiry]]&amp;""&amp;"C"&amp;Table1[[#This Row],[Strike]]))</f>
        <v>0</v>
      </c>
      <c r="E9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3" t="b">
        <f>IF(
    ISNUMBER(Table1[[#This Row],[Strike]]),RTD("tos.rtd", , "DELTA", "."&amp;Table1[[#This Row],[Ticker]]&amp;Table1[[#This Row],[Expiry]]&amp;""&amp;"C"&amp;Table1[[#This Row],[Strike]]))</f>
        <v>0</v>
      </c>
      <c r="H93" s="17" t="b" cm="1">
        <f t="array" ref="H93">IF(
    ISNUMBER(Table1[[#This Row],[Strike]]),IndividualLegIVCore($A$4, Table1[[#This Row],[Strike]], 0.0411, Table1[[#This Row],[T]], ((Table1[[#This Row],[BIDC]]+Table1[[#This Row],[ASKC]])/2), TRUE))</f>
        <v>0</v>
      </c>
      <c r="I93" t="b">
        <f>IF(
    ISNUMBER(Table1[[#This Row],[Strike]]),RTD("tos.rtd", , "BID", "."&amp;Table1[[#This Row],[Ticker]]&amp;Table1[[#This Row],[Expiry]]&amp;""&amp;"C"&amp;Table1[[#This Row],[Strike]]))</f>
        <v>0</v>
      </c>
      <c r="J93" t="b">
        <f>IF(
    ISNUMBER(Table1[[#This Row],[Strike]]),RTD("tos.rtd", , "ASK", "."&amp;Table1[[#This Row],[Ticker]]&amp;Table1[[#This Row],[Expiry]]&amp;""&amp;"C"&amp;Table1[[#This Row],[Strike]]))</f>
        <v>0</v>
      </c>
      <c r="K9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3" s="17" cm="1">
        <f t="array" aca="1" ref="L9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3" s="1">
        <f t="shared" si="10"/>
        <v>46045</v>
      </c>
      <c r="N93" t="b">
        <f t="shared" si="11"/>
        <v>0</v>
      </c>
      <c r="P93" s="17" t="b" cm="1">
        <f t="array" ref="P93">IF(
    ISNUMBER(Table1[[#This Row],[Strike]]),IndividualLegIVCore($A$4, Table1[[#This Row],[Strike]], 0.0411, Table1[[#This Row],[T]], ((Table1[[#This Row],[BIDP]]+Table1[[#This Row],[ASKP]])/2), FALSE))</f>
        <v>0</v>
      </c>
      <c r="Q93" t="b">
        <f>IF(
    ISNUMBER(Table1[[#This Row],[Strike]]),RTD("tos.rtd", , "BID", "."&amp;Table1[[#This Row],[Ticker]]&amp;Table1[[#This Row],[Expiry]]&amp;""&amp;"P"&amp;Table1[[#This Row],[Strike]]))</f>
        <v>0</v>
      </c>
      <c r="R93" t="b">
        <f>IF(
    ISNUMBER(Table1[[#This Row],[Strike]]),RTD("tos.rtd", , "ASK", "."&amp;Table1[[#This Row],[Ticker]]&amp;Table1[[#This Row],[Expiry]]&amp;""&amp;"P"&amp;Table1[[#This Row],[Strike]]))</f>
        <v>0</v>
      </c>
      <c r="S93" s="17"/>
      <c r="T93" t="b">
        <f>IF(
    ISNUMBER(Table1[[#This Row],[Strike]]),RTD("tos.rtd", , "OPEN_INT", "."&amp;Table1[[#This Row],[Ticker]]&amp;Table1[[#This Row],[Expiry]]&amp;""&amp;"P"&amp;Table1[[#This Row],[Strike]]))</f>
        <v>0</v>
      </c>
      <c r="U9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3" t="b">
        <f>IF(
    ISNUMBER(Table1[[#This Row],[Strike]]),RTD("tos.rtd", , "DELTA", "."&amp;Table1[[#This Row],[Ticker]]&amp;Table1[[#This Row],[Expiry]]&amp;""&amp;"P"&amp;Table1[[#This Row],[Strike]]))</f>
        <v>0</v>
      </c>
      <c r="Y93" s="19">
        <f>-8.5* IF($M$1="NDX", 10, IF(OR($M$1="SPX", $M$1="RUT"), 2, 1))</f>
        <v>-17</v>
      </c>
      <c r="Z93">
        <f ca="1">IFERROR(Table1[[#This Row],[call gamma]]*(Table1[[#This Row],[Open.Int]])*$A$4^2,0)</f>
        <v>0</v>
      </c>
      <c r="AA93">
        <f ca="1">IFERROR(((Table1[[#This Row],[Open.Int8]])*Table1[[#This Row],[Put gamma]])*-1*$A$4^2,0)</f>
        <v>0</v>
      </c>
      <c r="AB93">
        <f ca="1">(Table1[[#This Row],[Call Gex]]+Table1[[#This Row],[Put Gex]])</f>
        <v>0</v>
      </c>
      <c r="AC93">
        <f ca="1">Table1[[#This Row],[call delta adj]]+Table1[[#This Row],[put delta adj]]</f>
        <v>0</v>
      </c>
      <c r="AD93">
        <f ca="1">Table1[[#This Row],[Put Gex]]*Table1[[#This Row],[DeltaP]]*-1</f>
        <v>0</v>
      </c>
      <c r="AE93">
        <f ca="1">Table1[[#This Row],[Call Gex]]*Table1[[#This Row],[DeltaC]]</f>
        <v>0</v>
      </c>
      <c r="AF93">
        <f>IF(Table1[[#This Row],[DeltaC]]-ABS(Table1[[#This Row],[DeltaP]])="0","0.01",Table1[[#This Row],[DeltaC]]-ABS(Table1[[#This Row],[DeltaP]]))</f>
        <v>0</v>
      </c>
      <c r="AG93" t="e">
        <f ca="1">((LN($A$4/Table1[[#This Row],[Strike]]) + (0.411 + 0.5 * Table1[[#This Row],[IV Calc P]]^2) *Table1[[#This Row],[T]])) / (Table1[[#This Row],[IV Calc P]] * SQRT(Table1[[#This Row],[T]]))</f>
        <v>#DIV/0!</v>
      </c>
      <c r="AH93" t="e">
        <f ca="1">(LN($A$4/Table1[[#This Row],[Strike]]) + (0.411-0 + 0.5 * Table1[[#This Row],[IV Calc C]]^2) *Table1[[#This Row],[T]]) / (Table1[[#This Row],[IV Calc C]] * SQRT(Table1[[#This Row],[T]]))</f>
        <v>#DIV/0!</v>
      </c>
      <c r="AI93" t="e">
        <f ca="1">(EXP(-(AG93^2)/2)/SQRT(2*PI())*EXP(0*SQRT(Table1[[#This Row],[T]]))/$A$4*18%*SQRT(SQRT(Table1[[#This Row],[T]])))</f>
        <v>#DIV/0!</v>
      </c>
      <c r="AJ93" t="e">
        <f ca="1">(EXP(-(AH93^2)/2)/SQRT(2*PI())*EXP(0*SQRT(Table1[[#This Row],[T]]))/$A$4*18%*SQRT(SQRT(Table1[[#This Row],[T]])))</f>
        <v>#DIV/0!</v>
      </c>
      <c r="AK93" t="e">
        <f ca="1">Table1[[#This Row],[Call D1]]-Table1[[#This Row],[IV Calc C]]*SQRT(Table1[[#This Row],[T]])</f>
        <v>#DIV/0!</v>
      </c>
      <c r="AL93" t="e">
        <f ca="1">Table1[[#This Row],[Put D1]]-Table1[[#This Row],[IV Calc P]]*SQRT(Table1[[#This Row],[T]])</f>
        <v>#DIV/0!</v>
      </c>
      <c r="AM93" t="e">
        <f ca="1">EXP(-0.5*Table1[[#This Row],[Call D1]]^2)/SQRT(2*PI())</f>
        <v>#DIV/0!</v>
      </c>
      <c r="AN93" t="e">
        <f ca="1">EXP(-0.5*Table1[[#This Row],[Put D1]]^2)/SQRT(2*PI())</f>
        <v>#DIV/0!</v>
      </c>
      <c r="AO93">
        <f ca="1">IFERROR((EXP(0*Table1[[#This Row],[T]])*Table1[[#This Row],[call N(d1)]]*(Table1[[#This Row],[call d2]]/Table1[[#This Row],[IV Calc C]]))*Table1[[#This Row],[Open.Int]]*Table1[[#This Row],[DeltaC]],0)</f>
        <v>0</v>
      </c>
      <c r="AP93">
        <f ca="1">IFERROR((EXP(0*Table1[[#This Row],[T]])*Table1[[#This Row],[put N(d1)]]*(Table1[[#This Row],[put d2]]/Table1[[#This Row],[IV Calc P]]))*Table1[[#This Row],[Open.Int8]]*Table1[[#This Row],[DeltaP]]*-1,0)</f>
        <v>0</v>
      </c>
      <c r="AQ93">
        <f ca="1">((Table1[[#This Row],[call vanna]]+Table1[[#This Row],[put vanna]])*$A$4)</f>
        <v>0</v>
      </c>
      <c r="AR9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3" s="9" t="str" cm="1">
        <f t="array" ref="AT93">_xlfn.IFS(     $M$1="SPX","SPXW",     $M$1="RUT","RUTW",  $M$1="NDX","NDXP",   TRUE,$M$1 )</f>
        <v>SPXW</v>
      </c>
      <c r="AU93" s="2">
        <f t="shared" si="12"/>
        <v>6915</v>
      </c>
      <c r="AV93" t="str">
        <f t="shared" si="13"/>
        <v>260123</v>
      </c>
      <c r="AW93" s="19">
        <f ca="1">IFERROR((EXP(0*Table1[[#This Row],[T]])*Table1[[#This Row],[put N(d1)]]*(Table1[[#This Row],[put d2]]/Table1[[#This Row],[IV Calc P]]))*Table1[[#This Row],[Open.Int8]]*Table1[[#This Row],[DeltaP]]*-1,0)</f>
        <v>0</v>
      </c>
      <c r="AX93">
        <f ca="1">IFERROR((EXP(0*Table1[[#This Row],[T]])*Table1[[#This Row],[call N(d1)]]*(Table1[[#This Row],[call d2]]/Table1[[#This Row],[IV Calc C]]))*Table1[[#This Row],[Open.Int]]*Table1[[#This Row],[DeltaC]],0)</f>
        <v>0</v>
      </c>
      <c r="AY9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3">
        <f>((Table1[[#This Row],[High C]]+Table1[[#This Row],[Low C]])/2)*Table1[[#This Row],[gammac]]*Table1[[#This Row],[Volume]]</f>
        <v>0</v>
      </c>
      <c r="BD93">
        <f>((Table1[[#This Row],[High P]]+Table1[[#This Row],[Low P]])/2)*Table1[[#This Row],[gammap]]*Table1[[#This Row],[Volume9]]*-1</f>
        <v>0</v>
      </c>
      <c r="BE93">
        <f>(Table1[[#This Row],[SgammaC]]+Table1[[#This Row],[SgammaP]])*$A$4*-100</f>
        <v>0</v>
      </c>
      <c r="BF93">
        <f>Table1[[#This Row],[DEXc]]+Table1[[#This Row],[DEXp]]</f>
        <v>0</v>
      </c>
      <c r="BG93">
        <f>IFERROR(Table1[[#This Row],[DeltaC]]*Table1[[#This Row],[Open.Int]]*$A$4,0)</f>
        <v>0</v>
      </c>
      <c r="BH93">
        <f>IFERROR(Table1[[#This Row],[DeltaP]]*Table1[[#This Row],[Open.Int8]]*$A$4,0)</f>
        <v>0</v>
      </c>
      <c r="BI9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3">
        <f ca="1">Table1[[#This Row],[Charmc]]+Table1[[#This Row],[Charmp]]</f>
        <v>0</v>
      </c>
      <c r="BL9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3" s="78">
        <f ca="1">Table1[[#This Row],[call helper]]+Table1[[#This Row],[put helper]]</f>
        <v>0</v>
      </c>
      <c r="BP93" t="str">
        <f>RTD("tos.rtd", , "STRIKE", "."&amp;Table1[[#This Row],[Ticker]]&amp;Table1[[#This Row],[Expiry]]&amp;""&amp;"C"&amp;Table1[[#This Row],[Spot]]+Table1[[#This Row],[step]])</f>
        <v>N/A</v>
      </c>
    </row>
    <row r="94" spans="1:68" x14ac:dyDescent="0.25">
      <c r="A94">
        <f t="shared" ca="1" si="9"/>
        <v>2.5814307458086375E-3</v>
      </c>
      <c r="C94" s="17"/>
      <c r="D94" t="b">
        <f>IF(
    ISNUMBER(Table1[[#This Row],[Strike]]),RTD("tos.rtd", , "OPEN_INT", "."&amp;Table1[[#This Row],[Ticker]]&amp;Table1[[#This Row],[Expiry]]&amp;""&amp;"C"&amp;Table1[[#This Row],[Strike]]))</f>
        <v>0</v>
      </c>
      <c r="E9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4" t="b">
        <f>IF(
    ISNUMBER(Table1[[#This Row],[Strike]]),RTD("tos.rtd", , "DELTA", "."&amp;Table1[[#This Row],[Ticker]]&amp;Table1[[#This Row],[Expiry]]&amp;""&amp;"C"&amp;Table1[[#This Row],[Strike]]))</f>
        <v>0</v>
      </c>
      <c r="H94" s="17" t="b" cm="1">
        <f t="array" ref="H94">IF(
    ISNUMBER(Table1[[#This Row],[Strike]]),IndividualLegIVCore($A$4, Table1[[#This Row],[Strike]], 0.0411, Table1[[#This Row],[T]], ((Table1[[#This Row],[BIDC]]+Table1[[#This Row],[ASKC]])/2), TRUE))</f>
        <v>0</v>
      </c>
      <c r="I94" t="b">
        <f>IF(
    ISNUMBER(Table1[[#This Row],[Strike]]),RTD("tos.rtd", , "BID", "."&amp;Table1[[#This Row],[Ticker]]&amp;Table1[[#This Row],[Expiry]]&amp;""&amp;"C"&amp;Table1[[#This Row],[Strike]]))</f>
        <v>0</v>
      </c>
      <c r="J94" t="b">
        <f>IF(
    ISNUMBER(Table1[[#This Row],[Strike]]),RTD("tos.rtd", , "ASK", "."&amp;Table1[[#This Row],[Ticker]]&amp;Table1[[#This Row],[Expiry]]&amp;""&amp;"C"&amp;Table1[[#This Row],[Strike]]))</f>
        <v>0</v>
      </c>
      <c r="K9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4" s="17" cm="1">
        <f t="array" aca="1" ref="L9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4" s="1">
        <f t="shared" si="10"/>
        <v>46045</v>
      </c>
      <c r="N94" t="b">
        <f t="shared" si="11"/>
        <v>0</v>
      </c>
      <c r="P94" s="17" t="b" cm="1">
        <f t="array" ref="P94">IF(
    ISNUMBER(Table1[[#This Row],[Strike]]),IndividualLegIVCore($A$4, Table1[[#This Row],[Strike]], 0.0411, Table1[[#This Row],[T]], ((Table1[[#This Row],[BIDP]]+Table1[[#This Row],[ASKP]])/2), FALSE))</f>
        <v>0</v>
      </c>
      <c r="Q94" t="b">
        <f>IF(
    ISNUMBER(Table1[[#This Row],[Strike]]),RTD("tos.rtd", , "BID", "."&amp;Table1[[#This Row],[Ticker]]&amp;Table1[[#This Row],[Expiry]]&amp;""&amp;"P"&amp;Table1[[#This Row],[Strike]]))</f>
        <v>0</v>
      </c>
      <c r="R94" t="b">
        <f>IF(
    ISNUMBER(Table1[[#This Row],[Strike]]),RTD("tos.rtd", , "ASK", "."&amp;Table1[[#This Row],[Ticker]]&amp;Table1[[#This Row],[Expiry]]&amp;""&amp;"P"&amp;Table1[[#This Row],[Strike]]))</f>
        <v>0</v>
      </c>
      <c r="S94" s="17"/>
      <c r="T94" t="b">
        <f>IF(
    ISNUMBER(Table1[[#This Row],[Strike]]),RTD("tos.rtd", , "OPEN_INT", "."&amp;Table1[[#This Row],[Ticker]]&amp;Table1[[#This Row],[Expiry]]&amp;""&amp;"P"&amp;Table1[[#This Row],[Strike]]))</f>
        <v>0</v>
      </c>
      <c r="U9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4" t="b">
        <f>IF(
    ISNUMBER(Table1[[#This Row],[Strike]]),RTD("tos.rtd", , "DELTA", "."&amp;Table1[[#This Row],[Ticker]]&amp;Table1[[#This Row],[Expiry]]&amp;""&amp;"P"&amp;Table1[[#This Row],[Strike]]))</f>
        <v>0</v>
      </c>
      <c r="Y94" s="19">
        <f>-8* IF($M$1="NDX", 10, IF(OR($M$1="SPX", $M$1="RUT"), 2, 1))</f>
        <v>-16</v>
      </c>
      <c r="Z94">
        <f ca="1">IFERROR(Table1[[#This Row],[call gamma]]*(Table1[[#This Row],[Open.Int]])*$A$4^2,0)</f>
        <v>0</v>
      </c>
      <c r="AA94">
        <f ca="1">IFERROR(((Table1[[#This Row],[Open.Int8]])*Table1[[#This Row],[Put gamma]])*-1*$A$4^2,0)</f>
        <v>0</v>
      </c>
      <c r="AB94">
        <f ca="1">(Table1[[#This Row],[Call Gex]]+Table1[[#This Row],[Put Gex]])</f>
        <v>0</v>
      </c>
      <c r="AC94">
        <f ca="1">Table1[[#This Row],[call delta adj]]+Table1[[#This Row],[put delta adj]]</f>
        <v>0</v>
      </c>
      <c r="AD94">
        <f ca="1">Table1[[#This Row],[Put Gex]]*Table1[[#This Row],[DeltaP]]*-1</f>
        <v>0</v>
      </c>
      <c r="AE94">
        <f ca="1">Table1[[#This Row],[Call Gex]]*Table1[[#This Row],[DeltaC]]</f>
        <v>0</v>
      </c>
      <c r="AF94">
        <f>IF(Table1[[#This Row],[DeltaC]]-ABS(Table1[[#This Row],[DeltaP]])="0","0.01",Table1[[#This Row],[DeltaC]]-ABS(Table1[[#This Row],[DeltaP]]))</f>
        <v>0</v>
      </c>
      <c r="AG94" t="e">
        <f ca="1">((LN($A$4/Table1[[#This Row],[Strike]]) + (0.411 + 0.5 * Table1[[#This Row],[IV Calc P]]^2) *Table1[[#This Row],[T]])) / (Table1[[#This Row],[IV Calc P]] * SQRT(Table1[[#This Row],[T]]))</f>
        <v>#DIV/0!</v>
      </c>
      <c r="AH94" t="e">
        <f ca="1">(LN($A$4/Table1[[#This Row],[Strike]]) + (0.411-0 + 0.5 * Table1[[#This Row],[IV Calc C]]^2) *Table1[[#This Row],[T]]) / (Table1[[#This Row],[IV Calc C]] * SQRT(Table1[[#This Row],[T]]))</f>
        <v>#DIV/0!</v>
      </c>
      <c r="AI94" t="e">
        <f ca="1">(EXP(-(AG94^2)/2)/SQRT(2*PI())*EXP(0*SQRT(Table1[[#This Row],[T]]))/$A$4*18%*SQRT(SQRT(Table1[[#This Row],[T]])))</f>
        <v>#DIV/0!</v>
      </c>
      <c r="AJ94" t="e">
        <f ca="1">(EXP(-(AH94^2)/2)/SQRT(2*PI())*EXP(0*SQRT(Table1[[#This Row],[T]]))/$A$4*18%*SQRT(SQRT(Table1[[#This Row],[T]])))</f>
        <v>#DIV/0!</v>
      </c>
      <c r="AK94" t="e">
        <f ca="1">Table1[[#This Row],[Call D1]]-Table1[[#This Row],[IV Calc C]]*SQRT(Table1[[#This Row],[T]])</f>
        <v>#DIV/0!</v>
      </c>
      <c r="AL94" t="e">
        <f ca="1">Table1[[#This Row],[Put D1]]-Table1[[#This Row],[IV Calc P]]*SQRT(Table1[[#This Row],[T]])</f>
        <v>#DIV/0!</v>
      </c>
      <c r="AM94" t="e">
        <f ca="1">EXP(-0.5*Table1[[#This Row],[Call D1]]^2)/SQRT(2*PI())</f>
        <v>#DIV/0!</v>
      </c>
      <c r="AN94" t="e">
        <f ca="1">EXP(-0.5*Table1[[#This Row],[Put D1]]^2)/SQRT(2*PI())</f>
        <v>#DIV/0!</v>
      </c>
      <c r="AO94">
        <f ca="1">IFERROR((EXP(0*Table1[[#This Row],[T]])*Table1[[#This Row],[call N(d1)]]*(Table1[[#This Row],[call d2]]/Table1[[#This Row],[IV Calc C]]))*Table1[[#This Row],[Open.Int]]*Table1[[#This Row],[DeltaC]],0)</f>
        <v>0</v>
      </c>
      <c r="AP94">
        <f ca="1">IFERROR((EXP(0*Table1[[#This Row],[T]])*Table1[[#This Row],[put N(d1)]]*(Table1[[#This Row],[put d2]]/Table1[[#This Row],[IV Calc P]]))*Table1[[#This Row],[Open.Int8]]*Table1[[#This Row],[DeltaP]]*-1,0)</f>
        <v>0</v>
      </c>
      <c r="AQ94">
        <f ca="1">((Table1[[#This Row],[call vanna]]+Table1[[#This Row],[put vanna]])*$A$4)</f>
        <v>0</v>
      </c>
      <c r="AR9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4" s="9" t="str" cm="1">
        <f t="array" ref="AT94">_xlfn.IFS(     $M$1="SPX","SPXW",     $M$1="RUT","RUTW",  $M$1="NDX","NDXP",   TRUE,$M$1 )</f>
        <v>SPXW</v>
      </c>
      <c r="AU94" s="2">
        <f t="shared" si="12"/>
        <v>6915</v>
      </c>
      <c r="AV94" t="str">
        <f t="shared" si="13"/>
        <v>260123</v>
      </c>
      <c r="AW94" s="19">
        <f ca="1">IFERROR((EXP(0*Table1[[#This Row],[T]])*Table1[[#This Row],[put N(d1)]]*(Table1[[#This Row],[put d2]]/Table1[[#This Row],[IV Calc P]]))*Table1[[#This Row],[Open.Int8]]*Table1[[#This Row],[DeltaP]]*-1,0)</f>
        <v>0</v>
      </c>
      <c r="AX94">
        <f ca="1">IFERROR((EXP(0*Table1[[#This Row],[T]])*Table1[[#This Row],[call N(d1)]]*(Table1[[#This Row],[call d2]]/Table1[[#This Row],[IV Calc C]]))*Table1[[#This Row],[Open.Int]]*Table1[[#This Row],[DeltaC]],0)</f>
        <v>0</v>
      </c>
      <c r="AY9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4">
        <f>((Table1[[#This Row],[High C]]+Table1[[#This Row],[Low C]])/2)*Table1[[#This Row],[gammac]]*Table1[[#This Row],[Volume]]</f>
        <v>0</v>
      </c>
      <c r="BD94">
        <f>((Table1[[#This Row],[High P]]+Table1[[#This Row],[Low P]])/2)*Table1[[#This Row],[gammap]]*Table1[[#This Row],[Volume9]]*-1</f>
        <v>0</v>
      </c>
      <c r="BE94">
        <f>(Table1[[#This Row],[SgammaC]]+Table1[[#This Row],[SgammaP]])*$A$4*-100</f>
        <v>0</v>
      </c>
      <c r="BF94">
        <f>Table1[[#This Row],[DEXc]]+Table1[[#This Row],[DEXp]]</f>
        <v>0</v>
      </c>
      <c r="BG94">
        <f>IFERROR(Table1[[#This Row],[DeltaC]]*Table1[[#This Row],[Open.Int]]*$A$4,0)</f>
        <v>0</v>
      </c>
      <c r="BH94">
        <f>IFERROR(Table1[[#This Row],[DeltaP]]*Table1[[#This Row],[Open.Int8]]*$A$4,0)</f>
        <v>0</v>
      </c>
      <c r="BI9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4">
        <f ca="1">Table1[[#This Row],[Charmc]]+Table1[[#This Row],[Charmp]]</f>
        <v>0</v>
      </c>
      <c r="BL9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4" s="78">
        <f ca="1">Table1[[#This Row],[call helper]]+Table1[[#This Row],[put helper]]</f>
        <v>0</v>
      </c>
      <c r="BP94" t="str">
        <f>RTD("tos.rtd", , "STRIKE", "."&amp;Table1[[#This Row],[Ticker]]&amp;Table1[[#This Row],[Expiry]]&amp;""&amp;"C"&amp;Table1[[#This Row],[Spot]]+Table1[[#This Row],[step]])</f>
        <v>N/A</v>
      </c>
    </row>
    <row r="95" spans="1:68" x14ac:dyDescent="0.25">
      <c r="A95">
        <f t="shared" ca="1" si="9"/>
        <v>2.5814307458086375E-3</v>
      </c>
      <c r="C95" s="17"/>
      <c r="D95">
        <f>IF(
    ISNUMBER(Table1[[#This Row],[Strike]]),RTD("tos.rtd", , "OPEN_INT", "."&amp;Table1[[#This Row],[Ticker]]&amp;Table1[[#This Row],[Expiry]]&amp;""&amp;"C"&amp;Table1[[#This Row],[Strike]]))</f>
        <v>6390</v>
      </c>
      <c r="E9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5803</v>
      </c>
      <c r="G95">
        <f>IF(
    ISNUMBER(Table1[[#This Row],[Strike]]),RTD("tos.rtd", , "DELTA", "."&amp;Table1[[#This Row],[Ticker]]&amp;Table1[[#This Row],[Expiry]]&amp;""&amp;"C"&amp;Table1[[#This Row],[Strike]]))</f>
        <v>0.64</v>
      </c>
      <c r="H95" s="17" cm="1">
        <f t="array" aca="1" ref="H95" ca="1">IF(
    ISNUMBER(Table1[[#This Row],[Strike]]),IndividualLegIVCore($A$4, Table1[[#This Row],[Strike]], 0.0411, Table1[[#This Row],[T]], ((Table1[[#This Row],[BIDC]]+Table1[[#This Row],[ASKC]])/2), TRUE))</f>
        <v>0.10883052546019285</v>
      </c>
      <c r="I95">
        <f>IF(
    ISNUMBER(Table1[[#This Row],[Strike]]),RTD("tos.rtd", , "BID", "."&amp;Table1[[#This Row],[Ticker]]&amp;Table1[[#This Row],[Expiry]]&amp;""&amp;"C"&amp;Table1[[#This Row],[Strike]]))</f>
        <v>23.1</v>
      </c>
      <c r="J95">
        <f>IF(
    ISNUMBER(Table1[[#This Row],[Strike]]),RTD("tos.rtd", , "ASK", "."&amp;Table1[[#This Row],[Ticker]]&amp;Table1[[#This Row],[Expiry]]&amp;""&amp;"C"&amp;Table1[[#This Row],[Strike]]))</f>
        <v>23.5</v>
      </c>
      <c r="K9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0.10883052546019285</v>
      </c>
      <c r="L95" s="17" cm="1">
        <f t="array" aca="1" ref="L95" ca="1">CubicSplineIVSmile($A$4, Table1[[#This Row],[Strike]], 0.0411, Table1[[#This Row],[T]], (Table1[[#This Row],[BIDC]]+Table1[[#This Row],[ASKC]])/2, (Table1[[#This Row],[BIDP]]+Table1[[#This Row],[ASKP]])/2, Table1[Strike], Table1[IV Calc AVG])</f>
        <v>0.12258823541190302</v>
      </c>
      <c r="M95" s="1">
        <f t="shared" si="10"/>
        <v>46045</v>
      </c>
      <c r="N95">
        <f t="shared" si="11"/>
        <v>6900</v>
      </c>
      <c r="P95" s="17" cm="1">
        <f t="array" aca="1" ref="P95" ca="1">IF(
    ISNUMBER(Table1[[#This Row],[Strike]]),IndividualLegIVCore($A$4, Table1[[#This Row],[Strike]], 0.0411, Table1[[#This Row],[T]], ((Table1[[#This Row],[BIDP]]+Table1[[#This Row],[ASKP]])/2), FALSE))</f>
        <v>0.14552333322993025</v>
      </c>
      <c r="Q95">
        <f>IF(
    ISNUMBER(Table1[[#This Row],[Strike]]),RTD("tos.rtd", , "BID", "."&amp;Table1[[#This Row],[Ticker]]&amp;Table1[[#This Row],[Expiry]]&amp;""&amp;"P"&amp;Table1[[#This Row],[Strike]]))</f>
        <v>13.9</v>
      </c>
      <c r="R95">
        <f>IF(
    ISNUMBER(Table1[[#This Row],[Strike]]),RTD("tos.rtd", , "ASK", "."&amp;Table1[[#This Row],[Ticker]]&amp;Table1[[#This Row],[Expiry]]&amp;""&amp;"P"&amp;Table1[[#This Row],[Strike]]))</f>
        <v>14.3</v>
      </c>
      <c r="S95" s="17"/>
      <c r="T95">
        <f>IF(
    ISNUMBER(Table1[[#This Row],[Strike]]),RTD("tos.rtd", , "OPEN_INT", "."&amp;Table1[[#This Row],[Ticker]]&amp;Table1[[#This Row],[Expiry]]&amp;""&amp;"P"&amp;Table1[[#This Row],[Strike]]))</f>
        <v>5015</v>
      </c>
      <c r="U9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11570</v>
      </c>
      <c r="W95">
        <f>IF(
    ISNUMBER(Table1[[#This Row],[Strike]]),RTD("tos.rtd", , "DELTA", "."&amp;Table1[[#This Row],[Ticker]]&amp;Table1[[#This Row],[Expiry]]&amp;""&amp;"P"&amp;Table1[[#This Row],[Strike]]))</f>
        <v>-0.39</v>
      </c>
      <c r="Y95" s="19">
        <f>-7.5* IF($M$1="NDX", 10, IF(OR($M$1="SPX", $M$1="RUT"), 2, 1))</f>
        <v>-15</v>
      </c>
      <c r="Z95">
        <f ca="1">IFERROR(Table1[[#This Row],[call gamma]]*(Table1[[#This Row],[Open.Int]])*$A$4^2,0)</f>
        <v>616632.00774634164</v>
      </c>
      <c r="AA95">
        <f ca="1">IFERROR(((Table1[[#This Row],[Open.Int8]])*Table1[[#This Row],[Put gamma]])*-1*$A$4^2,0)</f>
        <v>-516238.24704126437</v>
      </c>
      <c r="AB95">
        <f ca="1">(Table1[[#This Row],[Call Gex]]+Table1[[#This Row],[Put Gex]])</f>
        <v>100393.76070507726</v>
      </c>
      <c r="AC95">
        <f ca="1">Table1[[#This Row],[call delta adj]]+Table1[[#This Row],[put delta adj]]</f>
        <v>193311.56861156557</v>
      </c>
      <c r="AD95">
        <f ca="1">Table1[[#This Row],[Put Gex]]*Table1[[#This Row],[DeltaP]]*-1</f>
        <v>-201332.91634609312</v>
      </c>
      <c r="AE95">
        <f ca="1">Table1[[#This Row],[Call Gex]]*Table1[[#This Row],[DeltaC]]</f>
        <v>394644.48495765869</v>
      </c>
      <c r="AF95">
        <f>IF(Table1[[#This Row],[DeltaC]]-ABS(Table1[[#This Row],[DeltaP]])="0","0.01",Table1[[#This Row],[DeltaC]]-ABS(Table1[[#This Row],[DeltaP]]))</f>
        <v>0.25</v>
      </c>
      <c r="AG95">
        <f ca="1">((LN($A$4/Table1[[#This Row],[Strike]]) + (0.411 + 0.5 * Table1[[#This Row],[IV Calc P]]^2) *Table1[[#This Row],[T]])) / (Table1[[#This Row],[IV Calc P]] * SQRT(Table1[[#This Row],[T]]))</f>
        <v>0.40861917663414982</v>
      </c>
      <c r="AH95">
        <f ca="1">(LN($A$4/Table1[[#This Row],[Strike]]) + (0.411-0 + 0.5 * Table1[[#This Row],[IV Calc C]]^2) *Table1[[#This Row],[T]]) / (Table1[[#This Row],[IV Calc C]] * SQRT(Table1[[#This Row],[T]]))</f>
        <v>0.54420881388721298</v>
      </c>
      <c r="AI95">
        <f ca="1">(EXP(-(AG95^2)/2)/SQRT(2*PI())*EXP(0*SQRT(Table1[[#This Row],[T]]))/$A$4*18%*SQRT(SQRT(Table1[[#This Row],[T]])))</f>
        <v>2.1537840249074189E-6</v>
      </c>
      <c r="AJ95">
        <f ca="1">(EXP(-(AH95^2)/2)/SQRT(2*PI())*EXP(0*SQRT(Table1[[#This Row],[T]]))/$A$4*18%*SQRT(SQRT(Table1[[#This Row],[T]])))</f>
        <v>2.0190548500873208E-6</v>
      </c>
      <c r="AK95">
        <f ca="1">Table1[[#This Row],[Call D1]]-Table1[[#This Row],[IV Calc C]]*SQRT(Table1[[#This Row],[T]])</f>
        <v>0.53867937623821938</v>
      </c>
      <c r="AL95">
        <f ca="1">Table1[[#This Row],[Put D1]]-Table1[[#This Row],[IV Calc P]]*SQRT(Table1[[#This Row],[T]])</f>
        <v>0.40122545879472854</v>
      </c>
      <c r="AM95">
        <f ca="1">EXP(-0.5*Table1[[#This Row],[Call D1]]^2)/SQRT(2*PI())</f>
        <v>0.34403215581845253</v>
      </c>
      <c r="AN95">
        <f ca="1">EXP(-0.5*Table1[[#This Row],[Put D1]]^2)/SQRT(2*PI())</f>
        <v>0.36698902024588248</v>
      </c>
      <c r="AO95">
        <f ca="1">IFERROR((EXP(0*Table1[[#This Row],[T]])*Table1[[#This Row],[call N(d1)]]*(Table1[[#This Row],[call d2]]/Table1[[#This Row],[IV Calc C]]))*Table1[[#This Row],[Open.Int]]*Table1[[#This Row],[DeltaC]],0)</f>
        <v>6964.0116909503286</v>
      </c>
      <c r="AP95">
        <f ca="1">IFERROR((EXP(0*Table1[[#This Row],[T]])*Table1[[#This Row],[put N(d1)]]*(Table1[[#This Row],[put d2]]/Table1[[#This Row],[IV Calc P]]))*Table1[[#This Row],[Open.Int8]]*Table1[[#This Row],[DeltaP]]*-1,0)</f>
        <v>1978.9939384697586</v>
      </c>
      <c r="AQ95">
        <f ca="1">((Table1[[#This Row],[call vanna]]+Table1[[#This Row],[put vanna]])*$A$4)</f>
        <v>61826127.968151368</v>
      </c>
      <c r="AR9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616632.00774634164</v>
      </c>
      <c r="AS9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-516238.24704126437</v>
      </c>
      <c r="AT95" s="9" t="str" cm="1">
        <f t="array" ref="AT95">_xlfn.IFS(     $M$1="SPX","SPXW",     $M$1="RUT","RUTW",  $M$1="NDX","NDXP",   TRUE,$M$1 )</f>
        <v>SPXW</v>
      </c>
      <c r="AU95" s="2">
        <f t="shared" si="12"/>
        <v>6915</v>
      </c>
      <c r="AV95" t="str">
        <f t="shared" si="13"/>
        <v>260123</v>
      </c>
      <c r="AW95" s="19">
        <f ca="1">IFERROR((EXP(0*Table1[[#This Row],[T]])*Table1[[#This Row],[put N(d1)]]*(Table1[[#This Row],[put d2]]/Table1[[#This Row],[IV Calc P]]))*Table1[[#This Row],[Open.Int8]]*Table1[[#This Row],[DeltaP]]*-1,0)</f>
        <v>1978.9939384697586</v>
      </c>
      <c r="AX95">
        <f ca="1">IFERROR((EXP(0*Table1[[#This Row],[T]])*Table1[[#This Row],[call N(d1)]]*(Table1[[#This Row],[call d2]]/Table1[[#This Row],[IV Calc C]]))*Table1[[#This Row],[Open.Int]]*Table1[[#This Row],[DeltaC]],0)</f>
        <v>6964.0116909503286</v>
      </c>
      <c r="AY95">
        <f>IF(
    ISNUMBER(Table1[[#This Row],[Strike]]),RTD("tos.rtd", , "high", "."&amp;Table1[[#This Row],[Ticker]]&amp;Table1[[#This Row],[Expiry]]&amp;""&amp;"C"&amp;Table1[[#This Row],[Spot]]+Table1[[#This Row],[step]]))</f>
        <v>43.28</v>
      </c>
      <c r="AZ95">
        <f>IF(
    ISNUMBER(Table1[[#This Row],[Strike]]),RTD("tos.rtd", , "low", "."&amp;Table1[[#This Row],[Ticker]]&amp;Table1[[#This Row],[Expiry]]&amp;""&amp;"C"&amp;Table1[[#This Row],[Spot]]+Table1[[#This Row],[step]]))</f>
        <v>19.7</v>
      </c>
      <c r="BA95">
        <f>IF(
    ISNUMBER(Table1[[#This Row],[Strike]]),RTD("tos.rtd", , "high", "."&amp;Table1[[#This Row],[Ticker]]&amp;Table1[[#This Row],[Expiry]]&amp;""&amp;"P"&amp;Table1[[#This Row],[Spot]]+Table1[[#This Row],[step]]))</f>
        <v>26.66</v>
      </c>
      <c r="BB95">
        <f>IF(
    ISNUMBER(Table1[[#This Row],[Strike]]),RTD("tos.rtd", , "low", "."&amp;Table1[[#This Row],[Ticker]]&amp;Table1[[#This Row],[Expiry]]&amp;""&amp;"P"&amp;Table1[[#This Row],[Spot]]+Table1[[#This Row],[step]]))</f>
        <v>6.5</v>
      </c>
      <c r="BC95">
        <f>((Table1[[#This Row],[High C]]+Table1[[#This Row],[Low C]])/2)*Table1[[#This Row],[gammac]]*Table1[[#This Row],[Volume]]</f>
        <v>1827.3647000000001</v>
      </c>
      <c r="BD95">
        <f>((Table1[[#This Row],[High P]]+Table1[[#This Row],[Low P]])/2)*Table1[[#This Row],[gammap]]*Table1[[#This Row],[Volume9]]*-1</f>
        <v>-1918.3059999999998</v>
      </c>
      <c r="BE95">
        <f>(Table1[[#This Row],[SgammaC]]+Table1[[#This Row],[SgammaP]])*$A$4*-100</f>
        <v>62870903.635499813</v>
      </c>
      <c r="BF95">
        <f>Table1[[#This Row],[DEXc]]+Table1[[#This Row],[DEXp]]</f>
        <v>14751360.562499998</v>
      </c>
      <c r="BG95">
        <f>IFERROR(Table1[[#This Row],[DeltaC]]*Table1[[#This Row],[Open.Int]]*$A$4,0)</f>
        <v>28272836.16</v>
      </c>
      <c r="BH95">
        <f>IFERROR(Table1[[#This Row],[DeltaP]]*Table1[[#This Row],[Open.Int8]]*$A$4,0)</f>
        <v>-13521475.597500002</v>
      </c>
      <c r="BI9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-6858286.4259115867</v>
      </c>
      <c r="BJ9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-6999315.9235444078</v>
      </c>
      <c r="BK95">
        <f ca="1">Table1[[#This Row],[Charmc]]+Table1[[#This Row],[Charmp]]</f>
        <v>-13857602.349455994</v>
      </c>
      <c r="BL9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9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95" s="78">
        <f ca="1">Table1[[#This Row],[call helper]]+Table1[[#This Row],[put helper]]</f>
        <v>100393.76070507726</v>
      </c>
      <c r="BP95">
        <f>RTD("tos.rtd", , "STRIKE", "."&amp;Table1[[#This Row],[Ticker]]&amp;Table1[[#This Row],[Expiry]]&amp;""&amp;"C"&amp;Table1[[#This Row],[Spot]]+Table1[[#This Row],[step]])</f>
        <v>6900</v>
      </c>
    </row>
    <row r="96" spans="1:68" x14ac:dyDescent="0.25">
      <c r="A96">
        <f t="shared" ca="1" si="9"/>
        <v>2.5814307458086375E-3</v>
      </c>
      <c r="C96" s="17"/>
      <c r="D96" t="b">
        <f>IF(
    ISNUMBER(Table1[[#This Row],[Strike]]),RTD("tos.rtd", , "OPEN_INT", "."&amp;Table1[[#This Row],[Ticker]]&amp;Table1[[#This Row],[Expiry]]&amp;""&amp;"C"&amp;Table1[[#This Row],[Strike]]))</f>
        <v>0</v>
      </c>
      <c r="E9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6" t="b">
        <f>IF(
    ISNUMBER(Table1[[#This Row],[Strike]]),RTD("tos.rtd", , "DELTA", "."&amp;Table1[[#This Row],[Ticker]]&amp;Table1[[#This Row],[Expiry]]&amp;""&amp;"C"&amp;Table1[[#This Row],[Strike]]))</f>
        <v>0</v>
      </c>
      <c r="H96" s="17" t="b" cm="1">
        <f t="array" ref="H96">IF(
    ISNUMBER(Table1[[#This Row],[Strike]]),IndividualLegIVCore($A$4, Table1[[#This Row],[Strike]], 0.0411, Table1[[#This Row],[T]], ((Table1[[#This Row],[BIDC]]+Table1[[#This Row],[ASKC]])/2), TRUE))</f>
        <v>0</v>
      </c>
      <c r="I96" t="b">
        <f>IF(
    ISNUMBER(Table1[[#This Row],[Strike]]),RTD("tos.rtd", , "BID", "."&amp;Table1[[#This Row],[Ticker]]&amp;Table1[[#This Row],[Expiry]]&amp;""&amp;"C"&amp;Table1[[#This Row],[Strike]]))</f>
        <v>0</v>
      </c>
      <c r="J96" t="b">
        <f>IF(
    ISNUMBER(Table1[[#This Row],[Strike]]),RTD("tos.rtd", , "ASK", "."&amp;Table1[[#This Row],[Ticker]]&amp;Table1[[#This Row],[Expiry]]&amp;""&amp;"C"&amp;Table1[[#This Row],[Strike]]))</f>
        <v>0</v>
      </c>
      <c r="K9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6" s="17" cm="1">
        <f t="array" aca="1" ref="L9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6" s="1">
        <f t="shared" si="10"/>
        <v>46045</v>
      </c>
      <c r="N96" t="b">
        <f t="shared" si="11"/>
        <v>0</v>
      </c>
      <c r="P96" s="17" t="b" cm="1">
        <f t="array" ref="P96">IF(
    ISNUMBER(Table1[[#This Row],[Strike]]),IndividualLegIVCore($A$4, Table1[[#This Row],[Strike]], 0.0411, Table1[[#This Row],[T]], ((Table1[[#This Row],[BIDP]]+Table1[[#This Row],[ASKP]])/2), FALSE))</f>
        <v>0</v>
      </c>
      <c r="Q96" t="b">
        <f>IF(
    ISNUMBER(Table1[[#This Row],[Strike]]),RTD("tos.rtd", , "BID", "."&amp;Table1[[#This Row],[Ticker]]&amp;Table1[[#This Row],[Expiry]]&amp;""&amp;"P"&amp;Table1[[#This Row],[Strike]]))</f>
        <v>0</v>
      </c>
      <c r="R96" t="b">
        <f>IF(
    ISNUMBER(Table1[[#This Row],[Strike]]),RTD("tos.rtd", , "ASK", "."&amp;Table1[[#This Row],[Ticker]]&amp;Table1[[#This Row],[Expiry]]&amp;""&amp;"P"&amp;Table1[[#This Row],[Strike]]))</f>
        <v>0</v>
      </c>
      <c r="S96" s="17"/>
      <c r="T96" t="b">
        <f>IF(
    ISNUMBER(Table1[[#This Row],[Strike]]),RTD("tos.rtd", , "OPEN_INT", "."&amp;Table1[[#This Row],[Ticker]]&amp;Table1[[#This Row],[Expiry]]&amp;""&amp;"P"&amp;Table1[[#This Row],[Strike]]))</f>
        <v>0</v>
      </c>
      <c r="U9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6" t="b">
        <f>IF(
    ISNUMBER(Table1[[#This Row],[Strike]]),RTD("tos.rtd", , "DELTA", "."&amp;Table1[[#This Row],[Ticker]]&amp;Table1[[#This Row],[Expiry]]&amp;""&amp;"P"&amp;Table1[[#This Row],[Strike]]))</f>
        <v>0</v>
      </c>
      <c r="Y96" s="19">
        <f>-7* IF($M$1="NDX", 10, IF(OR($M$1="SPX", $M$1="RUT"), 2, 1))</f>
        <v>-14</v>
      </c>
      <c r="Z96">
        <f ca="1">IFERROR(Table1[[#This Row],[call gamma]]*(Table1[[#This Row],[Open.Int]])*$A$4^2,0)</f>
        <v>0</v>
      </c>
      <c r="AA96">
        <f ca="1">IFERROR(((Table1[[#This Row],[Open.Int8]])*Table1[[#This Row],[Put gamma]])*-1*$A$4^2,0)</f>
        <v>0</v>
      </c>
      <c r="AB96">
        <f ca="1">(Table1[[#This Row],[Call Gex]]+Table1[[#This Row],[Put Gex]])</f>
        <v>0</v>
      </c>
      <c r="AC96">
        <f ca="1">Table1[[#This Row],[call delta adj]]+Table1[[#This Row],[put delta adj]]</f>
        <v>0</v>
      </c>
      <c r="AD96">
        <f ca="1">Table1[[#This Row],[Put Gex]]*Table1[[#This Row],[DeltaP]]*-1</f>
        <v>0</v>
      </c>
      <c r="AE96">
        <f ca="1">Table1[[#This Row],[Call Gex]]*Table1[[#This Row],[DeltaC]]</f>
        <v>0</v>
      </c>
      <c r="AF96">
        <f>IF(Table1[[#This Row],[DeltaC]]-ABS(Table1[[#This Row],[DeltaP]])="0","0.01",Table1[[#This Row],[DeltaC]]-ABS(Table1[[#This Row],[DeltaP]]))</f>
        <v>0</v>
      </c>
      <c r="AG96" t="e">
        <f ca="1">((LN($A$4/Table1[[#This Row],[Strike]]) + (0.411 + 0.5 * Table1[[#This Row],[IV Calc P]]^2) *Table1[[#This Row],[T]])) / (Table1[[#This Row],[IV Calc P]] * SQRT(Table1[[#This Row],[T]]))</f>
        <v>#DIV/0!</v>
      </c>
      <c r="AH96" t="e">
        <f ca="1">(LN($A$4/Table1[[#This Row],[Strike]]) + (0.411-0 + 0.5 * Table1[[#This Row],[IV Calc C]]^2) *Table1[[#This Row],[T]]) / (Table1[[#This Row],[IV Calc C]] * SQRT(Table1[[#This Row],[T]]))</f>
        <v>#DIV/0!</v>
      </c>
      <c r="AI96" t="e">
        <f ca="1">(EXP(-(AG96^2)/2)/SQRT(2*PI())*EXP(0*SQRT(Table1[[#This Row],[T]]))/$A$4*18%*SQRT(SQRT(Table1[[#This Row],[T]])))</f>
        <v>#DIV/0!</v>
      </c>
      <c r="AJ96" t="e">
        <f ca="1">(EXP(-(AH96^2)/2)/SQRT(2*PI())*EXP(0*SQRT(Table1[[#This Row],[T]]))/$A$4*18%*SQRT(SQRT(Table1[[#This Row],[T]])))</f>
        <v>#DIV/0!</v>
      </c>
      <c r="AK96" t="e">
        <f ca="1">Table1[[#This Row],[Call D1]]-Table1[[#This Row],[IV Calc C]]*SQRT(Table1[[#This Row],[T]])</f>
        <v>#DIV/0!</v>
      </c>
      <c r="AL96" t="e">
        <f ca="1">Table1[[#This Row],[Put D1]]-Table1[[#This Row],[IV Calc P]]*SQRT(Table1[[#This Row],[T]])</f>
        <v>#DIV/0!</v>
      </c>
      <c r="AM96" t="e">
        <f ca="1">EXP(-0.5*Table1[[#This Row],[Call D1]]^2)/SQRT(2*PI())</f>
        <v>#DIV/0!</v>
      </c>
      <c r="AN96" t="e">
        <f ca="1">EXP(-0.5*Table1[[#This Row],[Put D1]]^2)/SQRT(2*PI())</f>
        <v>#DIV/0!</v>
      </c>
      <c r="AO96">
        <f ca="1">IFERROR((EXP(0*Table1[[#This Row],[T]])*Table1[[#This Row],[call N(d1)]]*(Table1[[#This Row],[call d2]]/Table1[[#This Row],[IV Calc C]]))*Table1[[#This Row],[Open.Int]]*Table1[[#This Row],[DeltaC]],0)</f>
        <v>0</v>
      </c>
      <c r="AP96">
        <f ca="1">IFERROR((EXP(0*Table1[[#This Row],[T]])*Table1[[#This Row],[put N(d1)]]*(Table1[[#This Row],[put d2]]/Table1[[#This Row],[IV Calc P]]))*Table1[[#This Row],[Open.Int8]]*Table1[[#This Row],[DeltaP]]*-1,0)</f>
        <v>0</v>
      </c>
      <c r="AQ96">
        <f ca="1">((Table1[[#This Row],[call vanna]]+Table1[[#This Row],[put vanna]])*$A$4)</f>
        <v>0</v>
      </c>
      <c r="AR9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6" s="9" t="str" cm="1">
        <f t="array" ref="AT96">_xlfn.IFS(     $M$1="SPX","SPXW",     $M$1="RUT","RUTW",  $M$1="NDX","NDXP",   TRUE,$M$1 )</f>
        <v>SPXW</v>
      </c>
      <c r="AU96" s="2">
        <f t="shared" si="12"/>
        <v>6915</v>
      </c>
      <c r="AV96" t="str">
        <f t="shared" si="13"/>
        <v>260123</v>
      </c>
      <c r="AW96" s="19">
        <f ca="1">IFERROR((EXP(0*Table1[[#This Row],[T]])*Table1[[#This Row],[put N(d1)]]*(Table1[[#This Row],[put d2]]/Table1[[#This Row],[IV Calc P]]))*Table1[[#This Row],[Open.Int8]]*Table1[[#This Row],[DeltaP]]*-1,0)</f>
        <v>0</v>
      </c>
      <c r="AX96">
        <f ca="1">IFERROR((EXP(0*Table1[[#This Row],[T]])*Table1[[#This Row],[call N(d1)]]*(Table1[[#This Row],[call d2]]/Table1[[#This Row],[IV Calc C]]))*Table1[[#This Row],[Open.Int]]*Table1[[#This Row],[DeltaC]],0)</f>
        <v>0</v>
      </c>
      <c r="AY9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6">
        <f>((Table1[[#This Row],[High C]]+Table1[[#This Row],[Low C]])/2)*Table1[[#This Row],[gammac]]*Table1[[#This Row],[Volume]]</f>
        <v>0</v>
      </c>
      <c r="BD96">
        <f>((Table1[[#This Row],[High P]]+Table1[[#This Row],[Low P]])/2)*Table1[[#This Row],[gammap]]*Table1[[#This Row],[Volume9]]*-1</f>
        <v>0</v>
      </c>
      <c r="BE96">
        <f>(Table1[[#This Row],[SgammaC]]+Table1[[#This Row],[SgammaP]])*$A$4*-100</f>
        <v>0</v>
      </c>
      <c r="BF96">
        <f>Table1[[#This Row],[DEXc]]+Table1[[#This Row],[DEXp]]</f>
        <v>0</v>
      </c>
      <c r="BG96">
        <f>IFERROR(Table1[[#This Row],[DeltaC]]*Table1[[#This Row],[Open.Int]]*$A$4,0)</f>
        <v>0</v>
      </c>
      <c r="BH96">
        <f>IFERROR(Table1[[#This Row],[DeltaP]]*Table1[[#This Row],[Open.Int8]]*$A$4,0)</f>
        <v>0</v>
      </c>
      <c r="BI9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6">
        <f ca="1">Table1[[#This Row],[Charmc]]+Table1[[#This Row],[Charmp]]</f>
        <v>0</v>
      </c>
      <c r="BL9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6" s="78">
        <f ca="1">Table1[[#This Row],[call helper]]+Table1[[#This Row],[put helper]]</f>
        <v>0</v>
      </c>
      <c r="BP96" t="str">
        <f>RTD("tos.rtd", , "STRIKE", "."&amp;Table1[[#This Row],[Ticker]]&amp;Table1[[#This Row],[Expiry]]&amp;""&amp;"C"&amp;Table1[[#This Row],[Spot]]+Table1[[#This Row],[step]])</f>
        <v>N/A</v>
      </c>
    </row>
    <row r="97" spans="1:77" x14ac:dyDescent="0.25">
      <c r="A97">
        <f t="shared" ca="1" si="9"/>
        <v>2.5814307458086375E-3</v>
      </c>
      <c r="C97" s="17"/>
      <c r="D97" t="b">
        <f>IF(
    ISNUMBER(Table1[[#This Row],[Strike]]),RTD("tos.rtd", , "OPEN_INT", "."&amp;Table1[[#This Row],[Ticker]]&amp;Table1[[#This Row],[Expiry]]&amp;""&amp;"C"&amp;Table1[[#This Row],[Strike]]))</f>
        <v>0</v>
      </c>
      <c r="E9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7" t="b">
        <f>IF(
    ISNUMBER(Table1[[#This Row],[Strike]]),RTD("tos.rtd", , "DELTA", "."&amp;Table1[[#This Row],[Ticker]]&amp;Table1[[#This Row],[Expiry]]&amp;""&amp;"C"&amp;Table1[[#This Row],[Strike]]))</f>
        <v>0</v>
      </c>
      <c r="H97" s="17" t="b" cm="1">
        <f t="array" ref="H97">IF(
    ISNUMBER(Table1[[#This Row],[Strike]]),IndividualLegIVCore($A$4, Table1[[#This Row],[Strike]], 0.0411, Table1[[#This Row],[T]], ((Table1[[#This Row],[BIDC]]+Table1[[#This Row],[ASKC]])/2), TRUE))</f>
        <v>0</v>
      </c>
      <c r="I97" t="b">
        <f>IF(
    ISNUMBER(Table1[[#This Row],[Strike]]),RTD("tos.rtd", , "BID", "."&amp;Table1[[#This Row],[Ticker]]&amp;Table1[[#This Row],[Expiry]]&amp;""&amp;"C"&amp;Table1[[#This Row],[Strike]]))</f>
        <v>0</v>
      </c>
      <c r="J97" t="b">
        <f>IF(
    ISNUMBER(Table1[[#This Row],[Strike]]),RTD("tos.rtd", , "ASK", "."&amp;Table1[[#This Row],[Ticker]]&amp;Table1[[#This Row],[Expiry]]&amp;""&amp;"C"&amp;Table1[[#This Row],[Strike]]))</f>
        <v>0</v>
      </c>
      <c r="K9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7" s="17" cm="1">
        <f t="array" aca="1" ref="L9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7" s="1">
        <f t="shared" si="10"/>
        <v>46045</v>
      </c>
      <c r="N97" t="b">
        <f t="shared" si="11"/>
        <v>0</v>
      </c>
      <c r="P97" s="17" t="b" cm="1">
        <f t="array" ref="P97">IF(
    ISNUMBER(Table1[[#This Row],[Strike]]),IndividualLegIVCore($A$4, Table1[[#This Row],[Strike]], 0.0411, Table1[[#This Row],[T]], ((Table1[[#This Row],[BIDP]]+Table1[[#This Row],[ASKP]])/2), FALSE))</f>
        <v>0</v>
      </c>
      <c r="Q97" t="b">
        <f>IF(
    ISNUMBER(Table1[[#This Row],[Strike]]),RTD("tos.rtd", , "BID", "."&amp;Table1[[#This Row],[Ticker]]&amp;Table1[[#This Row],[Expiry]]&amp;""&amp;"P"&amp;Table1[[#This Row],[Strike]]))</f>
        <v>0</v>
      </c>
      <c r="R97" t="b">
        <f>IF(
    ISNUMBER(Table1[[#This Row],[Strike]]),RTD("tos.rtd", , "ASK", "."&amp;Table1[[#This Row],[Ticker]]&amp;Table1[[#This Row],[Expiry]]&amp;""&amp;"P"&amp;Table1[[#This Row],[Strike]]))</f>
        <v>0</v>
      </c>
      <c r="S97" s="17"/>
      <c r="T97" t="b">
        <f>IF(
    ISNUMBER(Table1[[#This Row],[Strike]]),RTD("tos.rtd", , "OPEN_INT", "."&amp;Table1[[#This Row],[Ticker]]&amp;Table1[[#This Row],[Expiry]]&amp;""&amp;"P"&amp;Table1[[#This Row],[Strike]]))</f>
        <v>0</v>
      </c>
      <c r="U9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7" t="b">
        <f>IF(
    ISNUMBER(Table1[[#This Row],[Strike]]),RTD("tos.rtd", , "DELTA", "."&amp;Table1[[#This Row],[Ticker]]&amp;Table1[[#This Row],[Expiry]]&amp;""&amp;"P"&amp;Table1[[#This Row],[Strike]]))</f>
        <v>0</v>
      </c>
      <c r="Y97" s="19">
        <f>-6.5* IF($M$1="NDX", 10, IF(OR($M$1="SPX", $M$1="RUT"), 2, 1))</f>
        <v>-13</v>
      </c>
      <c r="Z97">
        <f ca="1">IFERROR(Table1[[#This Row],[call gamma]]*(Table1[[#This Row],[Open.Int]])*$A$4^2,0)</f>
        <v>0</v>
      </c>
      <c r="AA97">
        <f ca="1">IFERROR(((Table1[[#This Row],[Open.Int8]])*Table1[[#This Row],[Put gamma]])*-1*$A$4^2,0)</f>
        <v>0</v>
      </c>
      <c r="AB97">
        <f ca="1">(Table1[[#This Row],[Call Gex]]+Table1[[#This Row],[Put Gex]])</f>
        <v>0</v>
      </c>
      <c r="AC97">
        <f ca="1">Table1[[#This Row],[call delta adj]]+Table1[[#This Row],[put delta adj]]</f>
        <v>0</v>
      </c>
      <c r="AD97">
        <f ca="1">Table1[[#This Row],[Put Gex]]*Table1[[#This Row],[DeltaP]]*-1</f>
        <v>0</v>
      </c>
      <c r="AE97">
        <f ca="1">Table1[[#This Row],[Call Gex]]*Table1[[#This Row],[DeltaC]]</f>
        <v>0</v>
      </c>
      <c r="AF97">
        <f>IF(Table1[[#This Row],[DeltaC]]-ABS(Table1[[#This Row],[DeltaP]])="0","0.01",Table1[[#This Row],[DeltaC]]-ABS(Table1[[#This Row],[DeltaP]]))</f>
        <v>0</v>
      </c>
      <c r="AG97" t="e">
        <f ca="1">((LN($A$4/Table1[[#This Row],[Strike]]) + (0.411 + 0.5 * Table1[[#This Row],[IV Calc P]]^2) *Table1[[#This Row],[T]])) / (Table1[[#This Row],[IV Calc P]] * SQRT(Table1[[#This Row],[T]]))</f>
        <v>#DIV/0!</v>
      </c>
      <c r="AH97" t="e">
        <f ca="1">(LN($A$4/Table1[[#This Row],[Strike]]) + (0.411-0 + 0.5 * Table1[[#This Row],[IV Calc C]]^2) *Table1[[#This Row],[T]]) / (Table1[[#This Row],[IV Calc C]] * SQRT(Table1[[#This Row],[T]]))</f>
        <v>#DIV/0!</v>
      </c>
      <c r="AI97" t="e">
        <f ca="1">(EXP(-(AG97^2)/2)/SQRT(2*PI())*EXP(0*SQRT(Table1[[#This Row],[T]]))/$A$4*18%*SQRT(SQRT(Table1[[#This Row],[T]])))</f>
        <v>#DIV/0!</v>
      </c>
      <c r="AJ97" t="e">
        <f ca="1">(EXP(-(AH97^2)/2)/SQRT(2*PI())*EXP(0*SQRT(Table1[[#This Row],[T]]))/$A$4*18%*SQRT(SQRT(Table1[[#This Row],[T]])))</f>
        <v>#DIV/0!</v>
      </c>
      <c r="AK97" t="e">
        <f ca="1">Table1[[#This Row],[Call D1]]-Table1[[#This Row],[IV Calc C]]*SQRT(Table1[[#This Row],[T]])</f>
        <v>#DIV/0!</v>
      </c>
      <c r="AL97" t="e">
        <f ca="1">Table1[[#This Row],[Put D1]]-Table1[[#This Row],[IV Calc P]]*SQRT(Table1[[#This Row],[T]])</f>
        <v>#DIV/0!</v>
      </c>
      <c r="AM97" t="e">
        <f ca="1">EXP(-0.5*Table1[[#This Row],[Call D1]]^2)/SQRT(2*PI())</f>
        <v>#DIV/0!</v>
      </c>
      <c r="AN97" t="e">
        <f ca="1">EXP(-0.5*Table1[[#This Row],[Put D1]]^2)/SQRT(2*PI())</f>
        <v>#DIV/0!</v>
      </c>
      <c r="AO97">
        <f ca="1">IFERROR((EXP(0*Table1[[#This Row],[T]])*Table1[[#This Row],[call N(d1)]]*(Table1[[#This Row],[call d2]]/Table1[[#This Row],[IV Calc C]]))*Table1[[#This Row],[Open.Int]]*Table1[[#This Row],[DeltaC]],0)</f>
        <v>0</v>
      </c>
      <c r="AP97">
        <f ca="1">IFERROR((EXP(0*Table1[[#This Row],[T]])*Table1[[#This Row],[put N(d1)]]*(Table1[[#This Row],[put d2]]/Table1[[#This Row],[IV Calc P]]))*Table1[[#This Row],[Open.Int8]]*Table1[[#This Row],[DeltaP]]*-1,0)</f>
        <v>0</v>
      </c>
      <c r="AQ97">
        <f ca="1">((Table1[[#This Row],[call vanna]]+Table1[[#This Row],[put vanna]])*$A$4)</f>
        <v>0</v>
      </c>
      <c r="AR9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7" s="9" t="str" cm="1">
        <f t="array" ref="AT97">_xlfn.IFS(     $M$1="SPX","SPXW",     $M$1="RUT","RUTW",  $M$1="NDX","NDXP",   TRUE,$M$1 )</f>
        <v>SPXW</v>
      </c>
      <c r="AU97" s="2">
        <f t="shared" si="12"/>
        <v>6915</v>
      </c>
      <c r="AV97" t="str">
        <f t="shared" si="13"/>
        <v>260123</v>
      </c>
      <c r="AW97" s="19">
        <f ca="1">IFERROR((EXP(0*Table1[[#This Row],[T]])*Table1[[#This Row],[put N(d1)]]*(Table1[[#This Row],[put d2]]/Table1[[#This Row],[IV Calc P]]))*Table1[[#This Row],[Open.Int8]]*Table1[[#This Row],[DeltaP]]*-1,0)</f>
        <v>0</v>
      </c>
      <c r="AX97">
        <f ca="1">IFERROR((EXP(0*Table1[[#This Row],[T]])*Table1[[#This Row],[call N(d1)]]*(Table1[[#This Row],[call d2]]/Table1[[#This Row],[IV Calc C]]))*Table1[[#This Row],[Open.Int]]*Table1[[#This Row],[DeltaC]],0)</f>
        <v>0</v>
      </c>
      <c r="AY9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7">
        <f>((Table1[[#This Row],[High C]]+Table1[[#This Row],[Low C]])/2)*Table1[[#This Row],[gammac]]*Table1[[#This Row],[Volume]]</f>
        <v>0</v>
      </c>
      <c r="BD97">
        <f>((Table1[[#This Row],[High P]]+Table1[[#This Row],[Low P]])/2)*Table1[[#This Row],[gammap]]*Table1[[#This Row],[Volume9]]*-1</f>
        <v>0</v>
      </c>
      <c r="BE97">
        <f>(Table1[[#This Row],[SgammaC]]+Table1[[#This Row],[SgammaP]])*$A$4*-100</f>
        <v>0</v>
      </c>
      <c r="BF97">
        <f>Table1[[#This Row],[DEXc]]+Table1[[#This Row],[DEXp]]</f>
        <v>0</v>
      </c>
      <c r="BG97">
        <f>IFERROR(Table1[[#This Row],[DeltaC]]*Table1[[#This Row],[Open.Int]]*$A$4,0)</f>
        <v>0</v>
      </c>
      <c r="BH97">
        <f>IFERROR(Table1[[#This Row],[DeltaP]]*Table1[[#This Row],[Open.Int8]]*$A$4,0)</f>
        <v>0</v>
      </c>
      <c r="BI9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7">
        <f ca="1">Table1[[#This Row],[Charmc]]+Table1[[#This Row],[Charmp]]</f>
        <v>0</v>
      </c>
      <c r="BL9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7" s="78">
        <f ca="1">Table1[[#This Row],[call helper]]+Table1[[#This Row],[put helper]]</f>
        <v>0</v>
      </c>
      <c r="BP97" t="str">
        <f>RTD("tos.rtd", , "STRIKE", "."&amp;Table1[[#This Row],[Ticker]]&amp;Table1[[#This Row],[Expiry]]&amp;""&amp;"C"&amp;Table1[[#This Row],[Spot]]+Table1[[#This Row],[step]])</f>
        <v>N/A</v>
      </c>
    </row>
    <row r="98" spans="1:77" x14ac:dyDescent="0.25">
      <c r="A98">
        <f t="shared" ca="1" si="9"/>
        <v>2.5814307458086375E-3</v>
      </c>
      <c r="C98" s="17"/>
      <c r="D98" t="b">
        <f>IF(
    ISNUMBER(Table1[[#This Row],[Strike]]),RTD("tos.rtd", , "OPEN_INT", "."&amp;Table1[[#This Row],[Ticker]]&amp;Table1[[#This Row],[Expiry]]&amp;""&amp;"C"&amp;Table1[[#This Row],[Strike]]))</f>
        <v>0</v>
      </c>
      <c r="E9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8" t="b">
        <f>IF(
    ISNUMBER(Table1[[#This Row],[Strike]]),RTD("tos.rtd", , "DELTA", "."&amp;Table1[[#This Row],[Ticker]]&amp;Table1[[#This Row],[Expiry]]&amp;""&amp;"C"&amp;Table1[[#This Row],[Strike]]))</f>
        <v>0</v>
      </c>
      <c r="H98" s="17" t="b" cm="1">
        <f t="array" ref="H98">IF(
    ISNUMBER(Table1[[#This Row],[Strike]]),IndividualLegIVCore($A$4, Table1[[#This Row],[Strike]], 0.0411, Table1[[#This Row],[T]], ((Table1[[#This Row],[BIDC]]+Table1[[#This Row],[ASKC]])/2), TRUE))</f>
        <v>0</v>
      </c>
      <c r="I98" t="b">
        <f>IF(
    ISNUMBER(Table1[[#This Row],[Strike]]),RTD("tos.rtd", , "BID", "."&amp;Table1[[#This Row],[Ticker]]&amp;Table1[[#This Row],[Expiry]]&amp;""&amp;"C"&amp;Table1[[#This Row],[Strike]]))</f>
        <v>0</v>
      </c>
      <c r="J98" t="b">
        <f>IF(
    ISNUMBER(Table1[[#This Row],[Strike]]),RTD("tos.rtd", , "ASK", "."&amp;Table1[[#This Row],[Ticker]]&amp;Table1[[#This Row],[Expiry]]&amp;""&amp;"C"&amp;Table1[[#This Row],[Strike]]))</f>
        <v>0</v>
      </c>
      <c r="K9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8" s="17" cm="1">
        <f t="array" aca="1" ref="L9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8" s="1">
        <f t="shared" si="10"/>
        <v>46045</v>
      </c>
      <c r="N98" t="b">
        <f t="shared" si="11"/>
        <v>0</v>
      </c>
      <c r="P98" s="17" t="b" cm="1">
        <f t="array" ref="P98">IF(
    ISNUMBER(Table1[[#This Row],[Strike]]),IndividualLegIVCore($A$4, Table1[[#This Row],[Strike]], 0.0411, Table1[[#This Row],[T]], ((Table1[[#This Row],[BIDP]]+Table1[[#This Row],[ASKP]])/2), FALSE))</f>
        <v>0</v>
      </c>
      <c r="Q98" t="b">
        <f>IF(
    ISNUMBER(Table1[[#This Row],[Strike]]),RTD("tos.rtd", , "BID", "."&amp;Table1[[#This Row],[Ticker]]&amp;Table1[[#This Row],[Expiry]]&amp;""&amp;"P"&amp;Table1[[#This Row],[Strike]]))</f>
        <v>0</v>
      </c>
      <c r="R98" t="b">
        <f>IF(
    ISNUMBER(Table1[[#This Row],[Strike]]),RTD("tos.rtd", , "ASK", "."&amp;Table1[[#This Row],[Ticker]]&amp;Table1[[#This Row],[Expiry]]&amp;""&amp;"P"&amp;Table1[[#This Row],[Strike]]))</f>
        <v>0</v>
      </c>
      <c r="S98" s="17"/>
      <c r="T98" t="b">
        <f>IF(
    ISNUMBER(Table1[[#This Row],[Strike]]),RTD("tos.rtd", , "OPEN_INT", "."&amp;Table1[[#This Row],[Ticker]]&amp;Table1[[#This Row],[Expiry]]&amp;""&amp;"P"&amp;Table1[[#This Row],[Strike]]))</f>
        <v>0</v>
      </c>
      <c r="U9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8" t="b">
        <f>IF(
    ISNUMBER(Table1[[#This Row],[Strike]]),RTD("tos.rtd", , "DELTA", "."&amp;Table1[[#This Row],[Ticker]]&amp;Table1[[#This Row],[Expiry]]&amp;""&amp;"P"&amp;Table1[[#This Row],[Strike]]))</f>
        <v>0</v>
      </c>
      <c r="Y98" s="19">
        <f>-6* IF($M$1="NDX", 10, IF(OR($M$1="SPX", $M$1="RUT"), 2, 1))</f>
        <v>-12</v>
      </c>
      <c r="Z98">
        <f ca="1">IFERROR(Table1[[#This Row],[call gamma]]*(Table1[[#This Row],[Open.Int]])*$A$4^2,0)</f>
        <v>0</v>
      </c>
      <c r="AA98">
        <f ca="1">IFERROR(((Table1[[#This Row],[Open.Int8]])*Table1[[#This Row],[Put gamma]])*-1*$A$4^2,0)</f>
        <v>0</v>
      </c>
      <c r="AB98">
        <f ca="1">(Table1[[#This Row],[Call Gex]]+Table1[[#This Row],[Put Gex]])</f>
        <v>0</v>
      </c>
      <c r="AC98">
        <f ca="1">Table1[[#This Row],[call delta adj]]+Table1[[#This Row],[put delta adj]]</f>
        <v>0</v>
      </c>
      <c r="AD98">
        <f ca="1">Table1[[#This Row],[Put Gex]]*Table1[[#This Row],[DeltaP]]*-1</f>
        <v>0</v>
      </c>
      <c r="AE98">
        <f ca="1">Table1[[#This Row],[Call Gex]]*Table1[[#This Row],[DeltaC]]</f>
        <v>0</v>
      </c>
      <c r="AF98">
        <f>IF(Table1[[#This Row],[DeltaC]]-ABS(Table1[[#This Row],[DeltaP]])="0","0.01",Table1[[#This Row],[DeltaC]]-ABS(Table1[[#This Row],[DeltaP]]))</f>
        <v>0</v>
      </c>
      <c r="AG98" t="e">
        <f ca="1">((LN($A$4/Table1[[#This Row],[Strike]]) + (0.411 + 0.5 * Table1[[#This Row],[IV Calc P]]^2) *Table1[[#This Row],[T]])) / (Table1[[#This Row],[IV Calc P]] * SQRT(Table1[[#This Row],[T]]))</f>
        <v>#DIV/0!</v>
      </c>
      <c r="AH98" t="e">
        <f ca="1">(LN($A$4/Table1[[#This Row],[Strike]]) + (0.411-0 + 0.5 * Table1[[#This Row],[IV Calc C]]^2) *Table1[[#This Row],[T]]) / (Table1[[#This Row],[IV Calc C]] * SQRT(Table1[[#This Row],[T]]))</f>
        <v>#DIV/0!</v>
      </c>
      <c r="AI98" t="e">
        <f ca="1">(EXP(-(AG98^2)/2)/SQRT(2*PI())*EXP(0*SQRT(Table1[[#This Row],[T]]))/$A$4*18%*SQRT(SQRT(Table1[[#This Row],[T]])))</f>
        <v>#DIV/0!</v>
      </c>
      <c r="AJ98" t="e">
        <f ca="1">(EXP(-(AH98^2)/2)/SQRT(2*PI())*EXP(0*SQRT(Table1[[#This Row],[T]]))/$A$4*18%*SQRT(SQRT(Table1[[#This Row],[T]])))</f>
        <v>#DIV/0!</v>
      </c>
      <c r="AK98" t="e">
        <f ca="1">Table1[[#This Row],[Call D1]]-Table1[[#This Row],[IV Calc C]]*SQRT(Table1[[#This Row],[T]])</f>
        <v>#DIV/0!</v>
      </c>
      <c r="AL98" t="e">
        <f ca="1">Table1[[#This Row],[Put D1]]-Table1[[#This Row],[IV Calc P]]*SQRT(Table1[[#This Row],[T]])</f>
        <v>#DIV/0!</v>
      </c>
      <c r="AM98" t="e">
        <f ca="1">EXP(-0.5*Table1[[#This Row],[Call D1]]^2)/SQRT(2*PI())</f>
        <v>#DIV/0!</v>
      </c>
      <c r="AN98" t="e">
        <f ca="1">EXP(-0.5*Table1[[#This Row],[Put D1]]^2)/SQRT(2*PI())</f>
        <v>#DIV/0!</v>
      </c>
      <c r="AO98">
        <f ca="1">IFERROR((EXP(0*Table1[[#This Row],[T]])*Table1[[#This Row],[call N(d1)]]*(Table1[[#This Row],[call d2]]/Table1[[#This Row],[IV Calc C]]))*Table1[[#This Row],[Open.Int]]*Table1[[#This Row],[DeltaC]],0)</f>
        <v>0</v>
      </c>
      <c r="AP98">
        <f ca="1">IFERROR((EXP(0*Table1[[#This Row],[T]])*Table1[[#This Row],[put N(d1)]]*(Table1[[#This Row],[put d2]]/Table1[[#This Row],[IV Calc P]]))*Table1[[#This Row],[Open.Int8]]*Table1[[#This Row],[DeltaP]]*-1,0)</f>
        <v>0</v>
      </c>
      <c r="AQ98">
        <f ca="1">((Table1[[#This Row],[call vanna]]+Table1[[#This Row],[put vanna]])*$A$4)</f>
        <v>0</v>
      </c>
      <c r="AR9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8" s="9" t="str" cm="1">
        <f t="array" ref="AT98">_xlfn.IFS(     $M$1="SPX","SPXW",     $M$1="RUT","RUTW",  $M$1="NDX","NDXP",   TRUE,$M$1 )</f>
        <v>SPXW</v>
      </c>
      <c r="AU98" s="2">
        <f t="shared" si="12"/>
        <v>6915</v>
      </c>
      <c r="AV98" t="str">
        <f t="shared" si="13"/>
        <v>260123</v>
      </c>
      <c r="AW98" s="19">
        <f ca="1">IFERROR((EXP(0*Table1[[#This Row],[T]])*Table1[[#This Row],[put N(d1)]]*(Table1[[#This Row],[put d2]]/Table1[[#This Row],[IV Calc P]]))*Table1[[#This Row],[Open.Int8]]*Table1[[#This Row],[DeltaP]]*-1,0)</f>
        <v>0</v>
      </c>
      <c r="AX98">
        <f ca="1">IFERROR((EXP(0*Table1[[#This Row],[T]])*Table1[[#This Row],[call N(d1)]]*(Table1[[#This Row],[call d2]]/Table1[[#This Row],[IV Calc C]]))*Table1[[#This Row],[Open.Int]]*Table1[[#This Row],[DeltaC]],0)</f>
        <v>0</v>
      </c>
      <c r="AY9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8">
        <f>((Table1[[#This Row],[High C]]+Table1[[#This Row],[Low C]])/2)*Table1[[#This Row],[gammac]]*Table1[[#This Row],[Volume]]</f>
        <v>0</v>
      </c>
      <c r="BD98">
        <f>((Table1[[#This Row],[High P]]+Table1[[#This Row],[Low P]])/2)*Table1[[#This Row],[gammap]]*Table1[[#This Row],[Volume9]]*-1</f>
        <v>0</v>
      </c>
      <c r="BE98">
        <f>(Table1[[#This Row],[SgammaC]]+Table1[[#This Row],[SgammaP]])*$A$4*-100</f>
        <v>0</v>
      </c>
      <c r="BF98">
        <f>Table1[[#This Row],[DEXc]]+Table1[[#This Row],[DEXp]]</f>
        <v>0</v>
      </c>
      <c r="BG98">
        <f>IFERROR(Table1[[#This Row],[DeltaC]]*Table1[[#This Row],[Open.Int]]*$A$4,0)</f>
        <v>0</v>
      </c>
      <c r="BH98">
        <f>IFERROR(Table1[[#This Row],[DeltaP]]*Table1[[#This Row],[Open.Int8]]*$A$4,0)</f>
        <v>0</v>
      </c>
      <c r="BI9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8">
        <f ca="1">Table1[[#This Row],[Charmc]]+Table1[[#This Row],[Charmp]]</f>
        <v>0</v>
      </c>
      <c r="BL9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8" s="78">
        <f ca="1">Table1[[#This Row],[call helper]]+Table1[[#This Row],[put helper]]</f>
        <v>0</v>
      </c>
      <c r="BP98" t="str">
        <f>RTD("tos.rtd", , "STRIKE", "."&amp;Table1[[#This Row],[Ticker]]&amp;Table1[[#This Row],[Expiry]]&amp;""&amp;"C"&amp;Table1[[#This Row],[Spot]]+Table1[[#This Row],[step]])</f>
        <v>N/A</v>
      </c>
    </row>
    <row r="99" spans="1:77" x14ac:dyDescent="0.25">
      <c r="A99">
        <f t="shared" ca="1" si="9"/>
        <v>2.5814307458086375E-3</v>
      </c>
      <c r="C99" s="17"/>
      <c r="D99" t="b">
        <f>IF(
    ISNUMBER(Table1[[#This Row],[Strike]]),RTD("tos.rtd", , "OPEN_INT", "."&amp;Table1[[#This Row],[Ticker]]&amp;Table1[[#This Row],[Expiry]]&amp;""&amp;"C"&amp;Table1[[#This Row],[Strike]]))</f>
        <v>0</v>
      </c>
      <c r="E9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9" t="b">
        <f>IF(
    ISNUMBER(Table1[[#This Row],[Strike]]),RTD("tos.rtd", , "DELTA", "."&amp;Table1[[#This Row],[Ticker]]&amp;Table1[[#This Row],[Expiry]]&amp;""&amp;"C"&amp;Table1[[#This Row],[Strike]]))</f>
        <v>0</v>
      </c>
      <c r="H99" s="17" t="b" cm="1">
        <f t="array" ref="H99">IF(
    ISNUMBER(Table1[[#This Row],[Strike]]),IndividualLegIVCore($A$4, Table1[[#This Row],[Strike]], 0.0411, Table1[[#This Row],[T]], ((Table1[[#This Row],[BIDC]]+Table1[[#This Row],[ASKC]])/2), TRUE))</f>
        <v>0</v>
      </c>
      <c r="I99" t="b">
        <f>IF(
    ISNUMBER(Table1[[#This Row],[Strike]]),RTD("tos.rtd", , "BID", "."&amp;Table1[[#This Row],[Ticker]]&amp;Table1[[#This Row],[Expiry]]&amp;""&amp;"C"&amp;Table1[[#This Row],[Strike]]))</f>
        <v>0</v>
      </c>
      <c r="J99" t="b">
        <f>IF(
    ISNUMBER(Table1[[#This Row],[Strike]]),RTD("tos.rtd", , "ASK", "."&amp;Table1[[#This Row],[Ticker]]&amp;Table1[[#This Row],[Expiry]]&amp;""&amp;"C"&amp;Table1[[#This Row],[Strike]]))</f>
        <v>0</v>
      </c>
      <c r="K9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9" s="17" cm="1">
        <f t="array" aca="1" ref="L9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9" s="1">
        <f t="shared" si="10"/>
        <v>46045</v>
      </c>
      <c r="N99" t="b">
        <f t="shared" si="11"/>
        <v>0</v>
      </c>
      <c r="P99" s="17" t="b" cm="1">
        <f t="array" ref="P99">IF(
    ISNUMBER(Table1[[#This Row],[Strike]]),IndividualLegIVCore($A$4, Table1[[#This Row],[Strike]], 0.0411, Table1[[#This Row],[T]], ((Table1[[#This Row],[BIDP]]+Table1[[#This Row],[ASKP]])/2), FALSE))</f>
        <v>0</v>
      </c>
      <c r="Q99" t="b">
        <f>IF(
    ISNUMBER(Table1[[#This Row],[Strike]]),RTD("tos.rtd", , "BID", "."&amp;Table1[[#This Row],[Ticker]]&amp;Table1[[#This Row],[Expiry]]&amp;""&amp;"P"&amp;Table1[[#This Row],[Strike]]))</f>
        <v>0</v>
      </c>
      <c r="R99" t="b">
        <f>IF(
    ISNUMBER(Table1[[#This Row],[Strike]]),RTD("tos.rtd", , "ASK", "."&amp;Table1[[#This Row],[Ticker]]&amp;Table1[[#This Row],[Expiry]]&amp;""&amp;"P"&amp;Table1[[#This Row],[Strike]]))</f>
        <v>0</v>
      </c>
      <c r="S99" s="17"/>
      <c r="T99" t="b">
        <f>IF(
    ISNUMBER(Table1[[#This Row],[Strike]]),RTD("tos.rtd", , "OPEN_INT", "."&amp;Table1[[#This Row],[Ticker]]&amp;Table1[[#This Row],[Expiry]]&amp;""&amp;"P"&amp;Table1[[#This Row],[Strike]]))</f>
        <v>0</v>
      </c>
      <c r="U9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9" t="b">
        <f>IF(
    ISNUMBER(Table1[[#This Row],[Strike]]),RTD("tos.rtd", , "DELTA", "."&amp;Table1[[#This Row],[Ticker]]&amp;Table1[[#This Row],[Expiry]]&amp;""&amp;"P"&amp;Table1[[#This Row],[Strike]]))</f>
        <v>0</v>
      </c>
      <c r="Y99" s="19">
        <f>-5.5* IF($M$1="NDX", 10, IF(OR($M$1="SPX", $M$1="RUT"), 2, 1))</f>
        <v>-11</v>
      </c>
      <c r="Z99">
        <f ca="1">IFERROR(Table1[[#This Row],[call gamma]]*(Table1[[#This Row],[Open.Int]])*$A$4^2,0)</f>
        <v>0</v>
      </c>
      <c r="AA99">
        <f ca="1">IFERROR(((Table1[[#This Row],[Open.Int8]])*Table1[[#This Row],[Put gamma]])*-1*$A$4^2,0)</f>
        <v>0</v>
      </c>
      <c r="AB99">
        <f ca="1">(Table1[[#This Row],[Call Gex]]+Table1[[#This Row],[Put Gex]])</f>
        <v>0</v>
      </c>
      <c r="AC99">
        <f ca="1">Table1[[#This Row],[call delta adj]]+Table1[[#This Row],[put delta adj]]</f>
        <v>0</v>
      </c>
      <c r="AD99">
        <f ca="1">Table1[[#This Row],[Put Gex]]*Table1[[#This Row],[DeltaP]]*-1</f>
        <v>0</v>
      </c>
      <c r="AE99">
        <f ca="1">Table1[[#This Row],[Call Gex]]*Table1[[#This Row],[DeltaC]]</f>
        <v>0</v>
      </c>
      <c r="AF99">
        <f>IF(Table1[[#This Row],[DeltaC]]-ABS(Table1[[#This Row],[DeltaP]])="0","0.01",Table1[[#This Row],[DeltaC]]-ABS(Table1[[#This Row],[DeltaP]]))</f>
        <v>0</v>
      </c>
      <c r="AG99" t="e">
        <f ca="1">((LN($A$4/Table1[[#This Row],[Strike]]) + (0.411 + 0.5 * Table1[[#This Row],[IV Calc P]]^2) *Table1[[#This Row],[T]])) / (Table1[[#This Row],[IV Calc P]] * SQRT(Table1[[#This Row],[T]]))</f>
        <v>#DIV/0!</v>
      </c>
      <c r="AH99" t="e">
        <f ca="1">(LN($A$4/Table1[[#This Row],[Strike]]) + (0.411-0 + 0.5 * Table1[[#This Row],[IV Calc C]]^2) *Table1[[#This Row],[T]]) / (Table1[[#This Row],[IV Calc C]] * SQRT(Table1[[#This Row],[T]]))</f>
        <v>#DIV/0!</v>
      </c>
      <c r="AI99" t="e">
        <f ca="1">(EXP(-(AG99^2)/2)/SQRT(2*PI())*EXP(0*SQRT(Table1[[#This Row],[T]]))/$A$4*18%*SQRT(SQRT(Table1[[#This Row],[T]])))</f>
        <v>#DIV/0!</v>
      </c>
      <c r="AJ99" t="e">
        <f ca="1">(EXP(-(AH99^2)/2)/SQRT(2*PI())*EXP(0*SQRT(Table1[[#This Row],[T]]))/$A$4*18%*SQRT(SQRT(Table1[[#This Row],[T]])))</f>
        <v>#DIV/0!</v>
      </c>
      <c r="AK99" t="e">
        <f ca="1">Table1[[#This Row],[Call D1]]-Table1[[#This Row],[IV Calc C]]*SQRT(Table1[[#This Row],[T]])</f>
        <v>#DIV/0!</v>
      </c>
      <c r="AL99" t="e">
        <f ca="1">Table1[[#This Row],[Put D1]]-Table1[[#This Row],[IV Calc P]]*SQRT(Table1[[#This Row],[T]])</f>
        <v>#DIV/0!</v>
      </c>
      <c r="AM99" t="e">
        <f ca="1">EXP(-0.5*Table1[[#This Row],[Call D1]]^2)/SQRT(2*PI())</f>
        <v>#DIV/0!</v>
      </c>
      <c r="AN99" t="e">
        <f ca="1">EXP(-0.5*Table1[[#This Row],[Put D1]]^2)/SQRT(2*PI())</f>
        <v>#DIV/0!</v>
      </c>
      <c r="AO99">
        <f ca="1">IFERROR((EXP(0*Table1[[#This Row],[T]])*Table1[[#This Row],[call N(d1)]]*(Table1[[#This Row],[call d2]]/Table1[[#This Row],[IV Calc C]]))*Table1[[#This Row],[Open.Int]]*Table1[[#This Row],[DeltaC]],0)</f>
        <v>0</v>
      </c>
      <c r="AP99">
        <f ca="1">IFERROR((EXP(0*Table1[[#This Row],[T]])*Table1[[#This Row],[put N(d1)]]*(Table1[[#This Row],[put d2]]/Table1[[#This Row],[IV Calc P]]))*Table1[[#This Row],[Open.Int8]]*Table1[[#This Row],[DeltaP]]*-1,0)</f>
        <v>0</v>
      </c>
      <c r="AQ99">
        <f ca="1">((Table1[[#This Row],[call vanna]]+Table1[[#This Row],[put vanna]])*$A$4)</f>
        <v>0</v>
      </c>
      <c r="AR9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9" s="9" t="str" cm="1">
        <f t="array" ref="AT99">_xlfn.IFS(     $M$1="SPX","SPXW",     $M$1="RUT","RUTW",  $M$1="NDX","NDXP",   TRUE,$M$1 )</f>
        <v>SPXW</v>
      </c>
      <c r="AU99" s="2">
        <f t="shared" si="12"/>
        <v>6915</v>
      </c>
      <c r="AV99" t="str">
        <f t="shared" si="13"/>
        <v>260123</v>
      </c>
      <c r="AW99" s="19">
        <f ca="1">IFERROR((EXP(0*Table1[[#This Row],[T]])*Table1[[#This Row],[put N(d1)]]*(Table1[[#This Row],[put d2]]/Table1[[#This Row],[IV Calc P]]))*Table1[[#This Row],[Open.Int8]]*Table1[[#This Row],[DeltaP]]*-1,0)</f>
        <v>0</v>
      </c>
      <c r="AX99">
        <f ca="1">IFERROR((EXP(0*Table1[[#This Row],[T]])*Table1[[#This Row],[call N(d1)]]*(Table1[[#This Row],[call d2]]/Table1[[#This Row],[IV Calc C]]))*Table1[[#This Row],[Open.Int]]*Table1[[#This Row],[DeltaC]],0)</f>
        <v>0</v>
      </c>
      <c r="AY9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9">
        <f>((Table1[[#This Row],[High C]]+Table1[[#This Row],[Low C]])/2)*Table1[[#This Row],[gammac]]*Table1[[#This Row],[Volume]]</f>
        <v>0</v>
      </c>
      <c r="BD99">
        <f>((Table1[[#This Row],[High P]]+Table1[[#This Row],[Low P]])/2)*Table1[[#This Row],[gammap]]*Table1[[#This Row],[Volume9]]*-1</f>
        <v>0</v>
      </c>
      <c r="BE99">
        <f>(Table1[[#This Row],[SgammaC]]+Table1[[#This Row],[SgammaP]])*$A$4*-100</f>
        <v>0</v>
      </c>
      <c r="BF99">
        <f>Table1[[#This Row],[DEXc]]+Table1[[#This Row],[DEXp]]</f>
        <v>0</v>
      </c>
      <c r="BG99">
        <f>IFERROR(Table1[[#This Row],[DeltaC]]*Table1[[#This Row],[Open.Int]]*$A$4,0)</f>
        <v>0</v>
      </c>
      <c r="BH99">
        <f>IFERROR(Table1[[#This Row],[DeltaP]]*Table1[[#This Row],[Open.Int8]]*$A$4,0)</f>
        <v>0</v>
      </c>
      <c r="BI9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9">
        <f ca="1">Table1[[#This Row],[Charmc]]+Table1[[#This Row],[Charmp]]</f>
        <v>0</v>
      </c>
      <c r="BL9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9" s="78">
        <f ca="1">Table1[[#This Row],[call helper]]+Table1[[#This Row],[put helper]]</f>
        <v>0</v>
      </c>
      <c r="BP99" t="str">
        <f>RTD("tos.rtd", , "STRIKE", "."&amp;Table1[[#This Row],[Ticker]]&amp;Table1[[#This Row],[Expiry]]&amp;""&amp;"C"&amp;Table1[[#This Row],[Spot]]+Table1[[#This Row],[step]])</f>
        <v>N/A</v>
      </c>
    </row>
    <row r="100" spans="1:77" x14ac:dyDescent="0.25">
      <c r="A100">
        <f t="shared" ca="1" si="9"/>
        <v>2.5814307458086375E-3</v>
      </c>
      <c r="C100" s="17"/>
      <c r="D100">
        <f>IF(
    ISNUMBER(Table1[[#This Row],[Strike]]),RTD("tos.rtd", , "OPEN_INT", "."&amp;Table1[[#This Row],[Ticker]]&amp;Table1[[#This Row],[Expiry]]&amp;""&amp;"C"&amp;Table1[[#This Row],[Strike]]))</f>
        <v>706</v>
      </c>
      <c r="E10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3008</v>
      </c>
      <c r="G100">
        <f>IF(
    ISNUMBER(Table1[[#This Row],[Strike]]),RTD("tos.rtd", , "DELTA", "."&amp;Table1[[#This Row],[Ticker]]&amp;Table1[[#This Row],[Expiry]]&amp;""&amp;"C"&amp;Table1[[#This Row],[Strike]]))</f>
        <v>0.59</v>
      </c>
      <c r="H100" s="17" cm="1">
        <f t="array" aca="1" ref="H100" ca="1">IF(
    ISNUMBER(Table1[[#This Row],[Strike]]),IndividualLegIVCore($A$4, Table1[[#This Row],[Strike]], 0.0411, Table1[[#This Row],[T]], ((Table1[[#This Row],[BIDC]]+Table1[[#This Row],[ASKC]])/2), TRUE))</f>
        <v>0.10838765616085203</v>
      </c>
      <c r="I100">
        <f>IF(
    ISNUMBER(Table1[[#This Row],[Strike]]),RTD("tos.rtd", , "BID", "."&amp;Table1[[#This Row],[Ticker]]&amp;Table1[[#This Row],[Expiry]]&amp;""&amp;"C"&amp;Table1[[#This Row],[Strike]]))</f>
        <v>19.899999999999999</v>
      </c>
      <c r="J100">
        <f>IF(
    ISNUMBER(Table1[[#This Row],[Strike]]),RTD("tos.rtd", , "ASK", "."&amp;Table1[[#This Row],[Ticker]]&amp;Table1[[#This Row],[Expiry]]&amp;""&amp;"C"&amp;Table1[[#This Row],[Strike]]))</f>
        <v>20.399999999999999</v>
      </c>
      <c r="K10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0.10838765616085203</v>
      </c>
      <c r="L100" s="17" cm="1">
        <f t="array" aca="1" ref="L100" ca="1">CubicSplineIVSmile($A$4, Table1[[#This Row],[Strike]], 0.0411, Table1[[#This Row],[T]], (Table1[[#This Row],[BIDC]]+Table1[[#This Row],[ASKC]])/2, (Table1[[#This Row],[BIDP]]+Table1[[#This Row],[ASKP]])/2, Table1[Strike], Table1[IV Calc AVG])</f>
        <v>0.12341623303367075</v>
      </c>
      <c r="M100" s="1">
        <f t="shared" si="10"/>
        <v>46045</v>
      </c>
      <c r="N100">
        <f t="shared" si="11"/>
        <v>6905</v>
      </c>
      <c r="P100" s="17" cm="1">
        <f t="array" aca="1" ref="P100" ca="1">IF(
    ISNUMBER(Table1[[#This Row],[Strike]]),IndividualLegIVCore($A$4, Table1[[#This Row],[Strike]], 0.0411, Table1[[#This Row],[T]], ((Table1[[#This Row],[BIDP]]+Table1[[#This Row],[ASKP]])/2), FALSE))</f>
        <v>0.14437260887939166</v>
      </c>
      <c r="Q100">
        <f>IF(
    ISNUMBER(Table1[[#This Row],[Strike]]),RTD("tos.rtd", , "BID", "."&amp;Table1[[#This Row],[Ticker]]&amp;Table1[[#This Row],[Expiry]]&amp;""&amp;"P"&amp;Table1[[#This Row],[Strike]]))</f>
        <v>15.8</v>
      </c>
      <c r="R100">
        <f>IF(
    ISNUMBER(Table1[[#This Row],[Strike]]),RTD("tos.rtd", , "ASK", "."&amp;Table1[[#This Row],[Ticker]]&amp;Table1[[#This Row],[Expiry]]&amp;""&amp;"P"&amp;Table1[[#This Row],[Strike]]))</f>
        <v>16.2</v>
      </c>
      <c r="S100" s="17"/>
      <c r="T100">
        <f>IF(
    ISNUMBER(Table1[[#This Row],[Strike]]),RTD("tos.rtd", , "OPEN_INT", "."&amp;Table1[[#This Row],[Ticker]]&amp;Table1[[#This Row],[Expiry]]&amp;""&amp;"P"&amp;Table1[[#This Row],[Strike]]))</f>
        <v>525</v>
      </c>
      <c r="U10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3346</v>
      </c>
      <c r="W100">
        <f>IF(
    ISNUMBER(Table1[[#This Row],[Strike]]),RTD("tos.rtd", , "DELTA", "."&amp;Table1[[#This Row],[Ticker]]&amp;Table1[[#This Row],[Expiry]]&amp;""&amp;"P"&amp;Table1[[#This Row],[Strike]]))</f>
        <v>-0.43</v>
      </c>
      <c r="Y100" s="19">
        <f>-5* IF($M$1="NDX", 10, IF(OR($M$1="SPX", $M$1="RUT"), 2, 1))</f>
        <v>-10</v>
      </c>
      <c r="Z100">
        <f ca="1">IFERROR(Table1[[#This Row],[call gamma]]*(Table1[[#This Row],[Open.Int]])*$A$4^2,0)</f>
        <v>72487.974438130506</v>
      </c>
      <c r="AA100">
        <f ca="1">IFERROR(((Table1[[#This Row],[Open.Int8]])*Table1[[#This Row],[Put gamma]])*-1*$A$4^2,0)</f>
        <v>-55938.785583812198</v>
      </c>
      <c r="AB100">
        <f ca="1">(Table1[[#This Row],[Call Gex]]+Table1[[#This Row],[Put Gex]])</f>
        <v>16549.188854318309</v>
      </c>
      <c r="AC100">
        <f ca="1">Table1[[#This Row],[call delta adj]]+Table1[[#This Row],[put delta adj]]</f>
        <v>18714.227117457755</v>
      </c>
      <c r="AD100">
        <f ca="1">Table1[[#This Row],[Put Gex]]*Table1[[#This Row],[DeltaP]]*-1</f>
        <v>-24053.677801039245</v>
      </c>
      <c r="AE100">
        <f ca="1">Table1[[#This Row],[Call Gex]]*Table1[[#This Row],[DeltaC]]</f>
        <v>42767.904918496999</v>
      </c>
      <c r="AF100">
        <f>IF(Table1[[#This Row],[DeltaC]]-ABS(Table1[[#This Row],[DeltaP]])="0","0.01",Table1[[#This Row],[DeltaC]]-ABS(Table1[[#This Row],[DeltaP]]))</f>
        <v>0.15999999999999998</v>
      </c>
      <c r="AG100">
        <f ca="1">((LN($A$4/Table1[[#This Row],[Strike]]) + (0.411 + 0.5 * Table1[[#This Row],[IV Calc P]]^2) *Table1[[#This Row],[T]])) / (Table1[[#This Row],[IV Calc P]] * SQRT(Table1[[#This Row],[T]]))</f>
        <v>0.3130647781901254</v>
      </c>
      <c r="AH100">
        <f ca="1">(LN($A$4/Table1[[#This Row],[Strike]]) + (0.411-0 + 0.5 * Table1[[#This Row],[IV Calc C]]^2) *Table1[[#This Row],[T]]) / (Table1[[#This Row],[IV Calc C]] * SQRT(Table1[[#This Row],[T]]))</f>
        <v>0.41487119100824632</v>
      </c>
      <c r="AI100">
        <f ca="1">(EXP(-(AG100^2)/2)/SQRT(2*PI())*EXP(0*SQRT(Table1[[#This Row],[T]]))/$A$4*18%*SQRT(SQRT(Table1[[#This Row],[T]])))</f>
        <v>2.2293417104917665E-6</v>
      </c>
      <c r="AJ100">
        <f ca="1">(EXP(-(AH100^2)/2)/SQRT(2*PI())*EXP(0*SQRT(Table1[[#This Row],[T]]))/$A$4*18%*SQRT(SQRT(Table1[[#This Row],[T]])))</f>
        <v>2.1482468049101869E-6</v>
      </c>
      <c r="AK100">
        <f ca="1">Table1[[#This Row],[Call D1]]-Table1[[#This Row],[IV Calc C]]*SQRT(Table1[[#This Row],[T]])</f>
        <v>0.4093642545662165</v>
      </c>
      <c r="AL100">
        <f ca="1">Table1[[#This Row],[Put D1]]-Table1[[#This Row],[IV Calc P]]*SQRT(Table1[[#This Row],[T]])</f>
        <v>0.30572952610303394</v>
      </c>
      <c r="AM100">
        <f ca="1">EXP(-0.5*Table1[[#This Row],[Call D1]]^2)/SQRT(2*PI())</f>
        <v>0.36604551852139672</v>
      </c>
      <c r="AN100">
        <f ca="1">EXP(-0.5*Table1[[#This Row],[Put D1]]^2)/SQRT(2*PI())</f>
        <v>0.37986349636975381</v>
      </c>
      <c r="AO100">
        <f ca="1">IFERROR((EXP(0*Table1[[#This Row],[T]])*Table1[[#This Row],[call N(d1)]]*(Table1[[#This Row],[call d2]]/Table1[[#This Row],[IV Calc C]]))*Table1[[#This Row],[Open.Int]]*Table1[[#This Row],[DeltaC]],0)</f>
        <v>575.86661219772589</v>
      </c>
      <c r="AP100">
        <f ca="1">IFERROR((EXP(0*Table1[[#This Row],[T]])*Table1[[#This Row],[put N(d1)]]*(Table1[[#This Row],[put d2]]/Table1[[#This Row],[IV Calc P]]))*Table1[[#This Row],[Open.Int8]]*Table1[[#This Row],[DeltaP]]*-1,0)</f>
        <v>181.59667773937807</v>
      </c>
      <c r="AQ100">
        <f ca="1">((Table1[[#This Row],[call vanna]]+Table1[[#This Row],[put vanna]])*$A$4)</f>
        <v>5236608.8354866775</v>
      </c>
      <c r="AR10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72487.974438130506</v>
      </c>
      <c r="AS10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-55938.785583812198</v>
      </c>
      <c r="AT100" s="9" t="str" cm="1">
        <f t="array" ref="AT100">_xlfn.IFS(     $M$1="SPX","SPXW",     $M$1="RUT","RUTW",  $M$1="NDX","NDXP",   TRUE,$M$1 )</f>
        <v>SPXW</v>
      </c>
      <c r="AU100" s="2">
        <f t="shared" si="12"/>
        <v>6915</v>
      </c>
      <c r="AV100" t="str">
        <f t="shared" si="13"/>
        <v>260123</v>
      </c>
      <c r="AW100" s="19">
        <f ca="1">IFERROR((EXP(0*Table1[[#This Row],[T]])*Table1[[#This Row],[put N(d1)]]*(Table1[[#This Row],[put d2]]/Table1[[#This Row],[IV Calc P]]))*Table1[[#This Row],[Open.Int8]]*Table1[[#This Row],[DeltaP]]*-1,0)</f>
        <v>181.59667773937807</v>
      </c>
      <c r="AX100">
        <f ca="1">IFERROR((EXP(0*Table1[[#This Row],[T]])*Table1[[#This Row],[call N(d1)]]*(Table1[[#This Row],[call d2]]/Table1[[#This Row],[IV Calc C]]))*Table1[[#This Row],[Open.Int]]*Table1[[#This Row],[DeltaC]],0)</f>
        <v>575.86661219772589</v>
      </c>
      <c r="AY100">
        <f>IF(
    ISNUMBER(Table1[[#This Row],[Strike]]),RTD("tos.rtd", , "high", "."&amp;Table1[[#This Row],[Ticker]]&amp;Table1[[#This Row],[Expiry]]&amp;""&amp;"C"&amp;Table1[[#This Row],[Spot]]+Table1[[#This Row],[step]]))</f>
        <v>39.840000000000003</v>
      </c>
      <c r="AZ100">
        <f>IF(
    ISNUMBER(Table1[[#This Row],[Strike]]),RTD("tos.rtd", , "low", "."&amp;Table1[[#This Row],[Ticker]]&amp;Table1[[#This Row],[Expiry]]&amp;""&amp;"C"&amp;Table1[[#This Row],[Spot]]+Table1[[#This Row],[step]]))</f>
        <v>17</v>
      </c>
      <c r="BA100">
        <f>IF(
    ISNUMBER(Table1[[#This Row],[Strike]]),RTD("tos.rtd", , "high", "."&amp;Table1[[#This Row],[Ticker]]&amp;Table1[[#This Row],[Expiry]]&amp;""&amp;"P"&amp;Table1[[#This Row],[Spot]]+Table1[[#This Row],[step]]))</f>
        <v>29.13</v>
      </c>
      <c r="BB100">
        <f>IF(
    ISNUMBER(Table1[[#This Row],[Strike]]),RTD("tos.rtd", , "low", "."&amp;Table1[[#This Row],[Ticker]]&amp;Table1[[#This Row],[Expiry]]&amp;""&amp;"P"&amp;Table1[[#This Row],[Spot]]+Table1[[#This Row],[step]]))</f>
        <v>7.6</v>
      </c>
      <c r="BC100">
        <f>((Table1[[#This Row],[High C]]+Table1[[#This Row],[Low C]])/2)*Table1[[#This Row],[gammac]]*Table1[[#This Row],[Volume]]</f>
        <v>854.87360000000001</v>
      </c>
      <c r="BD100">
        <f>((Table1[[#This Row],[High P]]+Table1[[#This Row],[Low P]])/2)*Table1[[#This Row],[gammap]]*Table1[[#This Row],[Volume9]]*-1</f>
        <v>-614.49289999999996</v>
      </c>
      <c r="BE100">
        <f>(Table1[[#This Row],[SgammaC]]+Table1[[#This Row],[SgammaP]])*$A$4*-100</f>
        <v>-166183591.23450002</v>
      </c>
      <c r="BF100">
        <f>Table1[[#This Row],[DEXc]]+Table1[[#This Row],[DEXp]]</f>
        <v>1318998.0464999997</v>
      </c>
      <c r="BG100">
        <f>IFERROR(Table1[[#This Row],[DeltaC]]*Table1[[#This Row],[Open.Int]]*$A$4,0)</f>
        <v>2879686.8089999999</v>
      </c>
      <c r="BH100">
        <f>IFERROR(Table1[[#This Row],[DeltaP]]*Table1[[#This Row],[Open.Int8]]*$A$4,0)</f>
        <v>-1560688.7625000002</v>
      </c>
      <c r="BI10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-1053852.2730636152</v>
      </c>
      <c r="BJ10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-945689.64910358412</v>
      </c>
      <c r="BK100">
        <f ca="1">Table1[[#This Row],[Charmc]]+Table1[[#This Row],[Charmp]]</f>
        <v>-1999541.9221671992</v>
      </c>
      <c r="BL10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0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00" s="78">
        <f ca="1">Table1[[#This Row],[call helper]]+Table1[[#This Row],[put helper]]</f>
        <v>16549.188854318309</v>
      </c>
      <c r="BP100">
        <f>RTD("tos.rtd", , "STRIKE", "."&amp;Table1[[#This Row],[Ticker]]&amp;Table1[[#This Row],[Expiry]]&amp;""&amp;"C"&amp;Table1[[#This Row],[Spot]]+Table1[[#This Row],[step]])</f>
        <v>6905</v>
      </c>
    </row>
    <row r="101" spans="1:77" x14ac:dyDescent="0.25">
      <c r="A101">
        <f t="shared" ca="1" si="9"/>
        <v>2.5814307458086375E-3</v>
      </c>
      <c r="C101" s="17"/>
      <c r="D101" t="b">
        <f>IF(
    ISNUMBER(Table1[[#This Row],[Strike]]),RTD("tos.rtd", , "OPEN_INT", "."&amp;Table1[[#This Row],[Ticker]]&amp;Table1[[#This Row],[Expiry]]&amp;""&amp;"C"&amp;Table1[[#This Row],[Strike]]))</f>
        <v>0</v>
      </c>
      <c r="E10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1" t="b">
        <f>IF(
    ISNUMBER(Table1[[#This Row],[Strike]]),RTD("tos.rtd", , "DELTA", "."&amp;Table1[[#This Row],[Ticker]]&amp;Table1[[#This Row],[Expiry]]&amp;""&amp;"C"&amp;Table1[[#This Row],[Strike]]))</f>
        <v>0</v>
      </c>
      <c r="H101" s="17" t="b" cm="1">
        <f t="array" ref="H101">IF(
    ISNUMBER(Table1[[#This Row],[Strike]]),IndividualLegIVCore($A$4, Table1[[#This Row],[Strike]], 0.0411, Table1[[#This Row],[T]], ((Table1[[#This Row],[BIDC]]+Table1[[#This Row],[ASKC]])/2), TRUE))</f>
        <v>0</v>
      </c>
      <c r="I101" t="b">
        <f>IF(
    ISNUMBER(Table1[[#This Row],[Strike]]),RTD("tos.rtd", , "BID", "."&amp;Table1[[#This Row],[Ticker]]&amp;Table1[[#This Row],[Expiry]]&amp;""&amp;"C"&amp;Table1[[#This Row],[Strike]]))</f>
        <v>0</v>
      </c>
      <c r="J101" t="b">
        <f>IF(
    ISNUMBER(Table1[[#This Row],[Strike]]),RTD("tos.rtd", , "ASK", "."&amp;Table1[[#This Row],[Ticker]]&amp;Table1[[#This Row],[Expiry]]&amp;""&amp;"C"&amp;Table1[[#This Row],[Strike]]))</f>
        <v>0</v>
      </c>
      <c r="K10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1" s="17" cm="1">
        <f t="array" aca="1" ref="L10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1" s="1">
        <f t="shared" si="10"/>
        <v>46045</v>
      </c>
      <c r="N101" t="b">
        <f t="shared" si="11"/>
        <v>0</v>
      </c>
      <c r="P101" s="17" t="b" cm="1">
        <f t="array" ref="P101">IF(
    ISNUMBER(Table1[[#This Row],[Strike]]),IndividualLegIVCore($A$4, Table1[[#This Row],[Strike]], 0.0411, Table1[[#This Row],[T]], ((Table1[[#This Row],[BIDP]]+Table1[[#This Row],[ASKP]])/2), FALSE))</f>
        <v>0</v>
      </c>
      <c r="Q101" t="b">
        <f>IF(
    ISNUMBER(Table1[[#This Row],[Strike]]),RTD("tos.rtd", , "BID", "."&amp;Table1[[#This Row],[Ticker]]&amp;Table1[[#This Row],[Expiry]]&amp;""&amp;"P"&amp;Table1[[#This Row],[Strike]]))</f>
        <v>0</v>
      </c>
      <c r="R101" t="b">
        <f>IF(
    ISNUMBER(Table1[[#This Row],[Strike]]),RTD("tos.rtd", , "ASK", "."&amp;Table1[[#This Row],[Ticker]]&amp;Table1[[#This Row],[Expiry]]&amp;""&amp;"P"&amp;Table1[[#This Row],[Strike]]))</f>
        <v>0</v>
      </c>
      <c r="S101" s="17"/>
      <c r="T101" t="b">
        <f>IF(
    ISNUMBER(Table1[[#This Row],[Strike]]),RTD("tos.rtd", , "OPEN_INT", "."&amp;Table1[[#This Row],[Ticker]]&amp;Table1[[#This Row],[Expiry]]&amp;""&amp;"P"&amp;Table1[[#This Row],[Strike]]))</f>
        <v>0</v>
      </c>
      <c r="U10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1" t="b">
        <f>IF(
    ISNUMBER(Table1[[#This Row],[Strike]]),RTD("tos.rtd", , "DELTA", "."&amp;Table1[[#This Row],[Ticker]]&amp;Table1[[#This Row],[Expiry]]&amp;""&amp;"P"&amp;Table1[[#This Row],[Strike]]))</f>
        <v>0</v>
      </c>
      <c r="Y101" s="19">
        <f>-4.5* IF($M$1="NDX", 10, IF(OR($M$1="SPX", $M$1="RUT"), 2, 1))</f>
        <v>-9</v>
      </c>
      <c r="Z101">
        <f ca="1">IFERROR(Table1[[#This Row],[call gamma]]*(Table1[[#This Row],[Open.Int]])*$A$4^2,0)</f>
        <v>0</v>
      </c>
      <c r="AA101">
        <f ca="1">IFERROR(((Table1[[#This Row],[Open.Int8]])*Table1[[#This Row],[Put gamma]])*-1*$A$4^2,0)</f>
        <v>0</v>
      </c>
      <c r="AB101">
        <f ca="1">(Table1[[#This Row],[Call Gex]]+Table1[[#This Row],[Put Gex]])</f>
        <v>0</v>
      </c>
      <c r="AC101">
        <f ca="1">Table1[[#This Row],[call delta adj]]+Table1[[#This Row],[put delta adj]]</f>
        <v>0</v>
      </c>
      <c r="AD101">
        <f ca="1">Table1[[#This Row],[Put Gex]]*Table1[[#This Row],[DeltaP]]*-1</f>
        <v>0</v>
      </c>
      <c r="AE101">
        <f ca="1">Table1[[#This Row],[Call Gex]]*Table1[[#This Row],[DeltaC]]</f>
        <v>0</v>
      </c>
      <c r="AF101">
        <f>IF(Table1[[#This Row],[DeltaC]]-ABS(Table1[[#This Row],[DeltaP]])="0","0.01",Table1[[#This Row],[DeltaC]]-ABS(Table1[[#This Row],[DeltaP]]))</f>
        <v>0</v>
      </c>
      <c r="AG101" t="e">
        <f ca="1">((LN($A$4/Table1[[#This Row],[Strike]]) + (0.411 + 0.5 * Table1[[#This Row],[IV Calc P]]^2) *Table1[[#This Row],[T]])) / (Table1[[#This Row],[IV Calc P]] * SQRT(Table1[[#This Row],[T]]))</f>
        <v>#DIV/0!</v>
      </c>
      <c r="AH101" t="e">
        <f ca="1">(LN($A$4/Table1[[#This Row],[Strike]]) + (0.411-0 + 0.5 * Table1[[#This Row],[IV Calc C]]^2) *Table1[[#This Row],[T]]) / (Table1[[#This Row],[IV Calc C]] * SQRT(Table1[[#This Row],[T]]))</f>
        <v>#DIV/0!</v>
      </c>
      <c r="AI101" t="e">
        <f ca="1">(EXP(-(AG101^2)/2)/SQRT(2*PI())*EXP(0*SQRT(Table1[[#This Row],[T]]))/$A$4*18%*SQRT(SQRT(Table1[[#This Row],[T]])))</f>
        <v>#DIV/0!</v>
      </c>
      <c r="AJ101" t="e">
        <f ca="1">(EXP(-(AH101^2)/2)/SQRT(2*PI())*EXP(0*SQRT(Table1[[#This Row],[T]]))/$A$4*18%*SQRT(SQRT(Table1[[#This Row],[T]])))</f>
        <v>#DIV/0!</v>
      </c>
      <c r="AK101" t="e">
        <f ca="1">Table1[[#This Row],[Call D1]]-Table1[[#This Row],[IV Calc C]]*SQRT(Table1[[#This Row],[T]])</f>
        <v>#DIV/0!</v>
      </c>
      <c r="AL101" t="e">
        <f ca="1">Table1[[#This Row],[Put D1]]-Table1[[#This Row],[IV Calc P]]*SQRT(Table1[[#This Row],[T]])</f>
        <v>#DIV/0!</v>
      </c>
      <c r="AM101" t="e">
        <f ca="1">EXP(-0.5*Table1[[#This Row],[Call D1]]^2)/SQRT(2*PI())</f>
        <v>#DIV/0!</v>
      </c>
      <c r="AN101" t="e">
        <f ca="1">EXP(-0.5*Table1[[#This Row],[Put D1]]^2)/SQRT(2*PI())</f>
        <v>#DIV/0!</v>
      </c>
      <c r="AO101">
        <f ca="1">IFERROR((EXP(0*Table1[[#This Row],[T]])*Table1[[#This Row],[call N(d1)]]*(Table1[[#This Row],[call d2]]/Table1[[#This Row],[IV Calc C]]))*Table1[[#This Row],[Open.Int]]*Table1[[#This Row],[DeltaC]],0)</f>
        <v>0</v>
      </c>
      <c r="AP101">
        <f ca="1">IFERROR((EXP(0*Table1[[#This Row],[T]])*Table1[[#This Row],[put N(d1)]]*(Table1[[#This Row],[put d2]]/Table1[[#This Row],[IV Calc P]]))*Table1[[#This Row],[Open.Int8]]*Table1[[#This Row],[DeltaP]]*-1,0)</f>
        <v>0</v>
      </c>
      <c r="AQ101">
        <f ca="1">((Table1[[#This Row],[call vanna]]+Table1[[#This Row],[put vanna]])*$A$4)</f>
        <v>0</v>
      </c>
      <c r="AR10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1" s="9" t="str" cm="1">
        <f t="array" ref="AT101">_xlfn.IFS(     $M$1="SPX","SPXW",     $M$1="RUT","RUTW",  $M$1="NDX","NDXP",   TRUE,$M$1 )</f>
        <v>SPXW</v>
      </c>
      <c r="AU101" s="2">
        <f t="shared" si="12"/>
        <v>6915</v>
      </c>
      <c r="AV101" t="str">
        <f t="shared" si="13"/>
        <v>260123</v>
      </c>
      <c r="AW101" s="19">
        <f ca="1">IFERROR((EXP(0*Table1[[#This Row],[T]])*Table1[[#This Row],[put N(d1)]]*(Table1[[#This Row],[put d2]]/Table1[[#This Row],[IV Calc P]]))*Table1[[#This Row],[Open.Int8]]*Table1[[#This Row],[DeltaP]]*-1,0)</f>
        <v>0</v>
      </c>
      <c r="AX101">
        <f ca="1">IFERROR((EXP(0*Table1[[#This Row],[T]])*Table1[[#This Row],[call N(d1)]]*(Table1[[#This Row],[call d2]]/Table1[[#This Row],[IV Calc C]]))*Table1[[#This Row],[Open.Int]]*Table1[[#This Row],[DeltaC]],0)</f>
        <v>0</v>
      </c>
      <c r="AY10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1">
        <f>((Table1[[#This Row],[High C]]+Table1[[#This Row],[Low C]])/2)*Table1[[#This Row],[gammac]]*Table1[[#This Row],[Volume]]</f>
        <v>0</v>
      </c>
      <c r="BD101">
        <f>((Table1[[#This Row],[High P]]+Table1[[#This Row],[Low P]])/2)*Table1[[#This Row],[gammap]]*Table1[[#This Row],[Volume9]]*-1</f>
        <v>0</v>
      </c>
      <c r="BE101">
        <f>(Table1[[#This Row],[SgammaC]]+Table1[[#This Row],[SgammaP]])*$A$4*-100</f>
        <v>0</v>
      </c>
      <c r="BF101">
        <f>Table1[[#This Row],[DEXc]]+Table1[[#This Row],[DEXp]]</f>
        <v>0</v>
      </c>
      <c r="BG101">
        <f>IFERROR(Table1[[#This Row],[DeltaC]]*Table1[[#This Row],[Open.Int]]*$A$4,0)</f>
        <v>0</v>
      </c>
      <c r="BH101">
        <f>IFERROR(Table1[[#This Row],[DeltaP]]*Table1[[#This Row],[Open.Int8]]*$A$4,0)</f>
        <v>0</v>
      </c>
      <c r="BI10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1">
        <f ca="1">Table1[[#This Row],[Charmc]]+Table1[[#This Row],[Charmp]]</f>
        <v>0</v>
      </c>
      <c r="BL10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1" s="78">
        <f ca="1">Table1[[#This Row],[call helper]]+Table1[[#This Row],[put helper]]</f>
        <v>0</v>
      </c>
      <c r="BP101" t="str">
        <f>RTD("tos.rtd", , "STRIKE", "."&amp;Table1[[#This Row],[Ticker]]&amp;Table1[[#This Row],[Expiry]]&amp;""&amp;"C"&amp;Table1[[#This Row],[Spot]]+Table1[[#This Row],[step]])</f>
        <v>N/A</v>
      </c>
    </row>
    <row r="102" spans="1:77" x14ac:dyDescent="0.25">
      <c r="A102">
        <f t="shared" ca="1" si="9"/>
        <v>2.5814307458086375E-3</v>
      </c>
      <c r="C102" s="17"/>
      <c r="D102" t="b">
        <f>IF(
    ISNUMBER(Table1[[#This Row],[Strike]]),RTD("tos.rtd", , "OPEN_INT", "."&amp;Table1[[#This Row],[Ticker]]&amp;Table1[[#This Row],[Expiry]]&amp;""&amp;"C"&amp;Table1[[#This Row],[Strike]]))</f>
        <v>0</v>
      </c>
      <c r="E10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2" t="b">
        <f>IF(
    ISNUMBER(Table1[[#This Row],[Strike]]),RTD("tos.rtd", , "DELTA", "."&amp;Table1[[#This Row],[Ticker]]&amp;Table1[[#This Row],[Expiry]]&amp;""&amp;"C"&amp;Table1[[#This Row],[Strike]]))</f>
        <v>0</v>
      </c>
      <c r="H102" s="17" t="b" cm="1">
        <f t="array" ref="H102">IF(
    ISNUMBER(Table1[[#This Row],[Strike]]),IndividualLegIVCore($A$4, Table1[[#This Row],[Strike]], 0.0411, Table1[[#This Row],[T]], ((Table1[[#This Row],[BIDC]]+Table1[[#This Row],[ASKC]])/2), TRUE))</f>
        <v>0</v>
      </c>
      <c r="I102" t="b">
        <f>IF(
    ISNUMBER(Table1[[#This Row],[Strike]]),RTD("tos.rtd", , "BID", "."&amp;Table1[[#This Row],[Ticker]]&amp;Table1[[#This Row],[Expiry]]&amp;""&amp;"C"&amp;Table1[[#This Row],[Strike]]))</f>
        <v>0</v>
      </c>
      <c r="J102" t="b">
        <f>IF(
    ISNUMBER(Table1[[#This Row],[Strike]]),RTD("tos.rtd", , "ASK", "."&amp;Table1[[#This Row],[Ticker]]&amp;Table1[[#This Row],[Expiry]]&amp;""&amp;"C"&amp;Table1[[#This Row],[Strike]]))</f>
        <v>0</v>
      </c>
      <c r="K10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2" s="17" cm="1">
        <f t="array" aca="1" ref="L10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2" s="1">
        <f t="shared" si="10"/>
        <v>46045</v>
      </c>
      <c r="N102" t="b">
        <f t="shared" si="11"/>
        <v>0</v>
      </c>
      <c r="P102" s="17" t="b" cm="1">
        <f t="array" ref="P102">IF(
    ISNUMBER(Table1[[#This Row],[Strike]]),IndividualLegIVCore($A$4, Table1[[#This Row],[Strike]], 0.0411, Table1[[#This Row],[T]], ((Table1[[#This Row],[BIDP]]+Table1[[#This Row],[ASKP]])/2), FALSE))</f>
        <v>0</v>
      </c>
      <c r="Q102" t="b">
        <f>IF(
    ISNUMBER(Table1[[#This Row],[Strike]]),RTD("tos.rtd", , "BID", "."&amp;Table1[[#This Row],[Ticker]]&amp;Table1[[#This Row],[Expiry]]&amp;""&amp;"P"&amp;Table1[[#This Row],[Strike]]))</f>
        <v>0</v>
      </c>
      <c r="R102" t="b">
        <f>IF(
    ISNUMBER(Table1[[#This Row],[Strike]]),RTD("tos.rtd", , "ASK", "."&amp;Table1[[#This Row],[Ticker]]&amp;Table1[[#This Row],[Expiry]]&amp;""&amp;"P"&amp;Table1[[#This Row],[Strike]]))</f>
        <v>0</v>
      </c>
      <c r="S102" s="17"/>
      <c r="T102" t="b">
        <f>IF(
    ISNUMBER(Table1[[#This Row],[Strike]]),RTD("tos.rtd", , "OPEN_INT", "."&amp;Table1[[#This Row],[Ticker]]&amp;Table1[[#This Row],[Expiry]]&amp;""&amp;"P"&amp;Table1[[#This Row],[Strike]]))</f>
        <v>0</v>
      </c>
      <c r="U10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2" t="b">
        <f>IF(
    ISNUMBER(Table1[[#This Row],[Strike]]),RTD("tos.rtd", , "DELTA", "."&amp;Table1[[#This Row],[Ticker]]&amp;Table1[[#This Row],[Expiry]]&amp;""&amp;"P"&amp;Table1[[#This Row],[Strike]]))</f>
        <v>0</v>
      </c>
      <c r="Y102" s="19">
        <f>-4* IF($M$1="NDX", 10, IF(OR($M$1="SPX", $M$1="RUT"), 2, 1))</f>
        <v>-8</v>
      </c>
      <c r="Z102">
        <f ca="1">IFERROR(Table1[[#This Row],[call gamma]]*(Table1[[#This Row],[Open.Int]])*$A$4^2,0)</f>
        <v>0</v>
      </c>
      <c r="AA102">
        <f ca="1">IFERROR(((Table1[[#This Row],[Open.Int8]])*Table1[[#This Row],[Put gamma]])*-1*$A$4^2,0)</f>
        <v>0</v>
      </c>
      <c r="AB102">
        <f ca="1">(Table1[[#This Row],[Call Gex]]+Table1[[#This Row],[Put Gex]])</f>
        <v>0</v>
      </c>
      <c r="AC102">
        <f ca="1">Table1[[#This Row],[call delta adj]]+Table1[[#This Row],[put delta adj]]</f>
        <v>0</v>
      </c>
      <c r="AD102">
        <f ca="1">Table1[[#This Row],[Put Gex]]*Table1[[#This Row],[DeltaP]]*-1</f>
        <v>0</v>
      </c>
      <c r="AE102">
        <f ca="1">Table1[[#This Row],[Call Gex]]*Table1[[#This Row],[DeltaC]]</f>
        <v>0</v>
      </c>
      <c r="AF102">
        <f>IF(Table1[[#This Row],[DeltaC]]-ABS(Table1[[#This Row],[DeltaP]])="0","0.01",Table1[[#This Row],[DeltaC]]-ABS(Table1[[#This Row],[DeltaP]]))</f>
        <v>0</v>
      </c>
      <c r="AG102" t="e">
        <f ca="1">((LN($A$4/Table1[[#This Row],[Strike]]) + (0.411 + 0.5 * Table1[[#This Row],[IV Calc P]]^2) *Table1[[#This Row],[T]])) / (Table1[[#This Row],[IV Calc P]] * SQRT(Table1[[#This Row],[T]]))</f>
        <v>#DIV/0!</v>
      </c>
      <c r="AH102" t="e">
        <f ca="1">(LN($A$4/Table1[[#This Row],[Strike]]) + (0.411-0 + 0.5 * Table1[[#This Row],[IV Calc C]]^2) *Table1[[#This Row],[T]]) / (Table1[[#This Row],[IV Calc C]] * SQRT(Table1[[#This Row],[T]]))</f>
        <v>#DIV/0!</v>
      </c>
      <c r="AI102" t="e">
        <f ca="1">(EXP(-(AG102^2)/2)/SQRT(2*PI())*EXP(0*SQRT(Table1[[#This Row],[T]]))/$A$4*18%*SQRT(SQRT(Table1[[#This Row],[T]])))</f>
        <v>#DIV/0!</v>
      </c>
      <c r="AJ102" t="e">
        <f ca="1">(EXP(-(AH102^2)/2)/SQRT(2*PI())*EXP(0*SQRT(Table1[[#This Row],[T]]))/$A$4*18%*SQRT(SQRT(Table1[[#This Row],[T]])))</f>
        <v>#DIV/0!</v>
      </c>
      <c r="AK102" t="e">
        <f ca="1">Table1[[#This Row],[Call D1]]-Table1[[#This Row],[IV Calc C]]*SQRT(Table1[[#This Row],[T]])</f>
        <v>#DIV/0!</v>
      </c>
      <c r="AL102" t="e">
        <f ca="1">Table1[[#This Row],[Put D1]]-Table1[[#This Row],[IV Calc P]]*SQRT(Table1[[#This Row],[T]])</f>
        <v>#DIV/0!</v>
      </c>
      <c r="AM102" t="e">
        <f ca="1">EXP(-0.5*Table1[[#This Row],[Call D1]]^2)/SQRT(2*PI())</f>
        <v>#DIV/0!</v>
      </c>
      <c r="AN102" t="e">
        <f ca="1">EXP(-0.5*Table1[[#This Row],[Put D1]]^2)/SQRT(2*PI())</f>
        <v>#DIV/0!</v>
      </c>
      <c r="AO102">
        <f ca="1">IFERROR((EXP(0*Table1[[#This Row],[T]])*Table1[[#This Row],[call N(d1)]]*(Table1[[#This Row],[call d2]]/Table1[[#This Row],[IV Calc C]]))*Table1[[#This Row],[Open.Int]]*Table1[[#This Row],[DeltaC]],0)</f>
        <v>0</v>
      </c>
      <c r="AP102">
        <f ca="1">IFERROR((EXP(0*Table1[[#This Row],[T]])*Table1[[#This Row],[put N(d1)]]*(Table1[[#This Row],[put d2]]/Table1[[#This Row],[IV Calc P]]))*Table1[[#This Row],[Open.Int8]]*Table1[[#This Row],[DeltaP]]*-1,0)</f>
        <v>0</v>
      </c>
      <c r="AQ102">
        <f ca="1">((Table1[[#This Row],[call vanna]]+Table1[[#This Row],[put vanna]])*$A$4)</f>
        <v>0</v>
      </c>
      <c r="AR10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2" s="9" t="str" cm="1">
        <f t="array" ref="AT102">_xlfn.IFS(     $M$1="SPX","SPXW",     $M$1="RUT","RUTW",  $M$1="NDX","NDXP",   TRUE,$M$1 )</f>
        <v>SPXW</v>
      </c>
      <c r="AU102" s="2">
        <f t="shared" si="12"/>
        <v>6915</v>
      </c>
      <c r="AV102" t="str">
        <f t="shared" si="13"/>
        <v>260123</v>
      </c>
      <c r="AW102" s="19">
        <f ca="1">IFERROR((EXP(0*Table1[[#This Row],[T]])*Table1[[#This Row],[put N(d1)]]*(Table1[[#This Row],[put d2]]/Table1[[#This Row],[IV Calc P]]))*Table1[[#This Row],[Open.Int8]]*Table1[[#This Row],[DeltaP]]*-1,0)</f>
        <v>0</v>
      </c>
      <c r="AX102">
        <f ca="1">IFERROR((EXP(0*Table1[[#This Row],[T]])*Table1[[#This Row],[call N(d1)]]*(Table1[[#This Row],[call d2]]/Table1[[#This Row],[IV Calc C]]))*Table1[[#This Row],[Open.Int]]*Table1[[#This Row],[DeltaC]],0)</f>
        <v>0</v>
      </c>
      <c r="AY10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2">
        <f>((Table1[[#This Row],[High C]]+Table1[[#This Row],[Low C]])/2)*Table1[[#This Row],[gammac]]*Table1[[#This Row],[Volume]]</f>
        <v>0</v>
      </c>
      <c r="BD102">
        <f>((Table1[[#This Row],[High P]]+Table1[[#This Row],[Low P]])/2)*Table1[[#This Row],[gammap]]*Table1[[#This Row],[Volume9]]*-1</f>
        <v>0</v>
      </c>
      <c r="BE102">
        <f>(Table1[[#This Row],[SgammaC]]+Table1[[#This Row],[SgammaP]])*$A$4*-100</f>
        <v>0</v>
      </c>
      <c r="BF102">
        <f>Table1[[#This Row],[DEXc]]+Table1[[#This Row],[DEXp]]</f>
        <v>0</v>
      </c>
      <c r="BG102">
        <f>IFERROR(Table1[[#This Row],[DeltaC]]*Table1[[#This Row],[Open.Int]]*$A$4,0)</f>
        <v>0</v>
      </c>
      <c r="BH102">
        <f>IFERROR(Table1[[#This Row],[DeltaP]]*Table1[[#This Row],[Open.Int8]]*$A$4,0)</f>
        <v>0</v>
      </c>
      <c r="BI10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2">
        <f ca="1">Table1[[#This Row],[Charmc]]+Table1[[#This Row],[Charmp]]</f>
        <v>0</v>
      </c>
      <c r="BL10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2" s="78">
        <f ca="1">Table1[[#This Row],[call helper]]+Table1[[#This Row],[put helper]]</f>
        <v>0</v>
      </c>
      <c r="BP102" t="str">
        <f>RTD("tos.rtd", , "STRIKE", "."&amp;Table1[[#This Row],[Ticker]]&amp;Table1[[#This Row],[Expiry]]&amp;""&amp;"C"&amp;Table1[[#This Row],[Spot]]+Table1[[#This Row],[step]])</f>
        <v>N/A</v>
      </c>
    </row>
    <row r="103" spans="1:77" x14ac:dyDescent="0.25">
      <c r="A103">
        <f t="shared" ca="1" si="9"/>
        <v>2.5814307458086375E-3</v>
      </c>
      <c r="C103" s="17"/>
      <c r="D103" t="b">
        <f>IF(
    ISNUMBER(Table1[[#This Row],[Strike]]),RTD("tos.rtd", , "OPEN_INT", "."&amp;Table1[[#This Row],[Ticker]]&amp;Table1[[#This Row],[Expiry]]&amp;""&amp;"C"&amp;Table1[[#This Row],[Strike]]))</f>
        <v>0</v>
      </c>
      <c r="E10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3" t="b">
        <f>IF(
    ISNUMBER(Table1[[#This Row],[Strike]]),RTD("tos.rtd", , "DELTA", "."&amp;Table1[[#This Row],[Ticker]]&amp;Table1[[#This Row],[Expiry]]&amp;""&amp;"C"&amp;Table1[[#This Row],[Strike]]))</f>
        <v>0</v>
      </c>
      <c r="H103" s="17" t="b" cm="1">
        <f t="array" ref="H103">IF(
    ISNUMBER(Table1[[#This Row],[Strike]]),IndividualLegIVCore($A$4, Table1[[#This Row],[Strike]], 0.0411, Table1[[#This Row],[T]], ((Table1[[#This Row],[BIDC]]+Table1[[#This Row],[ASKC]])/2), TRUE))</f>
        <v>0</v>
      </c>
      <c r="I103" t="b">
        <f>IF(
    ISNUMBER(Table1[[#This Row],[Strike]]),RTD("tos.rtd", , "BID", "."&amp;Table1[[#This Row],[Ticker]]&amp;Table1[[#This Row],[Expiry]]&amp;""&amp;"C"&amp;Table1[[#This Row],[Strike]]))</f>
        <v>0</v>
      </c>
      <c r="J103" t="b">
        <f>IF(
    ISNUMBER(Table1[[#This Row],[Strike]]),RTD("tos.rtd", , "ASK", "."&amp;Table1[[#This Row],[Ticker]]&amp;Table1[[#This Row],[Expiry]]&amp;""&amp;"C"&amp;Table1[[#This Row],[Strike]]))</f>
        <v>0</v>
      </c>
      <c r="K10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3" s="17" cm="1">
        <f t="array" aca="1" ref="L10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3" s="1">
        <f t="shared" si="10"/>
        <v>46045</v>
      </c>
      <c r="N103" t="b">
        <f t="shared" si="11"/>
        <v>0</v>
      </c>
      <c r="P103" s="17" t="b" cm="1">
        <f t="array" ref="P103">IF(
    ISNUMBER(Table1[[#This Row],[Strike]]),IndividualLegIVCore($A$4, Table1[[#This Row],[Strike]], 0.0411, Table1[[#This Row],[T]], ((Table1[[#This Row],[BIDP]]+Table1[[#This Row],[ASKP]])/2), FALSE))</f>
        <v>0</v>
      </c>
      <c r="Q103" t="b">
        <f>IF(
    ISNUMBER(Table1[[#This Row],[Strike]]),RTD("tos.rtd", , "BID", "."&amp;Table1[[#This Row],[Ticker]]&amp;Table1[[#This Row],[Expiry]]&amp;""&amp;"P"&amp;Table1[[#This Row],[Strike]]))</f>
        <v>0</v>
      </c>
      <c r="R103" t="b">
        <f>IF(
    ISNUMBER(Table1[[#This Row],[Strike]]),RTD("tos.rtd", , "ASK", "."&amp;Table1[[#This Row],[Ticker]]&amp;Table1[[#This Row],[Expiry]]&amp;""&amp;"P"&amp;Table1[[#This Row],[Strike]]))</f>
        <v>0</v>
      </c>
      <c r="S103" s="17"/>
      <c r="T103" t="b">
        <f>IF(
    ISNUMBER(Table1[[#This Row],[Strike]]),RTD("tos.rtd", , "OPEN_INT", "."&amp;Table1[[#This Row],[Ticker]]&amp;Table1[[#This Row],[Expiry]]&amp;""&amp;"P"&amp;Table1[[#This Row],[Strike]]))</f>
        <v>0</v>
      </c>
      <c r="U10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3" t="b">
        <f>IF(
    ISNUMBER(Table1[[#This Row],[Strike]]),RTD("tos.rtd", , "DELTA", "."&amp;Table1[[#This Row],[Ticker]]&amp;Table1[[#This Row],[Expiry]]&amp;""&amp;"P"&amp;Table1[[#This Row],[Strike]]))</f>
        <v>0</v>
      </c>
      <c r="Y103" s="19">
        <f>-3.5* IF($M$1="NDX", 10, IF(OR($M$1="SPX", $M$1="RUT"), 2, 1))</f>
        <v>-7</v>
      </c>
      <c r="Z103">
        <f ca="1">IFERROR(Table1[[#This Row],[call gamma]]*(Table1[[#This Row],[Open.Int]])*$A$4^2,0)</f>
        <v>0</v>
      </c>
      <c r="AA103">
        <f ca="1">IFERROR(((Table1[[#This Row],[Open.Int8]])*Table1[[#This Row],[Put gamma]])*-1*$A$4^2,0)</f>
        <v>0</v>
      </c>
      <c r="AB103">
        <f ca="1">(Table1[[#This Row],[Call Gex]]+Table1[[#This Row],[Put Gex]])</f>
        <v>0</v>
      </c>
      <c r="AC103">
        <f ca="1">Table1[[#This Row],[call delta adj]]+Table1[[#This Row],[put delta adj]]</f>
        <v>0</v>
      </c>
      <c r="AD103">
        <f ca="1">Table1[[#This Row],[Put Gex]]*Table1[[#This Row],[DeltaP]]*-1</f>
        <v>0</v>
      </c>
      <c r="AE103">
        <f ca="1">Table1[[#This Row],[Call Gex]]*Table1[[#This Row],[DeltaC]]</f>
        <v>0</v>
      </c>
      <c r="AF103">
        <f>IF(Table1[[#This Row],[DeltaC]]-ABS(Table1[[#This Row],[DeltaP]])="0","0.01",Table1[[#This Row],[DeltaC]]-ABS(Table1[[#This Row],[DeltaP]]))</f>
        <v>0</v>
      </c>
      <c r="AG103" t="e">
        <f ca="1">((LN($A$4/Table1[[#This Row],[Strike]]) + (0.411 + 0.5 * Table1[[#This Row],[IV Calc P]]^2) *Table1[[#This Row],[T]])) / (Table1[[#This Row],[IV Calc P]] * SQRT(Table1[[#This Row],[T]]))</f>
        <v>#DIV/0!</v>
      </c>
      <c r="AH103" t="e">
        <f ca="1">(LN($A$4/Table1[[#This Row],[Strike]]) + (0.411-0 + 0.5 * Table1[[#This Row],[IV Calc C]]^2) *Table1[[#This Row],[T]]) / (Table1[[#This Row],[IV Calc C]] * SQRT(Table1[[#This Row],[T]]))</f>
        <v>#DIV/0!</v>
      </c>
      <c r="AI103" t="e">
        <f ca="1">(EXP(-(AG103^2)/2)/SQRT(2*PI())*EXP(0*SQRT(Table1[[#This Row],[T]]))/$A$4*18%*SQRT(SQRT(Table1[[#This Row],[T]])))</f>
        <v>#DIV/0!</v>
      </c>
      <c r="AJ103" t="e">
        <f ca="1">(EXP(-(AH103^2)/2)/SQRT(2*PI())*EXP(0*SQRT(Table1[[#This Row],[T]]))/$A$4*18%*SQRT(SQRT(Table1[[#This Row],[T]])))</f>
        <v>#DIV/0!</v>
      </c>
      <c r="AK103" t="e">
        <f ca="1">Table1[[#This Row],[Call D1]]-Table1[[#This Row],[IV Calc C]]*SQRT(Table1[[#This Row],[T]])</f>
        <v>#DIV/0!</v>
      </c>
      <c r="AL103" t="e">
        <f ca="1">Table1[[#This Row],[Put D1]]-Table1[[#This Row],[IV Calc P]]*SQRT(Table1[[#This Row],[T]])</f>
        <v>#DIV/0!</v>
      </c>
      <c r="AM103" t="e">
        <f ca="1">EXP(-0.5*Table1[[#This Row],[Call D1]]^2)/SQRT(2*PI())</f>
        <v>#DIV/0!</v>
      </c>
      <c r="AN103" t="e">
        <f ca="1">EXP(-0.5*Table1[[#This Row],[Put D1]]^2)/SQRT(2*PI())</f>
        <v>#DIV/0!</v>
      </c>
      <c r="AO103">
        <f ca="1">IFERROR((EXP(0*Table1[[#This Row],[T]])*Table1[[#This Row],[call N(d1)]]*(Table1[[#This Row],[call d2]]/Table1[[#This Row],[IV Calc C]]))*Table1[[#This Row],[Open.Int]]*Table1[[#This Row],[DeltaC]],0)</f>
        <v>0</v>
      </c>
      <c r="AP103">
        <f ca="1">IFERROR((EXP(0*Table1[[#This Row],[T]])*Table1[[#This Row],[put N(d1)]]*(Table1[[#This Row],[put d2]]/Table1[[#This Row],[IV Calc P]]))*Table1[[#This Row],[Open.Int8]]*Table1[[#This Row],[DeltaP]]*-1,0)</f>
        <v>0</v>
      </c>
      <c r="AQ103">
        <f ca="1">((Table1[[#This Row],[call vanna]]+Table1[[#This Row],[put vanna]])*$A$4)</f>
        <v>0</v>
      </c>
      <c r="AR10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3" s="9" t="str" cm="1">
        <f t="array" ref="AT103">_xlfn.IFS(     $M$1="SPX","SPXW",     $M$1="RUT","RUTW",  $M$1="NDX","NDXP",   TRUE,$M$1 )</f>
        <v>SPXW</v>
      </c>
      <c r="AU103" s="2">
        <f t="shared" si="12"/>
        <v>6915</v>
      </c>
      <c r="AV103" t="str">
        <f t="shared" si="13"/>
        <v>260123</v>
      </c>
      <c r="AW103" s="19">
        <f ca="1">IFERROR((EXP(0*Table1[[#This Row],[T]])*Table1[[#This Row],[put N(d1)]]*(Table1[[#This Row],[put d2]]/Table1[[#This Row],[IV Calc P]]))*Table1[[#This Row],[Open.Int8]]*Table1[[#This Row],[DeltaP]]*-1,0)</f>
        <v>0</v>
      </c>
      <c r="AX103">
        <f ca="1">IFERROR((EXP(0*Table1[[#This Row],[T]])*Table1[[#This Row],[call N(d1)]]*(Table1[[#This Row],[call d2]]/Table1[[#This Row],[IV Calc C]]))*Table1[[#This Row],[Open.Int]]*Table1[[#This Row],[DeltaC]],0)</f>
        <v>0</v>
      </c>
      <c r="AY10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3">
        <f>((Table1[[#This Row],[High C]]+Table1[[#This Row],[Low C]])/2)*Table1[[#This Row],[gammac]]*Table1[[#This Row],[Volume]]</f>
        <v>0</v>
      </c>
      <c r="BD103">
        <f>((Table1[[#This Row],[High P]]+Table1[[#This Row],[Low P]])/2)*Table1[[#This Row],[gammap]]*Table1[[#This Row],[Volume9]]*-1</f>
        <v>0</v>
      </c>
      <c r="BE103">
        <f>(Table1[[#This Row],[SgammaC]]+Table1[[#This Row],[SgammaP]])*$A$4*-100</f>
        <v>0</v>
      </c>
      <c r="BF103">
        <f>Table1[[#This Row],[DEXc]]+Table1[[#This Row],[DEXp]]</f>
        <v>0</v>
      </c>
      <c r="BG103">
        <f>IFERROR(Table1[[#This Row],[DeltaC]]*Table1[[#This Row],[Open.Int]]*$A$4,0)</f>
        <v>0</v>
      </c>
      <c r="BH103">
        <f>IFERROR(Table1[[#This Row],[DeltaP]]*Table1[[#This Row],[Open.Int8]]*$A$4,0)</f>
        <v>0</v>
      </c>
      <c r="BI10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3">
        <f ca="1">Table1[[#This Row],[Charmc]]+Table1[[#This Row],[Charmp]]</f>
        <v>0</v>
      </c>
      <c r="BL10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3" s="78">
        <f ca="1">Table1[[#This Row],[call helper]]+Table1[[#This Row],[put helper]]</f>
        <v>0</v>
      </c>
      <c r="BP103" t="str">
        <f>RTD("tos.rtd", , "STRIKE", "."&amp;Table1[[#This Row],[Ticker]]&amp;Table1[[#This Row],[Expiry]]&amp;""&amp;"C"&amp;Table1[[#This Row],[Spot]]+Table1[[#This Row],[step]])</f>
        <v>N/A</v>
      </c>
    </row>
    <row r="104" spans="1:77" x14ac:dyDescent="0.25">
      <c r="A104">
        <f t="shared" ca="1" si="9"/>
        <v>2.5814307458086375E-3</v>
      </c>
      <c r="C104" s="17"/>
      <c r="D104" t="b">
        <f>IF(
    ISNUMBER(Table1[[#This Row],[Strike]]),RTD("tos.rtd", , "OPEN_INT", "."&amp;Table1[[#This Row],[Ticker]]&amp;Table1[[#This Row],[Expiry]]&amp;""&amp;"C"&amp;Table1[[#This Row],[Strike]]))</f>
        <v>0</v>
      </c>
      <c r="E10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4" t="b">
        <f>IF(
    ISNUMBER(Table1[[#This Row],[Strike]]),RTD("tos.rtd", , "DELTA", "."&amp;Table1[[#This Row],[Ticker]]&amp;Table1[[#This Row],[Expiry]]&amp;""&amp;"C"&amp;Table1[[#This Row],[Strike]]))</f>
        <v>0</v>
      </c>
      <c r="H104" s="17" t="b" cm="1">
        <f t="array" ref="H104">IF(
    ISNUMBER(Table1[[#This Row],[Strike]]),IndividualLegIVCore($A$4, Table1[[#This Row],[Strike]], 0.0411, Table1[[#This Row],[T]], ((Table1[[#This Row],[BIDC]]+Table1[[#This Row],[ASKC]])/2), TRUE))</f>
        <v>0</v>
      </c>
      <c r="I104" t="b">
        <f>IF(
    ISNUMBER(Table1[[#This Row],[Strike]]),RTD("tos.rtd", , "BID", "."&amp;Table1[[#This Row],[Ticker]]&amp;Table1[[#This Row],[Expiry]]&amp;""&amp;"C"&amp;Table1[[#This Row],[Strike]]))</f>
        <v>0</v>
      </c>
      <c r="J104" t="b">
        <f>IF(
    ISNUMBER(Table1[[#This Row],[Strike]]),RTD("tos.rtd", , "ASK", "."&amp;Table1[[#This Row],[Ticker]]&amp;Table1[[#This Row],[Expiry]]&amp;""&amp;"C"&amp;Table1[[#This Row],[Strike]]))</f>
        <v>0</v>
      </c>
      <c r="K10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4" s="17" cm="1">
        <f t="array" aca="1" ref="L10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4" s="1">
        <f t="shared" si="10"/>
        <v>46045</v>
      </c>
      <c r="N104" t="b">
        <f t="shared" si="11"/>
        <v>0</v>
      </c>
      <c r="P104" s="17" t="b" cm="1">
        <f t="array" ref="P104">IF(
    ISNUMBER(Table1[[#This Row],[Strike]]),IndividualLegIVCore($A$4, Table1[[#This Row],[Strike]], 0.0411, Table1[[#This Row],[T]], ((Table1[[#This Row],[BIDP]]+Table1[[#This Row],[ASKP]])/2), FALSE))</f>
        <v>0</v>
      </c>
      <c r="Q104" t="b">
        <f>IF(
    ISNUMBER(Table1[[#This Row],[Strike]]),RTD("tos.rtd", , "BID", "."&amp;Table1[[#This Row],[Ticker]]&amp;Table1[[#This Row],[Expiry]]&amp;""&amp;"P"&amp;Table1[[#This Row],[Strike]]))</f>
        <v>0</v>
      </c>
      <c r="R104" t="b">
        <f>IF(
    ISNUMBER(Table1[[#This Row],[Strike]]),RTD("tos.rtd", , "ASK", "."&amp;Table1[[#This Row],[Ticker]]&amp;Table1[[#This Row],[Expiry]]&amp;""&amp;"P"&amp;Table1[[#This Row],[Strike]]))</f>
        <v>0</v>
      </c>
      <c r="S104" s="17"/>
      <c r="T104" t="b">
        <f>IF(
    ISNUMBER(Table1[[#This Row],[Strike]]),RTD("tos.rtd", , "OPEN_INT", "."&amp;Table1[[#This Row],[Ticker]]&amp;Table1[[#This Row],[Expiry]]&amp;""&amp;"P"&amp;Table1[[#This Row],[Strike]]))</f>
        <v>0</v>
      </c>
      <c r="U10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4" t="b">
        <f>IF(
    ISNUMBER(Table1[[#This Row],[Strike]]),RTD("tos.rtd", , "DELTA", "."&amp;Table1[[#This Row],[Ticker]]&amp;Table1[[#This Row],[Expiry]]&amp;""&amp;"P"&amp;Table1[[#This Row],[Strike]]))</f>
        <v>0</v>
      </c>
      <c r="Y104" s="19">
        <f>-3* IF($M$1="NDX", 10, IF(OR($M$1="SPX", $M$1="RUT"), 2, 1))</f>
        <v>-6</v>
      </c>
      <c r="Z104">
        <f ca="1">IFERROR(Table1[[#This Row],[call gamma]]*(Table1[[#This Row],[Open.Int]])*$A$4^2,0)</f>
        <v>0</v>
      </c>
      <c r="AA104">
        <f ca="1">IFERROR(((Table1[[#This Row],[Open.Int8]])*Table1[[#This Row],[Put gamma]])*-1*$A$4^2,0)</f>
        <v>0</v>
      </c>
      <c r="AB104">
        <f ca="1">(Table1[[#This Row],[Call Gex]]+Table1[[#This Row],[Put Gex]])</f>
        <v>0</v>
      </c>
      <c r="AC104">
        <f ca="1">Table1[[#This Row],[call delta adj]]+Table1[[#This Row],[put delta adj]]</f>
        <v>0</v>
      </c>
      <c r="AD104">
        <f ca="1">Table1[[#This Row],[Put Gex]]*Table1[[#This Row],[DeltaP]]*-1</f>
        <v>0</v>
      </c>
      <c r="AE104">
        <f ca="1">Table1[[#This Row],[Call Gex]]*Table1[[#This Row],[DeltaC]]</f>
        <v>0</v>
      </c>
      <c r="AF104">
        <f>IF(Table1[[#This Row],[DeltaC]]-ABS(Table1[[#This Row],[DeltaP]])="0","0.01",Table1[[#This Row],[DeltaC]]-ABS(Table1[[#This Row],[DeltaP]]))</f>
        <v>0</v>
      </c>
      <c r="AG104" t="e">
        <f ca="1">((LN($A$4/Table1[[#This Row],[Strike]]) + (0.411 + 0.5 * Table1[[#This Row],[IV Calc P]]^2) *Table1[[#This Row],[T]])) / (Table1[[#This Row],[IV Calc P]] * SQRT(Table1[[#This Row],[T]]))</f>
        <v>#DIV/0!</v>
      </c>
      <c r="AH104" t="e">
        <f ca="1">(LN($A$4/Table1[[#This Row],[Strike]]) + (0.411-0 + 0.5 * Table1[[#This Row],[IV Calc C]]^2) *Table1[[#This Row],[T]]) / (Table1[[#This Row],[IV Calc C]] * SQRT(Table1[[#This Row],[T]]))</f>
        <v>#DIV/0!</v>
      </c>
      <c r="AI104" t="e">
        <f ca="1">(EXP(-(AG104^2)/2)/SQRT(2*PI())*EXP(0*SQRT(Table1[[#This Row],[T]]))/$A$4*18%*SQRT(SQRT(Table1[[#This Row],[T]])))</f>
        <v>#DIV/0!</v>
      </c>
      <c r="AJ104" t="e">
        <f ca="1">(EXP(-(AH104^2)/2)/SQRT(2*PI())*EXP(0*SQRT(Table1[[#This Row],[T]]))/$A$4*18%*SQRT(SQRT(Table1[[#This Row],[T]])))</f>
        <v>#DIV/0!</v>
      </c>
      <c r="AK104" t="e">
        <f ca="1">Table1[[#This Row],[Call D1]]-Table1[[#This Row],[IV Calc C]]*SQRT(Table1[[#This Row],[T]])</f>
        <v>#DIV/0!</v>
      </c>
      <c r="AL104" t="e">
        <f ca="1">Table1[[#This Row],[Put D1]]-Table1[[#This Row],[IV Calc P]]*SQRT(Table1[[#This Row],[T]])</f>
        <v>#DIV/0!</v>
      </c>
      <c r="AM104" t="e">
        <f ca="1">EXP(-0.5*Table1[[#This Row],[Call D1]]^2)/SQRT(2*PI())</f>
        <v>#DIV/0!</v>
      </c>
      <c r="AN104" t="e">
        <f ca="1">EXP(-0.5*Table1[[#This Row],[Put D1]]^2)/SQRT(2*PI())</f>
        <v>#DIV/0!</v>
      </c>
      <c r="AO104">
        <f ca="1">IFERROR((EXP(0*Table1[[#This Row],[T]])*Table1[[#This Row],[call N(d1)]]*(Table1[[#This Row],[call d2]]/Table1[[#This Row],[IV Calc C]]))*Table1[[#This Row],[Open.Int]]*Table1[[#This Row],[DeltaC]],0)</f>
        <v>0</v>
      </c>
      <c r="AP104">
        <f ca="1">IFERROR((EXP(0*Table1[[#This Row],[T]])*Table1[[#This Row],[put N(d1)]]*(Table1[[#This Row],[put d2]]/Table1[[#This Row],[IV Calc P]]))*Table1[[#This Row],[Open.Int8]]*Table1[[#This Row],[DeltaP]]*-1,0)</f>
        <v>0</v>
      </c>
      <c r="AQ104">
        <f ca="1">((Table1[[#This Row],[call vanna]]+Table1[[#This Row],[put vanna]])*$A$4)</f>
        <v>0</v>
      </c>
      <c r="AR10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4" s="9" t="str" cm="1">
        <f t="array" ref="AT104">_xlfn.IFS(     $M$1="SPX","SPXW",     $M$1="RUT","RUTW",  $M$1="NDX","NDXP",   TRUE,$M$1 )</f>
        <v>SPXW</v>
      </c>
      <c r="AU104" s="2">
        <f t="shared" si="12"/>
        <v>6915</v>
      </c>
      <c r="AV104" t="str">
        <f t="shared" si="13"/>
        <v>260123</v>
      </c>
      <c r="AW104" s="19">
        <f ca="1">IFERROR((EXP(0*Table1[[#This Row],[T]])*Table1[[#This Row],[put N(d1)]]*(Table1[[#This Row],[put d2]]/Table1[[#This Row],[IV Calc P]]))*Table1[[#This Row],[Open.Int8]]*Table1[[#This Row],[DeltaP]]*-1,0)</f>
        <v>0</v>
      </c>
      <c r="AX104">
        <f ca="1">IFERROR((EXP(0*Table1[[#This Row],[T]])*Table1[[#This Row],[call N(d1)]]*(Table1[[#This Row],[call d2]]/Table1[[#This Row],[IV Calc C]]))*Table1[[#This Row],[Open.Int]]*Table1[[#This Row],[DeltaC]],0)</f>
        <v>0</v>
      </c>
      <c r="AY10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4">
        <f>((Table1[[#This Row],[High C]]+Table1[[#This Row],[Low C]])/2)*Table1[[#This Row],[gammac]]*Table1[[#This Row],[Volume]]</f>
        <v>0</v>
      </c>
      <c r="BD104">
        <f>((Table1[[#This Row],[High P]]+Table1[[#This Row],[Low P]])/2)*Table1[[#This Row],[gammap]]*Table1[[#This Row],[Volume9]]*-1</f>
        <v>0</v>
      </c>
      <c r="BE104">
        <f>(Table1[[#This Row],[SgammaC]]+Table1[[#This Row],[SgammaP]])*$A$4*-100</f>
        <v>0</v>
      </c>
      <c r="BF104">
        <f>Table1[[#This Row],[DEXc]]+Table1[[#This Row],[DEXp]]</f>
        <v>0</v>
      </c>
      <c r="BG104">
        <f>IFERROR(Table1[[#This Row],[DeltaC]]*Table1[[#This Row],[Open.Int]]*$A$4,0)</f>
        <v>0</v>
      </c>
      <c r="BH104">
        <f>IFERROR(Table1[[#This Row],[DeltaP]]*Table1[[#This Row],[Open.Int8]]*$A$4,0)</f>
        <v>0</v>
      </c>
      <c r="BI10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4">
        <f ca="1">Table1[[#This Row],[Charmc]]+Table1[[#This Row],[Charmp]]</f>
        <v>0</v>
      </c>
      <c r="BL10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4" s="78">
        <f ca="1">Table1[[#This Row],[call helper]]+Table1[[#This Row],[put helper]]</f>
        <v>0</v>
      </c>
      <c r="BP104" t="str">
        <f>RTD("tos.rtd", , "STRIKE", "."&amp;Table1[[#This Row],[Ticker]]&amp;Table1[[#This Row],[Expiry]]&amp;""&amp;"C"&amp;Table1[[#This Row],[Spot]]+Table1[[#This Row],[step]])</f>
        <v>N/A</v>
      </c>
    </row>
    <row r="105" spans="1:77" x14ac:dyDescent="0.25">
      <c r="A105">
        <f t="shared" ca="1" si="9"/>
        <v>2.5814307458086375E-3</v>
      </c>
      <c r="C105" s="17"/>
      <c r="D105">
        <f>IF(
    ISNUMBER(Table1[[#This Row],[Strike]]),RTD("tos.rtd", , "OPEN_INT", "."&amp;Table1[[#This Row],[Ticker]]&amp;Table1[[#This Row],[Expiry]]&amp;""&amp;"C"&amp;Table1[[#This Row],[Strike]]))</f>
        <v>1043</v>
      </c>
      <c r="E10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4995</v>
      </c>
      <c r="G105">
        <f>IF(
    ISNUMBER(Table1[[#This Row],[Strike]]),RTD("tos.rtd", , "DELTA", "."&amp;Table1[[#This Row],[Ticker]]&amp;Table1[[#This Row],[Expiry]]&amp;""&amp;"C"&amp;Table1[[#This Row],[Strike]]))</f>
        <v>0.54</v>
      </c>
      <c r="H105" s="17" cm="1">
        <f t="array" aca="1" ref="H105" ca="1">IF(
    ISNUMBER(Table1[[#This Row],[Strike]]),IndividualLegIVCore($A$4, Table1[[#This Row],[Strike]], 0.0411, Table1[[#This Row],[T]], ((Table1[[#This Row],[BIDC]]+Table1[[#This Row],[ASKC]])/2), TRUE))</f>
        <v>0.10793834144780731</v>
      </c>
      <c r="I105">
        <f>IF(
    ISNUMBER(Table1[[#This Row],[Strike]]),RTD("tos.rtd", , "BID", "."&amp;Table1[[#This Row],[Ticker]]&amp;Table1[[#This Row],[Expiry]]&amp;""&amp;"C"&amp;Table1[[#This Row],[Strike]]))</f>
        <v>17</v>
      </c>
      <c r="J105">
        <f>IF(
    ISNUMBER(Table1[[#This Row],[Strike]]),RTD("tos.rtd", , "ASK", "."&amp;Table1[[#This Row],[Ticker]]&amp;Table1[[#This Row],[Expiry]]&amp;""&amp;"C"&amp;Table1[[#This Row],[Strike]]))</f>
        <v>17.5</v>
      </c>
      <c r="K10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0.10793834144780731</v>
      </c>
      <c r="L105" s="17" cm="1">
        <f t="array" aca="1" ref="L105" ca="1">CubicSplineIVSmile($A$4, Table1[[#This Row],[Strike]], 0.0411, Table1[[#This Row],[T]], (Table1[[#This Row],[BIDC]]+Table1[[#This Row],[ASKC]])/2, (Table1[[#This Row],[BIDP]]+Table1[[#This Row],[ASKP]])/2, Table1[Strike], Table1[IV Calc AVG])</f>
        <v>0.12427360190796766</v>
      </c>
      <c r="M105" s="1">
        <f t="shared" si="10"/>
        <v>46045</v>
      </c>
      <c r="N105">
        <f t="shared" si="11"/>
        <v>6910</v>
      </c>
      <c r="P105" s="17" cm="1">
        <f t="array" aca="1" ref="P105" ca="1">IF(
    ISNUMBER(Table1[[#This Row],[Strike]]),IndividualLegIVCore($A$4, Table1[[#This Row],[Strike]], 0.0411, Table1[[#This Row],[T]], ((Table1[[#This Row],[BIDP]]+Table1[[#This Row],[ASKP]])/2), FALSE))</f>
        <v>0.14330689060142848</v>
      </c>
      <c r="Q105">
        <f>IF(
    ISNUMBER(Table1[[#This Row],[Strike]]),RTD("tos.rtd", , "BID", "."&amp;Table1[[#This Row],[Ticker]]&amp;Table1[[#This Row],[Expiry]]&amp;""&amp;"P"&amp;Table1[[#This Row],[Strike]]))</f>
        <v>17.899999999999999</v>
      </c>
      <c r="R105">
        <f>IF(
    ISNUMBER(Table1[[#This Row],[Strike]]),RTD("tos.rtd", , "ASK", "."&amp;Table1[[#This Row],[Ticker]]&amp;Table1[[#This Row],[Expiry]]&amp;""&amp;"P"&amp;Table1[[#This Row],[Strike]]))</f>
        <v>18.3</v>
      </c>
      <c r="S105" s="17"/>
      <c r="T105">
        <f>IF(
    ISNUMBER(Table1[[#This Row],[Strike]]),RTD("tos.rtd", , "OPEN_INT", "."&amp;Table1[[#This Row],[Ticker]]&amp;Table1[[#This Row],[Expiry]]&amp;""&amp;"P"&amp;Table1[[#This Row],[Strike]]))</f>
        <v>952</v>
      </c>
      <c r="U10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7974</v>
      </c>
      <c r="W105">
        <f>IF(
    ISNUMBER(Table1[[#This Row],[Strike]]),RTD("tos.rtd", , "DELTA", "."&amp;Table1[[#This Row],[Ticker]]&amp;Table1[[#This Row],[Expiry]]&amp;""&amp;"P"&amp;Table1[[#This Row],[Strike]]))</f>
        <v>-0.47</v>
      </c>
      <c r="Y105" s="19">
        <f>-2.5* IF($M$1="NDX", 10, IF(OR($M$1="SPX", $M$1="RUT"), 2, 1))</f>
        <v>-5</v>
      </c>
      <c r="Z105">
        <f ca="1">IFERROR(Table1[[#This Row],[call gamma]]*(Table1[[#This Row],[Open.Int]])*$A$4^2,0)</f>
        <v>112081.55050203692</v>
      </c>
      <c r="AA105">
        <f ca="1">IFERROR(((Table1[[#This Row],[Open.Int8]])*Table1[[#This Row],[Put gamma]])*-1*$A$4^2,0)</f>
        <v>-104075.64896883153</v>
      </c>
      <c r="AB105">
        <f ca="1">(Table1[[#This Row],[Call Gex]]+Table1[[#This Row],[Put Gex]])</f>
        <v>8005.9015332053823</v>
      </c>
      <c r="AC105">
        <f ca="1">Table1[[#This Row],[call delta adj]]+Table1[[#This Row],[put delta adj]]</f>
        <v>11608.482255749121</v>
      </c>
      <c r="AD105">
        <f ca="1">Table1[[#This Row],[Put Gex]]*Table1[[#This Row],[DeltaP]]*-1</f>
        <v>-48915.555015350816</v>
      </c>
      <c r="AE105">
        <f ca="1">Table1[[#This Row],[Call Gex]]*Table1[[#This Row],[DeltaC]]</f>
        <v>60524.037271099936</v>
      </c>
      <c r="AF105">
        <f>IF(Table1[[#This Row],[DeltaC]]-ABS(Table1[[#This Row],[DeltaP]])="0","0.01",Table1[[#This Row],[DeltaC]]-ABS(Table1[[#This Row],[DeltaP]]))</f>
        <v>7.0000000000000062E-2</v>
      </c>
      <c r="AG105">
        <f ca="1">((LN($A$4/Table1[[#This Row],[Strike]]) + (0.411 + 0.5 * Table1[[#This Row],[IV Calc P]]^2) *Table1[[#This Row],[T]])) / (Table1[[#This Row],[IV Calc P]] * SQRT(Table1[[#This Row],[T]]))</f>
        <v>0.21592359526714705</v>
      </c>
      <c r="AH105">
        <f ca="1">(LN($A$4/Table1[[#This Row],[Strike]]) + (0.411-0 + 0.5 * Table1[[#This Row],[IV Calc C]]^2) *Table1[[#This Row],[T]]) / (Table1[[#This Row],[IV Calc C]] * SQRT(Table1[[#This Row],[T]]))</f>
        <v>0.28458465361205704</v>
      </c>
      <c r="AI105">
        <f ca="1">(EXP(-(AG105^2)/2)/SQRT(2*PI())*EXP(0*SQRT(Table1[[#This Row],[T]]))/$A$4*18%*SQRT(SQRT(Table1[[#This Row],[T]])))</f>
        <v>2.2873629938591864E-6</v>
      </c>
      <c r="AJ105">
        <f ca="1">(EXP(-(AH105^2)/2)/SQRT(2*PI())*EXP(0*SQRT(Table1[[#This Row],[T]]))/$A$4*18%*SQRT(SQRT(Table1[[#This Row],[T]])))</f>
        <v>2.2483956331482304E-6</v>
      </c>
      <c r="AK105">
        <f ca="1">Table1[[#This Row],[Call D1]]-Table1[[#This Row],[IV Calc C]]*SQRT(Table1[[#This Row],[T]])</f>
        <v>0.27910054585416755</v>
      </c>
      <c r="AL105">
        <f ca="1">Table1[[#This Row],[Put D1]]-Table1[[#This Row],[IV Calc P]]*SQRT(Table1[[#This Row],[T]])</f>
        <v>0.20864248996235288</v>
      </c>
      <c r="AM105">
        <f ca="1">EXP(-0.5*Table1[[#This Row],[Call D1]]^2)/SQRT(2*PI())</f>
        <v>0.38311014521043191</v>
      </c>
      <c r="AN105">
        <f ca="1">EXP(-0.5*Table1[[#This Row],[Put D1]]^2)/SQRT(2*PI())</f>
        <v>0.38974989801921051</v>
      </c>
      <c r="AO105">
        <f ca="1">IFERROR((EXP(0*Table1[[#This Row],[T]])*Table1[[#This Row],[call N(d1)]]*(Table1[[#This Row],[call d2]]/Table1[[#This Row],[IV Calc C]]))*Table1[[#This Row],[Open.Int]]*Table1[[#This Row],[DeltaC]],0)</f>
        <v>557.93893146389951</v>
      </c>
      <c r="AP105">
        <f ca="1">IFERROR((EXP(0*Table1[[#This Row],[T]])*Table1[[#This Row],[put N(d1)]]*(Table1[[#This Row],[put d2]]/Table1[[#This Row],[IV Calc P]]))*Table1[[#This Row],[Open.Int8]]*Table1[[#This Row],[DeltaP]]*-1,0)</f>
        <v>253.89637514547033</v>
      </c>
      <c r="AQ105">
        <f ca="1">((Table1[[#This Row],[call vanna]]+Table1[[#This Row],[put vanna]])*$A$4)</f>
        <v>5612501.6169478875</v>
      </c>
      <c r="AR10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112081.55050203692</v>
      </c>
      <c r="AS10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-104075.64896883153</v>
      </c>
      <c r="AT105" s="9" t="str" cm="1">
        <f t="array" ref="AT105">_xlfn.IFS(     $M$1="SPX","SPXW",     $M$1="RUT","RUTW",  $M$1="NDX","NDXP",   TRUE,$M$1 )</f>
        <v>SPXW</v>
      </c>
      <c r="AU105" s="2">
        <f t="shared" si="12"/>
        <v>6915</v>
      </c>
      <c r="AV105" t="str">
        <f t="shared" si="13"/>
        <v>260123</v>
      </c>
      <c r="AW105" s="19">
        <f ca="1">IFERROR((EXP(0*Table1[[#This Row],[T]])*Table1[[#This Row],[put N(d1)]]*(Table1[[#This Row],[put d2]]/Table1[[#This Row],[IV Calc P]]))*Table1[[#This Row],[Open.Int8]]*Table1[[#This Row],[DeltaP]]*-1,0)</f>
        <v>253.89637514547033</v>
      </c>
      <c r="AX105">
        <f ca="1">IFERROR((EXP(0*Table1[[#This Row],[T]])*Table1[[#This Row],[call N(d1)]]*(Table1[[#This Row],[call d2]]/Table1[[#This Row],[IV Calc C]]))*Table1[[#This Row],[Open.Int]]*Table1[[#This Row],[DeltaC]],0)</f>
        <v>557.93893146389951</v>
      </c>
      <c r="AY105">
        <f>IF(
    ISNUMBER(Table1[[#This Row],[Strike]]),RTD("tos.rtd", , "high", "."&amp;Table1[[#This Row],[Ticker]]&amp;Table1[[#This Row],[Expiry]]&amp;""&amp;"C"&amp;Table1[[#This Row],[Spot]]+Table1[[#This Row],[step]]))</f>
        <v>36.24</v>
      </c>
      <c r="AZ105">
        <f>IF(
    ISNUMBER(Table1[[#This Row],[Strike]]),RTD("tos.rtd", , "low", "."&amp;Table1[[#This Row],[Ticker]]&amp;Table1[[#This Row],[Expiry]]&amp;""&amp;"C"&amp;Table1[[#This Row],[Spot]]+Table1[[#This Row],[step]]))</f>
        <v>14.4</v>
      </c>
      <c r="BA105">
        <f>IF(
    ISNUMBER(Table1[[#This Row],[Strike]]),RTD("tos.rtd", , "high", "."&amp;Table1[[#This Row],[Ticker]]&amp;Table1[[#This Row],[Expiry]]&amp;""&amp;"P"&amp;Table1[[#This Row],[Spot]]+Table1[[#This Row],[step]]))</f>
        <v>31.7</v>
      </c>
      <c r="BB105">
        <f>IF(
    ISNUMBER(Table1[[#This Row],[Strike]]),RTD("tos.rtd", , "low", "."&amp;Table1[[#This Row],[Ticker]]&amp;Table1[[#This Row],[Expiry]]&amp;""&amp;"P"&amp;Table1[[#This Row],[Spot]]+Table1[[#This Row],[step]]))</f>
        <v>8.4</v>
      </c>
      <c r="BC105">
        <f>((Table1[[#This Row],[High C]]+Table1[[#This Row],[Low C]])/2)*Table1[[#This Row],[gammac]]*Table1[[#This Row],[Volume]]</f>
        <v>1264.7339999999999</v>
      </c>
      <c r="BD105">
        <f>((Table1[[#This Row],[High P]]+Table1[[#This Row],[Low P]])/2)*Table1[[#This Row],[gammap]]*Table1[[#This Row],[Volume9]]*-1</f>
        <v>-1598.787</v>
      </c>
      <c r="BE105">
        <f>(Table1[[#This Row],[SgammaC]]+Table1[[#This Row],[SgammaP]])*$A$4*-100</f>
        <v>230942530.75500008</v>
      </c>
      <c r="BF105">
        <f>Table1[[#This Row],[DEXc]]+Table1[[#This Row],[DEXp]]</f>
        <v>800427.66300000018</v>
      </c>
      <c r="BG105">
        <f>IFERROR(Table1[[#This Row],[DeltaC]]*Table1[[#This Row],[Open.Int]]*$A$4,0)</f>
        <v>3893736.9870000002</v>
      </c>
      <c r="BH105">
        <f>IFERROR(Table1[[#This Row],[DeltaP]]*Table1[[#This Row],[Open.Int8]]*$A$4,0)</f>
        <v>-3093309.324</v>
      </c>
      <c r="BI10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-1993994.0412383901</v>
      </c>
      <c r="BJ10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-2100743.7853203318</v>
      </c>
      <c r="BK105">
        <f ca="1">Table1[[#This Row],[Charmc]]+Table1[[#This Row],[Charmp]]</f>
        <v>-4094737.8265587222</v>
      </c>
      <c r="BL10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0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05" s="78">
        <f ca="1">Table1[[#This Row],[call helper]]+Table1[[#This Row],[put helper]]</f>
        <v>8005.9015332053823</v>
      </c>
      <c r="BP105">
        <f>RTD("tos.rtd", , "STRIKE", "."&amp;Table1[[#This Row],[Ticker]]&amp;Table1[[#This Row],[Expiry]]&amp;""&amp;"C"&amp;Table1[[#This Row],[Spot]]+Table1[[#This Row],[step]])</f>
        <v>6910</v>
      </c>
    </row>
    <row r="106" spans="1:77" x14ac:dyDescent="0.25">
      <c r="A106">
        <f t="shared" ca="1" si="9"/>
        <v>2.5814307458086375E-3</v>
      </c>
      <c r="C106" s="17"/>
      <c r="D106" t="b">
        <f>IF(
    ISNUMBER(Table1[[#This Row],[Strike]]),RTD("tos.rtd", , "OPEN_INT", "."&amp;Table1[[#This Row],[Ticker]]&amp;Table1[[#This Row],[Expiry]]&amp;""&amp;"C"&amp;Table1[[#This Row],[Strike]]))</f>
        <v>0</v>
      </c>
      <c r="E10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6" t="b">
        <f>IF(
    ISNUMBER(Table1[[#This Row],[Strike]]),RTD("tos.rtd", , "DELTA", "."&amp;Table1[[#This Row],[Ticker]]&amp;Table1[[#This Row],[Expiry]]&amp;""&amp;"C"&amp;Table1[[#This Row],[Strike]]))</f>
        <v>0</v>
      </c>
      <c r="H106" s="17" t="b" cm="1">
        <f t="array" ref="H106">IF(
    ISNUMBER(Table1[[#This Row],[Strike]]),IndividualLegIVCore($A$4, Table1[[#This Row],[Strike]], 0.0411, Table1[[#This Row],[T]], ((Table1[[#This Row],[BIDC]]+Table1[[#This Row],[ASKC]])/2), TRUE))</f>
        <v>0</v>
      </c>
      <c r="I106" t="b">
        <f>IF(
    ISNUMBER(Table1[[#This Row],[Strike]]),RTD("tos.rtd", , "BID", "."&amp;Table1[[#This Row],[Ticker]]&amp;Table1[[#This Row],[Expiry]]&amp;""&amp;"C"&amp;Table1[[#This Row],[Strike]]))</f>
        <v>0</v>
      </c>
      <c r="J106" t="b">
        <f>IF(
    ISNUMBER(Table1[[#This Row],[Strike]]),RTD("tos.rtd", , "ASK", "."&amp;Table1[[#This Row],[Ticker]]&amp;Table1[[#This Row],[Expiry]]&amp;""&amp;"C"&amp;Table1[[#This Row],[Strike]]))</f>
        <v>0</v>
      </c>
      <c r="K10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6" s="17" cm="1">
        <f t="array" aca="1" ref="L10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6" s="1">
        <f t="shared" si="10"/>
        <v>46045</v>
      </c>
      <c r="N106" t="b">
        <f t="shared" si="11"/>
        <v>0</v>
      </c>
      <c r="P106" s="17" t="b" cm="1">
        <f t="array" ref="P106">IF(
    ISNUMBER(Table1[[#This Row],[Strike]]),IndividualLegIVCore($A$4, Table1[[#This Row],[Strike]], 0.0411, Table1[[#This Row],[T]], ((Table1[[#This Row],[BIDP]]+Table1[[#This Row],[ASKP]])/2), FALSE))</f>
        <v>0</v>
      </c>
      <c r="Q106" t="b">
        <f>IF(
    ISNUMBER(Table1[[#This Row],[Strike]]),RTD("tos.rtd", , "BID", "."&amp;Table1[[#This Row],[Ticker]]&amp;Table1[[#This Row],[Expiry]]&amp;""&amp;"P"&amp;Table1[[#This Row],[Strike]]))</f>
        <v>0</v>
      </c>
      <c r="R106" t="b">
        <f>IF(
    ISNUMBER(Table1[[#This Row],[Strike]]),RTD("tos.rtd", , "ASK", "."&amp;Table1[[#This Row],[Ticker]]&amp;Table1[[#This Row],[Expiry]]&amp;""&amp;"P"&amp;Table1[[#This Row],[Strike]]))</f>
        <v>0</v>
      </c>
      <c r="S106" s="17"/>
      <c r="T106" t="b">
        <f>IF(
    ISNUMBER(Table1[[#This Row],[Strike]]),RTD("tos.rtd", , "OPEN_INT", "."&amp;Table1[[#This Row],[Ticker]]&amp;Table1[[#This Row],[Expiry]]&amp;""&amp;"P"&amp;Table1[[#This Row],[Strike]]))</f>
        <v>0</v>
      </c>
      <c r="U10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6" t="b">
        <f>IF(
    ISNUMBER(Table1[[#This Row],[Strike]]),RTD("tos.rtd", , "DELTA", "."&amp;Table1[[#This Row],[Ticker]]&amp;Table1[[#This Row],[Expiry]]&amp;""&amp;"P"&amp;Table1[[#This Row],[Strike]]))</f>
        <v>0</v>
      </c>
      <c r="Y106" s="19">
        <f>-2* IF($M$1="NDX", 10, IF(OR($M$1="SPX", $M$1="RUT"), 2, 1))</f>
        <v>-4</v>
      </c>
      <c r="Z106">
        <f ca="1">IFERROR(Table1[[#This Row],[call gamma]]*(Table1[[#This Row],[Open.Int]])*$A$4^2,0)</f>
        <v>0</v>
      </c>
      <c r="AA106">
        <f ca="1">IFERROR(((Table1[[#This Row],[Open.Int8]])*Table1[[#This Row],[Put gamma]])*-1*$A$4^2,0)</f>
        <v>0</v>
      </c>
      <c r="AB106">
        <f ca="1">(Table1[[#This Row],[Call Gex]]+Table1[[#This Row],[Put Gex]])</f>
        <v>0</v>
      </c>
      <c r="AC106">
        <f ca="1">Table1[[#This Row],[call delta adj]]+Table1[[#This Row],[put delta adj]]</f>
        <v>0</v>
      </c>
      <c r="AD106">
        <f ca="1">Table1[[#This Row],[Put Gex]]*Table1[[#This Row],[DeltaP]]*-1</f>
        <v>0</v>
      </c>
      <c r="AE106">
        <f ca="1">Table1[[#This Row],[Call Gex]]*Table1[[#This Row],[DeltaC]]</f>
        <v>0</v>
      </c>
      <c r="AF106">
        <f>IF(Table1[[#This Row],[DeltaC]]-ABS(Table1[[#This Row],[DeltaP]])="0","0.01",Table1[[#This Row],[DeltaC]]-ABS(Table1[[#This Row],[DeltaP]]))</f>
        <v>0</v>
      </c>
      <c r="AG106" t="e">
        <f ca="1">((LN($A$4/Table1[[#This Row],[Strike]]) + (0.411 + 0.5 * Table1[[#This Row],[IV Calc P]]^2) *Table1[[#This Row],[T]])) / (Table1[[#This Row],[IV Calc P]] * SQRT(Table1[[#This Row],[T]]))</f>
        <v>#DIV/0!</v>
      </c>
      <c r="AH106" t="e">
        <f ca="1">(LN($A$4/Table1[[#This Row],[Strike]]) + (0.411-0 + 0.5 * Table1[[#This Row],[IV Calc C]]^2) *Table1[[#This Row],[T]]) / (Table1[[#This Row],[IV Calc C]] * SQRT(Table1[[#This Row],[T]]))</f>
        <v>#DIV/0!</v>
      </c>
      <c r="AI106" t="e">
        <f ca="1">(EXP(-(AG106^2)/2)/SQRT(2*PI())*EXP(0*SQRT(Table1[[#This Row],[T]]))/$A$4*18%*SQRT(SQRT(Table1[[#This Row],[T]])))</f>
        <v>#DIV/0!</v>
      </c>
      <c r="AJ106" t="e">
        <f ca="1">(EXP(-(AH106^2)/2)/SQRT(2*PI())*EXP(0*SQRT(Table1[[#This Row],[T]]))/$A$4*18%*SQRT(SQRT(Table1[[#This Row],[T]])))</f>
        <v>#DIV/0!</v>
      </c>
      <c r="AK106" t="e">
        <f ca="1">Table1[[#This Row],[Call D1]]-Table1[[#This Row],[IV Calc C]]*SQRT(Table1[[#This Row],[T]])</f>
        <v>#DIV/0!</v>
      </c>
      <c r="AL106" t="e">
        <f ca="1">Table1[[#This Row],[Put D1]]-Table1[[#This Row],[IV Calc P]]*SQRT(Table1[[#This Row],[T]])</f>
        <v>#DIV/0!</v>
      </c>
      <c r="AM106" t="e">
        <f ca="1">EXP(-0.5*Table1[[#This Row],[Call D1]]^2)/SQRT(2*PI())</f>
        <v>#DIV/0!</v>
      </c>
      <c r="AN106" t="e">
        <f ca="1">EXP(-0.5*Table1[[#This Row],[Put D1]]^2)/SQRT(2*PI())</f>
        <v>#DIV/0!</v>
      </c>
      <c r="AO106">
        <f ca="1">IFERROR((EXP(0*Table1[[#This Row],[T]])*Table1[[#This Row],[call N(d1)]]*(Table1[[#This Row],[call d2]]/Table1[[#This Row],[IV Calc C]]))*Table1[[#This Row],[Open.Int]]*Table1[[#This Row],[DeltaC]],0)</f>
        <v>0</v>
      </c>
      <c r="AP106">
        <f ca="1">IFERROR((EXP(0*Table1[[#This Row],[T]])*Table1[[#This Row],[put N(d1)]]*(Table1[[#This Row],[put d2]]/Table1[[#This Row],[IV Calc P]]))*Table1[[#This Row],[Open.Int8]]*Table1[[#This Row],[DeltaP]]*-1,0)</f>
        <v>0</v>
      </c>
      <c r="AQ106">
        <f ca="1">((Table1[[#This Row],[call vanna]]+Table1[[#This Row],[put vanna]])*$A$4)</f>
        <v>0</v>
      </c>
      <c r="AR10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6" s="9" t="str" cm="1">
        <f t="array" ref="AT106">_xlfn.IFS(     $M$1="SPX","SPXW",     $M$1="RUT","RUTW",  $M$1="NDX","NDXP",   TRUE,$M$1 )</f>
        <v>SPXW</v>
      </c>
      <c r="AU106" s="2">
        <f t="shared" si="12"/>
        <v>6915</v>
      </c>
      <c r="AV106" t="str">
        <f t="shared" si="13"/>
        <v>260123</v>
      </c>
      <c r="AW106" s="19">
        <f ca="1">IFERROR((EXP(0*Table1[[#This Row],[T]])*Table1[[#This Row],[put N(d1)]]*(Table1[[#This Row],[put d2]]/Table1[[#This Row],[IV Calc P]]))*Table1[[#This Row],[Open.Int8]]*Table1[[#This Row],[DeltaP]]*-1,0)</f>
        <v>0</v>
      </c>
      <c r="AX106">
        <f ca="1">IFERROR((EXP(0*Table1[[#This Row],[T]])*Table1[[#This Row],[call N(d1)]]*(Table1[[#This Row],[call d2]]/Table1[[#This Row],[IV Calc C]]))*Table1[[#This Row],[Open.Int]]*Table1[[#This Row],[DeltaC]],0)</f>
        <v>0</v>
      </c>
      <c r="AY10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6">
        <f>((Table1[[#This Row],[High C]]+Table1[[#This Row],[Low C]])/2)*Table1[[#This Row],[gammac]]*Table1[[#This Row],[Volume]]</f>
        <v>0</v>
      </c>
      <c r="BD106">
        <f>((Table1[[#This Row],[High P]]+Table1[[#This Row],[Low P]])/2)*Table1[[#This Row],[gammap]]*Table1[[#This Row],[Volume9]]*-1</f>
        <v>0</v>
      </c>
      <c r="BE106">
        <f>(Table1[[#This Row],[SgammaC]]+Table1[[#This Row],[SgammaP]])*$A$4*-100</f>
        <v>0</v>
      </c>
      <c r="BF106">
        <f>Table1[[#This Row],[DEXc]]+Table1[[#This Row],[DEXp]]</f>
        <v>0</v>
      </c>
      <c r="BG106">
        <f>IFERROR(Table1[[#This Row],[DeltaC]]*Table1[[#This Row],[Open.Int]]*$A$4,0)</f>
        <v>0</v>
      </c>
      <c r="BH106">
        <f>IFERROR(Table1[[#This Row],[DeltaP]]*Table1[[#This Row],[Open.Int8]]*$A$4,0)</f>
        <v>0</v>
      </c>
      <c r="BI10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6">
        <f ca="1">Table1[[#This Row],[Charmc]]+Table1[[#This Row],[Charmp]]</f>
        <v>0</v>
      </c>
      <c r="BL10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6" s="78">
        <f ca="1">Table1[[#This Row],[call helper]]+Table1[[#This Row],[put helper]]</f>
        <v>0</v>
      </c>
      <c r="BP106" t="str">
        <f>RTD("tos.rtd", , "STRIKE", "."&amp;Table1[[#This Row],[Ticker]]&amp;Table1[[#This Row],[Expiry]]&amp;""&amp;"C"&amp;Table1[[#This Row],[Spot]]+Table1[[#This Row],[step]])</f>
        <v>N/A</v>
      </c>
    </row>
    <row r="107" spans="1:77" x14ac:dyDescent="0.25">
      <c r="A107">
        <f t="shared" ca="1" si="9"/>
        <v>2.5814307458086375E-3</v>
      </c>
      <c r="C107" s="17"/>
      <c r="D107" t="b">
        <f>IF(
    ISNUMBER(Table1[[#This Row],[Strike]]),RTD("tos.rtd", , "OPEN_INT", "."&amp;Table1[[#This Row],[Ticker]]&amp;Table1[[#This Row],[Expiry]]&amp;""&amp;"C"&amp;Table1[[#This Row],[Strike]]))</f>
        <v>0</v>
      </c>
      <c r="E10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7" t="b">
        <f>IF(
    ISNUMBER(Table1[[#This Row],[Strike]]),RTD("tos.rtd", , "DELTA", "."&amp;Table1[[#This Row],[Ticker]]&amp;Table1[[#This Row],[Expiry]]&amp;""&amp;"C"&amp;Table1[[#This Row],[Strike]]))</f>
        <v>0</v>
      </c>
      <c r="H107" s="17" t="b" cm="1">
        <f t="array" ref="H107">IF(
    ISNUMBER(Table1[[#This Row],[Strike]]),IndividualLegIVCore($A$4, Table1[[#This Row],[Strike]], 0.0411, Table1[[#This Row],[T]], ((Table1[[#This Row],[BIDC]]+Table1[[#This Row],[ASKC]])/2), TRUE))</f>
        <v>0</v>
      </c>
      <c r="I107" t="b">
        <f>IF(
    ISNUMBER(Table1[[#This Row],[Strike]]),RTD("tos.rtd", , "BID", "."&amp;Table1[[#This Row],[Ticker]]&amp;Table1[[#This Row],[Expiry]]&amp;""&amp;"C"&amp;Table1[[#This Row],[Strike]]))</f>
        <v>0</v>
      </c>
      <c r="J107" t="b">
        <f>IF(
    ISNUMBER(Table1[[#This Row],[Strike]]),RTD("tos.rtd", , "ASK", "."&amp;Table1[[#This Row],[Ticker]]&amp;Table1[[#This Row],[Expiry]]&amp;""&amp;"C"&amp;Table1[[#This Row],[Strike]]))</f>
        <v>0</v>
      </c>
      <c r="K10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7" s="17" cm="1">
        <f t="array" aca="1" ref="L10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7" s="1">
        <f t="shared" si="10"/>
        <v>46045</v>
      </c>
      <c r="N107" t="b">
        <f t="shared" si="11"/>
        <v>0</v>
      </c>
      <c r="P107" s="17" t="b" cm="1">
        <f t="array" ref="P107">IF(
    ISNUMBER(Table1[[#This Row],[Strike]]),IndividualLegIVCore($A$4, Table1[[#This Row],[Strike]], 0.0411, Table1[[#This Row],[T]], ((Table1[[#This Row],[BIDP]]+Table1[[#This Row],[ASKP]])/2), FALSE))</f>
        <v>0</v>
      </c>
      <c r="Q107" t="b">
        <f>IF(
    ISNUMBER(Table1[[#This Row],[Strike]]),RTD("tos.rtd", , "BID", "."&amp;Table1[[#This Row],[Ticker]]&amp;Table1[[#This Row],[Expiry]]&amp;""&amp;"P"&amp;Table1[[#This Row],[Strike]]))</f>
        <v>0</v>
      </c>
      <c r="R107" t="b">
        <f>IF(
    ISNUMBER(Table1[[#This Row],[Strike]]),RTD("tos.rtd", , "ASK", "."&amp;Table1[[#This Row],[Ticker]]&amp;Table1[[#This Row],[Expiry]]&amp;""&amp;"P"&amp;Table1[[#This Row],[Strike]]))</f>
        <v>0</v>
      </c>
      <c r="S107" s="17"/>
      <c r="T107" t="b">
        <f>IF(
    ISNUMBER(Table1[[#This Row],[Strike]]),RTD("tos.rtd", , "OPEN_INT", "."&amp;Table1[[#This Row],[Ticker]]&amp;Table1[[#This Row],[Expiry]]&amp;""&amp;"P"&amp;Table1[[#This Row],[Strike]]))</f>
        <v>0</v>
      </c>
      <c r="U10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7" t="b">
        <f>IF(
    ISNUMBER(Table1[[#This Row],[Strike]]),RTD("tos.rtd", , "DELTA", "."&amp;Table1[[#This Row],[Ticker]]&amp;Table1[[#This Row],[Expiry]]&amp;""&amp;"P"&amp;Table1[[#This Row],[Strike]]))</f>
        <v>0</v>
      </c>
      <c r="Y107" s="19">
        <f>-1.5* IF($M$1="NDX", 10, IF(OR($M$1="SPX", $M$1="RUT"), 2, 1))</f>
        <v>-3</v>
      </c>
      <c r="Z107">
        <f ca="1">IFERROR(Table1[[#This Row],[call gamma]]*(Table1[[#This Row],[Open.Int]])*$A$4^2,0)</f>
        <v>0</v>
      </c>
      <c r="AA107">
        <f ca="1">IFERROR(((Table1[[#This Row],[Open.Int8]])*Table1[[#This Row],[Put gamma]])*-1*$A$4^2,0)</f>
        <v>0</v>
      </c>
      <c r="AB107">
        <f ca="1">(Table1[[#This Row],[Call Gex]]+Table1[[#This Row],[Put Gex]])</f>
        <v>0</v>
      </c>
      <c r="AC107">
        <f ca="1">Table1[[#This Row],[call delta adj]]+Table1[[#This Row],[put delta adj]]</f>
        <v>0</v>
      </c>
      <c r="AD107">
        <f ca="1">Table1[[#This Row],[Put Gex]]*Table1[[#This Row],[DeltaP]]*-1</f>
        <v>0</v>
      </c>
      <c r="AE107">
        <f ca="1">Table1[[#This Row],[Call Gex]]*Table1[[#This Row],[DeltaC]]</f>
        <v>0</v>
      </c>
      <c r="AF107">
        <f>IF(Table1[[#This Row],[DeltaC]]-ABS(Table1[[#This Row],[DeltaP]])="0","0.01",Table1[[#This Row],[DeltaC]]-ABS(Table1[[#This Row],[DeltaP]]))</f>
        <v>0</v>
      </c>
      <c r="AG107" t="e">
        <f ca="1">((LN($A$4/Table1[[#This Row],[Strike]]) + (0.411 + 0.5 * Table1[[#This Row],[IV Calc P]]^2) *Table1[[#This Row],[T]])) / (Table1[[#This Row],[IV Calc P]] * SQRT(Table1[[#This Row],[T]]))</f>
        <v>#DIV/0!</v>
      </c>
      <c r="AH107" t="e">
        <f ca="1">(LN($A$4/Table1[[#This Row],[Strike]]) + (0.411-0 + 0.5 * Table1[[#This Row],[IV Calc C]]^2) *Table1[[#This Row],[T]]) / (Table1[[#This Row],[IV Calc C]] * SQRT(Table1[[#This Row],[T]]))</f>
        <v>#DIV/0!</v>
      </c>
      <c r="AI107" t="e">
        <f ca="1">(EXP(-(AG107^2)/2)/SQRT(2*PI())*EXP(0*SQRT(Table1[[#This Row],[T]]))/$A$4*18%*SQRT(SQRT(Table1[[#This Row],[T]])))</f>
        <v>#DIV/0!</v>
      </c>
      <c r="AJ107" t="e">
        <f ca="1">(EXP(-(AH107^2)/2)/SQRT(2*PI())*EXP(0*SQRT(Table1[[#This Row],[T]]))/$A$4*18%*SQRT(SQRT(Table1[[#This Row],[T]])))</f>
        <v>#DIV/0!</v>
      </c>
      <c r="AK107" t="e">
        <f ca="1">Table1[[#This Row],[Call D1]]-Table1[[#This Row],[IV Calc C]]*SQRT(Table1[[#This Row],[T]])</f>
        <v>#DIV/0!</v>
      </c>
      <c r="AL107" t="e">
        <f ca="1">Table1[[#This Row],[Put D1]]-Table1[[#This Row],[IV Calc P]]*SQRT(Table1[[#This Row],[T]])</f>
        <v>#DIV/0!</v>
      </c>
      <c r="AM107" t="e">
        <f ca="1">EXP(-0.5*Table1[[#This Row],[Call D1]]^2)/SQRT(2*PI())</f>
        <v>#DIV/0!</v>
      </c>
      <c r="AN107" t="e">
        <f ca="1">EXP(-0.5*Table1[[#This Row],[Put D1]]^2)/SQRT(2*PI())</f>
        <v>#DIV/0!</v>
      </c>
      <c r="AO107">
        <f ca="1">IFERROR((EXP(0*Table1[[#This Row],[T]])*Table1[[#This Row],[call N(d1)]]*(Table1[[#This Row],[call d2]]/Table1[[#This Row],[IV Calc C]]))*Table1[[#This Row],[Open.Int]]*Table1[[#This Row],[DeltaC]],0)</f>
        <v>0</v>
      </c>
      <c r="AP107">
        <f ca="1">IFERROR((EXP(0*Table1[[#This Row],[T]])*Table1[[#This Row],[put N(d1)]]*(Table1[[#This Row],[put d2]]/Table1[[#This Row],[IV Calc P]]))*Table1[[#This Row],[Open.Int8]]*Table1[[#This Row],[DeltaP]]*-1,0)</f>
        <v>0</v>
      </c>
      <c r="AQ107">
        <f ca="1">((Table1[[#This Row],[call vanna]]+Table1[[#This Row],[put vanna]])*$A$4)</f>
        <v>0</v>
      </c>
      <c r="AR10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7" s="9" t="str" cm="1">
        <f t="array" ref="AT107">_xlfn.IFS(     $M$1="SPX","SPXW",     $M$1="RUT","RUTW",  $M$1="NDX","NDXP",   TRUE,$M$1 )</f>
        <v>SPXW</v>
      </c>
      <c r="AU107" s="2">
        <f t="shared" si="12"/>
        <v>6915</v>
      </c>
      <c r="AV107" t="str">
        <f t="shared" si="13"/>
        <v>260123</v>
      </c>
      <c r="AW107" s="19">
        <f ca="1">IFERROR((EXP(0*Table1[[#This Row],[T]])*Table1[[#This Row],[put N(d1)]]*(Table1[[#This Row],[put d2]]/Table1[[#This Row],[IV Calc P]]))*Table1[[#This Row],[Open.Int8]]*Table1[[#This Row],[DeltaP]]*-1,0)</f>
        <v>0</v>
      </c>
      <c r="AX107">
        <f ca="1">IFERROR((EXP(0*Table1[[#This Row],[T]])*Table1[[#This Row],[call N(d1)]]*(Table1[[#This Row],[call d2]]/Table1[[#This Row],[IV Calc C]]))*Table1[[#This Row],[Open.Int]]*Table1[[#This Row],[DeltaC]],0)</f>
        <v>0</v>
      </c>
      <c r="AY10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7">
        <f>((Table1[[#This Row],[High C]]+Table1[[#This Row],[Low C]])/2)*Table1[[#This Row],[gammac]]*Table1[[#This Row],[Volume]]</f>
        <v>0</v>
      </c>
      <c r="BD107">
        <f>((Table1[[#This Row],[High P]]+Table1[[#This Row],[Low P]])/2)*Table1[[#This Row],[gammap]]*Table1[[#This Row],[Volume9]]*-1</f>
        <v>0</v>
      </c>
      <c r="BE107">
        <f>(Table1[[#This Row],[SgammaC]]+Table1[[#This Row],[SgammaP]])*$A$4*-100</f>
        <v>0</v>
      </c>
      <c r="BF107">
        <f>Table1[[#This Row],[DEXc]]+Table1[[#This Row],[DEXp]]</f>
        <v>0</v>
      </c>
      <c r="BG107">
        <f>IFERROR(Table1[[#This Row],[DeltaC]]*Table1[[#This Row],[Open.Int]]*$A$4,0)</f>
        <v>0</v>
      </c>
      <c r="BH107">
        <f>IFERROR(Table1[[#This Row],[DeltaP]]*Table1[[#This Row],[Open.Int8]]*$A$4,0)</f>
        <v>0</v>
      </c>
      <c r="BI10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7">
        <f ca="1">Table1[[#This Row],[Charmc]]+Table1[[#This Row],[Charmp]]</f>
        <v>0</v>
      </c>
      <c r="BL10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7" s="78">
        <f ca="1">Table1[[#This Row],[call helper]]+Table1[[#This Row],[put helper]]</f>
        <v>0</v>
      </c>
      <c r="BP107" t="str">
        <f>RTD("tos.rtd", , "STRIKE", "."&amp;Table1[[#This Row],[Ticker]]&amp;Table1[[#This Row],[Expiry]]&amp;""&amp;"C"&amp;Table1[[#This Row],[Spot]]+Table1[[#This Row],[step]])</f>
        <v>N/A</v>
      </c>
    </row>
    <row r="108" spans="1:77" x14ac:dyDescent="0.25">
      <c r="A108">
        <f t="shared" ca="1" si="9"/>
        <v>2.5814307458086375E-3</v>
      </c>
      <c r="C108" s="17"/>
      <c r="D108" t="b">
        <f>IF(
    ISNUMBER(Table1[[#This Row],[Strike]]),RTD("tos.rtd", , "OPEN_INT", "."&amp;Table1[[#This Row],[Ticker]]&amp;Table1[[#This Row],[Expiry]]&amp;""&amp;"C"&amp;Table1[[#This Row],[Strike]]))</f>
        <v>0</v>
      </c>
      <c r="E10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8" t="b">
        <f>IF(
    ISNUMBER(Table1[[#This Row],[Strike]]),RTD("tos.rtd", , "DELTA", "."&amp;Table1[[#This Row],[Ticker]]&amp;Table1[[#This Row],[Expiry]]&amp;""&amp;"C"&amp;Table1[[#This Row],[Strike]]))</f>
        <v>0</v>
      </c>
      <c r="H108" s="17" t="b" cm="1">
        <f t="array" ref="H108">IF(
    ISNUMBER(Table1[[#This Row],[Strike]]),IndividualLegIVCore($A$4, Table1[[#This Row],[Strike]], 0.0411, Table1[[#This Row],[T]], ((Table1[[#This Row],[BIDC]]+Table1[[#This Row],[ASKC]])/2), TRUE))</f>
        <v>0</v>
      </c>
      <c r="I108" t="b">
        <f>IF(
    ISNUMBER(Table1[[#This Row],[Strike]]),RTD("tos.rtd", , "BID", "."&amp;Table1[[#This Row],[Ticker]]&amp;Table1[[#This Row],[Expiry]]&amp;""&amp;"C"&amp;Table1[[#This Row],[Strike]]))</f>
        <v>0</v>
      </c>
      <c r="J108" t="b">
        <f>IF(
    ISNUMBER(Table1[[#This Row],[Strike]]),RTD("tos.rtd", , "ASK", "."&amp;Table1[[#This Row],[Ticker]]&amp;Table1[[#This Row],[Expiry]]&amp;""&amp;"C"&amp;Table1[[#This Row],[Strike]]))</f>
        <v>0</v>
      </c>
      <c r="K10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8" s="17" cm="1">
        <f t="array" aca="1" ref="L10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8" s="1">
        <f t="shared" si="10"/>
        <v>46045</v>
      </c>
      <c r="N108" t="b">
        <f t="shared" si="11"/>
        <v>0</v>
      </c>
      <c r="P108" s="17" t="b" cm="1">
        <f t="array" ref="P108">IF(
    ISNUMBER(Table1[[#This Row],[Strike]]),IndividualLegIVCore($A$4, Table1[[#This Row],[Strike]], 0.0411, Table1[[#This Row],[T]], ((Table1[[#This Row],[BIDP]]+Table1[[#This Row],[ASKP]])/2), FALSE))</f>
        <v>0</v>
      </c>
      <c r="Q108" t="b">
        <f>IF(
    ISNUMBER(Table1[[#This Row],[Strike]]),RTD("tos.rtd", , "BID", "."&amp;Table1[[#This Row],[Ticker]]&amp;Table1[[#This Row],[Expiry]]&amp;""&amp;"P"&amp;Table1[[#This Row],[Strike]]))</f>
        <v>0</v>
      </c>
      <c r="R108" t="b">
        <f>IF(
    ISNUMBER(Table1[[#This Row],[Strike]]),RTD("tos.rtd", , "ASK", "."&amp;Table1[[#This Row],[Ticker]]&amp;Table1[[#This Row],[Expiry]]&amp;""&amp;"P"&amp;Table1[[#This Row],[Strike]]))</f>
        <v>0</v>
      </c>
      <c r="S108" s="17"/>
      <c r="T108" t="b">
        <f>IF(
    ISNUMBER(Table1[[#This Row],[Strike]]),RTD("tos.rtd", , "OPEN_INT", "."&amp;Table1[[#This Row],[Ticker]]&amp;Table1[[#This Row],[Expiry]]&amp;""&amp;"P"&amp;Table1[[#This Row],[Strike]]))</f>
        <v>0</v>
      </c>
      <c r="U10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8" t="b">
        <f>IF(
    ISNUMBER(Table1[[#This Row],[Strike]]),RTD("tos.rtd", , "DELTA", "."&amp;Table1[[#This Row],[Ticker]]&amp;Table1[[#This Row],[Expiry]]&amp;""&amp;"P"&amp;Table1[[#This Row],[Strike]]))</f>
        <v>0</v>
      </c>
      <c r="Y108" s="19">
        <f>-1* IF($M$1="NDX", 10, IF(OR($M$1="SPX", $M$1="RUT"), 2, 1))</f>
        <v>-2</v>
      </c>
      <c r="Z108">
        <f ca="1">IFERROR(Table1[[#This Row],[call gamma]]*(Table1[[#This Row],[Open.Int]])*$A$4^2,0)</f>
        <v>0</v>
      </c>
      <c r="AA108">
        <f ca="1">IFERROR(((Table1[[#This Row],[Open.Int8]])*Table1[[#This Row],[Put gamma]])*-1*$A$4^2,0)</f>
        <v>0</v>
      </c>
      <c r="AB108">
        <f ca="1">(Table1[[#This Row],[Call Gex]]+Table1[[#This Row],[Put Gex]])</f>
        <v>0</v>
      </c>
      <c r="AC108">
        <f ca="1">Table1[[#This Row],[call delta adj]]+Table1[[#This Row],[put delta adj]]</f>
        <v>0</v>
      </c>
      <c r="AD108">
        <f ca="1">Table1[[#This Row],[Put Gex]]*Table1[[#This Row],[DeltaP]]*-1</f>
        <v>0</v>
      </c>
      <c r="AE108">
        <f ca="1">Table1[[#This Row],[Call Gex]]*Table1[[#This Row],[DeltaC]]</f>
        <v>0</v>
      </c>
      <c r="AF108">
        <f>IF(Table1[[#This Row],[DeltaC]]-ABS(Table1[[#This Row],[DeltaP]])="0","0.01",Table1[[#This Row],[DeltaC]]-ABS(Table1[[#This Row],[DeltaP]]))</f>
        <v>0</v>
      </c>
      <c r="AG108" t="e">
        <f ca="1">((LN($A$4/Table1[[#This Row],[Strike]]) + (0.411 + 0.5 * Table1[[#This Row],[IV Calc P]]^2) *Table1[[#This Row],[T]])) / (Table1[[#This Row],[IV Calc P]] * SQRT(Table1[[#This Row],[T]]))</f>
        <v>#DIV/0!</v>
      </c>
      <c r="AH108" t="e">
        <f ca="1">(LN($A$4/Table1[[#This Row],[Strike]]) + (0.411-0 + 0.5 * Table1[[#This Row],[IV Calc C]]^2) *Table1[[#This Row],[T]]) / (Table1[[#This Row],[IV Calc C]] * SQRT(Table1[[#This Row],[T]]))</f>
        <v>#DIV/0!</v>
      </c>
      <c r="AI108" t="e">
        <f ca="1">(EXP(-(AG108^2)/2)/SQRT(2*PI())*EXP(0*SQRT(Table1[[#This Row],[T]]))/$A$4*18%*SQRT(SQRT(Table1[[#This Row],[T]])))</f>
        <v>#DIV/0!</v>
      </c>
      <c r="AJ108" t="e">
        <f ca="1">(EXP(-(AH108^2)/2)/SQRT(2*PI())*EXP(0*SQRT(Table1[[#This Row],[T]]))/$A$4*18%*SQRT(SQRT(Table1[[#This Row],[T]])))</f>
        <v>#DIV/0!</v>
      </c>
      <c r="AK108" t="e">
        <f ca="1">Table1[[#This Row],[Call D1]]-Table1[[#This Row],[IV Calc C]]*SQRT(Table1[[#This Row],[T]])</f>
        <v>#DIV/0!</v>
      </c>
      <c r="AL108" t="e">
        <f ca="1">Table1[[#This Row],[Put D1]]-Table1[[#This Row],[IV Calc P]]*SQRT(Table1[[#This Row],[T]])</f>
        <v>#DIV/0!</v>
      </c>
      <c r="AM108" t="e">
        <f ca="1">EXP(-0.5*Table1[[#This Row],[Call D1]]^2)/SQRT(2*PI())</f>
        <v>#DIV/0!</v>
      </c>
      <c r="AN108" t="e">
        <f ca="1">EXP(-0.5*Table1[[#This Row],[Put D1]]^2)/SQRT(2*PI())</f>
        <v>#DIV/0!</v>
      </c>
      <c r="AO108">
        <f ca="1">IFERROR((EXP(0*Table1[[#This Row],[T]])*Table1[[#This Row],[call N(d1)]]*(Table1[[#This Row],[call d2]]/Table1[[#This Row],[IV Calc C]]))*Table1[[#This Row],[Open.Int]]*Table1[[#This Row],[DeltaC]],0)</f>
        <v>0</v>
      </c>
      <c r="AP108">
        <f ca="1">IFERROR((EXP(0*Table1[[#This Row],[T]])*Table1[[#This Row],[put N(d1)]]*(Table1[[#This Row],[put d2]]/Table1[[#This Row],[IV Calc P]]))*Table1[[#This Row],[Open.Int8]]*Table1[[#This Row],[DeltaP]]*-1,0)</f>
        <v>0</v>
      </c>
      <c r="AQ108">
        <f ca="1">((Table1[[#This Row],[call vanna]]+Table1[[#This Row],[put vanna]])*$A$4)</f>
        <v>0</v>
      </c>
      <c r="AR10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8" s="9" t="str" cm="1">
        <f t="array" ref="AT108">_xlfn.IFS(     $M$1="SPX","SPXW",     $M$1="RUT","RUTW",  $M$1="NDX","NDXP",   TRUE,$M$1 )</f>
        <v>SPXW</v>
      </c>
      <c r="AU108" s="2">
        <f t="shared" si="12"/>
        <v>6915</v>
      </c>
      <c r="AV108" t="str">
        <f t="shared" si="13"/>
        <v>260123</v>
      </c>
      <c r="AW108" s="19">
        <f ca="1">IFERROR((EXP(0*Table1[[#This Row],[T]])*Table1[[#This Row],[put N(d1)]]*(Table1[[#This Row],[put d2]]/Table1[[#This Row],[IV Calc P]]))*Table1[[#This Row],[Open.Int8]]*Table1[[#This Row],[DeltaP]]*-1,0)</f>
        <v>0</v>
      </c>
      <c r="AX108">
        <f ca="1">IFERROR((EXP(0*Table1[[#This Row],[T]])*Table1[[#This Row],[call N(d1)]]*(Table1[[#This Row],[call d2]]/Table1[[#This Row],[IV Calc C]]))*Table1[[#This Row],[Open.Int]]*Table1[[#This Row],[DeltaC]],0)</f>
        <v>0</v>
      </c>
      <c r="AY10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8">
        <f>((Table1[[#This Row],[High C]]+Table1[[#This Row],[Low C]])/2)*Table1[[#This Row],[gammac]]*Table1[[#This Row],[Volume]]</f>
        <v>0</v>
      </c>
      <c r="BD108">
        <f>((Table1[[#This Row],[High P]]+Table1[[#This Row],[Low P]])/2)*Table1[[#This Row],[gammap]]*Table1[[#This Row],[Volume9]]*-1</f>
        <v>0</v>
      </c>
      <c r="BE108">
        <f>(Table1[[#This Row],[SgammaC]]+Table1[[#This Row],[SgammaP]])*$A$4*-100</f>
        <v>0</v>
      </c>
      <c r="BF108">
        <f>Table1[[#This Row],[DEXc]]+Table1[[#This Row],[DEXp]]</f>
        <v>0</v>
      </c>
      <c r="BG108">
        <f>IFERROR(Table1[[#This Row],[DeltaC]]*Table1[[#This Row],[Open.Int]]*$A$4,0)</f>
        <v>0</v>
      </c>
      <c r="BH108">
        <f>IFERROR(Table1[[#This Row],[DeltaP]]*Table1[[#This Row],[Open.Int8]]*$A$4,0)</f>
        <v>0</v>
      </c>
      <c r="BI10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8">
        <f ca="1">Table1[[#This Row],[Charmc]]+Table1[[#This Row],[Charmp]]</f>
        <v>0</v>
      </c>
      <c r="BL10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8" s="78">
        <f ca="1">Table1[[#This Row],[call helper]]+Table1[[#This Row],[put helper]]</f>
        <v>0</v>
      </c>
      <c r="BP108" t="str">
        <f>RTD("tos.rtd", , "STRIKE", "."&amp;Table1[[#This Row],[Ticker]]&amp;Table1[[#This Row],[Expiry]]&amp;""&amp;"C"&amp;Table1[[#This Row],[Spot]]+Table1[[#This Row],[step]])</f>
        <v>N/A</v>
      </c>
    </row>
    <row r="109" spans="1:77" ht="15.75" thickBot="1" x14ac:dyDescent="0.3">
      <c r="A109">
        <f t="shared" ca="1" si="9"/>
        <v>2.5814307458086375E-3</v>
      </c>
      <c r="C109" s="17"/>
      <c r="D109" t="b">
        <f>IF(
    ISNUMBER(Table1[[#This Row],[Strike]]),RTD("tos.rtd", , "OPEN_INT", "."&amp;Table1[[#This Row],[Ticker]]&amp;Table1[[#This Row],[Expiry]]&amp;""&amp;"C"&amp;Table1[[#This Row],[Strike]]))</f>
        <v>0</v>
      </c>
      <c r="E10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9" t="b">
        <f>IF(
    ISNUMBER(Table1[[#This Row],[Strike]]),RTD("tos.rtd", , "DELTA", "."&amp;Table1[[#This Row],[Ticker]]&amp;Table1[[#This Row],[Expiry]]&amp;""&amp;"C"&amp;Table1[[#This Row],[Strike]]))</f>
        <v>0</v>
      </c>
      <c r="H109" s="17" t="b" cm="1">
        <f t="array" ref="H109">IF(
    ISNUMBER(Table1[[#This Row],[Strike]]),IndividualLegIVCore($A$4, Table1[[#This Row],[Strike]], 0.0411, Table1[[#This Row],[T]], ((Table1[[#This Row],[BIDC]]+Table1[[#This Row],[ASKC]])/2), TRUE))</f>
        <v>0</v>
      </c>
      <c r="I109" t="b">
        <f>IF(
    ISNUMBER(Table1[[#This Row],[Strike]]),RTD("tos.rtd", , "BID", "."&amp;Table1[[#This Row],[Ticker]]&amp;Table1[[#This Row],[Expiry]]&amp;""&amp;"C"&amp;Table1[[#This Row],[Strike]]))</f>
        <v>0</v>
      </c>
      <c r="J109" t="b">
        <f>IF(
    ISNUMBER(Table1[[#This Row],[Strike]]),RTD("tos.rtd", , "ASK", "."&amp;Table1[[#This Row],[Ticker]]&amp;Table1[[#This Row],[Expiry]]&amp;""&amp;"C"&amp;Table1[[#This Row],[Strike]]))</f>
        <v>0</v>
      </c>
      <c r="K10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9" s="17" cm="1">
        <f t="array" aca="1" ref="L10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9" s="1">
        <f t="shared" si="10"/>
        <v>46045</v>
      </c>
      <c r="N109" t="b">
        <f t="shared" si="11"/>
        <v>0</v>
      </c>
      <c r="P109" s="17" t="b" cm="1">
        <f t="array" ref="P109">IF(
    ISNUMBER(Table1[[#This Row],[Strike]]),IndividualLegIVCore($A$4, Table1[[#This Row],[Strike]], 0.0411, Table1[[#This Row],[T]], ((Table1[[#This Row],[BIDP]]+Table1[[#This Row],[ASKP]])/2), FALSE))</f>
        <v>0</v>
      </c>
      <c r="Q109" t="b">
        <f>IF(
    ISNUMBER(Table1[[#This Row],[Strike]]),RTD("tos.rtd", , "BID", "."&amp;Table1[[#This Row],[Ticker]]&amp;Table1[[#This Row],[Expiry]]&amp;""&amp;"P"&amp;Table1[[#This Row],[Strike]]))</f>
        <v>0</v>
      </c>
      <c r="R109" t="b">
        <f>IF(
    ISNUMBER(Table1[[#This Row],[Strike]]),RTD("tos.rtd", , "ASK", "."&amp;Table1[[#This Row],[Ticker]]&amp;Table1[[#This Row],[Expiry]]&amp;""&amp;"P"&amp;Table1[[#This Row],[Strike]]))</f>
        <v>0</v>
      </c>
      <c r="S109" s="17"/>
      <c r="T109" t="b">
        <f>IF(
    ISNUMBER(Table1[[#This Row],[Strike]]),RTD("tos.rtd", , "OPEN_INT", "."&amp;Table1[[#This Row],[Ticker]]&amp;Table1[[#This Row],[Expiry]]&amp;""&amp;"P"&amp;Table1[[#This Row],[Strike]]))</f>
        <v>0</v>
      </c>
      <c r="U10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9" t="b">
        <f>IF(
    ISNUMBER(Table1[[#This Row],[Strike]]),RTD("tos.rtd", , "DELTA", "."&amp;Table1[[#This Row],[Ticker]]&amp;Table1[[#This Row],[Expiry]]&amp;""&amp;"P"&amp;Table1[[#This Row],[Strike]]))</f>
        <v>0</v>
      </c>
      <c r="Y109" s="19">
        <f>-0.5* IF($M$1="NDX", 10, IF(OR($M$1="SPX", $M$1="RUT"), 2, 1))</f>
        <v>-1</v>
      </c>
      <c r="Z109">
        <f ca="1">IFERROR(Table1[[#This Row],[call gamma]]*(Table1[[#This Row],[Open.Int]])*$A$4^2,0)</f>
        <v>0</v>
      </c>
      <c r="AA109">
        <f ca="1">IFERROR(((Table1[[#This Row],[Open.Int8]])*Table1[[#This Row],[Put gamma]])*-1*$A$4^2,0)</f>
        <v>0</v>
      </c>
      <c r="AB109">
        <f ca="1">(Table1[[#This Row],[Call Gex]]+Table1[[#This Row],[Put Gex]])</f>
        <v>0</v>
      </c>
      <c r="AC109">
        <f ca="1">Table1[[#This Row],[call delta adj]]+Table1[[#This Row],[put delta adj]]</f>
        <v>0</v>
      </c>
      <c r="AD109">
        <f ca="1">Table1[[#This Row],[Put Gex]]*Table1[[#This Row],[DeltaP]]*-1</f>
        <v>0</v>
      </c>
      <c r="AE109">
        <f ca="1">Table1[[#This Row],[Call Gex]]*Table1[[#This Row],[DeltaC]]</f>
        <v>0</v>
      </c>
      <c r="AF109">
        <f>IF(Table1[[#This Row],[DeltaC]]-ABS(Table1[[#This Row],[DeltaP]])="0","0.01",Table1[[#This Row],[DeltaC]]-ABS(Table1[[#This Row],[DeltaP]]))</f>
        <v>0</v>
      </c>
      <c r="AG109" t="e">
        <f ca="1">((LN($A$4/Table1[[#This Row],[Strike]]) + (0.411 + 0.5 * Table1[[#This Row],[IV Calc P]]^2) *Table1[[#This Row],[T]])) / (Table1[[#This Row],[IV Calc P]] * SQRT(Table1[[#This Row],[T]]))</f>
        <v>#DIV/0!</v>
      </c>
      <c r="AH109" t="e">
        <f ca="1">(LN($A$4/Table1[[#This Row],[Strike]]) + (0.411-0 + 0.5 * Table1[[#This Row],[IV Calc C]]^2) *Table1[[#This Row],[T]]) / (Table1[[#This Row],[IV Calc C]] * SQRT(Table1[[#This Row],[T]]))</f>
        <v>#DIV/0!</v>
      </c>
      <c r="AI109" t="e">
        <f ca="1">(EXP(-(AG109^2)/2)/SQRT(2*PI())*EXP(0*SQRT(Table1[[#This Row],[T]]))/$A$4*18%*SQRT(SQRT(Table1[[#This Row],[T]])))</f>
        <v>#DIV/0!</v>
      </c>
      <c r="AJ109" t="e">
        <f ca="1">(EXP(-(AH109^2)/2)/SQRT(2*PI())*EXP(0*SQRT(Table1[[#This Row],[T]]))/$A$4*18%*SQRT(SQRT(Table1[[#This Row],[T]])))</f>
        <v>#DIV/0!</v>
      </c>
      <c r="AK109" t="e">
        <f ca="1">Table1[[#This Row],[Call D1]]-Table1[[#This Row],[IV Calc C]]*SQRT(Table1[[#This Row],[T]])</f>
        <v>#DIV/0!</v>
      </c>
      <c r="AL109" t="e">
        <f ca="1">Table1[[#This Row],[Put D1]]-Table1[[#This Row],[IV Calc P]]*SQRT(Table1[[#This Row],[T]])</f>
        <v>#DIV/0!</v>
      </c>
      <c r="AM109" t="e">
        <f ca="1">EXP(-0.5*Table1[[#This Row],[Call D1]]^2)/SQRT(2*PI())</f>
        <v>#DIV/0!</v>
      </c>
      <c r="AN109" t="e">
        <f ca="1">EXP(-0.5*Table1[[#This Row],[Put D1]]^2)/SQRT(2*PI())</f>
        <v>#DIV/0!</v>
      </c>
      <c r="AO109">
        <f ca="1">IFERROR((EXP(0*Table1[[#This Row],[T]])*Table1[[#This Row],[call N(d1)]]*(Table1[[#This Row],[call d2]]/Table1[[#This Row],[IV Calc C]]))*Table1[[#This Row],[Open.Int]]*Table1[[#This Row],[DeltaC]],0)</f>
        <v>0</v>
      </c>
      <c r="AP109">
        <f ca="1">IFERROR((EXP(0*Table1[[#This Row],[T]])*Table1[[#This Row],[put N(d1)]]*(Table1[[#This Row],[put d2]]/Table1[[#This Row],[IV Calc P]]))*Table1[[#This Row],[Open.Int8]]*Table1[[#This Row],[DeltaP]]*-1,0)</f>
        <v>0</v>
      </c>
      <c r="AQ109">
        <f ca="1">((Table1[[#This Row],[call vanna]]+Table1[[#This Row],[put vanna]])*$A$4)</f>
        <v>0</v>
      </c>
      <c r="AR10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9" s="9" t="str" cm="1">
        <f t="array" ref="AT109">_xlfn.IFS(     $M$1="SPX","SPXW",     $M$1="RUT","RUTW",  $M$1="NDX","NDXP",   TRUE,$M$1 )</f>
        <v>SPXW</v>
      </c>
      <c r="AU109" s="2">
        <f t="shared" si="12"/>
        <v>6915</v>
      </c>
      <c r="AV109" t="str">
        <f t="shared" si="13"/>
        <v>260123</v>
      </c>
      <c r="AW109" s="19">
        <f ca="1">IFERROR((EXP(0*Table1[[#This Row],[T]])*Table1[[#This Row],[put N(d1)]]*(Table1[[#This Row],[put d2]]/Table1[[#This Row],[IV Calc P]]))*Table1[[#This Row],[Open.Int8]]*Table1[[#This Row],[DeltaP]]*-1,0)</f>
        <v>0</v>
      </c>
      <c r="AX109">
        <f ca="1">IFERROR((EXP(0*Table1[[#This Row],[T]])*Table1[[#This Row],[call N(d1)]]*(Table1[[#This Row],[call d2]]/Table1[[#This Row],[IV Calc C]]))*Table1[[#This Row],[Open.Int]]*Table1[[#This Row],[DeltaC]],0)</f>
        <v>0</v>
      </c>
      <c r="AY10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9">
        <f>((Table1[[#This Row],[High C]]+Table1[[#This Row],[Low C]])/2)*Table1[[#This Row],[gammac]]*Table1[[#This Row],[Volume]]</f>
        <v>0</v>
      </c>
      <c r="BD109">
        <f>((Table1[[#This Row],[High P]]+Table1[[#This Row],[Low P]])/2)*Table1[[#This Row],[gammap]]*Table1[[#This Row],[Volume9]]*-1</f>
        <v>0</v>
      </c>
      <c r="BE109">
        <f>(Table1[[#This Row],[SgammaC]]+Table1[[#This Row],[SgammaP]])*$A$4*-100</f>
        <v>0</v>
      </c>
      <c r="BF109">
        <f>Table1[[#This Row],[DEXc]]+Table1[[#This Row],[DEXp]]</f>
        <v>0</v>
      </c>
      <c r="BG109">
        <f>IFERROR(Table1[[#This Row],[DeltaC]]*Table1[[#This Row],[Open.Int]]*$A$4,0)</f>
        <v>0</v>
      </c>
      <c r="BH109">
        <f>IFERROR(Table1[[#This Row],[DeltaP]]*Table1[[#This Row],[Open.Int8]]*$A$4,0)</f>
        <v>0</v>
      </c>
      <c r="BI10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9">
        <f ca="1">Table1[[#This Row],[Charmc]]+Table1[[#This Row],[Charmp]]</f>
        <v>0</v>
      </c>
      <c r="BL10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9" s="78">
        <f ca="1">Table1[[#This Row],[call helper]]+Table1[[#This Row],[put helper]]</f>
        <v>0</v>
      </c>
      <c r="BP109" t="str">
        <f>RTD("tos.rtd", , "STRIKE", "."&amp;Table1[[#This Row],[Ticker]]&amp;Table1[[#This Row],[Expiry]]&amp;""&amp;"C"&amp;Table1[[#This Row],[Spot]]+Table1[[#This Row],[step]])</f>
        <v>N/A</v>
      </c>
    </row>
    <row r="110" spans="1:77" s="55" customFormat="1" ht="15.75" thickBot="1" x14ac:dyDescent="0.3">
      <c r="A110" s="54">
        <f t="shared" ca="1" si="9"/>
        <v>2.5814307458086375E-3</v>
      </c>
      <c r="C110" s="56"/>
      <c r="D110" s="55">
        <f>IF(
    ISNUMBER(Table1[[#This Row],[Strike]]),RTD("tos.rtd", , "OPEN_INT", "."&amp;Table1[[#This Row],[Ticker]]&amp;Table1[[#This Row],[Expiry]]&amp;""&amp;"C"&amp;Table1[[#This Row],[Strike]]))</f>
        <v>2129</v>
      </c>
      <c r="E110" s="5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6138</v>
      </c>
      <c r="G110" s="55">
        <f>IF(
    ISNUMBER(Table1[[#This Row],[Strike]]),RTD("tos.rtd", , "DELTA", "."&amp;Table1[[#This Row],[Ticker]]&amp;Table1[[#This Row],[Expiry]]&amp;""&amp;"C"&amp;Table1[[#This Row],[Strike]]))</f>
        <v>0.49</v>
      </c>
      <c r="H110" s="56" cm="1">
        <f t="array" aca="1" ref="H110" ca="1">IF(
    ISNUMBER(Table1[[#This Row],[Strike]]),IndividualLegIVCore($A$4, Table1[[#This Row],[Strike]], 0.0411, Table1[[#This Row],[T]], ((Table1[[#This Row],[BIDC]]+Table1[[#This Row],[ASKC]])/2), TRUE))</f>
        <v>0.10742025724165434</v>
      </c>
      <c r="I110" s="55">
        <f>IF(
    ISNUMBER(Table1[[#This Row],[Strike]]),RTD("tos.rtd", , "BID", "."&amp;Table1[[#This Row],[Ticker]]&amp;Table1[[#This Row],[Expiry]]&amp;""&amp;"C"&amp;Table1[[#This Row],[Strike]]))</f>
        <v>14.3</v>
      </c>
      <c r="J110" s="55">
        <f>IF(
    ISNUMBER(Table1[[#This Row],[Strike]]),RTD("tos.rtd", , "ASK", "."&amp;Table1[[#This Row],[Ticker]]&amp;Table1[[#This Row],[Expiry]]&amp;""&amp;"C"&amp;Table1[[#This Row],[Strike]]))</f>
        <v>14.9</v>
      </c>
      <c r="K110" s="56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0.10742025724165434</v>
      </c>
      <c r="L110" s="56" cm="1">
        <f t="array" aca="1" ref="L110" ca="1">CubicSplineIVSmile($A$4, Table1[[#This Row],[Strike]], 0.0411, Table1[[#This Row],[T]], (Table1[[#This Row],[BIDC]]+Table1[[#This Row],[ASKC]])/2, (Table1[[#This Row],[BIDP]]+Table1[[#This Row],[ASKP]])/2, Table1[Strike], Table1[IV Calc AVG])</f>
        <v>0.12545574355621728</v>
      </c>
      <c r="M110" s="66">
        <f t="shared" si="10"/>
        <v>46045</v>
      </c>
      <c r="N110" s="55">
        <f t="shared" si="11"/>
        <v>6915</v>
      </c>
      <c r="P110" s="56" cm="1">
        <f t="array" aca="1" ref="P110" ca="1">IF(
    ISNUMBER(Table1[[#This Row],[Strike]]),IndividualLegIVCore($A$4, Table1[[#This Row],[Strike]], 0.0411, Table1[[#This Row],[T]], ((Table1[[#This Row],[BIDP]]+Table1[[#This Row],[ASKP]])/2), FALSE))</f>
        <v>0.14299019564734439</v>
      </c>
      <c r="Q110" s="55">
        <f>IF(
    ISNUMBER(Table1[[#This Row],[Strike]]),RTD("tos.rtd", , "BID", "."&amp;Table1[[#This Row],[Ticker]]&amp;Table1[[#This Row],[Expiry]]&amp;""&amp;"P"&amp;Table1[[#This Row],[Strike]]))</f>
        <v>20.2</v>
      </c>
      <c r="R110" s="55">
        <f>IF(
    ISNUMBER(Table1[[#This Row],[Strike]]),RTD("tos.rtd", , "ASK", "."&amp;Table1[[#This Row],[Ticker]]&amp;Table1[[#This Row],[Expiry]]&amp;""&amp;"P"&amp;Table1[[#This Row],[Strike]]))</f>
        <v>20.8</v>
      </c>
      <c r="S110" s="56"/>
      <c r="T110" s="55">
        <f>IF(
    ISNUMBER(Table1[[#This Row],[Strike]]),RTD("tos.rtd", , "OPEN_INT", "."&amp;Table1[[#This Row],[Ticker]]&amp;Table1[[#This Row],[Expiry]]&amp;""&amp;"P"&amp;Table1[[#This Row],[Strike]]))</f>
        <v>711</v>
      </c>
      <c r="U110" s="5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4452</v>
      </c>
      <c r="W110" s="55">
        <f>IF(
    ISNUMBER(Table1[[#This Row],[Strike]]),RTD("tos.rtd", , "DELTA", "."&amp;Table1[[#This Row],[Ticker]]&amp;Table1[[#This Row],[Expiry]]&amp;""&amp;"P"&amp;Table1[[#This Row],[Strike]]))</f>
        <v>-0.51</v>
      </c>
      <c r="Y110" s="55">
        <v>0</v>
      </c>
      <c r="Z110" s="55">
        <f ca="1">IFERROR(Table1[[#This Row],[call gamma]]*(Table1[[#This Row],[Open.Int]])*$A$4^2,0)</f>
        <v>235451.85453396733</v>
      </c>
      <c r="AA110" s="55">
        <f ca="1">IFERROR(((Table1[[#This Row],[Open.Int8]])*Table1[[#This Row],[Put gamma]])*-1*$A$4^2,0)</f>
        <v>-79020.962127594365</v>
      </c>
      <c r="AB110" s="57">
        <f ca="1">(Table1[[#This Row],[Call Gex]]+Table1[[#This Row],[Put Gex]])</f>
        <v>156430.89240637296</v>
      </c>
      <c r="AC110" s="55">
        <f ca="1">Table1[[#This Row],[call delta adj]]+Table1[[#This Row],[put delta adj]]</f>
        <v>75070.718036570877</v>
      </c>
      <c r="AD110" s="55">
        <f ca="1">Table1[[#This Row],[Put Gex]]*Table1[[#This Row],[DeltaP]]*-1</f>
        <v>-40300.690685073125</v>
      </c>
      <c r="AE110" s="55">
        <f ca="1">Table1[[#This Row],[Call Gex]]*Table1[[#This Row],[DeltaC]]</f>
        <v>115371.40872164399</v>
      </c>
      <c r="AF110" s="55">
        <f>IF(Table1[[#This Row],[DeltaC]]-ABS(Table1[[#This Row],[DeltaP]])="0","0.01",Table1[[#This Row],[DeltaC]]-ABS(Table1[[#This Row],[DeltaP]]))</f>
        <v>-2.0000000000000018E-2</v>
      </c>
      <c r="AG110" s="55">
        <f ca="1">((LN($A$4/Table1[[#This Row],[Strike]]) + (0.411 + 0.5 * Table1[[#This Row],[IV Calc P]]^2) *Table1[[#This Row],[T]])) / (Table1[[#This Row],[IV Calc P]] * SQRT(Table1[[#This Row],[T]]))</f>
        <v>0.11682262196302169</v>
      </c>
      <c r="AH110" s="55">
        <f ca="1">(LN($A$4/Table1[[#This Row],[Strike]]) + (0.411-0 + 0.5 * Table1[[#This Row],[IV Calc C]]^2) *Table1[[#This Row],[T]]) / (Table1[[#This Row],[IV Calc C]] * SQRT(Table1[[#This Row],[T]]))</f>
        <v>0.1533995113334323</v>
      </c>
      <c r="AI110" s="55">
        <f ca="1">(EXP(-(AG110^2)/2)/SQRT(2*PI())*EXP(0*SQRT(Table1[[#This Row],[T]]))/$A$4*18%*SQRT(SQRT(Table1[[#This Row],[T]])))</f>
        <v>2.3253890537214656E-6</v>
      </c>
      <c r="AJ110" s="55">
        <f ca="1">(EXP(-(AH110^2)/2)/SQRT(2*PI())*EXP(0*SQRT(Table1[[#This Row],[T]]))/$A$4*18%*SQRT(SQRT(Table1[[#This Row],[T]])))</f>
        <v>2.3139254641720981E-6</v>
      </c>
      <c r="AK110" s="55">
        <f ca="1">Table1[[#This Row],[Call D1]]-Table1[[#This Row],[IV Calc C]]*SQRT(Table1[[#This Row],[T]])</f>
        <v>0.14794172628512026</v>
      </c>
      <c r="AL110" s="55">
        <f ca="1">Table1[[#This Row],[Put D1]]-Table1[[#This Row],[IV Calc P]]*SQRT(Table1[[#This Row],[T]])</f>
        <v>0.10955760722652123</v>
      </c>
      <c r="AM110" s="55">
        <f ca="1">EXP(-0.5*Table1[[#This Row],[Call D1]]^2)/SQRT(2*PI())</f>
        <v>0.39427594837649499</v>
      </c>
      <c r="AN110" s="55">
        <f ca="1">EXP(-0.5*Table1[[#This Row],[Put D1]]^2)/SQRT(2*PI())</f>
        <v>0.39622926005889741</v>
      </c>
      <c r="AO110" s="55">
        <f ca="1">IFERROR((EXP(0*Table1[[#This Row],[T]])*Table1[[#This Row],[call N(d1)]]*(Table1[[#This Row],[call d2]]/Table1[[#This Row],[IV Calc C]]))*Table1[[#This Row],[Open.Int]]*Table1[[#This Row],[DeltaC]],0)</f>
        <v>566.46948574039163</v>
      </c>
      <c r="AP110" s="55">
        <f ca="1">IFERROR((EXP(0*Table1[[#This Row],[T]])*Table1[[#This Row],[put N(d1)]]*(Table1[[#This Row],[put d2]]/Table1[[#This Row],[IV Calc P]]))*Table1[[#This Row],[Open.Int8]]*Table1[[#This Row],[DeltaP]]*-1,0)</f>
        <v>110.08359361548924</v>
      </c>
      <c r="AQ110" s="55">
        <f ca="1">((Table1[[#This Row],[call vanna]]+Table1[[#This Row],[put vanna]])*$A$4)</f>
        <v>4677248.2311649788</v>
      </c>
      <c r="AR110" s="5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235451.85453396733</v>
      </c>
      <c r="AS110" s="5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-79020.962127594365</v>
      </c>
      <c r="AT110" s="58" t="str" cm="1">
        <f t="array" ref="AT110">_xlfn.IFS(     $M$1="SPX","SPXW",     $M$1="RUT","RUTW",  $M$1="NDX","NDXP",   TRUE,$M$1 )</f>
        <v>SPXW</v>
      </c>
      <c r="AU110" s="59">
        <f t="shared" si="12"/>
        <v>6915</v>
      </c>
      <c r="AV110" s="55" t="str">
        <f t="shared" si="13"/>
        <v>260123</v>
      </c>
      <c r="AW110" s="55">
        <f ca="1">IFERROR((EXP(0*Table1[[#This Row],[T]])*Table1[[#This Row],[put N(d1)]]*(Table1[[#This Row],[put d2]]/Table1[[#This Row],[IV Calc P]]))*Table1[[#This Row],[Open.Int8]]*Table1[[#This Row],[DeltaP]]*-1,0)</f>
        <v>110.08359361548924</v>
      </c>
      <c r="AX110" s="55">
        <f ca="1">IFERROR((EXP(0*Table1[[#This Row],[T]])*Table1[[#This Row],[call N(d1)]]*(Table1[[#This Row],[call d2]]/Table1[[#This Row],[IV Calc C]]))*Table1[[#This Row],[Open.Int]]*Table1[[#This Row],[DeltaC]],0)</f>
        <v>566.46948574039163</v>
      </c>
      <c r="AY110" s="55">
        <f>IF(
    ISNUMBER(Table1[[#This Row],[Strike]]),RTD("tos.rtd", , "high", "."&amp;Table1[[#This Row],[Ticker]]&amp;Table1[[#This Row],[Expiry]]&amp;""&amp;"C"&amp;Table1[[#This Row],[Spot]]+Table1[[#This Row],[step]]))</f>
        <v>32.33</v>
      </c>
      <c r="AZ110" s="60">
        <f>IF(
    ISNUMBER(Table1[[#This Row],[Strike]]),RTD("tos.rtd", , "low", "."&amp;Table1[[#This Row],[Ticker]]&amp;Table1[[#This Row],[Expiry]]&amp;""&amp;"C"&amp;Table1[[#This Row],[Spot]]+Table1[[#This Row],[step]]))</f>
        <v>11.7</v>
      </c>
      <c r="BA110" s="55">
        <f>IF(
    ISNUMBER(Table1[[#This Row],[Strike]]),RTD("tos.rtd", , "high", "."&amp;Table1[[#This Row],[Ticker]]&amp;Table1[[#This Row],[Expiry]]&amp;""&amp;"P"&amp;Table1[[#This Row],[Spot]]+Table1[[#This Row],[step]]))</f>
        <v>34.6</v>
      </c>
      <c r="BB110" s="55">
        <f>IF(
    ISNUMBER(Table1[[#This Row],[Strike]]),RTD("tos.rtd", , "low", "."&amp;Table1[[#This Row],[Ticker]]&amp;Table1[[#This Row],[Expiry]]&amp;""&amp;"P"&amp;Table1[[#This Row],[Spot]]+Table1[[#This Row],[step]]))</f>
        <v>9.8000000000000007</v>
      </c>
      <c r="BC110" s="55">
        <f>((Table1[[#This Row],[High C]]+Table1[[#This Row],[Low C]])/2)*Table1[[#This Row],[gammac]]*Table1[[#This Row],[Volume]]</f>
        <v>1351.2807</v>
      </c>
      <c r="BD110" s="55">
        <f>((Table1[[#This Row],[High P]]+Table1[[#This Row],[Low P]])/2)*Table1[[#This Row],[gammap]]*Table1[[#This Row],[Volume9]]*-1</f>
        <v>-988.34400000000016</v>
      </c>
      <c r="BE110" s="55">
        <f>(Table1[[#This Row],[SgammaC]]+Table1[[#This Row],[SgammaP]])*$A$4*-100</f>
        <v>-250910843.49449989</v>
      </c>
      <c r="BF110" s="55">
        <f>Table1[[#This Row],[DEXc]]+Table1[[#This Row],[DEXp]]</f>
        <v>4705226.01</v>
      </c>
      <c r="BG110">
        <f>IFERROR(Table1[[#This Row],[DeltaC]]*Table1[[#This Row],[Open.Int]]*$A$4,0)</f>
        <v>7212075.8535000002</v>
      </c>
      <c r="BH110">
        <f>IFERROR(Table1[[#This Row],[DeltaP]]*Table1[[#This Row],[Open.Int8]]*$A$4,0)</f>
        <v>-2506849.8435000004</v>
      </c>
      <c r="BI11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-4916456.3558066618</v>
      </c>
      <c r="BJ110" s="5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-1848519.5622219592</v>
      </c>
      <c r="BK110" s="55">
        <f ca="1">Table1[[#This Row],[Charmc]]+Table1[[#This Row],[Charmp]]</f>
        <v>-6764975.918028621</v>
      </c>
      <c r="BL110" s="91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10" s="91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10" s="91">
        <f ca="1">Table1[[#This Row],[call helper]]+Table1[[#This Row],[put helper]]</f>
        <v>156430.89240637296</v>
      </c>
      <c r="BO110" s="56"/>
      <c r="BP110">
        <f>RTD("tos.rtd", , "STRIKE", "."&amp;Table1[[#This Row],[Ticker]]&amp;Table1[[#This Row],[Expiry]]&amp;""&amp;"C"&amp;Table1[[#This Row],[Spot]]+Table1[[#This Row],[step]])</f>
        <v>6915</v>
      </c>
      <c r="BQ110"/>
      <c r="BY110" s="56"/>
    </row>
    <row r="111" spans="1:77" x14ac:dyDescent="0.25">
      <c r="A111">
        <f t="shared" ca="1" si="9"/>
        <v>2.5814307458086375E-3</v>
      </c>
      <c r="C111" s="17"/>
      <c r="D111" t="b">
        <f>IF(
    ISNUMBER(Table1[[#This Row],[Strike]]),RTD("tos.rtd", , "OPEN_INT", "."&amp;Table1[[#This Row],[Ticker]]&amp;Table1[[#This Row],[Expiry]]&amp;""&amp;"C"&amp;Table1[[#This Row],[Strike]]))</f>
        <v>0</v>
      </c>
      <c r="E11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1" t="b">
        <f>IF(
    ISNUMBER(Table1[[#This Row],[Strike]]),RTD("tos.rtd", , "DELTA", "."&amp;Table1[[#This Row],[Ticker]]&amp;Table1[[#This Row],[Expiry]]&amp;""&amp;"C"&amp;Table1[[#This Row],[Strike]]))</f>
        <v>0</v>
      </c>
      <c r="H111" s="17" t="b" cm="1">
        <f t="array" ref="H111">IF(
    ISNUMBER(Table1[[#This Row],[Strike]]),IndividualLegIVCore($A$4, Table1[[#This Row],[Strike]], 0.0411, Table1[[#This Row],[T]], ((Table1[[#This Row],[BIDC]]+Table1[[#This Row],[ASKC]])/2), TRUE))</f>
        <v>0</v>
      </c>
      <c r="I111" t="b">
        <f>IF(
    ISNUMBER(Table1[[#This Row],[Strike]]),RTD("tos.rtd", , "BID", "."&amp;Table1[[#This Row],[Ticker]]&amp;Table1[[#This Row],[Expiry]]&amp;""&amp;"C"&amp;Table1[[#This Row],[Strike]]))</f>
        <v>0</v>
      </c>
      <c r="J111" t="b">
        <f>IF(
    ISNUMBER(Table1[[#This Row],[Strike]]),RTD("tos.rtd", , "ASK", "."&amp;Table1[[#This Row],[Ticker]]&amp;Table1[[#This Row],[Expiry]]&amp;""&amp;"C"&amp;Table1[[#This Row],[Strike]]))</f>
        <v>0</v>
      </c>
      <c r="K11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1" s="17" cm="1">
        <f t="array" aca="1" ref="L11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1" s="1">
        <f t="shared" si="10"/>
        <v>46045</v>
      </c>
      <c r="N111" t="b">
        <f t="shared" si="11"/>
        <v>0</v>
      </c>
      <c r="P111" s="17" t="b" cm="1">
        <f t="array" ref="P111">IF(
    ISNUMBER(Table1[[#This Row],[Strike]]),IndividualLegIVCore($A$4, Table1[[#This Row],[Strike]], 0.0411, Table1[[#This Row],[T]], ((Table1[[#This Row],[BIDP]]+Table1[[#This Row],[ASKP]])/2), FALSE))</f>
        <v>0</v>
      </c>
      <c r="Q111" t="b">
        <f>IF(
    ISNUMBER(Table1[[#This Row],[Strike]]),RTD("tos.rtd", , "BID", "."&amp;Table1[[#This Row],[Ticker]]&amp;Table1[[#This Row],[Expiry]]&amp;""&amp;"P"&amp;Table1[[#This Row],[Strike]]))</f>
        <v>0</v>
      </c>
      <c r="R111" t="b">
        <f>IF(
    ISNUMBER(Table1[[#This Row],[Strike]]),RTD("tos.rtd", , "ASK", "."&amp;Table1[[#This Row],[Ticker]]&amp;Table1[[#This Row],[Expiry]]&amp;""&amp;"P"&amp;Table1[[#This Row],[Strike]]))</f>
        <v>0</v>
      </c>
      <c r="S111" s="17"/>
      <c r="T111" t="b">
        <f>IF(
    ISNUMBER(Table1[[#This Row],[Strike]]),RTD("tos.rtd", , "OPEN_INT", "."&amp;Table1[[#This Row],[Ticker]]&amp;Table1[[#This Row],[Expiry]]&amp;""&amp;"P"&amp;Table1[[#This Row],[Strike]]))</f>
        <v>0</v>
      </c>
      <c r="U11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1" t="b">
        <f>IF(
    ISNUMBER(Table1[[#This Row],[Strike]]),RTD("tos.rtd", , "DELTA", "."&amp;Table1[[#This Row],[Ticker]]&amp;Table1[[#This Row],[Expiry]]&amp;""&amp;"P"&amp;Table1[[#This Row],[Strike]]))</f>
        <v>0</v>
      </c>
      <c r="Y111">
        <f>0.5* IF($M$1="NDX", 10, IF(OR($M$1="SPX", $M$1="RUT"), 2, 1))</f>
        <v>1</v>
      </c>
      <c r="Z111">
        <f ca="1">IFERROR(Table1[[#This Row],[call gamma]]*(Table1[[#This Row],[Open.Int]])*$A$4^2,0)</f>
        <v>0</v>
      </c>
      <c r="AA111">
        <f ca="1">IFERROR(((Table1[[#This Row],[Open.Int8]])*Table1[[#This Row],[Put gamma]])*-1*$A$4^2,0)</f>
        <v>0</v>
      </c>
      <c r="AB111">
        <f ca="1">(Table1[[#This Row],[Call Gex]]+Table1[[#This Row],[Put Gex]])</f>
        <v>0</v>
      </c>
      <c r="AC111">
        <f ca="1">Table1[[#This Row],[call delta adj]]+Table1[[#This Row],[put delta adj]]</f>
        <v>0</v>
      </c>
      <c r="AD111">
        <f ca="1">Table1[[#This Row],[Put Gex]]*Table1[[#This Row],[DeltaP]]*-1</f>
        <v>0</v>
      </c>
      <c r="AE111">
        <f ca="1">Table1[[#This Row],[Call Gex]]*Table1[[#This Row],[DeltaC]]</f>
        <v>0</v>
      </c>
      <c r="AF111">
        <f>IF(Table1[[#This Row],[DeltaC]]-ABS(Table1[[#This Row],[DeltaP]])="0","0.01",Table1[[#This Row],[DeltaC]]-ABS(Table1[[#This Row],[DeltaP]]))</f>
        <v>0</v>
      </c>
      <c r="AG111" t="e">
        <f ca="1">((LN($A$4/Table1[[#This Row],[Strike]]) + (0.411 + 0.5 * Table1[[#This Row],[IV Calc P]]^2) *Table1[[#This Row],[T]])) / (Table1[[#This Row],[IV Calc P]] * SQRT(Table1[[#This Row],[T]]))</f>
        <v>#DIV/0!</v>
      </c>
      <c r="AH111" t="e">
        <f ca="1">(LN($A$4/Table1[[#This Row],[Strike]]) + (0.411-0 + 0.5 * Table1[[#This Row],[IV Calc C]]^2) *Table1[[#This Row],[T]]) / (Table1[[#This Row],[IV Calc C]] * SQRT(Table1[[#This Row],[T]]))</f>
        <v>#DIV/0!</v>
      </c>
      <c r="AI111" t="e">
        <f ca="1">(EXP(-(AG111^2)/2)/SQRT(2*PI())*EXP(0*SQRT(Table1[[#This Row],[T]]))/$A$4*18%*SQRT(SQRT(Table1[[#This Row],[T]])))</f>
        <v>#DIV/0!</v>
      </c>
      <c r="AJ111" t="e">
        <f ca="1">(EXP(-(AH111^2)/2)/SQRT(2*PI())*EXP(0*SQRT(Table1[[#This Row],[T]]))/$A$4*18%*SQRT(SQRT(Table1[[#This Row],[T]])))</f>
        <v>#DIV/0!</v>
      </c>
      <c r="AK111" t="e">
        <f ca="1">Table1[[#This Row],[Call D1]]-Table1[[#This Row],[IV Calc C]]*SQRT(Table1[[#This Row],[T]])</f>
        <v>#DIV/0!</v>
      </c>
      <c r="AL111" t="e">
        <f ca="1">Table1[[#This Row],[Put D1]]-Table1[[#This Row],[IV Calc P]]*SQRT(Table1[[#This Row],[T]])</f>
        <v>#DIV/0!</v>
      </c>
      <c r="AM111" t="e">
        <f ca="1">EXP(-0.5*Table1[[#This Row],[Call D1]]^2)/SQRT(2*PI())</f>
        <v>#DIV/0!</v>
      </c>
      <c r="AN111" t="e">
        <f ca="1">EXP(-0.5*Table1[[#This Row],[Put D1]]^2)/SQRT(2*PI())</f>
        <v>#DIV/0!</v>
      </c>
      <c r="AO111">
        <f ca="1">IFERROR((EXP(0*Table1[[#This Row],[T]])*Table1[[#This Row],[call N(d1)]]*(Table1[[#This Row],[call d2]]/Table1[[#This Row],[IV Calc C]]))*Table1[[#This Row],[Open.Int]]*Table1[[#This Row],[DeltaC]],0)</f>
        <v>0</v>
      </c>
      <c r="AP111">
        <f ca="1">IFERROR((EXP(0*Table1[[#This Row],[T]])*Table1[[#This Row],[put N(d1)]]*(Table1[[#This Row],[put d2]]/Table1[[#This Row],[IV Calc P]]))*Table1[[#This Row],[Open.Int8]]*Table1[[#This Row],[DeltaP]]*-1,0)</f>
        <v>0</v>
      </c>
      <c r="AQ111">
        <f ca="1">((Table1[[#This Row],[call vanna]]+Table1[[#This Row],[put vanna]])*$A$4)</f>
        <v>0</v>
      </c>
      <c r="AR11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1" s="9" t="str" cm="1">
        <f t="array" ref="AT111">_xlfn.IFS(     $M$1="SPX","SPXW",     $M$1="RUT","RUTW",  $M$1="NDX","NDXP",   TRUE,$M$1 )</f>
        <v>SPXW</v>
      </c>
      <c r="AU111" s="2">
        <f t="shared" si="12"/>
        <v>6915</v>
      </c>
      <c r="AV111" t="str">
        <f t="shared" si="13"/>
        <v>260123</v>
      </c>
      <c r="AW111">
        <f ca="1">IFERROR((EXP(0*Table1[[#This Row],[T]])*Table1[[#This Row],[put N(d1)]]*(Table1[[#This Row],[put d2]]/Table1[[#This Row],[IV Calc P]]))*Table1[[#This Row],[Open.Int8]]*Table1[[#This Row],[DeltaP]]*-1,0)</f>
        <v>0</v>
      </c>
      <c r="AX111">
        <f ca="1">IFERROR((EXP(0*Table1[[#This Row],[T]])*Table1[[#This Row],[call N(d1)]]*(Table1[[#This Row],[call d2]]/Table1[[#This Row],[IV Calc C]]))*Table1[[#This Row],[Open.Int]]*Table1[[#This Row],[DeltaC]],0)</f>
        <v>0</v>
      </c>
      <c r="AY11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1">
        <f>((Table1[[#This Row],[High C]]+Table1[[#This Row],[Low C]])/2)*Table1[[#This Row],[gammac]]*Table1[[#This Row],[Volume]]</f>
        <v>0</v>
      </c>
      <c r="BD111">
        <f>((Table1[[#This Row],[High P]]+Table1[[#This Row],[Low P]])/2)*Table1[[#This Row],[gammap]]*Table1[[#This Row],[Volume9]]*-1</f>
        <v>0</v>
      </c>
      <c r="BE111">
        <f>(Table1[[#This Row],[SgammaC]]+Table1[[#This Row],[SgammaP]])*$A$4*-100</f>
        <v>0</v>
      </c>
      <c r="BF111">
        <f>Table1[[#This Row],[DEXc]]+Table1[[#This Row],[DEXp]]</f>
        <v>0</v>
      </c>
      <c r="BG111">
        <f>IFERROR(Table1[[#This Row],[DeltaC]]*Table1[[#This Row],[Open.Int]]*$A$4,0)</f>
        <v>0</v>
      </c>
      <c r="BH111">
        <f>IFERROR(Table1[[#This Row],[DeltaP]]*Table1[[#This Row],[Open.Int8]]*$A$4,0)</f>
        <v>0</v>
      </c>
      <c r="BI11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1">
        <f ca="1">Table1[[#This Row],[Charmc]]+Table1[[#This Row],[Charmp]]</f>
        <v>0</v>
      </c>
      <c r="BL11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1" s="78">
        <f ca="1">Table1[[#This Row],[call helper]]+Table1[[#This Row],[put helper]]</f>
        <v>0</v>
      </c>
      <c r="BP111" t="str">
        <f>RTD("tos.rtd", , "STRIKE", "."&amp;Table1[[#This Row],[Ticker]]&amp;Table1[[#This Row],[Expiry]]&amp;""&amp;"C"&amp;Table1[[#This Row],[Spot]]+Table1[[#This Row],[step]])</f>
        <v>N/A</v>
      </c>
    </row>
    <row r="112" spans="1:77" x14ac:dyDescent="0.25">
      <c r="A112">
        <f t="shared" ca="1" si="9"/>
        <v>2.5814307458086375E-3</v>
      </c>
      <c r="C112" s="17"/>
      <c r="D112" t="b">
        <f>IF(
    ISNUMBER(Table1[[#This Row],[Strike]]),RTD("tos.rtd", , "OPEN_INT", "."&amp;Table1[[#This Row],[Ticker]]&amp;Table1[[#This Row],[Expiry]]&amp;""&amp;"C"&amp;Table1[[#This Row],[Strike]]))</f>
        <v>0</v>
      </c>
      <c r="E11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2" t="b">
        <f>IF(
    ISNUMBER(Table1[[#This Row],[Strike]]),RTD("tos.rtd", , "DELTA", "."&amp;Table1[[#This Row],[Ticker]]&amp;Table1[[#This Row],[Expiry]]&amp;""&amp;"C"&amp;Table1[[#This Row],[Strike]]))</f>
        <v>0</v>
      </c>
      <c r="H112" s="17" t="b" cm="1">
        <f t="array" ref="H112">IF(
    ISNUMBER(Table1[[#This Row],[Strike]]),IndividualLegIVCore($A$4, Table1[[#This Row],[Strike]], 0.0411, Table1[[#This Row],[T]], ((Table1[[#This Row],[BIDC]]+Table1[[#This Row],[ASKC]])/2), TRUE))</f>
        <v>0</v>
      </c>
      <c r="I112" t="b">
        <f>IF(
    ISNUMBER(Table1[[#This Row],[Strike]]),RTD("tos.rtd", , "BID", "."&amp;Table1[[#This Row],[Ticker]]&amp;Table1[[#This Row],[Expiry]]&amp;""&amp;"C"&amp;Table1[[#This Row],[Strike]]))</f>
        <v>0</v>
      </c>
      <c r="J112" t="b">
        <f>IF(
    ISNUMBER(Table1[[#This Row],[Strike]]),RTD("tos.rtd", , "ASK", "."&amp;Table1[[#This Row],[Ticker]]&amp;Table1[[#This Row],[Expiry]]&amp;""&amp;"C"&amp;Table1[[#This Row],[Strike]]))</f>
        <v>0</v>
      </c>
      <c r="K11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2" s="17" cm="1">
        <f t="array" aca="1" ref="L11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2" s="1">
        <f t="shared" si="10"/>
        <v>46045</v>
      </c>
      <c r="N112" t="b">
        <f t="shared" si="11"/>
        <v>0</v>
      </c>
      <c r="P112" s="17" t="b" cm="1">
        <f t="array" ref="P112">IF(
    ISNUMBER(Table1[[#This Row],[Strike]]),IndividualLegIVCore($A$4, Table1[[#This Row],[Strike]], 0.0411, Table1[[#This Row],[T]], ((Table1[[#This Row],[BIDP]]+Table1[[#This Row],[ASKP]])/2), FALSE))</f>
        <v>0</v>
      </c>
      <c r="Q112" t="b">
        <f>IF(
    ISNUMBER(Table1[[#This Row],[Strike]]),RTD("tos.rtd", , "BID", "."&amp;Table1[[#This Row],[Ticker]]&amp;Table1[[#This Row],[Expiry]]&amp;""&amp;"P"&amp;Table1[[#This Row],[Strike]]))</f>
        <v>0</v>
      </c>
      <c r="R112" t="b">
        <f>IF(
    ISNUMBER(Table1[[#This Row],[Strike]]),RTD("tos.rtd", , "ASK", "."&amp;Table1[[#This Row],[Ticker]]&amp;Table1[[#This Row],[Expiry]]&amp;""&amp;"P"&amp;Table1[[#This Row],[Strike]]))</f>
        <v>0</v>
      </c>
      <c r="S112" s="17"/>
      <c r="T112" t="b">
        <f>IF(
    ISNUMBER(Table1[[#This Row],[Strike]]),RTD("tos.rtd", , "OPEN_INT", "."&amp;Table1[[#This Row],[Ticker]]&amp;Table1[[#This Row],[Expiry]]&amp;""&amp;"P"&amp;Table1[[#This Row],[Strike]]))</f>
        <v>0</v>
      </c>
      <c r="U11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2" t="b">
        <f>IF(
    ISNUMBER(Table1[[#This Row],[Strike]]),RTD("tos.rtd", , "DELTA", "."&amp;Table1[[#This Row],[Ticker]]&amp;Table1[[#This Row],[Expiry]]&amp;""&amp;"P"&amp;Table1[[#This Row],[Strike]]))</f>
        <v>0</v>
      </c>
      <c r="Y112" s="19">
        <f>1* IF($M$1="NDX", 10, IF(OR($M$1="SPX", $M$1="RUT"), 2, 1))</f>
        <v>2</v>
      </c>
      <c r="Z112">
        <f ca="1">IFERROR(Table1[[#This Row],[call gamma]]*(Table1[[#This Row],[Open.Int]])*$A$4^2,0)</f>
        <v>0</v>
      </c>
      <c r="AA112">
        <f ca="1">IFERROR(((Table1[[#This Row],[Open.Int8]])*Table1[[#This Row],[Put gamma]])*-1*$A$4^2,0)</f>
        <v>0</v>
      </c>
      <c r="AB112">
        <f ca="1">(Table1[[#This Row],[Call Gex]]+Table1[[#This Row],[Put Gex]])</f>
        <v>0</v>
      </c>
      <c r="AC112">
        <f ca="1">Table1[[#This Row],[call delta adj]]+Table1[[#This Row],[put delta adj]]</f>
        <v>0</v>
      </c>
      <c r="AD112">
        <f ca="1">Table1[[#This Row],[Put Gex]]*Table1[[#This Row],[DeltaP]]*-1</f>
        <v>0</v>
      </c>
      <c r="AE112">
        <f ca="1">Table1[[#This Row],[Call Gex]]*Table1[[#This Row],[DeltaC]]</f>
        <v>0</v>
      </c>
      <c r="AF112">
        <f>IF(Table1[[#This Row],[DeltaC]]-ABS(Table1[[#This Row],[DeltaP]])="0","0.01",Table1[[#This Row],[DeltaC]]-ABS(Table1[[#This Row],[DeltaP]]))</f>
        <v>0</v>
      </c>
      <c r="AG112" t="e">
        <f ca="1">((LN($A$4/Table1[[#This Row],[Strike]]) + (0.411 + 0.5 * Table1[[#This Row],[IV Calc P]]^2) *Table1[[#This Row],[T]])) / (Table1[[#This Row],[IV Calc P]] * SQRT(Table1[[#This Row],[T]]))</f>
        <v>#DIV/0!</v>
      </c>
      <c r="AH112" t="e">
        <f ca="1">(LN($A$4/Table1[[#This Row],[Strike]]) + (0.411-0 + 0.5 * Table1[[#This Row],[IV Calc C]]^2) *Table1[[#This Row],[T]]) / (Table1[[#This Row],[IV Calc C]] * SQRT(Table1[[#This Row],[T]]))</f>
        <v>#DIV/0!</v>
      </c>
      <c r="AI112" t="e">
        <f ca="1">(EXP(-(AG112^2)/2)/SQRT(2*PI())*EXP(0*SQRT(Table1[[#This Row],[T]]))/$A$4*18%*SQRT(SQRT(Table1[[#This Row],[T]])))</f>
        <v>#DIV/0!</v>
      </c>
      <c r="AJ112" t="e">
        <f ca="1">(EXP(-(AH112^2)/2)/SQRT(2*PI())*EXP(0*SQRT(Table1[[#This Row],[T]]))/$A$4*18%*SQRT(SQRT(Table1[[#This Row],[T]])))</f>
        <v>#DIV/0!</v>
      </c>
      <c r="AK112" t="e">
        <f ca="1">Table1[[#This Row],[Call D1]]-Table1[[#This Row],[IV Calc C]]*SQRT(Table1[[#This Row],[T]])</f>
        <v>#DIV/0!</v>
      </c>
      <c r="AL112" t="e">
        <f ca="1">Table1[[#This Row],[Put D1]]-Table1[[#This Row],[IV Calc P]]*SQRT(Table1[[#This Row],[T]])</f>
        <v>#DIV/0!</v>
      </c>
      <c r="AM112" t="e">
        <f ca="1">EXP(-0.5*Table1[[#This Row],[Call D1]]^2)/SQRT(2*PI())</f>
        <v>#DIV/0!</v>
      </c>
      <c r="AN112" t="e">
        <f ca="1">EXP(-0.5*Table1[[#This Row],[Put D1]]^2)/SQRT(2*PI())</f>
        <v>#DIV/0!</v>
      </c>
      <c r="AO112">
        <f ca="1">IFERROR((EXP(0*Table1[[#This Row],[T]])*Table1[[#This Row],[call N(d1)]]*(Table1[[#This Row],[call d2]]/Table1[[#This Row],[IV Calc C]]))*Table1[[#This Row],[Open.Int]]*Table1[[#This Row],[DeltaC]],0)</f>
        <v>0</v>
      </c>
      <c r="AP112">
        <f ca="1">IFERROR((EXP(0*Table1[[#This Row],[T]])*Table1[[#This Row],[put N(d1)]]*(Table1[[#This Row],[put d2]]/Table1[[#This Row],[IV Calc P]]))*Table1[[#This Row],[Open.Int8]]*Table1[[#This Row],[DeltaP]]*-1,0)</f>
        <v>0</v>
      </c>
      <c r="AQ112">
        <f ca="1">((Table1[[#This Row],[call vanna]]+Table1[[#This Row],[put vanna]])*$A$4)</f>
        <v>0</v>
      </c>
      <c r="AR11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2" s="9" t="str" cm="1">
        <f t="array" ref="AT112">_xlfn.IFS(     $M$1="SPX","SPXW",     $M$1="RUT","RUTW",  $M$1="NDX","NDXP",   TRUE,$M$1 )</f>
        <v>SPXW</v>
      </c>
      <c r="AU112" s="2">
        <f t="shared" si="12"/>
        <v>6915</v>
      </c>
      <c r="AV112" t="str">
        <f t="shared" si="13"/>
        <v>260123</v>
      </c>
      <c r="AW112" s="19">
        <f ca="1">IFERROR((EXP(0*Table1[[#This Row],[T]])*Table1[[#This Row],[put N(d1)]]*(Table1[[#This Row],[put d2]]/Table1[[#This Row],[IV Calc P]]))*Table1[[#This Row],[Open.Int8]]*Table1[[#This Row],[DeltaP]]*-1,0)</f>
        <v>0</v>
      </c>
      <c r="AX112">
        <f ca="1">IFERROR((EXP(0*Table1[[#This Row],[T]])*Table1[[#This Row],[call N(d1)]]*(Table1[[#This Row],[call d2]]/Table1[[#This Row],[IV Calc C]]))*Table1[[#This Row],[Open.Int]]*Table1[[#This Row],[DeltaC]],0)</f>
        <v>0</v>
      </c>
      <c r="AY11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2">
        <f>((Table1[[#This Row],[High C]]+Table1[[#This Row],[Low C]])/2)*Table1[[#This Row],[gammac]]*Table1[[#This Row],[Volume]]</f>
        <v>0</v>
      </c>
      <c r="BD112">
        <f>((Table1[[#This Row],[High P]]+Table1[[#This Row],[Low P]])/2)*Table1[[#This Row],[gammap]]*Table1[[#This Row],[Volume9]]*-1</f>
        <v>0</v>
      </c>
      <c r="BE112">
        <f>(Table1[[#This Row],[SgammaC]]+Table1[[#This Row],[SgammaP]])*$A$4*-100</f>
        <v>0</v>
      </c>
      <c r="BF112">
        <f>Table1[[#This Row],[DEXc]]+Table1[[#This Row],[DEXp]]</f>
        <v>0</v>
      </c>
      <c r="BG112">
        <f>IFERROR(Table1[[#This Row],[DeltaC]]*Table1[[#This Row],[Open.Int]]*$A$4,0)</f>
        <v>0</v>
      </c>
      <c r="BH112">
        <f>IFERROR(Table1[[#This Row],[DeltaP]]*Table1[[#This Row],[Open.Int8]]*$A$4,0)</f>
        <v>0</v>
      </c>
      <c r="BI11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2">
        <f ca="1">Table1[[#This Row],[Charmc]]+Table1[[#This Row],[Charmp]]</f>
        <v>0</v>
      </c>
      <c r="BL11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2" s="78">
        <f ca="1">Table1[[#This Row],[call helper]]+Table1[[#This Row],[put helper]]</f>
        <v>0</v>
      </c>
      <c r="BP112" t="str">
        <f>RTD("tos.rtd", , "STRIKE", "."&amp;Table1[[#This Row],[Ticker]]&amp;Table1[[#This Row],[Expiry]]&amp;""&amp;"C"&amp;Table1[[#This Row],[Spot]]+Table1[[#This Row],[step]])</f>
        <v>N/A</v>
      </c>
    </row>
    <row r="113" spans="1:68" x14ac:dyDescent="0.25">
      <c r="A113">
        <f t="shared" ca="1" si="9"/>
        <v>2.5814307458086375E-3</v>
      </c>
      <c r="C113" s="17"/>
      <c r="D113" t="b">
        <f>IF(
    ISNUMBER(Table1[[#This Row],[Strike]]),RTD("tos.rtd", , "OPEN_INT", "."&amp;Table1[[#This Row],[Ticker]]&amp;Table1[[#This Row],[Expiry]]&amp;""&amp;"C"&amp;Table1[[#This Row],[Strike]]))</f>
        <v>0</v>
      </c>
      <c r="E11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3" t="b">
        <f>IF(
    ISNUMBER(Table1[[#This Row],[Strike]]),RTD("tos.rtd", , "DELTA", "."&amp;Table1[[#This Row],[Ticker]]&amp;Table1[[#This Row],[Expiry]]&amp;""&amp;"C"&amp;Table1[[#This Row],[Strike]]))</f>
        <v>0</v>
      </c>
      <c r="H113" s="17" t="b" cm="1">
        <f t="array" ref="H113">IF(
    ISNUMBER(Table1[[#This Row],[Strike]]),IndividualLegIVCore($A$4, Table1[[#This Row],[Strike]], 0.0411, Table1[[#This Row],[T]], ((Table1[[#This Row],[BIDC]]+Table1[[#This Row],[ASKC]])/2), TRUE))</f>
        <v>0</v>
      </c>
      <c r="I113" t="b">
        <f>IF(
    ISNUMBER(Table1[[#This Row],[Strike]]),RTD("tos.rtd", , "BID", "."&amp;Table1[[#This Row],[Ticker]]&amp;Table1[[#This Row],[Expiry]]&amp;""&amp;"C"&amp;Table1[[#This Row],[Strike]]))</f>
        <v>0</v>
      </c>
      <c r="J113" t="b">
        <f>IF(
    ISNUMBER(Table1[[#This Row],[Strike]]),RTD("tos.rtd", , "ASK", "."&amp;Table1[[#This Row],[Ticker]]&amp;Table1[[#This Row],[Expiry]]&amp;""&amp;"C"&amp;Table1[[#This Row],[Strike]]))</f>
        <v>0</v>
      </c>
      <c r="K11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3" s="17" cm="1">
        <f t="array" aca="1" ref="L11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3" s="1">
        <f t="shared" si="10"/>
        <v>46045</v>
      </c>
      <c r="N113" t="b">
        <f t="shared" si="11"/>
        <v>0</v>
      </c>
      <c r="P113" s="17" t="b" cm="1">
        <f t="array" ref="P113">IF(
    ISNUMBER(Table1[[#This Row],[Strike]]),IndividualLegIVCore($A$4, Table1[[#This Row],[Strike]], 0.0411, Table1[[#This Row],[T]], ((Table1[[#This Row],[BIDP]]+Table1[[#This Row],[ASKP]])/2), FALSE))</f>
        <v>0</v>
      </c>
      <c r="Q113" t="b">
        <f>IF(
    ISNUMBER(Table1[[#This Row],[Strike]]),RTD("tos.rtd", , "BID", "."&amp;Table1[[#This Row],[Ticker]]&amp;Table1[[#This Row],[Expiry]]&amp;""&amp;"P"&amp;Table1[[#This Row],[Strike]]))</f>
        <v>0</v>
      </c>
      <c r="R113" t="b">
        <f>IF(
    ISNUMBER(Table1[[#This Row],[Strike]]),RTD("tos.rtd", , "ASK", "."&amp;Table1[[#This Row],[Ticker]]&amp;Table1[[#This Row],[Expiry]]&amp;""&amp;"P"&amp;Table1[[#This Row],[Strike]]))</f>
        <v>0</v>
      </c>
      <c r="S113" s="17"/>
      <c r="T113" t="b">
        <f>IF(
    ISNUMBER(Table1[[#This Row],[Strike]]),RTD("tos.rtd", , "OPEN_INT", "."&amp;Table1[[#This Row],[Ticker]]&amp;Table1[[#This Row],[Expiry]]&amp;""&amp;"P"&amp;Table1[[#This Row],[Strike]]))</f>
        <v>0</v>
      </c>
      <c r="U11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3" t="b">
        <f>IF(
    ISNUMBER(Table1[[#This Row],[Strike]]),RTD("tos.rtd", , "DELTA", "."&amp;Table1[[#This Row],[Ticker]]&amp;Table1[[#This Row],[Expiry]]&amp;""&amp;"P"&amp;Table1[[#This Row],[Strike]]))</f>
        <v>0</v>
      </c>
      <c r="Y113" s="19">
        <f>1.5* IF($M$1="NDX", 10, IF(OR($M$1="SPX", $M$1="RUT"), 2, 1))</f>
        <v>3</v>
      </c>
      <c r="Z113">
        <f ca="1">IFERROR(Table1[[#This Row],[call gamma]]*(Table1[[#This Row],[Open.Int]])*$A$4^2,0)</f>
        <v>0</v>
      </c>
      <c r="AA113">
        <f ca="1">IFERROR(((Table1[[#This Row],[Open.Int8]])*Table1[[#This Row],[Put gamma]])*-1*$A$4^2,0)</f>
        <v>0</v>
      </c>
      <c r="AB113">
        <f ca="1">(Table1[[#This Row],[Call Gex]]+Table1[[#This Row],[Put Gex]])</f>
        <v>0</v>
      </c>
      <c r="AC113">
        <f ca="1">Table1[[#This Row],[call delta adj]]+Table1[[#This Row],[put delta adj]]</f>
        <v>0</v>
      </c>
      <c r="AD113">
        <f ca="1">Table1[[#This Row],[Put Gex]]*Table1[[#This Row],[DeltaP]]*-1</f>
        <v>0</v>
      </c>
      <c r="AE113">
        <f ca="1">Table1[[#This Row],[Call Gex]]*Table1[[#This Row],[DeltaC]]</f>
        <v>0</v>
      </c>
      <c r="AF113">
        <f>IF(Table1[[#This Row],[DeltaC]]-ABS(Table1[[#This Row],[DeltaP]])="0","0.01",Table1[[#This Row],[DeltaC]]-ABS(Table1[[#This Row],[DeltaP]]))</f>
        <v>0</v>
      </c>
      <c r="AG113" t="e">
        <f ca="1">((LN($A$4/Table1[[#This Row],[Strike]]) + (0.411 + 0.5 * Table1[[#This Row],[IV Calc P]]^2) *Table1[[#This Row],[T]])) / (Table1[[#This Row],[IV Calc P]] * SQRT(Table1[[#This Row],[T]]))</f>
        <v>#DIV/0!</v>
      </c>
      <c r="AH113" t="e">
        <f ca="1">(LN($A$4/Table1[[#This Row],[Strike]]) + (0.411-0 + 0.5 * Table1[[#This Row],[IV Calc C]]^2) *Table1[[#This Row],[T]]) / (Table1[[#This Row],[IV Calc C]] * SQRT(Table1[[#This Row],[T]]))</f>
        <v>#DIV/0!</v>
      </c>
      <c r="AI113" t="e">
        <f ca="1">(EXP(-(AG113^2)/2)/SQRT(2*PI())*EXP(0*SQRT(Table1[[#This Row],[T]]))/$A$4*18%*SQRT(SQRT(Table1[[#This Row],[T]])))</f>
        <v>#DIV/0!</v>
      </c>
      <c r="AJ113" t="e">
        <f ca="1">(EXP(-(AH113^2)/2)/SQRT(2*PI())*EXP(0*SQRT(Table1[[#This Row],[T]]))/$A$4*18%*SQRT(SQRT(Table1[[#This Row],[T]])))</f>
        <v>#DIV/0!</v>
      </c>
      <c r="AK113" t="e">
        <f ca="1">Table1[[#This Row],[Call D1]]-Table1[[#This Row],[IV Calc C]]*SQRT(Table1[[#This Row],[T]])</f>
        <v>#DIV/0!</v>
      </c>
      <c r="AL113" t="e">
        <f ca="1">Table1[[#This Row],[Put D1]]-Table1[[#This Row],[IV Calc P]]*SQRT(Table1[[#This Row],[T]])</f>
        <v>#DIV/0!</v>
      </c>
      <c r="AM113" t="e">
        <f ca="1">EXP(-0.5*Table1[[#This Row],[Call D1]]^2)/SQRT(2*PI())</f>
        <v>#DIV/0!</v>
      </c>
      <c r="AN113" t="e">
        <f ca="1">EXP(-0.5*Table1[[#This Row],[Put D1]]^2)/SQRT(2*PI())</f>
        <v>#DIV/0!</v>
      </c>
      <c r="AO113">
        <f ca="1">IFERROR((EXP(0*Table1[[#This Row],[T]])*Table1[[#This Row],[call N(d1)]]*(Table1[[#This Row],[call d2]]/Table1[[#This Row],[IV Calc C]]))*Table1[[#This Row],[Open.Int]]*Table1[[#This Row],[DeltaC]],0)</f>
        <v>0</v>
      </c>
      <c r="AP113">
        <f ca="1">IFERROR((EXP(0*Table1[[#This Row],[T]])*Table1[[#This Row],[put N(d1)]]*(Table1[[#This Row],[put d2]]/Table1[[#This Row],[IV Calc P]]))*Table1[[#This Row],[Open.Int8]]*Table1[[#This Row],[DeltaP]]*-1,0)</f>
        <v>0</v>
      </c>
      <c r="AQ113">
        <f ca="1">((Table1[[#This Row],[call vanna]]+Table1[[#This Row],[put vanna]])*$A$4)</f>
        <v>0</v>
      </c>
      <c r="AR11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3" s="9" t="str" cm="1">
        <f t="array" ref="AT113">_xlfn.IFS(     $M$1="SPX","SPXW",     $M$1="RUT","RUTW",  $M$1="NDX","NDXP",   TRUE,$M$1 )</f>
        <v>SPXW</v>
      </c>
      <c r="AU113" s="2">
        <f t="shared" si="12"/>
        <v>6915</v>
      </c>
      <c r="AV113" t="str">
        <f t="shared" si="13"/>
        <v>260123</v>
      </c>
      <c r="AW113" s="19">
        <f ca="1">IFERROR((EXP(0*Table1[[#This Row],[T]])*Table1[[#This Row],[put N(d1)]]*(Table1[[#This Row],[put d2]]/Table1[[#This Row],[IV Calc P]]))*Table1[[#This Row],[Open.Int8]]*Table1[[#This Row],[DeltaP]]*-1,0)</f>
        <v>0</v>
      </c>
      <c r="AX113">
        <f ca="1">IFERROR((EXP(0*Table1[[#This Row],[T]])*Table1[[#This Row],[call N(d1)]]*(Table1[[#This Row],[call d2]]/Table1[[#This Row],[IV Calc C]]))*Table1[[#This Row],[Open.Int]]*Table1[[#This Row],[DeltaC]],0)</f>
        <v>0</v>
      </c>
      <c r="AY1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3">
        <f>((Table1[[#This Row],[High C]]+Table1[[#This Row],[Low C]])/2)*Table1[[#This Row],[gammac]]*Table1[[#This Row],[Volume]]</f>
        <v>0</v>
      </c>
      <c r="BD113">
        <f>((Table1[[#This Row],[High P]]+Table1[[#This Row],[Low P]])/2)*Table1[[#This Row],[gammap]]*Table1[[#This Row],[Volume9]]*-1</f>
        <v>0</v>
      </c>
      <c r="BE113">
        <f>(Table1[[#This Row],[SgammaC]]+Table1[[#This Row],[SgammaP]])*$A$4*-100</f>
        <v>0</v>
      </c>
      <c r="BF113">
        <f>Table1[[#This Row],[DEXc]]+Table1[[#This Row],[DEXp]]</f>
        <v>0</v>
      </c>
      <c r="BG113">
        <f>IFERROR(Table1[[#This Row],[DeltaC]]*Table1[[#This Row],[Open.Int]]*$A$4,0)</f>
        <v>0</v>
      </c>
      <c r="BH113">
        <f>IFERROR(Table1[[#This Row],[DeltaP]]*Table1[[#This Row],[Open.Int8]]*$A$4,0)</f>
        <v>0</v>
      </c>
      <c r="BI11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3">
        <f ca="1">Table1[[#This Row],[Charmc]]+Table1[[#This Row],[Charmp]]</f>
        <v>0</v>
      </c>
      <c r="BL11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3" s="78">
        <f ca="1">Table1[[#This Row],[call helper]]+Table1[[#This Row],[put helper]]</f>
        <v>0</v>
      </c>
      <c r="BP113" t="str">
        <f>RTD("tos.rtd", , "STRIKE", "."&amp;Table1[[#This Row],[Ticker]]&amp;Table1[[#This Row],[Expiry]]&amp;""&amp;"C"&amp;Table1[[#This Row],[Spot]]+Table1[[#This Row],[step]])</f>
        <v>N/A</v>
      </c>
    </row>
    <row r="114" spans="1:68" x14ac:dyDescent="0.25">
      <c r="A114">
        <f t="shared" ca="1" si="9"/>
        <v>2.5814307458086375E-3</v>
      </c>
      <c r="C114" s="17"/>
      <c r="D114" t="b">
        <f>IF(
    ISNUMBER(Table1[[#This Row],[Strike]]),RTD("tos.rtd", , "OPEN_INT", "."&amp;Table1[[#This Row],[Ticker]]&amp;Table1[[#This Row],[Expiry]]&amp;""&amp;"C"&amp;Table1[[#This Row],[Strike]]))</f>
        <v>0</v>
      </c>
      <c r="E11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4" t="b">
        <f>IF(
    ISNUMBER(Table1[[#This Row],[Strike]]),RTD("tos.rtd", , "DELTA", "."&amp;Table1[[#This Row],[Ticker]]&amp;Table1[[#This Row],[Expiry]]&amp;""&amp;"C"&amp;Table1[[#This Row],[Strike]]))</f>
        <v>0</v>
      </c>
      <c r="H114" s="17" t="b" cm="1">
        <f t="array" ref="H114">IF(
    ISNUMBER(Table1[[#This Row],[Strike]]),IndividualLegIVCore($A$4, Table1[[#This Row],[Strike]], 0.0411, Table1[[#This Row],[T]], ((Table1[[#This Row],[BIDC]]+Table1[[#This Row],[ASKC]])/2), TRUE))</f>
        <v>0</v>
      </c>
      <c r="I114" t="b">
        <f>IF(
    ISNUMBER(Table1[[#This Row],[Strike]]),RTD("tos.rtd", , "BID", "."&amp;Table1[[#This Row],[Ticker]]&amp;Table1[[#This Row],[Expiry]]&amp;""&amp;"C"&amp;Table1[[#This Row],[Strike]]))</f>
        <v>0</v>
      </c>
      <c r="J114" t="b">
        <f>IF(
    ISNUMBER(Table1[[#This Row],[Strike]]),RTD("tos.rtd", , "ASK", "."&amp;Table1[[#This Row],[Ticker]]&amp;Table1[[#This Row],[Expiry]]&amp;""&amp;"C"&amp;Table1[[#This Row],[Strike]]))</f>
        <v>0</v>
      </c>
      <c r="K11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4" s="17" cm="1">
        <f t="array" aca="1" ref="L11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4" s="1">
        <f t="shared" si="10"/>
        <v>46045</v>
      </c>
      <c r="N114" t="b">
        <f t="shared" si="11"/>
        <v>0</v>
      </c>
      <c r="P114" s="17" t="b" cm="1">
        <f t="array" ref="P114">IF(
    ISNUMBER(Table1[[#This Row],[Strike]]),IndividualLegIVCore($A$4, Table1[[#This Row],[Strike]], 0.0411, Table1[[#This Row],[T]], ((Table1[[#This Row],[BIDP]]+Table1[[#This Row],[ASKP]])/2), FALSE))</f>
        <v>0</v>
      </c>
      <c r="Q114" t="b">
        <f>IF(
    ISNUMBER(Table1[[#This Row],[Strike]]),RTD("tos.rtd", , "BID", "."&amp;Table1[[#This Row],[Ticker]]&amp;Table1[[#This Row],[Expiry]]&amp;""&amp;"P"&amp;Table1[[#This Row],[Strike]]))</f>
        <v>0</v>
      </c>
      <c r="R114" t="b">
        <f>IF(
    ISNUMBER(Table1[[#This Row],[Strike]]),RTD("tos.rtd", , "ASK", "."&amp;Table1[[#This Row],[Ticker]]&amp;Table1[[#This Row],[Expiry]]&amp;""&amp;"P"&amp;Table1[[#This Row],[Strike]]))</f>
        <v>0</v>
      </c>
      <c r="S114" s="17"/>
      <c r="T114" t="b">
        <f>IF(
    ISNUMBER(Table1[[#This Row],[Strike]]),RTD("tos.rtd", , "OPEN_INT", "."&amp;Table1[[#This Row],[Ticker]]&amp;Table1[[#This Row],[Expiry]]&amp;""&amp;"P"&amp;Table1[[#This Row],[Strike]]))</f>
        <v>0</v>
      </c>
      <c r="U11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4" t="b">
        <f>IF(
    ISNUMBER(Table1[[#This Row],[Strike]]),RTD("tos.rtd", , "DELTA", "."&amp;Table1[[#This Row],[Ticker]]&amp;Table1[[#This Row],[Expiry]]&amp;""&amp;"P"&amp;Table1[[#This Row],[Strike]]))</f>
        <v>0</v>
      </c>
      <c r="Y114" s="19">
        <f>2 * IF($M$1="NDX", 10, IF(OR($M$1="SPX", $M$1="RUT"), 2, 1))</f>
        <v>4</v>
      </c>
      <c r="Z114">
        <f ca="1">IFERROR(Table1[[#This Row],[call gamma]]*(Table1[[#This Row],[Open.Int]])*$A$4^2,0)</f>
        <v>0</v>
      </c>
      <c r="AA114">
        <f ca="1">IFERROR(((Table1[[#This Row],[Open.Int8]])*Table1[[#This Row],[Put gamma]])*-1*$A$4^2,0)</f>
        <v>0</v>
      </c>
      <c r="AB114">
        <f ca="1">(Table1[[#This Row],[Call Gex]]+Table1[[#This Row],[Put Gex]])</f>
        <v>0</v>
      </c>
      <c r="AC114">
        <f ca="1">Table1[[#This Row],[call delta adj]]+Table1[[#This Row],[put delta adj]]</f>
        <v>0</v>
      </c>
      <c r="AD114">
        <f ca="1">Table1[[#This Row],[Put Gex]]*Table1[[#This Row],[DeltaP]]*-1</f>
        <v>0</v>
      </c>
      <c r="AE114">
        <f ca="1">Table1[[#This Row],[Call Gex]]*Table1[[#This Row],[DeltaC]]</f>
        <v>0</v>
      </c>
      <c r="AF114">
        <f>IF(Table1[[#This Row],[DeltaC]]-ABS(Table1[[#This Row],[DeltaP]])="0","0.01",Table1[[#This Row],[DeltaC]]-ABS(Table1[[#This Row],[DeltaP]]))</f>
        <v>0</v>
      </c>
      <c r="AG114" t="e">
        <f ca="1">((LN($A$4/Table1[[#This Row],[Strike]]) + (0.411 + 0.5 * Table1[[#This Row],[IV Calc P]]^2) *Table1[[#This Row],[T]])) / (Table1[[#This Row],[IV Calc P]] * SQRT(Table1[[#This Row],[T]]))</f>
        <v>#DIV/0!</v>
      </c>
      <c r="AH114" t="e">
        <f ca="1">(LN($A$4/Table1[[#This Row],[Strike]]) + (0.411-0 + 0.5 * Table1[[#This Row],[IV Calc C]]^2) *Table1[[#This Row],[T]]) / (Table1[[#This Row],[IV Calc C]] * SQRT(Table1[[#This Row],[T]]))</f>
        <v>#DIV/0!</v>
      </c>
      <c r="AI114" t="e">
        <f ca="1">(EXP(-(AG114^2)/2)/SQRT(2*PI())*EXP(0*SQRT(Table1[[#This Row],[T]]))/$A$4*18%*SQRT(SQRT(Table1[[#This Row],[T]])))</f>
        <v>#DIV/0!</v>
      </c>
      <c r="AJ114" t="e">
        <f ca="1">(EXP(-(AH114^2)/2)/SQRT(2*PI())*EXP(0*SQRT(Table1[[#This Row],[T]]))/$A$4*18%*SQRT(SQRT(Table1[[#This Row],[T]])))</f>
        <v>#DIV/0!</v>
      </c>
      <c r="AK114" t="e">
        <f ca="1">Table1[[#This Row],[Call D1]]-Table1[[#This Row],[IV Calc C]]*SQRT(Table1[[#This Row],[T]])</f>
        <v>#DIV/0!</v>
      </c>
      <c r="AL114" t="e">
        <f ca="1">Table1[[#This Row],[Put D1]]-Table1[[#This Row],[IV Calc P]]*SQRT(Table1[[#This Row],[T]])</f>
        <v>#DIV/0!</v>
      </c>
      <c r="AM114" t="e">
        <f ca="1">EXP(-0.5*Table1[[#This Row],[Call D1]]^2)/SQRT(2*PI())</f>
        <v>#DIV/0!</v>
      </c>
      <c r="AN114" t="e">
        <f ca="1">EXP(-0.5*Table1[[#This Row],[Put D1]]^2)/SQRT(2*PI())</f>
        <v>#DIV/0!</v>
      </c>
      <c r="AO114">
        <f ca="1">IFERROR((EXP(0*Table1[[#This Row],[T]])*Table1[[#This Row],[call N(d1)]]*(Table1[[#This Row],[call d2]]/Table1[[#This Row],[IV Calc C]]))*Table1[[#This Row],[Open.Int]]*Table1[[#This Row],[DeltaC]],0)</f>
        <v>0</v>
      </c>
      <c r="AP114">
        <f ca="1">IFERROR((EXP(0*Table1[[#This Row],[T]])*Table1[[#This Row],[put N(d1)]]*(Table1[[#This Row],[put d2]]/Table1[[#This Row],[IV Calc P]]))*Table1[[#This Row],[Open.Int8]]*Table1[[#This Row],[DeltaP]]*-1,0)</f>
        <v>0</v>
      </c>
      <c r="AQ114">
        <f ca="1">((Table1[[#This Row],[call vanna]]+Table1[[#This Row],[put vanna]])*$A$4)</f>
        <v>0</v>
      </c>
      <c r="AR11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4" s="9" t="str" cm="1">
        <f t="array" ref="AT114">_xlfn.IFS(     $M$1="SPX","SPXW",     $M$1="RUT","RUTW",  $M$1="NDX","NDXP",   TRUE,$M$1 )</f>
        <v>SPXW</v>
      </c>
      <c r="AU114" s="2">
        <f t="shared" si="12"/>
        <v>6915</v>
      </c>
      <c r="AV114" t="str">
        <f t="shared" si="13"/>
        <v>260123</v>
      </c>
      <c r="AW114" s="19">
        <f ca="1">IFERROR((EXP(0*Table1[[#This Row],[T]])*Table1[[#This Row],[put N(d1)]]*(Table1[[#This Row],[put d2]]/Table1[[#This Row],[IV Calc P]]))*Table1[[#This Row],[Open.Int8]]*Table1[[#This Row],[DeltaP]]*-1,0)</f>
        <v>0</v>
      </c>
      <c r="AX114">
        <f ca="1">IFERROR((EXP(0*Table1[[#This Row],[T]])*Table1[[#This Row],[call N(d1)]]*(Table1[[#This Row],[call d2]]/Table1[[#This Row],[IV Calc C]]))*Table1[[#This Row],[Open.Int]]*Table1[[#This Row],[DeltaC]],0)</f>
        <v>0</v>
      </c>
      <c r="AY11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4">
        <f>((Table1[[#This Row],[High C]]+Table1[[#This Row],[Low C]])/2)*Table1[[#This Row],[gammac]]*Table1[[#This Row],[Volume]]</f>
        <v>0</v>
      </c>
      <c r="BD114">
        <f>((Table1[[#This Row],[High P]]+Table1[[#This Row],[Low P]])/2)*Table1[[#This Row],[gammap]]*Table1[[#This Row],[Volume9]]*-1</f>
        <v>0</v>
      </c>
      <c r="BE114">
        <f>(Table1[[#This Row],[SgammaC]]+Table1[[#This Row],[SgammaP]])*$A$4*-100</f>
        <v>0</v>
      </c>
      <c r="BF114">
        <f>Table1[[#This Row],[DEXc]]+Table1[[#This Row],[DEXp]]</f>
        <v>0</v>
      </c>
      <c r="BG114">
        <f>IFERROR(Table1[[#This Row],[DeltaC]]*Table1[[#This Row],[Open.Int]]*$A$4,0)</f>
        <v>0</v>
      </c>
      <c r="BH114">
        <f>IFERROR(Table1[[#This Row],[DeltaP]]*Table1[[#This Row],[Open.Int8]]*$A$4,0)</f>
        <v>0</v>
      </c>
      <c r="BI11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4">
        <f ca="1">Table1[[#This Row],[Charmc]]+Table1[[#This Row],[Charmp]]</f>
        <v>0</v>
      </c>
      <c r="BL11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4" s="78">
        <f ca="1">Table1[[#This Row],[call helper]]+Table1[[#This Row],[put helper]]</f>
        <v>0</v>
      </c>
      <c r="BP114" t="str">
        <f>RTD("tos.rtd", , "STRIKE", "."&amp;Table1[[#This Row],[Ticker]]&amp;Table1[[#This Row],[Expiry]]&amp;""&amp;"C"&amp;Table1[[#This Row],[Spot]]+Table1[[#This Row],[step]])</f>
        <v>N/A</v>
      </c>
    </row>
    <row r="115" spans="1:68" x14ac:dyDescent="0.25">
      <c r="A115">
        <f t="shared" ca="1" si="9"/>
        <v>2.5814307458086375E-3</v>
      </c>
      <c r="C115" s="17"/>
      <c r="D115">
        <f>IF(
    ISNUMBER(Table1[[#This Row],[Strike]]),RTD("tos.rtd", , "OPEN_INT", "."&amp;Table1[[#This Row],[Ticker]]&amp;Table1[[#This Row],[Expiry]]&amp;""&amp;"C"&amp;Table1[[#This Row],[Strike]]))</f>
        <v>1372</v>
      </c>
      <c r="E11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8170</v>
      </c>
      <c r="G115">
        <f>IF(
    ISNUMBER(Table1[[#This Row],[Strike]]),RTD("tos.rtd", , "DELTA", "."&amp;Table1[[#This Row],[Ticker]]&amp;Table1[[#This Row],[Expiry]]&amp;""&amp;"C"&amp;Table1[[#This Row],[Strike]]))</f>
        <v>0.44</v>
      </c>
      <c r="H115" s="17" cm="1">
        <f t="array" aca="1" ref="H115" ca="1">IF(
    ISNUMBER(Table1[[#This Row],[Strike]]),IndividualLegIVCore($A$4, Table1[[#This Row],[Strike]], 0.0411, Table1[[#This Row],[T]], ((Table1[[#This Row],[BIDC]]+Table1[[#This Row],[ASKC]])/2), TRUE))</f>
        <v>0.10643987836093027</v>
      </c>
      <c r="I115">
        <f>IF(
    ISNUMBER(Table1[[#This Row],[Strike]]),RTD("tos.rtd", , "BID", "."&amp;Table1[[#This Row],[Ticker]]&amp;Table1[[#This Row],[Expiry]]&amp;""&amp;"C"&amp;Table1[[#This Row],[Strike]]))</f>
        <v>11.9</v>
      </c>
      <c r="J115">
        <f>IF(
    ISNUMBER(Table1[[#This Row],[Strike]]),RTD("tos.rtd", , "ASK", "."&amp;Table1[[#This Row],[Ticker]]&amp;Table1[[#This Row],[Expiry]]&amp;""&amp;"C"&amp;Table1[[#This Row],[Strike]]))</f>
        <v>12.4</v>
      </c>
      <c r="K11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0.10643987836093027</v>
      </c>
      <c r="L115" s="17" cm="1">
        <f t="array" aca="1" ref="L115" ca="1">CubicSplineIVSmile($A$4, Table1[[#This Row],[Strike]], 0.0411, Table1[[#This Row],[T]], (Table1[[#This Row],[BIDC]]+Table1[[#This Row],[ASKC]])/2, (Table1[[#This Row],[BIDP]]+Table1[[#This Row],[ASKP]])/2, Table1[Strike], Table1[IV Calc AVG])</f>
        <v>0.12646625765257094</v>
      </c>
      <c r="M115" s="1">
        <f t="shared" si="10"/>
        <v>46045</v>
      </c>
      <c r="N115">
        <f t="shared" si="11"/>
        <v>6920</v>
      </c>
      <c r="P115" s="17" cm="1">
        <f t="array" aca="1" ref="P115" ca="1">IF(
    ISNUMBER(Table1[[#This Row],[Strike]]),IndividualLegIVCore($A$4, Table1[[#This Row],[Strike]], 0.0411, Table1[[#This Row],[T]], ((Table1[[#This Row],[BIDP]]+Table1[[#This Row],[ASKP]])/2), FALSE))</f>
        <v>0.14268651999777238</v>
      </c>
      <c r="Q115">
        <f>IF(
    ISNUMBER(Table1[[#This Row],[Strike]]),RTD("tos.rtd", , "BID", "."&amp;Table1[[#This Row],[Ticker]]&amp;Table1[[#This Row],[Expiry]]&amp;""&amp;"P"&amp;Table1[[#This Row],[Strike]]))</f>
        <v>22.8</v>
      </c>
      <c r="R115">
        <f>IF(
    ISNUMBER(Table1[[#This Row],[Strike]]),RTD("tos.rtd", , "ASK", "."&amp;Table1[[#This Row],[Ticker]]&amp;Table1[[#This Row],[Expiry]]&amp;""&amp;"P"&amp;Table1[[#This Row],[Strike]]))</f>
        <v>23.4</v>
      </c>
      <c r="S115" s="17"/>
      <c r="T115">
        <f>IF(
    ISNUMBER(Table1[[#This Row],[Strike]]),RTD("tos.rtd", , "OPEN_INT", "."&amp;Table1[[#This Row],[Ticker]]&amp;Table1[[#This Row],[Expiry]]&amp;""&amp;"P"&amp;Table1[[#This Row],[Strike]]))</f>
        <v>1826</v>
      </c>
      <c r="U11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5337</v>
      </c>
      <c r="W115">
        <f>IF(
    ISNUMBER(Table1[[#This Row],[Strike]]),RTD("tos.rtd", , "DELTA", "."&amp;Table1[[#This Row],[Ticker]]&amp;Table1[[#This Row],[Expiry]]&amp;""&amp;"P"&amp;Table1[[#This Row],[Strike]]))</f>
        <v>-0.55000000000000004</v>
      </c>
      <c r="Y115" s="19">
        <f>2.5* IF($M$1="NDX", 10, IF(OR($M$1="SPX", $M$1="RUT"), 2, 1))</f>
        <v>5</v>
      </c>
      <c r="Z115">
        <f ca="1">IFERROR(Table1[[#This Row],[call gamma]]*(Table1[[#This Row],[Open.Int]])*$A$4^2,0)</f>
        <v>153494.77811755534</v>
      </c>
      <c r="AA115">
        <f ca="1">IFERROR(((Table1[[#This Row],[Open.Int8]])*Table1[[#This Row],[Put gamma]])*-1*$A$4^2,0)</f>
        <v>-204301.53031920904</v>
      </c>
      <c r="AB115">
        <f ca="1">(Table1[[#This Row],[Call Gex]]+Table1[[#This Row],[Put Gex]])</f>
        <v>-50806.752201653697</v>
      </c>
      <c r="AC115">
        <f ca="1">Table1[[#This Row],[call delta adj]]+Table1[[#This Row],[put delta adj]]</f>
        <v>-44828.139303840639</v>
      </c>
      <c r="AD115">
        <f ca="1">Table1[[#This Row],[Put Gex]]*Table1[[#This Row],[DeltaP]]*-1</f>
        <v>-112365.84167556498</v>
      </c>
      <c r="AE115">
        <f ca="1">Table1[[#This Row],[Call Gex]]*Table1[[#This Row],[DeltaC]]</f>
        <v>67537.702371724343</v>
      </c>
      <c r="AF115">
        <f>IF(Table1[[#This Row],[DeltaC]]-ABS(Table1[[#This Row],[DeltaP]])="0","0.01",Table1[[#This Row],[DeltaC]]-ABS(Table1[[#This Row],[DeltaP]]))</f>
        <v>-0.11000000000000004</v>
      </c>
      <c r="AG115">
        <f ca="1">((LN($A$4/Table1[[#This Row],[Strike]]) + (0.411 + 0.5 * Table1[[#This Row],[IV Calc P]]^2) *Table1[[#This Row],[T]])) / (Table1[[#This Row],[IV Calc P]] * SQRT(Table1[[#This Row],[T]]))</f>
        <v>1.7352934335893039E-2</v>
      </c>
      <c r="AH115">
        <f ca="1">(LN($A$4/Table1[[#This Row],[Strike]]) + (0.411-0 + 0.5 * Table1[[#This Row],[IV Calc C]]^2) *Table1[[#This Row],[T]]) / (Table1[[#This Row],[IV Calc C]] * SQRT(Table1[[#This Row],[T]]))</f>
        <v>2.1107059020611323E-2</v>
      </c>
      <c r="AI115">
        <f ca="1">(EXP(-(AG115^2)/2)/SQRT(2*PI())*EXP(0*SQRT(Table1[[#This Row],[T]]))/$A$4*18%*SQRT(SQRT(Table1[[#This Row],[T]])))</f>
        <v>2.3409587327515278E-6</v>
      </c>
      <c r="AJ115">
        <f ca="1">(EXP(-(AH115^2)/2)/SQRT(2*PI())*EXP(0*SQRT(Table1[[#This Row],[T]]))/$A$4*18%*SQRT(SQRT(Table1[[#This Row],[T]])))</f>
        <v>2.3407897408146625E-6</v>
      </c>
      <c r="AK115">
        <f ca="1">Table1[[#This Row],[Call D1]]-Table1[[#This Row],[IV Calc C]]*SQRT(Table1[[#This Row],[T]])</f>
        <v>1.5699084849077026E-2</v>
      </c>
      <c r="AL115">
        <f ca="1">Table1[[#This Row],[Put D1]]-Table1[[#This Row],[IV Calc P]]*SQRT(Table1[[#This Row],[T]])</f>
        <v>1.0103348685696505E-2</v>
      </c>
      <c r="AM115">
        <f ca="1">EXP(-0.5*Table1[[#This Row],[Call D1]]^2)/SQRT(2*PI())</f>
        <v>0.39885342432146254</v>
      </c>
      <c r="AN115">
        <f ca="1">EXP(-0.5*Table1[[#This Row],[Put D1]]^2)/SQRT(2*PI())</f>
        <v>0.39888221930954981</v>
      </c>
      <c r="AO115">
        <f ca="1">IFERROR((EXP(0*Table1[[#This Row],[T]])*Table1[[#This Row],[call N(d1)]]*(Table1[[#This Row],[call d2]]/Table1[[#This Row],[IV Calc C]]))*Table1[[#This Row],[Open.Int]]*Table1[[#This Row],[DeltaC]],0)</f>
        <v>35.513222307954592</v>
      </c>
      <c r="AP115">
        <f ca="1">IFERROR((EXP(0*Table1[[#This Row],[T]])*Table1[[#This Row],[put N(d1)]]*(Table1[[#This Row],[put d2]]/Table1[[#This Row],[IV Calc P]]))*Table1[[#This Row],[Open.Int8]]*Table1[[#This Row],[DeltaP]]*-1,0)</f>
        <v>28.3655060386975</v>
      </c>
      <c r="AQ115">
        <f ca="1">((Table1[[#This Row],[call vanna]]+Table1[[#This Row],[put vanna]])*$A$4)</f>
        <v>441616.00661532726</v>
      </c>
      <c r="AR11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153494.77811755534</v>
      </c>
      <c r="AS11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-204301.53031920904</v>
      </c>
      <c r="AT115" s="9" t="str" cm="1">
        <f t="array" ref="AT115">_xlfn.IFS(     $M$1="SPX","SPXW",     $M$1="RUT","RUTW",  $M$1="NDX","NDXP",   TRUE,$M$1 )</f>
        <v>SPXW</v>
      </c>
      <c r="AU115" s="2">
        <f t="shared" si="12"/>
        <v>6915</v>
      </c>
      <c r="AV115" t="str">
        <f t="shared" si="13"/>
        <v>260123</v>
      </c>
      <c r="AW115" s="19">
        <f ca="1">IFERROR((EXP(0*Table1[[#This Row],[T]])*Table1[[#This Row],[put N(d1)]]*(Table1[[#This Row],[put d2]]/Table1[[#This Row],[IV Calc P]]))*Table1[[#This Row],[Open.Int8]]*Table1[[#This Row],[DeltaP]]*-1,0)</f>
        <v>28.3655060386975</v>
      </c>
      <c r="AX115">
        <f ca="1">IFERROR((EXP(0*Table1[[#This Row],[T]])*Table1[[#This Row],[call N(d1)]]*(Table1[[#This Row],[call d2]]/Table1[[#This Row],[IV Calc C]]))*Table1[[#This Row],[Open.Int]]*Table1[[#This Row],[DeltaC]],0)</f>
        <v>35.513222307954592</v>
      </c>
      <c r="AY115">
        <f>IF(
    ISNUMBER(Table1[[#This Row],[Strike]]),RTD("tos.rtd", , "high", "."&amp;Table1[[#This Row],[Ticker]]&amp;Table1[[#This Row],[Expiry]]&amp;""&amp;"C"&amp;Table1[[#This Row],[Spot]]+Table1[[#This Row],[step]]))</f>
        <v>28.54</v>
      </c>
      <c r="AZ115">
        <f>IF(
    ISNUMBER(Table1[[#This Row],[Strike]]),RTD("tos.rtd", , "low", "."&amp;Table1[[#This Row],[Ticker]]&amp;Table1[[#This Row],[Expiry]]&amp;""&amp;"C"&amp;Table1[[#This Row],[Spot]]+Table1[[#This Row],[step]]))</f>
        <v>9.9</v>
      </c>
      <c r="BA115">
        <f>IF(
    ISNUMBER(Table1[[#This Row],[Strike]]),RTD("tos.rtd", , "high", "."&amp;Table1[[#This Row],[Ticker]]&amp;Table1[[#This Row],[Expiry]]&amp;""&amp;"P"&amp;Table1[[#This Row],[Spot]]+Table1[[#This Row],[step]]))</f>
        <v>36.5</v>
      </c>
      <c r="BB115">
        <f>IF(
    ISNUMBER(Table1[[#This Row],[Strike]]),RTD("tos.rtd", , "low", "."&amp;Table1[[#This Row],[Ticker]]&amp;Table1[[#This Row],[Expiry]]&amp;""&amp;"P"&amp;Table1[[#This Row],[Spot]]+Table1[[#This Row],[step]]))</f>
        <v>11.3</v>
      </c>
      <c r="BC115">
        <f>((Table1[[#This Row],[High C]]+Table1[[#This Row],[Low C]])/2)*Table1[[#This Row],[gammac]]*Table1[[#This Row],[Volume]]</f>
        <v>1570.2739999999999</v>
      </c>
      <c r="BD115">
        <f>((Table1[[#This Row],[High P]]+Table1[[#This Row],[Low P]])/2)*Table1[[#This Row],[gammap]]*Table1[[#This Row],[Volume9]]*-1</f>
        <v>-1275.5429999999999</v>
      </c>
      <c r="BE115">
        <f>(Table1[[#This Row],[SgammaC]]+Table1[[#This Row],[SgammaP]])*$A$4*-100</f>
        <v>-203757855.88500002</v>
      </c>
      <c r="BF115">
        <f>Table1[[#This Row],[DEXc]]+Table1[[#This Row],[DEXp]]</f>
        <v>-2769626.2770000012</v>
      </c>
      <c r="BG115">
        <f>IFERROR(Table1[[#This Row],[DeltaC]]*Table1[[#This Row],[Open.Int]]*$A$4,0)</f>
        <v>4173451.128</v>
      </c>
      <c r="BH115">
        <f>IFERROR(Table1[[#This Row],[DeltaP]]*Table1[[#This Row],[Open.Int8]]*$A$4,0)</f>
        <v>-6943077.4050000012</v>
      </c>
      <c r="BI11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-3654209.2226206148</v>
      </c>
      <c r="BJ11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-5421018.2463785233</v>
      </c>
      <c r="BK115">
        <f ca="1">Table1[[#This Row],[Charmc]]+Table1[[#This Row],[Charmp]]</f>
        <v>-9075227.4689991381</v>
      </c>
      <c r="BL11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1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15" s="78">
        <f ca="1">Table1[[#This Row],[call helper]]+Table1[[#This Row],[put helper]]</f>
        <v>-50806.752201653697</v>
      </c>
      <c r="BP115">
        <f>RTD("tos.rtd", , "STRIKE", "."&amp;Table1[[#This Row],[Ticker]]&amp;Table1[[#This Row],[Expiry]]&amp;""&amp;"C"&amp;Table1[[#This Row],[Spot]]+Table1[[#This Row],[step]])</f>
        <v>6920</v>
      </c>
    </row>
    <row r="116" spans="1:68" x14ac:dyDescent="0.25">
      <c r="A116">
        <f t="shared" ca="1" si="9"/>
        <v>2.5814307458086375E-3</v>
      </c>
      <c r="C116" s="17"/>
      <c r="D116" t="b">
        <f>IF(
    ISNUMBER(Table1[[#This Row],[Strike]]),RTD("tos.rtd", , "OPEN_INT", "."&amp;Table1[[#This Row],[Ticker]]&amp;Table1[[#This Row],[Expiry]]&amp;""&amp;"C"&amp;Table1[[#This Row],[Strike]]))</f>
        <v>0</v>
      </c>
      <c r="E11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6" t="b">
        <f>IF(
    ISNUMBER(Table1[[#This Row],[Strike]]),RTD("tos.rtd", , "DELTA", "."&amp;Table1[[#This Row],[Ticker]]&amp;Table1[[#This Row],[Expiry]]&amp;""&amp;"C"&amp;Table1[[#This Row],[Strike]]))</f>
        <v>0</v>
      </c>
      <c r="H116" s="17" t="b" cm="1">
        <f t="array" ref="H116">IF(
    ISNUMBER(Table1[[#This Row],[Strike]]),IndividualLegIVCore($A$4, Table1[[#This Row],[Strike]], 0.0411, Table1[[#This Row],[T]], ((Table1[[#This Row],[BIDC]]+Table1[[#This Row],[ASKC]])/2), TRUE))</f>
        <v>0</v>
      </c>
      <c r="I116" t="b">
        <f>IF(
    ISNUMBER(Table1[[#This Row],[Strike]]),RTD("tos.rtd", , "BID", "."&amp;Table1[[#This Row],[Ticker]]&amp;Table1[[#This Row],[Expiry]]&amp;""&amp;"C"&amp;Table1[[#This Row],[Strike]]))</f>
        <v>0</v>
      </c>
      <c r="J116" t="b">
        <f>IF(
    ISNUMBER(Table1[[#This Row],[Strike]]),RTD("tos.rtd", , "ASK", "."&amp;Table1[[#This Row],[Ticker]]&amp;Table1[[#This Row],[Expiry]]&amp;""&amp;"C"&amp;Table1[[#This Row],[Strike]]))</f>
        <v>0</v>
      </c>
      <c r="K11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6" s="17" cm="1">
        <f t="array" aca="1" ref="L11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6" s="1">
        <f t="shared" si="10"/>
        <v>46045</v>
      </c>
      <c r="N116" t="b">
        <f t="shared" si="11"/>
        <v>0</v>
      </c>
      <c r="P116" s="17" t="b" cm="1">
        <f t="array" ref="P116">IF(
    ISNUMBER(Table1[[#This Row],[Strike]]),IndividualLegIVCore($A$4, Table1[[#This Row],[Strike]], 0.0411, Table1[[#This Row],[T]], ((Table1[[#This Row],[BIDP]]+Table1[[#This Row],[ASKP]])/2), FALSE))</f>
        <v>0</v>
      </c>
      <c r="Q116" t="b">
        <f>IF(
    ISNUMBER(Table1[[#This Row],[Strike]]),RTD("tos.rtd", , "BID", "."&amp;Table1[[#This Row],[Ticker]]&amp;Table1[[#This Row],[Expiry]]&amp;""&amp;"P"&amp;Table1[[#This Row],[Strike]]))</f>
        <v>0</v>
      </c>
      <c r="R116" t="b">
        <f>IF(
    ISNUMBER(Table1[[#This Row],[Strike]]),RTD("tos.rtd", , "ASK", "."&amp;Table1[[#This Row],[Ticker]]&amp;Table1[[#This Row],[Expiry]]&amp;""&amp;"P"&amp;Table1[[#This Row],[Strike]]))</f>
        <v>0</v>
      </c>
      <c r="S116" s="17"/>
      <c r="T116" t="b">
        <f>IF(
    ISNUMBER(Table1[[#This Row],[Strike]]),RTD("tos.rtd", , "OPEN_INT", "."&amp;Table1[[#This Row],[Ticker]]&amp;Table1[[#This Row],[Expiry]]&amp;""&amp;"P"&amp;Table1[[#This Row],[Strike]]))</f>
        <v>0</v>
      </c>
      <c r="U11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6" t="b">
        <f>IF(
    ISNUMBER(Table1[[#This Row],[Strike]]),RTD("tos.rtd", , "DELTA", "."&amp;Table1[[#This Row],[Ticker]]&amp;Table1[[#This Row],[Expiry]]&amp;""&amp;"P"&amp;Table1[[#This Row],[Strike]]))</f>
        <v>0</v>
      </c>
      <c r="Y116" s="19">
        <f>3* IF($M$1="NDX", 10, IF(OR($M$1="SPX", $M$1="RUT"), 2, 1))</f>
        <v>6</v>
      </c>
      <c r="Z116">
        <f ca="1">IFERROR(Table1[[#This Row],[call gamma]]*(Table1[[#This Row],[Open.Int]])*$A$4^2,0)</f>
        <v>0</v>
      </c>
      <c r="AA116">
        <f ca="1">IFERROR(((Table1[[#This Row],[Open.Int8]])*Table1[[#This Row],[Put gamma]])*-1*$A$4^2,0)</f>
        <v>0</v>
      </c>
      <c r="AB116">
        <f ca="1">(Table1[[#This Row],[Call Gex]]+Table1[[#This Row],[Put Gex]])</f>
        <v>0</v>
      </c>
      <c r="AC116">
        <f ca="1">Table1[[#This Row],[call delta adj]]+Table1[[#This Row],[put delta adj]]</f>
        <v>0</v>
      </c>
      <c r="AD116">
        <f ca="1">Table1[[#This Row],[Put Gex]]*Table1[[#This Row],[DeltaP]]*-1</f>
        <v>0</v>
      </c>
      <c r="AE116">
        <f ca="1">Table1[[#This Row],[Call Gex]]*Table1[[#This Row],[DeltaC]]</f>
        <v>0</v>
      </c>
      <c r="AF116">
        <f>IF(Table1[[#This Row],[DeltaC]]-ABS(Table1[[#This Row],[DeltaP]])="0","0.01",Table1[[#This Row],[DeltaC]]-ABS(Table1[[#This Row],[DeltaP]]))</f>
        <v>0</v>
      </c>
      <c r="AG116" t="e">
        <f ca="1">((LN($A$4/Table1[[#This Row],[Strike]]) + (0.411 + 0.5 * Table1[[#This Row],[IV Calc P]]^2) *Table1[[#This Row],[T]])) / (Table1[[#This Row],[IV Calc P]] * SQRT(Table1[[#This Row],[T]]))</f>
        <v>#DIV/0!</v>
      </c>
      <c r="AH116" t="e">
        <f ca="1">(LN($A$4/Table1[[#This Row],[Strike]]) + (0.411-0 + 0.5 * Table1[[#This Row],[IV Calc C]]^2) *Table1[[#This Row],[T]]) / (Table1[[#This Row],[IV Calc C]] * SQRT(Table1[[#This Row],[T]]))</f>
        <v>#DIV/0!</v>
      </c>
      <c r="AI116" t="e">
        <f ca="1">(EXP(-(AG116^2)/2)/SQRT(2*PI())*EXP(0*SQRT(Table1[[#This Row],[T]]))/$A$4*18%*SQRT(SQRT(Table1[[#This Row],[T]])))</f>
        <v>#DIV/0!</v>
      </c>
      <c r="AJ116" t="e">
        <f ca="1">(EXP(-(AH116^2)/2)/SQRT(2*PI())*EXP(0*SQRT(Table1[[#This Row],[T]]))/$A$4*18%*SQRT(SQRT(Table1[[#This Row],[T]])))</f>
        <v>#DIV/0!</v>
      </c>
      <c r="AK116" t="e">
        <f ca="1">Table1[[#This Row],[Call D1]]-Table1[[#This Row],[IV Calc C]]*SQRT(Table1[[#This Row],[T]])</f>
        <v>#DIV/0!</v>
      </c>
      <c r="AL116" t="e">
        <f ca="1">Table1[[#This Row],[Put D1]]-Table1[[#This Row],[IV Calc P]]*SQRT(Table1[[#This Row],[T]])</f>
        <v>#DIV/0!</v>
      </c>
      <c r="AM116" t="e">
        <f ca="1">EXP(-0.5*Table1[[#This Row],[Call D1]]^2)/SQRT(2*PI())</f>
        <v>#DIV/0!</v>
      </c>
      <c r="AN116" t="e">
        <f ca="1">EXP(-0.5*Table1[[#This Row],[Put D1]]^2)/SQRT(2*PI())</f>
        <v>#DIV/0!</v>
      </c>
      <c r="AO116">
        <f ca="1">IFERROR((EXP(0*Table1[[#This Row],[T]])*Table1[[#This Row],[call N(d1)]]*(Table1[[#This Row],[call d2]]/Table1[[#This Row],[IV Calc C]]))*Table1[[#This Row],[Open.Int]]*Table1[[#This Row],[DeltaC]],0)</f>
        <v>0</v>
      </c>
      <c r="AP116">
        <f ca="1">IFERROR((EXP(0*Table1[[#This Row],[T]])*Table1[[#This Row],[put N(d1)]]*(Table1[[#This Row],[put d2]]/Table1[[#This Row],[IV Calc P]]))*Table1[[#This Row],[Open.Int8]]*Table1[[#This Row],[DeltaP]]*-1,0)</f>
        <v>0</v>
      </c>
      <c r="AQ116">
        <f ca="1">((Table1[[#This Row],[call vanna]]+Table1[[#This Row],[put vanna]])*$A$4)</f>
        <v>0</v>
      </c>
      <c r="AR11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6" s="9" t="str" cm="1">
        <f t="array" ref="AT116">_xlfn.IFS(     $M$1="SPX","SPXW",     $M$1="RUT","RUTW",  $M$1="NDX","NDXP",   TRUE,$M$1 )</f>
        <v>SPXW</v>
      </c>
      <c r="AU116" s="2">
        <f t="shared" si="12"/>
        <v>6915</v>
      </c>
      <c r="AV116" t="str">
        <f t="shared" si="13"/>
        <v>260123</v>
      </c>
      <c r="AW116" s="19">
        <f ca="1">IFERROR((EXP(0*Table1[[#This Row],[T]])*Table1[[#This Row],[put N(d1)]]*(Table1[[#This Row],[put d2]]/Table1[[#This Row],[IV Calc P]]))*Table1[[#This Row],[Open.Int8]]*Table1[[#This Row],[DeltaP]]*-1,0)</f>
        <v>0</v>
      </c>
      <c r="AX116">
        <f ca="1">IFERROR((EXP(0*Table1[[#This Row],[T]])*Table1[[#This Row],[call N(d1)]]*(Table1[[#This Row],[call d2]]/Table1[[#This Row],[IV Calc C]]))*Table1[[#This Row],[Open.Int]]*Table1[[#This Row],[DeltaC]],0)</f>
        <v>0</v>
      </c>
      <c r="AY11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6">
        <f>((Table1[[#This Row],[High C]]+Table1[[#This Row],[Low C]])/2)*Table1[[#This Row],[gammac]]*Table1[[#This Row],[Volume]]</f>
        <v>0</v>
      </c>
      <c r="BD116">
        <f>((Table1[[#This Row],[High P]]+Table1[[#This Row],[Low P]])/2)*Table1[[#This Row],[gammap]]*Table1[[#This Row],[Volume9]]*-1</f>
        <v>0</v>
      </c>
      <c r="BE116">
        <f>(Table1[[#This Row],[SgammaC]]+Table1[[#This Row],[SgammaP]])*$A$4*-100</f>
        <v>0</v>
      </c>
      <c r="BF116">
        <f>Table1[[#This Row],[DEXc]]+Table1[[#This Row],[DEXp]]</f>
        <v>0</v>
      </c>
      <c r="BG116">
        <f>IFERROR(Table1[[#This Row],[DeltaC]]*Table1[[#This Row],[Open.Int]]*$A$4,0)</f>
        <v>0</v>
      </c>
      <c r="BH116">
        <f>IFERROR(Table1[[#This Row],[DeltaP]]*Table1[[#This Row],[Open.Int8]]*$A$4,0)</f>
        <v>0</v>
      </c>
      <c r="BI11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6">
        <f ca="1">Table1[[#This Row],[Charmc]]+Table1[[#This Row],[Charmp]]</f>
        <v>0</v>
      </c>
      <c r="BL11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6" s="78">
        <f ca="1">Table1[[#This Row],[call helper]]+Table1[[#This Row],[put helper]]</f>
        <v>0</v>
      </c>
      <c r="BP116" t="str">
        <f>RTD("tos.rtd", , "STRIKE", "."&amp;Table1[[#This Row],[Ticker]]&amp;Table1[[#This Row],[Expiry]]&amp;""&amp;"C"&amp;Table1[[#This Row],[Spot]]+Table1[[#This Row],[step]])</f>
        <v>N/A</v>
      </c>
    </row>
    <row r="117" spans="1:68" x14ac:dyDescent="0.25">
      <c r="A117">
        <f t="shared" ca="1" si="9"/>
        <v>2.5814307458086375E-3</v>
      </c>
      <c r="C117" s="17"/>
      <c r="D117" t="b">
        <f>IF(
    ISNUMBER(Table1[[#This Row],[Strike]]),RTD("tos.rtd", , "OPEN_INT", "."&amp;Table1[[#This Row],[Ticker]]&amp;Table1[[#This Row],[Expiry]]&amp;""&amp;"C"&amp;Table1[[#This Row],[Strike]]))</f>
        <v>0</v>
      </c>
      <c r="E11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7" t="b">
        <f>IF(
    ISNUMBER(Table1[[#This Row],[Strike]]),RTD("tos.rtd", , "DELTA", "."&amp;Table1[[#This Row],[Ticker]]&amp;Table1[[#This Row],[Expiry]]&amp;""&amp;"C"&amp;Table1[[#This Row],[Strike]]))</f>
        <v>0</v>
      </c>
      <c r="H117" s="17" t="b" cm="1">
        <f t="array" ref="H117">IF(
    ISNUMBER(Table1[[#This Row],[Strike]]),IndividualLegIVCore($A$4, Table1[[#This Row],[Strike]], 0.0411, Table1[[#This Row],[T]], ((Table1[[#This Row],[BIDC]]+Table1[[#This Row],[ASKC]])/2), TRUE))</f>
        <v>0</v>
      </c>
      <c r="I117" t="b">
        <f>IF(
    ISNUMBER(Table1[[#This Row],[Strike]]),RTD("tos.rtd", , "BID", "."&amp;Table1[[#This Row],[Ticker]]&amp;Table1[[#This Row],[Expiry]]&amp;""&amp;"C"&amp;Table1[[#This Row],[Strike]]))</f>
        <v>0</v>
      </c>
      <c r="J117" t="b">
        <f>IF(
    ISNUMBER(Table1[[#This Row],[Strike]]),RTD("tos.rtd", , "ASK", "."&amp;Table1[[#This Row],[Ticker]]&amp;Table1[[#This Row],[Expiry]]&amp;""&amp;"C"&amp;Table1[[#This Row],[Strike]]))</f>
        <v>0</v>
      </c>
      <c r="K11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7" s="17" cm="1">
        <f t="array" aca="1" ref="L11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7" s="1">
        <f t="shared" si="10"/>
        <v>46045</v>
      </c>
      <c r="N117" t="b">
        <f t="shared" si="11"/>
        <v>0</v>
      </c>
      <c r="P117" s="17" t="b" cm="1">
        <f t="array" ref="P117">IF(
    ISNUMBER(Table1[[#This Row],[Strike]]),IndividualLegIVCore($A$4, Table1[[#This Row],[Strike]], 0.0411, Table1[[#This Row],[T]], ((Table1[[#This Row],[BIDP]]+Table1[[#This Row],[ASKP]])/2), FALSE))</f>
        <v>0</v>
      </c>
      <c r="Q117" t="b">
        <f>IF(
    ISNUMBER(Table1[[#This Row],[Strike]]),RTD("tos.rtd", , "BID", "."&amp;Table1[[#This Row],[Ticker]]&amp;Table1[[#This Row],[Expiry]]&amp;""&amp;"P"&amp;Table1[[#This Row],[Strike]]))</f>
        <v>0</v>
      </c>
      <c r="R117" t="b">
        <f>IF(
    ISNUMBER(Table1[[#This Row],[Strike]]),RTD("tos.rtd", , "ASK", "."&amp;Table1[[#This Row],[Ticker]]&amp;Table1[[#This Row],[Expiry]]&amp;""&amp;"P"&amp;Table1[[#This Row],[Strike]]))</f>
        <v>0</v>
      </c>
      <c r="S117" s="17"/>
      <c r="T117" t="b">
        <f>IF(
    ISNUMBER(Table1[[#This Row],[Strike]]),RTD("tos.rtd", , "OPEN_INT", "."&amp;Table1[[#This Row],[Ticker]]&amp;Table1[[#This Row],[Expiry]]&amp;""&amp;"P"&amp;Table1[[#This Row],[Strike]]))</f>
        <v>0</v>
      </c>
      <c r="U11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7" t="b">
        <f>IF(
    ISNUMBER(Table1[[#This Row],[Strike]]),RTD("tos.rtd", , "DELTA", "."&amp;Table1[[#This Row],[Ticker]]&amp;Table1[[#This Row],[Expiry]]&amp;""&amp;"P"&amp;Table1[[#This Row],[Strike]]))</f>
        <v>0</v>
      </c>
      <c r="Y117" s="19">
        <f>3.5* IF($M$1="NDX", 10, IF(OR($M$1="SPX", $M$1="RUT"), 2, 1))</f>
        <v>7</v>
      </c>
      <c r="Z117">
        <f ca="1">IFERROR(Table1[[#This Row],[call gamma]]*(Table1[[#This Row],[Open.Int]])*$A$4^2,0)</f>
        <v>0</v>
      </c>
      <c r="AA117">
        <f ca="1">IFERROR(((Table1[[#This Row],[Open.Int8]])*Table1[[#This Row],[Put gamma]])*-1*$A$4^2,0)</f>
        <v>0</v>
      </c>
      <c r="AB117">
        <f ca="1">(Table1[[#This Row],[Call Gex]]+Table1[[#This Row],[Put Gex]])</f>
        <v>0</v>
      </c>
      <c r="AC117">
        <f ca="1">Table1[[#This Row],[call delta adj]]+Table1[[#This Row],[put delta adj]]</f>
        <v>0</v>
      </c>
      <c r="AD117">
        <f ca="1">Table1[[#This Row],[Put Gex]]*Table1[[#This Row],[DeltaP]]*-1</f>
        <v>0</v>
      </c>
      <c r="AE117">
        <f ca="1">Table1[[#This Row],[Call Gex]]*Table1[[#This Row],[DeltaC]]</f>
        <v>0</v>
      </c>
      <c r="AF117">
        <f>IF(Table1[[#This Row],[DeltaC]]-ABS(Table1[[#This Row],[DeltaP]])="0","0.01",Table1[[#This Row],[DeltaC]]-ABS(Table1[[#This Row],[DeltaP]]))</f>
        <v>0</v>
      </c>
      <c r="AG117" t="e">
        <f ca="1">((LN($A$4/Table1[[#This Row],[Strike]]) + (0.411 + 0.5 * Table1[[#This Row],[IV Calc P]]^2) *Table1[[#This Row],[T]])) / (Table1[[#This Row],[IV Calc P]] * SQRT(Table1[[#This Row],[T]]))</f>
        <v>#DIV/0!</v>
      </c>
      <c r="AH117" t="e">
        <f ca="1">(LN($A$4/Table1[[#This Row],[Strike]]) + (0.411-0 + 0.5 * Table1[[#This Row],[IV Calc C]]^2) *Table1[[#This Row],[T]]) / (Table1[[#This Row],[IV Calc C]] * SQRT(Table1[[#This Row],[T]]))</f>
        <v>#DIV/0!</v>
      </c>
      <c r="AI117" t="e">
        <f ca="1">(EXP(-(AG117^2)/2)/SQRT(2*PI())*EXP(0*SQRT(Table1[[#This Row],[T]]))/$A$4*18%*SQRT(SQRT(Table1[[#This Row],[T]])))</f>
        <v>#DIV/0!</v>
      </c>
      <c r="AJ117" t="e">
        <f ca="1">(EXP(-(AH117^2)/2)/SQRT(2*PI())*EXP(0*SQRT(Table1[[#This Row],[T]]))/$A$4*18%*SQRT(SQRT(Table1[[#This Row],[T]])))</f>
        <v>#DIV/0!</v>
      </c>
      <c r="AK117" t="e">
        <f ca="1">Table1[[#This Row],[Call D1]]-Table1[[#This Row],[IV Calc C]]*SQRT(Table1[[#This Row],[T]])</f>
        <v>#DIV/0!</v>
      </c>
      <c r="AL117" t="e">
        <f ca="1">Table1[[#This Row],[Put D1]]-Table1[[#This Row],[IV Calc P]]*SQRT(Table1[[#This Row],[T]])</f>
        <v>#DIV/0!</v>
      </c>
      <c r="AM117" t="e">
        <f ca="1">EXP(-0.5*Table1[[#This Row],[Call D1]]^2)/SQRT(2*PI())</f>
        <v>#DIV/0!</v>
      </c>
      <c r="AN117" t="e">
        <f ca="1">EXP(-0.5*Table1[[#This Row],[Put D1]]^2)/SQRT(2*PI())</f>
        <v>#DIV/0!</v>
      </c>
      <c r="AO117">
        <f ca="1">IFERROR((EXP(0*Table1[[#This Row],[T]])*Table1[[#This Row],[call N(d1)]]*(Table1[[#This Row],[call d2]]/Table1[[#This Row],[IV Calc C]]))*Table1[[#This Row],[Open.Int]]*Table1[[#This Row],[DeltaC]],0)</f>
        <v>0</v>
      </c>
      <c r="AP117">
        <f ca="1">IFERROR((EXP(0*Table1[[#This Row],[T]])*Table1[[#This Row],[put N(d1)]]*(Table1[[#This Row],[put d2]]/Table1[[#This Row],[IV Calc P]]))*Table1[[#This Row],[Open.Int8]]*Table1[[#This Row],[DeltaP]]*-1,0)</f>
        <v>0</v>
      </c>
      <c r="AQ117">
        <f ca="1">((Table1[[#This Row],[call vanna]]+Table1[[#This Row],[put vanna]])*$A$4)</f>
        <v>0</v>
      </c>
      <c r="AR11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7" s="9" t="str" cm="1">
        <f t="array" ref="AT117">_xlfn.IFS(     $M$1="SPX","SPXW",     $M$1="RUT","RUTW",  $M$1="NDX","NDXP",   TRUE,$M$1 )</f>
        <v>SPXW</v>
      </c>
      <c r="AU117" s="2">
        <f t="shared" si="12"/>
        <v>6915</v>
      </c>
      <c r="AV117" t="str">
        <f t="shared" si="13"/>
        <v>260123</v>
      </c>
      <c r="AW117" s="19">
        <f ca="1">IFERROR((EXP(0*Table1[[#This Row],[T]])*Table1[[#This Row],[put N(d1)]]*(Table1[[#This Row],[put d2]]/Table1[[#This Row],[IV Calc P]]))*Table1[[#This Row],[Open.Int8]]*Table1[[#This Row],[DeltaP]]*-1,0)</f>
        <v>0</v>
      </c>
      <c r="AX117">
        <f ca="1">IFERROR((EXP(0*Table1[[#This Row],[T]])*Table1[[#This Row],[call N(d1)]]*(Table1[[#This Row],[call d2]]/Table1[[#This Row],[IV Calc C]]))*Table1[[#This Row],[Open.Int]]*Table1[[#This Row],[DeltaC]],0)</f>
        <v>0</v>
      </c>
      <c r="AY11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7">
        <f>((Table1[[#This Row],[High C]]+Table1[[#This Row],[Low C]])/2)*Table1[[#This Row],[gammac]]*Table1[[#This Row],[Volume]]</f>
        <v>0</v>
      </c>
      <c r="BD117">
        <f>((Table1[[#This Row],[High P]]+Table1[[#This Row],[Low P]])/2)*Table1[[#This Row],[gammap]]*Table1[[#This Row],[Volume9]]*-1</f>
        <v>0</v>
      </c>
      <c r="BE117">
        <f>(Table1[[#This Row],[SgammaC]]+Table1[[#This Row],[SgammaP]])*$A$4*-100</f>
        <v>0</v>
      </c>
      <c r="BF117">
        <f>Table1[[#This Row],[DEXc]]+Table1[[#This Row],[DEXp]]</f>
        <v>0</v>
      </c>
      <c r="BG117">
        <f>IFERROR(Table1[[#This Row],[DeltaC]]*Table1[[#This Row],[Open.Int]]*$A$4,0)</f>
        <v>0</v>
      </c>
      <c r="BH117">
        <f>IFERROR(Table1[[#This Row],[DeltaP]]*Table1[[#This Row],[Open.Int8]]*$A$4,0)</f>
        <v>0</v>
      </c>
      <c r="BI11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7">
        <f ca="1">Table1[[#This Row],[Charmc]]+Table1[[#This Row],[Charmp]]</f>
        <v>0</v>
      </c>
      <c r="BL11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7" s="78">
        <f ca="1">Table1[[#This Row],[call helper]]+Table1[[#This Row],[put helper]]</f>
        <v>0</v>
      </c>
      <c r="BP117" t="str">
        <f>RTD("tos.rtd", , "STRIKE", "."&amp;Table1[[#This Row],[Ticker]]&amp;Table1[[#This Row],[Expiry]]&amp;""&amp;"C"&amp;Table1[[#This Row],[Spot]]+Table1[[#This Row],[step]])</f>
        <v>N/A</v>
      </c>
    </row>
    <row r="118" spans="1:68" x14ac:dyDescent="0.25">
      <c r="A118">
        <f t="shared" ca="1" si="9"/>
        <v>2.5814307458086375E-3</v>
      </c>
      <c r="C118" s="17"/>
      <c r="D118" t="b">
        <f>IF(
    ISNUMBER(Table1[[#This Row],[Strike]]),RTD("tos.rtd", , "OPEN_INT", "."&amp;Table1[[#This Row],[Ticker]]&amp;Table1[[#This Row],[Expiry]]&amp;""&amp;"C"&amp;Table1[[#This Row],[Strike]]))</f>
        <v>0</v>
      </c>
      <c r="E11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8" t="b">
        <f>IF(
    ISNUMBER(Table1[[#This Row],[Strike]]),RTD("tos.rtd", , "DELTA", "."&amp;Table1[[#This Row],[Ticker]]&amp;Table1[[#This Row],[Expiry]]&amp;""&amp;"C"&amp;Table1[[#This Row],[Strike]]))</f>
        <v>0</v>
      </c>
      <c r="H118" s="17" t="b" cm="1">
        <f t="array" ref="H118">IF(
    ISNUMBER(Table1[[#This Row],[Strike]]),IndividualLegIVCore($A$4, Table1[[#This Row],[Strike]], 0.0411, Table1[[#This Row],[T]], ((Table1[[#This Row],[BIDC]]+Table1[[#This Row],[ASKC]])/2), TRUE))</f>
        <v>0</v>
      </c>
      <c r="I118" t="b">
        <f>IF(
    ISNUMBER(Table1[[#This Row],[Strike]]),RTD("tos.rtd", , "BID", "."&amp;Table1[[#This Row],[Ticker]]&amp;Table1[[#This Row],[Expiry]]&amp;""&amp;"C"&amp;Table1[[#This Row],[Strike]]))</f>
        <v>0</v>
      </c>
      <c r="J118" t="b">
        <f>IF(
    ISNUMBER(Table1[[#This Row],[Strike]]),RTD("tos.rtd", , "ASK", "."&amp;Table1[[#This Row],[Ticker]]&amp;Table1[[#This Row],[Expiry]]&amp;""&amp;"C"&amp;Table1[[#This Row],[Strike]]))</f>
        <v>0</v>
      </c>
      <c r="K11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8" s="17" cm="1">
        <f t="array" aca="1" ref="L11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8" s="1">
        <f t="shared" si="10"/>
        <v>46045</v>
      </c>
      <c r="N118" t="b">
        <f t="shared" si="11"/>
        <v>0</v>
      </c>
      <c r="P118" s="17" t="b" cm="1">
        <f t="array" ref="P118">IF(
    ISNUMBER(Table1[[#This Row],[Strike]]),IndividualLegIVCore($A$4, Table1[[#This Row],[Strike]], 0.0411, Table1[[#This Row],[T]], ((Table1[[#This Row],[BIDP]]+Table1[[#This Row],[ASKP]])/2), FALSE))</f>
        <v>0</v>
      </c>
      <c r="Q118" t="b">
        <f>IF(
    ISNUMBER(Table1[[#This Row],[Strike]]),RTD("tos.rtd", , "BID", "."&amp;Table1[[#This Row],[Ticker]]&amp;Table1[[#This Row],[Expiry]]&amp;""&amp;"P"&amp;Table1[[#This Row],[Strike]]))</f>
        <v>0</v>
      </c>
      <c r="R118" t="b">
        <f>IF(
    ISNUMBER(Table1[[#This Row],[Strike]]),RTD("tos.rtd", , "ASK", "."&amp;Table1[[#This Row],[Ticker]]&amp;Table1[[#This Row],[Expiry]]&amp;""&amp;"P"&amp;Table1[[#This Row],[Strike]]))</f>
        <v>0</v>
      </c>
      <c r="S118" s="17"/>
      <c r="T118" t="b">
        <f>IF(
    ISNUMBER(Table1[[#This Row],[Strike]]),RTD("tos.rtd", , "OPEN_INT", "."&amp;Table1[[#This Row],[Ticker]]&amp;Table1[[#This Row],[Expiry]]&amp;""&amp;"P"&amp;Table1[[#This Row],[Strike]]))</f>
        <v>0</v>
      </c>
      <c r="U11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8" t="b">
        <f>IF(
    ISNUMBER(Table1[[#This Row],[Strike]]),RTD("tos.rtd", , "DELTA", "."&amp;Table1[[#This Row],[Ticker]]&amp;Table1[[#This Row],[Expiry]]&amp;""&amp;"P"&amp;Table1[[#This Row],[Strike]]))</f>
        <v>0</v>
      </c>
      <c r="Y118" s="19">
        <f>4* IF($M$1="NDX", 10, IF(OR($M$1="SPX", $M$1="RUT"), 2, 1))</f>
        <v>8</v>
      </c>
      <c r="Z118">
        <f ca="1">IFERROR(Table1[[#This Row],[call gamma]]*(Table1[[#This Row],[Open.Int]])*$A$4^2,0)</f>
        <v>0</v>
      </c>
      <c r="AA118">
        <f ca="1">IFERROR(((Table1[[#This Row],[Open.Int8]])*Table1[[#This Row],[Put gamma]])*-1*$A$4^2,0)</f>
        <v>0</v>
      </c>
      <c r="AB118">
        <f ca="1">(Table1[[#This Row],[Call Gex]]+Table1[[#This Row],[Put Gex]])</f>
        <v>0</v>
      </c>
      <c r="AC118">
        <f ca="1">Table1[[#This Row],[call delta adj]]+Table1[[#This Row],[put delta adj]]</f>
        <v>0</v>
      </c>
      <c r="AD118">
        <f ca="1">Table1[[#This Row],[Put Gex]]*Table1[[#This Row],[DeltaP]]*-1</f>
        <v>0</v>
      </c>
      <c r="AE118">
        <f ca="1">Table1[[#This Row],[Call Gex]]*Table1[[#This Row],[DeltaC]]</f>
        <v>0</v>
      </c>
      <c r="AF118">
        <f>IF(Table1[[#This Row],[DeltaC]]-ABS(Table1[[#This Row],[DeltaP]])="0","0.01",Table1[[#This Row],[DeltaC]]-ABS(Table1[[#This Row],[DeltaP]]))</f>
        <v>0</v>
      </c>
      <c r="AG118" t="e">
        <f ca="1">((LN($A$4/Table1[[#This Row],[Strike]]) + (0.411 + 0.5 * Table1[[#This Row],[IV Calc P]]^2) *Table1[[#This Row],[T]])) / (Table1[[#This Row],[IV Calc P]] * SQRT(Table1[[#This Row],[T]]))</f>
        <v>#DIV/0!</v>
      </c>
      <c r="AH118" t="e">
        <f ca="1">(LN($A$4/Table1[[#This Row],[Strike]]) + (0.411-0 + 0.5 * Table1[[#This Row],[IV Calc C]]^2) *Table1[[#This Row],[T]]) / (Table1[[#This Row],[IV Calc C]] * SQRT(Table1[[#This Row],[T]]))</f>
        <v>#DIV/0!</v>
      </c>
      <c r="AI118" t="e">
        <f ca="1">(EXP(-(AG118^2)/2)/SQRT(2*PI())*EXP(0*SQRT(Table1[[#This Row],[T]]))/$A$4*18%*SQRT(SQRT(Table1[[#This Row],[T]])))</f>
        <v>#DIV/0!</v>
      </c>
      <c r="AJ118" t="e">
        <f ca="1">(EXP(-(AH118^2)/2)/SQRT(2*PI())*EXP(0*SQRT(Table1[[#This Row],[T]]))/$A$4*18%*SQRT(SQRT(Table1[[#This Row],[T]])))</f>
        <v>#DIV/0!</v>
      </c>
      <c r="AK118" t="e">
        <f ca="1">Table1[[#This Row],[Call D1]]-Table1[[#This Row],[IV Calc C]]*SQRT(Table1[[#This Row],[T]])</f>
        <v>#DIV/0!</v>
      </c>
      <c r="AL118" t="e">
        <f ca="1">Table1[[#This Row],[Put D1]]-Table1[[#This Row],[IV Calc P]]*SQRT(Table1[[#This Row],[T]])</f>
        <v>#DIV/0!</v>
      </c>
      <c r="AM118" t="e">
        <f ca="1">EXP(-0.5*Table1[[#This Row],[Call D1]]^2)/SQRT(2*PI())</f>
        <v>#DIV/0!</v>
      </c>
      <c r="AN118" t="e">
        <f ca="1">EXP(-0.5*Table1[[#This Row],[Put D1]]^2)/SQRT(2*PI())</f>
        <v>#DIV/0!</v>
      </c>
      <c r="AO118">
        <f ca="1">IFERROR((EXP(0*Table1[[#This Row],[T]])*Table1[[#This Row],[call N(d1)]]*(Table1[[#This Row],[call d2]]/Table1[[#This Row],[IV Calc C]]))*Table1[[#This Row],[Open.Int]]*Table1[[#This Row],[DeltaC]],0)</f>
        <v>0</v>
      </c>
      <c r="AP118">
        <f ca="1">IFERROR((EXP(0*Table1[[#This Row],[T]])*Table1[[#This Row],[put N(d1)]]*(Table1[[#This Row],[put d2]]/Table1[[#This Row],[IV Calc P]]))*Table1[[#This Row],[Open.Int8]]*Table1[[#This Row],[DeltaP]]*-1,0)</f>
        <v>0</v>
      </c>
      <c r="AQ118">
        <f ca="1">((Table1[[#This Row],[call vanna]]+Table1[[#This Row],[put vanna]])*$A$4)</f>
        <v>0</v>
      </c>
      <c r="AR11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8" s="9" t="str" cm="1">
        <f t="array" ref="AT118">_xlfn.IFS(     $M$1="SPX","SPXW",     $M$1="RUT","RUTW",  $M$1="NDX","NDXP",   TRUE,$M$1 )</f>
        <v>SPXW</v>
      </c>
      <c r="AU118" s="2">
        <f t="shared" si="12"/>
        <v>6915</v>
      </c>
      <c r="AV118" t="str">
        <f t="shared" si="13"/>
        <v>260123</v>
      </c>
      <c r="AW118" s="19">
        <f ca="1">IFERROR((EXP(0*Table1[[#This Row],[T]])*Table1[[#This Row],[put N(d1)]]*(Table1[[#This Row],[put d2]]/Table1[[#This Row],[IV Calc P]]))*Table1[[#This Row],[Open.Int8]]*Table1[[#This Row],[DeltaP]]*-1,0)</f>
        <v>0</v>
      </c>
      <c r="AX118">
        <f ca="1">IFERROR((EXP(0*Table1[[#This Row],[T]])*Table1[[#This Row],[call N(d1)]]*(Table1[[#This Row],[call d2]]/Table1[[#This Row],[IV Calc C]]))*Table1[[#This Row],[Open.Int]]*Table1[[#This Row],[DeltaC]],0)</f>
        <v>0</v>
      </c>
      <c r="AY11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8">
        <f>((Table1[[#This Row],[High C]]+Table1[[#This Row],[Low C]])/2)*Table1[[#This Row],[gammac]]*Table1[[#This Row],[Volume]]</f>
        <v>0</v>
      </c>
      <c r="BD118">
        <f>((Table1[[#This Row],[High P]]+Table1[[#This Row],[Low P]])/2)*Table1[[#This Row],[gammap]]*Table1[[#This Row],[Volume9]]*-1</f>
        <v>0</v>
      </c>
      <c r="BE118">
        <f>(Table1[[#This Row],[SgammaC]]+Table1[[#This Row],[SgammaP]])*$A$4*-100</f>
        <v>0</v>
      </c>
      <c r="BF118">
        <f>Table1[[#This Row],[DEXc]]+Table1[[#This Row],[DEXp]]</f>
        <v>0</v>
      </c>
      <c r="BG118">
        <f>IFERROR(Table1[[#This Row],[DeltaC]]*Table1[[#This Row],[Open.Int]]*$A$4,0)</f>
        <v>0</v>
      </c>
      <c r="BH118">
        <f>IFERROR(Table1[[#This Row],[DeltaP]]*Table1[[#This Row],[Open.Int8]]*$A$4,0)</f>
        <v>0</v>
      </c>
      <c r="BI11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8">
        <f ca="1">Table1[[#This Row],[Charmc]]+Table1[[#This Row],[Charmp]]</f>
        <v>0</v>
      </c>
      <c r="BL11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8" s="78">
        <f ca="1">Table1[[#This Row],[call helper]]+Table1[[#This Row],[put helper]]</f>
        <v>0</v>
      </c>
      <c r="BP118" t="str">
        <f>RTD("tos.rtd", , "STRIKE", "."&amp;Table1[[#This Row],[Ticker]]&amp;Table1[[#This Row],[Expiry]]&amp;""&amp;"C"&amp;Table1[[#This Row],[Spot]]+Table1[[#This Row],[step]])</f>
        <v>N/A</v>
      </c>
    </row>
    <row r="119" spans="1:68" x14ac:dyDescent="0.25">
      <c r="A119">
        <f t="shared" ca="1" si="9"/>
        <v>2.5814307458086375E-3</v>
      </c>
      <c r="C119" s="17"/>
      <c r="D119" t="b">
        <f>IF(
    ISNUMBER(Table1[[#This Row],[Strike]]),RTD("tos.rtd", , "OPEN_INT", "."&amp;Table1[[#This Row],[Ticker]]&amp;Table1[[#This Row],[Expiry]]&amp;""&amp;"C"&amp;Table1[[#This Row],[Strike]]))</f>
        <v>0</v>
      </c>
      <c r="E11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9" t="b">
        <f>IF(
    ISNUMBER(Table1[[#This Row],[Strike]]),RTD("tos.rtd", , "DELTA", "."&amp;Table1[[#This Row],[Ticker]]&amp;Table1[[#This Row],[Expiry]]&amp;""&amp;"C"&amp;Table1[[#This Row],[Strike]]))</f>
        <v>0</v>
      </c>
      <c r="H119" s="17" t="b" cm="1">
        <f t="array" ref="H119">IF(
    ISNUMBER(Table1[[#This Row],[Strike]]),IndividualLegIVCore($A$4, Table1[[#This Row],[Strike]], 0.0411, Table1[[#This Row],[T]], ((Table1[[#This Row],[BIDC]]+Table1[[#This Row],[ASKC]])/2), TRUE))</f>
        <v>0</v>
      </c>
      <c r="I119" t="b">
        <f>IF(
    ISNUMBER(Table1[[#This Row],[Strike]]),RTD("tos.rtd", , "BID", "."&amp;Table1[[#This Row],[Ticker]]&amp;Table1[[#This Row],[Expiry]]&amp;""&amp;"C"&amp;Table1[[#This Row],[Strike]]))</f>
        <v>0</v>
      </c>
      <c r="J119" t="b">
        <f>IF(
    ISNUMBER(Table1[[#This Row],[Strike]]),RTD("tos.rtd", , "ASK", "."&amp;Table1[[#This Row],[Ticker]]&amp;Table1[[#This Row],[Expiry]]&amp;""&amp;"C"&amp;Table1[[#This Row],[Strike]]))</f>
        <v>0</v>
      </c>
      <c r="K11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9" s="17" cm="1">
        <f t="array" aca="1" ref="L11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9" s="1">
        <f t="shared" si="10"/>
        <v>46045</v>
      </c>
      <c r="N119" t="b">
        <f t="shared" si="11"/>
        <v>0</v>
      </c>
      <c r="P119" s="17" t="b" cm="1">
        <f t="array" ref="P119">IF(
    ISNUMBER(Table1[[#This Row],[Strike]]),IndividualLegIVCore($A$4, Table1[[#This Row],[Strike]], 0.0411, Table1[[#This Row],[T]], ((Table1[[#This Row],[BIDP]]+Table1[[#This Row],[ASKP]])/2), FALSE))</f>
        <v>0</v>
      </c>
      <c r="Q119" t="b">
        <f>IF(
    ISNUMBER(Table1[[#This Row],[Strike]]),RTD("tos.rtd", , "BID", "."&amp;Table1[[#This Row],[Ticker]]&amp;Table1[[#This Row],[Expiry]]&amp;""&amp;"P"&amp;Table1[[#This Row],[Strike]]))</f>
        <v>0</v>
      </c>
      <c r="R119" t="b">
        <f>IF(
    ISNUMBER(Table1[[#This Row],[Strike]]),RTD("tos.rtd", , "ASK", "."&amp;Table1[[#This Row],[Ticker]]&amp;Table1[[#This Row],[Expiry]]&amp;""&amp;"P"&amp;Table1[[#This Row],[Strike]]))</f>
        <v>0</v>
      </c>
      <c r="S119" s="17"/>
      <c r="T119" t="b">
        <f>IF(
    ISNUMBER(Table1[[#This Row],[Strike]]),RTD("tos.rtd", , "OPEN_INT", "."&amp;Table1[[#This Row],[Ticker]]&amp;Table1[[#This Row],[Expiry]]&amp;""&amp;"P"&amp;Table1[[#This Row],[Strike]]))</f>
        <v>0</v>
      </c>
      <c r="U11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9" t="b">
        <f>IF(
    ISNUMBER(Table1[[#This Row],[Strike]]),RTD("tos.rtd", , "DELTA", "."&amp;Table1[[#This Row],[Ticker]]&amp;Table1[[#This Row],[Expiry]]&amp;""&amp;"P"&amp;Table1[[#This Row],[Strike]]))</f>
        <v>0</v>
      </c>
      <c r="Y119" s="19">
        <f>4.5* IF($M$1="NDX", 10, IF(OR($M$1="SPX", $M$1="RUT"), 2, 1))</f>
        <v>9</v>
      </c>
      <c r="Z119">
        <f ca="1">IFERROR(Table1[[#This Row],[call gamma]]*(Table1[[#This Row],[Open.Int]])*$A$4^2,0)</f>
        <v>0</v>
      </c>
      <c r="AA119">
        <f ca="1">IFERROR(((Table1[[#This Row],[Open.Int8]])*Table1[[#This Row],[Put gamma]])*-1*$A$4^2,0)</f>
        <v>0</v>
      </c>
      <c r="AB119">
        <f ca="1">(Table1[[#This Row],[Call Gex]]+Table1[[#This Row],[Put Gex]])</f>
        <v>0</v>
      </c>
      <c r="AC119">
        <f ca="1">Table1[[#This Row],[call delta adj]]+Table1[[#This Row],[put delta adj]]</f>
        <v>0</v>
      </c>
      <c r="AD119">
        <f ca="1">Table1[[#This Row],[Put Gex]]*Table1[[#This Row],[DeltaP]]*-1</f>
        <v>0</v>
      </c>
      <c r="AE119">
        <f ca="1">Table1[[#This Row],[Call Gex]]*Table1[[#This Row],[DeltaC]]</f>
        <v>0</v>
      </c>
      <c r="AF119">
        <f>IF(Table1[[#This Row],[DeltaC]]-ABS(Table1[[#This Row],[DeltaP]])="0","0.01",Table1[[#This Row],[DeltaC]]-ABS(Table1[[#This Row],[DeltaP]]))</f>
        <v>0</v>
      </c>
      <c r="AG119" t="e">
        <f ca="1">((LN($A$4/Table1[[#This Row],[Strike]]) + (0.411 + 0.5 * Table1[[#This Row],[IV Calc P]]^2) *Table1[[#This Row],[T]])) / (Table1[[#This Row],[IV Calc P]] * SQRT(Table1[[#This Row],[T]]))</f>
        <v>#DIV/0!</v>
      </c>
      <c r="AH119" t="e">
        <f ca="1">(LN($A$4/Table1[[#This Row],[Strike]]) + (0.411-0 + 0.5 * Table1[[#This Row],[IV Calc C]]^2) *Table1[[#This Row],[T]]) / (Table1[[#This Row],[IV Calc C]] * SQRT(Table1[[#This Row],[T]]))</f>
        <v>#DIV/0!</v>
      </c>
      <c r="AI119" t="e">
        <f ca="1">(EXP(-(AG119^2)/2)/SQRT(2*PI())*EXP(0*SQRT(Table1[[#This Row],[T]]))/$A$4*18%*SQRT(SQRT(Table1[[#This Row],[T]])))</f>
        <v>#DIV/0!</v>
      </c>
      <c r="AJ119" t="e">
        <f ca="1">(EXP(-(AH119^2)/2)/SQRT(2*PI())*EXP(0*SQRT(Table1[[#This Row],[T]]))/$A$4*18%*SQRT(SQRT(Table1[[#This Row],[T]])))</f>
        <v>#DIV/0!</v>
      </c>
      <c r="AK119" t="e">
        <f ca="1">Table1[[#This Row],[Call D1]]-Table1[[#This Row],[IV Calc C]]*SQRT(Table1[[#This Row],[T]])</f>
        <v>#DIV/0!</v>
      </c>
      <c r="AL119" t="e">
        <f ca="1">Table1[[#This Row],[Put D1]]-Table1[[#This Row],[IV Calc P]]*SQRT(Table1[[#This Row],[T]])</f>
        <v>#DIV/0!</v>
      </c>
      <c r="AM119" t="e">
        <f ca="1">EXP(-0.5*Table1[[#This Row],[Call D1]]^2)/SQRT(2*PI())</f>
        <v>#DIV/0!</v>
      </c>
      <c r="AN119" t="e">
        <f ca="1">EXP(-0.5*Table1[[#This Row],[Put D1]]^2)/SQRT(2*PI())</f>
        <v>#DIV/0!</v>
      </c>
      <c r="AO119">
        <f ca="1">IFERROR((EXP(0*Table1[[#This Row],[T]])*Table1[[#This Row],[call N(d1)]]*(Table1[[#This Row],[call d2]]/Table1[[#This Row],[IV Calc C]]))*Table1[[#This Row],[Open.Int]]*Table1[[#This Row],[DeltaC]],0)</f>
        <v>0</v>
      </c>
      <c r="AP119">
        <f ca="1">IFERROR((EXP(0*Table1[[#This Row],[T]])*Table1[[#This Row],[put N(d1)]]*(Table1[[#This Row],[put d2]]/Table1[[#This Row],[IV Calc P]]))*Table1[[#This Row],[Open.Int8]]*Table1[[#This Row],[DeltaP]]*-1,0)</f>
        <v>0</v>
      </c>
      <c r="AQ119">
        <f ca="1">((Table1[[#This Row],[call vanna]]+Table1[[#This Row],[put vanna]])*$A$4)</f>
        <v>0</v>
      </c>
      <c r="AR11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9" s="9" t="str" cm="1">
        <f t="array" ref="AT119">_xlfn.IFS(     $M$1="SPX","SPXW",     $M$1="RUT","RUTW",  $M$1="NDX","NDXP",   TRUE,$M$1 )</f>
        <v>SPXW</v>
      </c>
      <c r="AU119" s="2">
        <f t="shared" si="12"/>
        <v>6915</v>
      </c>
      <c r="AV119" t="str">
        <f t="shared" si="13"/>
        <v>260123</v>
      </c>
      <c r="AW119" s="19">
        <f ca="1">IFERROR((EXP(0*Table1[[#This Row],[T]])*Table1[[#This Row],[put N(d1)]]*(Table1[[#This Row],[put d2]]/Table1[[#This Row],[IV Calc P]]))*Table1[[#This Row],[Open.Int8]]*Table1[[#This Row],[DeltaP]]*-1,0)</f>
        <v>0</v>
      </c>
      <c r="AX119">
        <f ca="1">IFERROR((EXP(0*Table1[[#This Row],[T]])*Table1[[#This Row],[call N(d1)]]*(Table1[[#This Row],[call d2]]/Table1[[#This Row],[IV Calc C]]))*Table1[[#This Row],[Open.Int]]*Table1[[#This Row],[DeltaC]],0)</f>
        <v>0</v>
      </c>
      <c r="AY11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9">
        <f>((Table1[[#This Row],[High C]]+Table1[[#This Row],[Low C]])/2)*Table1[[#This Row],[gammac]]*Table1[[#This Row],[Volume]]</f>
        <v>0</v>
      </c>
      <c r="BD119">
        <f>((Table1[[#This Row],[High P]]+Table1[[#This Row],[Low P]])/2)*Table1[[#This Row],[gammap]]*Table1[[#This Row],[Volume9]]*-1</f>
        <v>0</v>
      </c>
      <c r="BE119">
        <f>(Table1[[#This Row],[SgammaC]]+Table1[[#This Row],[SgammaP]])*$A$4*-100</f>
        <v>0</v>
      </c>
      <c r="BF119">
        <f>Table1[[#This Row],[DEXc]]+Table1[[#This Row],[DEXp]]</f>
        <v>0</v>
      </c>
      <c r="BG119">
        <f>IFERROR(Table1[[#This Row],[DeltaC]]*Table1[[#This Row],[Open.Int]]*$A$4,0)</f>
        <v>0</v>
      </c>
      <c r="BH119">
        <f>IFERROR(Table1[[#This Row],[DeltaP]]*Table1[[#This Row],[Open.Int8]]*$A$4,0)</f>
        <v>0</v>
      </c>
      <c r="BI11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9">
        <f ca="1">Table1[[#This Row],[Charmc]]+Table1[[#This Row],[Charmp]]</f>
        <v>0</v>
      </c>
      <c r="BL11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9" s="78">
        <f ca="1">Table1[[#This Row],[call helper]]+Table1[[#This Row],[put helper]]</f>
        <v>0</v>
      </c>
      <c r="BP119" t="str">
        <f>RTD("tos.rtd", , "STRIKE", "."&amp;Table1[[#This Row],[Ticker]]&amp;Table1[[#This Row],[Expiry]]&amp;""&amp;"C"&amp;Table1[[#This Row],[Spot]]+Table1[[#This Row],[step]])</f>
        <v>N/A</v>
      </c>
    </row>
    <row r="120" spans="1:68" x14ac:dyDescent="0.25">
      <c r="A120">
        <f t="shared" ca="1" si="9"/>
        <v>2.5814307458086375E-3</v>
      </c>
      <c r="C120" s="17"/>
      <c r="D120" s="80">
        <f>IF(
    ISNUMBER(Table1[[#This Row],[Strike]]),RTD("tos.rtd", , "OPEN_INT", "."&amp;Table1[[#This Row],[Ticker]]&amp;Table1[[#This Row],[Expiry]]&amp;""&amp;"C"&amp;Table1[[#This Row],[Strike]]))</f>
        <v>3292</v>
      </c>
      <c r="E12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8135</v>
      </c>
      <c r="G120">
        <f>IF(
    ISNUMBER(Table1[[#This Row],[Strike]]),RTD("tos.rtd", , "DELTA", "."&amp;Table1[[#This Row],[Ticker]]&amp;Table1[[#This Row],[Expiry]]&amp;""&amp;"C"&amp;Table1[[#This Row],[Strike]]))</f>
        <v>0.38</v>
      </c>
      <c r="H120" s="17" cm="1">
        <f t="array" aca="1" ref="H120" ca="1">IF(
    ISNUMBER(Table1[[#This Row],[Strike]]),IndividualLegIVCore($A$4, Table1[[#This Row],[Strike]], 0.0411, Table1[[#This Row],[T]], ((Table1[[#This Row],[BIDC]]+Table1[[#This Row],[ASKC]])/2), TRUE))</f>
        <v>0.10532230929873124</v>
      </c>
      <c r="I120">
        <f>IF(
    ISNUMBER(Table1[[#This Row],[Strike]]),RTD("tos.rtd", , "BID", "."&amp;Table1[[#This Row],[Ticker]]&amp;Table1[[#This Row],[Expiry]]&amp;""&amp;"C"&amp;Table1[[#This Row],[Strike]]))</f>
        <v>9.6999999999999993</v>
      </c>
      <c r="J120">
        <f>IF(
    ISNUMBER(Table1[[#This Row],[Strike]]),RTD("tos.rtd", , "ASK", "."&amp;Table1[[#This Row],[Ticker]]&amp;Table1[[#This Row],[Expiry]]&amp;""&amp;"C"&amp;Table1[[#This Row],[Strike]]))</f>
        <v>10.199999999999999</v>
      </c>
      <c r="K12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0.10532230929873124</v>
      </c>
      <c r="L120" s="17" cm="1">
        <f t="array" aca="1" ref="L120" ca="1">CubicSplineIVSmile($A$4, Table1[[#This Row],[Strike]], 0.0411, Table1[[#This Row],[T]], (Table1[[#This Row],[BIDC]]+Table1[[#This Row],[ASKC]])/2, (Table1[[#This Row],[BIDP]]+Table1[[#This Row],[ASKP]])/2, Table1[Strike], Table1[IV Calc AVG])</f>
        <v>0.12748304001714347</v>
      </c>
      <c r="M120" s="1">
        <f t="shared" si="10"/>
        <v>46045</v>
      </c>
      <c r="N120">
        <f t="shared" si="11"/>
        <v>6925</v>
      </c>
      <c r="P120" s="17" cm="1">
        <f t="array" aca="1" ref="P120" ca="1">IF(
    ISNUMBER(Table1[[#This Row],[Strike]]),IndividualLegIVCore($A$4, Table1[[#This Row],[Strike]], 0.0411, Table1[[#This Row],[T]], ((Table1[[#This Row],[BIDP]]+Table1[[#This Row],[ASKP]])/2), FALSE))</f>
        <v>0.14239535317944987</v>
      </c>
      <c r="Q120">
        <f>IF(
    ISNUMBER(Table1[[#This Row],[Strike]]),RTD("tos.rtd", , "BID", "."&amp;Table1[[#This Row],[Ticker]]&amp;Table1[[#This Row],[Expiry]]&amp;""&amp;"P"&amp;Table1[[#This Row],[Strike]]))</f>
        <v>25.6</v>
      </c>
      <c r="R120">
        <f>IF(
    ISNUMBER(Table1[[#This Row],[Strike]]),RTD("tos.rtd", , "ASK", "."&amp;Table1[[#This Row],[Ticker]]&amp;Table1[[#This Row],[Expiry]]&amp;""&amp;"P"&amp;Table1[[#This Row],[Strike]]))</f>
        <v>26.2</v>
      </c>
      <c r="S120" s="17"/>
      <c r="T120">
        <f>IF(
    ISNUMBER(Table1[[#This Row],[Strike]]),RTD("tos.rtd", , "OPEN_INT", "."&amp;Table1[[#This Row],[Ticker]]&amp;Table1[[#This Row],[Expiry]]&amp;""&amp;"P"&amp;Table1[[#This Row],[Strike]]))</f>
        <v>2777</v>
      </c>
      <c r="U12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4977</v>
      </c>
      <c r="W120">
        <f>IF(
    ISNUMBER(Table1[[#This Row],[Strike]]),RTD("tos.rtd", , "DELTA", "."&amp;Table1[[#This Row],[Ticker]]&amp;Table1[[#This Row],[Expiry]]&amp;""&amp;"P"&amp;Table1[[#This Row],[Strike]]))</f>
        <v>-0.59</v>
      </c>
      <c r="Y120" s="19">
        <f>5* IF($M$1="NDX", 10, IF(OR($M$1="SPX", $M$1="RUT"), 2, 1))</f>
        <v>10</v>
      </c>
      <c r="Z120">
        <f ca="1">IFERROR(Table1[[#This Row],[call gamma]]*(Table1[[#This Row],[Open.Int]])*$A$4^2,0)</f>
        <v>366006.45870414143</v>
      </c>
      <c r="AA120">
        <f ca="1">IFERROR(((Table1[[#This Row],[Open.Int8]])*Table1[[#This Row],[Put gamma]])*-1*$A$4^2,0)</f>
        <v>-309695.97009793337</v>
      </c>
      <c r="AB120">
        <f ca="1">(Table1[[#This Row],[Call Gex]]+Table1[[#This Row],[Put Gex]])</f>
        <v>56310.488606208062</v>
      </c>
      <c r="AC120">
        <f ca="1">Table1[[#This Row],[call delta adj]]+Table1[[#This Row],[put delta adj]]</f>
        <v>-43638.168050206907</v>
      </c>
      <c r="AD120">
        <f ca="1">Table1[[#This Row],[Put Gex]]*Table1[[#This Row],[DeltaP]]*-1</f>
        <v>-182720.62235778067</v>
      </c>
      <c r="AE120">
        <f ca="1">Table1[[#This Row],[Call Gex]]*Table1[[#This Row],[DeltaC]]</f>
        <v>139082.45430757376</v>
      </c>
      <c r="AF120">
        <f>IF(Table1[[#This Row],[DeltaC]]-ABS(Table1[[#This Row],[DeltaP]])="0","0.01",Table1[[#This Row],[DeltaC]]-ABS(Table1[[#This Row],[DeltaP]]))</f>
        <v>-0.20999999999999996</v>
      </c>
      <c r="AG120">
        <f ca="1">((LN($A$4/Table1[[#This Row],[Strike]]) + (0.411 + 0.5 * Table1[[#This Row],[IV Calc P]]^2) *Table1[[#This Row],[T]])) / (Table1[[#This Row],[IV Calc P]] * SQRT(Table1[[#This Row],[T]]))</f>
        <v>-8.2460973118108252E-2</v>
      </c>
      <c r="AH120">
        <f ca="1">(LN($A$4/Table1[[#This Row],[Strike]]) + (0.411-0 + 0.5 * Table1[[#This Row],[IV Calc C]]^2) *Table1[[#This Row],[T]]) / (Table1[[#This Row],[IV Calc C]] * SQRT(Table1[[#This Row],[T]]))</f>
        <v>-0.11370202437553277</v>
      </c>
      <c r="AI120">
        <f ca="1">(EXP(-(AG120^2)/2)/SQRT(2*PI())*EXP(0*SQRT(Table1[[#This Row],[T]]))/$A$4*18%*SQRT(SQRT(Table1[[#This Row],[T]])))</f>
        <v>2.3333644976453199E-6</v>
      </c>
      <c r="AJ120">
        <f ca="1">(EXP(-(AH120^2)/2)/SQRT(2*PI())*EXP(0*SQRT(Table1[[#This Row],[T]]))/$A$4*18%*SQRT(SQRT(Table1[[#This Row],[T]])))</f>
        <v>2.3262256171374636E-6</v>
      </c>
      <c r="AK120">
        <f ca="1">Table1[[#This Row],[Call D1]]-Table1[[#This Row],[IV Calc C]]*SQRT(Table1[[#This Row],[T]])</f>
        <v>-0.11905321734141044</v>
      </c>
      <c r="AL120">
        <f ca="1">Table1[[#This Row],[Put D1]]-Table1[[#This Row],[IV Calc P]]*SQRT(Table1[[#This Row],[T]])</f>
        <v>-8.969576522797626E-2</v>
      </c>
      <c r="AM120">
        <f ca="1">EXP(-0.5*Table1[[#This Row],[Call D1]]^2)/SQRT(2*PI())</f>
        <v>0.39637180433671743</v>
      </c>
      <c r="AN120">
        <f ca="1">EXP(-0.5*Table1[[#This Row],[Put D1]]^2)/SQRT(2*PI())</f>
        <v>0.39758821727920973</v>
      </c>
      <c r="AO120">
        <f ca="1">IFERROR((EXP(0*Table1[[#This Row],[T]])*Table1[[#This Row],[call N(d1)]]*(Table1[[#This Row],[call d2]]/Table1[[#This Row],[IV Calc C]]))*Table1[[#This Row],[Open.Int]]*Table1[[#This Row],[DeltaC]],0)</f>
        <v>-560.48880213710652</v>
      </c>
      <c r="AP120">
        <f ca="1">IFERROR((EXP(0*Table1[[#This Row],[T]])*Table1[[#This Row],[put N(d1)]]*(Table1[[#This Row],[put d2]]/Table1[[#This Row],[IV Calc P]]))*Table1[[#This Row],[Open.Int8]]*Table1[[#This Row],[DeltaP]]*-1,0)</f>
        <v>-410.33401438088134</v>
      </c>
      <c r="AQ120">
        <f ca="1">((Table1[[#This Row],[call vanna]]+Table1[[#This Row],[put vanna]])*$A$4)</f>
        <v>-6711637.9185746312</v>
      </c>
      <c r="AR12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366006.45870414143</v>
      </c>
      <c r="AS12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-309695.97009793337</v>
      </c>
      <c r="AT120" s="9" t="str" cm="1">
        <f t="array" ref="AT120">_xlfn.IFS(     $M$1="SPX","SPXW",     $M$1="RUT","RUTW",  $M$1="NDX","NDXP",   TRUE,$M$1 )</f>
        <v>SPXW</v>
      </c>
      <c r="AU120" s="2">
        <f t="shared" si="12"/>
        <v>6915</v>
      </c>
      <c r="AV120" t="str">
        <f t="shared" si="13"/>
        <v>260123</v>
      </c>
      <c r="AW120" s="19">
        <f ca="1">IFERROR((EXP(0*Table1[[#This Row],[T]])*Table1[[#This Row],[put N(d1)]]*(Table1[[#This Row],[put d2]]/Table1[[#This Row],[IV Calc P]]))*Table1[[#This Row],[Open.Int8]]*Table1[[#This Row],[DeltaP]]*-1,0)</f>
        <v>-410.33401438088134</v>
      </c>
      <c r="AX120">
        <f ca="1">IFERROR((EXP(0*Table1[[#This Row],[T]])*Table1[[#This Row],[call N(d1)]]*(Table1[[#This Row],[call d2]]/Table1[[#This Row],[IV Calc C]]))*Table1[[#This Row],[Open.Int]]*Table1[[#This Row],[DeltaC]],0)</f>
        <v>-560.48880213710652</v>
      </c>
      <c r="AY120">
        <f>IF(
    ISNUMBER(Table1[[#This Row],[Strike]]),RTD("tos.rtd", , "high", "."&amp;Table1[[#This Row],[Ticker]]&amp;Table1[[#This Row],[Expiry]]&amp;""&amp;"C"&amp;Table1[[#This Row],[Spot]]+Table1[[#This Row],[step]]))</f>
        <v>26</v>
      </c>
      <c r="AZ120">
        <f>IF(
    ISNUMBER(Table1[[#This Row],[Strike]]),RTD("tos.rtd", , "low", "."&amp;Table1[[#This Row],[Ticker]]&amp;Table1[[#This Row],[Expiry]]&amp;""&amp;"C"&amp;Table1[[#This Row],[Spot]]+Table1[[#This Row],[step]]))</f>
        <v>8</v>
      </c>
      <c r="BA120">
        <f>IF(
    ISNUMBER(Table1[[#This Row],[Strike]]),RTD("tos.rtd", , "high", "."&amp;Table1[[#This Row],[Ticker]]&amp;Table1[[#This Row],[Expiry]]&amp;""&amp;"P"&amp;Table1[[#This Row],[Spot]]+Table1[[#This Row],[step]]))</f>
        <v>40</v>
      </c>
      <c r="BB120">
        <f>IF(
    ISNUMBER(Table1[[#This Row],[Strike]]),RTD("tos.rtd", , "low", "."&amp;Table1[[#This Row],[Ticker]]&amp;Table1[[#This Row],[Expiry]]&amp;""&amp;"P"&amp;Table1[[#This Row],[Spot]]+Table1[[#This Row],[step]]))</f>
        <v>12.7</v>
      </c>
      <c r="BC120">
        <f>((Table1[[#This Row],[High C]]+Table1[[#This Row],[Low C]])/2)*Table1[[#This Row],[gammac]]*Table1[[#This Row],[Volume]]</f>
        <v>1382.95</v>
      </c>
      <c r="BD120">
        <f>((Table1[[#This Row],[High P]]+Table1[[#This Row],[Low P]])/2)*Table1[[#This Row],[gammap]]*Table1[[#This Row],[Volume9]]*-1</f>
        <v>-1311.4395</v>
      </c>
      <c r="BE120">
        <f>(Table1[[#This Row],[SgammaC]]+Table1[[#This Row],[SgammaP]])*$A$4*-100</f>
        <v>-49437711.517500065</v>
      </c>
      <c r="BF120">
        <f>Table1[[#This Row],[DEXc]]+Table1[[#This Row],[DEXp]]</f>
        <v>-2678715.7244999986</v>
      </c>
      <c r="BG120">
        <f>IFERROR(Table1[[#This Row],[DeltaC]]*Table1[[#This Row],[Open.Int]]*$A$4,0)</f>
        <v>8648324.3160000015</v>
      </c>
      <c r="BH120">
        <f>IFERROR(Table1[[#This Row],[DeltaP]]*Table1[[#This Row],[Open.Int8]]*$A$4,0)</f>
        <v>-11327040.0405</v>
      </c>
      <c r="BI12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-9720451.348675292</v>
      </c>
      <c r="BJ12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-9170243.9135728702</v>
      </c>
      <c r="BK120">
        <f ca="1">Table1[[#This Row],[Charmc]]+Table1[[#This Row],[Charmp]]</f>
        <v>-18890695.262248162</v>
      </c>
      <c r="BL12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2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20" s="78">
        <f ca="1">Table1[[#This Row],[call helper]]+Table1[[#This Row],[put helper]]</f>
        <v>56310.488606208062</v>
      </c>
      <c r="BP120">
        <f>RTD("tos.rtd", , "STRIKE", "."&amp;Table1[[#This Row],[Ticker]]&amp;Table1[[#This Row],[Expiry]]&amp;""&amp;"C"&amp;Table1[[#This Row],[Spot]]+Table1[[#This Row],[step]])</f>
        <v>6925</v>
      </c>
    </row>
    <row r="121" spans="1:68" x14ac:dyDescent="0.25">
      <c r="A121">
        <f t="shared" ca="1" si="9"/>
        <v>2.5814307458086375E-3</v>
      </c>
      <c r="C121" s="17"/>
      <c r="D121" t="b">
        <f>IF(
    ISNUMBER(Table1[[#This Row],[Strike]]),RTD("tos.rtd", , "OPEN_INT", "."&amp;Table1[[#This Row],[Ticker]]&amp;Table1[[#This Row],[Expiry]]&amp;""&amp;"C"&amp;Table1[[#This Row],[Strike]]))</f>
        <v>0</v>
      </c>
      <c r="E12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1" t="b">
        <f>IF(
    ISNUMBER(Table1[[#This Row],[Strike]]),RTD("tos.rtd", , "DELTA", "."&amp;Table1[[#This Row],[Ticker]]&amp;Table1[[#This Row],[Expiry]]&amp;""&amp;"C"&amp;Table1[[#This Row],[Strike]]))</f>
        <v>0</v>
      </c>
      <c r="H121" s="17" t="b" cm="1">
        <f t="array" ref="H121">IF(
    ISNUMBER(Table1[[#This Row],[Strike]]),IndividualLegIVCore($A$4, Table1[[#This Row],[Strike]], 0.0411, Table1[[#This Row],[T]], ((Table1[[#This Row],[BIDC]]+Table1[[#This Row],[ASKC]])/2), TRUE))</f>
        <v>0</v>
      </c>
      <c r="I121" t="b">
        <f>IF(
    ISNUMBER(Table1[[#This Row],[Strike]]),RTD("tos.rtd", , "BID", "."&amp;Table1[[#This Row],[Ticker]]&amp;Table1[[#This Row],[Expiry]]&amp;""&amp;"C"&amp;Table1[[#This Row],[Strike]]))</f>
        <v>0</v>
      </c>
      <c r="J121" t="b">
        <f>IF(
    ISNUMBER(Table1[[#This Row],[Strike]]),RTD("tos.rtd", , "ASK", "."&amp;Table1[[#This Row],[Ticker]]&amp;Table1[[#This Row],[Expiry]]&amp;""&amp;"C"&amp;Table1[[#This Row],[Strike]]))</f>
        <v>0</v>
      </c>
      <c r="K12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1" s="17" cm="1">
        <f t="array" aca="1" ref="L12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1" s="1">
        <f t="shared" si="10"/>
        <v>46045</v>
      </c>
      <c r="N121" t="b">
        <f t="shared" si="11"/>
        <v>0</v>
      </c>
      <c r="P121" s="17" t="b" cm="1">
        <f t="array" ref="P121">IF(
    ISNUMBER(Table1[[#This Row],[Strike]]),IndividualLegIVCore($A$4, Table1[[#This Row],[Strike]], 0.0411, Table1[[#This Row],[T]], ((Table1[[#This Row],[BIDP]]+Table1[[#This Row],[ASKP]])/2), FALSE))</f>
        <v>0</v>
      </c>
      <c r="Q121" t="b">
        <f>IF(
    ISNUMBER(Table1[[#This Row],[Strike]]),RTD("tos.rtd", , "BID", "."&amp;Table1[[#This Row],[Ticker]]&amp;Table1[[#This Row],[Expiry]]&amp;""&amp;"P"&amp;Table1[[#This Row],[Strike]]))</f>
        <v>0</v>
      </c>
      <c r="R121" t="b">
        <f>IF(
    ISNUMBER(Table1[[#This Row],[Strike]]),RTD("tos.rtd", , "ASK", "."&amp;Table1[[#This Row],[Ticker]]&amp;Table1[[#This Row],[Expiry]]&amp;""&amp;"P"&amp;Table1[[#This Row],[Strike]]))</f>
        <v>0</v>
      </c>
      <c r="S121" s="17"/>
      <c r="T121" t="b">
        <f>IF(
    ISNUMBER(Table1[[#This Row],[Strike]]),RTD("tos.rtd", , "OPEN_INT", "."&amp;Table1[[#This Row],[Ticker]]&amp;Table1[[#This Row],[Expiry]]&amp;""&amp;"P"&amp;Table1[[#This Row],[Strike]]))</f>
        <v>0</v>
      </c>
      <c r="U12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1" t="b">
        <f>IF(
    ISNUMBER(Table1[[#This Row],[Strike]]),RTD("tos.rtd", , "DELTA", "."&amp;Table1[[#This Row],[Ticker]]&amp;Table1[[#This Row],[Expiry]]&amp;""&amp;"P"&amp;Table1[[#This Row],[Strike]]))</f>
        <v>0</v>
      </c>
      <c r="Y121" s="19">
        <f>5.5* IF($M$1="NDX", 10, IF(OR($M$1="SPX", $M$1="RUT"), 2, 1))</f>
        <v>11</v>
      </c>
      <c r="Z121">
        <f ca="1">IFERROR(Table1[[#This Row],[call gamma]]*(Table1[[#This Row],[Open.Int]])*$A$4^2,0)</f>
        <v>0</v>
      </c>
      <c r="AA121">
        <f ca="1">IFERROR(((Table1[[#This Row],[Open.Int8]])*Table1[[#This Row],[Put gamma]])*-1*$A$4^2,0)</f>
        <v>0</v>
      </c>
      <c r="AB121">
        <f ca="1">(Table1[[#This Row],[Call Gex]]+Table1[[#This Row],[Put Gex]])</f>
        <v>0</v>
      </c>
      <c r="AC121">
        <f ca="1">Table1[[#This Row],[call delta adj]]+Table1[[#This Row],[put delta adj]]</f>
        <v>0</v>
      </c>
      <c r="AD121">
        <f ca="1">Table1[[#This Row],[Put Gex]]*Table1[[#This Row],[DeltaP]]*-1</f>
        <v>0</v>
      </c>
      <c r="AE121">
        <f ca="1">Table1[[#This Row],[Call Gex]]*Table1[[#This Row],[DeltaC]]</f>
        <v>0</v>
      </c>
      <c r="AF121">
        <f>IF(Table1[[#This Row],[DeltaC]]-ABS(Table1[[#This Row],[DeltaP]])="0","0.01",Table1[[#This Row],[DeltaC]]-ABS(Table1[[#This Row],[DeltaP]]))</f>
        <v>0</v>
      </c>
      <c r="AG121" t="e">
        <f ca="1">((LN($A$4/Table1[[#This Row],[Strike]]) + (0.411 + 0.5 * Table1[[#This Row],[IV Calc P]]^2) *Table1[[#This Row],[T]])) / (Table1[[#This Row],[IV Calc P]] * SQRT(Table1[[#This Row],[T]]))</f>
        <v>#DIV/0!</v>
      </c>
      <c r="AH121" t="e">
        <f ca="1">(LN($A$4/Table1[[#This Row],[Strike]]) + (0.411-0 + 0.5 * Table1[[#This Row],[IV Calc C]]^2) *Table1[[#This Row],[T]]) / (Table1[[#This Row],[IV Calc C]] * SQRT(Table1[[#This Row],[T]]))</f>
        <v>#DIV/0!</v>
      </c>
      <c r="AI121" t="e">
        <f ca="1">(EXP(-(AG121^2)/2)/SQRT(2*PI())*EXP(0*SQRT(Table1[[#This Row],[T]]))/$A$4*18%*SQRT(SQRT(Table1[[#This Row],[T]])))</f>
        <v>#DIV/0!</v>
      </c>
      <c r="AJ121" t="e">
        <f ca="1">(EXP(-(AH121^2)/2)/SQRT(2*PI())*EXP(0*SQRT(Table1[[#This Row],[T]]))/$A$4*18%*SQRT(SQRT(Table1[[#This Row],[T]])))</f>
        <v>#DIV/0!</v>
      </c>
      <c r="AK121" t="e">
        <f ca="1">Table1[[#This Row],[Call D1]]-Table1[[#This Row],[IV Calc C]]*SQRT(Table1[[#This Row],[T]])</f>
        <v>#DIV/0!</v>
      </c>
      <c r="AL121" t="e">
        <f ca="1">Table1[[#This Row],[Put D1]]-Table1[[#This Row],[IV Calc P]]*SQRT(Table1[[#This Row],[T]])</f>
        <v>#DIV/0!</v>
      </c>
      <c r="AM121" t="e">
        <f ca="1">EXP(-0.5*Table1[[#This Row],[Call D1]]^2)/SQRT(2*PI())</f>
        <v>#DIV/0!</v>
      </c>
      <c r="AN121" t="e">
        <f ca="1">EXP(-0.5*Table1[[#This Row],[Put D1]]^2)/SQRT(2*PI())</f>
        <v>#DIV/0!</v>
      </c>
      <c r="AO121">
        <f ca="1">IFERROR((EXP(0*Table1[[#This Row],[T]])*Table1[[#This Row],[call N(d1)]]*(Table1[[#This Row],[call d2]]/Table1[[#This Row],[IV Calc C]]))*Table1[[#This Row],[Open.Int]]*Table1[[#This Row],[DeltaC]],0)</f>
        <v>0</v>
      </c>
      <c r="AP121">
        <f ca="1">IFERROR((EXP(0*Table1[[#This Row],[T]])*Table1[[#This Row],[put N(d1)]]*(Table1[[#This Row],[put d2]]/Table1[[#This Row],[IV Calc P]]))*Table1[[#This Row],[Open.Int8]]*Table1[[#This Row],[DeltaP]]*-1,0)</f>
        <v>0</v>
      </c>
      <c r="AQ121">
        <f ca="1">((Table1[[#This Row],[call vanna]]+Table1[[#This Row],[put vanna]])*$A$4)</f>
        <v>0</v>
      </c>
      <c r="AR12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1" s="9" t="str" cm="1">
        <f t="array" ref="AT121">_xlfn.IFS(     $M$1="SPX","SPXW",     $M$1="RUT","RUTW",  $M$1="NDX","NDXP",   TRUE,$M$1 )</f>
        <v>SPXW</v>
      </c>
      <c r="AU121" s="2">
        <f t="shared" si="12"/>
        <v>6915</v>
      </c>
      <c r="AV121" t="str">
        <f t="shared" si="13"/>
        <v>260123</v>
      </c>
      <c r="AW121" s="19">
        <f ca="1">IFERROR((EXP(0*Table1[[#This Row],[T]])*Table1[[#This Row],[put N(d1)]]*(Table1[[#This Row],[put d2]]/Table1[[#This Row],[IV Calc P]]))*Table1[[#This Row],[Open.Int8]]*Table1[[#This Row],[DeltaP]]*-1,0)</f>
        <v>0</v>
      </c>
      <c r="AX121">
        <f ca="1">IFERROR((EXP(0*Table1[[#This Row],[T]])*Table1[[#This Row],[call N(d1)]]*(Table1[[#This Row],[call d2]]/Table1[[#This Row],[IV Calc C]]))*Table1[[#This Row],[Open.Int]]*Table1[[#This Row],[DeltaC]],0)</f>
        <v>0</v>
      </c>
      <c r="AY12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1">
        <f>((Table1[[#This Row],[High C]]+Table1[[#This Row],[Low C]])/2)*Table1[[#This Row],[gammac]]*Table1[[#This Row],[Volume]]</f>
        <v>0</v>
      </c>
      <c r="BD121">
        <f>((Table1[[#This Row],[High P]]+Table1[[#This Row],[Low P]])/2)*Table1[[#This Row],[gammap]]*Table1[[#This Row],[Volume9]]*-1</f>
        <v>0</v>
      </c>
      <c r="BE121">
        <f>(Table1[[#This Row],[SgammaC]]+Table1[[#This Row],[SgammaP]])*$A$4*-100</f>
        <v>0</v>
      </c>
      <c r="BF121">
        <f>Table1[[#This Row],[DEXc]]+Table1[[#This Row],[DEXp]]</f>
        <v>0</v>
      </c>
      <c r="BG121">
        <f>IFERROR(Table1[[#This Row],[DeltaC]]*Table1[[#This Row],[Open.Int]]*$A$4,0)</f>
        <v>0</v>
      </c>
      <c r="BH121">
        <f>IFERROR(Table1[[#This Row],[DeltaP]]*Table1[[#This Row],[Open.Int8]]*$A$4,0)</f>
        <v>0</v>
      </c>
      <c r="BI12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1">
        <f ca="1">Table1[[#This Row],[Charmc]]+Table1[[#This Row],[Charmp]]</f>
        <v>0</v>
      </c>
      <c r="BL12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1" s="78">
        <f ca="1">Table1[[#This Row],[call helper]]+Table1[[#This Row],[put helper]]</f>
        <v>0</v>
      </c>
      <c r="BP121" t="str">
        <f>RTD("tos.rtd", , "STRIKE", "."&amp;Table1[[#This Row],[Ticker]]&amp;Table1[[#This Row],[Expiry]]&amp;""&amp;"C"&amp;Table1[[#This Row],[Spot]]+Table1[[#This Row],[step]])</f>
        <v>N/A</v>
      </c>
    </row>
    <row r="122" spans="1:68" x14ac:dyDescent="0.25">
      <c r="A122">
        <f t="shared" ca="1" si="9"/>
        <v>2.5814307458086375E-3</v>
      </c>
      <c r="C122" s="17"/>
      <c r="D122" t="b">
        <f>IF(
    ISNUMBER(Table1[[#This Row],[Strike]]),RTD("tos.rtd", , "OPEN_INT", "."&amp;Table1[[#This Row],[Ticker]]&amp;Table1[[#This Row],[Expiry]]&amp;""&amp;"C"&amp;Table1[[#This Row],[Strike]]))</f>
        <v>0</v>
      </c>
      <c r="E12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2" t="b">
        <f>IF(
    ISNUMBER(Table1[[#This Row],[Strike]]),RTD("tos.rtd", , "DELTA", "."&amp;Table1[[#This Row],[Ticker]]&amp;Table1[[#This Row],[Expiry]]&amp;""&amp;"C"&amp;Table1[[#This Row],[Strike]]))</f>
        <v>0</v>
      </c>
      <c r="H122" s="17" t="b" cm="1">
        <f t="array" ref="H122">IF(
    ISNUMBER(Table1[[#This Row],[Strike]]),IndividualLegIVCore($A$4, Table1[[#This Row],[Strike]], 0.0411, Table1[[#This Row],[T]], ((Table1[[#This Row],[BIDC]]+Table1[[#This Row],[ASKC]])/2), TRUE))</f>
        <v>0</v>
      </c>
      <c r="I122" t="b">
        <f>IF(
    ISNUMBER(Table1[[#This Row],[Strike]]),RTD("tos.rtd", , "BID", "."&amp;Table1[[#This Row],[Ticker]]&amp;Table1[[#This Row],[Expiry]]&amp;""&amp;"C"&amp;Table1[[#This Row],[Strike]]))</f>
        <v>0</v>
      </c>
      <c r="J122" t="b">
        <f>IF(
    ISNUMBER(Table1[[#This Row],[Strike]]),RTD("tos.rtd", , "ASK", "."&amp;Table1[[#This Row],[Ticker]]&amp;Table1[[#This Row],[Expiry]]&amp;""&amp;"C"&amp;Table1[[#This Row],[Strike]]))</f>
        <v>0</v>
      </c>
      <c r="K12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2" s="17" cm="1">
        <f t="array" aca="1" ref="L12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2" s="1">
        <f t="shared" si="10"/>
        <v>46045</v>
      </c>
      <c r="N122" t="b">
        <f t="shared" si="11"/>
        <v>0</v>
      </c>
      <c r="P122" s="17" t="b" cm="1">
        <f t="array" ref="P122">IF(
    ISNUMBER(Table1[[#This Row],[Strike]]),IndividualLegIVCore($A$4, Table1[[#This Row],[Strike]], 0.0411, Table1[[#This Row],[T]], ((Table1[[#This Row],[BIDP]]+Table1[[#This Row],[ASKP]])/2), FALSE))</f>
        <v>0</v>
      </c>
      <c r="Q122" t="b">
        <f>IF(
    ISNUMBER(Table1[[#This Row],[Strike]]),RTD("tos.rtd", , "BID", "."&amp;Table1[[#This Row],[Ticker]]&amp;Table1[[#This Row],[Expiry]]&amp;""&amp;"P"&amp;Table1[[#This Row],[Strike]]))</f>
        <v>0</v>
      </c>
      <c r="R122" t="b">
        <f>IF(
    ISNUMBER(Table1[[#This Row],[Strike]]),RTD("tos.rtd", , "ASK", "."&amp;Table1[[#This Row],[Ticker]]&amp;Table1[[#This Row],[Expiry]]&amp;""&amp;"P"&amp;Table1[[#This Row],[Strike]]))</f>
        <v>0</v>
      </c>
      <c r="S122" s="17"/>
      <c r="T122" t="b">
        <f>IF(
    ISNUMBER(Table1[[#This Row],[Strike]]),RTD("tos.rtd", , "OPEN_INT", "."&amp;Table1[[#This Row],[Ticker]]&amp;Table1[[#This Row],[Expiry]]&amp;""&amp;"P"&amp;Table1[[#This Row],[Strike]]))</f>
        <v>0</v>
      </c>
      <c r="U12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2" t="b">
        <f>IF(
    ISNUMBER(Table1[[#This Row],[Strike]]),RTD("tos.rtd", , "DELTA", "."&amp;Table1[[#This Row],[Ticker]]&amp;Table1[[#This Row],[Expiry]]&amp;""&amp;"P"&amp;Table1[[#This Row],[Strike]]))</f>
        <v>0</v>
      </c>
      <c r="Y122" s="19">
        <f>6* IF($M$1="NDX", 10, IF(OR($M$1="SPX", $M$1="RUT"), 2, 1))</f>
        <v>12</v>
      </c>
      <c r="Z122">
        <f ca="1">IFERROR(Table1[[#This Row],[call gamma]]*(Table1[[#This Row],[Open.Int]])*$A$4^2,0)</f>
        <v>0</v>
      </c>
      <c r="AA122">
        <f ca="1">IFERROR(((Table1[[#This Row],[Open.Int8]])*Table1[[#This Row],[Put gamma]])*-1*$A$4^2,0)</f>
        <v>0</v>
      </c>
      <c r="AB122">
        <f ca="1">(Table1[[#This Row],[Call Gex]]+Table1[[#This Row],[Put Gex]])</f>
        <v>0</v>
      </c>
      <c r="AC122">
        <f ca="1">Table1[[#This Row],[call delta adj]]+Table1[[#This Row],[put delta adj]]</f>
        <v>0</v>
      </c>
      <c r="AD122">
        <f ca="1">Table1[[#This Row],[Put Gex]]*Table1[[#This Row],[DeltaP]]*-1</f>
        <v>0</v>
      </c>
      <c r="AE122">
        <f ca="1">Table1[[#This Row],[Call Gex]]*Table1[[#This Row],[DeltaC]]</f>
        <v>0</v>
      </c>
      <c r="AF122">
        <f>IF(Table1[[#This Row],[DeltaC]]-ABS(Table1[[#This Row],[DeltaP]])="0","0.01",Table1[[#This Row],[DeltaC]]-ABS(Table1[[#This Row],[DeltaP]]))</f>
        <v>0</v>
      </c>
      <c r="AG122" t="e">
        <f ca="1">((LN($A$4/Table1[[#This Row],[Strike]]) + (0.411 + 0.5 * Table1[[#This Row],[IV Calc P]]^2) *Table1[[#This Row],[T]])) / (Table1[[#This Row],[IV Calc P]] * SQRT(Table1[[#This Row],[T]]))</f>
        <v>#DIV/0!</v>
      </c>
      <c r="AH122" t="e">
        <f ca="1">(LN($A$4/Table1[[#This Row],[Strike]]) + (0.411-0 + 0.5 * Table1[[#This Row],[IV Calc C]]^2) *Table1[[#This Row],[T]]) / (Table1[[#This Row],[IV Calc C]] * SQRT(Table1[[#This Row],[T]]))</f>
        <v>#DIV/0!</v>
      </c>
      <c r="AI122" t="e">
        <f ca="1">(EXP(-(AG122^2)/2)/SQRT(2*PI())*EXP(0*SQRT(Table1[[#This Row],[T]]))/$A$4*18%*SQRT(SQRT(Table1[[#This Row],[T]])))</f>
        <v>#DIV/0!</v>
      </c>
      <c r="AJ122" t="e">
        <f ca="1">(EXP(-(AH122^2)/2)/SQRT(2*PI())*EXP(0*SQRT(Table1[[#This Row],[T]]))/$A$4*18%*SQRT(SQRT(Table1[[#This Row],[T]])))</f>
        <v>#DIV/0!</v>
      </c>
      <c r="AK122" t="e">
        <f ca="1">Table1[[#This Row],[Call D1]]-Table1[[#This Row],[IV Calc C]]*SQRT(Table1[[#This Row],[T]])</f>
        <v>#DIV/0!</v>
      </c>
      <c r="AL122" t="e">
        <f ca="1">Table1[[#This Row],[Put D1]]-Table1[[#This Row],[IV Calc P]]*SQRT(Table1[[#This Row],[T]])</f>
        <v>#DIV/0!</v>
      </c>
      <c r="AM122" t="e">
        <f ca="1">EXP(-0.5*Table1[[#This Row],[Call D1]]^2)/SQRT(2*PI())</f>
        <v>#DIV/0!</v>
      </c>
      <c r="AN122" t="e">
        <f ca="1">EXP(-0.5*Table1[[#This Row],[Put D1]]^2)/SQRT(2*PI())</f>
        <v>#DIV/0!</v>
      </c>
      <c r="AO122">
        <f ca="1">IFERROR((EXP(0*Table1[[#This Row],[T]])*Table1[[#This Row],[call N(d1)]]*(Table1[[#This Row],[call d2]]/Table1[[#This Row],[IV Calc C]]))*Table1[[#This Row],[Open.Int]]*Table1[[#This Row],[DeltaC]],0)</f>
        <v>0</v>
      </c>
      <c r="AP122">
        <f ca="1">IFERROR((EXP(0*Table1[[#This Row],[T]])*Table1[[#This Row],[put N(d1)]]*(Table1[[#This Row],[put d2]]/Table1[[#This Row],[IV Calc P]]))*Table1[[#This Row],[Open.Int8]]*Table1[[#This Row],[DeltaP]]*-1,0)</f>
        <v>0</v>
      </c>
      <c r="AQ122">
        <f ca="1">((Table1[[#This Row],[call vanna]]+Table1[[#This Row],[put vanna]])*$A$4)</f>
        <v>0</v>
      </c>
      <c r="AR12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2" s="9" t="str" cm="1">
        <f t="array" ref="AT122">_xlfn.IFS(     $M$1="SPX","SPXW",     $M$1="RUT","RUTW",  $M$1="NDX","NDXP",   TRUE,$M$1 )</f>
        <v>SPXW</v>
      </c>
      <c r="AU122" s="2">
        <f t="shared" si="12"/>
        <v>6915</v>
      </c>
      <c r="AV122" t="str">
        <f t="shared" si="13"/>
        <v>260123</v>
      </c>
      <c r="AW122" s="19">
        <f ca="1">IFERROR((EXP(0*Table1[[#This Row],[T]])*Table1[[#This Row],[put N(d1)]]*(Table1[[#This Row],[put d2]]/Table1[[#This Row],[IV Calc P]]))*Table1[[#This Row],[Open.Int8]]*Table1[[#This Row],[DeltaP]]*-1,0)</f>
        <v>0</v>
      </c>
      <c r="AX122">
        <f ca="1">IFERROR((EXP(0*Table1[[#This Row],[T]])*Table1[[#This Row],[call N(d1)]]*(Table1[[#This Row],[call d2]]/Table1[[#This Row],[IV Calc C]]))*Table1[[#This Row],[Open.Int]]*Table1[[#This Row],[DeltaC]],0)</f>
        <v>0</v>
      </c>
      <c r="AY12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2">
        <f>((Table1[[#This Row],[High C]]+Table1[[#This Row],[Low C]])/2)*Table1[[#This Row],[gammac]]*Table1[[#This Row],[Volume]]</f>
        <v>0</v>
      </c>
      <c r="BD122">
        <f>((Table1[[#This Row],[High P]]+Table1[[#This Row],[Low P]])/2)*Table1[[#This Row],[gammap]]*Table1[[#This Row],[Volume9]]*-1</f>
        <v>0</v>
      </c>
      <c r="BE122">
        <f>(Table1[[#This Row],[SgammaC]]+Table1[[#This Row],[SgammaP]])*$A$4*-100</f>
        <v>0</v>
      </c>
      <c r="BF122">
        <f>Table1[[#This Row],[DEXc]]+Table1[[#This Row],[DEXp]]</f>
        <v>0</v>
      </c>
      <c r="BG122">
        <f>IFERROR(Table1[[#This Row],[DeltaC]]*Table1[[#This Row],[Open.Int]]*$A$4,0)</f>
        <v>0</v>
      </c>
      <c r="BH122">
        <f>IFERROR(Table1[[#This Row],[DeltaP]]*Table1[[#This Row],[Open.Int8]]*$A$4,0)</f>
        <v>0</v>
      </c>
      <c r="BI12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2">
        <f ca="1">Table1[[#This Row],[Charmc]]+Table1[[#This Row],[Charmp]]</f>
        <v>0</v>
      </c>
      <c r="BL12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2" s="78">
        <f ca="1">Table1[[#This Row],[call helper]]+Table1[[#This Row],[put helper]]</f>
        <v>0</v>
      </c>
      <c r="BP122" t="str">
        <f>RTD("tos.rtd", , "STRIKE", "."&amp;Table1[[#This Row],[Ticker]]&amp;Table1[[#This Row],[Expiry]]&amp;""&amp;"C"&amp;Table1[[#This Row],[Spot]]+Table1[[#This Row],[step]])</f>
        <v>N/A</v>
      </c>
    </row>
    <row r="123" spans="1:68" x14ac:dyDescent="0.25">
      <c r="A123">
        <f t="shared" ca="1" si="9"/>
        <v>2.5814307458086375E-3</v>
      </c>
      <c r="C123" s="17"/>
      <c r="D123" t="b">
        <f>IF(
    ISNUMBER(Table1[[#This Row],[Strike]]),RTD("tos.rtd", , "OPEN_INT", "."&amp;Table1[[#This Row],[Ticker]]&amp;Table1[[#This Row],[Expiry]]&amp;""&amp;"C"&amp;Table1[[#This Row],[Strike]]))</f>
        <v>0</v>
      </c>
      <c r="E12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3" t="b">
        <f>IF(
    ISNUMBER(Table1[[#This Row],[Strike]]),RTD("tos.rtd", , "DELTA", "."&amp;Table1[[#This Row],[Ticker]]&amp;Table1[[#This Row],[Expiry]]&amp;""&amp;"C"&amp;Table1[[#This Row],[Strike]]))</f>
        <v>0</v>
      </c>
      <c r="H123" s="17" t="b" cm="1">
        <f t="array" ref="H123">IF(
    ISNUMBER(Table1[[#This Row],[Strike]]),IndividualLegIVCore($A$4, Table1[[#This Row],[Strike]], 0.0411, Table1[[#This Row],[T]], ((Table1[[#This Row],[BIDC]]+Table1[[#This Row],[ASKC]])/2), TRUE))</f>
        <v>0</v>
      </c>
      <c r="I123" t="b">
        <f>IF(
    ISNUMBER(Table1[[#This Row],[Strike]]),RTD("tos.rtd", , "BID", "."&amp;Table1[[#This Row],[Ticker]]&amp;Table1[[#This Row],[Expiry]]&amp;""&amp;"C"&amp;Table1[[#This Row],[Strike]]))</f>
        <v>0</v>
      </c>
      <c r="J123" t="b">
        <f>IF(
    ISNUMBER(Table1[[#This Row],[Strike]]),RTD("tos.rtd", , "ASK", "."&amp;Table1[[#This Row],[Ticker]]&amp;Table1[[#This Row],[Expiry]]&amp;""&amp;"C"&amp;Table1[[#This Row],[Strike]]))</f>
        <v>0</v>
      </c>
      <c r="K12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3" s="17" cm="1">
        <f t="array" aca="1" ref="L12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3" s="1">
        <f t="shared" si="10"/>
        <v>46045</v>
      </c>
      <c r="N123" t="b">
        <f t="shared" si="11"/>
        <v>0</v>
      </c>
      <c r="P123" s="17" t="b" cm="1">
        <f t="array" ref="P123">IF(
    ISNUMBER(Table1[[#This Row],[Strike]]),IndividualLegIVCore($A$4, Table1[[#This Row],[Strike]], 0.0411, Table1[[#This Row],[T]], ((Table1[[#This Row],[BIDP]]+Table1[[#This Row],[ASKP]])/2), FALSE))</f>
        <v>0</v>
      </c>
      <c r="Q123" t="b">
        <f>IF(
    ISNUMBER(Table1[[#This Row],[Strike]]),RTD("tos.rtd", , "BID", "."&amp;Table1[[#This Row],[Ticker]]&amp;Table1[[#This Row],[Expiry]]&amp;""&amp;"P"&amp;Table1[[#This Row],[Strike]]))</f>
        <v>0</v>
      </c>
      <c r="R123" t="b">
        <f>IF(
    ISNUMBER(Table1[[#This Row],[Strike]]),RTD("tos.rtd", , "ASK", "."&amp;Table1[[#This Row],[Ticker]]&amp;Table1[[#This Row],[Expiry]]&amp;""&amp;"P"&amp;Table1[[#This Row],[Strike]]))</f>
        <v>0</v>
      </c>
      <c r="S123" s="17"/>
      <c r="T123" t="b">
        <f>IF(
    ISNUMBER(Table1[[#This Row],[Strike]]),RTD("tos.rtd", , "OPEN_INT", "."&amp;Table1[[#This Row],[Ticker]]&amp;Table1[[#This Row],[Expiry]]&amp;""&amp;"P"&amp;Table1[[#This Row],[Strike]]))</f>
        <v>0</v>
      </c>
      <c r="U12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3" t="b">
        <f>IF(
    ISNUMBER(Table1[[#This Row],[Strike]]),RTD("tos.rtd", , "DELTA", "."&amp;Table1[[#This Row],[Ticker]]&amp;Table1[[#This Row],[Expiry]]&amp;""&amp;"P"&amp;Table1[[#This Row],[Strike]]))</f>
        <v>0</v>
      </c>
      <c r="Y123" s="19">
        <f>6.5* IF($M$1="NDX", 10, IF(OR($M$1="SPX", $M$1="RUT"), 2, 1))</f>
        <v>13</v>
      </c>
      <c r="Z123">
        <f ca="1">IFERROR(Table1[[#This Row],[call gamma]]*(Table1[[#This Row],[Open.Int]])*$A$4^2,0)</f>
        <v>0</v>
      </c>
      <c r="AA123">
        <f ca="1">IFERROR(((Table1[[#This Row],[Open.Int8]])*Table1[[#This Row],[Put gamma]])*-1*$A$4^2,0)</f>
        <v>0</v>
      </c>
      <c r="AB123">
        <f ca="1">(Table1[[#This Row],[Call Gex]]+Table1[[#This Row],[Put Gex]])</f>
        <v>0</v>
      </c>
      <c r="AC123">
        <f ca="1">Table1[[#This Row],[call delta adj]]+Table1[[#This Row],[put delta adj]]</f>
        <v>0</v>
      </c>
      <c r="AD123">
        <f ca="1">Table1[[#This Row],[Put Gex]]*Table1[[#This Row],[DeltaP]]*-1</f>
        <v>0</v>
      </c>
      <c r="AE123">
        <f ca="1">Table1[[#This Row],[Call Gex]]*Table1[[#This Row],[DeltaC]]</f>
        <v>0</v>
      </c>
      <c r="AF123">
        <f>IF(Table1[[#This Row],[DeltaC]]-ABS(Table1[[#This Row],[DeltaP]])="0","0.01",Table1[[#This Row],[DeltaC]]-ABS(Table1[[#This Row],[DeltaP]]))</f>
        <v>0</v>
      </c>
      <c r="AG123" t="e">
        <f ca="1">((LN($A$4/Table1[[#This Row],[Strike]]) + (0.411 + 0.5 * Table1[[#This Row],[IV Calc P]]^2) *Table1[[#This Row],[T]])) / (Table1[[#This Row],[IV Calc P]] * SQRT(Table1[[#This Row],[T]]))</f>
        <v>#DIV/0!</v>
      </c>
      <c r="AH123" t="e">
        <f ca="1">(LN($A$4/Table1[[#This Row],[Strike]]) + (0.411-0 + 0.5 * Table1[[#This Row],[IV Calc C]]^2) *Table1[[#This Row],[T]]) / (Table1[[#This Row],[IV Calc C]] * SQRT(Table1[[#This Row],[T]]))</f>
        <v>#DIV/0!</v>
      </c>
      <c r="AI123" t="e">
        <f ca="1">(EXP(-(AG123^2)/2)/SQRT(2*PI())*EXP(0*SQRT(Table1[[#This Row],[T]]))/$A$4*18%*SQRT(SQRT(Table1[[#This Row],[T]])))</f>
        <v>#DIV/0!</v>
      </c>
      <c r="AJ123" t="e">
        <f ca="1">(EXP(-(AH123^2)/2)/SQRT(2*PI())*EXP(0*SQRT(Table1[[#This Row],[T]]))/$A$4*18%*SQRT(SQRT(Table1[[#This Row],[T]])))</f>
        <v>#DIV/0!</v>
      </c>
      <c r="AK123" t="e">
        <f ca="1">Table1[[#This Row],[Call D1]]-Table1[[#This Row],[IV Calc C]]*SQRT(Table1[[#This Row],[T]])</f>
        <v>#DIV/0!</v>
      </c>
      <c r="AL123" t="e">
        <f ca="1">Table1[[#This Row],[Put D1]]-Table1[[#This Row],[IV Calc P]]*SQRT(Table1[[#This Row],[T]])</f>
        <v>#DIV/0!</v>
      </c>
      <c r="AM123" t="e">
        <f ca="1">EXP(-0.5*Table1[[#This Row],[Call D1]]^2)/SQRT(2*PI())</f>
        <v>#DIV/0!</v>
      </c>
      <c r="AN123" t="e">
        <f ca="1">EXP(-0.5*Table1[[#This Row],[Put D1]]^2)/SQRT(2*PI())</f>
        <v>#DIV/0!</v>
      </c>
      <c r="AO123">
        <f ca="1">IFERROR((EXP(0*Table1[[#This Row],[T]])*Table1[[#This Row],[call N(d1)]]*(Table1[[#This Row],[call d2]]/Table1[[#This Row],[IV Calc C]]))*Table1[[#This Row],[Open.Int]]*Table1[[#This Row],[DeltaC]],0)</f>
        <v>0</v>
      </c>
      <c r="AP123">
        <f ca="1">IFERROR((EXP(0*Table1[[#This Row],[T]])*Table1[[#This Row],[put N(d1)]]*(Table1[[#This Row],[put d2]]/Table1[[#This Row],[IV Calc P]]))*Table1[[#This Row],[Open.Int8]]*Table1[[#This Row],[DeltaP]]*-1,0)</f>
        <v>0</v>
      </c>
      <c r="AQ123">
        <f ca="1">((Table1[[#This Row],[call vanna]]+Table1[[#This Row],[put vanna]])*$A$4)</f>
        <v>0</v>
      </c>
      <c r="AR12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3" s="9" t="str" cm="1">
        <f t="array" ref="AT123">_xlfn.IFS(     $M$1="SPX","SPXW",     $M$1="RUT","RUTW",  $M$1="NDX","NDXP",   TRUE,$M$1 )</f>
        <v>SPXW</v>
      </c>
      <c r="AU123" s="2">
        <f t="shared" si="12"/>
        <v>6915</v>
      </c>
      <c r="AV123" t="str">
        <f t="shared" si="13"/>
        <v>260123</v>
      </c>
      <c r="AW123" s="19">
        <f ca="1">IFERROR((EXP(0*Table1[[#This Row],[T]])*Table1[[#This Row],[put N(d1)]]*(Table1[[#This Row],[put d2]]/Table1[[#This Row],[IV Calc P]]))*Table1[[#This Row],[Open.Int8]]*Table1[[#This Row],[DeltaP]]*-1,0)</f>
        <v>0</v>
      </c>
      <c r="AX123">
        <f ca="1">IFERROR((EXP(0*Table1[[#This Row],[T]])*Table1[[#This Row],[call N(d1)]]*(Table1[[#This Row],[call d2]]/Table1[[#This Row],[IV Calc C]]))*Table1[[#This Row],[Open.Int]]*Table1[[#This Row],[DeltaC]],0)</f>
        <v>0</v>
      </c>
      <c r="AY12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3">
        <f>((Table1[[#This Row],[High C]]+Table1[[#This Row],[Low C]])/2)*Table1[[#This Row],[gammac]]*Table1[[#This Row],[Volume]]</f>
        <v>0</v>
      </c>
      <c r="BD123">
        <f>((Table1[[#This Row],[High P]]+Table1[[#This Row],[Low P]])/2)*Table1[[#This Row],[gammap]]*Table1[[#This Row],[Volume9]]*-1</f>
        <v>0</v>
      </c>
      <c r="BE123">
        <f>(Table1[[#This Row],[SgammaC]]+Table1[[#This Row],[SgammaP]])*$A$4*-100</f>
        <v>0</v>
      </c>
      <c r="BF123">
        <f>Table1[[#This Row],[DEXc]]+Table1[[#This Row],[DEXp]]</f>
        <v>0</v>
      </c>
      <c r="BG123">
        <f>IFERROR(Table1[[#This Row],[DeltaC]]*Table1[[#This Row],[Open.Int]]*$A$4,0)</f>
        <v>0</v>
      </c>
      <c r="BH123">
        <f>IFERROR(Table1[[#This Row],[DeltaP]]*Table1[[#This Row],[Open.Int8]]*$A$4,0)</f>
        <v>0</v>
      </c>
      <c r="BI12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3">
        <f ca="1">Table1[[#This Row],[Charmc]]+Table1[[#This Row],[Charmp]]</f>
        <v>0</v>
      </c>
      <c r="BL12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3" s="78">
        <f ca="1">Table1[[#This Row],[call helper]]+Table1[[#This Row],[put helper]]</f>
        <v>0</v>
      </c>
      <c r="BP123" t="str">
        <f>RTD("tos.rtd", , "STRIKE", "."&amp;Table1[[#This Row],[Ticker]]&amp;Table1[[#This Row],[Expiry]]&amp;""&amp;"C"&amp;Table1[[#This Row],[Spot]]+Table1[[#This Row],[step]])</f>
        <v>N/A</v>
      </c>
    </row>
    <row r="124" spans="1:68" x14ac:dyDescent="0.25">
      <c r="A124">
        <f t="shared" ca="1" si="9"/>
        <v>2.5814307458086375E-3</v>
      </c>
      <c r="C124" s="17"/>
      <c r="D124" t="b">
        <f>IF(
    ISNUMBER(Table1[[#This Row],[Strike]]),RTD("tos.rtd", , "OPEN_INT", "."&amp;Table1[[#This Row],[Ticker]]&amp;Table1[[#This Row],[Expiry]]&amp;""&amp;"C"&amp;Table1[[#This Row],[Strike]]))</f>
        <v>0</v>
      </c>
      <c r="E12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4" t="b">
        <f>IF(
    ISNUMBER(Table1[[#This Row],[Strike]]),RTD("tos.rtd", , "DELTA", "."&amp;Table1[[#This Row],[Ticker]]&amp;Table1[[#This Row],[Expiry]]&amp;""&amp;"C"&amp;Table1[[#This Row],[Strike]]))</f>
        <v>0</v>
      </c>
      <c r="H124" s="17" t="b" cm="1">
        <f t="array" ref="H124">IF(
    ISNUMBER(Table1[[#This Row],[Strike]]),IndividualLegIVCore($A$4, Table1[[#This Row],[Strike]], 0.0411, Table1[[#This Row],[T]], ((Table1[[#This Row],[BIDC]]+Table1[[#This Row],[ASKC]])/2), TRUE))</f>
        <v>0</v>
      </c>
      <c r="I124" t="b">
        <f>IF(
    ISNUMBER(Table1[[#This Row],[Strike]]),RTD("tos.rtd", , "BID", "."&amp;Table1[[#This Row],[Ticker]]&amp;Table1[[#This Row],[Expiry]]&amp;""&amp;"C"&amp;Table1[[#This Row],[Strike]]))</f>
        <v>0</v>
      </c>
      <c r="J124" t="b">
        <f>IF(
    ISNUMBER(Table1[[#This Row],[Strike]]),RTD("tos.rtd", , "ASK", "."&amp;Table1[[#This Row],[Ticker]]&amp;Table1[[#This Row],[Expiry]]&amp;""&amp;"C"&amp;Table1[[#This Row],[Strike]]))</f>
        <v>0</v>
      </c>
      <c r="K12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4" s="17" cm="1">
        <f t="array" aca="1" ref="L12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4" s="1">
        <f t="shared" si="10"/>
        <v>46045</v>
      </c>
      <c r="N124" t="b">
        <f t="shared" si="11"/>
        <v>0</v>
      </c>
      <c r="P124" s="17" t="b" cm="1">
        <f t="array" ref="P124">IF(
    ISNUMBER(Table1[[#This Row],[Strike]]),IndividualLegIVCore($A$4, Table1[[#This Row],[Strike]], 0.0411, Table1[[#This Row],[T]], ((Table1[[#This Row],[BIDP]]+Table1[[#This Row],[ASKP]])/2), FALSE))</f>
        <v>0</v>
      </c>
      <c r="Q124" t="b">
        <f>IF(
    ISNUMBER(Table1[[#This Row],[Strike]]),RTD("tos.rtd", , "BID", "."&amp;Table1[[#This Row],[Ticker]]&amp;Table1[[#This Row],[Expiry]]&amp;""&amp;"P"&amp;Table1[[#This Row],[Strike]]))</f>
        <v>0</v>
      </c>
      <c r="R124" t="b">
        <f>IF(
    ISNUMBER(Table1[[#This Row],[Strike]]),RTD("tos.rtd", , "ASK", "."&amp;Table1[[#This Row],[Ticker]]&amp;Table1[[#This Row],[Expiry]]&amp;""&amp;"P"&amp;Table1[[#This Row],[Strike]]))</f>
        <v>0</v>
      </c>
      <c r="S124" s="17"/>
      <c r="T124" t="b">
        <f>IF(
    ISNUMBER(Table1[[#This Row],[Strike]]),RTD("tos.rtd", , "OPEN_INT", "."&amp;Table1[[#This Row],[Ticker]]&amp;Table1[[#This Row],[Expiry]]&amp;""&amp;"P"&amp;Table1[[#This Row],[Strike]]))</f>
        <v>0</v>
      </c>
      <c r="U12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4" t="b">
        <f>IF(
    ISNUMBER(Table1[[#This Row],[Strike]]),RTD("tos.rtd", , "DELTA", "."&amp;Table1[[#This Row],[Ticker]]&amp;Table1[[#This Row],[Expiry]]&amp;""&amp;"P"&amp;Table1[[#This Row],[Strike]]))</f>
        <v>0</v>
      </c>
      <c r="Y124" s="19">
        <f>7* IF($M$1="NDX", 10, IF(OR($M$1="SPX", $M$1="RUT"), 2, 1))</f>
        <v>14</v>
      </c>
      <c r="Z124">
        <f ca="1">IFERROR(Table1[[#This Row],[call gamma]]*(Table1[[#This Row],[Open.Int]])*$A$4^2,0)</f>
        <v>0</v>
      </c>
      <c r="AA124">
        <f ca="1">IFERROR(((Table1[[#This Row],[Open.Int8]])*Table1[[#This Row],[Put gamma]])*-1*$A$4^2,0)</f>
        <v>0</v>
      </c>
      <c r="AB124">
        <f ca="1">(Table1[[#This Row],[Call Gex]]+Table1[[#This Row],[Put Gex]])</f>
        <v>0</v>
      </c>
      <c r="AC124">
        <f ca="1">Table1[[#This Row],[call delta adj]]+Table1[[#This Row],[put delta adj]]</f>
        <v>0</v>
      </c>
      <c r="AD124">
        <f ca="1">Table1[[#This Row],[Put Gex]]*Table1[[#This Row],[DeltaP]]*-1</f>
        <v>0</v>
      </c>
      <c r="AE124">
        <f ca="1">Table1[[#This Row],[Call Gex]]*Table1[[#This Row],[DeltaC]]</f>
        <v>0</v>
      </c>
      <c r="AF124">
        <f>IF(Table1[[#This Row],[DeltaC]]-ABS(Table1[[#This Row],[DeltaP]])="0","0.01",Table1[[#This Row],[DeltaC]]-ABS(Table1[[#This Row],[DeltaP]]))</f>
        <v>0</v>
      </c>
      <c r="AG124" t="e">
        <f ca="1">((LN($A$4/Table1[[#This Row],[Strike]]) + (0.411 + 0.5 * Table1[[#This Row],[IV Calc P]]^2) *Table1[[#This Row],[T]])) / (Table1[[#This Row],[IV Calc P]] * SQRT(Table1[[#This Row],[T]]))</f>
        <v>#DIV/0!</v>
      </c>
      <c r="AH124" t="e">
        <f ca="1">(LN($A$4/Table1[[#This Row],[Strike]]) + (0.411-0 + 0.5 * Table1[[#This Row],[IV Calc C]]^2) *Table1[[#This Row],[T]]) / (Table1[[#This Row],[IV Calc C]] * SQRT(Table1[[#This Row],[T]]))</f>
        <v>#DIV/0!</v>
      </c>
      <c r="AI124" t="e">
        <f ca="1">(EXP(-(AG124^2)/2)/SQRT(2*PI())*EXP(0*SQRT(Table1[[#This Row],[T]]))/$A$4*18%*SQRT(SQRT(Table1[[#This Row],[T]])))</f>
        <v>#DIV/0!</v>
      </c>
      <c r="AJ124" t="e">
        <f ca="1">(EXP(-(AH124^2)/2)/SQRT(2*PI())*EXP(0*SQRT(Table1[[#This Row],[T]]))/$A$4*18%*SQRT(SQRT(Table1[[#This Row],[T]])))</f>
        <v>#DIV/0!</v>
      </c>
      <c r="AK124" t="e">
        <f ca="1">Table1[[#This Row],[Call D1]]-Table1[[#This Row],[IV Calc C]]*SQRT(Table1[[#This Row],[T]])</f>
        <v>#DIV/0!</v>
      </c>
      <c r="AL124" t="e">
        <f ca="1">Table1[[#This Row],[Put D1]]-Table1[[#This Row],[IV Calc P]]*SQRT(Table1[[#This Row],[T]])</f>
        <v>#DIV/0!</v>
      </c>
      <c r="AM124" t="e">
        <f ca="1">EXP(-0.5*Table1[[#This Row],[Call D1]]^2)/SQRT(2*PI())</f>
        <v>#DIV/0!</v>
      </c>
      <c r="AN124" t="e">
        <f ca="1">EXP(-0.5*Table1[[#This Row],[Put D1]]^2)/SQRT(2*PI())</f>
        <v>#DIV/0!</v>
      </c>
      <c r="AO124">
        <f ca="1">IFERROR((EXP(0*Table1[[#This Row],[T]])*Table1[[#This Row],[call N(d1)]]*(Table1[[#This Row],[call d2]]/Table1[[#This Row],[IV Calc C]]))*Table1[[#This Row],[Open.Int]]*Table1[[#This Row],[DeltaC]],0)</f>
        <v>0</v>
      </c>
      <c r="AP124">
        <f ca="1">IFERROR((EXP(0*Table1[[#This Row],[T]])*Table1[[#This Row],[put N(d1)]]*(Table1[[#This Row],[put d2]]/Table1[[#This Row],[IV Calc P]]))*Table1[[#This Row],[Open.Int8]]*Table1[[#This Row],[DeltaP]]*-1,0)</f>
        <v>0</v>
      </c>
      <c r="AQ124">
        <f ca="1">((Table1[[#This Row],[call vanna]]+Table1[[#This Row],[put vanna]])*$A$4)</f>
        <v>0</v>
      </c>
      <c r="AR12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4" s="9" t="str" cm="1">
        <f t="array" ref="AT124">_xlfn.IFS(     $M$1="SPX","SPXW",     $M$1="RUT","RUTW",  $M$1="NDX","NDXP",   TRUE,$M$1 )</f>
        <v>SPXW</v>
      </c>
      <c r="AU124" s="2">
        <f t="shared" si="12"/>
        <v>6915</v>
      </c>
      <c r="AV124" t="str">
        <f t="shared" si="13"/>
        <v>260123</v>
      </c>
      <c r="AW124" s="19">
        <f ca="1">IFERROR((EXP(0*Table1[[#This Row],[T]])*Table1[[#This Row],[put N(d1)]]*(Table1[[#This Row],[put d2]]/Table1[[#This Row],[IV Calc P]]))*Table1[[#This Row],[Open.Int8]]*Table1[[#This Row],[DeltaP]]*-1,0)</f>
        <v>0</v>
      </c>
      <c r="AX124">
        <f ca="1">IFERROR((EXP(0*Table1[[#This Row],[T]])*Table1[[#This Row],[call N(d1)]]*(Table1[[#This Row],[call d2]]/Table1[[#This Row],[IV Calc C]]))*Table1[[#This Row],[Open.Int]]*Table1[[#This Row],[DeltaC]],0)</f>
        <v>0</v>
      </c>
      <c r="AY12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4">
        <f>((Table1[[#This Row],[High C]]+Table1[[#This Row],[Low C]])/2)*Table1[[#This Row],[gammac]]*Table1[[#This Row],[Volume]]</f>
        <v>0</v>
      </c>
      <c r="BD124">
        <f>((Table1[[#This Row],[High P]]+Table1[[#This Row],[Low P]])/2)*Table1[[#This Row],[gammap]]*Table1[[#This Row],[Volume9]]*-1</f>
        <v>0</v>
      </c>
      <c r="BE124">
        <f>(Table1[[#This Row],[SgammaC]]+Table1[[#This Row],[SgammaP]])*$A$4*-100</f>
        <v>0</v>
      </c>
      <c r="BF124">
        <f>Table1[[#This Row],[DEXc]]+Table1[[#This Row],[DEXp]]</f>
        <v>0</v>
      </c>
      <c r="BG124">
        <f>IFERROR(Table1[[#This Row],[DeltaC]]*Table1[[#This Row],[Open.Int]]*$A$4,0)</f>
        <v>0</v>
      </c>
      <c r="BH124">
        <f>IFERROR(Table1[[#This Row],[DeltaP]]*Table1[[#This Row],[Open.Int8]]*$A$4,0)</f>
        <v>0</v>
      </c>
      <c r="BI12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4">
        <f ca="1">Table1[[#This Row],[Charmc]]+Table1[[#This Row],[Charmp]]</f>
        <v>0</v>
      </c>
      <c r="BL12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4" s="78">
        <f ca="1">Table1[[#This Row],[call helper]]+Table1[[#This Row],[put helper]]</f>
        <v>0</v>
      </c>
      <c r="BP124" t="str">
        <f>RTD("tos.rtd", , "STRIKE", "."&amp;Table1[[#This Row],[Ticker]]&amp;Table1[[#This Row],[Expiry]]&amp;""&amp;"C"&amp;Table1[[#This Row],[Spot]]+Table1[[#This Row],[step]])</f>
        <v>N/A</v>
      </c>
    </row>
    <row r="125" spans="1:68" x14ac:dyDescent="0.25">
      <c r="A125">
        <f t="shared" ca="1" si="9"/>
        <v>2.5814307458086375E-3</v>
      </c>
      <c r="C125" s="17"/>
      <c r="D125">
        <f>IF(
    ISNUMBER(Table1[[#This Row],[Strike]]),RTD("tos.rtd", , "OPEN_INT", "."&amp;Table1[[#This Row],[Ticker]]&amp;Table1[[#This Row],[Expiry]]&amp;""&amp;"C"&amp;Table1[[#This Row],[Strike]]))</f>
        <v>2245</v>
      </c>
      <c r="E12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9846</v>
      </c>
      <c r="G125">
        <f>IF(
    ISNUMBER(Table1[[#This Row],[Strike]]),RTD("tos.rtd", , "DELTA", "."&amp;Table1[[#This Row],[Ticker]]&amp;Table1[[#This Row],[Expiry]]&amp;""&amp;"C"&amp;Table1[[#This Row],[Strike]]))</f>
        <v>0.33</v>
      </c>
      <c r="H125" s="17" cm="1">
        <f t="array" aca="1" ref="H125" ca="1">IF(
    ISNUMBER(Table1[[#This Row],[Strike]]),IndividualLegIVCore($A$4, Table1[[#This Row],[Strike]], 0.0411, Table1[[#This Row],[T]], ((Table1[[#This Row],[BIDC]]+Table1[[#This Row],[ASKC]])/2), TRUE))</f>
        <v>0.10444755980988273</v>
      </c>
      <c r="I125">
        <f>IF(
    ISNUMBER(Table1[[#This Row],[Strike]]),RTD("tos.rtd", , "BID", "."&amp;Table1[[#This Row],[Ticker]]&amp;Table1[[#This Row],[Expiry]]&amp;""&amp;"C"&amp;Table1[[#This Row],[Strike]]))</f>
        <v>7.8</v>
      </c>
      <c r="J125">
        <f>IF(
    ISNUMBER(Table1[[#This Row],[Strike]]),RTD("tos.rtd", , "ASK", "."&amp;Table1[[#This Row],[Ticker]]&amp;Table1[[#This Row],[Expiry]]&amp;""&amp;"C"&amp;Table1[[#This Row],[Strike]]))</f>
        <v>8.3000000000000007</v>
      </c>
      <c r="K12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0.10444755980988273</v>
      </c>
      <c r="L125" s="17" cm="1">
        <f t="array" aca="1" ref="L125" ca="1">CubicSplineIVSmile($A$4, Table1[[#This Row],[Strike]], 0.0411, Table1[[#This Row],[T]], (Table1[[#This Row],[BIDC]]+Table1[[#This Row],[ASKC]])/2, (Table1[[#This Row],[BIDP]]+Table1[[#This Row],[ASKP]])/2, Table1[Strike], Table1[IV Calc AVG])</f>
        <v>0.12911050043439212</v>
      </c>
      <c r="M125" s="1">
        <f t="shared" si="10"/>
        <v>46045</v>
      </c>
      <c r="N125">
        <f t="shared" si="11"/>
        <v>6930</v>
      </c>
      <c r="P125" s="17" cm="1">
        <f t="array" aca="1" ref="P125" ca="1">IF(
    ISNUMBER(Table1[[#This Row],[Strike]]),IndividualLegIVCore($A$4, Table1[[#This Row],[Strike]], 0.0411, Table1[[#This Row],[T]], ((Table1[[#This Row],[BIDP]]+Table1[[#This Row],[ASKP]])/2), FALSE))</f>
        <v>0.14288558971281301</v>
      </c>
      <c r="Q125">
        <f>IF(
    ISNUMBER(Table1[[#This Row],[Strike]]),RTD("tos.rtd", , "BID", "."&amp;Table1[[#This Row],[Ticker]]&amp;Table1[[#This Row],[Expiry]]&amp;""&amp;"P"&amp;Table1[[#This Row],[Strike]]))</f>
        <v>28.7</v>
      </c>
      <c r="R125">
        <f>IF(
    ISNUMBER(Table1[[#This Row],[Strike]]),RTD("tos.rtd", , "ASK", "."&amp;Table1[[#This Row],[Ticker]]&amp;Table1[[#This Row],[Expiry]]&amp;""&amp;"P"&amp;Table1[[#This Row],[Strike]]))</f>
        <v>29.3</v>
      </c>
      <c r="S125" s="17"/>
      <c r="T125">
        <f>IF(
    ISNUMBER(Table1[[#This Row],[Strike]]),RTD("tos.rtd", , "OPEN_INT", "."&amp;Table1[[#This Row],[Ticker]]&amp;Table1[[#This Row],[Expiry]]&amp;""&amp;"P"&amp;Table1[[#This Row],[Strike]]))</f>
        <v>698</v>
      </c>
      <c r="U12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4638</v>
      </c>
      <c r="W125">
        <f>IF(
    ISNUMBER(Table1[[#This Row],[Strike]]),RTD("tos.rtd", , "DELTA", "."&amp;Table1[[#This Row],[Ticker]]&amp;Table1[[#This Row],[Expiry]]&amp;""&amp;"P"&amp;Table1[[#This Row],[Strike]]))</f>
        <v>-0.62</v>
      </c>
      <c r="Y125" s="19">
        <f>7.5* IF($M$1="NDX", 10, IF(OR($M$1="SPX", $M$1="RUT"), 2, 1))</f>
        <v>15</v>
      </c>
      <c r="Z125">
        <f ca="1">IFERROR(Table1[[#This Row],[call gamma]]*(Table1[[#This Row],[Open.Int]])*$A$4^2,0)</f>
        <v>243446.76078197287</v>
      </c>
      <c r="AA125">
        <f ca="1">IFERROR(((Table1[[#This Row],[Open.Int8]])*Table1[[#This Row],[Put gamma]])*-1*$A$4^2,0)</f>
        <v>-76830.303644291518</v>
      </c>
      <c r="AB125">
        <f ca="1">(Table1[[#This Row],[Call Gex]]+Table1[[#This Row],[Put Gex]])</f>
        <v>166616.45713768137</v>
      </c>
      <c r="AC125">
        <f ca="1">Table1[[#This Row],[call delta adj]]+Table1[[#This Row],[put delta adj]]</f>
        <v>32702.642798590306</v>
      </c>
      <c r="AD125">
        <f ca="1">Table1[[#This Row],[Put Gex]]*Table1[[#This Row],[DeltaP]]*-1</f>
        <v>-47634.788259460744</v>
      </c>
      <c r="AE125">
        <f ca="1">Table1[[#This Row],[Call Gex]]*Table1[[#This Row],[DeltaC]]</f>
        <v>80337.43105805105</v>
      </c>
      <c r="AF125">
        <f>IF(Table1[[#This Row],[DeltaC]]-ABS(Table1[[#This Row],[DeltaP]])="0","0.01",Table1[[#This Row],[DeltaC]]-ABS(Table1[[#This Row],[DeltaP]]))</f>
        <v>-0.28999999999999998</v>
      </c>
      <c r="AG125">
        <f ca="1">((LN($A$4/Table1[[#This Row],[Strike]]) + (0.411 + 0.5 * Table1[[#This Row],[IV Calc P]]^2) *Table1[[#This Row],[T]])) / (Table1[[#This Row],[IV Calc P]] * SQRT(Table1[[#This Row],[T]]))</f>
        <v>-0.18157342915534805</v>
      </c>
      <c r="AH125">
        <f ca="1">(LN($A$4/Table1[[#This Row],[Strike]]) + (0.411-0 + 0.5 * Table1[[#This Row],[IV Calc C]]^2) *Table1[[#This Row],[T]]) / (Table1[[#This Row],[IV Calc C]] * SQRT(Table1[[#This Row],[T]]))</f>
        <v>-0.25070706598183468</v>
      </c>
      <c r="AI125">
        <f ca="1">(EXP(-(AG125^2)/2)/SQRT(2*PI())*EXP(0*SQRT(Table1[[#This Row],[T]]))/$A$4*18%*SQRT(SQRT(Table1[[#This Row],[T]])))</f>
        <v>2.3030323494303475E-6</v>
      </c>
      <c r="AJ125">
        <f ca="1">(EXP(-(AH125^2)/2)/SQRT(2*PI())*EXP(0*SQRT(Table1[[#This Row],[T]]))/$A$4*18%*SQRT(SQRT(Table1[[#This Row],[T]])))</f>
        <v>2.2688749820234714E-6</v>
      </c>
      <c r="AK125">
        <f ca="1">Table1[[#This Row],[Call D1]]-Table1[[#This Row],[IV Calc C]]*SQRT(Table1[[#This Row],[T]])</f>
        <v>-0.25601381486608521</v>
      </c>
      <c r="AL125">
        <f ca="1">Table1[[#This Row],[Put D1]]-Table1[[#This Row],[IV Calc P]]*SQRT(Table1[[#This Row],[T]])</f>
        <v>-0.18883312909629588</v>
      </c>
      <c r="AM125">
        <f ca="1">EXP(-0.5*Table1[[#This Row],[Call D1]]^2)/SQRT(2*PI())</f>
        <v>0.38659967623679437</v>
      </c>
      <c r="AN125">
        <f ca="1">EXP(-0.5*Table1[[#This Row],[Put D1]]^2)/SQRT(2*PI())</f>
        <v>0.39241984142228314</v>
      </c>
      <c r="AO125">
        <f ca="1">IFERROR((EXP(0*Table1[[#This Row],[T]])*Table1[[#This Row],[call N(d1)]]*(Table1[[#This Row],[call d2]]/Table1[[#This Row],[IV Calc C]]))*Table1[[#This Row],[Open.Int]]*Table1[[#This Row],[DeltaC]],0)</f>
        <v>-702.03194443081759</v>
      </c>
      <c r="AP125">
        <f ca="1">IFERROR((EXP(0*Table1[[#This Row],[T]])*Table1[[#This Row],[put N(d1)]]*(Table1[[#This Row],[put d2]]/Table1[[#This Row],[IV Calc P]]))*Table1[[#This Row],[Open.Int8]]*Table1[[#This Row],[DeltaP]]*-1,0)</f>
        <v>-224.43357544701399</v>
      </c>
      <c r="AQ125">
        <f ca="1">((Table1[[#This Row],[call vanna]]+Table1[[#This Row],[put vanna]])*$A$4)</f>
        <v>-6404980.4018474082</v>
      </c>
      <c r="AR12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243446.76078197287</v>
      </c>
      <c r="AS12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-76830.303644291518</v>
      </c>
      <c r="AT125" s="9" t="str" cm="1">
        <f t="array" ref="AT125">_xlfn.IFS(     $M$1="SPX","SPXW",     $M$1="RUT","RUTW",  $M$1="NDX","NDXP",   TRUE,$M$1 )</f>
        <v>SPXW</v>
      </c>
      <c r="AU125" s="2">
        <f t="shared" si="12"/>
        <v>6915</v>
      </c>
      <c r="AV125" t="str">
        <f t="shared" si="13"/>
        <v>260123</v>
      </c>
      <c r="AW125" s="19">
        <f ca="1">IFERROR((EXP(0*Table1[[#This Row],[T]])*Table1[[#This Row],[put N(d1)]]*(Table1[[#This Row],[put d2]]/Table1[[#This Row],[IV Calc P]]))*Table1[[#This Row],[Open.Int8]]*Table1[[#This Row],[DeltaP]]*-1,0)</f>
        <v>-224.43357544701399</v>
      </c>
      <c r="AX125">
        <f ca="1">IFERROR((EXP(0*Table1[[#This Row],[T]])*Table1[[#This Row],[call N(d1)]]*(Table1[[#This Row],[call d2]]/Table1[[#This Row],[IV Calc C]]))*Table1[[#This Row],[Open.Int]]*Table1[[#This Row],[DeltaC]],0)</f>
        <v>-702.03194443081759</v>
      </c>
      <c r="AY125">
        <f>IF(
    ISNUMBER(Table1[[#This Row],[Strike]]),RTD("tos.rtd", , "high", "."&amp;Table1[[#This Row],[Ticker]]&amp;Table1[[#This Row],[Expiry]]&amp;""&amp;"C"&amp;Table1[[#This Row],[Spot]]+Table1[[#This Row],[step]]))</f>
        <v>23.1</v>
      </c>
      <c r="AZ125">
        <f>IF(
    ISNUMBER(Table1[[#This Row],[Strike]]),RTD("tos.rtd", , "low", "."&amp;Table1[[#This Row],[Ticker]]&amp;Table1[[#This Row],[Expiry]]&amp;""&amp;"C"&amp;Table1[[#This Row],[Spot]]+Table1[[#This Row],[step]]))</f>
        <v>6.3</v>
      </c>
      <c r="BA125">
        <f>IF(
    ISNUMBER(Table1[[#This Row],[Strike]]),RTD("tos.rtd", , "high", "."&amp;Table1[[#This Row],[Ticker]]&amp;Table1[[#This Row],[Expiry]]&amp;""&amp;"P"&amp;Table1[[#This Row],[Spot]]+Table1[[#This Row],[step]]))</f>
        <v>43</v>
      </c>
      <c r="BB125">
        <f>IF(
    ISNUMBER(Table1[[#This Row],[Strike]]),RTD("tos.rtd", , "low", "."&amp;Table1[[#This Row],[Ticker]]&amp;Table1[[#This Row],[Expiry]]&amp;""&amp;"P"&amp;Table1[[#This Row],[Spot]]+Table1[[#This Row],[step]]))</f>
        <v>14.49</v>
      </c>
      <c r="BC125">
        <f>((Table1[[#This Row],[High C]]+Table1[[#This Row],[Low C]])/2)*Table1[[#This Row],[gammac]]*Table1[[#This Row],[Volume]]</f>
        <v>1447.3620000000001</v>
      </c>
      <c r="BD125">
        <f>((Table1[[#This Row],[High P]]+Table1[[#This Row],[Low P]])/2)*Table1[[#This Row],[gammap]]*Table1[[#This Row],[Volume9]]*-1</f>
        <v>-1333.1931000000002</v>
      </c>
      <c r="BE125">
        <f>(Table1[[#This Row],[SgammaC]]+Table1[[#This Row],[SgammaP]])*$A$4*-100</f>
        <v>-78928956.48149994</v>
      </c>
      <c r="BF125">
        <f>Table1[[#This Row],[DEXc]]+Table1[[#This Row],[DEXp]]</f>
        <v>2129934.0015000002</v>
      </c>
      <c r="BG125">
        <f>IFERROR(Table1[[#This Row],[DeltaC]]*Table1[[#This Row],[Open.Int]]*$A$4,0)</f>
        <v>5121755.3475000001</v>
      </c>
      <c r="BH125">
        <f>IFERROR(Table1[[#This Row],[DeltaP]]*Table1[[#This Row],[Open.Int8]]*$A$4,0)</f>
        <v>-2991821.3459999999</v>
      </c>
      <c r="BI12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-7093981.3789642332</v>
      </c>
      <c r="BJ12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-2507297.9530534744</v>
      </c>
      <c r="BK125">
        <f ca="1">Table1[[#This Row],[Charmc]]+Table1[[#This Row],[Charmp]]</f>
        <v>-9601279.3320177086</v>
      </c>
      <c r="BL12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2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25" s="78">
        <f ca="1">Table1[[#This Row],[call helper]]+Table1[[#This Row],[put helper]]</f>
        <v>166616.45713768137</v>
      </c>
      <c r="BP125">
        <f>RTD("tos.rtd", , "STRIKE", "."&amp;Table1[[#This Row],[Ticker]]&amp;Table1[[#This Row],[Expiry]]&amp;""&amp;"C"&amp;Table1[[#This Row],[Spot]]+Table1[[#This Row],[step]])</f>
        <v>6930</v>
      </c>
    </row>
    <row r="126" spans="1:68" x14ac:dyDescent="0.25">
      <c r="A126">
        <f t="shared" ca="1" si="9"/>
        <v>2.5814307458086375E-3</v>
      </c>
      <c r="C126" s="17"/>
      <c r="D126" t="b">
        <f>IF(
    ISNUMBER(Table1[[#This Row],[Strike]]),RTD("tos.rtd", , "OPEN_INT", "."&amp;Table1[[#This Row],[Ticker]]&amp;Table1[[#This Row],[Expiry]]&amp;""&amp;"C"&amp;Table1[[#This Row],[Strike]]))</f>
        <v>0</v>
      </c>
      <c r="E12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6" t="b">
        <f>IF(
    ISNUMBER(Table1[[#This Row],[Strike]]),RTD("tos.rtd", , "DELTA", "."&amp;Table1[[#This Row],[Ticker]]&amp;Table1[[#This Row],[Expiry]]&amp;""&amp;"C"&amp;Table1[[#This Row],[Strike]]))</f>
        <v>0</v>
      </c>
      <c r="H126" s="17" t="b" cm="1">
        <f t="array" ref="H126">IF(
    ISNUMBER(Table1[[#This Row],[Strike]]),IndividualLegIVCore($A$4, Table1[[#This Row],[Strike]], 0.0411, Table1[[#This Row],[T]], ((Table1[[#This Row],[BIDC]]+Table1[[#This Row],[ASKC]])/2), TRUE))</f>
        <v>0</v>
      </c>
      <c r="I126" t="b">
        <f>IF(
    ISNUMBER(Table1[[#This Row],[Strike]]),RTD("tos.rtd", , "BID", "."&amp;Table1[[#This Row],[Ticker]]&amp;Table1[[#This Row],[Expiry]]&amp;""&amp;"C"&amp;Table1[[#This Row],[Strike]]))</f>
        <v>0</v>
      </c>
      <c r="J126" t="b">
        <f>IF(
    ISNUMBER(Table1[[#This Row],[Strike]]),RTD("tos.rtd", , "ASK", "."&amp;Table1[[#This Row],[Ticker]]&amp;Table1[[#This Row],[Expiry]]&amp;""&amp;"C"&amp;Table1[[#This Row],[Strike]]))</f>
        <v>0</v>
      </c>
      <c r="K12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6" s="17" cm="1">
        <f t="array" aca="1" ref="L12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6" s="1">
        <f t="shared" si="10"/>
        <v>46045</v>
      </c>
      <c r="N126" t="b">
        <f t="shared" si="11"/>
        <v>0</v>
      </c>
      <c r="P126" s="17" t="b" cm="1">
        <f t="array" ref="P126">IF(
    ISNUMBER(Table1[[#This Row],[Strike]]),IndividualLegIVCore($A$4, Table1[[#This Row],[Strike]], 0.0411, Table1[[#This Row],[T]], ((Table1[[#This Row],[BIDP]]+Table1[[#This Row],[ASKP]])/2), FALSE))</f>
        <v>0</v>
      </c>
      <c r="Q126" t="b">
        <f>IF(
    ISNUMBER(Table1[[#This Row],[Strike]]),RTD("tos.rtd", , "BID", "."&amp;Table1[[#This Row],[Ticker]]&amp;Table1[[#This Row],[Expiry]]&amp;""&amp;"P"&amp;Table1[[#This Row],[Strike]]))</f>
        <v>0</v>
      </c>
      <c r="R126" t="b">
        <f>IF(
    ISNUMBER(Table1[[#This Row],[Strike]]),RTD("tos.rtd", , "ASK", "."&amp;Table1[[#This Row],[Ticker]]&amp;Table1[[#This Row],[Expiry]]&amp;""&amp;"P"&amp;Table1[[#This Row],[Strike]]))</f>
        <v>0</v>
      </c>
      <c r="S126" s="17"/>
      <c r="T126" t="b">
        <f>IF(
    ISNUMBER(Table1[[#This Row],[Strike]]),RTD("tos.rtd", , "OPEN_INT", "."&amp;Table1[[#This Row],[Ticker]]&amp;Table1[[#This Row],[Expiry]]&amp;""&amp;"P"&amp;Table1[[#This Row],[Strike]]))</f>
        <v>0</v>
      </c>
      <c r="U12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6" t="b">
        <f>IF(
    ISNUMBER(Table1[[#This Row],[Strike]]),RTD("tos.rtd", , "DELTA", "."&amp;Table1[[#This Row],[Ticker]]&amp;Table1[[#This Row],[Expiry]]&amp;""&amp;"P"&amp;Table1[[#This Row],[Strike]]))</f>
        <v>0</v>
      </c>
      <c r="Y126" s="19">
        <f>8* IF($M$1="NDX", 10, IF(OR($M$1="SPX", $M$1="RUT"), 2, 1))</f>
        <v>16</v>
      </c>
      <c r="Z126">
        <f ca="1">IFERROR(Table1[[#This Row],[call gamma]]*(Table1[[#This Row],[Open.Int]])*$A$4^2,0)</f>
        <v>0</v>
      </c>
      <c r="AA126">
        <f ca="1">IFERROR(((Table1[[#This Row],[Open.Int8]])*Table1[[#This Row],[Put gamma]])*-1*$A$4^2,0)</f>
        <v>0</v>
      </c>
      <c r="AB126">
        <f ca="1">(Table1[[#This Row],[Call Gex]]+Table1[[#This Row],[Put Gex]])</f>
        <v>0</v>
      </c>
      <c r="AC126">
        <f ca="1">Table1[[#This Row],[call delta adj]]+Table1[[#This Row],[put delta adj]]</f>
        <v>0</v>
      </c>
      <c r="AD126">
        <f ca="1">Table1[[#This Row],[Put Gex]]*Table1[[#This Row],[DeltaP]]*-1</f>
        <v>0</v>
      </c>
      <c r="AE126">
        <f ca="1">Table1[[#This Row],[Call Gex]]*Table1[[#This Row],[DeltaC]]</f>
        <v>0</v>
      </c>
      <c r="AF126">
        <f>IF(Table1[[#This Row],[DeltaC]]-ABS(Table1[[#This Row],[DeltaP]])="0","0.01",Table1[[#This Row],[DeltaC]]-ABS(Table1[[#This Row],[DeltaP]]))</f>
        <v>0</v>
      </c>
      <c r="AG126" t="e">
        <f ca="1">((LN($A$4/Table1[[#This Row],[Strike]]) + (0.411 + 0.5 * Table1[[#This Row],[IV Calc P]]^2) *Table1[[#This Row],[T]])) / (Table1[[#This Row],[IV Calc P]] * SQRT(Table1[[#This Row],[T]]))</f>
        <v>#DIV/0!</v>
      </c>
      <c r="AH126" t="e">
        <f ca="1">(LN($A$4/Table1[[#This Row],[Strike]]) + (0.411-0 + 0.5 * Table1[[#This Row],[IV Calc C]]^2) *Table1[[#This Row],[T]]) / (Table1[[#This Row],[IV Calc C]] * SQRT(Table1[[#This Row],[T]]))</f>
        <v>#DIV/0!</v>
      </c>
      <c r="AI126" t="e">
        <f ca="1">(EXP(-(AG126^2)/2)/SQRT(2*PI())*EXP(0*SQRT(Table1[[#This Row],[T]]))/$A$4*18%*SQRT(SQRT(Table1[[#This Row],[T]])))</f>
        <v>#DIV/0!</v>
      </c>
      <c r="AJ126" t="e">
        <f ca="1">(EXP(-(AH126^2)/2)/SQRT(2*PI())*EXP(0*SQRT(Table1[[#This Row],[T]]))/$A$4*18%*SQRT(SQRT(Table1[[#This Row],[T]])))</f>
        <v>#DIV/0!</v>
      </c>
      <c r="AK126" t="e">
        <f ca="1">Table1[[#This Row],[Call D1]]-Table1[[#This Row],[IV Calc C]]*SQRT(Table1[[#This Row],[T]])</f>
        <v>#DIV/0!</v>
      </c>
      <c r="AL126" t="e">
        <f ca="1">Table1[[#This Row],[Put D1]]-Table1[[#This Row],[IV Calc P]]*SQRT(Table1[[#This Row],[T]])</f>
        <v>#DIV/0!</v>
      </c>
      <c r="AM126" t="e">
        <f ca="1">EXP(-0.5*Table1[[#This Row],[Call D1]]^2)/SQRT(2*PI())</f>
        <v>#DIV/0!</v>
      </c>
      <c r="AN126" t="e">
        <f ca="1">EXP(-0.5*Table1[[#This Row],[Put D1]]^2)/SQRT(2*PI())</f>
        <v>#DIV/0!</v>
      </c>
      <c r="AO126">
        <f ca="1">IFERROR((EXP(0*Table1[[#This Row],[T]])*Table1[[#This Row],[call N(d1)]]*(Table1[[#This Row],[call d2]]/Table1[[#This Row],[IV Calc C]]))*Table1[[#This Row],[Open.Int]]*Table1[[#This Row],[DeltaC]],0)</f>
        <v>0</v>
      </c>
      <c r="AP126">
        <f ca="1">IFERROR((EXP(0*Table1[[#This Row],[T]])*Table1[[#This Row],[put N(d1)]]*(Table1[[#This Row],[put d2]]/Table1[[#This Row],[IV Calc P]]))*Table1[[#This Row],[Open.Int8]]*Table1[[#This Row],[DeltaP]]*-1,0)</f>
        <v>0</v>
      </c>
      <c r="AQ126">
        <f ca="1">((Table1[[#This Row],[call vanna]]+Table1[[#This Row],[put vanna]])*$A$4)</f>
        <v>0</v>
      </c>
      <c r="AR12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6" s="9" t="str" cm="1">
        <f t="array" ref="AT126">_xlfn.IFS(     $M$1="SPX","SPXW",     $M$1="RUT","RUTW",  $M$1="NDX","NDXP",   TRUE,$M$1 )</f>
        <v>SPXW</v>
      </c>
      <c r="AU126" s="2">
        <f t="shared" si="12"/>
        <v>6915</v>
      </c>
      <c r="AV126" t="str">
        <f t="shared" si="13"/>
        <v>260123</v>
      </c>
      <c r="AW126" s="19">
        <f ca="1">IFERROR((EXP(0*Table1[[#This Row],[T]])*Table1[[#This Row],[put N(d1)]]*(Table1[[#This Row],[put d2]]/Table1[[#This Row],[IV Calc P]]))*Table1[[#This Row],[Open.Int8]]*Table1[[#This Row],[DeltaP]]*-1,0)</f>
        <v>0</v>
      </c>
      <c r="AX126">
        <f ca="1">IFERROR((EXP(0*Table1[[#This Row],[T]])*Table1[[#This Row],[call N(d1)]]*(Table1[[#This Row],[call d2]]/Table1[[#This Row],[IV Calc C]]))*Table1[[#This Row],[Open.Int]]*Table1[[#This Row],[DeltaC]],0)</f>
        <v>0</v>
      </c>
      <c r="AY12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6">
        <f>((Table1[[#This Row],[High C]]+Table1[[#This Row],[Low C]])/2)*Table1[[#This Row],[gammac]]*Table1[[#This Row],[Volume]]</f>
        <v>0</v>
      </c>
      <c r="BD126">
        <f>((Table1[[#This Row],[High P]]+Table1[[#This Row],[Low P]])/2)*Table1[[#This Row],[gammap]]*Table1[[#This Row],[Volume9]]*-1</f>
        <v>0</v>
      </c>
      <c r="BE126">
        <f>(Table1[[#This Row],[SgammaC]]+Table1[[#This Row],[SgammaP]])*$A$4*-100</f>
        <v>0</v>
      </c>
      <c r="BF126">
        <f>Table1[[#This Row],[DEXc]]+Table1[[#This Row],[DEXp]]</f>
        <v>0</v>
      </c>
      <c r="BG126">
        <f>IFERROR(Table1[[#This Row],[DeltaC]]*Table1[[#This Row],[Open.Int]]*$A$4,0)</f>
        <v>0</v>
      </c>
      <c r="BH126">
        <f>IFERROR(Table1[[#This Row],[DeltaP]]*Table1[[#This Row],[Open.Int8]]*$A$4,0)</f>
        <v>0</v>
      </c>
      <c r="BI12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6">
        <f ca="1">Table1[[#This Row],[Charmc]]+Table1[[#This Row],[Charmp]]</f>
        <v>0</v>
      </c>
      <c r="BL12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6" s="78">
        <f ca="1">Table1[[#This Row],[call helper]]+Table1[[#This Row],[put helper]]</f>
        <v>0</v>
      </c>
      <c r="BP126" t="str">
        <f>RTD("tos.rtd", , "STRIKE", "."&amp;Table1[[#This Row],[Ticker]]&amp;Table1[[#This Row],[Expiry]]&amp;""&amp;"C"&amp;Table1[[#This Row],[Spot]]+Table1[[#This Row],[step]])</f>
        <v>N/A</v>
      </c>
    </row>
    <row r="127" spans="1:68" x14ac:dyDescent="0.25">
      <c r="A127">
        <f t="shared" ca="1" si="9"/>
        <v>2.5814307458086375E-3</v>
      </c>
      <c r="C127" s="17"/>
      <c r="D127" t="b">
        <f>IF(
    ISNUMBER(Table1[[#This Row],[Strike]]),RTD("tos.rtd", , "OPEN_INT", "."&amp;Table1[[#This Row],[Ticker]]&amp;Table1[[#This Row],[Expiry]]&amp;""&amp;"C"&amp;Table1[[#This Row],[Strike]]))</f>
        <v>0</v>
      </c>
      <c r="E12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7" t="b">
        <f>IF(
    ISNUMBER(Table1[[#This Row],[Strike]]),RTD("tos.rtd", , "DELTA", "."&amp;Table1[[#This Row],[Ticker]]&amp;Table1[[#This Row],[Expiry]]&amp;""&amp;"C"&amp;Table1[[#This Row],[Strike]]))</f>
        <v>0</v>
      </c>
      <c r="H127" s="17" t="b" cm="1">
        <f t="array" ref="H127">IF(
    ISNUMBER(Table1[[#This Row],[Strike]]),IndividualLegIVCore($A$4, Table1[[#This Row],[Strike]], 0.0411, Table1[[#This Row],[T]], ((Table1[[#This Row],[BIDC]]+Table1[[#This Row],[ASKC]])/2), TRUE))</f>
        <v>0</v>
      </c>
      <c r="I127" t="b">
        <f>IF(
    ISNUMBER(Table1[[#This Row],[Strike]]),RTD("tos.rtd", , "BID", "."&amp;Table1[[#This Row],[Ticker]]&amp;Table1[[#This Row],[Expiry]]&amp;""&amp;"C"&amp;Table1[[#This Row],[Strike]]))</f>
        <v>0</v>
      </c>
      <c r="J127" t="b">
        <f>IF(
    ISNUMBER(Table1[[#This Row],[Strike]]),RTD("tos.rtd", , "ASK", "."&amp;Table1[[#This Row],[Ticker]]&amp;Table1[[#This Row],[Expiry]]&amp;""&amp;"C"&amp;Table1[[#This Row],[Strike]]))</f>
        <v>0</v>
      </c>
      <c r="K12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7" s="17" cm="1">
        <f t="array" aca="1" ref="L12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7" s="1">
        <f t="shared" si="10"/>
        <v>46045</v>
      </c>
      <c r="N127" t="b">
        <f t="shared" si="11"/>
        <v>0</v>
      </c>
      <c r="P127" s="17" t="b" cm="1">
        <f t="array" ref="P127">IF(
    ISNUMBER(Table1[[#This Row],[Strike]]),IndividualLegIVCore($A$4, Table1[[#This Row],[Strike]], 0.0411, Table1[[#This Row],[T]], ((Table1[[#This Row],[BIDP]]+Table1[[#This Row],[ASKP]])/2), FALSE))</f>
        <v>0</v>
      </c>
      <c r="Q127" t="b">
        <f>IF(
    ISNUMBER(Table1[[#This Row],[Strike]]),RTD("tos.rtd", , "BID", "."&amp;Table1[[#This Row],[Ticker]]&amp;Table1[[#This Row],[Expiry]]&amp;""&amp;"P"&amp;Table1[[#This Row],[Strike]]))</f>
        <v>0</v>
      </c>
      <c r="R127" t="b">
        <f>IF(
    ISNUMBER(Table1[[#This Row],[Strike]]),RTD("tos.rtd", , "ASK", "."&amp;Table1[[#This Row],[Ticker]]&amp;Table1[[#This Row],[Expiry]]&amp;""&amp;"P"&amp;Table1[[#This Row],[Strike]]))</f>
        <v>0</v>
      </c>
      <c r="S127" s="17"/>
      <c r="T127" t="b">
        <f>IF(
    ISNUMBER(Table1[[#This Row],[Strike]]),RTD("tos.rtd", , "OPEN_INT", "."&amp;Table1[[#This Row],[Ticker]]&amp;Table1[[#This Row],[Expiry]]&amp;""&amp;"P"&amp;Table1[[#This Row],[Strike]]))</f>
        <v>0</v>
      </c>
      <c r="U12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7" t="b">
        <f>IF(
    ISNUMBER(Table1[[#This Row],[Strike]]),RTD("tos.rtd", , "DELTA", "."&amp;Table1[[#This Row],[Ticker]]&amp;Table1[[#This Row],[Expiry]]&amp;""&amp;"P"&amp;Table1[[#This Row],[Strike]]))</f>
        <v>0</v>
      </c>
      <c r="Y127" s="19">
        <f>8.5* IF($M$1="NDX", 10, IF(OR($M$1="SPX", $M$1="RUT"), 2, 1))</f>
        <v>17</v>
      </c>
      <c r="Z127">
        <f ca="1">IFERROR(Table1[[#This Row],[call gamma]]*(Table1[[#This Row],[Open.Int]])*$A$4^2,0)</f>
        <v>0</v>
      </c>
      <c r="AA127">
        <f ca="1">IFERROR(((Table1[[#This Row],[Open.Int8]])*Table1[[#This Row],[Put gamma]])*-1*$A$4^2,0)</f>
        <v>0</v>
      </c>
      <c r="AB127">
        <f ca="1">(Table1[[#This Row],[Call Gex]]+Table1[[#This Row],[Put Gex]])</f>
        <v>0</v>
      </c>
      <c r="AC127">
        <f ca="1">Table1[[#This Row],[call delta adj]]+Table1[[#This Row],[put delta adj]]</f>
        <v>0</v>
      </c>
      <c r="AD127">
        <f ca="1">Table1[[#This Row],[Put Gex]]*Table1[[#This Row],[DeltaP]]*-1</f>
        <v>0</v>
      </c>
      <c r="AE127">
        <f ca="1">Table1[[#This Row],[Call Gex]]*Table1[[#This Row],[DeltaC]]</f>
        <v>0</v>
      </c>
      <c r="AF127">
        <f>IF(Table1[[#This Row],[DeltaC]]-ABS(Table1[[#This Row],[DeltaP]])="0","0.01",Table1[[#This Row],[DeltaC]]-ABS(Table1[[#This Row],[DeltaP]]))</f>
        <v>0</v>
      </c>
      <c r="AG127" t="e">
        <f ca="1">((LN($A$4/Table1[[#This Row],[Strike]]) + (0.411 + 0.5 * Table1[[#This Row],[IV Calc P]]^2) *Table1[[#This Row],[T]])) / (Table1[[#This Row],[IV Calc P]] * SQRT(Table1[[#This Row],[T]]))</f>
        <v>#DIV/0!</v>
      </c>
      <c r="AH127" t="e">
        <f ca="1">(LN($A$4/Table1[[#This Row],[Strike]]) + (0.411-0 + 0.5 * Table1[[#This Row],[IV Calc C]]^2) *Table1[[#This Row],[T]]) / (Table1[[#This Row],[IV Calc C]] * SQRT(Table1[[#This Row],[T]]))</f>
        <v>#DIV/0!</v>
      </c>
      <c r="AI127" t="e">
        <f ca="1">(EXP(-(AG127^2)/2)/SQRT(2*PI())*EXP(0*SQRT(Table1[[#This Row],[T]]))/$A$4*18%*SQRT(SQRT(Table1[[#This Row],[T]])))</f>
        <v>#DIV/0!</v>
      </c>
      <c r="AJ127" t="e">
        <f ca="1">(EXP(-(AH127^2)/2)/SQRT(2*PI())*EXP(0*SQRT(Table1[[#This Row],[T]]))/$A$4*18%*SQRT(SQRT(Table1[[#This Row],[T]])))</f>
        <v>#DIV/0!</v>
      </c>
      <c r="AK127" t="e">
        <f ca="1">Table1[[#This Row],[Call D1]]-Table1[[#This Row],[IV Calc C]]*SQRT(Table1[[#This Row],[T]])</f>
        <v>#DIV/0!</v>
      </c>
      <c r="AL127" t="e">
        <f ca="1">Table1[[#This Row],[Put D1]]-Table1[[#This Row],[IV Calc P]]*SQRT(Table1[[#This Row],[T]])</f>
        <v>#DIV/0!</v>
      </c>
      <c r="AM127" t="e">
        <f ca="1">EXP(-0.5*Table1[[#This Row],[Call D1]]^2)/SQRT(2*PI())</f>
        <v>#DIV/0!</v>
      </c>
      <c r="AN127" t="e">
        <f ca="1">EXP(-0.5*Table1[[#This Row],[Put D1]]^2)/SQRT(2*PI())</f>
        <v>#DIV/0!</v>
      </c>
      <c r="AO127">
        <f ca="1">IFERROR((EXP(0*Table1[[#This Row],[T]])*Table1[[#This Row],[call N(d1)]]*(Table1[[#This Row],[call d2]]/Table1[[#This Row],[IV Calc C]]))*Table1[[#This Row],[Open.Int]]*Table1[[#This Row],[DeltaC]],0)</f>
        <v>0</v>
      </c>
      <c r="AP127">
        <f ca="1">IFERROR((EXP(0*Table1[[#This Row],[T]])*Table1[[#This Row],[put N(d1)]]*(Table1[[#This Row],[put d2]]/Table1[[#This Row],[IV Calc P]]))*Table1[[#This Row],[Open.Int8]]*Table1[[#This Row],[DeltaP]]*-1,0)</f>
        <v>0</v>
      </c>
      <c r="AQ127">
        <f ca="1">((Table1[[#This Row],[call vanna]]+Table1[[#This Row],[put vanna]])*$A$4)</f>
        <v>0</v>
      </c>
      <c r="AR12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7" s="9" t="str" cm="1">
        <f t="array" ref="AT127">_xlfn.IFS(     $M$1="SPX","SPXW",     $M$1="RUT","RUTW",  $M$1="NDX","NDXP",   TRUE,$M$1 )</f>
        <v>SPXW</v>
      </c>
      <c r="AU127" s="2">
        <f t="shared" si="12"/>
        <v>6915</v>
      </c>
      <c r="AV127" t="str">
        <f t="shared" si="13"/>
        <v>260123</v>
      </c>
      <c r="AW127" s="19">
        <f ca="1">IFERROR((EXP(0*Table1[[#This Row],[T]])*Table1[[#This Row],[put N(d1)]]*(Table1[[#This Row],[put d2]]/Table1[[#This Row],[IV Calc P]]))*Table1[[#This Row],[Open.Int8]]*Table1[[#This Row],[DeltaP]]*-1,0)</f>
        <v>0</v>
      </c>
      <c r="AX127">
        <f ca="1">IFERROR((EXP(0*Table1[[#This Row],[T]])*Table1[[#This Row],[call N(d1)]]*(Table1[[#This Row],[call d2]]/Table1[[#This Row],[IV Calc C]]))*Table1[[#This Row],[Open.Int]]*Table1[[#This Row],[DeltaC]],0)</f>
        <v>0</v>
      </c>
      <c r="AY12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7">
        <f>((Table1[[#This Row],[High C]]+Table1[[#This Row],[Low C]])/2)*Table1[[#This Row],[gammac]]*Table1[[#This Row],[Volume]]</f>
        <v>0</v>
      </c>
      <c r="BD127">
        <f>((Table1[[#This Row],[High P]]+Table1[[#This Row],[Low P]])/2)*Table1[[#This Row],[gammap]]*Table1[[#This Row],[Volume9]]*-1</f>
        <v>0</v>
      </c>
      <c r="BE127">
        <f>(Table1[[#This Row],[SgammaC]]+Table1[[#This Row],[SgammaP]])*$A$4*-100</f>
        <v>0</v>
      </c>
      <c r="BF127">
        <f>Table1[[#This Row],[DEXc]]+Table1[[#This Row],[DEXp]]</f>
        <v>0</v>
      </c>
      <c r="BG127">
        <f>IFERROR(Table1[[#This Row],[DeltaC]]*Table1[[#This Row],[Open.Int]]*$A$4,0)</f>
        <v>0</v>
      </c>
      <c r="BH127">
        <f>IFERROR(Table1[[#This Row],[DeltaP]]*Table1[[#This Row],[Open.Int8]]*$A$4,0)</f>
        <v>0</v>
      </c>
      <c r="BI12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7">
        <f ca="1">Table1[[#This Row],[Charmc]]+Table1[[#This Row],[Charmp]]</f>
        <v>0</v>
      </c>
      <c r="BL12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7" s="78">
        <f ca="1">Table1[[#This Row],[call helper]]+Table1[[#This Row],[put helper]]</f>
        <v>0</v>
      </c>
      <c r="BP127" t="str">
        <f>RTD("tos.rtd", , "STRIKE", "."&amp;Table1[[#This Row],[Ticker]]&amp;Table1[[#This Row],[Expiry]]&amp;""&amp;"C"&amp;Table1[[#This Row],[Spot]]+Table1[[#This Row],[step]])</f>
        <v>N/A</v>
      </c>
    </row>
    <row r="128" spans="1:68" x14ac:dyDescent="0.25">
      <c r="A128">
        <f t="shared" ca="1" si="9"/>
        <v>2.5814307458086375E-3</v>
      </c>
      <c r="C128" s="17"/>
      <c r="D128" t="b">
        <f>IF(
    ISNUMBER(Table1[[#This Row],[Strike]]),RTD("tos.rtd", , "OPEN_INT", "."&amp;Table1[[#This Row],[Ticker]]&amp;Table1[[#This Row],[Expiry]]&amp;""&amp;"C"&amp;Table1[[#This Row],[Strike]]))</f>
        <v>0</v>
      </c>
      <c r="E12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8" t="b">
        <f>IF(
    ISNUMBER(Table1[[#This Row],[Strike]]),RTD("tos.rtd", , "DELTA", "."&amp;Table1[[#This Row],[Ticker]]&amp;Table1[[#This Row],[Expiry]]&amp;""&amp;"C"&amp;Table1[[#This Row],[Strike]]))</f>
        <v>0</v>
      </c>
      <c r="H128" s="17" t="b" cm="1">
        <f t="array" ref="H128">IF(
    ISNUMBER(Table1[[#This Row],[Strike]]),IndividualLegIVCore($A$4, Table1[[#This Row],[Strike]], 0.0411, Table1[[#This Row],[T]], ((Table1[[#This Row],[BIDC]]+Table1[[#This Row],[ASKC]])/2), TRUE))</f>
        <v>0</v>
      </c>
      <c r="I128" t="b">
        <f>IF(
    ISNUMBER(Table1[[#This Row],[Strike]]),RTD("tos.rtd", , "BID", "."&amp;Table1[[#This Row],[Ticker]]&amp;Table1[[#This Row],[Expiry]]&amp;""&amp;"C"&amp;Table1[[#This Row],[Strike]]))</f>
        <v>0</v>
      </c>
      <c r="J128" t="b">
        <f>IF(
    ISNUMBER(Table1[[#This Row],[Strike]]),RTD("tos.rtd", , "ASK", "."&amp;Table1[[#This Row],[Ticker]]&amp;Table1[[#This Row],[Expiry]]&amp;""&amp;"C"&amp;Table1[[#This Row],[Strike]]))</f>
        <v>0</v>
      </c>
      <c r="K12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8" s="17" cm="1">
        <f t="array" aca="1" ref="L12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8" s="1">
        <f t="shared" si="10"/>
        <v>46045</v>
      </c>
      <c r="N128" t="b">
        <f t="shared" si="11"/>
        <v>0</v>
      </c>
      <c r="P128" s="17" t="b" cm="1">
        <f t="array" ref="P128">IF(
    ISNUMBER(Table1[[#This Row],[Strike]]),IndividualLegIVCore($A$4, Table1[[#This Row],[Strike]], 0.0411, Table1[[#This Row],[T]], ((Table1[[#This Row],[BIDP]]+Table1[[#This Row],[ASKP]])/2), FALSE))</f>
        <v>0</v>
      </c>
      <c r="Q128" t="b">
        <f>IF(
    ISNUMBER(Table1[[#This Row],[Strike]]),RTD("tos.rtd", , "BID", "."&amp;Table1[[#This Row],[Ticker]]&amp;Table1[[#This Row],[Expiry]]&amp;""&amp;"P"&amp;Table1[[#This Row],[Strike]]))</f>
        <v>0</v>
      </c>
      <c r="R128" t="b">
        <f>IF(
    ISNUMBER(Table1[[#This Row],[Strike]]),RTD("tos.rtd", , "ASK", "."&amp;Table1[[#This Row],[Ticker]]&amp;Table1[[#This Row],[Expiry]]&amp;""&amp;"P"&amp;Table1[[#This Row],[Strike]]))</f>
        <v>0</v>
      </c>
      <c r="S128" s="17"/>
      <c r="T128" t="b">
        <f>IF(
    ISNUMBER(Table1[[#This Row],[Strike]]),RTD("tos.rtd", , "OPEN_INT", "."&amp;Table1[[#This Row],[Ticker]]&amp;Table1[[#This Row],[Expiry]]&amp;""&amp;"P"&amp;Table1[[#This Row],[Strike]]))</f>
        <v>0</v>
      </c>
      <c r="U12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8" t="b">
        <f>IF(
    ISNUMBER(Table1[[#This Row],[Strike]]),RTD("tos.rtd", , "DELTA", "."&amp;Table1[[#This Row],[Ticker]]&amp;Table1[[#This Row],[Expiry]]&amp;""&amp;"P"&amp;Table1[[#This Row],[Strike]]))</f>
        <v>0</v>
      </c>
      <c r="Y128" s="19">
        <f>9* IF($M$1="NDX", 10, IF(OR($M$1="SPX", $M$1="RUT"), 2, 1))</f>
        <v>18</v>
      </c>
      <c r="Z128">
        <f ca="1">IFERROR(Table1[[#This Row],[call gamma]]*(Table1[[#This Row],[Open.Int]])*$A$4^2,0)</f>
        <v>0</v>
      </c>
      <c r="AA128">
        <f ca="1">IFERROR(((Table1[[#This Row],[Open.Int8]])*Table1[[#This Row],[Put gamma]])*-1*$A$4^2,0)</f>
        <v>0</v>
      </c>
      <c r="AB128">
        <f ca="1">(Table1[[#This Row],[Call Gex]]+Table1[[#This Row],[Put Gex]])</f>
        <v>0</v>
      </c>
      <c r="AC128">
        <f ca="1">Table1[[#This Row],[call delta adj]]+Table1[[#This Row],[put delta adj]]</f>
        <v>0</v>
      </c>
      <c r="AD128">
        <f ca="1">Table1[[#This Row],[Put Gex]]*Table1[[#This Row],[DeltaP]]*-1</f>
        <v>0</v>
      </c>
      <c r="AE128">
        <f ca="1">Table1[[#This Row],[Call Gex]]*Table1[[#This Row],[DeltaC]]</f>
        <v>0</v>
      </c>
      <c r="AF128">
        <f>IF(Table1[[#This Row],[DeltaC]]-ABS(Table1[[#This Row],[DeltaP]])="0","0.01",Table1[[#This Row],[DeltaC]]-ABS(Table1[[#This Row],[DeltaP]]))</f>
        <v>0</v>
      </c>
      <c r="AG128" t="e">
        <f ca="1">((LN($A$4/Table1[[#This Row],[Strike]]) + (0.411 + 0.5 * Table1[[#This Row],[IV Calc P]]^2) *Table1[[#This Row],[T]])) / (Table1[[#This Row],[IV Calc P]] * SQRT(Table1[[#This Row],[T]]))</f>
        <v>#DIV/0!</v>
      </c>
      <c r="AH128" t="e">
        <f ca="1">(LN($A$4/Table1[[#This Row],[Strike]]) + (0.411-0 + 0.5 * Table1[[#This Row],[IV Calc C]]^2) *Table1[[#This Row],[T]]) / (Table1[[#This Row],[IV Calc C]] * SQRT(Table1[[#This Row],[T]]))</f>
        <v>#DIV/0!</v>
      </c>
      <c r="AI128" t="e">
        <f ca="1">(EXP(-(AG128^2)/2)/SQRT(2*PI())*EXP(0*SQRT(Table1[[#This Row],[T]]))/$A$4*18%*SQRT(SQRT(Table1[[#This Row],[T]])))</f>
        <v>#DIV/0!</v>
      </c>
      <c r="AJ128" t="e">
        <f ca="1">(EXP(-(AH128^2)/2)/SQRT(2*PI())*EXP(0*SQRT(Table1[[#This Row],[T]]))/$A$4*18%*SQRT(SQRT(Table1[[#This Row],[T]])))</f>
        <v>#DIV/0!</v>
      </c>
      <c r="AK128" t="e">
        <f ca="1">Table1[[#This Row],[Call D1]]-Table1[[#This Row],[IV Calc C]]*SQRT(Table1[[#This Row],[T]])</f>
        <v>#DIV/0!</v>
      </c>
      <c r="AL128" t="e">
        <f ca="1">Table1[[#This Row],[Put D1]]-Table1[[#This Row],[IV Calc P]]*SQRT(Table1[[#This Row],[T]])</f>
        <v>#DIV/0!</v>
      </c>
      <c r="AM128" t="e">
        <f ca="1">EXP(-0.5*Table1[[#This Row],[Call D1]]^2)/SQRT(2*PI())</f>
        <v>#DIV/0!</v>
      </c>
      <c r="AN128" t="e">
        <f ca="1">EXP(-0.5*Table1[[#This Row],[Put D1]]^2)/SQRT(2*PI())</f>
        <v>#DIV/0!</v>
      </c>
      <c r="AO128">
        <f ca="1">IFERROR((EXP(0*Table1[[#This Row],[T]])*Table1[[#This Row],[call N(d1)]]*(Table1[[#This Row],[call d2]]/Table1[[#This Row],[IV Calc C]]))*Table1[[#This Row],[Open.Int]]*Table1[[#This Row],[DeltaC]],0)</f>
        <v>0</v>
      </c>
      <c r="AP128">
        <f ca="1">IFERROR((EXP(0*Table1[[#This Row],[T]])*Table1[[#This Row],[put N(d1)]]*(Table1[[#This Row],[put d2]]/Table1[[#This Row],[IV Calc P]]))*Table1[[#This Row],[Open.Int8]]*Table1[[#This Row],[DeltaP]]*-1,0)</f>
        <v>0</v>
      </c>
      <c r="AQ128">
        <f ca="1">((Table1[[#This Row],[call vanna]]+Table1[[#This Row],[put vanna]])*$A$4)</f>
        <v>0</v>
      </c>
      <c r="AR12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8" s="9" t="str" cm="1">
        <f t="array" ref="AT128">_xlfn.IFS(     $M$1="SPX","SPXW",     $M$1="RUT","RUTW",  $M$1="NDX","NDXP",   TRUE,$M$1 )</f>
        <v>SPXW</v>
      </c>
      <c r="AU128" s="2">
        <f t="shared" si="12"/>
        <v>6915</v>
      </c>
      <c r="AV128" t="str">
        <f t="shared" si="13"/>
        <v>260123</v>
      </c>
      <c r="AW128" s="19">
        <f ca="1">IFERROR((EXP(0*Table1[[#This Row],[T]])*Table1[[#This Row],[put N(d1)]]*(Table1[[#This Row],[put d2]]/Table1[[#This Row],[IV Calc P]]))*Table1[[#This Row],[Open.Int8]]*Table1[[#This Row],[DeltaP]]*-1,0)</f>
        <v>0</v>
      </c>
      <c r="AX128">
        <f ca="1">IFERROR((EXP(0*Table1[[#This Row],[T]])*Table1[[#This Row],[call N(d1)]]*(Table1[[#This Row],[call d2]]/Table1[[#This Row],[IV Calc C]]))*Table1[[#This Row],[Open.Int]]*Table1[[#This Row],[DeltaC]],0)</f>
        <v>0</v>
      </c>
      <c r="AY12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8">
        <f>((Table1[[#This Row],[High C]]+Table1[[#This Row],[Low C]])/2)*Table1[[#This Row],[gammac]]*Table1[[#This Row],[Volume]]</f>
        <v>0</v>
      </c>
      <c r="BD128">
        <f>((Table1[[#This Row],[High P]]+Table1[[#This Row],[Low P]])/2)*Table1[[#This Row],[gammap]]*Table1[[#This Row],[Volume9]]*-1</f>
        <v>0</v>
      </c>
      <c r="BE128">
        <f>(Table1[[#This Row],[SgammaC]]+Table1[[#This Row],[SgammaP]])*$A$4*-100</f>
        <v>0</v>
      </c>
      <c r="BF128">
        <f>Table1[[#This Row],[DEXc]]+Table1[[#This Row],[DEXp]]</f>
        <v>0</v>
      </c>
      <c r="BG128">
        <f>IFERROR(Table1[[#This Row],[DeltaC]]*Table1[[#This Row],[Open.Int]]*$A$4,0)</f>
        <v>0</v>
      </c>
      <c r="BH128">
        <f>IFERROR(Table1[[#This Row],[DeltaP]]*Table1[[#This Row],[Open.Int8]]*$A$4,0)</f>
        <v>0</v>
      </c>
      <c r="BI12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8">
        <f ca="1">Table1[[#This Row],[Charmc]]+Table1[[#This Row],[Charmp]]</f>
        <v>0</v>
      </c>
      <c r="BL12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8" s="78">
        <f ca="1">Table1[[#This Row],[call helper]]+Table1[[#This Row],[put helper]]</f>
        <v>0</v>
      </c>
      <c r="BP128" t="str">
        <f>RTD("tos.rtd", , "STRIKE", "."&amp;Table1[[#This Row],[Ticker]]&amp;Table1[[#This Row],[Expiry]]&amp;""&amp;"C"&amp;Table1[[#This Row],[Spot]]+Table1[[#This Row],[step]])</f>
        <v>N/A</v>
      </c>
    </row>
    <row r="129" spans="1:77" x14ac:dyDescent="0.25">
      <c r="A129">
        <f t="shared" ca="1" si="9"/>
        <v>2.5814307458086375E-3</v>
      </c>
      <c r="C129" s="17"/>
      <c r="D129" t="b">
        <f>IF(
    ISNUMBER(Table1[[#This Row],[Strike]]),RTD("tos.rtd", , "OPEN_INT", "."&amp;Table1[[#This Row],[Ticker]]&amp;Table1[[#This Row],[Expiry]]&amp;""&amp;"C"&amp;Table1[[#This Row],[Strike]]))</f>
        <v>0</v>
      </c>
      <c r="E12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9" t="b">
        <f>IF(
    ISNUMBER(Table1[[#This Row],[Strike]]),RTD("tos.rtd", , "DELTA", "."&amp;Table1[[#This Row],[Ticker]]&amp;Table1[[#This Row],[Expiry]]&amp;""&amp;"C"&amp;Table1[[#This Row],[Strike]]))</f>
        <v>0</v>
      </c>
      <c r="H129" s="17" t="b" cm="1">
        <f t="array" ref="H129">IF(
    ISNUMBER(Table1[[#This Row],[Strike]]),IndividualLegIVCore($A$4, Table1[[#This Row],[Strike]], 0.0411, Table1[[#This Row],[T]], ((Table1[[#This Row],[BIDC]]+Table1[[#This Row],[ASKC]])/2), TRUE))</f>
        <v>0</v>
      </c>
      <c r="I129" t="b">
        <f>IF(
    ISNUMBER(Table1[[#This Row],[Strike]]),RTD("tos.rtd", , "BID", "."&amp;Table1[[#This Row],[Ticker]]&amp;Table1[[#This Row],[Expiry]]&amp;""&amp;"C"&amp;Table1[[#This Row],[Strike]]))</f>
        <v>0</v>
      </c>
      <c r="J129" t="b">
        <f>IF(
    ISNUMBER(Table1[[#This Row],[Strike]]),RTD("tos.rtd", , "ASK", "."&amp;Table1[[#This Row],[Ticker]]&amp;Table1[[#This Row],[Expiry]]&amp;""&amp;"C"&amp;Table1[[#This Row],[Strike]]))</f>
        <v>0</v>
      </c>
      <c r="K12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9" s="17" cm="1">
        <f t="array" aca="1" ref="L12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9" s="1">
        <f t="shared" si="10"/>
        <v>46045</v>
      </c>
      <c r="N129" t="b">
        <f t="shared" si="11"/>
        <v>0</v>
      </c>
      <c r="P129" s="17" t="b" cm="1">
        <f t="array" ref="P129">IF(
    ISNUMBER(Table1[[#This Row],[Strike]]),IndividualLegIVCore($A$4, Table1[[#This Row],[Strike]], 0.0411, Table1[[#This Row],[T]], ((Table1[[#This Row],[BIDP]]+Table1[[#This Row],[ASKP]])/2), FALSE))</f>
        <v>0</v>
      </c>
      <c r="Q129" t="b">
        <f>IF(
    ISNUMBER(Table1[[#This Row],[Strike]]),RTD("tos.rtd", , "BID", "."&amp;Table1[[#This Row],[Ticker]]&amp;Table1[[#This Row],[Expiry]]&amp;""&amp;"P"&amp;Table1[[#This Row],[Strike]]))</f>
        <v>0</v>
      </c>
      <c r="R129" t="b">
        <f>IF(
    ISNUMBER(Table1[[#This Row],[Strike]]),RTD("tos.rtd", , "ASK", "."&amp;Table1[[#This Row],[Ticker]]&amp;Table1[[#This Row],[Expiry]]&amp;""&amp;"P"&amp;Table1[[#This Row],[Strike]]))</f>
        <v>0</v>
      </c>
      <c r="S129" s="17"/>
      <c r="T129" t="b">
        <f>IF(
    ISNUMBER(Table1[[#This Row],[Strike]]),RTD("tos.rtd", , "OPEN_INT", "."&amp;Table1[[#This Row],[Ticker]]&amp;Table1[[#This Row],[Expiry]]&amp;""&amp;"P"&amp;Table1[[#This Row],[Strike]]))</f>
        <v>0</v>
      </c>
      <c r="U12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9" t="b">
        <f>IF(
    ISNUMBER(Table1[[#This Row],[Strike]]),RTD("tos.rtd", , "DELTA", "."&amp;Table1[[#This Row],[Ticker]]&amp;Table1[[#This Row],[Expiry]]&amp;""&amp;"P"&amp;Table1[[#This Row],[Strike]]))</f>
        <v>0</v>
      </c>
      <c r="Y129" s="19">
        <f>9.5* IF($M$1="NDX", 10, IF(OR($M$1="SPX", $M$1="RUT"), 2, 1))</f>
        <v>19</v>
      </c>
      <c r="Z129">
        <f ca="1">IFERROR(Table1[[#This Row],[call gamma]]*(Table1[[#This Row],[Open.Int]])*$A$4^2,0)</f>
        <v>0</v>
      </c>
      <c r="AA129">
        <f ca="1">IFERROR(((Table1[[#This Row],[Open.Int8]])*Table1[[#This Row],[Put gamma]])*-1*$A$4^2,0)</f>
        <v>0</v>
      </c>
      <c r="AB129">
        <f ca="1">(Table1[[#This Row],[Call Gex]]+Table1[[#This Row],[Put Gex]])</f>
        <v>0</v>
      </c>
      <c r="AC129">
        <f ca="1">Table1[[#This Row],[call delta adj]]+Table1[[#This Row],[put delta adj]]</f>
        <v>0</v>
      </c>
      <c r="AD129">
        <f ca="1">Table1[[#This Row],[Put Gex]]*Table1[[#This Row],[DeltaP]]*-1</f>
        <v>0</v>
      </c>
      <c r="AE129">
        <f ca="1">Table1[[#This Row],[Call Gex]]*Table1[[#This Row],[DeltaC]]</f>
        <v>0</v>
      </c>
      <c r="AF129">
        <f>IF(Table1[[#This Row],[DeltaC]]-ABS(Table1[[#This Row],[DeltaP]])="0","0.01",Table1[[#This Row],[DeltaC]]-ABS(Table1[[#This Row],[DeltaP]]))</f>
        <v>0</v>
      </c>
      <c r="AG129" t="e">
        <f ca="1">((LN($A$4/Table1[[#This Row],[Strike]]) + (0.411 + 0.5 * Table1[[#This Row],[IV Calc P]]^2) *Table1[[#This Row],[T]])) / (Table1[[#This Row],[IV Calc P]] * SQRT(Table1[[#This Row],[T]]))</f>
        <v>#DIV/0!</v>
      </c>
      <c r="AH129" t="e">
        <f ca="1">(LN($A$4/Table1[[#This Row],[Strike]]) + (0.411-0 + 0.5 * Table1[[#This Row],[IV Calc C]]^2) *Table1[[#This Row],[T]]) / (Table1[[#This Row],[IV Calc C]] * SQRT(Table1[[#This Row],[T]]))</f>
        <v>#DIV/0!</v>
      </c>
      <c r="AI129" t="e">
        <f ca="1">(EXP(-(AG129^2)/2)/SQRT(2*PI())*EXP(0*SQRT(Table1[[#This Row],[T]]))/$A$4*18%*SQRT(SQRT(Table1[[#This Row],[T]])))</f>
        <v>#DIV/0!</v>
      </c>
      <c r="AJ129" t="e">
        <f ca="1">(EXP(-(AH129^2)/2)/SQRT(2*PI())*EXP(0*SQRT(Table1[[#This Row],[T]]))/$A$4*18%*SQRT(SQRT(Table1[[#This Row],[T]])))</f>
        <v>#DIV/0!</v>
      </c>
      <c r="AK129" t="e">
        <f ca="1">Table1[[#This Row],[Call D1]]-Table1[[#This Row],[IV Calc C]]*SQRT(Table1[[#This Row],[T]])</f>
        <v>#DIV/0!</v>
      </c>
      <c r="AL129" t="e">
        <f ca="1">Table1[[#This Row],[Put D1]]-Table1[[#This Row],[IV Calc P]]*SQRT(Table1[[#This Row],[T]])</f>
        <v>#DIV/0!</v>
      </c>
      <c r="AM129" t="e">
        <f ca="1">EXP(-0.5*Table1[[#This Row],[Call D1]]^2)/SQRT(2*PI())</f>
        <v>#DIV/0!</v>
      </c>
      <c r="AN129" t="e">
        <f ca="1">EXP(-0.5*Table1[[#This Row],[Put D1]]^2)/SQRT(2*PI())</f>
        <v>#DIV/0!</v>
      </c>
      <c r="AO129">
        <f ca="1">IFERROR((EXP(0*Table1[[#This Row],[T]])*Table1[[#This Row],[call N(d1)]]*(Table1[[#This Row],[call d2]]/Table1[[#This Row],[IV Calc C]]))*Table1[[#This Row],[Open.Int]]*Table1[[#This Row],[DeltaC]],0)</f>
        <v>0</v>
      </c>
      <c r="AP129">
        <f ca="1">IFERROR((EXP(0*Table1[[#This Row],[T]])*Table1[[#This Row],[put N(d1)]]*(Table1[[#This Row],[put d2]]/Table1[[#This Row],[IV Calc P]]))*Table1[[#This Row],[Open.Int8]]*Table1[[#This Row],[DeltaP]]*-1,0)</f>
        <v>0</v>
      </c>
      <c r="AQ129">
        <f ca="1">((Table1[[#This Row],[call vanna]]+Table1[[#This Row],[put vanna]])*$A$4)</f>
        <v>0</v>
      </c>
      <c r="AR12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9" s="9" t="str" cm="1">
        <f t="array" ref="AT129">_xlfn.IFS(     $M$1="SPX","SPXW",     $M$1="RUT","RUTW",  $M$1="NDX","NDXP",   TRUE,$M$1 )</f>
        <v>SPXW</v>
      </c>
      <c r="AU129" s="2">
        <f t="shared" si="12"/>
        <v>6915</v>
      </c>
      <c r="AV129" t="str">
        <f t="shared" si="13"/>
        <v>260123</v>
      </c>
      <c r="AW129" s="19">
        <f ca="1">IFERROR((EXP(0*Table1[[#This Row],[T]])*Table1[[#This Row],[put N(d1)]]*(Table1[[#This Row],[put d2]]/Table1[[#This Row],[IV Calc P]]))*Table1[[#This Row],[Open.Int8]]*Table1[[#This Row],[DeltaP]]*-1,0)</f>
        <v>0</v>
      </c>
      <c r="AX129">
        <f ca="1">IFERROR((EXP(0*Table1[[#This Row],[T]])*Table1[[#This Row],[call N(d1)]]*(Table1[[#This Row],[call d2]]/Table1[[#This Row],[IV Calc C]]))*Table1[[#This Row],[Open.Int]]*Table1[[#This Row],[DeltaC]],0)</f>
        <v>0</v>
      </c>
      <c r="AY12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9">
        <f>((Table1[[#This Row],[High C]]+Table1[[#This Row],[Low C]])/2)*Table1[[#This Row],[gammac]]*Table1[[#This Row],[Volume]]</f>
        <v>0</v>
      </c>
      <c r="BD129">
        <f>((Table1[[#This Row],[High P]]+Table1[[#This Row],[Low P]])/2)*Table1[[#This Row],[gammap]]*Table1[[#This Row],[Volume9]]*-1</f>
        <v>0</v>
      </c>
      <c r="BE129">
        <f>(Table1[[#This Row],[SgammaC]]+Table1[[#This Row],[SgammaP]])*$A$4*-100</f>
        <v>0</v>
      </c>
      <c r="BF129">
        <f>Table1[[#This Row],[DEXc]]+Table1[[#This Row],[DEXp]]</f>
        <v>0</v>
      </c>
      <c r="BG129">
        <f>IFERROR(Table1[[#This Row],[DeltaC]]*Table1[[#This Row],[Open.Int]]*$A$4,0)</f>
        <v>0</v>
      </c>
      <c r="BH129">
        <f>IFERROR(Table1[[#This Row],[DeltaP]]*Table1[[#This Row],[Open.Int8]]*$A$4,0)</f>
        <v>0</v>
      </c>
      <c r="BI12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9">
        <f ca="1">Table1[[#This Row],[Charmc]]+Table1[[#This Row],[Charmp]]</f>
        <v>0</v>
      </c>
      <c r="BL12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9" s="78">
        <f ca="1">Table1[[#This Row],[call helper]]+Table1[[#This Row],[put helper]]</f>
        <v>0</v>
      </c>
      <c r="BP129" t="str">
        <f>RTD("tos.rtd", , "STRIKE", "."&amp;Table1[[#This Row],[Ticker]]&amp;Table1[[#This Row],[Expiry]]&amp;""&amp;"C"&amp;Table1[[#This Row],[Spot]]+Table1[[#This Row],[step]])</f>
        <v>N/A</v>
      </c>
    </row>
    <row r="130" spans="1:77" x14ac:dyDescent="0.25">
      <c r="A130">
        <f t="shared" ca="1" si="9"/>
        <v>2.5814307458086375E-3</v>
      </c>
      <c r="C130" s="17"/>
      <c r="D130">
        <f>IF(
    ISNUMBER(Table1[[#This Row],[Strike]]),RTD("tos.rtd", , "OPEN_INT", "."&amp;Table1[[#This Row],[Ticker]]&amp;Table1[[#This Row],[Expiry]]&amp;""&amp;"C"&amp;Table1[[#This Row],[Strike]]))</f>
        <v>768</v>
      </c>
      <c r="E13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5789</v>
      </c>
      <c r="G130">
        <f>IF(
    ISNUMBER(Table1[[#This Row],[Strike]]),RTD("tos.rtd", , "DELTA", "."&amp;Table1[[#This Row],[Ticker]]&amp;Table1[[#This Row],[Expiry]]&amp;""&amp;"C"&amp;Table1[[#This Row],[Strike]]))</f>
        <v>0.28000000000000003</v>
      </c>
      <c r="H130" s="17" cm="1">
        <f t="array" aca="1" ref="H130" ca="1">IF(
    ISNUMBER(Table1[[#This Row],[Strike]]),IndividualLegIVCore($A$4, Table1[[#This Row],[Strike]], 0.0411, Table1[[#This Row],[T]], ((Table1[[#This Row],[BIDC]]+Table1[[#This Row],[ASKC]])/2), TRUE))</f>
        <v>0.10349380051807962</v>
      </c>
      <c r="I130">
        <f>IF(
    ISNUMBER(Table1[[#This Row],[Strike]]),RTD("tos.rtd", , "BID", "."&amp;Table1[[#This Row],[Ticker]]&amp;Table1[[#This Row],[Expiry]]&amp;""&amp;"C"&amp;Table1[[#This Row],[Strike]]))</f>
        <v>6.2</v>
      </c>
      <c r="J130">
        <f>IF(
    ISNUMBER(Table1[[#This Row],[Strike]]),RTD("tos.rtd", , "ASK", "."&amp;Table1[[#This Row],[Ticker]]&amp;Table1[[#This Row],[Expiry]]&amp;""&amp;"C"&amp;Table1[[#This Row],[Strike]]))</f>
        <v>6.6</v>
      </c>
      <c r="K13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0.10349380051807962</v>
      </c>
      <c r="L130" s="17" cm="1">
        <f t="array" aca="1" ref="L130" ca="1">CubicSplineIVSmile($A$4, Table1[[#This Row],[Strike]], 0.0411, Table1[[#This Row],[T]], (Table1[[#This Row],[BIDC]]+Table1[[#This Row],[ASKC]])/2, (Table1[[#This Row],[BIDP]]+Table1[[#This Row],[ASKP]])/2, Table1[Strike], Table1[IV Calc AVG])</f>
        <v>0.13008302336738117</v>
      </c>
      <c r="M130" s="1">
        <f t="shared" si="10"/>
        <v>46045</v>
      </c>
      <c r="N130">
        <f t="shared" si="11"/>
        <v>6935</v>
      </c>
      <c r="P130" s="17" cm="1">
        <f t="array" aca="1" ref="P130" ca="1">IF(
    ISNUMBER(Table1[[#This Row],[Strike]]),IndividualLegIVCore($A$4, Table1[[#This Row],[Strike]], 0.0411, Table1[[#This Row],[T]], ((Table1[[#This Row],[BIDP]]+Table1[[#This Row],[ASKP]])/2), FALSE))</f>
        <v>0.14233353576318231</v>
      </c>
      <c r="Q130">
        <f>IF(
    ISNUMBER(Table1[[#This Row],[Strike]]),RTD("tos.rtd", , "BID", "."&amp;Table1[[#This Row],[Ticker]]&amp;Table1[[#This Row],[Expiry]]&amp;""&amp;"P"&amp;Table1[[#This Row],[Strike]]))</f>
        <v>31.6</v>
      </c>
      <c r="R130">
        <f>IF(
    ISNUMBER(Table1[[#This Row],[Strike]]),RTD("tos.rtd", , "ASK", "."&amp;Table1[[#This Row],[Ticker]]&amp;Table1[[#This Row],[Expiry]]&amp;""&amp;"P"&amp;Table1[[#This Row],[Strike]]))</f>
        <v>32.700000000000003</v>
      </c>
      <c r="S130" s="17"/>
      <c r="T130">
        <f>IF(
    ISNUMBER(Table1[[#This Row],[Strike]]),RTD("tos.rtd", , "OPEN_INT", "."&amp;Table1[[#This Row],[Ticker]]&amp;Table1[[#This Row],[Expiry]]&amp;""&amp;"P"&amp;Table1[[#This Row],[Strike]]))</f>
        <v>591</v>
      </c>
      <c r="U13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1955</v>
      </c>
      <c r="W130">
        <f>IF(
    ISNUMBER(Table1[[#This Row],[Strike]]),RTD("tos.rtd", , "DELTA", "."&amp;Table1[[#This Row],[Ticker]]&amp;Table1[[#This Row],[Expiry]]&amp;""&amp;"P"&amp;Table1[[#This Row],[Strike]]))</f>
        <v>-0.66</v>
      </c>
      <c r="Y130" s="19">
        <f>10* IF($M$1="NDX", 10, IF(OR($M$1="SPX", $M$1="RUT"), 2, 1))</f>
        <v>20</v>
      </c>
      <c r="Z130">
        <f ca="1">IFERROR(Table1[[#This Row],[call gamma]]*(Table1[[#This Row],[Open.Int]])*$A$4^2,0)</f>
        <v>79639.882025577492</v>
      </c>
      <c r="AA130">
        <f ca="1">IFERROR(((Table1[[#This Row],[Open.Int8]])*Table1[[#This Row],[Put gamma]])*-1*$A$4^2,0)</f>
        <v>-63555.105226468433</v>
      </c>
      <c r="AB130">
        <f ca="1">(Table1[[#This Row],[Call Gex]]+Table1[[#This Row],[Put Gex]])</f>
        <v>16084.776799109059</v>
      </c>
      <c r="AC130">
        <f ca="1">Table1[[#This Row],[call delta adj]]+Table1[[#This Row],[put delta adj]]</f>
        <v>-19647.202482307468</v>
      </c>
      <c r="AD130">
        <f ca="1">Table1[[#This Row],[Put Gex]]*Table1[[#This Row],[DeltaP]]*-1</f>
        <v>-41946.369449469166</v>
      </c>
      <c r="AE130">
        <f ca="1">Table1[[#This Row],[Call Gex]]*Table1[[#This Row],[DeltaC]]</f>
        <v>22299.166967161698</v>
      </c>
      <c r="AF130">
        <f>IF(Table1[[#This Row],[DeltaC]]-ABS(Table1[[#This Row],[DeltaP]])="0","0.01",Table1[[#This Row],[DeltaC]]-ABS(Table1[[#This Row],[DeltaP]]))</f>
        <v>-0.38</v>
      </c>
      <c r="AG130">
        <f ca="1">((LN($A$4/Table1[[#This Row],[Strike]]) + (0.411 + 0.5 * Table1[[#This Row],[IV Calc P]]^2) *Table1[[#This Row],[T]])) / (Table1[[#This Row],[IV Calc P]] * SQRT(Table1[[#This Row],[T]]))</f>
        <v>-0.28203965090045535</v>
      </c>
      <c r="AH130">
        <f ca="1">(LN($A$4/Table1[[#This Row],[Strike]]) + (0.411-0 + 0.5 * Table1[[#This Row],[IV Calc C]]^2) *Table1[[#This Row],[T]]) / (Table1[[#This Row],[IV Calc C]] * SQRT(Table1[[#This Row],[T]]))</f>
        <v>-0.39022872435019923</v>
      </c>
      <c r="AI130">
        <f ca="1">(EXP(-(AG130^2)/2)/SQRT(2*PI())*EXP(0*SQRT(Table1[[#This Row],[T]]))/$A$4*18%*SQRT(SQRT(Table1[[#This Row],[T]])))</f>
        <v>2.2500173788852225E-6</v>
      </c>
      <c r="AJ130">
        <f ca="1">(EXP(-(AH130^2)/2)/SQRT(2*PI())*EXP(0*SQRT(Table1[[#This Row],[T]]))/$A$4*18%*SQRT(SQRT(Table1[[#This Row],[T]])))</f>
        <v>2.1696630821619822E-6</v>
      </c>
      <c r="AK130">
        <f ca="1">Table1[[#This Row],[Call D1]]-Table1[[#This Row],[IV Calc C]]*SQRT(Table1[[#This Row],[T]])</f>
        <v>-0.3954870148399518</v>
      </c>
      <c r="AL130">
        <f ca="1">Table1[[#This Row],[Put D1]]-Table1[[#This Row],[IV Calc P]]*SQRT(Table1[[#This Row],[T]])</f>
        <v>-0.2892713022044931</v>
      </c>
      <c r="AM130">
        <f ca="1">EXP(-0.5*Table1[[#This Row],[Call D1]]^2)/SQRT(2*PI())</f>
        <v>0.369694695279632</v>
      </c>
      <c r="AN130">
        <f ca="1">EXP(-0.5*Table1[[#This Row],[Put D1]]^2)/SQRT(2*PI())</f>
        <v>0.38338647880387672</v>
      </c>
      <c r="AO130">
        <f ca="1">IFERROR((EXP(0*Table1[[#This Row],[T]])*Table1[[#This Row],[call N(d1)]]*(Table1[[#This Row],[call d2]]/Table1[[#This Row],[IV Calc C]]))*Table1[[#This Row],[Open.Int]]*Table1[[#This Row],[DeltaC]],0)</f>
        <v>-303.79481939887893</v>
      </c>
      <c r="AP130">
        <f ca="1">IFERROR((EXP(0*Table1[[#This Row],[T]])*Table1[[#This Row],[put N(d1)]]*(Table1[[#This Row],[put d2]]/Table1[[#This Row],[IV Calc P]]))*Table1[[#This Row],[Open.Int8]]*Table1[[#This Row],[DeltaP]]*-1,0)</f>
        <v>-303.92492717315918</v>
      </c>
      <c r="AQ130">
        <f ca="1">((Table1[[#This Row],[call vanna]]+Table1[[#This Row],[put vanna]])*$A$4)</f>
        <v>-4201379.3099637991</v>
      </c>
      <c r="AR13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79639.882025577492</v>
      </c>
      <c r="AS13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-63555.105226468433</v>
      </c>
      <c r="AT130" s="9" t="str" cm="1">
        <f t="array" ref="AT130">_xlfn.IFS(     $M$1="SPX","SPXW",     $M$1="RUT","RUTW",  $M$1="NDX","NDXP",   TRUE,$M$1 )</f>
        <v>SPXW</v>
      </c>
      <c r="AU130" s="2">
        <f t="shared" si="12"/>
        <v>6915</v>
      </c>
      <c r="AV130" t="str">
        <f t="shared" si="13"/>
        <v>260123</v>
      </c>
      <c r="AW130" s="19">
        <f ca="1">IFERROR((EXP(0*Table1[[#This Row],[T]])*Table1[[#This Row],[put N(d1)]]*(Table1[[#This Row],[put d2]]/Table1[[#This Row],[IV Calc P]]))*Table1[[#This Row],[Open.Int8]]*Table1[[#This Row],[DeltaP]]*-1,0)</f>
        <v>-303.92492717315918</v>
      </c>
      <c r="AX130">
        <f ca="1">IFERROR((EXP(0*Table1[[#This Row],[T]])*Table1[[#This Row],[call N(d1)]]*(Table1[[#This Row],[call d2]]/Table1[[#This Row],[IV Calc C]]))*Table1[[#This Row],[Open.Int]]*Table1[[#This Row],[DeltaC]],0)</f>
        <v>-303.79481939887893</v>
      </c>
      <c r="AY130">
        <f>IF(
    ISNUMBER(Table1[[#This Row],[Strike]]),RTD("tos.rtd", , "high", "."&amp;Table1[[#This Row],[Ticker]]&amp;Table1[[#This Row],[Expiry]]&amp;""&amp;"C"&amp;Table1[[#This Row],[Spot]]+Table1[[#This Row],[step]]))</f>
        <v>20.14</v>
      </c>
      <c r="AZ130">
        <f>IF(
    ISNUMBER(Table1[[#This Row],[Strike]]),RTD("tos.rtd", , "low", "."&amp;Table1[[#This Row],[Ticker]]&amp;Table1[[#This Row],[Expiry]]&amp;""&amp;"C"&amp;Table1[[#This Row],[Spot]]+Table1[[#This Row],[step]]))</f>
        <v>5</v>
      </c>
      <c r="BA130">
        <f>IF(
    ISNUMBER(Table1[[#This Row],[Strike]]),RTD("tos.rtd", , "high", "."&amp;Table1[[#This Row],[Ticker]]&amp;Table1[[#This Row],[Expiry]]&amp;""&amp;"P"&amp;Table1[[#This Row],[Spot]]+Table1[[#This Row],[step]]))</f>
        <v>46.5</v>
      </c>
      <c r="BB130">
        <f>IF(
    ISNUMBER(Table1[[#This Row],[Strike]]),RTD("tos.rtd", , "low", "."&amp;Table1[[#This Row],[Ticker]]&amp;Table1[[#This Row],[Expiry]]&amp;""&amp;"P"&amp;Table1[[#This Row],[Spot]]+Table1[[#This Row],[step]]))</f>
        <v>16.8</v>
      </c>
      <c r="BC130">
        <f>((Table1[[#This Row],[High C]]+Table1[[#This Row],[Low C]])/2)*Table1[[#This Row],[gammac]]*Table1[[#This Row],[Volume]]</f>
        <v>727.67730000000006</v>
      </c>
      <c r="BD130">
        <f>((Table1[[#This Row],[High P]]+Table1[[#This Row],[Low P]])/2)*Table1[[#This Row],[gammap]]*Table1[[#This Row],[Volume9]]*-1</f>
        <v>-618.75750000000005</v>
      </c>
      <c r="BE130">
        <f>(Table1[[#This Row],[SgammaC]]+Table1[[#This Row],[SgammaP]])*$A$4*-100</f>
        <v>-75300069.933000013</v>
      </c>
      <c r="BF130">
        <f>Table1[[#This Row],[DEXc]]+Table1[[#This Row],[DEXp]]</f>
        <v>-1209974.5169999998</v>
      </c>
      <c r="BG130">
        <f>IFERROR(Table1[[#This Row],[DeltaC]]*Table1[[#This Row],[Open.Int]]*$A$4,0)</f>
        <v>1486646.7840000002</v>
      </c>
      <c r="BH130">
        <f>IFERROR(Table1[[#This Row],[DeltaP]]*Table1[[#This Row],[Open.Int8]]*$A$4,0)</f>
        <v>-2696621.301</v>
      </c>
      <c r="BI13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-2512194.563364028</v>
      </c>
      <c r="BJ13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-2261541.1745131155</v>
      </c>
      <c r="BK130">
        <f ca="1">Table1[[#This Row],[Charmc]]+Table1[[#This Row],[Charmp]]</f>
        <v>-4773735.7378771435</v>
      </c>
      <c r="BL13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3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30" s="78">
        <f ca="1">Table1[[#This Row],[call helper]]+Table1[[#This Row],[put helper]]</f>
        <v>16084.776799109059</v>
      </c>
      <c r="BP130">
        <f>RTD("tos.rtd", , "STRIKE", "."&amp;Table1[[#This Row],[Ticker]]&amp;Table1[[#This Row],[Expiry]]&amp;""&amp;"C"&amp;Table1[[#This Row],[Spot]]+Table1[[#This Row],[step]])</f>
        <v>6935</v>
      </c>
    </row>
    <row r="131" spans="1:77" x14ac:dyDescent="0.25">
      <c r="A131">
        <f t="shared" ca="1" si="9"/>
        <v>2.5814307458086375E-3</v>
      </c>
      <c r="C131" s="17"/>
      <c r="D131" t="b">
        <f>IF(
    ISNUMBER(Table1[[#This Row],[Strike]]),RTD("tos.rtd", , "OPEN_INT", "."&amp;Table1[[#This Row],[Ticker]]&amp;Table1[[#This Row],[Expiry]]&amp;""&amp;"C"&amp;Table1[[#This Row],[Strike]]))</f>
        <v>0</v>
      </c>
      <c r="E13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1" t="b">
        <f>IF(
    ISNUMBER(Table1[[#This Row],[Strike]]),RTD("tos.rtd", , "DELTA", "."&amp;Table1[[#This Row],[Ticker]]&amp;Table1[[#This Row],[Expiry]]&amp;""&amp;"C"&amp;Table1[[#This Row],[Strike]]))</f>
        <v>0</v>
      </c>
      <c r="H131" s="17" t="b" cm="1">
        <f t="array" ref="H131">IF(
    ISNUMBER(Table1[[#This Row],[Strike]]),IndividualLegIVCore($A$4, Table1[[#This Row],[Strike]], 0.0411, Table1[[#This Row],[T]], ((Table1[[#This Row],[BIDC]]+Table1[[#This Row],[ASKC]])/2), TRUE))</f>
        <v>0</v>
      </c>
      <c r="I131" t="b">
        <f>IF(
    ISNUMBER(Table1[[#This Row],[Strike]]),RTD("tos.rtd", , "BID", "."&amp;Table1[[#This Row],[Ticker]]&amp;Table1[[#This Row],[Expiry]]&amp;""&amp;"C"&amp;Table1[[#This Row],[Strike]]))</f>
        <v>0</v>
      </c>
      <c r="J131" t="b">
        <f>IF(
    ISNUMBER(Table1[[#This Row],[Strike]]),RTD("tos.rtd", , "ASK", "."&amp;Table1[[#This Row],[Ticker]]&amp;Table1[[#This Row],[Expiry]]&amp;""&amp;"C"&amp;Table1[[#This Row],[Strike]]))</f>
        <v>0</v>
      </c>
      <c r="K13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1" s="17" cm="1">
        <f t="array" aca="1" ref="L13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1" s="1">
        <f t="shared" si="10"/>
        <v>46045</v>
      </c>
      <c r="N131" t="b">
        <f t="shared" si="11"/>
        <v>0</v>
      </c>
      <c r="P131" s="17" t="b" cm="1">
        <f t="array" ref="P131">IF(
    ISNUMBER(Table1[[#This Row],[Strike]]),IndividualLegIVCore($A$4, Table1[[#This Row],[Strike]], 0.0411, Table1[[#This Row],[T]], ((Table1[[#This Row],[BIDP]]+Table1[[#This Row],[ASKP]])/2), FALSE))</f>
        <v>0</v>
      </c>
      <c r="Q131" t="b">
        <f>IF(
    ISNUMBER(Table1[[#This Row],[Strike]]),RTD("tos.rtd", , "BID", "."&amp;Table1[[#This Row],[Ticker]]&amp;Table1[[#This Row],[Expiry]]&amp;""&amp;"P"&amp;Table1[[#This Row],[Strike]]))</f>
        <v>0</v>
      </c>
      <c r="R131" t="b">
        <f>IF(
    ISNUMBER(Table1[[#This Row],[Strike]]),RTD("tos.rtd", , "ASK", "."&amp;Table1[[#This Row],[Ticker]]&amp;Table1[[#This Row],[Expiry]]&amp;""&amp;"P"&amp;Table1[[#This Row],[Strike]]))</f>
        <v>0</v>
      </c>
      <c r="S131" s="17"/>
      <c r="T131" t="b">
        <f>IF(
    ISNUMBER(Table1[[#This Row],[Strike]]),RTD("tos.rtd", , "OPEN_INT", "."&amp;Table1[[#This Row],[Ticker]]&amp;Table1[[#This Row],[Expiry]]&amp;""&amp;"P"&amp;Table1[[#This Row],[Strike]]))</f>
        <v>0</v>
      </c>
      <c r="U13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1" t="b">
        <f>IF(
    ISNUMBER(Table1[[#This Row],[Strike]]),RTD("tos.rtd", , "DELTA", "."&amp;Table1[[#This Row],[Ticker]]&amp;Table1[[#This Row],[Expiry]]&amp;""&amp;"P"&amp;Table1[[#This Row],[Strike]]))</f>
        <v>0</v>
      </c>
      <c r="Y131" s="19">
        <f>10.5* IF($M$1="NDX", 10, IF(OR($M$1="SPX", $M$1="RUT"), 2, 1))</f>
        <v>21</v>
      </c>
      <c r="Z131">
        <f ca="1">IFERROR(Table1[[#This Row],[call gamma]]*(Table1[[#This Row],[Open.Int]])*$A$4^2,0)</f>
        <v>0</v>
      </c>
      <c r="AA131">
        <f ca="1">IFERROR(((Table1[[#This Row],[Open.Int8]])*Table1[[#This Row],[Put gamma]])*-1*$A$4^2,0)</f>
        <v>0</v>
      </c>
      <c r="AB131">
        <f ca="1">(Table1[[#This Row],[Call Gex]]+Table1[[#This Row],[Put Gex]])</f>
        <v>0</v>
      </c>
      <c r="AC131">
        <f ca="1">Table1[[#This Row],[call delta adj]]+Table1[[#This Row],[put delta adj]]</f>
        <v>0</v>
      </c>
      <c r="AD131">
        <f ca="1">Table1[[#This Row],[Put Gex]]*Table1[[#This Row],[DeltaP]]*-1</f>
        <v>0</v>
      </c>
      <c r="AE131">
        <f ca="1">Table1[[#This Row],[Call Gex]]*Table1[[#This Row],[DeltaC]]</f>
        <v>0</v>
      </c>
      <c r="AF131">
        <f>IF(Table1[[#This Row],[DeltaC]]-ABS(Table1[[#This Row],[DeltaP]])="0","0.01",Table1[[#This Row],[DeltaC]]-ABS(Table1[[#This Row],[DeltaP]]))</f>
        <v>0</v>
      </c>
      <c r="AG131" t="e">
        <f ca="1">((LN($A$4/Table1[[#This Row],[Strike]]) + (0.411 + 0.5 * Table1[[#This Row],[IV Calc P]]^2) *Table1[[#This Row],[T]])) / (Table1[[#This Row],[IV Calc P]] * SQRT(Table1[[#This Row],[T]]))</f>
        <v>#DIV/0!</v>
      </c>
      <c r="AH131" t="e">
        <f ca="1">(LN($A$4/Table1[[#This Row],[Strike]]) + (0.411-0 + 0.5 * Table1[[#This Row],[IV Calc C]]^2) *Table1[[#This Row],[T]]) / (Table1[[#This Row],[IV Calc C]] * SQRT(Table1[[#This Row],[T]]))</f>
        <v>#DIV/0!</v>
      </c>
      <c r="AI131" t="e">
        <f ca="1">(EXP(-(AG131^2)/2)/SQRT(2*PI())*EXP(0*SQRT(Table1[[#This Row],[T]]))/$A$4*18%*SQRT(SQRT(Table1[[#This Row],[T]])))</f>
        <v>#DIV/0!</v>
      </c>
      <c r="AJ131" t="e">
        <f ca="1">(EXP(-(AH131^2)/2)/SQRT(2*PI())*EXP(0*SQRT(Table1[[#This Row],[T]]))/$A$4*18%*SQRT(SQRT(Table1[[#This Row],[T]])))</f>
        <v>#DIV/0!</v>
      </c>
      <c r="AK131" t="e">
        <f ca="1">Table1[[#This Row],[Call D1]]-Table1[[#This Row],[IV Calc C]]*SQRT(Table1[[#This Row],[T]])</f>
        <v>#DIV/0!</v>
      </c>
      <c r="AL131" t="e">
        <f ca="1">Table1[[#This Row],[Put D1]]-Table1[[#This Row],[IV Calc P]]*SQRT(Table1[[#This Row],[T]])</f>
        <v>#DIV/0!</v>
      </c>
      <c r="AM131" t="e">
        <f ca="1">EXP(-0.5*Table1[[#This Row],[Call D1]]^2)/SQRT(2*PI())</f>
        <v>#DIV/0!</v>
      </c>
      <c r="AN131" t="e">
        <f ca="1">EXP(-0.5*Table1[[#This Row],[Put D1]]^2)/SQRT(2*PI())</f>
        <v>#DIV/0!</v>
      </c>
      <c r="AO131">
        <f ca="1">IFERROR((EXP(0*Table1[[#This Row],[T]])*Table1[[#This Row],[call N(d1)]]*(Table1[[#This Row],[call d2]]/Table1[[#This Row],[IV Calc C]]))*Table1[[#This Row],[Open.Int]]*Table1[[#This Row],[DeltaC]],0)</f>
        <v>0</v>
      </c>
      <c r="AP131">
        <f ca="1">IFERROR((EXP(0*Table1[[#This Row],[T]])*Table1[[#This Row],[put N(d1)]]*(Table1[[#This Row],[put d2]]/Table1[[#This Row],[IV Calc P]]))*Table1[[#This Row],[Open.Int8]]*Table1[[#This Row],[DeltaP]]*-1,0)</f>
        <v>0</v>
      </c>
      <c r="AQ131">
        <f ca="1">((Table1[[#This Row],[call vanna]]+Table1[[#This Row],[put vanna]])*$A$4)</f>
        <v>0</v>
      </c>
      <c r="AR13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1" s="9" t="str" cm="1">
        <f t="array" ref="AT131">_xlfn.IFS(     $M$1="SPX","SPXW",     $M$1="RUT","RUTW",  $M$1="NDX","NDXP",   TRUE,$M$1 )</f>
        <v>SPXW</v>
      </c>
      <c r="AU131" s="2">
        <f t="shared" si="12"/>
        <v>6915</v>
      </c>
      <c r="AV131" t="str">
        <f t="shared" si="13"/>
        <v>260123</v>
      </c>
      <c r="AW131" s="19">
        <f ca="1">IFERROR((EXP(0*Table1[[#This Row],[T]])*Table1[[#This Row],[put N(d1)]]*(Table1[[#This Row],[put d2]]/Table1[[#This Row],[IV Calc P]]))*Table1[[#This Row],[Open.Int8]]*Table1[[#This Row],[DeltaP]]*-1,0)</f>
        <v>0</v>
      </c>
      <c r="AX131">
        <f ca="1">IFERROR((EXP(0*Table1[[#This Row],[T]])*Table1[[#This Row],[call N(d1)]]*(Table1[[#This Row],[call d2]]/Table1[[#This Row],[IV Calc C]]))*Table1[[#This Row],[Open.Int]]*Table1[[#This Row],[DeltaC]],0)</f>
        <v>0</v>
      </c>
      <c r="AY13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1">
        <f>((Table1[[#This Row],[High C]]+Table1[[#This Row],[Low C]])/2)*Table1[[#This Row],[gammac]]*Table1[[#This Row],[Volume]]</f>
        <v>0</v>
      </c>
      <c r="BD131">
        <f>((Table1[[#This Row],[High P]]+Table1[[#This Row],[Low P]])/2)*Table1[[#This Row],[gammap]]*Table1[[#This Row],[Volume9]]*-1</f>
        <v>0</v>
      </c>
      <c r="BE131">
        <f>(Table1[[#This Row],[SgammaC]]+Table1[[#This Row],[SgammaP]])*$A$4*-100</f>
        <v>0</v>
      </c>
      <c r="BF131">
        <f>Table1[[#This Row],[DEXc]]+Table1[[#This Row],[DEXp]]</f>
        <v>0</v>
      </c>
      <c r="BG131">
        <f>IFERROR(Table1[[#This Row],[DeltaC]]*Table1[[#This Row],[Open.Int]]*$A$4,0)</f>
        <v>0</v>
      </c>
      <c r="BH131">
        <f>IFERROR(Table1[[#This Row],[DeltaP]]*Table1[[#This Row],[Open.Int8]]*$A$4,0)</f>
        <v>0</v>
      </c>
      <c r="BI13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1">
        <f ca="1">Table1[[#This Row],[Charmc]]+Table1[[#This Row],[Charmp]]</f>
        <v>0</v>
      </c>
      <c r="BL13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1" s="78">
        <f ca="1">Table1[[#This Row],[call helper]]+Table1[[#This Row],[put helper]]</f>
        <v>0</v>
      </c>
      <c r="BP131" t="str">
        <f>RTD("tos.rtd", , "STRIKE", "."&amp;Table1[[#This Row],[Ticker]]&amp;Table1[[#This Row],[Expiry]]&amp;""&amp;"C"&amp;Table1[[#This Row],[Spot]]+Table1[[#This Row],[step]])</f>
        <v>N/A</v>
      </c>
    </row>
    <row r="132" spans="1:77" x14ac:dyDescent="0.25">
      <c r="A132">
        <f t="shared" ca="1" si="9"/>
        <v>2.5814307458086375E-3</v>
      </c>
      <c r="C132" s="17"/>
      <c r="D132" t="b">
        <f>IF(
    ISNUMBER(Table1[[#This Row],[Strike]]),RTD("tos.rtd", , "OPEN_INT", "."&amp;Table1[[#This Row],[Ticker]]&amp;Table1[[#This Row],[Expiry]]&amp;""&amp;"C"&amp;Table1[[#This Row],[Strike]]))</f>
        <v>0</v>
      </c>
      <c r="E13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2" t="b">
        <f>IF(
    ISNUMBER(Table1[[#This Row],[Strike]]),RTD("tos.rtd", , "DELTA", "."&amp;Table1[[#This Row],[Ticker]]&amp;Table1[[#This Row],[Expiry]]&amp;""&amp;"C"&amp;Table1[[#This Row],[Strike]]))</f>
        <v>0</v>
      </c>
      <c r="H132" s="17" t="b" cm="1">
        <f t="array" ref="H132">IF(
    ISNUMBER(Table1[[#This Row],[Strike]]),IndividualLegIVCore($A$4, Table1[[#This Row],[Strike]], 0.0411, Table1[[#This Row],[T]], ((Table1[[#This Row],[BIDC]]+Table1[[#This Row],[ASKC]])/2), TRUE))</f>
        <v>0</v>
      </c>
      <c r="I132" t="b">
        <f>IF(
    ISNUMBER(Table1[[#This Row],[Strike]]),RTD("tos.rtd", , "BID", "."&amp;Table1[[#This Row],[Ticker]]&amp;Table1[[#This Row],[Expiry]]&amp;""&amp;"C"&amp;Table1[[#This Row],[Strike]]))</f>
        <v>0</v>
      </c>
      <c r="J132" t="b">
        <f>IF(
    ISNUMBER(Table1[[#This Row],[Strike]]),RTD("tos.rtd", , "ASK", "."&amp;Table1[[#This Row],[Ticker]]&amp;Table1[[#This Row],[Expiry]]&amp;""&amp;"C"&amp;Table1[[#This Row],[Strike]]))</f>
        <v>0</v>
      </c>
      <c r="K13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2" s="17" cm="1">
        <f t="array" aca="1" ref="L13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2" s="1">
        <f t="shared" si="10"/>
        <v>46045</v>
      </c>
      <c r="N132" t="b">
        <f t="shared" si="11"/>
        <v>0</v>
      </c>
      <c r="P132" s="17" t="b" cm="1">
        <f t="array" ref="P132">IF(
    ISNUMBER(Table1[[#This Row],[Strike]]),IndividualLegIVCore($A$4, Table1[[#This Row],[Strike]], 0.0411, Table1[[#This Row],[T]], ((Table1[[#This Row],[BIDP]]+Table1[[#This Row],[ASKP]])/2), FALSE))</f>
        <v>0</v>
      </c>
      <c r="Q132" t="b">
        <f>IF(
    ISNUMBER(Table1[[#This Row],[Strike]]),RTD("tos.rtd", , "BID", "."&amp;Table1[[#This Row],[Ticker]]&amp;Table1[[#This Row],[Expiry]]&amp;""&amp;"P"&amp;Table1[[#This Row],[Strike]]))</f>
        <v>0</v>
      </c>
      <c r="R132" t="b">
        <f>IF(
    ISNUMBER(Table1[[#This Row],[Strike]]),RTD("tos.rtd", , "ASK", "."&amp;Table1[[#This Row],[Ticker]]&amp;Table1[[#This Row],[Expiry]]&amp;""&amp;"P"&amp;Table1[[#This Row],[Strike]]))</f>
        <v>0</v>
      </c>
      <c r="S132" s="17"/>
      <c r="T132" t="b">
        <f>IF(
    ISNUMBER(Table1[[#This Row],[Strike]]),RTD("tos.rtd", , "OPEN_INT", "."&amp;Table1[[#This Row],[Ticker]]&amp;Table1[[#This Row],[Expiry]]&amp;""&amp;"P"&amp;Table1[[#This Row],[Strike]]))</f>
        <v>0</v>
      </c>
      <c r="U13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2" t="b">
        <f>IF(
    ISNUMBER(Table1[[#This Row],[Strike]]),RTD("tos.rtd", , "DELTA", "."&amp;Table1[[#This Row],[Ticker]]&amp;Table1[[#This Row],[Expiry]]&amp;""&amp;"P"&amp;Table1[[#This Row],[Strike]]))</f>
        <v>0</v>
      </c>
      <c r="Y132" s="19">
        <f>11* IF($M$1="NDX", 10, IF(OR($M$1="SPX", $M$1="RUT"), 2, 1))</f>
        <v>22</v>
      </c>
      <c r="Z132">
        <f ca="1">IFERROR(Table1[[#This Row],[call gamma]]*(Table1[[#This Row],[Open.Int]])*$A$4^2,0)</f>
        <v>0</v>
      </c>
      <c r="AA132">
        <f ca="1">IFERROR(((Table1[[#This Row],[Open.Int8]])*Table1[[#This Row],[Put gamma]])*-1*$A$4^2,0)</f>
        <v>0</v>
      </c>
      <c r="AB132">
        <f ca="1">(Table1[[#This Row],[Call Gex]]+Table1[[#This Row],[Put Gex]])</f>
        <v>0</v>
      </c>
      <c r="AC132">
        <f ca="1">Table1[[#This Row],[call delta adj]]+Table1[[#This Row],[put delta adj]]</f>
        <v>0</v>
      </c>
      <c r="AD132">
        <f ca="1">Table1[[#This Row],[Put Gex]]*Table1[[#This Row],[DeltaP]]*-1</f>
        <v>0</v>
      </c>
      <c r="AE132">
        <f ca="1">Table1[[#This Row],[Call Gex]]*Table1[[#This Row],[DeltaC]]</f>
        <v>0</v>
      </c>
      <c r="AF132">
        <f>IF(Table1[[#This Row],[DeltaC]]-ABS(Table1[[#This Row],[DeltaP]])="0","0.01",Table1[[#This Row],[DeltaC]]-ABS(Table1[[#This Row],[DeltaP]]))</f>
        <v>0</v>
      </c>
      <c r="AG132" t="e">
        <f ca="1">((LN($A$4/Table1[[#This Row],[Strike]]) + (0.411 + 0.5 * Table1[[#This Row],[IV Calc P]]^2) *Table1[[#This Row],[T]])) / (Table1[[#This Row],[IV Calc P]] * SQRT(Table1[[#This Row],[T]]))</f>
        <v>#DIV/0!</v>
      </c>
      <c r="AH132" t="e">
        <f ca="1">(LN($A$4/Table1[[#This Row],[Strike]]) + (0.411-0 + 0.5 * Table1[[#This Row],[IV Calc C]]^2) *Table1[[#This Row],[T]]) / (Table1[[#This Row],[IV Calc C]] * SQRT(Table1[[#This Row],[T]]))</f>
        <v>#DIV/0!</v>
      </c>
      <c r="AI132" t="e">
        <f ca="1">(EXP(-(AG132^2)/2)/SQRT(2*PI())*EXP(0*SQRT(Table1[[#This Row],[T]]))/$A$4*18%*SQRT(SQRT(Table1[[#This Row],[T]])))</f>
        <v>#DIV/0!</v>
      </c>
      <c r="AJ132" t="e">
        <f ca="1">(EXP(-(AH132^2)/2)/SQRT(2*PI())*EXP(0*SQRT(Table1[[#This Row],[T]]))/$A$4*18%*SQRT(SQRT(Table1[[#This Row],[T]])))</f>
        <v>#DIV/0!</v>
      </c>
      <c r="AK132" t="e">
        <f ca="1">Table1[[#This Row],[Call D1]]-Table1[[#This Row],[IV Calc C]]*SQRT(Table1[[#This Row],[T]])</f>
        <v>#DIV/0!</v>
      </c>
      <c r="AL132" t="e">
        <f ca="1">Table1[[#This Row],[Put D1]]-Table1[[#This Row],[IV Calc P]]*SQRT(Table1[[#This Row],[T]])</f>
        <v>#DIV/0!</v>
      </c>
      <c r="AM132" t="e">
        <f ca="1">EXP(-0.5*Table1[[#This Row],[Call D1]]^2)/SQRT(2*PI())</f>
        <v>#DIV/0!</v>
      </c>
      <c r="AN132" t="e">
        <f ca="1">EXP(-0.5*Table1[[#This Row],[Put D1]]^2)/SQRT(2*PI())</f>
        <v>#DIV/0!</v>
      </c>
      <c r="AO132">
        <f ca="1">IFERROR((EXP(0*Table1[[#This Row],[T]])*Table1[[#This Row],[call N(d1)]]*(Table1[[#This Row],[call d2]]/Table1[[#This Row],[IV Calc C]]))*Table1[[#This Row],[Open.Int]]*Table1[[#This Row],[DeltaC]],0)</f>
        <v>0</v>
      </c>
      <c r="AP132">
        <f ca="1">IFERROR((EXP(0*Table1[[#This Row],[T]])*Table1[[#This Row],[put N(d1)]]*(Table1[[#This Row],[put d2]]/Table1[[#This Row],[IV Calc P]]))*Table1[[#This Row],[Open.Int8]]*Table1[[#This Row],[DeltaP]]*-1,0)</f>
        <v>0</v>
      </c>
      <c r="AQ132">
        <f ca="1">((Table1[[#This Row],[call vanna]]+Table1[[#This Row],[put vanna]])*$A$4)</f>
        <v>0</v>
      </c>
      <c r="AR13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2" s="9" t="str" cm="1">
        <f t="array" ref="AT132">_xlfn.IFS(     $M$1="SPX","SPXW",     $M$1="RUT","RUTW",  $M$1="NDX","NDXP",   TRUE,$M$1 )</f>
        <v>SPXW</v>
      </c>
      <c r="AU132" s="2">
        <f t="shared" si="12"/>
        <v>6915</v>
      </c>
      <c r="AV132" t="str">
        <f t="shared" si="13"/>
        <v>260123</v>
      </c>
      <c r="AW132" s="19">
        <f ca="1">IFERROR((EXP(0*Table1[[#This Row],[T]])*Table1[[#This Row],[put N(d1)]]*(Table1[[#This Row],[put d2]]/Table1[[#This Row],[IV Calc P]]))*Table1[[#This Row],[Open.Int8]]*Table1[[#This Row],[DeltaP]]*-1,0)</f>
        <v>0</v>
      </c>
      <c r="AX132">
        <f ca="1">IFERROR((EXP(0*Table1[[#This Row],[T]])*Table1[[#This Row],[call N(d1)]]*(Table1[[#This Row],[call d2]]/Table1[[#This Row],[IV Calc C]]))*Table1[[#This Row],[Open.Int]]*Table1[[#This Row],[DeltaC]],0)</f>
        <v>0</v>
      </c>
      <c r="AY13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2">
        <f>((Table1[[#This Row],[High C]]+Table1[[#This Row],[Low C]])/2)*Table1[[#This Row],[gammac]]*Table1[[#This Row],[Volume]]</f>
        <v>0</v>
      </c>
      <c r="BD132">
        <f>((Table1[[#This Row],[High P]]+Table1[[#This Row],[Low P]])/2)*Table1[[#This Row],[gammap]]*Table1[[#This Row],[Volume9]]*-1</f>
        <v>0</v>
      </c>
      <c r="BE132">
        <f>(Table1[[#This Row],[SgammaC]]+Table1[[#This Row],[SgammaP]])*$A$4*-100</f>
        <v>0</v>
      </c>
      <c r="BF132">
        <f>Table1[[#This Row],[DEXc]]+Table1[[#This Row],[DEXp]]</f>
        <v>0</v>
      </c>
      <c r="BG132">
        <f>IFERROR(Table1[[#This Row],[DeltaC]]*Table1[[#This Row],[Open.Int]]*$A$4,0)</f>
        <v>0</v>
      </c>
      <c r="BH132">
        <f>IFERROR(Table1[[#This Row],[DeltaP]]*Table1[[#This Row],[Open.Int8]]*$A$4,0)</f>
        <v>0</v>
      </c>
      <c r="BI13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2">
        <f ca="1">Table1[[#This Row],[Charmc]]+Table1[[#This Row],[Charmp]]</f>
        <v>0</v>
      </c>
      <c r="BL13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2" s="78">
        <f ca="1">Table1[[#This Row],[call helper]]+Table1[[#This Row],[put helper]]</f>
        <v>0</v>
      </c>
      <c r="BP132" t="str">
        <f>RTD("tos.rtd", , "STRIKE", "."&amp;Table1[[#This Row],[Ticker]]&amp;Table1[[#This Row],[Expiry]]&amp;""&amp;"C"&amp;Table1[[#This Row],[Spot]]+Table1[[#This Row],[step]])</f>
        <v>N/A</v>
      </c>
    </row>
    <row r="133" spans="1:77" x14ac:dyDescent="0.25">
      <c r="A133">
        <f t="shared" ca="1" si="9"/>
        <v>2.5814307458086375E-3</v>
      </c>
      <c r="C133" s="17"/>
      <c r="D133" t="b">
        <f>IF(
    ISNUMBER(Table1[[#This Row],[Strike]]),RTD("tos.rtd", , "OPEN_INT", "."&amp;Table1[[#This Row],[Ticker]]&amp;Table1[[#This Row],[Expiry]]&amp;""&amp;"C"&amp;Table1[[#This Row],[Strike]]))</f>
        <v>0</v>
      </c>
      <c r="E13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3" t="b">
        <f>IF(
    ISNUMBER(Table1[[#This Row],[Strike]]),RTD("tos.rtd", , "DELTA", "."&amp;Table1[[#This Row],[Ticker]]&amp;Table1[[#This Row],[Expiry]]&amp;""&amp;"C"&amp;Table1[[#This Row],[Strike]]))</f>
        <v>0</v>
      </c>
      <c r="H133" s="17" t="b" cm="1">
        <f t="array" ref="H133">IF(
    ISNUMBER(Table1[[#This Row],[Strike]]),IndividualLegIVCore($A$4, Table1[[#This Row],[Strike]], 0.0411, Table1[[#This Row],[T]], ((Table1[[#This Row],[BIDC]]+Table1[[#This Row],[ASKC]])/2), TRUE))</f>
        <v>0</v>
      </c>
      <c r="I133" t="b">
        <f>IF(
    ISNUMBER(Table1[[#This Row],[Strike]]),RTD("tos.rtd", , "BID", "."&amp;Table1[[#This Row],[Ticker]]&amp;Table1[[#This Row],[Expiry]]&amp;""&amp;"C"&amp;Table1[[#This Row],[Strike]]))</f>
        <v>0</v>
      </c>
      <c r="J133" t="b">
        <f>IF(
    ISNUMBER(Table1[[#This Row],[Strike]]),RTD("tos.rtd", , "ASK", "."&amp;Table1[[#This Row],[Ticker]]&amp;Table1[[#This Row],[Expiry]]&amp;""&amp;"C"&amp;Table1[[#This Row],[Strike]]))</f>
        <v>0</v>
      </c>
      <c r="K13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3" s="17" cm="1">
        <f t="array" aca="1" ref="L13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3" s="1">
        <f t="shared" si="10"/>
        <v>46045</v>
      </c>
      <c r="N133" t="b">
        <f t="shared" si="11"/>
        <v>0</v>
      </c>
      <c r="P133" s="17" t="b" cm="1">
        <f t="array" ref="P133">IF(
    ISNUMBER(Table1[[#This Row],[Strike]]),IndividualLegIVCore($A$4, Table1[[#This Row],[Strike]], 0.0411, Table1[[#This Row],[T]], ((Table1[[#This Row],[BIDP]]+Table1[[#This Row],[ASKP]])/2), FALSE))</f>
        <v>0</v>
      </c>
      <c r="Q133" t="b">
        <f>IF(
    ISNUMBER(Table1[[#This Row],[Strike]]),RTD("tos.rtd", , "BID", "."&amp;Table1[[#This Row],[Ticker]]&amp;Table1[[#This Row],[Expiry]]&amp;""&amp;"P"&amp;Table1[[#This Row],[Strike]]))</f>
        <v>0</v>
      </c>
      <c r="R133" t="b">
        <f>IF(
    ISNUMBER(Table1[[#This Row],[Strike]]),RTD("tos.rtd", , "ASK", "."&amp;Table1[[#This Row],[Ticker]]&amp;Table1[[#This Row],[Expiry]]&amp;""&amp;"P"&amp;Table1[[#This Row],[Strike]]))</f>
        <v>0</v>
      </c>
      <c r="S133" s="17"/>
      <c r="T133" t="b">
        <f>IF(
    ISNUMBER(Table1[[#This Row],[Strike]]),RTD("tos.rtd", , "OPEN_INT", "."&amp;Table1[[#This Row],[Ticker]]&amp;Table1[[#This Row],[Expiry]]&amp;""&amp;"P"&amp;Table1[[#This Row],[Strike]]))</f>
        <v>0</v>
      </c>
      <c r="U13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3" t="b">
        <f>IF(
    ISNUMBER(Table1[[#This Row],[Strike]]),RTD("tos.rtd", , "DELTA", "."&amp;Table1[[#This Row],[Ticker]]&amp;Table1[[#This Row],[Expiry]]&amp;""&amp;"P"&amp;Table1[[#This Row],[Strike]]))</f>
        <v>0</v>
      </c>
      <c r="Y133" s="19">
        <f>11.5* IF($M$1="NDX", 10, IF(OR($M$1="SPX", $M$1="RUT"), 2, 1))</f>
        <v>23</v>
      </c>
      <c r="Z133">
        <f ca="1">IFERROR(Table1[[#This Row],[call gamma]]*(Table1[[#This Row],[Open.Int]])*$A$4^2,0)</f>
        <v>0</v>
      </c>
      <c r="AA133">
        <f ca="1">IFERROR(((Table1[[#This Row],[Open.Int8]])*Table1[[#This Row],[Put gamma]])*-1*$A$4^2,0)</f>
        <v>0</v>
      </c>
      <c r="AB133">
        <f ca="1">(Table1[[#This Row],[Call Gex]]+Table1[[#This Row],[Put Gex]])</f>
        <v>0</v>
      </c>
      <c r="AC133">
        <f ca="1">Table1[[#This Row],[call delta adj]]+Table1[[#This Row],[put delta adj]]</f>
        <v>0</v>
      </c>
      <c r="AD133">
        <f ca="1">Table1[[#This Row],[Put Gex]]*Table1[[#This Row],[DeltaP]]*-1</f>
        <v>0</v>
      </c>
      <c r="AE133">
        <f ca="1">Table1[[#This Row],[Call Gex]]*Table1[[#This Row],[DeltaC]]</f>
        <v>0</v>
      </c>
      <c r="AF133">
        <f>IF(Table1[[#This Row],[DeltaC]]-ABS(Table1[[#This Row],[DeltaP]])="0","0.01",Table1[[#This Row],[DeltaC]]-ABS(Table1[[#This Row],[DeltaP]]))</f>
        <v>0</v>
      </c>
      <c r="AG133" t="e">
        <f ca="1">((LN($A$4/Table1[[#This Row],[Strike]]) + (0.411 + 0.5 * Table1[[#This Row],[IV Calc P]]^2) *Table1[[#This Row],[T]])) / (Table1[[#This Row],[IV Calc P]] * SQRT(Table1[[#This Row],[T]]))</f>
        <v>#DIV/0!</v>
      </c>
      <c r="AH133" t="e">
        <f ca="1">(LN($A$4/Table1[[#This Row],[Strike]]) + (0.411-0 + 0.5 * Table1[[#This Row],[IV Calc C]]^2) *Table1[[#This Row],[T]]) / (Table1[[#This Row],[IV Calc C]] * SQRT(Table1[[#This Row],[T]]))</f>
        <v>#DIV/0!</v>
      </c>
      <c r="AI133" t="e">
        <f ca="1">(EXP(-(AG133^2)/2)/SQRT(2*PI())*EXP(0*SQRT(Table1[[#This Row],[T]]))/$A$4*18%*SQRT(SQRT(Table1[[#This Row],[T]])))</f>
        <v>#DIV/0!</v>
      </c>
      <c r="AJ133" t="e">
        <f ca="1">(EXP(-(AH133^2)/2)/SQRT(2*PI())*EXP(0*SQRT(Table1[[#This Row],[T]]))/$A$4*18%*SQRT(SQRT(Table1[[#This Row],[T]])))</f>
        <v>#DIV/0!</v>
      </c>
      <c r="AK133" t="e">
        <f ca="1">Table1[[#This Row],[Call D1]]-Table1[[#This Row],[IV Calc C]]*SQRT(Table1[[#This Row],[T]])</f>
        <v>#DIV/0!</v>
      </c>
      <c r="AL133" t="e">
        <f ca="1">Table1[[#This Row],[Put D1]]-Table1[[#This Row],[IV Calc P]]*SQRT(Table1[[#This Row],[T]])</f>
        <v>#DIV/0!</v>
      </c>
      <c r="AM133" t="e">
        <f ca="1">EXP(-0.5*Table1[[#This Row],[Call D1]]^2)/SQRT(2*PI())</f>
        <v>#DIV/0!</v>
      </c>
      <c r="AN133" t="e">
        <f ca="1">EXP(-0.5*Table1[[#This Row],[Put D1]]^2)/SQRT(2*PI())</f>
        <v>#DIV/0!</v>
      </c>
      <c r="AO133">
        <f ca="1">IFERROR((EXP(0*Table1[[#This Row],[T]])*Table1[[#This Row],[call N(d1)]]*(Table1[[#This Row],[call d2]]/Table1[[#This Row],[IV Calc C]]))*Table1[[#This Row],[Open.Int]]*Table1[[#This Row],[DeltaC]],0)</f>
        <v>0</v>
      </c>
      <c r="AP133">
        <f ca="1">IFERROR((EXP(0*Table1[[#This Row],[T]])*Table1[[#This Row],[put N(d1)]]*(Table1[[#This Row],[put d2]]/Table1[[#This Row],[IV Calc P]]))*Table1[[#This Row],[Open.Int8]]*Table1[[#This Row],[DeltaP]]*-1,0)</f>
        <v>0</v>
      </c>
      <c r="AQ133">
        <f ca="1">((Table1[[#This Row],[call vanna]]+Table1[[#This Row],[put vanna]])*$A$4)</f>
        <v>0</v>
      </c>
      <c r="AR13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3" s="9" t="str" cm="1">
        <f t="array" ref="AT133">_xlfn.IFS(     $M$1="SPX","SPXW",     $M$1="RUT","RUTW",  $M$1="NDX","NDXP",   TRUE,$M$1 )</f>
        <v>SPXW</v>
      </c>
      <c r="AU133" s="2">
        <f t="shared" si="12"/>
        <v>6915</v>
      </c>
      <c r="AV133" t="str">
        <f t="shared" si="13"/>
        <v>260123</v>
      </c>
      <c r="AW133" s="19">
        <f ca="1">IFERROR((EXP(0*Table1[[#This Row],[T]])*Table1[[#This Row],[put N(d1)]]*(Table1[[#This Row],[put d2]]/Table1[[#This Row],[IV Calc P]]))*Table1[[#This Row],[Open.Int8]]*Table1[[#This Row],[DeltaP]]*-1,0)</f>
        <v>0</v>
      </c>
      <c r="AX133">
        <f ca="1">IFERROR((EXP(0*Table1[[#This Row],[T]])*Table1[[#This Row],[call N(d1)]]*(Table1[[#This Row],[call d2]]/Table1[[#This Row],[IV Calc C]]))*Table1[[#This Row],[Open.Int]]*Table1[[#This Row],[DeltaC]],0)</f>
        <v>0</v>
      </c>
      <c r="AY13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3">
        <f>((Table1[[#This Row],[High C]]+Table1[[#This Row],[Low C]])/2)*Table1[[#This Row],[gammac]]*Table1[[#This Row],[Volume]]</f>
        <v>0</v>
      </c>
      <c r="BD133">
        <f>((Table1[[#This Row],[High P]]+Table1[[#This Row],[Low P]])/2)*Table1[[#This Row],[gammap]]*Table1[[#This Row],[Volume9]]*-1</f>
        <v>0</v>
      </c>
      <c r="BE133">
        <f>(Table1[[#This Row],[SgammaC]]+Table1[[#This Row],[SgammaP]])*$A$4*-100</f>
        <v>0</v>
      </c>
      <c r="BF133">
        <f>Table1[[#This Row],[DEXc]]+Table1[[#This Row],[DEXp]]</f>
        <v>0</v>
      </c>
      <c r="BG133">
        <f>IFERROR(Table1[[#This Row],[DeltaC]]*Table1[[#This Row],[Open.Int]]*$A$4,0)</f>
        <v>0</v>
      </c>
      <c r="BH133">
        <f>IFERROR(Table1[[#This Row],[DeltaP]]*Table1[[#This Row],[Open.Int8]]*$A$4,0)</f>
        <v>0</v>
      </c>
      <c r="BI13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3">
        <f ca="1">Table1[[#This Row],[Charmc]]+Table1[[#This Row],[Charmp]]</f>
        <v>0</v>
      </c>
      <c r="BL13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3" s="78">
        <f ca="1">Table1[[#This Row],[call helper]]+Table1[[#This Row],[put helper]]</f>
        <v>0</v>
      </c>
      <c r="BP133" t="str">
        <f>RTD("tos.rtd", , "STRIKE", "."&amp;Table1[[#This Row],[Ticker]]&amp;Table1[[#This Row],[Expiry]]&amp;""&amp;"C"&amp;Table1[[#This Row],[Spot]]+Table1[[#This Row],[step]])</f>
        <v>N/A</v>
      </c>
    </row>
    <row r="134" spans="1:77" x14ac:dyDescent="0.25">
      <c r="A134">
        <f t="shared" ca="1" si="9"/>
        <v>2.5814307458086375E-3</v>
      </c>
      <c r="C134" s="17"/>
      <c r="D134" t="b">
        <f>IF(
    ISNUMBER(Table1[[#This Row],[Strike]]),RTD("tos.rtd", , "OPEN_INT", "."&amp;Table1[[#This Row],[Ticker]]&amp;Table1[[#This Row],[Expiry]]&amp;""&amp;"C"&amp;Table1[[#This Row],[Strike]]))</f>
        <v>0</v>
      </c>
      <c r="E13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4" t="b">
        <f>IF(
    ISNUMBER(Table1[[#This Row],[Strike]]),RTD("tos.rtd", , "DELTA", "."&amp;Table1[[#This Row],[Ticker]]&amp;Table1[[#This Row],[Expiry]]&amp;""&amp;"C"&amp;Table1[[#This Row],[Strike]]))</f>
        <v>0</v>
      </c>
      <c r="H134" s="17" t="b" cm="1">
        <f t="array" ref="H134">IF(
    ISNUMBER(Table1[[#This Row],[Strike]]),IndividualLegIVCore($A$4, Table1[[#This Row],[Strike]], 0.0411, Table1[[#This Row],[T]], ((Table1[[#This Row],[BIDC]]+Table1[[#This Row],[ASKC]])/2), TRUE))</f>
        <v>0</v>
      </c>
      <c r="I134" t="b">
        <f>IF(
    ISNUMBER(Table1[[#This Row],[Strike]]),RTD("tos.rtd", , "BID", "."&amp;Table1[[#This Row],[Ticker]]&amp;Table1[[#This Row],[Expiry]]&amp;""&amp;"C"&amp;Table1[[#This Row],[Strike]]))</f>
        <v>0</v>
      </c>
      <c r="J134" t="b">
        <f>IF(
    ISNUMBER(Table1[[#This Row],[Strike]]),RTD("tos.rtd", , "ASK", "."&amp;Table1[[#This Row],[Ticker]]&amp;Table1[[#This Row],[Expiry]]&amp;""&amp;"C"&amp;Table1[[#This Row],[Strike]]))</f>
        <v>0</v>
      </c>
      <c r="K13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4" s="17" cm="1">
        <f t="array" aca="1" ref="L13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4" s="1">
        <f t="shared" si="10"/>
        <v>46045</v>
      </c>
      <c r="N134" t="b">
        <f t="shared" si="11"/>
        <v>0</v>
      </c>
      <c r="P134" s="17" t="b" cm="1">
        <f t="array" ref="P134">IF(
    ISNUMBER(Table1[[#This Row],[Strike]]),IndividualLegIVCore($A$4, Table1[[#This Row],[Strike]], 0.0411, Table1[[#This Row],[T]], ((Table1[[#This Row],[BIDP]]+Table1[[#This Row],[ASKP]])/2), FALSE))</f>
        <v>0</v>
      </c>
      <c r="Q134" t="b">
        <f>IF(
    ISNUMBER(Table1[[#This Row],[Strike]]),RTD("tos.rtd", , "BID", "."&amp;Table1[[#This Row],[Ticker]]&amp;Table1[[#This Row],[Expiry]]&amp;""&amp;"P"&amp;Table1[[#This Row],[Strike]]))</f>
        <v>0</v>
      </c>
      <c r="R134" t="b">
        <f>IF(
    ISNUMBER(Table1[[#This Row],[Strike]]),RTD("tos.rtd", , "ASK", "."&amp;Table1[[#This Row],[Ticker]]&amp;Table1[[#This Row],[Expiry]]&amp;""&amp;"P"&amp;Table1[[#This Row],[Strike]]))</f>
        <v>0</v>
      </c>
      <c r="S134" s="17"/>
      <c r="T134" t="b">
        <f>IF(
    ISNUMBER(Table1[[#This Row],[Strike]]),RTD("tos.rtd", , "OPEN_INT", "."&amp;Table1[[#This Row],[Ticker]]&amp;Table1[[#This Row],[Expiry]]&amp;""&amp;"P"&amp;Table1[[#This Row],[Strike]]))</f>
        <v>0</v>
      </c>
      <c r="U13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4" t="b">
        <f>IF(
    ISNUMBER(Table1[[#This Row],[Strike]]),RTD("tos.rtd", , "DELTA", "."&amp;Table1[[#This Row],[Ticker]]&amp;Table1[[#This Row],[Expiry]]&amp;""&amp;"P"&amp;Table1[[#This Row],[Strike]]))</f>
        <v>0</v>
      </c>
      <c r="Y134" s="19">
        <f>12* IF($M$1="NDX", 10, IF(OR($M$1="SPX", $M$1="RUT"), 2, 1))</f>
        <v>24</v>
      </c>
      <c r="Z134">
        <f ca="1">IFERROR(Table1[[#This Row],[call gamma]]*(Table1[[#This Row],[Open.Int]])*$A$4^2,0)</f>
        <v>0</v>
      </c>
      <c r="AA134">
        <f ca="1">IFERROR(((Table1[[#This Row],[Open.Int8]])*Table1[[#This Row],[Put gamma]])*-1*$A$4^2,0)</f>
        <v>0</v>
      </c>
      <c r="AB134">
        <f ca="1">(Table1[[#This Row],[Call Gex]]+Table1[[#This Row],[Put Gex]])</f>
        <v>0</v>
      </c>
      <c r="AC134">
        <f ca="1">Table1[[#This Row],[call delta adj]]+Table1[[#This Row],[put delta adj]]</f>
        <v>0</v>
      </c>
      <c r="AD134">
        <f ca="1">Table1[[#This Row],[Put Gex]]*Table1[[#This Row],[DeltaP]]*-1</f>
        <v>0</v>
      </c>
      <c r="AE134">
        <f ca="1">Table1[[#This Row],[Call Gex]]*Table1[[#This Row],[DeltaC]]</f>
        <v>0</v>
      </c>
      <c r="AF134">
        <f>IF(Table1[[#This Row],[DeltaC]]-ABS(Table1[[#This Row],[DeltaP]])="0","0.01",Table1[[#This Row],[DeltaC]]-ABS(Table1[[#This Row],[DeltaP]]))</f>
        <v>0</v>
      </c>
      <c r="AG134" t="e">
        <f ca="1">((LN($A$4/Table1[[#This Row],[Strike]]) + (0.411 + 0.5 * Table1[[#This Row],[IV Calc P]]^2) *Table1[[#This Row],[T]])) / (Table1[[#This Row],[IV Calc P]] * SQRT(Table1[[#This Row],[T]]))</f>
        <v>#DIV/0!</v>
      </c>
      <c r="AH134" t="e">
        <f ca="1">(LN($A$4/Table1[[#This Row],[Strike]]) + (0.411-0 + 0.5 * Table1[[#This Row],[IV Calc C]]^2) *Table1[[#This Row],[T]]) / (Table1[[#This Row],[IV Calc C]] * SQRT(Table1[[#This Row],[T]]))</f>
        <v>#DIV/0!</v>
      </c>
      <c r="AI134" t="e">
        <f ca="1">(EXP(-(AG134^2)/2)/SQRT(2*PI())*EXP(0*SQRT(Table1[[#This Row],[T]]))/$A$4*18%*SQRT(SQRT(Table1[[#This Row],[T]])))</f>
        <v>#DIV/0!</v>
      </c>
      <c r="AJ134" t="e">
        <f ca="1">(EXP(-(AH134^2)/2)/SQRT(2*PI())*EXP(0*SQRT(Table1[[#This Row],[T]]))/$A$4*18%*SQRT(SQRT(Table1[[#This Row],[T]])))</f>
        <v>#DIV/0!</v>
      </c>
      <c r="AK134" t="e">
        <f ca="1">Table1[[#This Row],[Call D1]]-Table1[[#This Row],[IV Calc C]]*SQRT(Table1[[#This Row],[T]])</f>
        <v>#DIV/0!</v>
      </c>
      <c r="AL134" t="e">
        <f ca="1">Table1[[#This Row],[Put D1]]-Table1[[#This Row],[IV Calc P]]*SQRT(Table1[[#This Row],[T]])</f>
        <v>#DIV/0!</v>
      </c>
      <c r="AM134" t="e">
        <f ca="1">EXP(-0.5*Table1[[#This Row],[Call D1]]^2)/SQRT(2*PI())</f>
        <v>#DIV/0!</v>
      </c>
      <c r="AN134" t="e">
        <f ca="1">EXP(-0.5*Table1[[#This Row],[Put D1]]^2)/SQRT(2*PI())</f>
        <v>#DIV/0!</v>
      </c>
      <c r="AO134">
        <f ca="1">IFERROR((EXP(0*Table1[[#This Row],[T]])*Table1[[#This Row],[call N(d1)]]*(Table1[[#This Row],[call d2]]/Table1[[#This Row],[IV Calc C]]))*Table1[[#This Row],[Open.Int]]*Table1[[#This Row],[DeltaC]],0)</f>
        <v>0</v>
      </c>
      <c r="AP134">
        <f ca="1">IFERROR((EXP(0*Table1[[#This Row],[T]])*Table1[[#This Row],[put N(d1)]]*(Table1[[#This Row],[put d2]]/Table1[[#This Row],[IV Calc P]]))*Table1[[#This Row],[Open.Int8]]*Table1[[#This Row],[DeltaP]]*-1,0)</f>
        <v>0</v>
      </c>
      <c r="AQ134">
        <f ca="1">((Table1[[#This Row],[call vanna]]+Table1[[#This Row],[put vanna]])*$A$4)</f>
        <v>0</v>
      </c>
      <c r="AR13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4" s="9" t="str" cm="1">
        <f t="array" ref="AT134">_xlfn.IFS(     $M$1="SPX","SPXW",     $M$1="RUT","RUTW",  $M$1="NDX","NDXP",   TRUE,$M$1 )</f>
        <v>SPXW</v>
      </c>
      <c r="AU134" s="2">
        <f t="shared" si="12"/>
        <v>6915</v>
      </c>
      <c r="AV134" t="str">
        <f t="shared" si="13"/>
        <v>260123</v>
      </c>
      <c r="AW134" s="19">
        <f ca="1">IFERROR((EXP(0*Table1[[#This Row],[T]])*Table1[[#This Row],[put N(d1)]]*(Table1[[#This Row],[put d2]]/Table1[[#This Row],[IV Calc P]]))*Table1[[#This Row],[Open.Int8]]*Table1[[#This Row],[DeltaP]]*-1,0)</f>
        <v>0</v>
      </c>
      <c r="AX134">
        <f ca="1">IFERROR((EXP(0*Table1[[#This Row],[T]])*Table1[[#This Row],[call N(d1)]]*(Table1[[#This Row],[call d2]]/Table1[[#This Row],[IV Calc C]]))*Table1[[#This Row],[Open.Int]]*Table1[[#This Row],[DeltaC]],0)</f>
        <v>0</v>
      </c>
      <c r="AY13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4">
        <f>((Table1[[#This Row],[High C]]+Table1[[#This Row],[Low C]])/2)*Table1[[#This Row],[gammac]]*Table1[[#This Row],[Volume]]</f>
        <v>0</v>
      </c>
      <c r="BD134">
        <f>((Table1[[#This Row],[High P]]+Table1[[#This Row],[Low P]])/2)*Table1[[#This Row],[gammap]]*Table1[[#This Row],[Volume9]]*-1</f>
        <v>0</v>
      </c>
      <c r="BE134">
        <f>(Table1[[#This Row],[SgammaC]]+Table1[[#This Row],[SgammaP]])*$A$4*-100</f>
        <v>0</v>
      </c>
      <c r="BF134">
        <f>Table1[[#This Row],[DEXc]]+Table1[[#This Row],[DEXp]]</f>
        <v>0</v>
      </c>
      <c r="BG134">
        <f>IFERROR(Table1[[#This Row],[DeltaC]]*Table1[[#This Row],[Open.Int]]*$A$4,0)</f>
        <v>0</v>
      </c>
      <c r="BH134">
        <f>IFERROR(Table1[[#This Row],[DeltaP]]*Table1[[#This Row],[Open.Int8]]*$A$4,0)</f>
        <v>0</v>
      </c>
      <c r="BI13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4">
        <f ca="1">Table1[[#This Row],[Charmc]]+Table1[[#This Row],[Charmp]]</f>
        <v>0</v>
      </c>
      <c r="BL13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4" s="78">
        <f ca="1">Table1[[#This Row],[call helper]]+Table1[[#This Row],[put helper]]</f>
        <v>0</v>
      </c>
      <c r="BP134" t="str">
        <f>RTD("tos.rtd", , "STRIKE", "."&amp;Table1[[#This Row],[Ticker]]&amp;Table1[[#This Row],[Expiry]]&amp;""&amp;"C"&amp;Table1[[#This Row],[Spot]]+Table1[[#This Row],[step]])</f>
        <v>N/A</v>
      </c>
    </row>
    <row r="135" spans="1:77" x14ac:dyDescent="0.25">
      <c r="A135">
        <f t="shared" ca="1" si="9"/>
        <v>2.5814307458086375E-3</v>
      </c>
      <c r="C135" s="17"/>
      <c r="D135">
        <f>IF(
    ISNUMBER(Table1[[#This Row],[Strike]]),RTD("tos.rtd", , "OPEN_INT", "."&amp;Table1[[#This Row],[Ticker]]&amp;Table1[[#This Row],[Expiry]]&amp;""&amp;"C"&amp;Table1[[#This Row],[Strike]]))</f>
        <v>2044</v>
      </c>
      <c r="E13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8410</v>
      </c>
      <c r="G135">
        <f>IF(
    ISNUMBER(Table1[[#This Row],[Strike]]),RTD("tos.rtd", , "DELTA", "."&amp;Table1[[#This Row],[Ticker]]&amp;Table1[[#This Row],[Expiry]]&amp;""&amp;"C"&amp;Table1[[#This Row],[Strike]]))</f>
        <v>0.24</v>
      </c>
      <c r="H135" s="17" cm="1">
        <f t="array" aca="1" ref="H135" ca="1">IF(
    ISNUMBER(Table1[[#This Row],[Strike]]),IndividualLegIVCore($A$4, Table1[[#This Row],[Strike]], 0.0411, Table1[[#This Row],[T]], ((Table1[[#This Row],[BIDC]]+Table1[[#This Row],[ASKC]])/2), TRUE))</f>
        <v>0.10208514515531507</v>
      </c>
      <c r="I135">
        <f>IF(
    ISNUMBER(Table1[[#This Row],[Strike]]),RTD("tos.rtd", , "BID", "."&amp;Table1[[#This Row],[Ticker]]&amp;Table1[[#This Row],[Expiry]]&amp;""&amp;"C"&amp;Table1[[#This Row],[Strike]]))</f>
        <v>4.8</v>
      </c>
      <c r="J135">
        <f>IF(
    ISNUMBER(Table1[[#This Row],[Strike]]),RTD("tos.rtd", , "ASK", "."&amp;Table1[[#This Row],[Ticker]]&amp;Table1[[#This Row],[Expiry]]&amp;""&amp;"C"&amp;Table1[[#This Row],[Strike]]))</f>
        <v>5.0999999999999996</v>
      </c>
      <c r="K13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0.10208514515531507</v>
      </c>
      <c r="L135" s="17" cm="1">
        <f t="array" aca="1" ref="L135" ca="1">CubicSplineIVSmile($A$4, Table1[[#This Row],[Strike]], 0.0411, Table1[[#This Row],[T]], (Table1[[#This Row],[BIDC]]+Table1[[#This Row],[ASKC]])/2, (Table1[[#This Row],[BIDP]]+Table1[[#This Row],[ASKP]])/2, Table1[Strike], Table1[IV Calc AVG])</f>
        <v>0.13238121204618628</v>
      </c>
      <c r="M135" s="1">
        <f t="shared" si="10"/>
        <v>46045</v>
      </c>
      <c r="N135">
        <f t="shared" si="11"/>
        <v>6940</v>
      </c>
      <c r="P135" s="17" cm="1">
        <f t="array" aca="1" ref="P135" ca="1">IF(
    ISNUMBER(Table1[[#This Row],[Strike]]),IndividualLegIVCore($A$4, Table1[[#This Row],[Strike]], 0.0411, Table1[[#This Row],[T]], ((Table1[[#This Row],[BIDP]]+Table1[[#This Row],[ASKP]])/2), FALSE))</f>
        <v>0.14391535702503175</v>
      </c>
      <c r="Q135">
        <f>IF(
    ISNUMBER(Table1[[#This Row],[Strike]]),RTD("tos.rtd", , "BID", "."&amp;Table1[[#This Row],[Ticker]]&amp;Table1[[#This Row],[Expiry]]&amp;""&amp;"P"&amp;Table1[[#This Row],[Strike]]))</f>
        <v>35.200000000000003</v>
      </c>
      <c r="R135">
        <f>IF(
    ISNUMBER(Table1[[#This Row],[Strike]]),RTD("tos.rtd", , "ASK", "."&amp;Table1[[#This Row],[Ticker]]&amp;Table1[[#This Row],[Expiry]]&amp;""&amp;"P"&amp;Table1[[#This Row],[Strike]]))</f>
        <v>36.299999999999997</v>
      </c>
      <c r="S135" s="17"/>
      <c r="T135">
        <f>IF(
    ISNUMBER(Table1[[#This Row],[Strike]]),RTD("tos.rtd", , "OPEN_INT", "."&amp;Table1[[#This Row],[Ticker]]&amp;Table1[[#This Row],[Expiry]]&amp;""&amp;"P"&amp;Table1[[#This Row],[Strike]]))</f>
        <v>635</v>
      </c>
      <c r="U13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1328</v>
      </c>
      <c r="W135">
        <f>IF(
    ISNUMBER(Table1[[#This Row],[Strike]]),RTD("tos.rtd", , "DELTA", "."&amp;Table1[[#This Row],[Ticker]]&amp;Table1[[#This Row],[Expiry]]&amp;""&amp;"P"&amp;Table1[[#This Row],[Strike]]))</f>
        <v>-0.7</v>
      </c>
      <c r="Y135" s="19">
        <f>12.5* IF($M$1="NDX", 10, IF(OR($M$1="SPX", $M$1="RUT"), 2, 1))</f>
        <v>25</v>
      </c>
      <c r="Z135">
        <f ca="1">IFERROR(Table1[[#This Row],[call gamma]]*(Table1[[#This Row],[Open.Int]])*$A$4^2,0)</f>
        <v>198265.7314651667</v>
      </c>
      <c r="AA135">
        <f ca="1">IFERROR(((Table1[[#This Row],[Open.Int8]])*Table1[[#This Row],[Put gamma]])*-1*$A$4^2,0)</f>
        <v>-66172.448126559408</v>
      </c>
      <c r="AB135">
        <f ca="1">(Table1[[#This Row],[Call Gex]]+Table1[[#This Row],[Put Gex]])</f>
        <v>132093.28333860729</v>
      </c>
      <c r="AC135">
        <f ca="1">Table1[[#This Row],[call delta adj]]+Table1[[#This Row],[put delta adj]]</f>
        <v>1263.0618630484241</v>
      </c>
      <c r="AD135">
        <f ca="1">Table1[[#This Row],[Put Gex]]*Table1[[#This Row],[DeltaP]]*-1</f>
        <v>-46320.713688591582</v>
      </c>
      <c r="AE135">
        <f ca="1">Table1[[#This Row],[Call Gex]]*Table1[[#This Row],[DeltaC]]</f>
        <v>47583.775551640007</v>
      </c>
      <c r="AF135">
        <f>IF(Table1[[#This Row],[DeltaC]]-ABS(Table1[[#This Row],[DeltaP]])="0","0.01",Table1[[#This Row],[DeltaC]]-ABS(Table1[[#This Row],[DeltaP]]))</f>
        <v>-0.45999999999999996</v>
      </c>
      <c r="AG135">
        <f ca="1">((LN($A$4/Table1[[#This Row],[Strike]]) + (0.411 + 0.5 * Table1[[#This Row],[IV Calc P]]^2) *Table1[[#This Row],[T]])) / (Table1[[#This Row],[IV Calc P]] * SQRT(Table1[[#This Row],[T]]))</f>
        <v>-0.3774263037415489</v>
      </c>
      <c r="AH135">
        <f ca="1">(LN($A$4/Table1[[#This Row],[Strike]]) + (0.411-0 + 0.5 * Table1[[#This Row],[IV Calc C]]^2) *Table1[[#This Row],[T]]) / (Table1[[#This Row],[IV Calc C]] * SQRT(Table1[[#This Row],[T]]))</f>
        <v>-0.534640506618973</v>
      </c>
      <c r="AI135">
        <f ca="1">(EXP(-(AG135^2)/2)/SQRT(2*PI())*EXP(0*SQRT(Table1[[#This Row],[T]]))/$A$4*18%*SQRT(SQRT(Table1[[#This Row],[T]])))</f>
        <v>2.1803508737201456E-6</v>
      </c>
      <c r="AJ135">
        <f ca="1">(EXP(-(AH135^2)/2)/SQRT(2*PI())*EXP(0*SQRT(Table1[[#This Row],[T]]))/$A$4*18%*SQRT(SQRT(Table1[[#This Row],[T]])))</f>
        <v>2.0295029012125096E-6</v>
      </c>
      <c r="AK135">
        <f ca="1">Table1[[#This Row],[Call D1]]-Table1[[#This Row],[IV Calc C]]*SQRT(Table1[[#This Row],[T]])</f>
        <v>-0.5398272264536691</v>
      </c>
      <c r="AL135">
        <f ca="1">Table1[[#This Row],[Put D1]]-Table1[[#This Row],[IV Calc P]]*SQRT(Table1[[#This Row],[T]])</f>
        <v>-0.38473832387595169</v>
      </c>
      <c r="AM135">
        <f ca="1">EXP(-0.5*Table1[[#This Row],[Call D1]]^2)/SQRT(2*PI())</f>
        <v>0.34581242719272687</v>
      </c>
      <c r="AN135">
        <f ca="1">EXP(-0.5*Table1[[#This Row],[Put D1]]^2)/SQRT(2*PI())</f>
        <v>0.37151581666746059</v>
      </c>
      <c r="AO135">
        <f ca="1">IFERROR((EXP(0*Table1[[#This Row],[T]])*Table1[[#This Row],[call N(d1)]]*(Table1[[#This Row],[call d2]]/Table1[[#This Row],[IV Calc C]]))*Table1[[#This Row],[Open.Int]]*Table1[[#This Row],[DeltaC]],0)</f>
        <v>-897.06717042998673</v>
      </c>
      <c r="AP135">
        <f ca="1">IFERROR((EXP(0*Table1[[#This Row],[T]])*Table1[[#This Row],[put N(d1)]]*(Table1[[#This Row],[put d2]]/Table1[[#This Row],[IV Calc P]]))*Table1[[#This Row],[Open.Int8]]*Table1[[#This Row],[DeltaP]]*-1,0)</f>
        <v>-441.47628809884196</v>
      </c>
      <c r="AQ135">
        <f ca="1">((Table1[[#This Row],[call vanna]]+Table1[[#This Row],[put vanna]])*$A$4)</f>
        <v>-9253819.4190202784</v>
      </c>
      <c r="AR13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198265.7314651667</v>
      </c>
      <c r="AS13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-66172.448126559408</v>
      </c>
      <c r="AT135" s="9" t="str" cm="1">
        <f t="array" ref="AT135">_xlfn.IFS(     $M$1="SPX","SPXW",     $M$1="RUT","RUTW",  $M$1="NDX","NDXP",   TRUE,$M$1 )</f>
        <v>SPXW</v>
      </c>
      <c r="AU135" s="2">
        <f t="shared" si="12"/>
        <v>6915</v>
      </c>
      <c r="AV135" t="str">
        <f t="shared" si="13"/>
        <v>260123</v>
      </c>
      <c r="AW135" s="19">
        <f ca="1">IFERROR((EXP(0*Table1[[#This Row],[T]])*Table1[[#This Row],[put N(d1)]]*(Table1[[#This Row],[put d2]]/Table1[[#This Row],[IV Calc P]]))*Table1[[#This Row],[Open.Int8]]*Table1[[#This Row],[DeltaP]]*-1,0)</f>
        <v>-441.47628809884196</v>
      </c>
      <c r="AX135">
        <f ca="1">IFERROR((EXP(0*Table1[[#This Row],[T]])*Table1[[#This Row],[call N(d1)]]*(Table1[[#This Row],[call d2]]/Table1[[#This Row],[IV Calc C]]))*Table1[[#This Row],[Open.Int]]*Table1[[#This Row],[DeltaC]],0)</f>
        <v>-897.06717042998673</v>
      </c>
      <c r="AY135">
        <f>IF(
    ISNUMBER(Table1[[#This Row],[Strike]]),RTD("tos.rtd", , "high", "."&amp;Table1[[#This Row],[Ticker]]&amp;Table1[[#This Row],[Expiry]]&amp;""&amp;"C"&amp;Table1[[#This Row],[Spot]]+Table1[[#This Row],[step]]))</f>
        <v>17.5</v>
      </c>
      <c r="AZ135">
        <f>IF(
    ISNUMBER(Table1[[#This Row],[Strike]]),RTD("tos.rtd", , "low", "."&amp;Table1[[#This Row],[Ticker]]&amp;Table1[[#This Row],[Expiry]]&amp;""&amp;"C"&amp;Table1[[#This Row],[Spot]]+Table1[[#This Row],[step]]))</f>
        <v>3.8</v>
      </c>
      <c r="BA135">
        <f>IF(
    ISNUMBER(Table1[[#This Row],[Strike]]),RTD("tos.rtd", , "high", "."&amp;Table1[[#This Row],[Ticker]]&amp;Table1[[#This Row],[Expiry]]&amp;""&amp;"P"&amp;Table1[[#This Row],[Spot]]+Table1[[#This Row],[step]]))</f>
        <v>49.7</v>
      </c>
      <c r="BB135">
        <f>IF(
    ISNUMBER(Table1[[#This Row],[Strike]]),RTD("tos.rtd", , "low", "."&amp;Table1[[#This Row],[Ticker]]&amp;Table1[[#This Row],[Expiry]]&amp;""&amp;"P"&amp;Table1[[#This Row],[Spot]]+Table1[[#This Row],[step]]))</f>
        <v>19</v>
      </c>
      <c r="BC135">
        <f>((Table1[[#This Row],[High C]]+Table1[[#This Row],[Low C]])/2)*Table1[[#This Row],[gammac]]*Table1[[#This Row],[Volume]]</f>
        <v>895.66500000000008</v>
      </c>
      <c r="BD135">
        <f>((Table1[[#This Row],[High P]]+Table1[[#This Row],[Low P]])/2)*Table1[[#This Row],[gammap]]*Table1[[#This Row],[Volume9]]*-1</f>
        <v>-456.16800000000006</v>
      </c>
      <c r="BE135">
        <f>(Table1[[#This Row],[SgammaC]]+Table1[[#This Row],[SgammaP]])*$A$4*-100</f>
        <v>-303839658.495</v>
      </c>
      <c r="BF135">
        <f>Table1[[#This Row],[DEXc]]+Table1[[#This Row],[DEXp]]</f>
        <v>318428.90100000007</v>
      </c>
      <c r="BG135">
        <f>IFERROR(Table1[[#This Row],[DeltaC]]*Table1[[#This Row],[Open.Int]]*$A$4,0)</f>
        <v>3391412.9760000003</v>
      </c>
      <c r="BH135">
        <f>IFERROR(Table1[[#This Row],[DeltaP]]*Table1[[#This Row],[Open.Int8]]*$A$4,0)</f>
        <v>-3072984.0750000002</v>
      </c>
      <c r="BI13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-6688869.3851644285</v>
      </c>
      <c r="BJ13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-2549783.9237625729</v>
      </c>
      <c r="BK135">
        <f ca="1">Table1[[#This Row],[Charmc]]+Table1[[#This Row],[Charmp]]</f>
        <v>-9238653.3089270014</v>
      </c>
      <c r="BL13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3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35" s="78">
        <f ca="1">Table1[[#This Row],[call helper]]+Table1[[#This Row],[put helper]]</f>
        <v>132093.28333860729</v>
      </c>
      <c r="BP135">
        <f>RTD("tos.rtd", , "STRIKE", "."&amp;Table1[[#This Row],[Ticker]]&amp;Table1[[#This Row],[Expiry]]&amp;""&amp;"C"&amp;Table1[[#This Row],[Spot]]+Table1[[#This Row],[step]])</f>
        <v>6940</v>
      </c>
    </row>
    <row r="136" spans="1:77" x14ac:dyDescent="0.25">
      <c r="A136">
        <f t="shared" ca="1" si="9"/>
        <v>2.5814307458086375E-3</v>
      </c>
      <c r="C136" s="17"/>
      <c r="D136" t="b">
        <f>IF(
    ISNUMBER(Table1[[#This Row],[Strike]]),RTD("tos.rtd", , "OPEN_INT", "."&amp;Table1[[#This Row],[Ticker]]&amp;Table1[[#This Row],[Expiry]]&amp;""&amp;"C"&amp;Table1[[#This Row],[Strike]]))</f>
        <v>0</v>
      </c>
      <c r="E13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6" t="b">
        <f>IF(
    ISNUMBER(Table1[[#This Row],[Strike]]),RTD("tos.rtd", , "DELTA", "."&amp;Table1[[#This Row],[Ticker]]&amp;Table1[[#This Row],[Expiry]]&amp;""&amp;"C"&amp;Table1[[#This Row],[Strike]]))</f>
        <v>0</v>
      </c>
      <c r="H136" s="17" t="b" cm="1">
        <f t="array" ref="H136">IF(
    ISNUMBER(Table1[[#This Row],[Strike]]),IndividualLegIVCore($A$4, Table1[[#This Row],[Strike]], 0.0411, Table1[[#This Row],[T]], ((Table1[[#This Row],[BIDC]]+Table1[[#This Row],[ASKC]])/2), TRUE))</f>
        <v>0</v>
      </c>
      <c r="I136" t="b">
        <f>IF(
    ISNUMBER(Table1[[#This Row],[Strike]]),RTD("tos.rtd", , "BID", "."&amp;Table1[[#This Row],[Ticker]]&amp;Table1[[#This Row],[Expiry]]&amp;""&amp;"C"&amp;Table1[[#This Row],[Strike]]))</f>
        <v>0</v>
      </c>
      <c r="J136" t="b">
        <f>IF(
    ISNUMBER(Table1[[#This Row],[Strike]]),RTD("tos.rtd", , "ASK", "."&amp;Table1[[#This Row],[Ticker]]&amp;Table1[[#This Row],[Expiry]]&amp;""&amp;"C"&amp;Table1[[#This Row],[Strike]]))</f>
        <v>0</v>
      </c>
      <c r="K13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6" s="17" cm="1">
        <f t="array" aca="1" ref="L13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6" s="1">
        <f t="shared" si="10"/>
        <v>46045</v>
      </c>
      <c r="N136" t="b">
        <f t="shared" si="11"/>
        <v>0</v>
      </c>
      <c r="P136" s="17" t="b" cm="1">
        <f t="array" ref="P136">IF(
    ISNUMBER(Table1[[#This Row],[Strike]]),IndividualLegIVCore($A$4, Table1[[#This Row],[Strike]], 0.0411, Table1[[#This Row],[T]], ((Table1[[#This Row],[BIDP]]+Table1[[#This Row],[ASKP]])/2), FALSE))</f>
        <v>0</v>
      </c>
      <c r="Q136" t="b">
        <f>IF(
    ISNUMBER(Table1[[#This Row],[Strike]]),RTD("tos.rtd", , "BID", "."&amp;Table1[[#This Row],[Ticker]]&amp;Table1[[#This Row],[Expiry]]&amp;""&amp;"P"&amp;Table1[[#This Row],[Strike]]))</f>
        <v>0</v>
      </c>
      <c r="R136" t="b">
        <f>IF(
    ISNUMBER(Table1[[#This Row],[Strike]]),RTD("tos.rtd", , "ASK", "."&amp;Table1[[#This Row],[Ticker]]&amp;Table1[[#This Row],[Expiry]]&amp;""&amp;"P"&amp;Table1[[#This Row],[Strike]]))</f>
        <v>0</v>
      </c>
      <c r="S136" s="17"/>
      <c r="T136" t="b">
        <f>IF(
    ISNUMBER(Table1[[#This Row],[Strike]]),RTD("tos.rtd", , "OPEN_INT", "."&amp;Table1[[#This Row],[Ticker]]&amp;Table1[[#This Row],[Expiry]]&amp;""&amp;"P"&amp;Table1[[#This Row],[Strike]]))</f>
        <v>0</v>
      </c>
      <c r="U13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6" t="b">
        <f>IF(
    ISNUMBER(Table1[[#This Row],[Strike]]),RTD("tos.rtd", , "DELTA", "."&amp;Table1[[#This Row],[Ticker]]&amp;Table1[[#This Row],[Expiry]]&amp;""&amp;"P"&amp;Table1[[#This Row],[Strike]]))</f>
        <v>0</v>
      </c>
      <c r="Y136" s="19">
        <f>13* IF($M$1="NDX", 10, IF(OR($M$1="SPX", $M$1="RUT"), 2, 1))</f>
        <v>26</v>
      </c>
      <c r="Z136">
        <f ca="1">IFERROR(Table1[[#This Row],[call gamma]]*(Table1[[#This Row],[Open.Int]])*$A$4^2,0)</f>
        <v>0</v>
      </c>
      <c r="AA136">
        <f ca="1">IFERROR(((Table1[[#This Row],[Open.Int8]])*Table1[[#This Row],[Put gamma]])*-1*$A$4^2,0)</f>
        <v>0</v>
      </c>
      <c r="AB136">
        <f ca="1">(Table1[[#This Row],[Call Gex]]+Table1[[#This Row],[Put Gex]])</f>
        <v>0</v>
      </c>
      <c r="AC136">
        <f ca="1">Table1[[#This Row],[call delta adj]]+Table1[[#This Row],[put delta adj]]</f>
        <v>0</v>
      </c>
      <c r="AD136">
        <f ca="1">Table1[[#This Row],[Put Gex]]*Table1[[#This Row],[DeltaP]]*-1</f>
        <v>0</v>
      </c>
      <c r="AE136">
        <f ca="1">Table1[[#This Row],[Call Gex]]*Table1[[#This Row],[DeltaC]]</f>
        <v>0</v>
      </c>
      <c r="AF136">
        <f>IF(Table1[[#This Row],[DeltaC]]-ABS(Table1[[#This Row],[DeltaP]])="0","0.01",Table1[[#This Row],[DeltaC]]-ABS(Table1[[#This Row],[DeltaP]]))</f>
        <v>0</v>
      </c>
      <c r="AG136" t="e">
        <f ca="1">((LN($A$4/Table1[[#This Row],[Strike]]) + (0.411 + 0.5 * Table1[[#This Row],[IV Calc P]]^2) *Table1[[#This Row],[T]])) / (Table1[[#This Row],[IV Calc P]] * SQRT(Table1[[#This Row],[T]]))</f>
        <v>#DIV/0!</v>
      </c>
      <c r="AH136" t="e">
        <f ca="1">(LN($A$4/Table1[[#This Row],[Strike]]) + (0.411-0 + 0.5 * Table1[[#This Row],[IV Calc C]]^2) *Table1[[#This Row],[T]]) / (Table1[[#This Row],[IV Calc C]] * SQRT(Table1[[#This Row],[T]]))</f>
        <v>#DIV/0!</v>
      </c>
      <c r="AI136" t="e">
        <f ca="1">(EXP(-(AG136^2)/2)/SQRT(2*PI())*EXP(0*SQRT(Table1[[#This Row],[T]]))/$A$4*18%*SQRT(SQRT(Table1[[#This Row],[T]])))</f>
        <v>#DIV/0!</v>
      </c>
      <c r="AJ136" t="e">
        <f ca="1">(EXP(-(AH136^2)/2)/SQRT(2*PI())*EXP(0*SQRT(Table1[[#This Row],[T]]))/$A$4*18%*SQRT(SQRT(Table1[[#This Row],[T]])))</f>
        <v>#DIV/0!</v>
      </c>
      <c r="AK136" t="e">
        <f ca="1">Table1[[#This Row],[Call D1]]-Table1[[#This Row],[IV Calc C]]*SQRT(Table1[[#This Row],[T]])</f>
        <v>#DIV/0!</v>
      </c>
      <c r="AL136" t="e">
        <f ca="1">Table1[[#This Row],[Put D1]]-Table1[[#This Row],[IV Calc P]]*SQRT(Table1[[#This Row],[T]])</f>
        <v>#DIV/0!</v>
      </c>
      <c r="AM136" t="e">
        <f ca="1">EXP(-0.5*Table1[[#This Row],[Call D1]]^2)/SQRT(2*PI())</f>
        <v>#DIV/0!</v>
      </c>
      <c r="AN136" t="e">
        <f ca="1">EXP(-0.5*Table1[[#This Row],[Put D1]]^2)/SQRT(2*PI())</f>
        <v>#DIV/0!</v>
      </c>
      <c r="AO136">
        <f ca="1">IFERROR((EXP(0*Table1[[#This Row],[T]])*Table1[[#This Row],[call N(d1)]]*(Table1[[#This Row],[call d2]]/Table1[[#This Row],[IV Calc C]]))*Table1[[#This Row],[Open.Int]]*Table1[[#This Row],[DeltaC]],0)</f>
        <v>0</v>
      </c>
      <c r="AP136">
        <f ca="1">IFERROR((EXP(0*Table1[[#This Row],[T]])*Table1[[#This Row],[put N(d1)]]*(Table1[[#This Row],[put d2]]/Table1[[#This Row],[IV Calc P]]))*Table1[[#This Row],[Open.Int8]]*Table1[[#This Row],[DeltaP]]*-1,0)</f>
        <v>0</v>
      </c>
      <c r="AQ136">
        <f ca="1">((Table1[[#This Row],[call vanna]]+Table1[[#This Row],[put vanna]])*$A$4)</f>
        <v>0</v>
      </c>
      <c r="AR13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6" s="9" t="str" cm="1">
        <f t="array" ref="AT136">_xlfn.IFS(     $M$1="SPX","SPXW",     $M$1="RUT","RUTW",  $M$1="NDX","NDXP",   TRUE,$M$1 )</f>
        <v>SPXW</v>
      </c>
      <c r="AU136" s="2">
        <f t="shared" si="12"/>
        <v>6915</v>
      </c>
      <c r="AV136" t="str">
        <f t="shared" si="13"/>
        <v>260123</v>
      </c>
      <c r="AW136" s="19">
        <f ca="1">IFERROR((EXP(0*Table1[[#This Row],[T]])*Table1[[#This Row],[put N(d1)]]*(Table1[[#This Row],[put d2]]/Table1[[#This Row],[IV Calc P]]))*Table1[[#This Row],[Open.Int8]]*Table1[[#This Row],[DeltaP]]*-1,0)</f>
        <v>0</v>
      </c>
      <c r="AX136">
        <f ca="1">IFERROR((EXP(0*Table1[[#This Row],[T]])*Table1[[#This Row],[call N(d1)]]*(Table1[[#This Row],[call d2]]/Table1[[#This Row],[IV Calc C]]))*Table1[[#This Row],[Open.Int]]*Table1[[#This Row],[DeltaC]],0)</f>
        <v>0</v>
      </c>
      <c r="AY13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6">
        <f>((Table1[[#This Row],[High C]]+Table1[[#This Row],[Low C]])/2)*Table1[[#This Row],[gammac]]*Table1[[#This Row],[Volume]]</f>
        <v>0</v>
      </c>
      <c r="BD136">
        <f>((Table1[[#This Row],[High P]]+Table1[[#This Row],[Low P]])/2)*Table1[[#This Row],[gammap]]*Table1[[#This Row],[Volume9]]*-1</f>
        <v>0</v>
      </c>
      <c r="BE136">
        <f>(Table1[[#This Row],[SgammaC]]+Table1[[#This Row],[SgammaP]])*$A$4*-100</f>
        <v>0</v>
      </c>
      <c r="BF136">
        <f>Table1[[#This Row],[DEXc]]+Table1[[#This Row],[DEXp]]</f>
        <v>0</v>
      </c>
      <c r="BG136">
        <f>IFERROR(Table1[[#This Row],[DeltaC]]*Table1[[#This Row],[Open.Int]]*$A$4,0)</f>
        <v>0</v>
      </c>
      <c r="BH136">
        <f>IFERROR(Table1[[#This Row],[DeltaP]]*Table1[[#This Row],[Open.Int8]]*$A$4,0)</f>
        <v>0</v>
      </c>
      <c r="BI13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6">
        <f ca="1">Table1[[#This Row],[Charmc]]+Table1[[#This Row],[Charmp]]</f>
        <v>0</v>
      </c>
      <c r="BL13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6" s="78">
        <f ca="1">Table1[[#This Row],[call helper]]+Table1[[#This Row],[put helper]]</f>
        <v>0</v>
      </c>
      <c r="BP136" t="str">
        <f>RTD("tos.rtd", , "STRIKE", "."&amp;Table1[[#This Row],[Ticker]]&amp;Table1[[#This Row],[Expiry]]&amp;""&amp;"C"&amp;Table1[[#This Row],[Spot]]+Table1[[#This Row],[step]])</f>
        <v>N/A</v>
      </c>
    </row>
    <row r="137" spans="1:77" x14ac:dyDescent="0.25">
      <c r="A137">
        <f t="shared" ca="1" si="9"/>
        <v>2.5814307458086375E-3</v>
      </c>
      <c r="C137" s="17"/>
      <c r="D137" t="b">
        <f>IF(
    ISNUMBER(Table1[[#This Row],[Strike]]),RTD("tos.rtd", , "OPEN_INT", "."&amp;Table1[[#This Row],[Ticker]]&amp;Table1[[#This Row],[Expiry]]&amp;""&amp;"C"&amp;Table1[[#This Row],[Strike]]))</f>
        <v>0</v>
      </c>
      <c r="E13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7" t="b">
        <f>IF(
    ISNUMBER(Table1[[#This Row],[Strike]]),RTD("tos.rtd", , "DELTA", "."&amp;Table1[[#This Row],[Ticker]]&amp;Table1[[#This Row],[Expiry]]&amp;""&amp;"C"&amp;Table1[[#This Row],[Strike]]))</f>
        <v>0</v>
      </c>
      <c r="H137" s="17" t="b" cm="1">
        <f t="array" ref="H137">IF(
    ISNUMBER(Table1[[#This Row],[Strike]]),IndividualLegIVCore($A$4, Table1[[#This Row],[Strike]], 0.0411, Table1[[#This Row],[T]], ((Table1[[#This Row],[BIDC]]+Table1[[#This Row],[ASKC]])/2), TRUE))</f>
        <v>0</v>
      </c>
      <c r="I137" t="b">
        <f>IF(
    ISNUMBER(Table1[[#This Row],[Strike]]),RTD("tos.rtd", , "BID", "."&amp;Table1[[#This Row],[Ticker]]&amp;Table1[[#This Row],[Expiry]]&amp;""&amp;"C"&amp;Table1[[#This Row],[Strike]]))</f>
        <v>0</v>
      </c>
      <c r="J137" t="b">
        <f>IF(
    ISNUMBER(Table1[[#This Row],[Strike]]),RTD("tos.rtd", , "ASK", "."&amp;Table1[[#This Row],[Ticker]]&amp;Table1[[#This Row],[Expiry]]&amp;""&amp;"C"&amp;Table1[[#This Row],[Strike]]))</f>
        <v>0</v>
      </c>
      <c r="K13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7" s="17" cm="1">
        <f t="array" aca="1" ref="L13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7" s="1">
        <f t="shared" si="10"/>
        <v>46045</v>
      </c>
      <c r="N137" t="b">
        <f t="shared" si="11"/>
        <v>0</v>
      </c>
      <c r="P137" s="17" t="b" cm="1">
        <f t="array" ref="P137">IF(
    ISNUMBER(Table1[[#This Row],[Strike]]),IndividualLegIVCore($A$4, Table1[[#This Row],[Strike]], 0.0411, Table1[[#This Row],[T]], ((Table1[[#This Row],[BIDP]]+Table1[[#This Row],[ASKP]])/2), FALSE))</f>
        <v>0</v>
      </c>
      <c r="Q137" t="b">
        <f>IF(
    ISNUMBER(Table1[[#This Row],[Strike]]),RTD("tos.rtd", , "BID", "."&amp;Table1[[#This Row],[Ticker]]&amp;Table1[[#This Row],[Expiry]]&amp;""&amp;"P"&amp;Table1[[#This Row],[Strike]]))</f>
        <v>0</v>
      </c>
      <c r="R137" t="b">
        <f>IF(
    ISNUMBER(Table1[[#This Row],[Strike]]),RTD("tos.rtd", , "ASK", "."&amp;Table1[[#This Row],[Ticker]]&amp;Table1[[#This Row],[Expiry]]&amp;""&amp;"P"&amp;Table1[[#This Row],[Strike]]))</f>
        <v>0</v>
      </c>
      <c r="S137" s="17"/>
      <c r="T137" t="b">
        <f>IF(
    ISNUMBER(Table1[[#This Row],[Strike]]),RTD("tos.rtd", , "OPEN_INT", "."&amp;Table1[[#This Row],[Ticker]]&amp;Table1[[#This Row],[Expiry]]&amp;""&amp;"P"&amp;Table1[[#This Row],[Strike]]))</f>
        <v>0</v>
      </c>
      <c r="U13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7" t="b">
        <f>IF(
    ISNUMBER(Table1[[#This Row],[Strike]]),RTD("tos.rtd", , "DELTA", "."&amp;Table1[[#This Row],[Ticker]]&amp;Table1[[#This Row],[Expiry]]&amp;""&amp;"P"&amp;Table1[[#This Row],[Strike]]))</f>
        <v>0</v>
      </c>
      <c r="Y137" s="19">
        <f>13.5* IF($M$1="NDX", 10, IF(OR($M$1="SPX", $M$1="RUT"), 2, 1))</f>
        <v>27</v>
      </c>
      <c r="Z137">
        <f ca="1">IFERROR(Table1[[#This Row],[call gamma]]*(Table1[[#This Row],[Open.Int]])*$A$4^2,0)</f>
        <v>0</v>
      </c>
      <c r="AA137">
        <f ca="1">IFERROR(((Table1[[#This Row],[Open.Int8]])*Table1[[#This Row],[Put gamma]])*-1*$A$4^2,0)</f>
        <v>0</v>
      </c>
      <c r="AB137">
        <f ca="1">(Table1[[#This Row],[Call Gex]]+Table1[[#This Row],[Put Gex]])</f>
        <v>0</v>
      </c>
      <c r="AC137">
        <f ca="1">Table1[[#This Row],[call delta adj]]+Table1[[#This Row],[put delta adj]]</f>
        <v>0</v>
      </c>
      <c r="AD137">
        <f ca="1">Table1[[#This Row],[Put Gex]]*Table1[[#This Row],[DeltaP]]*-1</f>
        <v>0</v>
      </c>
      <c r="AE137">
        <f ca="1">Table1[[#This Row],[Call Gex]]*Table1[[#This Row],[DeltaC]]</f>
        <v>0</v>
      </c>
      <c r="AF137">
        <f>IF(Table1[[#This Row],[DeltaC]]-ABS(Table1[[#This Row],[DeltaP]])="0","0.01",Table1[[#This Row],[DeltaC]]-ABS(Table1[[#This Row],[DeltaP]]))</f>
        <v>0</v>
      </c>
      <c r="AG137" t="e">
        <f ca="1">((LN($A$4/Table1[[#This Row],[Strike]]) + (0.411 + 0.5 * Table1[[#This Row],[IV Calc P]]^2) *Table1[[#This Row],[T]])) / (Table1[[#This Row],[IV Calc P]] * SQRT(Table1[[#This Row],[T]]))</f>
        <v>#DIV/0!</v>
      </c>
      <c r="AH137" t="e">
        <f ca="1">(LN($A$4/Table1[[#This Row],[Strike]]) + (0.411-0 + 0.5 * Table1[[#This Row],[IV Calc C]]^2) *Table1[[#This Row],[T]]) / (Table1[[#This Row],[IV Calc C]] * SQRT(Table1[[#This Row],[T]]))</f>
        <v>#DIV/0!</v>
      </c>
      <c r="AI137" t="e">
        <f ca="1">(EXP(-(AG137^2)/2)/SQRT(2*PI())*EXP(0*SQRT(Table1[[#This Row],[T]]))/$A$4*18%*SQRT(SQRT(Table1[[#This Row],[T]])))</f>
        <v>#DIV/0!</v>
      </c>
      <c r="AJ137" t="e">
        <f ca="1">(EXP(-(AH137^2)/2)/SQRT(2*PI())*EXP(0*SQRT(Table1[[#This Row],[T]]))/$A$4*18%*SQRT(SQRT(Table1[[#This Row],[T]])))</f>
        <v>#DIV/0!</v>
      </c>
      <c r="AK137" t="e">
        <f ca="1">Table1[[#This Row],[Call D1]]-Table1[[#This Row],[IV Calc C]]*SQRT(Table1[[#This Row],[T]])</f>
        <v>#DIV/0!</v>
      </c>
      <c r="AL137" t="e">
        <f ca="1">Table1[[#This Row],[Put D1]]-Table1[[#This Row],[IV Calc P]]*SQRT(Table1[[#This Row],[T]])</f>
        <v>#DIV/0!</v>
      </c>
      <c r="AM137" t="e">
        <f ca="1">EXP(-0.5*Table1[[#This Row],[Call D1]]^2)/SQRT(2*PI())</f>
        <v>#DIV/0!</v>
      </c>
      <c r="AN137" t="e">
        <f ca="1">EXP(-0.5*Table1[[#This Row],[Put D1]]^2)/SQRT(2*PI())</f>
        <v>#DIV/0!</v>
      </c>
      <c r="AO137">
        <f ca="1">IFERROR((EXP(0*Table1[[#This Row],[T]])*Table1[[#This Row],[call N(d1)]]*(Table1[[#This Row],[call d2]]/Table1[[#This Row],[IV Calc C]]))*Table1[[#This Row],[Open.Int]]*Table1[[#This Row],[DeltaC]],0)</f>
        <v>0</v>
      </c>
      <c r="AP137">
        <f ca="1">IFERROR((EXP(0*Table1[[#This Row],[T]])*Table1[[#This Row],[put N(d1)]]*(Table1[[#This Row],[put d2]]/Table1[[#This Row],[IV Calc P]]))*Table1[[#This Row],[Open.Int8]]*Table1[[#This Row],[DeltaP]]*-1,0)</f>
        <v>0</v>
      </c>
      <c r="AQ137">
        <f ca="1">((Table1[[#This Row],[call vanna]]+Table1[[#This Row],[put vanna]])*$A$4)</f>
        <v>0</v>
      </c>
      <c r="AR13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7" s="9" t="str" cm="1">
        <f t="array" ref="AT137">_xlfn.IFS(     $M$1="SPX","SPXW",     $M$1="RUT","RUTW",  $M$1="NDX","NDXP",   TRUE,$M$1 )</f>
        <v>SPXW</v>
      </c>
      <c r="AU137" s="2">
        <f t="shared" si="12"/>
        <v>6915</v>
      </c>
      <c r="AV137" t="str">
        <f t="shared" si="13"/>
        <v>260123</v>
      </c>
      <c r="AW137" s="19">
        <f ca="1">IFERROR((EXP(0*Table1[[#This Row],[T]])*Table1[[#This Row],[put N(d1)]]*(Table1[[#This Row],[put d2]]/Table1[[#This Row],[IV Calc P]]))*Table1[[#This Row],[Open.Int8]]*Table1[[#This Row],[DeltaP]]*-1,0)</f>
        <v>0</v>
      </c>
      <c r="AX137">
        <f ca="1">IFERROR((EXP(0*Table1[[#This Row],[T]])*Table1[[#This Row],[call N(d1)]]*(Table1[[#This Row],[call d2]]/Table1[[#This Row],[IV Calc C]]))*Table1[[#This Row],[Open.Int]]*Table1[[#This Row],[DeltaC]],0)</f>
        <v>0</v>
      </c>
      <c r="AY13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7">
        <f>((Table1[[#This Row],[High C]]+Table1[[#This Row],[Low C]])/2)*Table1[[#This Row],[gammac]]*Table1[[#This Row],[Volume]]</f>
        <v>0</v>
      </c>
      <c r="BD137">
        <f>((Table1[[#This Row],[High P]]+Table1[[#This Row],[Low P]])/2)*Table1[[#This Row],[gammap]]*Table1[[#This Row],[Volume9]]*-1</f>
        <v>0</v>
      </c>
      <c r="BE137">
        <f>(Table1[[#This Row],[SgammaC]]+Table1[[#This Row],[SgammaP]])*$A$4*-100</f>
        <v>0</v>
      </c>
      <c r="BF137">
        <f>Table1[[#This Row],[DEXc]]+Table1[[#This Row],[DEXp]]</f>
        <v>0</v>
      </c>
      <c r="BG137">
        <f>IFERROR(Table1[[#This Row],[DeltaC]]*Table1[[#This Row],[Open.Int]]*$A$4,0)</f>
        <v>0</v>
      </c>
      <c r="BH137">
        <f>IFERROR(Table1[[#This Row],[DeltaP]]*Table1[[#This Row],[Open.Int8]]*$A$4,0)</f>
        <v>0</v>
      </c>
      <c r="BI13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7">
        <f ca="1">Table1[[#This Row],[Charmc]]+Table1[[#This Row],[Charmp]]</f>
        <v>0</v>
      </c>
      <c r="BL13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7" s="78">
        <f ca="1">Table1[[#This Row],[call helper]]+Table1[[#This Row],[put helper]]</f>
        <v>0</v>
      </c>
      <c r="BP137" t="str">
        <f>RTD("tos.rtd", , "STRIKE", "."&amp;Table1[[#This Row],[Ticker]]&amp;Table1[[#This Row],[Expiry]]&amp;""&amp;"C"&amp;Table1[[#This Row],[Spot]]+Table1[[#This Row],[step]])</f>
        <v>N/A</v>
      </c>
    </row>
    <row r="138" spans="1:77" x14ac:dyDescent="0.25">
      <c r="A138">
        <f t="shared" ref="A138:A201" ca="1" si="14">$O$3</f>
        <v>2.5814307458086375E-3</v>
      </c>
      <c r="C138" s="17"/>
      <c r="D138" t="b">
        <f>IF(
    ISNUMBER(Table1[[#This Row],[Strike]]),RTD("tos.rtd", , "OPEN_INT", "."&amp;Table1[[#This Row],[Ticker]]&amp;Table1[[#This Row],[Expiry]]&amp;""&amp;"C"&amp;Table1[[#This Row],[Strike]]))</f>
        <v>0</v>
      </c>
      <c r="E13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8" t="b">
        <f>IF(
    ISNUMBER(Table1[[#This Row],[Strike]]),RTD("tos.rtd", , "DELTA", "."&amp;Table1[[#This Row],[Ticker]]&amp;Table1[[#This Row],[Expiry]]&amp;""&amp;"C"&amp;Table1[[#This Row],[Strike]]))</f>
        <v>0</v>
      </c>
      <c r="H138" s="17" t="b" cm="1">
        <f t="array" ref="H138">IF(
    ISNUMBER(Table1[[#This Row],[Strike]]),IndividualLegIVCore($A$4, Table1[[#This Row],[Strike]], 0.0411, Table1[[#This Row],[T]], ((Table1[[#This Row],[BIDC]]+Table1[[#This Row],[ASKC]])/2), TRUE))</f>
        <v>0</v>
      </c>
      <c r="I138" t="b">
        <f>IF(
    ISNUMBER(Table1[[#This Row],[Strike]]),RTD("tos.rtd", , "BID", "."&amp;Table1[[#This Row],[Ticker]]&amp;Table1[[#This Row],[Expiry]]&amp;""&amp;"C"&amp;Table1[[#This Row],[Strike]]))</f>
        <v>0</v>
      </c>
      <c r="J138" t="b">
        <f>IF(
    ISNUMBER(Table1[[#This Row],[Strike]]),RTD("tos.rtd", , "ASK", "."&amp;Table1[[#This Row],[Ticker]]&amp;Table1[[#This Row],[Expiry]]&amp;""&amp;"C"&amp;Table1[[#This Row],[Strike]]))</f>
        <v>0</v>
      </c>
      <c r="K13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8" s="17" cm="1">
        <f t="array" aca="1" ref="L13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8" s="1">
        <f t="shared" ref="M138:M201" si="15">$O$1</f>
        <v>46045</v>
      </c>
      <c r="N138" t="b">
        <f t="shared" ref="N138:N201" si="16">IF(ISNUMBER($BP138), $BP138, FALSE)</f>
        <v>0</v>
      </c>
      <c r="P138" s="17" t="b" cm="1">
        <f t="array" ref="P138">IF(
    ISNUMBER(Table1[[#This Row],[Strike]]),IndividualLegIVCore($A$4, Table1[[#This Row],[Strike]], 0.0411, Table1[[#This Row],[T]], ((Table1[[#This Row],[BIDP]]+Table1[[#This Row],[ASKP]])/2), FALSE))</f>
        <v>0</v>
      </c>
      <c r="Q138" t="b">
        <f>IF(
    ISNUMBER(Table1[[#This Row],[Strike]]),RTD("tos.rtd", , "BID", "."&amp;Table1[[#This Row],[Ticker]]&amp;Table1[[#This Row],[Expiry]]&amp;""&amp;"P"&amp;Table1[[#This Row],[Strike]]))</f>
        <v>0</v>
      </c>
      <c r="R138" t="b">
        <f>IF(
    ISNUMBER(Table1[[#This Row],[Strike]]),RTD("tos.rtd", , "ASK", "."&amp;Table1[[#This Row],[Ticker]]&amp;Table1[[#This Row],[Expiry]]&amp;""&amp;"P"&amp;Table1[[#This Row],[Strike]]))</f>
        <v>0</v>
      </c>
      <c r="S138" s="17"/>
      <c r="T138" t="b">
        <f>IF(
    ISNUMBER(Table1[[#This Row],[Strike]]),RTD("tos.rtd", , "OPEN_INT", "."&amp;Table1[[#This Row],[Ticker]]&amp;Table1[[#This Row],[Expiry]]&amp;""&amp;"P"&amp;Table1[[#This Row],[Strike]]))</f>
        <v>0</v>
      </c>
      <c r="U13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8" t="b">
        <f>IF(
    ISNUMBER(Table1[[#This Row],[Strike]]),RTD("tos.rtd", , "DELTA", "."&amp;Table1[[#This Row],[Ticker]]&amp;Table1[[#This Row],[Expiry]]&amp;""&amp;"P"&amp;Table1[[#This Row],[Strike]]))</f>
        <v>0</v>
      </c>
      <c r="Y138" s="19">
        <f>14* IF($M$1="NDX", 10, IF(OR($M$1="SPX", $M$1="RUT"), 2, 1))</f>
        <v>28</v>
      </c>
      <c r="Z138">
        <f ca="1">IFERROR(Table1[[#This Row],[call gamma]]*(Table1[[#This Row],[Open.Int]])*$A$4^2,0)</f>
        <v>0</v>
      </c>
      <c r="AA138">
        <f ca="1">IFERROR(((Table1[[#This Row],[Open.Int8]])*Table1[[#This Row],[Put gamma]])*-1*$A$4^2,0)</f>
        <v>0</v>
      </c>
      <c r="AB138">
        <f ca="1">(Table1[[#This Row],[Call Gex]]+Table1[[#This Row],[Put Gex]])</f>
        <v>0</v>
      </c>
      <c r="AC138">
        <f ca="1">Table1[[#This Row],[call delta adj]]+Table1[[#This Row],[put delta adj]]</f>
        <v>0</v>
      </c>
      <c r="AD138">
        <f ca="1">Table1[[#This Row],[Put Gex]]*Table1[[#This Row],[DeltaP]]*-1</f>
        <v>0</v>
      </c>
      <c r="AE138">
        <f ca="1">Table1[[#This Row],[Call Gex]]*Table1[[#This Row],[DeltaC]]</f>
        <v>0</v>
      </c>
      <c r="AF138">
        <f>IF(Table1[[#This Row],[DeltaC]]-ABS(Table1[[#This Row],[DeltaP]])="0","0.01",Table1[[#This Row],[DeltaC]]-ABS(Table1[[#This Row],[DeltaP]]))</f>
        <v>0</v>
      </c>
      <c r="AG138" t="e">
        <f ca="1">((LN($A$4/Table1[[#This Row],[Strike]]) + (0.411 + 0.5 * Table1[[#This Row],[IV Calc P]]^2) *Table1[[#This Row],[T]])) / (Table1[[#This Row],[IV Calc P]] * SQRT(Table1[[#This Row],[T]]))</f>
        <v>#DIV/0!</v>
      </c>
      <c r="AH138" t="e">
        <f ca="1">(LN($A$4/Table1[[#This Row],[Strike]]) + (0.411-0 + 0.5 * Table1[[#This Row],[IV Calc C]]^2) *Table1[[#This Row],[T]]) / (Table1[[#This Row],[IV Calc C]] * SQRT(Table1[[#This Row],[T]]))</f>
        <v>#DIV/0!</v>
      </c>
      <c r="AI138" t="e">
        <f ca="1">(EXP(-(AG138^2)/2)/SQRT(2*PI())*EXP(0*SQRT(Table1[[#This Row],[T]]))/$A$4*18%*SQRT(SQRT(Table1[[#This Row],[T]])))</f>
        <v>#DIV/0!</v>
      </c>
      <c r="AJ138" t="e">
        <f ca="1">(EXP(-(AH138^2)/2)/SQRT(2*PI())*EXP(0*SQRT(Table1[[#This Row],[T]]))/$A$4*18%*SQRT(SQRT(Table1[[#This Row],[T]])))</f>
        <v>#DIV/0!</v>
      </c>
      <c r="AK138" t="e">
        <f ca="1">Table1[[#This Row],[Call D1]]-Table1[[#This Row],[IV Calc C]]*SQRT(Table1[[#This Row],[T]])</f>
        <v>#DIV/0!</v>
      </c>
      <c r="AL138" t="e">
        <f ca="1">Table1[[#This Row],[Put D1]]-Table1[[#This Row],[IV Calc P]]*SQRT(Table1[[#This Row],[T]])</f>
        <v>#DIV/0!</v>
      </c>
      <c r="AM138" t="e">
        <f ca="1">EXP(-0.5*Table1[[#This Row],[Call D1]]^2)/SQRT(2*PI())</f>
        <v>#DIV/0!</v>
      </c>
      <c r="AN138" t="e">
        <f ca="1">EXP(-0.5*Table1[[#This Row],[Put D1]]^2)/SQRT(2*PI())</f>
        <v>#DIV/0!</v>
      </c>
      <c r="AO138">
        <f ca="1">IFERROR((EXP(0*Table1[[#This Row],[T]])*Table1[[#This Row],[call N(d1)]]*(Table1[[#This Row],[call d2]]/Table1[[#This Row],[IV Calc C]]))*Table1[[#This Row],[Open.Int]]*Table1[[#This Row],[DeltaC]],0)</f>
        <v>0</v>
      </c>
      <c r="AP138">
        <f ca="1">IFERROR((EXP(0*Table1[[#This Row],[T]])*Table1[[#This Row],[put N(d1)]]*(Table1[[#This Row],[put d2]]/Table1[[#This Row],[IV Calc P]]))*Table1[[#This Row],[Open.Int8]]*Table1[[#This Row],[DeltaP]]*-1,0)</f>
        <v>0</v>
      </c>
      <c r="AQ138">
        <f ca="1">((Table1[[#This Row],[call vanna]]+Table1[[#This Row],[put vanna]])*$A$4)</f>
        <v>0</v>
      </c>
      <c r="AR13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8" s="9" t="str" cm="1">
        <f t="array" ref="AT138">_xlfn.IFS(     $M$1="SPX","SPXW",     $M$1="RUT","RUTW",  $M$1="NDX","NDXP",   TRUE,$M$1 )</f>
        <v>SPXW</v>
      </c>
      <c r="AU138" s="2">
        <f t="shared" ref="AU138:AU201" si="17">$N$1</f>
        <v>6915</v>
      </c>
      <c r="AV138" t="str">
        <f t="shared" ref="AV138:AV201" si="18">$O$2</f>
        <v>260123</v>
      </c>
      <c r="AW138" s="19">
        <f ca="1">IFERROR((EXP(0*Table1[[#This Row],[T]])*Table1[[#This Row],[put N(d1)]]*(Table1[[#This Row],[put d2]]/Table1[[#This Row],[IV Calc P]]))*Table1[[#This Row],[Open.Int8]]*Table1[[#This Row],[DeltaP]]*-1,0)</f>
        <v>0</v>
      </c>
      <c r="AX138">
        <f ca="1">IFERROR((EXP(0*Table1[[#This Row],[T]])*Table1[[#This Row],[call N(d1)]]*(Table1[[#This Row],[call d2]]/Table1[[#This Row],[IV Calc C]]))*Table1[[#This Row],[Open.Int]]*Table1[[#This Row],[DeltaC]],0)</f>
        <v>0</v>
      </c>
      <c r="AY13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8">
        <f>((Table1[[#This Row],[High C]]+Table1[[#This Row],[Low C]])/2)*Table1[[#This Row],[gammac]]*Table1[[#This Row],[Volume]]</f>
        <v>0</v>
      </c>
      <c r="BD138">
        <f>((Table1[[#This Row],[High P]]+Table1[[#This Row],[Low P]])/2)*Table1[[#This Row],[gammap]]*Table1[[#This Row],[Volume9]]*-1</f>
        <v>0</v>
      </c>
      <c r="BE138">
        <f>(Table1[[#This Row],[SgammaC]]+Table1[[#This Row],[SgammaP]])*$A$4*-100</f>
        <v>0</v>
      </c>
      <c r="BF138">
        <f>Table1[[#This Row],[DEXc]]+Table1[[#This Row],[DEXp]]</f>
        <v>0</v>
      </c>
      <c r="BG138">
        <f>IFERROR(Table1[[#This Row],[DeltaC]]*Table1[[#This Row],[Open.Int]]*$A$4,0)</f>
        <v>0</v>
      </c>
      <c r="BH138">
        <f>IFERROR(Table1[[#This Row],[DeltaP]]*Table1[[#This Row],[Open.Int8]]*$A$4,0)</f>
        <v>0</v>
      </c>
      <c r="BI13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8">
        <f ca="1">Table1[[#This Row],[Charmc]]+Table1[[#This Row],[Charmp]]</f>
        <v>0</v>
      </c>
      <c r="BL13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8" s="78">
        <f ca="1">Table1[[#This Row],[call helper]]+Table1[[#This Row],[put helper]]</f>
        <v>0</v>
      </c>
      <c r="BP138" t="str">
        <f>RTD("tos.rtd", , "STRIKE", "."&amp;Table1[[#This Row],[Ticker]]&amp;Table1[[#This Row],[Expiry]]&amp;""&amp;"C"&amp;Table1[[#This Row],[Spot]]+Table1[[#This Row],[step]])</f>
        <v>N/A</v>
      </c>
    </row>
    <row r="139" spans="1:77" s="13" customFormat="1" x14ac:dyDescent="0.25">
      <c r="A139">
        <f t="shared" ca="1" si="14"/>
        <v>2.5814307458086375E-3</v>
      </c>
      <c r="B139"/>
      <c r="C139" s="17"/>
      <c r="D139" t="b">
        <f>IF(
    ISNUMBER(Table1[[#This Row],[Strike]]),RTD("tos.rtd", , "OPEN_INT", "."&amp;Table1[[#This Row],[Ticker]]&amp;Table1[[#This Row],[Expiry]]&amp;""&amp;"C"&amp;Table1[[#This Row],[Strike]]))</f>
        <v>0</v>
      </c>
      <c r="E13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139"/>
      <c r="G139" t="b">
        <f>IF(
    ISNUMBER(Table1[[#This Row],[Strike]]),RTD("tos.rtd", , "DELTA", "."&amp;Table1[[#This Row],[Ticker]]&amp;Table1[[#This Row],[Expiry]]&amp;""&amp;"C"&amp;Table1[[#This Row],[Strike]]))</f>
        <v>0</v>
      </c>
      <c r="H139" s="17" t="b" cm="1">
        <f t="array" ref="H139">IF(
    ISNUMBER(Table1[[#This Row],[Strike]]),IndividualLegIVCore($A$4, Table1[[#This Row],[Strike]], 0.0411, Table1[[#This Row],[T]], ((Table1[[#This Row],[BIDC]]+Table1[[#This Row],[ASKC]])/2), TRUE))</f>
        <v>0</v>
      </c>
      <c r="I139" t="b">
        <f>IF(
    ISNUMBER(Table1[[#This Row],[Strike]]),RTD("tos.rtd", , "BID", "."&amp;Table1[[#This Row],[Ticker]]&amp;Table1[[#This Row],[Expiry]]&amp;""&amp;"C"&amp;Table1[[#This Row],[Strike]]))</f>
        <v>0</v>
      </c>
      <c r="J139" t="b">
        <f>IF(
    ISNUMBER(Table1[[#This Row],[Strike]]),RTD("tos.rtd", , "ASK", "."&amp;Table1[[#This Row],[Ticker]]&amp;Table1[[#This Row],[Expiry]]&amp;""&amp;"C"&amp;Table1[[#This Row],[Strike]]))</f>
        <v>0</v>
      </c>
      <c r="K13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9" s="17" cm="1">
        <f t="array" aca="1" ref="L13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9" s="1">
        <f t="shared" si="15"/>
        <v>46045</v>
      </c>
      <c r="N139" t="b">
        <f t="shared" si="16"/>
        <v>0</v>
      </c>
      <c r="O139"/>
      <c r="P139" s="17" t="b" cm="1">
        <f t="array" ref="P139">IF(
    ISNUMBER(Table1[[#This Row],[Strike]]),IndividualLegIVCore($A$4, Table1[[#This Row],[Strike]], 0.0411, Table1[[#This Row],[T]], ((Table1[[#This Row],[BIDP]]+Table1[[#This Row],[ASKP]])/2), FALSE))</f>
        <v>0</v>
      </c>
      <c r="Q139" t="b">
        <f>IF(
    ISNUMBER(Table1[[#This Row],[Strike]]),RTD("tos.rtd", , "BID", "."&amp;Table1[[#This Row],[Ticker]]&amp;Table1[[#This Row],[Expiry]]&amp;""&amp;"P"&amp;Table1[[#This Row],[Strike]]))</f>
        <v>0</v>
      </c>
      <c r="R139" t="b">
        <f>IF(
    ISNUMBER(Table1[[#This Row],[Strike]]),RTD("tos.rtd", , "ASK", "."&amp;Table1[[#This Row],[Ticker]]&amp;Table1[[#This Row],[Expiry]]&amp;""&amp;"P"&amp;Table1[[#This Row],[Strike]]))</f>
        <v>0</v>
      </c>
      <c r="S139" s="17"/>
      <c r="T139" t="b">
        <f>IF(
    ISNUMBER(Table1[[#This Row],[Strike]]),RTD("tos.rtd", , "OPEN_INT", "."&amp;Table1[[#This Row],[Ticker]]&amp;Table1[[#This Row],[Expiry]]&amp;""&amp;"P"&amp;Table1[[#This Row],[Strike]]))</f>
        <v>0</v>
      </c>
      <c r="U13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139"/>
      <c r="W139" t="b">
        <f>IF(
    ISNUMBER(Table1[[#This Row],[Strike]]),RTD("tos.rtd", , "DELTA", "."&amp;Table1[[#This Row],[Ticker]]&amp;Table1[[#This Row],[Expiry]]&amp;""&amp;"P"&amp;Table1[[#This Row],[Strike]]))</f>
        <v>0</v>
      </c>
      <c r="X139"/>
      <c r="Y139" s="19">
        <f>14.5* IF($M$1="NDX", 10, IF(OR($M$1="SPX", $M$1="RUT"), 2, 1))</f>
        <v>29</v>
      </c>
      <c r="Z139">
        <f ca="1">IFERROR(Table1[[#This Row],[call gamma]]*(Table1[[#This Row],[Open.Int]])*$A$4^2,0)</f>
        <v>0</v>
      </c>
      <c r="AA139">
        <f ca="1">IFERROR(((Table1[[#This Row],[Open.Int8]])*Table1[[#This Row],[Put gamma]])*-1*$A$4^2,0)</f>
        <v>0</v>
      </c>
      <c r="AB139">
        <f ca="1">(Table1[[#This Row],[Call Gex]]+Table1[[#This Row],[Put Gex]])</f>
        <v>0</v>
      </c>
      <c r="AC139">
        <f ca="1">Table1[[#This Row],[call delta adj]]+Table1[[#This Row],[put delta adj]]</f>
        <v>0</v>
      </c>
      <c r="AD139">
        <f ca="1">Table1[[#This Row],[Put Gex]]*Table1[[#This Row],[DeltaP]]*-1</f>
        <v>0</v>
      </c>
      <c r="AE139">
        <f ca="1">Table1[[#This Row],[Call Gex]]*Table1[[#This Row],[DeltaC]]</f>
        <v>0</v>
      </c>
      <c r="AF139">
        <f>IF(Table1[[#This Row],[DeltaC]]-ABS(Table1[[#This Row],[DeltaP]])="0","0.01",Table1[[#This Row],[DeltaC]]-ABS(Table1[[#This Row],[DeltaP]]))</f>
        <v>0</v>
      </c>
      <c r="AG139" t="e">
        <f ca="1">((LN($A$4/Table1[[#This Row],[Strike]]) + (0.411 + 0.5 * Table1[[#This Row],[IV Calc P]]^2) *Table1[[#This Row],[T]])) / (Table1[[#This Row],[IV Calc P]] * SQRT(Table1[[#This Row],[T]]))</f>
        <v>#DIV/0!</v>
      </c>
      <c r="AH139" t="e">
        <f ca="1">(LN($A$4/Table1[[#This Row],[Strike]]) + (0.411-0 + 0.5 * Table1[[#This Row],[IV Calc C]]^2) *Table1[[#This Row],[T]]) / (Table1[[#This Row],[IV Calc C]] * SQRT(Table1[[#This Row],[T]]))</f>
        <v>#DIV/0!</v>
      </c>
      <c r="AI139" t="e">
        <f ca="1">(EXP(-(AG139^2)/2)/SQRT(2*PI())*EXP(0*SQRT(Table1[[#This Row],[T]]))/$A$4*18%*SQRT(SQRT(Table1[[#This Row],[T]])))</f>
        <v>#DIV/0!</v>
      </c>
      <c r="AJ139" t="e">
        <f ca="1">(EXP(-(AH139^2)/2)/SQRT(2*PI())*EXP(0*SQRT(Table1[[#This Row],[T]]))/$A$4*18%*SQRT(SQRT(Table1[[#This Row],[T]])))</f>
        <v>#DIV/0!</v>
      </c>
      <c r="AK139" t="e">
        <f ca="1">Table1[[#This Row],[Call D1]]-Table1[[#This Row],[IV Calc C]]*SQRT(Table1[[#This Row],[T]])</f>
        <v>#DIV/0!</v>
      </c>
      <c r="AL139" t="e">
        <f ca="1">Table1[[#This Row],[Put D1]]-Table1[[#This Row],[IV Calc P]]*SQRT(Table1[[#This Row],[T]])</f>
        <v>#DIV/0!</v>
      </c>
      <c r="AM139" t="e">
        <f ca="1">EXP(-0.5*Table1[[#This Row],[Call D1]]^2)/SQRT(2*PI())</f>
        <v>#DIV/0!</v>
      </c>
      <c r="AN139" t="e">
        <f ca="1">EXP(-0.5*Table1[[#This Row],[Put D1]]^2)/SQRT(2*PI())</f>
        <v>#DIV/0!</v>
      </c>
      <c r="AO139">
        <f ca="1">IFERROR((EXP(0*Table1[[#This Row],[T]])*Table1[[#This Row],[call N(d1)]]*(Table1[[#This Row],[call d2]]/Table1[[#This Row],[IV Calc C]]))*Table1[[#This Row],[Open.Int]]*Table1[[#This Row],[DeltaC]],0)</f>
        <v>0</v>
      </c>
      <c r="AP139">
        <f ca="1">IFERROR((EXP(0*Table1[[#This Row],[T]])*Table1[[#This Row],[put N(d1)]]*(Table1[[#This Row],[put d2]]/Table1[[#This Row],[IV Calc P]]))*Table1[[#This Row],[Open.Int8]]*Table1[[#This Row],[DeltaP]]*-1,0)</f>
        <v>0</v>
      </c>
      <c r="AQ139">
        <f ca="1">((Table1[[#This Row],[call vanna]]+Table1[[#This Row],[put vanna]])*$A$4)</f>
        <v>0</v>
      </c>
      <c r="AR13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9" s="9" t="str" cm="1">
        <f t="array" ref="AT139">_xlfn.IFS(     $M$1="SPX","SPXW",     $M$1="RUT","RUTW",  $M$1="NDX","NDXP",   TRUE,$M$1 )</f>
        <v>SPXW</v>
      </c>
      <c r="AU139" s="2">
        <f t="shared" si="17"/>
        <v>6915</v>
      </c>
      <c r="AV139" t="str">
        <f t="shared" si="18"/>
        <v>260123</v>
      </c>
      <c r="AW139" s="19">
        <f ca="1">IFERROR((EXP(0*Table1[[#This Row],[T]])*Table1[[#This Row],[put N(d1)]]*(Table1[[#This Row],[put d2]]/Table1[[#This Row],[IV Calc P]]))*Table1[[#This Row],[Open.Int8]]*Table1[[#This Row],[DeltaP]]*-1,0)</f>
        <v>0</v>
      </c>
      <c r="AX139">
        <f ca="1">IFERROR((EXP(0*Table1[[#This Row],[T]])*Table1[[#This Row],[call N(d1)]]*(Table1[[#This Row],[call d2]]/Table1[[#This Row],[IV Calc C]]))*Table1[[#This Row],[Open.Int]]*Table1[[#This Row],[DeltaC]],0)</f>
        <v>0</v>
      </c>
      <c r="AY13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9">
        <f>((Table1[[#This Row],[High C]]+Table1[[#This Row],[Low C]])/2)*Table1[[#This Row],[gammac]]*Table1[[#This Row],[Volume]]</f>
        <v>0</v>
      </c>
      <c r="BD139">
        <f>((Table1[[#This Row],[High P]]+Table1[[#This Row],[Low P]])/2)*Table1[[#This Row],[gammap]]*Table1[[#This Row],[Volume9]]*-1</f>
        <v>0</v>
      </c>
      <c r="BE139">
        <f>(Table1[[#This Row],[SgammaC]]+Table1[[#This Row],[SgammaP]])*$A$4*-100</f>
        <v>0</v>
      </c>
      <c r="BF139" s="13">
        <f>Table1[[#This Row],[DEXc]]+Table1[[#This Row],[DEXp]]</f>
        <v>0</v>
      </c>
      <c r="BG139">
        <f>IFERROR(Table1[[#This Row],[DeltaC]]*Table1[[#This Row],[Open.Int]]*$A$4,0)</f>
        <v>0</v>
      </c>
      <c r="BH139">
        <f>IFERROR(Table1[[#This Row],[DeltaP]]*Table1[[#This Row],[Open.Int8]]*$A$4,0)</f>
        <v>0</v>
      </c>
      <c r="BI13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9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9" s="13">
        <f ca="1">Table1[[#This Row],[Charmc]]+Table1[[#This Row],[Charmp]]</f>
        <v>0</v>
      </c>
      <c r="BL13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9" s="90">
        <f ca="1">Table1[[#This Row],[call helper]]+Table1[[#This Row],[put helper]]</f>
        <v>0</v>
      </c>
      <c r="BO139" s="81"/>
      <c r="BP139" t="str">
        <f>RTD("tos.rtd", , "STRIKE", "."&amp;Table1[[#This Row],[Ticker]]&amp;Table1[[#This Row],[Expiry]]&amp;""&amp;"C"&amp;Table1[[#This Row],[Spot]]+Table1[[#This Row],[step]])</f>
        <v>N/A</v>
      </c>
      <c r="BQ139"/>
      <c r="BY139" s="81"/>
    </row>
    <row r="140" spans="1:77" x14ac:dyDescent="0.25">
      <c r="A140">
        <f t="shared" ca="1" si="14"/>
        <v>2.5814307458086375E-3</v>
      </c>
      <c r="C140" s="17"/>
      <c r="D140">
        <f>IF(
    ISNUMBER(Table1[[#This Row],[Strike]]),RTD("tos.rtd", , "OPEN_INT", "."&amp;Table1[[#This Row],[Ticker]]&amp;Table1[[#This Row],[Expiry]]&amp;""&amp;"C"&amp;Table1[[#This Row],[Strike]]))</f>
        <v>2172</v>
      </c>
      <c r="E14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5271</v>
      </c>
      <c r="G140">
        <f>IF(
    ISNUMBER(Table1[[#This Row],[Strike]]),RTD("tos.rtd", , "DELTA", "."&amp;Table1[[#This Row],[Ticker]]&amp;Table1[[#This Row],[Expiry]]&amp;""&amp;"C"&amp;Table1[[#This Row],[Strike]]))</f>
        <v>0.2</v>
      </c>
      <c r="H140" s="17" cm="1">
        <f t="array" aca="1" ref="H140" ca="1">IF(
    ISNUMBER(Table1[[#This Row],[Strike]]),IndividualLegIVCore($A$4, Table1[[#This Row],[Strike]], 0.0411, Table1[[#This Row],[T]], ((Table1[[#This Row],[BIDC]]+Table1[[#This Row],[ASKC]])/2), TRUE))</f>
        <v>0.10228850605065661</v>
      </c>
      <c r="I140">
        <f>IF(
    ISNUMBER(Table1[[#This Row],[Strike]]),RTD("tos.rtd", , "BID", "."&amp;Table1[[#This Row],[Ticker]]&amp;Table1[[#This Row],[Expiry]]&amp;""&amp;"C"&amp;Table1[[#This Row],[Strike]]))</f>
        <v>3.7</v>
      </c>
      <c r="J140">
        <f>IF(
    ISNUMBER(Table1[[#This Row],[Strike]]),RTD("tos.rtd", , "ASK", "."&amp;Table1[[#This Row],[Ticker]]&amp;Table1[[#This Row],[Expiry]]&amp;""&amp;"C"&amp;Table1[[#This Row],[Strike]]))</f>
        <v>4.0999999999999996</v>
      </c>
      <c r="K14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0.10228850605065661</v>
      </c>
      <c r="L140" s="17" cm="1">
        <f t="array" aca="1" ref="L140" ca="1">CubicSplineIVSmile($A$4, Table1[[#This Row],[Strike]], 0.0411, Table1[[#This Row],[T]], (Table1[[#This Row],[BIDC]]+Table1[[#This Row],[ASKC]])/2, (Table1[[#This Row],[BIDP]]+Table1[[#This Row],[ASKP]])/2, Table1[Strike], Table1[IV Calc AVG])</f>
        <v>0.13540670995667589</v>
      </c>
      <c r="M140" s="1">
        <f t="shared" si="15"/>
        <v>46045</v>
      </c>
      <c r="N140">
        <f t="shared" si="16"/>
        <v>6945</v>
      </c>
      <c r="P140" s="17" cm="1">
        <f t="array" aca="1" ref="P140" ca="1">IF(
    ISNUMBER(Table1[[#This Row],[Strike]]),IndividualLegIVCore($A$4, Table1[[#This Row],[Strike]], 0.0411, Table1[[#This Row],[T]], ((Table1[[#This Row],[BIDP]]+Table1[[#This Row],[ASKP]])/2), FALSE))</f>
        <v>0.14589759556694837</v>
      </c>
      <c r="Q140">
        <f>IF(
    ISNUMBER(Table1[[#This Row],[Strike]]),RTD("tos.rtd", , "BID", "."&amp;Table1[[#This Row],[Ticker]]&amp;Table1[[#This Row],[Expiry]]&amp;""&amp;"P"&amp;Table1[[#This Row],[Strike]]))</f>
        <v>39</v>
      </c>
      <c r="R140">
        <f>IF(
    ISNUMBER(Table1[[#This Row],[Strike]]),RTD("tos.rtd", , "ASK", "."&amp;Table1[[#This Row],[Ticker]]&amp;Table1[[#This Row],[Expiry]]&amp;""&amp;"P"&amp;Table1[[#This Row],[Strike]]))</f>
        <v>40.1</v>
      </c>
      <c r="S140" s="17"/>
      <c r="T140">
        <f>IF(
    ISNUMBER(Table1[[#This Row],[Strike]]),RTD("tos.rtd", , "OPEN_INT", "."&amp;Table1[[#This Row],[Ticker]]&amp;Table1[[#This Row],[Expiry]]&amp;""&amp;"P"&amp;Table1[[#This Row],[Strike]]))</f>
        <v>603</v>
      </c>
      <c r="U14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774</v>
      </c>
      <c r="W140">
        <f>IF(
    ISNUMBER(Table1[[#This Row],[Strike]]),RTD("tos.rtd", , "DELTA", "."&amp;Table1[[#This Row],[Ticker]]&amp;Table1[[#This Row],[Expiry]]&amp;""&amp;"P"&amp;Table1[[#This Row],[Strike]]))</f>
        <v>-0.73</v>
      </c>
      <c r="Y140" s="19">
        <f>15* IF($M$1="NDX", 10, IF(OR($M$1="SPX", $M$1="RUT"), 2, 1))</f>
        <v>30</v>
      </c>
      <c r="Z140">
        <f ca="1">IFERROR(Table1[[#This Row],[call gamma]]*(Table1[[#This Row],[Open.Int]])*$A$4^2,0)</f>
        <v>193906.86276422543</v>
      </c>
      <c r="AA140">
        <f ca="1">IFERROR(((Table1[[#This Row],[Open.Int8]])*Table1[[#This Row],[Put gamma]])*-1*$A$4^2,0)</f>
        <v>-60438.981364232888</v>
      </c>
      <c r="AB140">
        <f ca="1">(Table1[[#This Row],[Call Gex]]+Table1[[#This Row],[Put Gex]])</f>
        <v>133467.88139999253</v>
      </c>
      <c r="AC140">
        <f ca="1">Table1[[#This Row],[call delta adj]]+Table1[[#This Row],[put delta adj]]</f>
        <v>-5339.0838430449221</v>
      </c>
      <c r="AD140">
        <f ca="1">Table1[[#This Row],[Put Gex]]*Table1[[#This Row],[DeltaP]]*-1</f>
        <v>-44120.456395890011</v>
      </c>
      <c r="AE140">
        <f ca="1">Table1[[#This Row],[Call Gex]]*Table1[[#This Row],[DeltaC]]</f>
        <v>38781.372552845089</v>
      </c>
      <c r="AF140">
        <f>IF(Table1[[#This Row],[DeltaC]]-ABS(Table1[[#This Row],[DeltaP]])="0","0.01",Table1[[#This Row],[DeltaC]]-ABS(Table1[[#This Row],[DeltaP]]))</f>
        <v>-0.53</v>
      </c>
      <c r="AG140">
        <f ca="1">((LN($A$4/Table1[[#This Row],[Strike]]) + (0.411 + 0.5 * Table1[[#This Row],[IV Calc P]]^2) *Table1[[#This Row],[T]])) / (Table1[[#This Row],[IV Calc P]] * SQRT(Table1[[#This Row],[T]]))</f>
        <v>-0.4693557424571701</v>
      </c>
      <c r="AH140">
        <f ca="1">(LN($A$4/Table1[[#This Row],[Strike]]) + (0.411-0 + 0.5 * Table1[[#This Row],[IV Calc C]]^2) *Table1[[#This Row],[T]]) / (Table1[[#This Row],[IV Calc C]] * SQRT(Table1[[#This Row],[T]]))</f>
        <v>-0.67214614403286133</v>
      </c>
      <c r="AI140">
        <f ca="1">(EXP(-(AG140^2)/2)/SQRT(2*PI())*EXP(0*SQRT(Table1[[#This Row],[T]]))/$A$4*18%*SQRT(SQRT(Table1[[#This Row],[T]])))</f>
        <v>2.097117359932373E-6</v>
      </c>
      <c r="AJ140">
        <f ca="1">(EXP(-(AH140^2)/2)/SQRT(2*PI())*EXP(0*SQRT(Table1[[#This Row],[T]]))/$A$4*18%*SQRT(SQRT(Table1[[#This Row],[T]])))</f>
        <v>1.8679113901588142E-6</v>
      </c>
      <c r="AK140">
        <f ca="1">Table1[[#This Row],[Call D1]]-Table1[[#This Row],[IV Calc C]]*SQRT(Table1[[#This Row],[T]])</f>
        <v>-0.67734319618366334</v>
      </c>
      <c r="AL140">
        <f ca="1">Table1[[#This Row],[Put D1]]-Table1[[#This Row],[IV Calc P]]*SQRT(Table1[[#This Row],[T]])</f>
        <v>-0.47676847573594683</v>
      </c>
      <c r="AM140">
        <f ca="1">EXP(-0.5*Table1[[#This Row],[Call D1]]^2)/SQRT(2*PI())</f>
        <v>0.3182784174518028</v>
      </c>
      <c r="AN140">
        <f ca="1">EXP(-0.5*Table1[[#This Row],[Put D1]]^2)/SQRT(2*PI())</f>
        <v>0.35733343564719561</v>
      </c>
      <c r="AO140">
        <f ca="1">IFERROR((EXP(0*Table1[[#This Row],[T]])*Table1[[#This Row],[call N(d1)]]*(Table1[[#This Row],[call d2]]/Table1[[#This Row],[IV Calc C]]))*Table1[[#This Row],[Open.Int]]*Table1[[#This Row],[DeltaC]],0)</f>
        <v>-915.54341561974388</v>
      </c>
      <c r="AP140">
        <f ca="1">IFERROR((EXP(0*Table1[[#This Row],[T]])*Table1[[#This Row],[put N(d1)]]*(Table1[[#This Row],[put d2]]/Table1[[#This Row],[IV Calc P]]))*Table1[[#This Row],[Open.Int8]]*Table1[[#This Row],[DeltaP]]*-1,0)</f>
        <v>-514.01196019589645</v>
      </c>
      <c r="AQ140">
        <f ca="1">((Table1[[#This Row],[call vanna]]+Table1[[#This Row],[put vanna]])*$A$4)</f>
        <v>-9883016.6573950574</v>
      </c>
      <c r="AR14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193906.86276422543</v>
      </c>
      <c r="AS14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-60438.981364232888</v>
      </c>
      <c r="AT140" s="9" t="str" cm="1">
        <f t="array" ref="AT140">_xlfn.IFS(     $M$1="SPX","SPXW",     $M$1="RUT","RUTW",  $M$1="NDX","NDXP",   TRUE,$M$1 )</f>
        <v>SPXW</v>
      </c>
      <c r="AU140" s="2">
        <f t="shared" si="17"/>
        <v>6915</v>
      </c>
      <c r="AV140" t="str">
        <f t="shared" si="18"/>
        <v>260123</v>
      </c>
      <c r="AW140" s="19">
        <f ca="1">IFERROR((EXP(0*Table1[[#This Row],[T]])*Table1[[#This Row],[put N(d1)]]*(Table1[[#This Row],[put d2]]/Table1[[#This Row],[IV Calc P]]))*Table1[[#This Row],[Open.Int8]]*Table1[[#This Row],[DeltaP]]*-1,0)</f>
        <v>-514.01196019589645</v>
      </c>
      <c r="AX140">
        <f ca="1">IFERROR((EXP(0*Table1[[#This Row],[T]])*Table1[[#This Row],[call N(d1)]]*(Table1[[#This Row],[call d2]]/Table1[[#This Row],[IV Calc C]]))*Table1[[#This Row],[Open.Int]]*Table1[[#This Row],[DeltaC]],0)</f>
        <v>-915.54341561974388</v>
      </c>
      <c r="AY140">
        <f>IF(
    ISNUMBER(Table1[[#This Row],[Strike]]),RTD("tos.rtd", , "high", "."&amp;Table1[[#This Row],[Ticker]]&amp;Table1[[#This Row],[Expiry]]&amp;""&amp;"C"&amp;Table1[[#This Row],[Spot]]+Table1[[#This Row],[step]]))</f>
        <v>15.1</v>
      </c>
      <c r="AZ140">
        <f>IF(
    ISNUMBER(Table1[[#This Row],[Strike]]),RTD("tos.rtd", , "low", "."&amp;Table1[[#This Row],[Ticker]]&amp;Table1[[#This Row],[Expiry]]&amp;""&amp;"C"&amp;Table1[[#This Row],[Spot]]+Table1[[#This Row],[step]]))</f>
        <v>2.95</v>
      </c>
      <c r="BA140">
        <f>IF(
    ISNUMBER(Table1[[#This Row],[Strike]]),RTD("tos.rtd", , "high", "."&amp;Table1[[#This Row],[Ticker]]&amp;Table1[[#This Row],[Expiry]]&amp;""&amp;"P"&amp;Table1[[#This Row],[Spot]]+Table1[[#This Row],[step]]))</f>
        <v>53.19</v>
      </c>
      <c r="BB140">
        <f>IF(
    ISNUMBER(Table1[[#This Row],[Strike]]),RTD("tos.rtd", , "low", "."&amp;Table1[[#This Row],[Ticker]]&amp;Table1[[#This Row],[Expiry]]&amp;""&amp;"P"&amp;Table1[[#This Row],[Spot]]+Table1[[#This Row],[step]]))</f>
        <v>21.5</v>
      </c>
      <c r="BC140">
        <f>((Table1[[#This Row],[High C]]+Table1[[#This Row],[Low C]])/2)*Table1[[#This Row],[gammac]]*Table1[[#This Row],[Volume]]</f>
        <v>475.70775000000003</v>
      </c>
      <c r="BD140">
        <f>((Table1[[#This Row],[High P]]+Table1[[#This Row],[Low P]])/2)*Table1[[#This Row],[gammap]]*Table1[[#This Row],[Volume9]]*-1</f>
        <v>-289.05029999999999</v>
      </c>
      <c r="BE140">
        <f>(Table1[[#This Row],[SgammaC]]+Table1[[#This Row],[SgammaP]])*$A$4*-100</f>
        <v>-129042828.19575004</v>
      </c>
      <c r="BF140">
        <f>Table1[[#This Row],[DEXc]]+Table1[[#This Row],[DEXp]]</f>
        <v>-40028.296499999706</v>
      </c>
      <c r="BG140">
        <f>IFERROR(Table1[[#This Row],[DeltaC]]*Table1[[#This Row],[Open.Int]]*$A$4,0)</f>
        <v>3003159.24</v>
      </c>
      <c r="BH140">
        <f>IFERROR(Table1[[#This Row],[DeltaP]]*Table1[[#This Row],[Open.Int8]]*$A$4,0)</f>
        <v>-3043187.5364999999</v>
      </c>
      <c r="BI14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-6959700.3164374204</v>
      </c>
      <c r="BJ14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-2506196.1732265786</v>
      </c>
      <c r="BK140">
        <f ca="1">Table1[[#This Row],[Charmc]]+Table1[[#This Row],[Charmp]]</f>
        <v>-9465896.4896639995</v>
      </c>
      <c r="BL14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4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40" s="78">
        <f ca="1">Table1[[#This Row],[call helper]]+Table1[[#This Row],[put helper]]</f>
        <v>133467.88139999253</v>
      </c>
      <c r="BP140">
        <f>RTD("tos.rtd", , "STRIKE", "."&amp;Table1[[#This Row],[Ticker]]&amp;Table1[[#This Row],[Expiry]]&amp;""&amp;"C"&amp;Table1[[#This Row],[Spot]]+Table1[[#This Row],[step]])</f>
        <v>6945</v>
      </c>
    </row>
    <row r="141" spans="1:77" x14ac:dyDescent="0.25">
      <c r="A141">
        <f t="shared" ca="1" si="14"/>
        <v>2.5814307458086375E-3</v>
      </c>
      <c r="C141" s="17"/>
      <c r="D141" t="b">
        <f>IF(
    ISNUMBER(Table1[[#This Row],[Strike]]),RTD("tos.rtd", , "OPEN_INT", "."&amp;Table1[[#This Row],[Ticker]]&amp;Table1[[#This Row],[Expiry]]&amp;""&amp;"C"&amp;Table1[[#This Row],[Strike]]))</f>
        <v>0</v>
      </c>
      <c r="E14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1" t="b">
        <f>IF(
    ISNUMBER(Table1[[#This Row],[Strike]]),RTD("tos.rtd", , "DELTA", "."&amp;Table1[[#This Row],[Ticker]]&amp;Table1[[#This Row],[Expiry]]&amp;""&amp;"C"&amp;Table1[[#This Row],[Strike]]))</f>
        <v>0</v>
      </c>
      <c r="H141" s="17" t="b" cm="1">
        <f t="array" ref="H141">IF(
    ISNUMBER(Table1[[#This Row],[Strike]]),IndividualLegIVCore($A$4, Table1[[#This Row],[Strike]], 0.0411, Table1[[#This Row],[T]], ((Table1[[#This Row],[BIDC]]+Table1[[#This Row],[ASKC]])/2), TRUE))</f>
        <v>0</v>
      </c>
      <c r="I141" t="b">
        <f>IF(
    ISNUMBER(Table1[[#This Row],[Strike]]),RTD("tos.rtd", , "BID", "."&amp;Table1[[#This Row],[Ticker]]&amp;Table1[[#This Row],[Expiry]]&amp;""&amp;"C"&amp;Table1[[#This Row],[Strike]]))</f>
        <v>0</v>
      </c>
      <c r="J141" t="b">
        <f>IF(
    ISNUMBER(Table1[[#This Row],[Strike]]),RTD("tos.rtd", , "ASK", "."&amp;Table1[[#This Row],[Ticker]]&amp;Table1[[#This Row],[Expiry]]&amp;""&amp;"C"&amp;Table1[[#This Row],[Strike]]))</f>
        <v>0</v>
      </c>
      <c r="K14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1" s="17" cm="1">
        <f t="array" aca="1" ref="L14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1" s="1">
        <f t="shared" si="15"/>
        <v>46045</v>
      </c>
      <c r="N141" t="b">
        <f t="shared" si="16"/>
        <v>0</v>
      </c>
      <c r="P141" s="17" t="b" cm="1">
        <f t="array" ref="P141">IF(
    ISNUMBER(Table1[[#This Row],[Strike]]),IndividualLegIVCore($A$4, Table1[[#This Row],[Strike]], 0.0411, Table1[[#This Row],[T]], ((Table1[[#This Row],[BIDP]]+Table1[[#This Row],[ASKP]])/2), FALSE))</f>
        <v>0</v>
      </c>
      <c r="Q141" t="b">
        <f>IF(
    ISNUMBER(Table1[[#This Row],[Strike]]),RTD("tos.rtd", , "BID", "."&amp;Table1[[#This Row],[Ticker]]&amp;Table1[[#This Row],[Expiry]]&amp;""&amp;"P"&amp;Table1[[#This Row],[Strike]]))</f>
        <v>0</v>
      </c>
      <c r="R141" t="b">
        <f>IF(
    ISNUMBER(Table1[[#This Row],[Strike]]),RTD("tos.rtd", , "ASK", "."&amp;Table1[[#This Row],[Ticker]]&amp;Table1[[#This Row],[Expiry]]&amp;""&amp;"P"&amp;Table1[[#This Row],[Strike]]))</f>
        <v>0</v>
      </c>
      <c r="S141" s="17"/>
      <c r="T141" t="b">
        <f>IF(
    ISNUMBER(Table1[[#This Row],[Strike]]),RTD("tos.rtd", , "OPEN_INT", "."&amp;Table1[[#This Row],[Ticker]]&amp;Table1[[#This Row],[Expiry]]&amp;""&amp;"P"&amp;Table1[[#This Row],[Strike]]))</f>
        <v>0</v>
      </c>
      <c r="U14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1" t="b">
        <f>IF(
    ISNUMBER(Table1[[#This Row],[Strike]]),RTD("tos.rtd", , "DELTA", "."&amp;Table1[[#This Row],[Ticker]]&amp;Table1[[#This Row],[Expiry]]&amp;""&amp;"P"&amp;Table1[[#This Row],[Strike]]))</f>
        <v>0</v>
      </c>
      <c r="Y141" s="19">
        <f>15.5* IF($M$1="NDX", 10, IF(OR($M$1="SPX", $M$1="RUT"), 2, 1))</f>
        <v>31</v>
      </c>
      <c r="Z141">
        <f ca="1">IFERROR(Table1[[#This Row],[call gamma]]*(Table1[[#This Row],[Open.Int]])*$A$4^2,0)</f>
        <v>0</v>
      </c>
      <c r="AA141">
        <f ca="1">IFERROR(((Table1[[#This Row],[Open.Int8]])*Table1[[#This Row],[Put gamma]])*-1*$A$4^2,0)</f>
        <v>0</v>
      </c>
      <c r="AB141">
        <f ca="1">(Table1[[#This Row],[Call Gex]]+Table1[[#This Row],[Put Gex]])</f>
        <v>0</v>
      </c>
      <c r="AC141">
        <f ca="1">Table1[[#This Row],[call delta adj]]+Table1[[#This Row],[put delta adj]]</f>
        <v>0</v>
      </c>
      <c r="AD141">
        <f ca="1">Table1[[#This Row],[Put Gex]]*Table1[[#This Row],[DeltaP]]*-1</f>
        <v>0</v>
      </c>
      <c r="AE141">
        <f ca="1">Table1[[#This Row],[Call Gex]]*Table1[[#This Row],[DeltaC]]</f>
        <v>0</v>
      </c>
      <c r="AF141">
        <f>IF(Table1[[#This Row],[DeltaC]]-ABS(Table1[[#This Row],[DeltaP]])="0","0.01",Table1[[#This Row],[DeltaC]]-ABS(Table1[[#This Row],[DeltaP]]))</f>
        <v>0</v>
      </c>
      <c r="AG141" t="e">
        <f ca="1">((LN($A$4/Table1[[#This Row],[Strike]]) + (0.411 + 0.5 * Table1[[#This Row],[IV Calc P]]^2) *Table1[[#This Row],[T]])) / (Table1[[#This Row],[IV Calc P]] * SQRT(Table1[[#This Row],[T]]))</f>
        <v>#DIV/0!</v>
      </c>
      <c r="AH141" t="e">
        <f ca="1">(LN($A$4/Table1[[#This Row],[Strike]]) + (0.411-0 + 0.5 * Table1[[#This Row],[IV Calc C]]^2) *Table1[[#This Row],[T]]) / (Table1[[#This Row],[IV Calc C]] * SQRT(Table1[[#This Row],[T]]))</f>
        <v>#DIV/0!</v>
      </c>
      <c r="AI141" t="e">
        <f ca="1">(EXP(-(AG141^2)/2)/SQRT(2*PI())*EXP(0*SQRT(Table1[[#This Row],[T]]))/$A$4*18%*SQRT(SQRT(Table1[[#This Row],[T]])))</f>
        <v>#DIV/0!</v>
      </c>
      <c r="AJ141" t="e">
        <f ca="1">(EXP(-(AH141^2)/2)/SQRT(2*PI())*EXP(0*SQRT(Table1[[#This Row],[T]]))/$A$4*18%*SQRT(SQRT(Table1[[#This Row],[T]])))</f>
        <v>#DIV/0!</v>
      </c>
      <c r="AK141" t="e">
        <f ca="1">Table1[[#This Row],[Call D1]]-Table1[[#This Row],[IV Calc C]]*SQRT(Table1[[#This Row],[T]])</f>
        <v>#DIV/0!</v>
      </c>
      <c r="AL141" t="e">
        <f ca="1">Table1[[#This Row],[Put D1]]-Table1[[#This Row],[IV Calc P]]*SQRT(Table1[[#This Row],[T]])</f>
        <v>#DIV/0!</v>
      </c>
      <c r="AM141" t="e">
        <f ca="1">EXP(-0.5*Table1[[#This Row],[Call D1]]^2)/SQRT(2*PI())</f>
        <v>#DIV/0!</v>
      </c>
      <c r="AN141" t="e">
        <f ca="1">EXP(-0.5*Table1[[#This Row],[Put D1]]^2)/SQRT(2*PI())</f>
        <v>#DIV/0!</v>
      </c>
      <c r="AO141">
        <f ca="1">IFERROR((EXP(0*Table1[[#This Row],[T]])*Table1[[#This Row],[call N(d1)]]*(Table1[[#This Row],[call d2]]/Table1[[#This Row],[IV Calc C]]))*Table1[[#This Row],[Open.Int]]*Table1[[#This Row],[DeltaC]],0)</f>
        <v>0</v>
      </c>
      <c r="AP141">
        <f ca="1">IFERROR((EXP(0*Table1[[#This Row],[T]])*Table1[[#This Row],[put N(d1)]]*(Table1[[#This Row],[put d2]]/Table1[[#This Row],[IV Calc P]]))*Table1[[#This Row],[Open.Int8]]*Table1[[#This Row],[DeltaP]]*-1,0)</f>
        <v>0</v>
      </c>
      <c r="AQ141">
        <f ca="1">((Table1[[#This Row],[call vanna]]+Table1[[#This Row],[put vanna]])*$A$4)</f>
        <v>0</v>
      </c>
      <c r="AR14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1" s="9" t="str" cm="1">
        <f t="array" ref="AT141">_xlfn.IFS(     $M$1="SPX","SPXW",     $M$1="RUT","RUTW",  $M$1="NDX","NDXP",   TRUE,$M$1 )</f>
        <v>SPXW</v>
      </c>
      <c r="AU141" s="2">
        <f t="shared" si="17"/>
        <v>6915</v>
      </c>
      <c r="AV141" t="str">
        <f t="shared" si="18"/>
        <v>260123</v>
      </c>
      <c r="AW141" s="19">
        <f ca="1">IFERROR((EXP(0*Table1[[#This Row],[T]])*Table1[[#This Row],[put N(d1)]]*(Table1[[#This Row],[put d2]]/Table1[[#This Row],[IV Calc P]]))*Table1[[#This Row],[Open.Int8]]*Table1[[#This Row],[DeltaP]]*-1,0)</f>
        <v>0</v>
      </c>
      <c r="AX141">
        <f ca="1">IFERROR((EXP(0*Table1[[#This Row],[T]])*Table1[[#This Row],[call N(d1)]]*(Table1[[#This Row],[call d2]]/Table1[[#This Row],[IV Calc C]]))*Table1[[#This Row],[Open.Int]]*Table1[[#This Row],[DeltaC]],0)</f>
        <v>0</v>
      </c>
      <c r="AY14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1">
        <f>((Table1[[#This Row],[High C]]+Table1[[#This Row],[Low C]])/2)*Table1[[#This Row],[gammac]]*Table1[[#This Row],[Volume]]</f>
        <v>0</v>
      </c>
      <c r="BD141">
        <f>((Table1[[#This Row],[High P]]+Table1[[#This Row],[Low P]])/2)*Table1[[#This Row],[gammap]]*Table1[[#This Row],[Volume9]]*-1</f>
        <v>0</v>
      </c>
      <c r="BE141">
        <f>(Table1[[#This Row],[SgammaC]]+Table1[[#This Row],[SgammaP]])*$A$4*-100</f>
        <v>0</v>
      </c>
      <c r="BF141">
        <f>Table1[[#This Row],[DEXc]]+Table1[[#This Row],[DEXp]]</f>
        <v>0</v>
      </c>
      <c r="BG141">
        <f>IFERROR(Table1[[#This Row],[DeltaC]]*Table1[[#This Row],[Open.Int]]*$A$4,0)</f>
        <v>0</v>
      </c>
      <c r="BH141">
        <f>IFERROR(Table1[[#This Row],[DeltaP]]*Table1[[#This Row],[Open.Int8]]*$A$4,0)</f>
        <v>0</v>
      </c>
      <c r="BI14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1">
        <f ca="1">Table1[[#This Row],[Charmc]]+Table1[[#This Row],[Charmp]]</f>
        <v>0</v>
      </c>
      <c r="BL14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1" s="78">
        <f ca="1">Table1[[#This Row],[call helper]]+Table1[[#This Row],[put helper]]</f>
        <v>0</v>
      </c>
      <c r="BP141" t="str">
        <f>RTD("tos.rtd", , "STRIKE", "."&amp;Table1[[#This Row],[Ticker]]&amp;Table1[[#This Row],[Expiry]]&amp;""&amp;"C"&amp;Table1[[#This Row],[Spot]]+Table1[[#This Row],[step]])</f>
        <v>N/A</v>
      </c>
    </row>
    <row r="142" spans="1:77" x14ac:dyDescent="0.25">
      <c r="A142">
        <f t="shared" ca="1" si="14"/>
        <v>2.5814307458086375E-3</v>
      </c>
      <c r="C142" s="17"/>
      <c r="D142" t="b">
        <f>IF(
    ISNUMBER(Table1[[#This Row],[Strike]]),RTD("tos.rtd", , "OPEN_INT", "."&amp;Table1[[#This Row],[Ticker]]&amp;Table1[[#This Row],[Expiry]]&amp;""&amp;"C"&amp;Table1[[#This Row],[Strike]]))</f>
        <v>0</v>
      </c>
      <c r="E14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2" t="b">
        <f>IF(
    ISNUMBER(Table1[[#This Row],[Strike]]),RTD("tos.rtd", , "DELTA", "."&amp;Table1[[#This Row],[Ticker]]&amp;Table1[[#This Row],[Expiry]]&amp;""&amp;"C"&amp;Table1[[#This Row],[Strike]]))</f>
        <v>0</v>
      </c>
      <c r="H142" s="17" t="b" cm="1">
        <f t="array" ref="H142">IF(
    ISNUMBER(Table1[[#This Row],[Strike]]),IndividualLegIVCore($A$4, Table1[[#This Row],[Strike]], 0.0411, Table1[[#This Row],[T]], ((Table1[[#This Row],[BIDC]]+Table1[[#This Row],[ASKC]])/2), TRUE))</f>
        <v>0</v>
      </c>
      <c r="I142" t="b">
        <f>IF(
    ISNUMBER(Table1[[#This Row],[Strike]]),RTD("tos.rtd", , "BID", "."&amp;Table1[[#This Row],[Ticker]]&amp;Table1[[#This Row],[Expiry]]&amp;""&amp;"C"&amp;Table1[[#This Row],[Strike]]))</f>
        <v>0</v>
      </c>
      <c r="J142" t="b">
        <f>IF(
    ISNUMBER(Table1[[#This Row],[Strike]]),RTD("tos.rtd", , "ASK", "."&amp;Table1[[#This Row],[Ticker]]&amp;Table1[[#This Row],[Expiry]]&amp;""&amp;"C"&amp;Table1[[#This Row],[Strike]]))</f>
        <v>0</v>
      </c>
      <c r="K14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2" s="17" cm="1">
        <f t="array" aca="1" ref="L14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2" s="1">
        <f t="shared" si="15"/>
        <v>46045</v>
      </c>
      <c r="N142" t="b">
        <f t="shared" si="16"/>
        <v>0</v>
      </c>
      <c r="P142" s="17" t="b" cm="1">
        <f t="array" ref="P142">IF(
    ISNUMBER(Table1[[#This Row],[Strike]]),IndividualLegIVCore($A$4, Table1[[#This Row],[Strike]], 0.0411, Table1[[#This Row],[T]], ((Table1[[#This Row],[BIDP]]+Table1[[#This Row],[ASKP]])/2), FALSE))</f>
        <v>0</v>
      </c>
      <c r="Q142" t="b">
        <f>IF(
    ISNUMBER(Table1[[#This Row],[Strike]]),RTD("tos.rtd", , "BID", "."&amp;Table1[[#This Row],[Ticker]]&amp;Table1[[#This Row],[Expiry]]&amp;""&amp;"P"&amp;Table1[[#This Row],[Strike]]))</f>
        <v>0</v>
      </c>
      <c r="R142" t="b">
        <f>IF(
    ISNUMBER(Table1[[#This Row],[Strike]]),RTD("tos.rtd", , "ASK", "."&amp;Table1[[#This Row],[Ticker]]&amp;Table1[[#This Row],[Expiry]]&amp;""&amp;"P"&amp;Table1[[#This Row],[Strike]]))</f>
        <v>0</v>
      </c>
      <c r="S142" s="17"/>
      <c r="T142" t="b">
        <f>IF(
    ISNUMBER(Table1[[#This Row],[Strike]]),RTD("tos.rtd", , "OPEN_INT", "."&amp;Table1[[#This Row],[Ticker]]&amp;Table1[[#This Row],[Expiry]]&amp;""&amp;"P"&amp;Table1[[#This Row],[Strike]]))</f>
        <v>0</v>
      </c>
      <c r="U14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2" t="b">
        <f>IF(
    ISNUMBER(Table1[[#This Row],[Strike]]),RTD("tos.rtd", , "DELTA", "."&amp;Table1[[#This Row],[Ticker]]&amp;Table1[[#This Row],[Expiry]]&amp;""&amp;"P"&amp;Table1[[#This Row],[Strike]]))</f>
        <v>0</v>
      </c>
      <c r="Y142" s="19">
        <f>16* IF($M$1="NDX", 10, IF(OR($M$1="SPX", $M$1="RUT"), 2, 1))</f>
        <v>32</v>
      </c>
      <c r="Z142">
        <f ca="1">IFERROR(Table1[[#This Row],[call gamma]]*(Table1[[#This Row],[Open.Int]])*$A$4^2,0)</f>
        <v>0</v>
      </c>
      <c r="AA142">
        <f ca="1">IFERROR(((Table1[[#This Row],[Open.Int8]])*Table1[[#This Row],[Put gamma]])*-1*$A$4^2,0)</f>
        <v>0</v>
      </c>
      <c r="AB142">
        <f ca="1">(Table1[[#This Row],[Call Gex]]+Table1[[#This Row],[Put Gex]])</f>
        <v>0</v>
      </c>
      <c r="AC142">
        <f ca="1">Table1[[#This Row],[call delta adj]]+Table1[[#This Row],[put delta adj]]</f>
        <v>0</v>
      </c>
      <c r="AD142">
        <f ca="1">Table1[[#This Row],[Put Gex]]*Table1[[#This Row],[DeltaP]]*-1</f>
        <v>0</v>
      </c>
      <c r="AE142">
        <f ca="1">Table1[[#This Row],[Call Gex]]*Table1[[#This Row],[DeltaC]]</f>
        <v>0</v>
      </c>
      <c r="AF142">
        <f>IF(Table1[[#This Row],[DeltaC]]-ABS(Table1[[#This Row],[DeltaP]])="0","0.01",Table1[[#This Row],[DeltaC]]-ABS(Table1[[#This Row],[DeltaP]]))</f>
        <v>0</v>
      </c>
      <c r="AG142" t="e">
        <f ca="1">((LN($A$4/Table1[[#This Row],[Strike]]) + (0.411 + 0.5 * Table1[[#This Row],[IV Calc P]]^2) *Table1[[#This Row],[T]])) / (Table1[[#This Row],[IV Calc P]] * SQRT(Table1[[#This Row],[T]]))</f>
        <v>#DIV/0!</v>
      </c>
      <c r="AH142" t="e">
        <f ca="1">(LN($A$4/Table1[[#This Row],[Strike]]) + (0.411-0 + 0.5 * Table1[[#This Row],[IV Calc C]]^2) *Table1[[#This Row],[T]]) / (Table1[[#This Row],[IV Calc C]] * SQRT(Table1[[#This Row],[T]]))</f>
        <v>#DIV/0!</v>
      </c>
      <c r="AI142" t="e">
        <f ca="1">(EXP(-(AG142^2)/2)/SQRT(2*PI())*EXP(0*SQRT(Table1[[#This Row],[T]]))/$A$4*18%*SQRT(SQRT(Table1[[#This Row],[T]])))</f>
        <v>#DIV/0!</v>
      </c>
      <c r="AJ142" t="e">
        <f ca="1">(EXP(-(AH142^2)/2)/SQRT(2*PI())*EXP(0*SQRT(Table1[[#This Row],[T]]))/$A$4*18%*SQRT(SQRT(Table1[[#This Row],[T]])))</f>
        <v>#DIV/0!</v>
      </c>
      <c r="AK142" t="e">
        <f ca="1">Table1[[#This Row],[Call D1]]-Table1[[#This Row],[IV Calc C]]*SQRT(Table1[[#This Row],[T]])</f>
        <v>#DIV/0!</v>
      </c>
      <c r="AL142" t="e">
        <f ca="1">Table1[[#This Row],[Put D1]]-Table1[[#This Row],[IV Calc P]]*SQRT(Table1[[#This Row],[T]])</f>
        <v>#DIV/0!</v>
      </c>
      <c r="AM142" t="e">
        <f ca="1">EXP(-0.5*Table1[[#This Row],[Call D1]]^2)/SQRT(2*PI())</f>
        <v>#DIV/0!</v>
      </c>
      <c r="AN142" t="e">
        <f ca="1">EXP(-0.5*Table1[[#This Row],[Put D1]]^2)/SQRT(2*PI())</f>
        <v>#DIV/0!</v>
      </c>
      <c r="AO142">
        <f ca="1">IFERROR((EXP(0*Table1[[#This Row],[T]])*Table1[[#This Row],[call N(d1)]]*(Table1[[#This Row],[call d2]]/Table1[[#This Row],[IV Calc C]]))*Table1[[#This Row],[Open.Int]]*Table1[[#This Row],[DeltaC]],0)</f>
        <v>0</v>
      </c>
      <c r="AP142">
        <f ca="1">IFERROR((EXP(0*Table1[[#This Row],[T]])*Table1[[#This Row],[put N(d1)]]*(Table1[[#This Row],[put d2]]/Table1[[#This Row],[IV Calc P]]))*Table1[[#This Row],[Open.Int8]]*Table1[[#This Row],[DeltaP]]*-1,0)</f>
        <v>0</v>
      </c>
      <c r="AQ142">
        <f ca="1">((Table1[[#This Row],[call vanna]]+Table1[[#This Row],[put vanna]])*$A$4)</f>
        <v>0</v>
      </c>
      <c r="AR14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2" s="9" t="str" cm="1">
        <f t="array" ref="AT142">_xlfn.IFS(     $M$1="SPX","SPXW",     $M$1="RUT","RUTW",  $M$1="NDX","NDXP",   TRUE,$M$1 )</f>
        <v>SPXW</v>
      </c>
      <c r="AU142" s="2">
        <f t="shared" si="17"/>
        <v>6915</v>
      </c>
      <c r="AV142" t="str">
        <f t="shared" si="18"/>
        <v>260123</v>
      </c>
      <c r="AW142" s="19">
        <f ca="1">IFERROR((EXP(0*Table1[[#This Row],[T]])*Table1[[#This Row],[put N(d1)]]*(Table1[[#This Row],[put d2]]/Table1[[#This Row],[IV Calc P]]))*Table1[[#This Row],[Open.Int8]]*Table1[[#This Row],[DeltaP]]*-1,0)</f>
        <v>0</v>
      </c>
      <c r="AX142">
        <f ca="1">IFERROR((EXP(0*Table1[[#This Row],[T]])*Table1[[#This Row],[call N(d1)]]*(Table1[[#This Row],[call d2]]/Table1[[#This Row],[IV Calc C]]))*Table1[[#This Row],[Open.Int]]*Table1[[#This Row],[DeltaC]],0)</f>
        <v>0</v>
      </c>
      <c r="AY14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2">
        <f>((Table1[[#This Row],[High C]]+Table1[[#This Row],[Low C]])/2)*Table1[[#This Row],[gammac]]*Table1[[#This Row],[Volume]]</f>
        <v>0</v>
      </c>
      <c r="BD142">
        <f>((Table1[[#This Row],[High P]]+Table1[[#This Row],[Low P]])/2)*Table1[[#This Row],[gammap]]*Table1[[#This Row],[Volume9]]*-1</f>
        <v>0</v>
      </c>
      <c r="BE142">
        <f>(Table1[[#This Row],[SgammaC]]+Table1[[#This Row],[SgammaP]])*$A$4*-100</f>
        <v>0</v>
      </c>
      <c r="BF142">
        <f>Table1[[#This Row],[DEXc]]+Table1[[#This Row],[DEXp]]</f>
        <v>0</v>
      </c>
      <c r="BG142">
        <f>IFERROR(Table1[[#This Row],[DeltaC]]*Table1[[#This Row],[Open.Int]]*$A$4,0)</f>
        <v>0</v>
      </c>
      <c r="BH142">
        <f>IFERROR(Table1[[#This Row],[DeltaP]]*Table1[[#This Row],[Open.Int8]]*$A$4,0)</f>
        <v>0</v>
      </c>
      <c r="BI14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2">
        <f ca="1">Table1[[#This Row],[Charmc]]+Table1[[#This Row],[Charmp]]</f>
        <v>0</v>
      </c>
      <c r="BL14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2" s="78">
        <f ca="1">Table1[[#This Row],[call helper]]+Table1[[#This Row],[put helper]]</f>
        <v>0</v>
      </c>
      <c r="BP142" t="str">
        <f>RTD("tos.rtd", , "STRIKE", "."&amp;Table1[[#This Row],[Ticker]]&amp;Table1[[#This Row],[Expiry]]&amp;""&amp;"C"&amp;Table1[[#This Row],[Spot]]+Table1[[#This Row],[step]])</f>
        <v>N/A</v>
      </c>
    </row>
    <row r="143" spans="1:77" x14ac:dyDescent="0.25">
      <c r="A143">
        <f t="shared" ca="1" si="14"/>
        <v>2.5814307458086375E-3</v>
      </c>
      <c r="C143" s="17"/>
      <c r="D143" t="b">
        <f>IF(
    ISNUMBER(Table1[[#This Row],[Strike]]),RTD("tos.rtd", , "OPEN_INT", "."&amp;Table1[[#This Row],[Ticker]]&amp;Table1[[#This Row],[Expiry]]&amp;""&amp;"C"&amp;Table1[[#This Row],[Strike]]))</f>
        <v>0</v>
      </c>
      <c r="E14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3" t="b">
        <f>IF(
    ISNUMBER(Table1[[#This Row],[Strike]]),RTD("tos.rtd", , "DELTA", "."&amp;Table1[[#This Row],[Ticker]]&amp;Table1[[#This Row],[Expiry]]&amp;""&amp;"C"&amp;Table1[[#This Row],[Strike]]))</f>
        <v>0</v>
      </c>
      <c r="H143" s="17" t="b" cm="1">
        <f t="array" ref="H143">IF(
    ISNUMBER(Table1[[#This Row],[Strike]]),IndividualLegIVCore($A$4, Table1[[#This Row],[Strike]], 0.0411, Table1[[#This Row],[T]], ((Table1[[#This Row],[BIDC]]+Table1[[#This Row],[ASKC]])/2), TRUE))</f>
        <v>0</v>
      </c>
      <c r="I143" t="b">
        <f>IF(
    ISNUMBER(Table1[[#This Row],[Strike]]),RTD("tos.rtd", , "BID", "."&amp;Table1[[#This Row],[Ticker]]&amp;Table1[[#This Row],[Expiry]]&amp;""&amp;"C"&amp;Table1[[#This Row],[Strike]]))</f>
        <v>0</v>
      </c>
      <c r="J143" t="b">
        <f>IF(
    ISNUMBER(Table1[[#This Row],[Strike]]),RTD("tos.rtd", , "ASK", "."&amp;Table1[[#This Row],[Ticker]]&amp;Table1[[#This Row],[Expiry]]&amp;""&amp;"C"&amp;Table1[[#This Row],[Strike]]))</f>
        <v>0</v>
      </c>
      <c r="K14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3" s="17" cm="1">
        <f t="array" aca="1" ref="L14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3" s="1">
        <f t="shared" si="15"/>
        <v>46045</v>
      </c>
      <c r="N143" t="b">
        <f t="shared" si="16"/>
        <v>0</v>
      </c>
      <c r="P143" s="17" t="b" cm="1">
        <f t="array" ref="P143">IF(
    ISNUMBER(Table1[[#This Row],[Strike]]),IndividualLegIVCore($A$4, Table1[[#This Row],[Strike]], 0.0411, Table1[[#This Row],[T]], ((Table1[[#This Row],[BIDP]]+Table1[[#This Row],[ASKP]])/2), FALSE))</f>
        <v>0</v>
      </c>
      <c r="Q143" t="b">
        <f>IF(
    ISNUMBER(Table1[[#This Row],[Strike]]),RTD("tos.rtd", , "BID", "."&amp;Table1[[#This Row],[Ticker]]&amp;Table1[[#This Row],[Expiry]]&amp;""&amp;"P"&amp;Table1[[#This Row],[Strike]]))</f>
        <v>0</v>
      </c>
      <c r="R143" t="b">
        <f>IF(
    ISNUMBER(Table1[[#This Row],[Strike]]),RTD("tos.rtd", , "ASK", "."&amp;Table1[[#This Row],[Ticker]]&amp;Table1[[#This Row],[Expiry]]&amp;""&amp;"P"&amp;Table1[[#This Row],[Strike]]))</f>
        <v>0</v>
      </c>
      <c r="S143" s="17"/>
      <c r="T143" t="b">
        <f>IF(
    ISNUMBER(Table1[[#This Row],[Strike]]),RTD("tos.rtd", , "OPEN_INT", "."&amp;Table1[[#This Row],[Ticker]]&amp;Table1[[#This Row],[Expiry]]&amp;""&amp;"P"&amp;Table1[[#This Row],[Strike]]))</f>
        <v>0</v>
      </c>
      <c r="U14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3" t="b">
        <f>IF(
    ISNUMBER(Table1[[#This Row],[Strike]]),RTD("tos.rtd", , "DELTA", "."&amp;Table1[[#This Row],[Ticker]]&amp;Table1[[#This Row],[Expiry]]&amp;""&amp;"P"&amp;Table1[[#This Row],[Strike]]))</f>
        <v>0</v>
      </c>
      <c r="Y143" s="19">
        <f>16.5* IF($M$1="NDX", 10, IF(OR($M$1="SPX", $M$1="RUT"), 2, 1))</f>
        <v>33</v>
      </c>
      <c r="Z143">
        <f ca="1">IFERROR(Table1[[#This Row],[call gamma]]*(Table1[[#This Row],[Open.Int]])*$A$4^2,0)</f>
        <v>0</v>
      </c>
      <c r="AA143">
        <f ca="1">IFERROR(((Table1[[#This Row],[Open.Int8]])*Table1[[#This Row],[Put gamma]])*-1*$A$4^2,0)</f>
        <v>0</v>
      </c>
      <c r="AB143">
        <f ca="1">(Table1[[#This Row],[Call Gex]]+Table1[[#This Row],[Put Gex]])</f>
        <v>0</v>
      </c>
      <c r="AC143">
        <f ca="1">Table1[[#This Row],[call delta adj]]+Table1[[#This Row],[put delta adj]]</f>
        <v>0</v>
      </c>
      <c r="AD143">
        <f ca="1">Table1[[#This Row],[Put Gex]]*Table1[[#This Row],[DeltaP]]*-1</f>
        <v>0</v>
      </c>
      <c r="AE143">
        <f ca="1">Table1[[#This Row],[Call Gex]]*Table1[[#This Row],[DeltaC]]</f>
        <v>0</v>
      </c>
      <c r="AF143">
        <f>IF(Table1[[#This Row],[DeltaC]]-ABS(Table1[[#This Row],[DeltaP]])="0","0.01",Table1[[#This Row],[DeltaC]]-ABS(Table1[[#This Row],[DeltaP]]))</f>
        <v>0</v>
      </c>
      <c r="AG143" t="e">
        <f ca="1">((LN($A$4/Table1[[#This Row],[Strike]]) + (0.411 + 0.5 * Table1[[#This Row],[IV Calc P]]^2) *Table1[[#This Row],[T]])) / (Table1[[#This Row],[IV Calc P]] * SQRT(Table1[[#This Row],[T]]))</f>
        <v>#DIV/0!</v>
      </c>
      <c r="AH143" t="e">
        <f ca="1">(LN($A$4/Table1[[#This Row],[Strike]]) + (0.411-0 + 0.5 * Table1[[#This Row],[IV Calc C]]^2) *Table1[[#This Row],[T]]) / (Table1[[#This Row],[IV Calc C]] * SQRT(Table1[[#This Row],[T]]))</f>
        <v>#DIV/0!</v>
      </c>
      <c r="AI143" t="e">
        <f ca="1">(EXP(-(AG143^2)/2)/SQRT(2*PI())*EXP(0*SQRT(Table1[[#This Row],[T]]))/$A$4*18%*SQRT(SQRT(Table1[[#This Row],[T]])))</f>
        <v>#DIV/0!</v>
      </c>
      <c r="AJ143" t="e">
        <f ca="1">(EXP(-(AH143^2)/2)/SQRT(2*PI())*EXP(0*SQRT(Table1[[#This Row],[T]]))/$A$4*18%*SQRT(SQRT(Table1[[#This Row],[T]])))</f>
        <v>#DIV/0!</v>
      </c>
      <c r="AK143" t="e">
        <f ca="1">Table1[[#This Row],[Call D1]]-Table1[[#This Row],[IV Calc C]]*SQRT(Table1[[#This Row],[T]])</f>
        <v>#DIV/0!</v>
      </c>
      <c r="AL143" t="e">
        <f ca="1">Table1[[#This Row],[Put D1]]-Table1[[#This Row],[IV Calc P]]*SQRT(Table1[[#This Row],[T]])</f>
        <v>#DIV/0!</v>
      </c>
      <c r="AM143" t="e">
        <f ca="1">EXP(-0.5*Table1[[#This Row],[Call D1]]^2)/SQRT(2*PI())</f>
        <v>#DIV/0!</v>
      </c>
      <c r="AN143" t="e">
        <f ca="1">EXP(-0.5*Table1[[#This Row],[Put D1]]^2)/SQRT(2*PI())</f>
        <v>#DIV/0!</v>
      </c>
      <c r="AO143">
        <f ca="1">IFERROR((EXP(0*Table1[[#This Row],[T]])*Table1[[#This Row],[call N(d1)]]*(Table1[[#This Row],[call d2]]/Table1[[#This Row],[IV Calc C]]))*Table1[[#This Row],[Open.Int]]*Table1[[#This Row],[DeltaC]],0)</f>
        <v>0</v>
      </c>
      <c r="AP143">
        <f ca="1">IFERROR((EXP(0*Table1[[#This Row],[T]])*Table1[[#This Row],[put N(d1)]]*(Table1[[#This Row],[put d2]]/Table1[[#This Row],[IV Calc P]]))*Table1[[#This Row],[Open.Int8]]*Table1[[#This Row],[DeltaP]]*-1,0)</f>
        <v>0</v>
      </c>
      <c r="AQ143">
        <f ca="1">((Table1[[#This Row],[call vanna]]+Table1[[#This Row],[put vanna]])*$A$4)</f>
        <v>0</v>
      </c>
      <c r="AR14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3" s="9" t="str" cm="1">
        <f t="array" ref="AT143">_xlfn.IFS(     $M$1="SPX","SPXW",     $M$1="RUT","RUTW",  $M$1="NDX","NDXP",   TRUE,$M$1 )</f>
        <v>SPXW</v>
      </c>
      <c r="AU143" s="2">
        <f t="shared" si="17"/>
        <v>6915</v>
      </c>
      <c r="AV143" t="str">
        <f t="shared" si="18"/>
        <v>260123</v>
      </c>
      <c r="AW143" s="19">
        <f ca="1">IFERROR((EXP(0*Table1[[#This Row],[T]])*Table1[[#This Row],[put N(d1)]]*(Table1[[#This Row],[put d2]]/Table1[[#This Row],[IV Calc P]]))*Table1[[#This Row],[Open.Int8]]*Table1[[#This Row],[DeltaP]]*-1,0)</f>
        <v>0</v>
      </c>
      <c r="AX143">
        <f ca="1">IFERROR((EXP(0*Table1[[#This Row],[T]])*Table1[[#This Row],[call N(d1)]]*(Table1[[#This Row],[call d2]]/Table1[[#This Row],[IV Calc C]]))*Table1[[#This Row],[Open.Int]]*Table1[[#This Row],[DeltaC]],0)</f>
        <v>0</v>
      </c>
      <c r="AY14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3">
        <f>((Table1[[#This Row],[High C]]+Table1[[#This Row],[Low C]])/2)*Table1[[#This Row],[gammac]]*Table1[[#This Row],[Volume]]</f>
        <v>0</v>
      </c>
      <c r="BD143">
        <f>((Table1[[#This Row],[High P]]+Table1[[#This Row],[Low P]])/2)*Table1[[#This Row],[gammap]]*Table1[[#This Row],[Volume9]]*-1</f>
        <v>0</v>
      </c>
      <c r="BE143">
        <f>(Table1[[#This Row],[SgammaC]]+Table1[[#This Row],[SgammaP]])*$A$4*-100</f>
        <v>0</v>
      </c>
      <c r="BF143">
        <f>Table1[[#This Row],[DEXc]]+Table1[[#This Row],[DEXp]]</f>
        <v>0</v>
      </c>
      <c r="BG143">
        <f>IFERROR(Table1[[#This Row],[DeltaC]]*Table1[[#This Row],[Open.Int]]*$A$4,0)</f>
        <v>0</v>
      </c>
      <c r="BH143">
        <f>IFERROR(Table1[[#This Row],[DeltaP]]*Table1[[#This Row],[Open.Int8]]*$A$4,0)</f>
        <v>0</v>
      </c>
      <c r="BI14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3">
        <f ca="1">Table1[[#This Row],[Charmc]]+Table1[[#This Row],[Charmp]]</f>
        <v>0</v>
      </c>
      <c r="BL14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3" s="78">
        <f ca="1">Table1[[#This Row],[call helper]]+Table1[[#This Row],[put helper]]</f>
        <v>0</v>
      </c>
      <c r="BP143" t="str">
        <f>RTD("tos.rtd", , "STRIKE", "."&amp;Table1[[#This Row],[Ticker]]&amp;Table1[[#This Row],[Expiry]]&amp;""&amp;"C"&amp;Table1[[#This Row],[Spot]]+Table1[[#This Row],[step]])</f>
        <v>N/A</v>
      </c>
    </row>
    <row r="144" spans="1:77" x14ac:dyDescent="0.25">
      <c r="A144">
        <f t="shared" ca="1" si="14"/>
        <v>2.5814307458086375E-3</v>
      </c>
      <c r="C144" s="17"/>
      <c r="D144" t="b">
        <f>IF(
    ISNUMBER(Table1[[#This Row],[Strike]]),RTD("tos.rtd", , "OPEN_INT", "."&amp;Table1[[#This Row],[Ticker]]&amp;Table1[[#This Row],[Expiry]]&amp;""&amp;"C"&amp;Table1[[#This Row],[Strike]]))</f>
        <v>0</v>
      </c>
      <c r="E14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4" t="b">
        <f>IF(
    ISNUMBER(Table1[[#This Row],[Strike]]),RTD("tos.rtd", , "DELTA", "."&amp;Table1[[#This Row],[Ticker]]&amp;Table1[[#This Row],[Expiry]]&amp;""&amp;"C"&amp;Table1[[#This Row],[Strike]]))</f>
        <v>0</v>
      </c>
      <c r="H144" s="17" t="b" cm="1">
        <f t="array" ref="H144">IF(
    ISNUMBER(Table1[[#This Row],[Strike]]),IndividualLegIVCore($A$4, Table1[[#This Row],[Strike]], 0.0411, Table1[[#This Row],[T]], ((Table1[[#This Row],[BIDC]]+Table1[[#This Row],[ASKC]])/2), TRUE))</f>
        <v>0</v>
      </c>
      <c r="I144" t="b">
        <f>IF(
    ISNUMBER(Table1[[#This Row],[Strike]]),RTD("tos.rtd", , "BID", "."&amp;Table1[[#This Row],[Ticker]]&amp;Table1[[#This Row],[Expiry]]&amp;""&amp;"C"&amp;Table1[[#This Row],[Strike]]))</f>
        <v>0</v>
      </c>
      <c r="J144" t="b">
        <f>IF(
    ISNUMBER(Table1[[#This Row],[Strike]]),RTD("tos.rtd", , "ASK", "."&amp;Table1[[#This Row],[Ticker]]&amp;Table1[[#This Row],[Expiry]]&amp;""&amp;"C"&amp;Table1[[#This Row],[Strike]]))</f>
        <v>0</v>
      </c>
      <c r="K14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4" s="17" cm="1">
        <f t="array" aca="1" ref="L14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4" s="1">
        <f t="shared" si="15"/>
        <v>46045</v>
      </c>
      <c r="N144" t="b">
        <f t="shared" si="16"/>
        <v>0</v>
      </c>
      <c r="P144" s="17" t="b" cm="1">
        <f t="array" ref="P144">IF(
    ISNUMBER(Table1[[#This Row],[Strike]]),IndividualLegIVCore($A$4, Table1[[#This Row],[Strike]], 0.0411, Table1[[#This Row],[T]], ((Table1[[#This Row],[BIDP]]+Table1[[#This Row],[ASKP]])/2), FALSE))</f>
        <v>0</v>
      </c>
      <c r="Q144" t="b">
        <f>IF(
    ISNUMBER(Table1[[#This Row],[Strike]]),RTD("tos.rtd", , "BID", "."&amp;Table1[[#This Row],[Ticker]]&amp;Table1[[#This Row],[Expiry]]&amp;""&amp;"P"&amp;Table1[[#This Row],[Strike]]))</f>
        <v>0</v>
      </c>
      <c r="R144" t="b">
        <f>IF(
    ISNUMBER(Table1[[#This Row],[Strike]]),RTD("tos.rtd", , "ASK", "."&amp;Table1[[#This Row],[Ticker]]&amp;Table1[[#This Row],[Expiry]]&amp;""&amp;"P"&amp;Table1[[#This Row],[Strike]]))</f>
        <v>0</v>
      </c>
      <c r="S144" s="17"/>
      <c r="T144" t="b">
        <f>IF(
    ISNUMBER(Table1[[#This Row],[Strike]]),RTD("tos.rtd", , "OPEN_INT", "."&amp;Table1[[#This Row],[Ticker]]&amp;Table1[[#This Row],[Expiry]]&amp;""&amp;"P"&amp;Table1[[#This Row],[Strike]]))</f>
        <v>0</v>
      </c>
      <c r="U14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4" t="b">
        <f>IF(
    ISNUMBER(Table1[[#This Row],[Strike]]),RTD("tos.rtd", , "DELTA", "."&amp;Table1[[#This Row],[Ticker]]&amp;Table1[[#This Row],[Expiry]]&amp;""&amp;"P"&amp;Table1[[#This Row],[Strike]]))</f>
        <v>0</v>
      </c>
      <c r="Y144" s="19">
        <f>17* IF($M$1="NDX", 10, IF(OR($M$1="SPX", $M$1="RUT"), 2, 1))</f>
        <v>34</v>
      </c>
      <c r="Z144">
        <f ca="1">IFERROR(Table1[[#This Row],[call gamma]]*(Table1[[#This Row],[Open.Int]])*$A$4^2,0)</f>
        <v>0</v>
      </c>
      <c r="AA144">
        <f ca="1">IFERROR(((Table1[[#This Row],[Open.Int8]])*Table1[[#This Row],[Put gamma]])*-1*$A$4^2,0)</f>
        <v>0</v>
      </c>
      <c r="AB144">
        <f ca="1">(Table1[[#This Row],[Call Gex]]+Table1[[#This Row],[Put Gex]])</f>
        <v>0</v>
      </c>
      <c r="AC144">
        <f ca="1">Table1[[#This Row],[call delta adj]]+Table1[[#This Row],[put delta adj]]</f>
        <v>0</v>
      </c>
      <c r="AD144">
        <f ca="1">Table1[[#This Row],[Put Gex]]*Table1[[#This Row],[DeltaP]]*-1</f>
        <v>0</v>
      </c>
      <c r="AE144">
        <f ca="1">Table1[[#This Row],[Call Gex]]*Table1[[#This Row],[DeltaC]]</f>
        <v>0</v>
      </c>
      <c r="AF144">
        <f>IF(Table1[[#This Row],[DeltaC]]-ABS(Table1[[#This Row],[DeltaP]])="0","0.01",Table1[[#This Row],[DeltaC]]-ABS(Table1[[#This Row],[DeltaP]]))</f>
        <v>0</v>
      </c>
      <c r="AG144" t="e">
        <f ca="1">((LN($A$4/Table1[[#This Row],[Strike]]) + (0.411 + 0.5 * Table1[[#This Row],[IV Calc P]]^2) *Table1[[#This Row],[T]])) / (Table1[[#This Row],[IV Calc P]] * SQRT(Table1[[#This Row],[T]]))</f>
        <v>#DIV/0!</v>
      </c>
      <c r="AH144" t="e">
        <f ca="1">(LN($A$4/Table1[[#This Row],[Strike]]) + (0.411-0 + 0.5 * Table1[[#This Row],[IV Calc C]]^2) *Table1[[#This Row],[T]]) / (Table1[[#This Row],[IV Calc C]] * SQRT(Table1[[#This Row],[T]]))</f>
        <v>#DIV/0!</v>
      </c>
      <c r="AI144" t="e">
        <f ca="1">(EXP(-(AG144^2)/2)/SQRT(2*PI())*EXP(0*SQRT(Table1[[#This Row],[T]]))/$A$4*18%*SQRT(SQRT(Table1[[#This Row],[T]])))</f>
        <v>#DIV/0!</v>
      </c>
      <c r="AJ144" t="e">
        <f ca="1">(EXP(-(AH144^2)/2)/SQRT(2*PI())*EXP(0*SQRT(Table1[[#This Row],[T]]))/$A$4*18%*SQRT(SQRT(Table1[[#This Row],[T]])))</f>
        <v>#DIV/0!</v>
      </c>
      <c r="AK144" t="e">
        <f ca="1">Table1[[#This Row],[Call D1]]-Table1[[#This Row],[IV Calc C]]*SQRT(Table1[[#This Row],[T]])</f>
        <v>#DIV/0!</v>
      </c>
      <c r="AL144" t="e">
        <f ca="1">Table1[[#This Row],[Put D1]]-Table1[[#This Row],[IV Calc P]]*SQRT(Table1[[#This Row],[T]])</f>
        <v>#DIV/0!</v>
      </c>
      <c r="AM144" t="e">
        <f ca="1">EXP(-0.5*Table1[[#This Row],[Call D1]]^2)/SQRT(2*PI())</f>
        <v>#DIV/0!</v>
      </c>
      <c r="AN144" t="e">
        <f ca="1">EXP(-0.5*Table1[[#This Row],[Put D1]]^2)/SQRT(2*PI())</f>
        <v>#DIV/0!</v>
      </c>
      <c r="AO144">
        <f ca="1">IFERROR((EXP(0*Table1[[#This Row],[T]])*Table1[[#This Row],[call N(d1)]]*(Table1[[#This Row],[call d2]]/Table1[[#This Row],[IV Calc C]]))*Table1[[#This Row],[Open.Int]]*Table1[[#This Row],[DeltaC]],0)</f>
        <v>0</v>
      </c>
      <c r="AP144">
        <f ca="1">IFERROR((EXP(0*Table1[[#This Row],[T]])*Table1[[#This Row],[put N(d1)]]*(Table1[[#This Row],[put d2]]/Table1[[#This Row],[IV Calc P]]))*Table1[[#This Row],[Open.Int8]]*Table1[[#This Row],[DeltaP]]*-1,0)</f>
        <v>0</v>
      </c>
      <c r="AQ144">
        <f ca="1">((Table1[[#This Row],[call vanna]]+Table1[[#This Row],[put vanna]])*$A$4)</f>
        <v>0</v>
      </c>
      <c r="AR14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4" s="9" t="str" cm="1">
        <f t="array" ref="AT144">_xlfn.IFS(     $M$1="SPX","SPXW",     $M$1="RUT","RUTW",  $M$1="NDX","NDXP",   TRUE,$M$1 )</f>
        <v>SPXW</v>
      </c>
      <c r="AU144" s="2">
        <f t="shared" si="17"/>
        <v>6915</v>
      </c>
      <c r="AV144" t="str">
        <f t="shared" si="18"/>
        <v>260123</v>
      </c>
      <c r="AW144" s="19">
        <f ca="1">IFERROR((EXP(0*Table1[[#This Row],[T]])*Table1[[#This Row],[put N(d1)]]*(Table1[[#This Row],[put d2]]/Table1[[#This Row],[IV Calc P]]))*Table1[[#This Row],[Open.Int8]]*Table1[[#This Row],[DeltaP]]*-1,0)</f>
        <v>0</v>
      </c>
      <c r="AX144">
        <f ca="1">IFERROR((EXP(0*Table1[[#This Row],[T]])*Table1[[#This Row],[call N(d1)]]*(Table1[[#This Row],[call d2]]/Table1[[#This Row],[IV Calc C]]))*Table1[[#This Row],[Open.Int]]*Table1[[#This Row],[DeltaC]],0)</f>
        <v>0</v>
      </c>
      <c r="AY14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4">
        <f>((Table1[[#This Row],[High C]]+Table1[[#This Row],[Low C]])/2)*Table1[[#This Row],[gammac]]*Table1[[#This Row],[Volume]]</f>
        <v>0</v>
      </c>
      <c r="BD144">
        <f>((Table1[[#This Row],[High P]]+Table1[[#This Row],[Low P]])/2)*Table1[[#This Row],[gammap]]*Table1[[#This Row],[Volume9]]*-1</f>
        <v>0</v>
      </c>
      <c r="BE144">
        <f>(Table1[[#This Row],[SgammaC]]+Table1[[#This Row],[SgammaP]])*$A$4*-100</f>
        <v>0</v>
      </c>
      <c r="BF144">
        <f>Table1[[#This Row],[DEXc]]+Table1[[#This Row],[DEXp]]</f>
        <v>0</v>
      </c>
      <c r="BG144">
        <f>IFERROR(Table1[[#This Row],[DeltaC]]*Table1[[#This Row],[Open.Int]]*$A$4,0)</f>
        <v>0</v>
      </c>
      <c r="BH144">
        <f>IFERROR(Table1[[#This Row],[DeltaP]]*Table1[[#This Row],[Open.Int8]]*$A$4,0)</f>
        <v>0</v>
      </c>
      <c r="BI14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4">
        <f ca="1">Table1[[#This Row],[Charmc]]+Table1[[#This Row],[Charmp]]</f>
        <v>0</v>
      </c>
      <c r="BL14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4" s="78">
        <f ca="1">Table1[[#This Row],[call helper]]+Table1[[#This Row],[put helper]]</f>
        <v>0</v>
      </c>
      <c r="BP144" t="str">
        <f>RTD("tos.rtd", , "STRIKE", "."&amp;Table1[[#This Row],[Ticker]]&amp;Table1[[#This Row],[Expiry]]&amp;""&amp;"C"&amp;Table1[[#This Row],[Spot]]+Table1[[#This Row],[step]])</f>
        <v>N/A</v>
      </c>
    </row>
    <row r="145" spans="1:77" x14ac:dyDescent="0.25">
      <c r="A145">
        <f t="shared" ca="1" si="14"/>
        <v>2.5814307458086375E-3</v>
      </c>
      <c r="C145" s="17"/>
      <c r="D145">
        <f>IF(
    ISNUMBER(Table1[[#This Row],[Strike]]),RTD("tos.rtd", , "OPEN_INT", "."&amp;Table1[[#This Row],[Ticker]]&amp;Table1[[#This Row],[Expiry]]&amp;""&amp;"C"&amp;Table1[[#This Row],[Strike]]))</f>
        <v>7584</v>
      </c>
      <c r="E14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17069</v>
      </c>
      <c r="G145">
        <f>IF(
    ISNUMBER(Table1[[#This Row],[Strike]]),RTD("tos.rtd", , "DELTA", "."&amp;Table1[[#This Row],[Ticker]]&amp;Table1[[#This Row],[Expiry]]&amp;""&amp;"C"&amp;Table1[[#This Row],[Strike]]))</f>
        <v>0.16</v>
      </c>
      <c r="H145" s="17" cm="1">
        <f t="array" aca="1" ref="H145" ca="1">IF(
    ISNUMBER(Table1[[#This Row],[Strike]]),IndividualLegIVCore($A$4, Table1[[#This Row],[Strike]], 0.0411, Table1[[#This Row],[T]], ((Table1[[#This Row],[BIDC]]+Table1[[#This Row],[ASKC]])/2), TRUE))</f>
        <v>0.1017769056340198</v>
      </c>
      <c r="I145">
        <f>IF(
    ISNUMBER(Table1[[#This Row],[Strike]]),RTD("tos.rtd", , "BID", "."&amp;Table1[[#This Row],[Ticker]]&amp;Table1[[#This Row],[Expiry]]&amp;""&amp;"C"&amp;Table1[[#This Row],[Strike]]))</f>
        <v>2.85</v>
      </c>
      <c r="J145">
        <f>IF(
    ISNUMBER(Table1[[#This Row],[Strike]]),RTD("tos.rtd", , "ASK", "."&amp;Table1[[#This Row],[Ticker]]&amp;Table1[[#This Row],[Expiry]]&amp;""&amp;"C"&amp;Table1[[#This Row],[Strike]]))</f>
        <v>3.1</v>
      </c>
      <c r="K14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0.1017769056340198</v>
      </c>
      <c r="L145" s="17" cm="1">
        <f t="array" aca="1" ref="L145" ca="1">CubicSplineIVSmile($A$4, Table1[[#This Row],[Strike]], 0.0411, Table1[[#This Row],[T]], (Table1[[#This Row],[BIDC]]+Table1[[#This Row],[ASKC]])/2, (Table1[[#This Row],[BIDP]]+Table1[[#This Row],[ASKP]])/2, Table1[Strike], Table1[IV Calc AVG])</f>
        <v>0.13940323446839686</v>
      </c>
      <c r="M145" s="1">
        <f t="shared" si="15"/>
        <v>46045</v>
      </c>
      <c r="N145">
        <f t="shared" si="16"/>
        <v>6950</v>
      </c>
      <c r="P145" s="17" cm="1">
        <f t="array" aca="1" ref="P145" ca="1">IF(
    ISNUMBER(Table1[[#This Row],[Strike]]),IndividualLegIVCore($A$4, Table1[[#This Row],[Strike]], 0.0411, Table1[[#This Row],[T]], ((Table1[[#This Row],[BIDP]]+Table1[[#This Row],[ASKP]])/2), FALSE))</f>
        <v>0.14936166997641498</v>
      </c>
      <c r="Q145">
        <f>IF(
    ISNUMBER(Table1[[#This Row],[Strike]]),RTD("tos.rtd", , "BID", "."&amp;Table1[[#This Row],[Ticker]]&amp;Table1[[#This Row],[Expiry]]&amp;""&amp;"P"&amp;Table1[[#This Row],[Strike]]))</f>
        <v>43.1</v>
      </c>
      <c r="R145">
        <f>IF(
    ISNUMBER(Table1[[#This Row],[Strike]]),RTD("tos.rtd", , "ASK", "."&amp;Table1[[#This Row],[Ticker]]&amp;Table1[[#This Row],[Expiry]]&amp;""&amp;"P"&amp;Table1[[#This Row],[Strike]]))</f>
        <v>44.2</v>
      </c>
      <c r="S145" s="17"/>
      <c r="T145">
        <f>IF(
    ISNUMBER(Table1[[#This Row],[Strike]]),RTD("tos.rtd", , "OPEN_INT", "."&amp;Table1[[#This Row],[Ticker]]&amp;Table1[[#This Row],[Expiry]]&amp;""&amp;"P"&amp;Table1[[#This Row],[Strike]]))</f>
        <v>4531</v>
      </c>
      <c r="U14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3274</v>
      </c>
      <c r="W145">
        <f>IF(
    ISNUMBER(Table1[[#This Row],[Strike]]),RTD("tos.rtd", , "DELTA", "."&amp;Table1[[#This Row],[Ticker]]&amp;Table1[[#This Row],[Expiry]]&amp;""&amp;"P"&amp;Table1[[#This Row],[Strike]]))</f>
        <v>-0.75</v>
      </c>
      <c r="Y145" s="19">
        <f>17.5* IF($M$1="NDX", 10, IF(OR($M$1="SPX", $M$1="RUT"), 2, 1))</f>
        <v>35</v>
      </c>
      <c r="Z145">
        <f ca="1">IFERROR(Table1[[#This Row],[call gamma]]*(Table1[[#This Row],[Open.Int]])*$A$4^2,0)</f>
        <v>608971.34790735343</v>
      </c>
      <c r="AA145">
        <f ca="1">IFERROR(((Table1[[#This Row],[Open.Int8]])*Table1[[#This Row],[Put gamma]])*-1*$A$4^2,0)</f>
        <v>-435103.93900151388</v>
      </c>
      <c r="AB145">
        <f ca="1">(Table1[[#This Row],[Call Gex]]+Table1[[#This Row],[Put Gex]])</f>
        <v>173867.40890583955</v>
      </c>
      <c r="AC145">
        <f ca="1">Table1[[#This Row],[call delta adj]]+Table1[[#This Row],[put delta adj]]</f>
        <v>-228892.53858595886</v>
      </c>
      <c r="AD145">
        <f ca="1">Table1[[#This Row],[Put Gex]]*Table1[[#This Row],[DeltaP]]*-1</f>
        <v>-326327.95425113541</v>
      </c>
      <c r="AE145">
        <f ca="1">Table1[[#This Row],[Call Gex]]*Table1[[#This Row],[DeltaC]]</f>
        <v>97435.415665176552</v>
      </c>
      <c r="AF145">
        <f>IF(Table1[[#This Row],[DeltaC]]-ABS(Table1[[#This Row],[DeltaP]])="0","0.01",Table1[[#This Row],[DeltaC]]-ABS(Table1[[#This Row],[DeltaP]]))</f>
        <v>-0.59</v>
      </c>
      <c r="AG145">
        <f ca="1">((LN($A$4/Table1[[#This Row],[Strike]]) + (0.411 + 0.5 * Table1[[#This Row],[IV Calc P]]^2) *Table1[[#This Row],[T]])) / (Table1[[#This Row],[IV Calc P]] * SQRT(Table1[[#This Row],[T]]))</f>
        <v>-0.55313198287865784</v>
      </c>
      <c r="AH145">
        <f ca="1">(LN($A$4/Table1[[#This Row],[Strike]]) + (0.411-0 + 0.5 * Table1[[#This Row],[IV Calc C]]^2) *Table1[[#This Row],[T]]) / (Table1[[#This Row],[IV Calc C]] * SQRT(Table1[[#This Row],[T]]))</f>
        <v>-0.81472611159554287</v>
      </c>
      <c r="AI145">
        <f ca="1">(EXP(-(AG145^2)/2)/SQRT(2*PI())*EXP(0*SQRT(Table1[[#This Row],[T]]))/$A$4*18%*SQRT(SQRT(Table1[[#This Row],[T]])))</f>
        <v>2.009193961037248E-6</v>
      </c>
      <c r="AJ145">
        <f ca="1">(EXP(-(AH145^2)/2)/SQRT(2*PI())*EXP(0*SQRT(Table1[[#This Row],[T]]))/$A$4*18%*SQRT(SQRT(Table1[[#This Row],[T]])))</f>
        <v>1.6800470584713461E-6</v>
      </c>
      <c r="AK145">
        <f ca="1">Table1[[#This Row],[Call D1]]-Table1[[#This Row],[IV Calc C]]*SQRT(Table1[[#This Row],[T]])</f>
        <v>-0.81989717046373389</v>
      </c>
      <c r="AL145">
        <f ca="1">Table1[[#This Row],[Put D1]]-Table1[[#This Row],[IV Calc P]]*SQRT(Table1[[#This Row],[T]])</f>
        <v>-0.5607207180960232</v>
      </c>
      <c r="AM145">
        <f ca="1">EXP(-0.5*Table1[[#This Row],[Call D1]]^2)/SQRT(2*PI())</f>
        <v>0.28626771153708375</v>
      </c>
      <c r="AN145">
        <f ca="1">EXP(-0.5*Table1[[#This Row],[Put D1]]^2)/SQRT(2*PI())</f>
        <v>0.34235193256050772</v>
      </c>
      <c r="AO145">
        <f ca="1">IFERROR((EXP(0*Table1[[#This Row],[T]])*Table1[[#This Row],[call N(d1)]]*(Table1[[#This Row],[call d2]]/Table1[[#This Row],[IV Calc C]]))*Table1[[#This Row],[Open.Int]]*Table1[[#This Row],[DeltaC]],0)</f>
        <v>-2798.3421760771153</v>
      </c>
      <c r="AP145">
        <f ca="1">IFERROR((EXP(0*Table1[[#This Row],[T]])*Table1[[#This Row],[put N(d1)]]*(Table1[[#This Row],[put d2]]/Table1[[#This Row],[IV Calc P]]))*Table1[[#This Row],[Open.Int8]]*Table1[[#This Row],[DeltaP]]*-1,0)</f>
        <v>-4367.5265307549416</v>
      </c>
      <c r="AQ145">
        <f ca="1">((Table1[[#This Row],[call vanna]]+Table1[[#This Row],[put vanna]])*$A$4)</f>
        <v>-49540158.424377404</v>
      </c>
      <c r="AR14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608971.34790735343</v>
      </c>
      <c r="AS14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-435103.93900151388</v>
      </c>
      <c r="AT145" s="9" t="str" cm="1">
        <f t="array" ref="AT145">_xlfn.IFS(     $M$1="SPX","SPXW",     $M$1="RUT","RUTW",  $M$1="NDX","NDXP",   TRUE,$M$1 )</f>
        <v>SPXW</v>
      </c>
      <c r="AU145" s="2">
        <f t="shared" si="17"/>
        <v>6915</v>
      </c>
      <c r="AV145" t="str">
        <f t="shared" si="18"/>
        <v>260123</v>
      </c>
      <c r="AW145" s="19">
        <f ca="1">IFERROR((EXP(0*Table1[[#This Row],[T]])*Table1[[#This Row],[put N(d1)]]*(Table1[[#This Row],[put d2]]/Table1[[#This Row],[IV Calc P]]))*Table1[[#This Row],[Open.Int8]]*Table1[[#This Row],[DeltaP]]*-1,0)</f>
        <v>-4367.5265307549416</v>
      </c>
      <c r="AX145">
        <f ca="1">IFERROR((EXP(0*Table1[[#This Row],[T]])*Table1[[#This Row],[call N(d1)]]*(Table1[[#This Row],[call d2]]/Table1[[#This Row],[IV Calc C]]))*Table1[[#This Row],[Open.Int]]*Table1[[#This Row],[DeltaC]],0)</f>
        <v>-2798.3421760771153</v>
      </c>
      <c r="AY145">
        <f>IF(
    ISNUMBER(Table1[[#This Row],[Strike]]),RTD("tos.rtd", , "high", "."&amp;Table1[[#This Row],[Ticker]]&amp;Table1[[#This Row],[Expiry]]&amp;""&amp;"C"&amp;Table1[[#This Row],[Spot]]+Table1[[#This Row],[step]]))</f>
        <v>13.1</v>
      </c>
      <c r="AZ145">
        <f>IF(
    ISNUMBER(Table1[[#This Row],[Strike]]),RTD("tos.rtd", , "low", "."&amp;Table1[[#This Row],[Ticker]]&amp;Table1[[#This Row],[Expiry]]&amp;""&amp;"C"&amp;Table1[[#This Row],[Spot]]+Table1[[#This Row],[step]]))</f>
        <v>2.25</v>
      </c>
      <c r="BA145">
        <f>IF(
    ISNUMBER(Table1[[#This Row],[Strike]]),RTD("tos.rtd", , "high", "."&amp;Table1[[#This Row],[Ticker]]&amp;Table1[[#This Row],[Expiry]]&amp;""&amp;"P"&amp;Table1[[#This Row],[Spot]]+Table1[[#This Row],[step]]))</f>
        <v>59.5</v>
      </c>
      <c r="BB145">
        <f>IF(
    ISNUMBER(Table1[[#This Row],[Strike]]),RTD("tos.rtd", , "low", "."&amp;Table1[[#This Row],[Ticker]]&amp;Table1[[#This Row],[Expiry]]&amp;""&amp;"P"&amp;Table1[[#This Row],[Spot]]+Table1[[#This Row],[step]]))</f>
        <v>24.2</v>
      </c>
      <c r="BC145">
        <f>((Table1[[#This Row],[High C]]+Table1[[#This Row],[Low C]])/2)*Table1[[#This Row],[gammac]]*Table1[[#This Row],[Volume]]</f>
        <v>1310.04575</v>
      </c>
      <c r="BD145">
        <f>((Table1[[#This Row],[High P]]+Table1[[#This Row],[Low P]])/2)*Table1[[#This Row],[gammap]]*Table1[[#This Row],[Volume9]]*-1</f>
        <v>-1370.1690000000001</v>
      </c>
      <c r="BE145">
        <f>(Table1[[#This Row],[SgammaC]]+Table1[[#This Row],[SgammaP]])*$A$4*-100</f>
        <v>41565307.038750067</v>
      </c>
      <c r="BF145">
        <f>Table1[[#This Row],[DEXc]]+Table1[[#This Row],[DEXp]]</f>
        <v>-15104356.213500002</v>
      </c>
      <c r="BG145">
        <f>IFERROR(Table1[[#This Row],[DeltaC]]*Table1[[#This Row],[Open.Int]]*$A$4,0)</f>
        <v>8388935.4240000006</v>
      </c>
      <c r="BH145">
        <f>IFERROR(Table1[[#This Row],[DeltaP]]*Table1[[#This Row],[Open.Int8]]*$A$4,0)</f>
        <v>-23493291.637500003</v>
      </c>
      <c r="BI14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-23041641.489459705</v>
      </c>
      <c r="BJ14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-19336794.781757664</v>
      </c>
      <c r="BK145">
        <f ca="1">Table1[[#This Row],[Charmc]]+Table1[[#This Row],[Charmp]]</f>
        <v>-42378436.271217369</v>
      </c>
      <c r="BL14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45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45" s="78">
        <f ca="1">Table1[[#This Row],[call helper]]+Table1[[#This Row],[put helper]]</f>
        <v>173867.40890583955</v>
      </c>
      <c r="BP145">
        <f>RTD("tos.rtd", , "STRIKE", "."&amp;Table1[[#This Row],[Ticker]]&amp;Table1[[#This Row],[Expiry]]&amp;""&amp;"C"&amp;Table1[[#This Row],[Spot]]+Table1[[#This Row],[step]])</f>
        <v>6950</v>
      </c>
    </row>
    <row r="146" spans="1:77" x14ac:dyDescent="0.25">
      <c r="A146">
        <f t="shared" ca="1" si="14"/>
        <v>2.5814307458086375E-3</v>
      </c>
      <c r="C146" s="17"/>
      <c r="D146" t="b">
        <f>IF(
    ISNUMBER(Table1[[#This Row],[Strike]]),RTD("tos.rtd", , "OPEN_INT", "."&amp;Table1[[#This Row],[Ticker]]&amp;Table1[[#This Row],[Expiry]]&amp;""&amp;"C"&amp;Table1[[#This Row],[Strike]]))</f>
        <v>0</v>
      </c>
      <c r="E14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6" t="b">
        <f>IF(
    ISNUMBER(Table1[[#This Row],[Strike]]),RTD("tos.rtd", , "DELTA", "."&amp;Table1[[#This Row],[Ticker]]&amp;Table1[[#This Row],[Expiry]]&amp;""&amp;"C"&amp;Table1[[#This Row],[Strike]]))</f>
        <v>0</v>
      </c>
      <c r="H146" s="17" t="b" cm="1">
        <f t="array" ref="H146">IF(
    ISNUMBER(Table1[[#This Row],[Strike]]),IndividualLegIVCore($A$4, Table1[[#This Row],[Strike]], 0.0411, Table1[[#This Row],[T]], ((Table1[[#This Row],[BIDC]]+Table1[[#This Row],[ASKC]])/2), TRUE))</f>
        <v>0</v>
      </c>
      <c r="I146" t="b">
        <f>IF(
    ISNUMBER(Table1[[#This Row],[Strike]]),RTD("tos.rtd", , "BID", "."&amp;Table1[[#This Row],[Ticker]]&amp;Table1[[#This Row],[Expiry]]&amp;""&amp;"C"&amp;Table1[[#This Row],[Strike]]))</f>
        <v>0</v>
      </c>
      <c r="J146" t="b">
        <f>IF(
    ISNUMBER(Table1[[#This Row],[Strike]]),RTD("tos.rtd", , "ASK", "."&amp;Table1[[#This Row],[Ticker]]&amp;Table1[[#This Row],[Expiry]]&amp;""&amp;"C"&amp;Table1[[#This Row],[Strike]]))</f>
        <v>0</v>
      </c>
      <c r="K14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6" s="17" cm="1">
        <f t="array" aca="1" ref="L14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6" s="1">
        <f t="shared" si="15"/>
        <v>46045</v>
      </c>
      <c r="N146" t="b">
        <f t="shared" si="16"/>
        <v>0</v>
      </c>
      <c r="P146" s="17" t="b" cm="1">
        <f t="array" ref="P146">IF(
    ISNUMBER(Table1[[#This Row],[Strike]]),IndividualLegIVCore($A$4, Table1[[#This Row],[Strike]], 0.0411, Table1[[#This Row],[T]], ((Table1[[#This Row],[BIDP]]+Table1[[#This Row],[ASKP]])/2), FALSE))</f>
        <v>0</v>
      </c>
      <c r="Q146" t="b">
        <f>IF(
    ISNUMBER(Table1[[#This Row],[Strike]]),RTD("tos.rtd", , "BID", "."&amp;Table1[[#This Row],[Ticker]]&amp;Table1[[#This Row],[Expiry]]&amp;""&amp;"P"&amp;Table1[[#This Row],[Strike]]))</f>
        <v>0</v>
      </c>
      <c r="R146" t="b">
        <f>IF(
    ISNUMBER(Table1[[#This Row],[Strike]]),RTD("tos.rtd", , "ASK", "."&amp;Table1[[#This Row],[Ticker]]&amp;Table1[[#This Row],[Expiry]]&amp;""&amp;"P"&amp;Table1[[#This Row],[Strike]]))</f>
        <v>0</v>
      </c>
      <c r="S146" s="17"/>
      <c r="T146" t="b">
        <f>IF(
    ISNUMBER(Table1[[#This Row],[Strike]]),RTD("tos.rtd", , "OPEN_INT", "."&amp;Table1[[#This Row],[Ticker]]&amp;Table1[[#This Row],[Expiry]]&amp;""&amp;"P"&amp;Table1[[#This Row],[Strike]]))</f>
        <v>0</v>
      </c>
      <c r="U14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6" t="b">
        <f>IF(
    ISNUMBER(Table1[[#This Row],[Strike]]),RTD("tos.rtd", , "DELTA", "."&amp;Table1[[#This Row],[Ticker]]&amp;Table1[[#This Row],[Expiry]]&amp;""&amp;"P"&amp;Table1[[#This Row],[Strike]]))</f>
        <v>0</v>
      </c>
      <c r="Y146" s="19">
        <f>18* IF($M$1="NDX", 10, IF(OR($M$1="SPX", $M$1="RUT"), 2, 1))</f>
        <v>36</v>
      </c>
      <c r="Z146">
        <f ca="1">IFERROR(Table1[[#This Row],[call gamma]]*(Table1[[#This Row],[Open.Int]])*$A$4^2,0)</f>
        <v>0</v>
      </c>
      <c r="AA146">
        <f ca="1">IFERROR(((Table1[[#This Row],[Open.Int8]])*Table1[[#This Row],[Put gamma]])*-1*$A$4^2,0)</f>
        <v>0</v>
      </c>
      <c r="AB146">
        <f ca="1">(Table1[[#This Row],[Call Gex]]+Table1[[#This Row],[Put Gex]])</f>
        <v>0</v>
      </c>
      <c r="AC146">
        <f ca="1">Table1[[#This Row],[call delta adj]]+Table1[[#This Row],[put delta adj]]</f>
        <v>0</v>
      </c>
      <c r="AD146">
        <f ca="1">Table1[[#This Row],[Put Gex]]*Table1[[#This Row],[DeltaP]]*-1</f>
        <v>0</v>
      </c>
      <c r="AE146">
        <f ca="1">Table1[[#This Row],[Call Gex]]*Table1[[#This Row],[DeltaC]]</f>
        <v>0</v>
      </c>
      <c r="AF146">
        <f>IF(Table1[[#This Row],[DeltaC]]-ABS(Table1[[#This Row],[DeltaP]])="0","0.01",Table1[[#This Row],[DeltaC]]-ABS(Table1[[#This Row],[DeltaP]]))</f>
        <v>0</v>
      </c>
      <c r="AG146" t="e">
        <f ca="1">((LN($A$4/Table1[[#This Row],[Strike]]) + (0.411 + 0.5 * Table1[[#This Row],[IV Calc P]]^2) *Table1[[#This Row],[T]])) / (Table1[[#This Row],[IV Calc P]] * SQRT(Table1[[#This Row],[T]]))</f>
        <v>#DIV/0!</v>
      </c>
      <c r="AH146" t="e">
        <f ca="1">(LN($A$4/Table1[[#This Row],[Strike]]) + (0.411-0 + 0.5 * Table1[[#This Row],[IV Calc C]]^2) *Table1[[#This Row],[T]]) / (Table1[[#This Row],[IV Calc C]] * SQRT(Table1[[#This Row],[T]]))</f>
        <v>#DIV/0!</v>
      </c>
      <c r="AI146" t="e">
        <f ca="1">(EXP(-(AG146^2)/2)/SQRT(2*PI())*EXP(0*SQRT(Table1[[#This Row],[T]]))/$A$4*18%*SQRT(SQRT(Table1[[#This Row],[T]])))</f>
        <v>#DIV/0!</v>
      </c>
      <c r="AJ146" t="e">
        <f ca="1">(EXP(-(AH146^2)/2)/SQRT(2*PI())*EXP(0*SQRT(Table1[[#This Row],[T]]))/$A$4*18%*SQRT(SQRT(Table1[[#This Row],[T]])))</f>
        <v>#DIV/0!</v>
      </c>
      <c r="AK146" t="e">
        <f ca="1">Table1[[#This Row],[Call D1]]-Table1[[#This Row],[IV Calc C]]*SQRT(Table1[[#This Row],[T]])</f>
        <v>#DIV/0!</v>
      </c>
      <c r="AL146" t="e">
        <f ca="1">Table1[[#This Row],[Put D1]]-Table1[[#This Row],[IV Calc P]]*SQRT(Table1[[#This Row],[T]])</f>
        <v>#DIV/0!</v>
      </c>
      <c r="AM146" t="e">
        <f ca="1">EXP(-0.5*Table1[[#This Row],[Call D1]]^2)/SQRT(2*PI())</f>
        <v>#DIV/0!</v>
      </c>
      <c r="AN146" t="e">
        <f ca="1">EXP(-0.5*Table1[[#This Row],[Put D1]]^2)/SQRT(2*PI())</f>
        <v>#DIV/0!</v>
      </c>
      <c r="AO146">
        <f ca="1">IFERROR((EXP(0*Table1[[#This Row],[T]])*Table1[[#This Row],[call N(d1)]]*(Table1[[#This Row],[call d2]]/Table1[[#This Row],[IV Calc C]]))*Table1[[#This Row],[Open.Int]]*Table1[[#This Row],[DeltaC]],0)</f>
        <v>0</v>
      </c>
      <c r="AP146">
        <f ca="1">IFERROR((EXP(0*Table1[[#This Row],[T]])*Table1[[#This Row],[put N(d1)]]*(Table1[[#This Row],[put d2]]/Table1[[#This Row],[IV Calc P]]))*Table1[[#This Row],[Open.Int8]]*Table1[[#This Row],[DeltaP]]*-1,0)</f>
        <v>0</v>
      </c>
      <c r="AQ146">
        <f ca="1">((Table1[[#This Row],[call vanna]]+Table1[[#This Row],[put vanna]])*$A$4)</f>
        <v>0</v>
      </c>
      <c r="AR14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6" s="9" t="str" cm="1">
        <f t="array" ref="AT146">_xlfn.IFS(     $M$1="SPX","SPXW",     $M$1="RUT","RUTW",  $M$1="NDX","NDXP",   TRUE,$M$1 )</f>
        <v>SPXW</v>
      </c>
      <c r="AU146" s="2">
        <f t="shared" si="17"/>
        <v>6915</v>
      </c>
      <c r="AV146" t="str">
        <f t="shared" si="18"/>
        <v>260123</v>
      </c>
      <c r="AW146" s="19">
        <f ca="1">IFERROR((EXP(0*Table1[[#This Row],[T]])*Table1[[#This Row],[put N(d1)]]*(Table1[[#This Row],[put d2]]/Table1[[#This Row],[IV Calc P]]))*Table1[[#This Row],[Open.Int8]]*Table1[[#This Row],[DeltaP]]*-1,0)</f>
        <v>0</v>
      </c>
      <c r="AX146">
        <f ca="1">IFERROR((EXP(0*Table1[[#This Row],[T]])*Table1[[#This Row],[call N(d1)]]*(Table1[[#This Row],[call d2]]/Table1[[#This Row],[IV Calc C]]))*Table1[[#This Row],[Open.Int]]*Table1[[#This Row],[DeltaC]],0)</f>
        <v>0</v>
      </c>
      <c r="AY14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6">
        <f>((Table1[[#This Row],[High C]]+Table1[[#This Row],[Low C]])/2)*Table1[[#This Row],[gammac]]*Table1[[#This Row],[Volume]]</f>
        <v>0</v>
      </c>
      <c r="BD146">
        <f>((Table1[[#This Row],[High P]]+Table1[[#This Row],[Low P]])/2)*Table1[[#This Row],[gammap]]*Table1[[#This Row],[Volume9]]*-1</f>
        <v>0</v>
      </c>
      <c r="BE146">
        <f>(Table1[[#This Row],[SgammaC]]+Table1[[#This Row],[SgammaP]])*$A$4*-100</f>
        <v>0</v>
      </c>
      <c r="BF146">
        <f>Table1[[#This Row],[DEXc]]+Table1[[#This Row],[DEXp]]</f>
        <v>0</v>
      </c>
      <c r="BG146">
        <f>IFERROR(Table1[[#This Row],[DeltaC]]*Table1[[#This Row],[Open.Int]]*$A$4,0)</f>
        <v>0</v>
      </c>
      <c r="BH146">
        <f>IFERROR(Table1[[#This Row],[DeltaP]]*Table1[[#This Row],[Open.Int8]]*$A$4,0)</f>
        <v>0</v>
      </c>
      <c r="BI14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6">
        <f ca="1">Table1[[#This Row],[Charmc]]+Table1[[#This Row],[Charmp]]</f>
        <v>0</v>
      </c>
      <c r="BL14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6" s="78">
        <f ca="1">Table1[[#This Row],[call helper]]+Table1[[#This Row],[put helper]]</f>
        <v>0</v>
      </c>
      <c r="BP146" t="str">
        <f>RTD("tos.rtd", , "STRIKE", "."&amp;Table1[[#This Row],[Ticker]]&amp;Table1[[#This Row],[Expiry]]&amp;""&amp;"C"&amp;Table1[[#This Row],[Spot]]+Table1[[#This Row],[step]])</f>
        <v>N/A</v>
      </c>
    </row>
    <row r="147" spans="1:77" x14ac:dyDescent="0.25">
      <c r="A147">
        <f t="shared" ca="1" si="14"/>
        <v>2.5814307458086375E-3</v>
      </c>
      <c r="C147" s="17"/>
      <c r="D147" t="b">
        <f>IF(
    ISNUMBER(Table1[[#This Row],[Strike]]),RTD("tos.rtd", , "OPEN_INT", "."&amp;Table1[[#This Row],[Ticker]]&amp;Table1[[#This Row],[Expiry]]&amp;""&amp;"C"&amp;Table1[[#This Row],[Strike]]))</f>
        <v>0</v>
      </c>
      <c r="E14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7" t="b">
        <f>IF(
    ISNUMBER(Table1[[#This Row],[Strike]]),RTD("tos.rtd", , "DELTA", "."&amp;Table1[[#This Row],[Ticker]]&amp;Table1[[#This Row],[Expiry]]&amp;""&amp;"C"&amp;Table1[[#This Row],[Strike]]))</f>
        <v>0</v>
      </c>
      <c r="H147" s="17" t="b" cm="1">
        <f t="array" ref="H147">IF(
    ISNUMBER(Table1[[#This Row],[Strike]]),IndividualLegIVCore($A$4, Table1[[#This Row],[Strike]], 0.0411, Table1[[#This Row],[T]], ((Table1[[#This Row],[BIDC]]+Table1[[#This Row],[ASKC]])/2), TRUE))</f>
        <v>0</v>
      </c>
      <c r="I147" t="b">
        <f>IF(
    ISNUMBER(Table1[[#This Row],[Strike]]),RTD("tos.rtd", , "BID", "."&amp;Table1[[#This Row],[Ticker]]&amp;Table1[[#This Row],[Expiry]]&amp;""&amp;"C"&amp;Table1[[#This Row],[Strike]]))</f>
        <v>0</v>
      </c>
      <c r="J147" t="b">
        <f>IF(
    ISNUMBER(Table1[[#This Row],[Strike]]),RTD("tos.rtd", , "ASK", "."&amp;Table1[[#This Row],[Ticker]]&amp;Table1[[#This Row],[Expiry]]&amp;""&amp;"C"&amp;Table1[[#This Row],[Strike]]))</f>
        <v>0</v>
      </c>
      <c r="K14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7" s="17" cm="1">
        <f t="array" aca="1" ref="L14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7" s="1">
        <f t="shared" si="15"/>
        <v>46045</v>
      </c>
      <c r="N147" t="b">
        <f t="shared" si="16"/>
        <v>0</v>
      </c>
      <c r="P147" s="17" t="b" cm="1">
        <f t="array" ref="P147">IF(
    ISNUMBER(Table1[[#This Row],[Strike]]),IndividualLegIVCore($A$4, Table1[[#This Row],[Strike]], 0.0411, Table1[[#This Row],[T]], ((Table1[[#This Row],[BIDP]]+Table1[[#This Row],[ASKP]])/2), FALSE))</f>
        <v>0</v>
      </c>
      <c r="Q147" t="b">
        <f>IF(
    ISNUMBER(Table1[[#This Row],[Strike]]),RTD("tos.rtd", , "BID", "."&amp;Table1[[#This Row],[Ticker]]&amp;Table1[[#This Row],[Expiry]]&amp;""&amp;"P"&amp;Table1[[#This Row],[Strike]]))</f>
        <v>0</v>
      </c>
      <c r="R147" t="b">
        <f>IF(
    ISNUMBER(Table1[[#This Row],[Strike]]),RTD("tos.rtd", , "ASK", "."&amp;Table1[[#This Row],[Ticker]]&amp;Table1[[#This Row],[Expiry]]&amp;""&amp;"P"&amp;Table1[[#This Row],[Strike]]))</f>
        <v>0</v>
      </c>
      <c r="S147" s="17"/>
      <c r="T147" t="b">
        <f>IF(
    ISNUMBER(Table1[[#This Row],[Strike]]),RTD("tos.rtd", , "OPEN_INT", "."&amp;Table1[[#This Row],[Ticker]]&amp;Table1[[#This Row],[Expiry]]&amp;""&amp;"P"&amp;Table1[[#This Row],[Strike]]))</f>
        <v>0</v>
      </c>
      <c r="U14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7" t="b">
        <f>IF(
    ISNUMBER(Table1[[#This Row],[Strike]]),RTD("tos.rtd", , "DELTA", "."&amp;Table1[[#This Row],[Ticker]]&amp;Table1[[#This Row],[Expiry]]&amp;""&amp;"P"&amp;Table1[[#This Row],[Strike]]))</f>
        <v>0</v>
      </c>
      <c r="Y147" s="19">
        <f>18.5* IF($M$1="NDX", 10, IF(OR($M$1="SPX", $M$1="RUT"), 2, 1))</f>
        <v>37</v>
      </c>
      <c r="Z147">
        <f ca="1">IFERROR(Table1[[#This Row],[call gamma]]*(Table1[[#This Row],[Open.Int]])*$A$4^2,0)</f>
        <v>0</v>
      </c>
      <c r="AA147">
        <f ca="1">IFERROR(((Table1[[#This Row],[Open.Int8]])*Table1[[#This Row],[Put gamma]])*-1*$A$4^2,0)</f>
        <v>0</v>
      </c>
      <c r="AB147">
        <f ca="1">(Table1[[#This Row],[Call Gex]]+Table1[[#This Row],[Put Gex]])</f>
        <v>0</v>
      </c>
      <c r="AC147">
        <f ca="1">Table1[[#This Row],[call delta adj]]+Table1[[#This Row],[put delta adj]]</f>
        <v>0</v>
      </c>
      <c r="AD147">
        <f ca="1">Table1[[#This Row],[Put Gex]]*Table1[[#This Row],[DeltaP]]*-1</f>
        <v>0</v>
      </c>
      <c r="AE147">
        <f ca="1">Table1[[#This Row],[Call Gex]]*Table1[[#This Row],[DeltaC]]</f>
        <v>0</v>
      </c>
      <c r="AF147">
        <f>IF(Table1[[#This Row],[DeltaC]]-ABS(Table1[[#This Row],[DeltaP]])="0","0.01",Table1[[#This Row],[DeltaC]]-ABS(Table1[[#This Row],[DeltaP]]))</f>
        <v>0</v>
      </c>
      <c r="AG147" t="e">
        <f ca="1">((LN($A$4/Table1[[#This Row],[Strike]]) + (0.411 + 0.5 * Table1[[#This Row],[IV Calc P]]^2) *Table1[[#This Row],[T]])) / (Table1[[#This Row],[IV Calc P]] * SQRT(Table1[[#This Row],[T]]))</f>
        <v>#DIV/0!</v>
      </c>
      <c r="AH147" t="e">
        <f ca="1">(LN($A$4/Table1[[#This Row],[Strike]]) + (0.411-0 + 0.5 * Table1[[#This Row],[IV Calc C]]^2) *Table1[[#This Row],[T]]) / (Table1[[#This Row],[IV Calc C]] * SQRT(Table1[[#This Row],[T]]))</f>
        <v>#DIV/0!</v>
      </c>
      <c r="AI147" t="e">
        <f ca="1">(EXP(-(AG147^2)/2)/SQRT(2*PI())*EXP(0*SQRT(Table1[[#This Row],[T]]))/$A$4*18%*SQRT(SQRT(Table1[[#This Row],[T]])))</f>
        <v>#DIV/0!</v>
      </c>
      <c r="AJ147" t="e">
        <f ca="1">(EXP(-(AH147^2)/2)/SQRT(2*PI())*EXP(0*SQRT(Table1[[#This Row],[T]]))/$A$4*18%*SQRT(SQRT(Table1[[#This Row],[T]])))</f>
        <v>#DIV/0!</v>
      </c>
      <c r="AK147" t="e">
        <f ca="1">Table1[[#This Row],[Call D1]]-Table1[[#This Row],[IV Calc C]]*SQRT(Table1[[#This Row],[T]])</f>
        <v>#DIV/0!</v>
      </c>
      <c r="AL147" t="e">
        <f ca="1">Table1[[#This Row],[Put D1]]-Table1[[#This Row],[IV Calc P]]*SQRT(Table1[[#This Row],[T]])</f>
        <v>#DIV/0!</v>
      </c>
      <c r="AM147" t="e">
        <f ca="1">EXP(-0.5*Table1[[#This Row],[Call D1]]^2)/SQRT(2*PI())</f>
        <v>#DIV/0!</v>
      </c>
      <c r="AN147" t="e">
        <f ca="1">EXP(-0.5*Table1[[#This Row],[Put D1]]^2)/SQRT(2*PI())</f>
        <v>#DIV/0!</v>
      </c>
      <c r="AO147">
        <f ca="1">IFERROR((EXP(0*Table1[[#This Row],[T]])*Table1[[#This Row],[call N(d1)]]*(Table1[[#This Row],[call d2]]/Table1[[#This Row],[IV Calc C]]))*Table1[[#This Row],[Open.Int]]*Table1[[#This Row],[DeltaC]],0)</f>
        <v>0</v>
      </c>
      <c r="AP147">
        <f ca="1">IFERROR((EXP(0*Table1[[#This Row],[T]])*Table1[[#This Row],[put N(d1)]]*(Table1[[#This Row],[put d2]]/Table1[[#This Row],[IV Calc P]]))*Table1[[#This Row],[Open.Int8]]*Table1[[#This Row],[DeltaP]]*-1,0)</f>
        <v>0</v>
      </c>
      <c r="AQ147">
        <f ca="1">((Table1[[#This Row],[call vanna]]+Table1[[#This Row],[put vanna]])*$A$4)</f>
        <v>0</v>
      </c>
      <c r="AR14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7" s="9" t="str" cm="1">
        <f t="array" ref="AT147">_xlfn.IFS(     $M$1="SPX","SPXW",     $M$1="RUT","RUTW",  $M$1="NDX","NDXP",   TRUE,$M$1 )</f>
        <v>SPXW</v>
      </c>
      <c r="AU147" s="2">
        <f t="shared" si="17"/>
        <v>6915</v>
      </c>
      <c r="AV147" t="str">
        <f t="shared" si="18"/>
        <v>260123</v>
      </c>
      <c r="AW147" s="19">
        <f ca="1">IFERROR((EXP(0*Table1[[#This Row],[T]])*Table1[[#This Row],[put N(d1)]]*(Table1[[#This Row],[put d2]]/Table1[[#This Row],[IV Calc P]]))*Table1[[#This Row],[Open.Int8]]*Table1[[#This Row],[DeltaP]]*-1,0)</f>
        <v>0</v>
      </c>
      <c r="AX147">
        <f ca="1">IFERROR((EXP(0*Table1[[#This Row],[T]])*Table1[[#This Row],[call N(d1)]]*(Table1[[#This Row],[call d2]]/Table1[[#This Row],[IV Calc C]]))*Table1[[#This Row],[Open.Int]]*Table1[[#This Row],[DeltaC]],0)</f>
        <v>0</v>
      </c>
      <c r="AY14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7">
        <f>((Table1[[#This Row],[High C]]+Table1[[#This Row],[Low C]])/2)*Table1[[#This Row],[gammac]]*Table1[[#This Row],[Volume]]</f>
        <v>0</v>
      </c>
      <c r="BD147">
        <f>((Table1[[#This Row],[High P]]+Table1[[#This Row],[Low P]])/2)*Table1[[#This Row],[gammap]]*Table1[[#This Row],[Volume9]]*-1</f>
        <v>0</v>
      </c>
      <c r="BE147">
        <f>(Table1[[#This Row],[SgammaC]]+Table1[[#This Row],[SgammaP]])*$A$4*-100</f>
        <v>0</v>
      </c>
      <c r="BF147">
        <f>Table1[[#This Row],[DEXc]]+Table1[[#This Row],[DEXp]]</f>
        <v>0</v>
      </c>
      <c r="BG147">
        <f>IFERROR(Table1[[#This Row],[DeltaC]]*Table1[[#This Row],[Open.Int]]*$A$4,0)</f>
        <v>0</v>
      </c>
      <c r="BH147">
        <f>IFERROR(Table1[[#This Row],[DeltaP]]*Table1[[#This Row],[Open.Int8]]*$A$4,0)</f>
        <v>0</v>
      </c>
      <c r="BI14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7">
        <f ca="1">Table1[[#This Row],[Charmc]]+Table1[[#This Row],[Charmp]]</f>
        <v>0</v>
      </c>
      <c r="BL14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7" s="78">
        <f ca="1">Table1[[#This Row],[call helper]]+Table1[[#This Row],[put helper]]</f>
        <v>0</v>
      </c>
      <c r="BP147" t="str">
        <f>RTD("tos.rtd", , "STRIKE", "."&amp;Table1[[#This Row],[Ticker]]&amp;Table1[[#This Row],[Expiry]]&amp;""&amp;"C"&amp;Table1[[#This Row],[Spot]]+Table1[[#This Row],[step]])</f>
        <v>N/A</v>
      </c>
    </row>
    <row r="148" spans="1:77" x14ac:dyDescent="0.25">
      <c r="A148">
        <f t="shared" ca="1" si="14"/>
        <v>2.5814307458086375E-3</v>
      </c>
      <c r="C148" s="17"/>
      <c r="D148" t="b">
        <f>IF(
    ISNUMBER(Table1[[#This Row],[Strike]]),RTD("tos.rtd", , "OPEN_INT", "."&amp;Table1[[#This Row],[Ticker]]&amp;Table1[[#This Row],[Expiry]]&amp;""&amp;"C"&amp;Table1[[#This Row],[Strike]]))</f>
        <v>0</v>
      </c>
      <c r="E14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8" t="b">
        <f>IF(
    ISNUMBER(Table1[[#This Row],[Strike]]),RTD("tos.rtd", , "DELTA", "."&amp;Table1[[#This Row],[Ticker]]&amp;Table1[[#This Row],[Expiry]]&amp;""&amp;"C"&amp;Table1[[#This Row],[Strike]]))</f>
        <v>0</v>
      </c>
      <c r="H148" s="17" t="b" cm="1">
        <f t="array" ref="H148">IF(
    ISNUMBER(Table1[[#This Row],[Strike]]),IndividualLegIVCore($A$4, Table1[[#This Row],[Strike]], 0.0411, Table1[[#This Row],[T]], ((Table1[[#This Row],[BIDC]]+Table1[[#This Row],[ASKC]])/2), TRUE))</f>
        <v>0</v>
      </c>
      <c r="I148" t="b">
        <f>IF(
    ISNUMBER(Table1[[#This Row],[Strike]]),RTD("tos.rtd", , "BID", "."&amp;Table1[[#This Row],[Ticker]]&amp;Table1[[#This Row],[Expiry]]&amp;""&amp;"C"&amp;Table1[[#This Row],[Strike]]))</f>
        <v>0</v>
      </c>
      <c r="J148" t="b">
        <f>IF(
    ISNUMBER(Table1[[#This Row],[Strike]]),RTD("tos.rtd", , "ASK", "."&amp;Table1[[#This Row],[Ticker]]&amp;Table1[[#This Row],[Expiry]]&amp;""&amp;"C"&amp;Table1[[#This Row],[Strike]]))</f>
        <v>0</v>
      </c>
      <c r="K14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8" s="17" cm="1">
        <f t="array" aca="1" ref="L14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8" s="1">
        <f t="shared" si="15"/>
        <v>46045</v>
      </c>
      <c r="N148" t="b">
        <f t="shared" si="16"/>
        <v>0</v>
      </c>
      <c r="P148" s="17" t="b" cm="1">
        <f t="array" ref="P148">IF(
    ISNUMBER(Table1[[#This Row],[Strike]]),IndividualLegIVCore($A$4, Table1[[#This Row],[Strike]], 0.0411, Table1[[#This Row],[T]], ((Table1[[#This Row],[BIDP]]+Table1[[#This Row],[ASKP]])/2), FALSE))</f>
        <v>0</v>
      </c>
      <c r="Q148" t="b">
        <f>IF(
    ISNUMBER(Table1[[#This Row],[Strike]]),RTD("tos.rtd", , "BID", "."&amp;Table1[[#This Row],[Ticker]]&amp;Table1[[#This Row],[Expiry]]&amp;""&amp;"P"&amp;Table1[[#This Row],[Strike]]))</f>
        <v>0</v>
      </c>
      <c r="R148" t="b">
        <f>IF(
    ISNUMBER(Table1[[#This Row],[Strike]]),RTD("tos.rtd", , "ASK", "."&amp;Table1[[#This Row],[Ticker]]&amp;Table1[[#This Row],[Expiry]]&amp;""&amp;"P"&amp;Table1[[#This Row],[Strike]]))</f>
        <v>0</v>
      </c>
      <c r="S148" s="17"/>
      <c r="T148" t="b">
        <f>IF(
    ISNUMBER(Table1[[#This Row],[Strike]]),RTD("tos.rtd", , "OPEN_INT", "."&amp;Table1[[#This Row],[Ticker]]&amp;Table1[[#This Row],[Expiry]]&amp;""&amp;"P"&amp;Table1[[#This Row],[Strike]]))</f>
        <v>0</v>
      </c>
      <c r="U14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8" t="b">
        <f>IF(
    ISNUMBER(Table1[[#This Row],[Strike]]),RTD("tos.rtd", , "DELTA", "."&amp;Table1[[#This Row],[Ticker]]&amp;Table1[[#This Row],[Expiry]]&amp;""&amp;"P"&amp;Table1[[#This Row],[Strike]]))</f>
        <v>0</v>
      </c>
      <c r="Y148" s="19">
        <f>19* IF($M$1="NDX", 10, IF(OR($M$1="SPX", $M$1="RUT"), 2, 1))</f>
        <v>38</v>
      </c>
      <c r="Z148">
        <f ca="1">IFERROR(Table1[[#This Row],[call gamma]]*(Table1[[#This Row],[Open.Int]])*$A$4^2,0)</f>
        <v>0</v>
      </c>
      <c r="AA148">
        <f ca="1">IFERROR(((Table1[[#This Row],[Open.Int8]])*Table1[[#This Row],[Put gamma]])*-1*$A$4^2,0)</f>
        <v>0</v>
      </c>
      <c r="AB148">
        <f ca="1">(Table1[[#This Row],[Call Gex]]+Table1[[#This Row],[Put Gex]])</f>
        <v>0</v>
      </c>
      <c r="AC148">
        <f ca="1">Table1[[#This Row],[call delta adj]]+Table1[[#This Row],[put delta adj]]</f>
        <v>0</v>
      </c>
      <c r="AD148">
        <f ca="1">Table1[[#This Row],[Put Gex]]*Table1[[#This Row],[DeltaP]]*-1</f>
        <v>0</v>
      </c>
      <c r="AE148">
        <f ca="1">Table1[[#This Row],[Call Gex]]*Table1[[#This Row],[DeltaC]]</f>
        <v>0</v>
      </c>
      <c r="AF148">
        <f>IF(Table1[[#This Row],[DeltaC]]-ABS(Table1[[#This Row],[DeltaP]])="0","0.01",Table1[[#This Row],[DeltaC]]-ABS(Table1[[#This Row],[DeltaP]]))</f>
        <v>0</v>
      </c>
      <c r="AG148" t="e">
        <f ca="1">((LN($A$4/Table1[[#This Row],[Strike]]) + (0.411 + 0.5 * Table1[[#This Row],[IV Calc P]]^2) *Table1[[#This Row],[T]])) / (Table1[[#This Row],[IV Calc P]] * SQRT(Table1[[#This Row],[T]]))</f>
        <v>#DIV/0!</v>
      </c>
      <c r="AH148" t="e">
        <f ca="1">(LN($A$4/Table1[[#This Row],[Strike]]) + (0.411-0 + 0.5 * Table1[[#This Row],[IV Calc C]]^2) *Table1[[#This Row],[T]]) / (Table1[[#This Row],[IV Calc C]] * SQRT(Table1[[#This Row],[T]]))</f>
        <v>#DIV/0!</v>
      </c>
      <c r="AI148" t="e">
        <f ca="1">(EXP(-(AG148^2)/2)/SQRT(2*PI())*EXP(0*SQRT(Table1[[#This Row],[T]]))/$A$4*18%*SQRT(SQRT(Table1[[#This Row],[T]])))</f>
        <v>#DIV/0!</v>
      </c>
      <c r="AJ148" t="e">
        <f ca="1">(EXP(-(AH148^2)/2)/SQRT(2*PI())*EXP(0*SQRT(Table1[[#This Row],[T]]))/$A$4*18%*SQRT(SQRT(Table1[[#This Row],[T]])))</f>
        <v>#DIV/0!</v>
      </c>
      <c r="AK148" t="e">
        <f ca="1">Table1[[#This Row],[Call D1]]-Table1[[#This Row],[IV Calc C]]*SQRT(Table1[[#This Row],[T]])</f>
        <v>#DIV/0!</v>
      </c>
      <c r="AL148" t="e">
        <f ca="1">Table1[[#This Row],[Put D1]]-Table1[[#This Row],[IV Calc P]]*SQRT(Table1[[#This Row],[T]])</f>
        <v>#DIV/0!</v>
      </c>
      <c r="AM148" t="e">
        <f ca="1">EXP(-0.5*Table1[[#This Row],[Call D1]]^2)/SQRT(2*PI())</f>
        <v>#DIV/0!</v>
      </c>
      <c r="AN148" t="e">
        <f ca="1">EXP(-0.5*Table1[[#This Row],[Put D1]]^2)/SQRT(2*PI())</f>
        <v>#DIV/0!</v>
      </c>
      <c r="AO148">
        <f ca="1">IFERROR((EXP(0*Table1[[#This Row],[T]])*Table1[[#This Row],[call N(d1)]]*(Table1[[#This Row],[call d2]]/Table1[[#This Row],[IV Calc C]]))*Table1[[#This Row],[Open.Int]]*Table1[[#This Row],[DeltaC]],0)</f>
        <v>0</v>
      </c>
      <c r="AP148">
        <f ca="1">IFERROR((EXP(0*Table1[[#This Row],[T]])*Table1[[#This Row],[put N(d1)]]*(Table1[[#This Row],[put d2]]/Table1[[#This Row],[IV Calc P]]))*Table1[[#This Row],[Open.Int8]]*Table1[[#This Row],[DeltaP]]*-1,0)</f>
        <v>0</v>
      </c>
      <c r="AQ148">
        <f ca="1">((Table1[[#This Row],[call vanna]]+Table1[[#This Row],[put vanna]])*$A$4)</f>
        <v>0</v>
      </c>
      <c r="AR14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8" s="9" t="str" cm="1">
        <f t="array" ref="AT148">_xlfn.IFS(     $M$1="SPX","SPXW",     $M$1="RUT","RUTW",  $M$1="NDX","NDXP",   TRUE,$M$1 )</f>
        <v>SPXW</v>
      </c>
      <c r="AU148" s="2">
        <f t="shared" si="17"/>
        <v>6915</v>
      </c>
      <c r="AV148" t="str">
        <f t="shared" si="18"/>
        <v>260123</v>
      </c>
      <c r="AW148" s="19">
        <f ca="1">IFERROR((EXP(0*Table1[[#This Row],[T]])*Table1[[#This Row],[put N(d1)]]*(Table1[[#This Row],[put d2]]/Table1[[#This Row],[IV Calc P]]))*Table1[[#This Row],[Open.Int8]]*Table1[[#This Row],[DeltaP]]*-1,0)</f>
        <v>0</v>
      </c>
      <c r="AX148">
        <f ca="1">IFERROR((EXP(0*Table1[[#This Row],[T]])*Table1[[#This Row],[call N(d1)]]*(Table1[[#This Row],[call d2]]/Table1[[#This Row],[IV Calc C]]))*Table1[[#This Row],[Open.Int]]*Table1[[#This Row],[DeltaC]],0)</f>
        <v>0</v>
      </c>
      <c r="AY14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8">
        <f>((Table1[[#This Row],[High C]]+Table1[[#This Row],[Low C]])/2)*Table1[[#This Row],[gammac]]*Table1[[#This Row],[Volume]]</f>
        <v>0</v>
      </c>
      <c r="BD148">
        <f>((Table1[[#This Row],[High P]]+Table1[[#This Row],[Low P]])/2)*Table1[[#This Row],[gammap]]*Table1[[#This Row],[Volume9]]*-1</f>
        <v>0</v>
      </c>
      <c r="BE148">
        <f>(Table1[[#This Row],[SgammaC]]+Table1[[#This Row],[SgammaP]])*$A$4*-100</f>
        <v>0</v>
      </c>
      <c r="BF148">
        <f>Table1[[#This Row],[DEXc]]+Table1[[#This Row],[DEXp]]</f>
        <v>0</v>
      </c>
      <c r="BG148">
        <f>IFERROR(Table1[[#This Row],[DeltaC]]*Table1[[#This Row],[Open.Int]]*$A$4,0)</f>
        <v>0</v>
      </c>
      <c r="BH148">
        <f>IFERROR(Table1[[#This Row],[DeltaP]]*Table1[[#This Row],[Open.Int8]]*$A$4,0)</f>
        <v>0</v>
      </c>
      <c r="BI14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8">
        <f ca="1">Table1[[#This Row],[Charmc]]+Table1[[#This Row],[Charmp]]</f>
        <v>0</v>
      </c>
      <c r="BL14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8" s="78">
        <f ca="1">Table1[[#This Row],[call helper]]+Table1[[#This Row],[put helper]]</f>
        <v>0</v>
      </c>
      <c r="BP148" t="str">
        <f>RTD("tos.rtd", , "STRIKE", "."&amp;Table1[[#This Row],[Ticker]]&amp;Table1[[#This Row],[Expiry]]&amp;""&amp;"C"&amp;Table1[[#This Row],[Spot]]+Table1[[#This Row],[step]])</f>
        <v>N/A</v>
      </c>
    </row>
    <row r="149" spans="1:77" x14ac:dyDescent="0.25">
      <c r="A149">
        <f t="shared" ca="1" si="14"/>
        <v>2.5814307458086375E-3</v>
      </c>
      <c r="C149" s="17"/>
      <c r="D149" t="b">
        <f>IF(
    ISNUMBER(Table1[[#This Row],[Strike]]),RTD("tos.rtd", , "OPEN_INT", "."&amp;Table1[[#This Row],[Ticker]]&amp;Table1[[#This Row],[Expiry]]&amp;""&amp;"C"&amp;Table1[[#This Row],[Strike]]))</f>
        <v>0</v>
      </c>
      <c r="E14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9" t="b">
        <f>IF(
    ISNUMBER(Table1[[#This Row],[Strike]]),RTD("tos.rtd", , "DELTA", "."&amp;Table1[[#This Row],[Ticker]]&amp;Table1[[#This Row],[Expiry]]&amp;""&amp;"C"&amp;Table1[[#This Row],[Strike]]))</f>
        <v>0</v>
      </c>
      <c r="H149" s="17" t="b" cm="1">
        <f t="array" ref="H149">IF(
    ISNUMBER(Table1[[#This Row],[Strike]]),IndividualLegIVCore($A$4, Table1[[#This Row],[Strike]], 0.0411, Table1[[#This Row],[T]], ((Table1[[#This Row],[BIDC]]+Table1[[#This Row],[ASKC]])/2), TRUE))</f>
        <v>0</v>
      </c>
      <c r="I149" t="b">
        <f>IF(
    ISNUMBER(Table1[[#This Row],[Strike]]),RTD("tos.rtd", , "BID", "."&amp;Table1[[#This Row],[Ticker]]&amp;Table1[[#This Row],[Expiry]]&amp;""&amp;"C"&amp;Table1[[#This Row],[Strike]]))</f>
        <v>0</v>
      </c>
      <c r="J149" t="b">
        <f>IF(
    ISNUMBER(Table1[[#This Row],[Strike]]),RTD("tos.rtd", , "ASK", "."&amp;Table1[[#This Row],[Ticker]]&amp;Table1[[#This Row],[Expiry]]&amp;""&amp;"C"&amp;Table1[[#This Row],[Strike]]))</f>
        <v>0</v>
      </c>
      <c r="K14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9" s="17" cm="1">
        <f t="array" aca="1" ref="L14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9" s="1">
        <f t="shared" si="15"/>
        <v>46045</v>
      </c>
      <c r="N149" t="b">
        <f t="shared" si="16"/>
        <v>0</v>
      </c>
      <c r="P149" s="17" t="b" cm="1">
        <f t="array" ref="P149">IF(
    ISNUMBER(Table1[[#This Row],[Strike]]),IndividualLegIVCore($A$4, Table1[[#This Row],[Strike]], 0.0411, Table1[[#This Row],[T]], ((Table1[[#This Row],[BIDP]]+Table1[[#This Row],[ASKP]])/2), FALSE))</f>
        <v>0</v>
      </c>
      <c r="Q149" t="b">
        <f>IF(
    ISNUMBER(Table1[[#This Row],[Strike]]),RTD("tos.rtd", , "BID", "."&amp;Table1[[#This Row],[Ticker]]&amp;Table1[[#This Row],[Expiry]]&amp;""&amp;"P"&amp;Table1[[#This Row],[Strike]]))</f>
        <v>0</v>
      </c>
      <c r="R149" t="b">
        <f>IF(
    ISNUMBER(Table1[[#This Row],[Strike]]),RTD("tos.rtd", , "ASK", "."&amp;Table1[[#This Row],[Ticker]]&amp;Table1[[#This Row],[Expiry]]&amp;""&amp;"P"&amp;Table1[[#This Row],[Strike]]))</f>
        <v>0</v>
      </c>
      <c r="S149" s="17"/>
      <c r="T149" t="b">
        <f>IF(
    ISNUMBER(Table1[[#This Row],[Strike]]),RTD("tos.rtd", , "OPEN_INT", "."&amp;Table1[[#This Row],[Ticker]]&amp;Table1[[#This Row],[Expiry]]&amp;""&amp;"P"&amp;Table1[[#This Row],[Strike]]))</f>
        <v>0</v>
      </c>
      <c r="U14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9" t="b">
        <f>IF(
    ISNUMBER(Table1[[#This Row],[Strike]]),RTD("tos.rtd", , "DELTA", "."&amp;Table1[[#This Row],[Ticker]]&amp;Table1[[#This Row],[Expiry]]&amp;""&amp;"P"&amp;Table1[[#This Row],[Strike]]))</f>
        <v>0</v>
      </c>
      <c r="Y149" s="19">
        <f>19.5* IF($M$1="NDX", 10, IF(OR($M$1="SPX", $M$1="RUT"), 2, 1))</f>
        <v>39</v>
      </c>
      <c r="Z149">
        <f ca="1">IFERROR(Table1[[#This Row],[call gamma]]*(Table1[[#This Row],[Open.Int]])*$A$4^2,0)</f>
        <v>0</v>
      </c>
      <c r="AA149">
        <f ca="1">IFERROR(((Table1[[#This Row],[Open.Int8]])*Table1[[#This Row],[Put gamma]])*-1*$A$4^2,0)</f>
        <v>0</v>
      </c>
      <c r="AB149">
        <f ca="1">(Table1[[#This Row],[Call Gex]]+Table1[[#This Row],[Put Gex]])</f>
        <v>0</v>
      </c>
      <c r="AC149">
        <f ca="1">Table1[[#This Row],[call delta adj]]+Table1[[#This Row],[put delta adj]]</f>
        <v>0</v>
      </c>
      <c r="AD149">
        <f ca="1">Table1[[#This Row],[Put Gex]]*Table1[[#This Row],[DeltaP]]*-1</f>
        <v>0</v>
      </c>
      <c r="AE149">
        <f ca="1">Table1[[#This Row],[Call Gex]]*Table1[[#This Row],[DeltaC]]</f>
        <v>0</v>
      </c>
      <c r="AF149">
        <f>IF(Table1[[#This Row],[DeltaC]]-ABS(Table1[[#This Row],[DeltaP]])="0","0.01",Table1[[#This Row],[DeltaC]]-ABS(Table1[[#This Row],[DeltaP]]))</f>
        <v>0</v>
      </c>
      <c r="AG149" t="e">
        <f ca="1">((LN($A$4/Table1[[#This Row],[Strike]]) + (0.411 + 0.5 * Table1[[#This Row],[IV Calc P]]^2) *Table1[[#This Row],[T]])) / (Table1[[#This Row],[IV Calc P]] * SQRT(Table1[[#This Row],[T]]))</f>
        <v>#DIV/0!</v>
      </c>
      <c r="AH149" t="e">
        <f ca="1">(LN($A$4/Table1[[#This Row],[Strike]]) + (0.411-0 + 0.5 * Table1[[#This Row],[IV Calc C]]^2) *Table1[[#This Row],[T]]) / (Table1[[#This Row],[IV Calc C]] * SQRT(Table1[[#This Row],[T]]))</f>
        <v>#DIV/0!</v>
      </c>
      <c r="AI149" t="e">
        <f ca="1">(EXP(-(AG149^2)/2)/SQRT(2*PI())*EXP(0*SQRT(Table1[[#This Row],[T]]))/$A$4*18%*SQRT(SQRT(Table1[[#This Row],[T]])))</f>
        <v>#DIV/0!</v>
      </c>
      <c r="AJ149" t="e">
        <f ca="1">(EXP(-(AH149^2)/2)/SQRT(2*PI())*EXP(0*SQRT(Table1[[#This Row],[T]]))/$A$4*18%*SQRT(SQRT(Table1[[#This Row],[T]])))</f>
        <v>#DIV/0!</v>
      </c>
      <c r="AK149" t="e">
        <f ca="1">Table1[[#This Row],[Call D1]]-Table1[[#This Row],[IV Calc C]]*SQRT(Table1[[#This Row],[T]])</f>
        <v>#DIV/0!</v>
      </c>
      <c r="AL149" t="e">
        <f ca="1">Table1[[#This Row],[Put D1]]-Table1[[#This Row],[IV Calc P]]*SQRT(Table1[[#This Row],[T]])</f>
        <v>#DIV/0!</v>
      </c>
      <c r="AM149" t="e">
        <f ca="1">EXP(-0.5*Table1[[#This Row],[Call D1]]^2)/SQRT(2*PI())</f>
        <v>#DIV/0!</v>
      </c>
      <c r="AN149" t="e">
        <f ca="1">EXP(-0.5*Table1[[#This Row],[Put D1]]^2)/SQRT(2*PI())</f>
        <v>#DIV/0!</v>
      </c>
      <c r="AO149">
        <f ca="1">IFERROR((EXP(0*Table1[[#This Row],[T]])*Table1[[#This Row],[call N(d1)]]*(Table1[[#This Row],[call d2]]/Table1[[#This Row],[IV Calc C]]))*Table1[[#This Row],[Open.Int]]*Table1[[#This Row],[DeltaC]],0)</f>
        <v>0</v>
      </c>
      <c r="AP149">
        <f ca="1">IFERROR((EXP(0*Table1[[#This Row],[T]])*Table1[[#This Row],[put N(d1)]]*(Table1[[#This Row],[put d2]]/Table1[[#This Row],[IV Calc P]]))*Table1[[#This Row],[Open.Int8]]*Table1[[#This Row],[DeltaP]]*-1,0)</f>
        <v>0</v>
      </c>
      <c r="AQ149">
        <f ca="1">((Table1[[#This Row],[call vanna]]+Table1[[#This Row],[put vanna]])*$A$4)</f>
        <v>0</v>
      </c>
      <c r="AR14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9" s="9" t="str" cm="1">
        <f t="array" ref="AT149">_xlfn.IFS(     $M$1="SPX","SPXW",     $M$1="RUT","RUTW",  $M$1="NDX","NDXP",   TRUE,$M$1 )</f>
        <v>SPXW</v>
      </c>
      <c r="AU149" s="2">
        <f t="shared" si="17"/>
        <v>6915</v>
      </c>
      <c r="AV149" t="str">
        <f t="shared" si="18"/>
        <v>260123</v>
      </c>
      <c r="AW149" s="19">
        <f ca="1">IFERROR((EXP(0*Table1[[#This Row],[T]])*Table1[[#This Row],[put N(d1)]]*(Table1[[#This Row],[put d2]]/Table1[[#This Row],[IV Calc P]]))*Table1[[#This Row],[Open.Int8]]*Table1[[#This Row],[DeltaP]]*-1,0)</f>
        <v>0</v>
      </c>
      <c r="AX149">
        <f ca="1">IFERROR((EXP(0*Table1[[#This Row],[T]])*Table1[[#This Row],[call N(d1)]]*(Table1[[#This Row],[call d2]]/Table1[[#This Row],[IV Calc C]]))*Table1[[#This Row],[Open.Int]]*Table1[[#This Row],[DeltaC]],0)</f>
        <v>0</v>
      </c>
      <c r="AY14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9">
        <f>((Table1[[#This Row],[High C]]+Table1[[#This Row],[Low C]])/2)*Table1[[#This Row],[gammac]]*Table1[[#This Row],[Volume]]</f>
        <v>0</v>
      </c>
      <c r="BD149">
        <f>((Table1[[#This Row],[High P]]+Table1[[#This Row],[Low P]])/2)*Table1[[#This Row],[gammap]]*Table1[[#This Row],[Volume9]]*-1</f>
        <v>0</v>
      </c>
      <c r="BE149">
        <f>(Table1[[#This Row],[SgammaC]]+Table1[[#This Row],[SgammaP]])*$A$4*-100</f>
        <v>0</v>
      </c>
      <c r="BF149">
        <f>Table1[[#This Row],[DEXc]]+Table1[[#This Row],[DEXp]]</f>
        <v>0</v>
      </c>
      <c r="BG149">
        <f>IFERROR(Table1[[#This Row],[DeltaC]]*Table1[[#This Row],[Open.Int]]*$A$4,0)</f>
        <v>0</v>
      </c>
      <c r="BH149">
        <f>IFERROR(Table1[[#This Row],[DeltaP]]*Table1[[#This Row],[Open.Int8]]*$A$4,0)</f>
        <v>0</v>
      </c>
      <c r="BI14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9">
        <f ca="1">Table1[[#This Row],[Charmc]]+Table1[[#This Row],[Charmp]]</f>
        <v>0</v>
      </c>
      <c r="BL14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9" s="78">
        <f ca="1">Table1[[#This Row],[call helper]]+Table1[[#This Row],[put helper]]</f>
        <v>0</v>
      </c>
      <c r="BP149" t="str">
        <f>RTD("tos.rtd", , "STRIKE", "."&amp;Table1[[#This Row],[Ticker]]&amp;Table1[[#This Row],[Expiry]]&amp;""&amp;"C"&amp;Table1[[#This Row],[Spot]]+Table1[[#This Row],[step]])</f>
        <v>N/A</v>
      </c>
    </row>
    <row r="150" spans="1:77" x14ac:dyDescent="0.25">
      <c r="A150">
        <f t="shared" ca="1" si="14"/>
        <v>2.5814307458086375E-3</v>
      </c>
      <c r="C150" s="17"/>
      <c r="D150">
        <f>IF(
    ISNUMBER(Table1[[#This Row],[Strike]]),RTD("tos.rtd", , "OPEN_INT", "."&amp;Table1[[#This Row],[Ticker]]&amp;Table1[[#This Row],[Expiry]]&amp;""&amp;"C"&amp;Table1[[#This Row],[Strike]]))</f>
        <v>1211</v>
      </c>
      <c r="E15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5278</v>
      </c>
      <c r="G150">
        <f>IF(
    ISNUMBER(Table1[[#This Row],[Strike]]),RTD("tos.rtd", , "DELTA", "."&amp;Table1[[#This Row],[Ticker]]&amp;Table1[[#This Row],[Expiry]]&amp;""&amp;"C"&amp;Table1[[#This Row],[Strike]]))</f>
        <v>0.13</v>
      </c>
      <c r="H150" s="17" cm="1">
        <f t="array" aca="1" ref="H150" ca="1">IF(
    ISNUMBER(Table1[[#This Row],[Strike]]),IndividualLegIVCore($A$4, Table1[[#This Row],[Strike]], 0.0411, Table1[[#This Row],[T]], ((Table1[[#This Row],[BIDC]]+Table1[[#This Row],[ASKC]])/2), TRUE))</f>
        <v>0.10119992515277303</v>
      </c>
      <c r="I150">
        <f>IF(
    ISNUMBER(Table1[[#This Row],[Strike]]),RTD("tos.rtd", , "BID", "."&amp;Table1[[#This Row],[Ticker]]&amp;Table1[[#This Row],[Expiry]]&amp;""&amp;"C"&amp;Table1[[#This Row],[Strike]]))</f>
        <v>2.1</v>
      </c>
      <c r="J150">
        <f>IF(
    ISNUMBER(Table1[[#This Row],[Strike]]),RTD("tos.rtd", , "ASK", "."&amp;Table1[[#This Row],[Ticker]]&amp;Table1[[#This Row],[Expiry]]&amp;""&amp;"C"&amp;Table1[[#This Row],[Strike]]))</f>
        <v>2.35</v>
      </c>
      <c r="K15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0.10119992515277303</v>
      </c>
      <c r="L150" s="17" cm="1">
        <f t="array" aca="1" ref="L150" ca="1">CubicSplineIVSmile($A$4, Table1[[#This Row],[Strike]], 0.0411, Table1[[#This Row],[T]], (Table1[[#This Row],[BIDC]]+Table1[[#This Row],[ASKC]])/2, (Table1[[#This Row],[BIDP]]+Table1[[#This Row],[ASKP]])/2, Table1[Strike], Table1[IV Calc AVG])</f>
        <v>0.14417502455814851</v>
      </c>
      <c r="M150" s="1">
        <f t="shared" si="15"/>
        <v>46045</v>
      </c>
      <c r="N150">
        <f t="shared" si="16"/>
        <v>6955</v>
      </c>
      <c r="P150" s="17" cm="1">
        <f t="array" aca="1" ref="P150" ca="1">IF(
    ISNUMBER(Table1[[#This Row],[Strike]]),IndividualLegIVCore($A$4, Table1[[#This Row],[Strike]], 0.0411, Table1[[#This Row],[T]], ((Table1[[#This Row],[BIDP]]+Table1[[#This Row],[ASKP]])/2), FALSE))</f>
        <v>0.15373569022067279</v>
      </c>
      <c r="Q150">
        <f>IF(
    ISNUMBER(Table1[[#This Row],[Strike]]),RTD("tos.rtd", , "BID", "."&amp;Table1[[#This Row],[Ticker]]&amp;Table1[[#This Row],[Expiry]]&amp;""&amp;"P"&amp;Table1[[#This Row],[Strike]]))</f>
        <v>47.4</v>
      </c>
      <c r="R150">
        <f>IF(
    ISNUMBER(Table1[[#This Row],[Strike]]),RTD("tos.rtd", , "ASK", "."&amp;Table1[[#This Row],[Ticker]]&amp;Table1[[#This Row],[Expiry]]&amp;""&amp;"P"&amp;Table1[[#This Row],[Strike]]))</f>
        <v>48.5</v>
      </c>
      <c r="S150" s="17"/>
      <c r="T150">
        <f>IF(
    ISNUMBER(Table1[[#This Row],[Strike]]),RTD("tos.rtd", , "OPEN_INT", "."&amp;Table1[[#This Row],[Ticker]]&amp;Table1[[#This Row],[Expiry]]&amp;""&amp;"P"&amp;Table1[[#This Row],[Strike]]))</f>
        <v>469</v>
      </c>
      <c r="U15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322</v>
      </c>
      <c r="W150">
        <f>IF(
    ISNUMBER(Table1[[#This Row],[Strike]]),RTD("tos.rtd", , "DELTA", "."&amp;Table1[[#This Row],[Ticker]]&amp;Table1[[#This Row],[Expiry]]&amp;""&amp;"P"&amp;Table1[[#This Row],[Strike]]))</f>
        <v>-0.77</v>
      </c>
      <c r="Y150" s="19">
        <f>20* IF($M$1="NDX", 10, IF(OR($M$1="SPX", $M$1="RUT"), 2, 1))</f>
        <v>40</v>
      </c>
      <c r="Z150">
        <f ca="1">IFERROR(Table1[[#This Row],[call gamma]]*(Table1[[#This Row],[Open.Int]])*$A$4^2,0)</f>
        <v>85538.627551993661</v>
      </c>
      <c r="AA150">
        <f ca="1">IFERROR(((Table1[[#This Row],[Open.Int8]])*Table1[[#This Row],[Put gamma]])*-1*$A$4^2,0)</f>
        <v>-43055.567807050371</v>
      </c>
      <c r="AB150">
        <f ca="1">(Table1[[#This Row],[Call Gex]]+Table1[[#This Row],[Put Gex]])</f>
        <v>42483.05974494329</v>
      </c>
      <c r="AC150">
        <f ca="1">Table1[[#This Row],[call delta adj]]+Table1[[#This Row],[put delta adj]]</f>
        <v>-22032.765629669615</v>
      </c>
      <c r="AD150">
        <f ca="1">Table1[[#This Row],[Put Gex]]*Table1[[#This Row],[DeltaP]]*-1</f>
        <v>-33152.787211428789</v>
      </c>
      <c r="AE150">
        <f ca="1">Table1[[#This Row],[Call Gex]]*Table1[[#This Row],[DeltaC]]</f>
        <v>11120.021581759176</v>
      </c>
      <c r="AF150">
        <f>IF(Table1[[#This Row],[DeltaC]]-ABS(Table1[[#This Row],[DeltaP]])="0","0.01",Table1[[#This Row],[DeltaC]]-ABS(Table1[[#This Row],[DeltaP]]))</f>
        <v>-0.64</v>
      </c>
      <c r="AG150">
        <f ca="1">((LN($A$4/Table1[[#This Row],[Strike]]) + (0.411 + 0.5 * Table1[[#This Row],[IV Calc P]]^2) *Table1[[#This Row],[T]])) / (Table1[[#This Row],[IV Calc P]] * SQRT(Table1[[#This Row],[T]]))</f>
        <v>-0.62924670168888197</v>
      </c>
      <c r="AH150">
        <f ca="1">(LN($A$4/Table1[[#This Row],[Strike]]) + (0.411-0 + 0.5 * Table1[[#This Row],[IV Calc C]]^2) *Table1[[#This Row],[T]]) / (Table1[[#This Row],[IV Calc C]] * SQRT(Table1[[#This Row],[T]]))</f>
        <v>-0.95926865762953117</v>
      </c>
      <c r="AI150">
        <f ca="1">(EXP(-(AG150^2)/2)/SQRT(2*PI())*EXP(0*SQRT(Table1[[#This Row],[T]]))/$A$4*18%*SQRT(SQRT(Table1[[#This Row],[T]])))</f>
        <v>1.9207878044136029E-6</v>
      </c>
      <c r="AJ150">
        <f ca="1">(EXP(-(AH150^2)/2)/SQRT(2*PI())*EXP(0*SQRT(Table1[[#This Row],[T]]))/$A$4*18%*SQRT(SQRT(Table1[[#This Row],[T]])))</f>
        <v>1.4778863774928435E-6</v>
      </c>
      <c r="AK150">
        <f ca="1">Table1[[#This Row],[Call D1]]-Table1[[#This Row],[IV Calc C]]*SQRT(Table1[[#This Row],[T]])</f>
        <v>-0.96441040139901946</v>
      </c>
      <c r="AL150">
        <f ca="1">Table1[[#This Row],[Put D1]]-Table1[[#This Row],[IV Calc P]]*SQRT(Table1[[#This Row],[T]])</f>
        <v>-0.63705767117474688</v>
      </c>
      <c r="AM150">
        <f ca="1">EXP(-0.5*Table1[[#This Row],[Call D1]]^2)/SQRT(2*PI())</f>
        <v>0.25182101243143401</v>
      </c>
      <c r="AN150">
        <f ca="1">EXP(-0.5*Table1[[#This Row],[Put D1]]^2)/SQRT(2*PI())</f>
        <v>0.32728817109333352</v>
      </c>
      <c r="AO150">
        <f ca="1">IFERROR((EXP(0*Table1[[#This Row],[T]])*Table1[[#This Row],[call N(d1)]]*(Table1[[#This Row],[call d2]]/Table1[[#This Row],[IV Calc C]]))*Table1[[#This Row],[Open.Int]]*Table1[[#This Row],[DeltaC]],0)</f>
        <v>-377.79930573642901</v>
      </c>
      <c r="AP150">
        <f ca="1">IFERROR((EXP(0*Table1[[#This Row],[T]])*Table1[[#This Row],[put N(d1)]]*(Table1[[#This Row],[put d2]]/Table1[[#This Row],[IV Calc P]]))*Table1[[#This Row],[Open.Int8]]*Table1[[#This Row],[DeltaP]]*-1,0)</f>
        <v>-489.77647902008835</v>
      </c>
      <c r="AQ150">
        <f ca="1">((Table1[[#This Row],[call vanna]]+Table1[[#This Row],[put vanna]])*$A$4)</f>
        <v>-5997855.0515464693</v>
      </c>
      <c r="AR15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85538.627551993661</v>
      </c>
      <c r="AS15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-43055.567807050371</v>
      </c>
      <c r="AT150" s="9" t="str" cm="1">
        <f t="array" ref="AT150">_xlfn.IFS(     $M$1="SPX","SPXW",     $M$1="RUT","RUTW",  $M$1="NDX","NDXP",   TRUE,$M$1 )</f>
        <v>SPXW</v>
      </c>
      <c r="AU150" s="2">
        <f t="shared" si="17"/>
        <v>6915</v>
      </c>
      <c r="AV150" t="str">
        <f t="shared" si="18"/>
        <v>260123</v>
      </c>
      <c r="AW150" s="19">
        <f ca="1">IFERROR((EXP(0*Table1[[#This Row],[T]])*Table1[[#This Row],[put N(d1)]]*(Table1[[#This Row],[put d2]]/Table1[[#This Row],[IV Calc P]]))*Table1[[#This Row],[Open.Int8]]*Table1[[#This Row],[DeltaP]]*-1,0)</f>
        <v>-489.77647902008835</v>
      </c>
      <c r="AX150">
        <f ca="1">IFERROR((EXP(0*Table1[[#This Row],[T]])*Table1[[#This Row],[call N(d1)]]*(Table1[[#This Row],[call d2]]/Table1[[#This Row],[IV Calc C]]))*Table1[[#This Row],[Open.Int]]*Table1[[#This Row],[DeltaC]],0)</f>
        <v>-377.79930573642901</v>
      </c>
      <c r="AY150">
        <f>IF(
    ISNUMBER(Table1[[#This Row],[Strike]]),RTD("tos.rtd", , "high", "."&amp;Table1[[#This Row],[Ticker]]&amp;Table1[[#This Row],[Expiry]]&amp;""&amp;"C"&amp;Table1[[#This Row],[Spot]]+Table1[[#This Row],[step]]))</f>
        <v>11</v>
      </c>
      <c r="AZ150">
        <f>IF(
    ISNUMBER(Table1[[#This Row],[Strike]]),RTD("tos.rtd", , "low", "."&amp;Table1[[#This Row],[Ticker]]&amp;Table1[[#This Row],[Expiry]]&amp;""&amp;"C"&amp;Table1[[#This Row],[Spot]]+Table1[[#This Row],[step]]))</f>
        <v>1.7</v>
      </c>
      <c r="BA150">
        <f>IF(
    ISNUMBER(Table1[[#This Row],[Strike]]),RTD("tos.rtd", , "high", "."&amp;Table1[[#This Row],[Ticker]]&amp;Table1[[#This Row],[Expiry]]&amp;""&amp;"P"&amp;Table1[[#This Row],[Spot]]+Table1[[#This Row],[step]]))</f>
        <v>59.86</v>
      </c>
      <c r="BB150">
        <f>IF(
    ISNUMBER(Table1[[#This Row],[Strike]]),RTD("tos.rtd", , "low", "."&amp;Table1[[#This Row],[Ticker]]&amp;Table1[[#This Row],[Expiry]]&amp;""&amp;"P"&amp;Table1[[#This Row],[Spot]]+Table1[[#This Row],[step]]))</f>
        <v>27.55</v>
      </c>
      <c r="BC150">
        <f>((Table1[[#This Row],[High C]]+Table1[[#This Row],[Low C]])/2)*Table1[[#This Row],[gammac]]*Table1[[#This Row],[Volume]]</f>
        <v>335.15300000000002</v>
      </c>
      <c r="BD150">
        <f>((Table1[[#This Row],[High P]]+Table1[[#This Row],[Low P]])/2)*Table1[[#This Row],[gammap]]*Table1[[#This Row],[Volume9]]*-1</f>
        <v>-140.73009999999999</v>
      </c>
      <c r="BE150">
        <f>(Table1[[#This Row],[SgammaC]]+Table1[[#This Row],[SgammaP]])*$A$4*-100</f>
        <v>-134411355.57150003</v>
      </c>
      <c r="BF150">
        <f>Table1[[#This Row],[DEXc]]+Table1[[#This Row],[DEXp]]</f>
        <v>-1408249.395</v>
      </c>
      <c r="BG150">
        <f>IFERROR(Table1[[#This Row],[DeltaC]]*Table1[[#This Row],[Open.Int]]*$A$4,0)</f>
        <v>1088368.6905</v>
      </c>
      <c r="BH150">
        <f>IFERROR(Table1[[#This Row],[DeltaP]]*Table1[[#This Row],[Open.Int8]]*$A$4,0)</f>
        <v>-2496618.0855</v>
      </c>
      <c r="BI15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-3388985.745731439</v>
      </c>
      <c r="BJ15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-2043393.0031642357</v>
      </c>
      <c r="BK150">
        <f ca="1">Table1[[#This Row],[Charmc]]+Table1[[#This Row],[Charmp]]</f>
        <v>-5432378.7488956749</v>
      </c>
      <c r="BL150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50" s="78">
        <f>IF(
    ISNUMBER(Table1[[#This Row],[Strike]]),RTD("tos.rtd", , "GAMMA", "."&amp;Table1[[#This Row],[Ticker]]&amp;Table1[[#This Row],[Expiry]]&amp;""&amp;"C"&amp;Table1[[#This Row],[Spot]]+Table1[[#This Row],[step]]))</f>
        <v>0.01</v>
      </c>
      <c r="BN150" s="78">
        <f ca="1">Table1[[#This Row],[call helper]]+Table1[[#This Row],[put helper]]</f>
        <v>42483.05974494329</v>
      </c>
      <c r="BP150">
        <f>RTD("tos.rtd", , "STRIKE", "."&amp;Table1[[#This Row],[Ticker]]&amp;Table1[[#This Row],[Expiry]]&amp;""&amp;"C"&amp;Table1[[#This Row],[Spot]]+Table1[[#This Row],[step]])</f>
        <v>6955</v>
      </c>
    </row>
    <row r="151" spans="1:77" s="13" customFormat="1" x14ac:dyDescent="0.25">
      <c r="A151">
        <f t="shared" ca="1" si="14"/>
        <v>2.5814307458086375E-3</v>
      </c>
      <c r="B151"/>
      <c r="C151" s="17"/>
      <c r="D151" t="b">
        <f>IF(
    ISNUMBER(Table1[[#This Row],[Strike]]),RTD("tos.rtd", , "OPEN_INT", "."&amp;Table1[[#This Row],[Ticker]]&amp;Table1[[#This Row],[Expiry]]&amp;""&amp;"C"&amp;Table1[[#This Row],[Strike]]))</f>
        <v>0</v>
      </c>
      <c r="E15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151"/>
      <c r="G151" t="b">
        <f>IF(
    ISNUMBER(Table1[[#This Row],[Strike]]),RTD("tos.rtd", , "DELTA", "."&amp;Table1[[#This Row],[Ticker]]&amp;Table1[[#This Row],[Expiry]]&amp;""&amp;"C"&amp;Table1[[#This Row],[Strike]]))</f>
        <v>0</v>
      </c>
      <c r="H151" s="17" t="b" cm="1">
        <f t="array" ref="H151">IF(
    ISNUMBER(Table1[[#This Row],[Strike]]),IndividualLegIVCore($A$4, Table1[[#This Row],[Strike]], 0.0411, Table1[[#This Row],[T]], ((Table1[[#This Row],[BIDC]]+Table1[[#This Row],[ASKC]])/2), TRUE))</f>
        <v>0</v>
      </c>
      <c r="I151" t="b">
        <f>IF(
    ISNUMBER(Table1[[#This Row],[Strike]]),RTD("tos.rtd", , "BID", "."&amp;Table1[[#This Row],[Ticker]]&amp;Table1[[#This Row],[Expiry]]&amp;""&amp;"C"&amp;Table1[[#This Row],[Strike]]))</f>
        <v>0</v>
      </c>
      <c r="J151" t="b">
        <f>IF(
    ISNUMBER(Table1[[#This Row],[Strike]]),RTD("tos.rtd", , "ASK", "."&amp;Table1[[#This Row],[Ticker]]&amp;Table1[[#This Row],[Expiry]]&amp;""&amp;"C"&amp;Table1[[#This Row],[Strike]]))</f>
        <v>0</v>
      </c>
      <c r="K15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1" s="17" cm="1">
        <f t="array" aca="1" ref="L15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1" s="1">
        <f t="shared" si="15"/>
        <v>46045</v>
      </c>
      <c r="N151" t="b">
        <f t="shared" si="16"/>
        <v>0</v>
      </c>
      <c r="O151"/>
      <c r="P151" s="17" t="b" cm="1">
        <f t="array" ref="P151">IF(
    ISNUMBER(Table1[[#This Row],[Strike]]),IndividualLegIVCore($A$4, Table1[[#This Row],[Strike]], 0.0411, Table1[[#This Row],[T]], ((Table1[[#This Row],[BIDP]]+Table1[[#This Row],[ASKP]])/2), FALSE))</f>
        <v>0</v>
      </c>
      <c r="Q151" t="b">
        <f>IF(
    ISNUMBER(Table1[[#This Row],[Strike]]),RTD("tos.rtd", , "BID", "."&amp;Table1[[#This Row],[Ticker]]&amp;Table1[[#This Row],[Expiry]]&amp;""&amp;"P"&amp;Table1[[#This Row],[Strike]]))</f>
        <v>0</v>
      </c>
      <c r="R151" t="b">
        <f>IF(
    ISNUMBER(Table1[[#This Row],[Strike]]),RTD("tos.rtd", , "ASK", "."&amp;Table1[[#This Row],[Ticker]]&amp;Table1[[#This Row],[Expiry]]&amp;""&amp;"P"&amp;Table1[[#This Row],[Strike]]))</f>
        <v>0</v>
      </c>
      <c r="S151" s="17"/>
      <c r="T151" t="b">
        <f>IF(
    ISNUMBER(Table1[[#This Row],[Strike]]),RTD("tos.rtd", , "OPEN_INT", "."&amp;Table1[[#This Row],[Ticker]]&amp;Table1[[#This Row],[Expiry]]&amp;""&amp;"P"&amp;Table1[[#This Row],[Strike]]))</f>
        <v>0</v>
      </c>
      <c r="U15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151"/>
      <c r="W151" t="b">
        <f>IF(
    ISNUMBER(Table1[[#This Row],[Strike]]),RTD("tos.rtd", , "DELTA", "."&amp;Table1[[#This Row],[Ticker]]&amp;Table1[[#This Row],[Expiry]]&amp;""&amp;"P"&amp;Table1[[#This Row],[Strike]]))</f>
        <v>0</v>
      </c>
      <c r="X151"/>
      <c r="Y151" s="19">
        <f>20.5* IF($M$1="NDX", 10, IF(OR($M$1="SPX", $M$1="RUT"), 2, 1))</f>
        <v>41</v>
      </c>
      <c r="Z151">
        <f ca="1">IFERROR(Table1[[#This Row],[call gamma]]*(Table1[[#This Row],[Open.Int]])*$A$4^2,0)</f>
        <v>0</v>
      </c>
      <c r="AA151">
        <f ca="1">IFERROR(((Table1[[#This Row],[Open.Int8]])*Table1[[#This Row],[Put gamma]])*-1*$A$4^2,0)</f>
        <v>0</v>
      </c>
      <c r="AB151">
        <f ca="1">(Table1[[#This Row],[Call Gex]]+Table1[[#This Row],[Put Gex]])</f>
        <v>0</v>
      </c>
      <c r="AC151">
        <f ca="1">Table1[[#This Row],[call delta adj]]+Table1[[#This Row],[put delta adj]]</f>
        <v>0</v>
      </c>
      <c r="AD151">
        <f ca="1">Table1[[#This Row],[Put Gex]]*Table1[[#This Row],[DeltaP]]*-1</f>
        <v>0</v>
      </c>
      <c r="AE151">
        <f ca="1">Table1[[#This Row],[Call Gex]]*Table1[[#This Row],[DeltaC]]</f>
        <v>0</v>
      </c>
      <c r="AF151">
        <f>IF(Table1[[#This Row],[DeltaC]]-ABS(Table1[[#This Row],[DeltaP]])="0","0.01",Table1[[#This Row],[DeltaC]]-ABS(Table1[[#This Row],[DeltaP]]))</f>
        <v>0</v>
      </c>
      <c r="AG151" t="e">
        <f ca="1">((LN($A$4/Table1[[#This Row],[Strike]]) + (0.411 + 0.5 * Table1[[#This Row],[IV Calc P]]^2) *Table1[[#This Row],[T]])) / (Table1[[#This Row],[IV Calc P]] * SQRT(Table1[[#This Row],[T]]))</f>
        <v>#DIV/0!</v>
      </c>
      <c r="AH151" t="e">
        <f ca="1">(LN($A$4/Table1[[#This Row],[Strike]]) + (0.411-0 + 0.5 * Table1[[#This Row],[IV Calc C]]^2) *Table1[[#This Row],[T]]) / (Table1[[#This Row],[IV Calc C]] * SQRT(Table1[[#This Row],[T]]))</f>
        <v>#DIV/0!</v>
      </c>
      <c r="AI151" t="e">
        <f ca="1">(EXP(-(AG151^2)/2)/SQRT(2*PI())*EXP(0*SQRT(Table1[[#This Row],[T]]))/$A$4*18%*SQRT(SQRT(Table1[[#This Row],[T]])))</f>
        <v>#DIV/0!</v>
      </c>
      <c r="AJ151" t="e">
        <f ca="1">(EXP(-(AH151^2)/2)/SQRT(2*PI())*EXP(0*SQRT(Table1[[#This Row],[T]]))/$A$4*18%*SQRT(SQRT(Table1[[#This Row],[T]])))</f>
        <v>#DIV/0!</v>
      </c>
      <c r="AK151" t="e">
        <f ca="1">Table1[[#This Row],[Call D1]]-Table1[[#This Row],[IV Calc C]]*SQRT(Table1[[#This Row],[T]])</f>
        <v>#DIV/0!</v>
      </c>
      <c r="AL151" t="e">
        <f ca="1">Table1[[#This Row],[Put D1]]-Table1[[#This Row],[IV Calc P]]*SQRT(Table1[[#This Row],[T]])</f>
        <v>#DIV/0!</v>
      </c>
      <c r="AM151" t="e">
        <f ca="1">EXP(-0.5*Table1[[#This Row],[Call D1]]^2)/SQRT(2*PI())</f>
        <v>#DIV/0!</v>
      </c>
      <c r="AN151" t="e">
        <f ca="1">EXP(-0.5*Table1[[#This Row],[Put D1]]^2)/SQRT(2*PI())</f>
        <v>#DIV/0!</v>
      </c>
      <c r="AO151">
        <f ca="1">IFERROR((EXP(0*Table1[[#This Row],[T]])*Table1[[#This Row],[call N(d1)]]*(Table1[[#This Row],[call d2]]/Table1[[#This Row],[IV Calc C]]))*Table1[[#This Row],[Open.Int]]*Table1[[#This Row],[DeltaC]],0)</f>
        <v>0</v>
      </c>
      <c r="AP151">
        <f ca="1">IFERROR((EXP(0*Table1[[#This Row],[T]])*Table1[[#This Row],[put N(d1)]]*(Table1[[#This Row],[put d2]]/Table1[[#This Row],[IV Calc P]]))*Table1[[#This Row],[Open.Int8]]*Table1[[#This Row],[DeltaP]]*-1,0)</f>
        <v>0</v>
      </c>
      <c r="AQ151">
        <f ca="1">((Table1[[#This Row],[call vanna]]+Table1[[#This Row],[put vanna]])*$A$4)</f>
        <v>0</v>
      </c>
      <c r="AR15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1" s="9" t="str" cm="1">
        <f t="array" ref="AT151">_xlfn.IFS(     $M$1="SPX","SPXW",     $M$1="RUT","RUTW",  $M$1="NDX","NDXP",   TRUE,$M$1 )</f>
        <v>SPXW</v>
      </c>
      <c r="AU151" s="2">
        <f t="shared" si="17"/>
        <v>6915</v>
      </c>
      <c r="AV151" t="str">
        <f t="shared" si="18"/>
        <v>260123</v>
      </c>
      <c r="AW151" s="19">
        <f ca="1">IFERROR((EXP(0*Table1[[#This Row],[T]])*Table1[[#This Row],[put N(d1)]]*(Table1[[#This Row],[put d2]]/Table1[[#This Row],[IV Calc P]]))*Table1[[#This Row],[Open.Int8]]*Table1[[#This Row],[DeltaP]]*-1,0)</f>
        <v>0</v>
      </c>
      <c r="AX151">
        <f ca="1">IFERROR((EXP(0*Table1[[#This Row],[T]])*Table1[[#This Row],[call N(d1)]]*(Table1[[#This Row],[call d2]]/Table1[[#This Row],[IV Calc C]]))*Table1[[#This Row],[Open.Int]]*Table1[[#This Row],[DeltaC]],0)</f>
        <v>0</v>
      </c>
      <c r="AY15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1">
        <f>((Table1[[#This Row],[High C]]+Table1[[#This Row],[Low C]])/2)*Table1[[#This Row],[gammac]]*Table1[[#This Row],[Volume]]</f>
        <v>0</v>
      </c>
      <c r="BD151">
        <f>((Table1[[#This Row],[High P]]+Table1[[#This Row],[Low P]])/2)*Table1[[#This Row],[gammap]]*Table1[[#This Row],[Volume9]]*-1</f>
        <v>0</v>
      </c>
      <c r="BE151">
        <f>(Table1[[#This Row],[SgammaC]]+Table1[[#This Row],[SgammaP]])*$A$4*-100</f>
        <v>0</v>
      </c>
      <c r="BF151" s="13">
        <f>Table1[[#This Row],[DEXc]]+Table1[[#This Row],[DEXp]]</f>
        <v>0</v>
      </c>
      <c r="BG151">
        <f>IFERROR(Table1[[#This Row],[DeltaC]]*Table1[[#This Row],[Open.Int]]*$A$4,0)</f>
        <v>0</v>
      </c>
      <c r="BH151">
        <f>IFERROR(Table1[[#This Row],[DeltaP]]*Table1[[#This Row],[Open.Int8]]*$A$4,0)</f>
        <v>0</v>
      </c>
      <c r="BI15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1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1" s="13">
        <f ca="1">Table1[[#This Row],[Charmc]]+Table1[[#This Row],[Charmp]]</f>
        <v>0</v>
      </c>
      <c r="BL15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1" s="90">
        <f ca="1">Table1[[#This Row],[call helper]]+Table1[[#This Row],[put helper]]</f>
        <v>0</v>
      </c>
      <c r="BO151" s="81"/>
      <c r="BP151" t="str">
        <f>RTD("tos.rtd", , "STRIKE", "."&amp;Table1[[#This Row],[Ticker]]&amp;Table1[[#This Row],[Expiry]]&amp;""&amp;"C"&amp;Table1[[#This Row],[Spot]]+Table1[[#This Row],[step]])</f>
        <v>N/A</v>
      </c>
      <c r="BQ151"/>
      <c r="BY151" s="81"/>
    </row>
    <row r="152" spans="1:77" x14ac:dyDescent="0.25">
      <c r="A152">
        <f t="shared" ca="1" si="14"/>
        <v>2.5814307458086375E-3</v>
      </c>
      <c r="C152" s="17"/>
      <c r="D152" t="b">
        <f>IF(
    ISNUMBER(Table1[[#This Row],[Strike]]),RTD("tos.rtd", , "OPEN_INT", "."&amp;Table1[[#This Row],[Ticker]]&amp;Table1[[#This Row],[Expiry]]&amp;""&amp;"C"&amp;Table1[[#This Row],[Strike]]))</f>
        <v>0</v>
      </c>
      <c r="E15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2" t="b">
        <f>IF(
    ISNUMBER(Table1[[#This Row],[Strike]]),RTD("tos.rtd", , "DELTA", "."&amp;Table1[[#This Row],[Ticker]]&amp;Table1[[#This Row],[Expiry]]&amp;""&amp;"C"&amp;Table1[[#This Row],[Strike]]))</f>
        <v>0</v>
      </c>
      <c r="H152" s="17" t="b" cm="1">
        <f t="array" ref="H152">IF(
    ISNUMBER(Table1[[#This Row],[Strike]]),IndividualLegIVCore($A$4, Table1[[#This Row],[Strike]], 0.0411, Table1[[#This Row],[T]], ((Table1[[#This Row],[BIDC]]+Table1[[#This Row],[ASKC]])/2), TRUE))</f>
        <v>0</v>
      </c>
      <c r="I152" t="b">
        <f>IF(
    ISNUMBER(Table1[[#This Row],[Strike]]),RTD("tos.rtd", , "BID", "."&amp;Table1[[#This Row],[Ticker]]&amp;Table1[[#This Row],[Expiry]]&amp;""&amp;"C"&amp;Table1[[#This Row],[Strike]]))</f>
        <v>0</v>
      </c>
      <c r="J152" t="b">
        <f>IF(
    ISNUMBER(Table1[[#This Row],[Strike]]),RTD("tos.rtd", , "ASK", "."&amp;Table1[[#This Row],[Ticker]]&amp;Table1[[#This Row],[Expiry]]&amp;""&amp;"C"&amp;Table1[[#This Row],[Strike]]))</f>
        <v>0</v>
      </c>
      <c r="K15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2" s="17" cm="1">
        <f t="array" aca="1" ref="L15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2" s="1">
        <f t="shared" si="15"/>
        <v>46045</v>
      </c>
      <c r="N152" t="b">
        <f t="shared" si="16"/>
        <v>0</v>
      </c>
      <c r="P152" s="17" t="b" cm="1">
        <f t="array" ref="P152">IF(
    ISNUMBER(Table1[[#This Row],[Strike]]),IndividualLegIVCore($A$4, Table1[[#This Row],[Strike]], 0.0411, Table1[[#This Row],[T]], ((Table1[[#This Row],[BIDP]]+Table1[[#This Row],[ASKP]])/2), FALSE))</f>
        <v>0</v>
      </c>
      <c r="Q152" t="b">
        <f>IF(
    ISNUMBER(Table1[[#This Row],[Strike]]),RTD("tos.rtd", , "BID", "."&amp;Table1[[#This Row],[Ticker]]&amp;Table1[[#This Row],[Expiry]]&amp;""&amp;"P"&amp;Table1[[#This Row],[Strike]]))</f>
        <v>0</v>
      </c>
      <c r="R152" t="b">
        <f>IF(
    ISNUMBER(Table1[[#This Row],[Strike]]),RTD("tos.rtd", , "ASK", "."&amp;Table1[[#This Row],[Ticker]]&amp;Table1[[#This Row],[Expiry]]&amp;""&amp;"P"&amp;Table1[[#This Row],[Strike]]))</f>
        <v>0</v>
      </c>
      <c r="S152" s="17"/>
      <c r="T152" t="b">
        <f>IF(
    ISNUMBER(Table1[[#This Row],[Strike]]),RTD("tos.rtd", , "OPEN_INT", "."&amp;Table1[[#This Row],[Ticker]]&amp;Table1[[#This Row],[Expiry]]&amp;""&amp;"P"&amp;Table1[[#This Row],[Strike]]))</f>
        <v>0</v>
      </c>
      <c r="U15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2" t="b">
        <f>IF(
    ISNUMBER(Table1[[#This Row],[Strike]]),RTD("tos.rtd", , "DELTA", "."&amp;Table1[[#This Row],[Ticker]]&amp;Table1[[#This Row],[Expiry]]&amp;""&amp;"P"&amp;Table1[[#This Row],[Strike]]))</f>
        <v>0</v>
      </c>
      <c r="Y152" s="19">
        <f>21* IF($M$1="NDX", 10, IF(OR($M$1="SPX", $M$1="RUT"), 2, 1))</f>
        <v>42</v>
      </c>
      <c r="Z152">
        <f ca="1">IFERROR(Table1[[#This Row],[call gamma]]*(Table1[[#This Row],[Open.Int]])*$A$4^2,0)</f>
        <v>0</v>
      </c>
      <c r="AA152">
        <f ca="1">IFERROR(((Table1[[#This Row],[Open.Int8]])*Table1[[#This Row],[Put gamma]])*-1*$A$4^2,0)</f>
        <v>0</v>
      </c>
      <c r="AB152">
        <f ca="1">(Table1[[#This Row],[Call Gex]]+Table1[[#This Row],[Put Gex]])</f>
        <v>0</v>
      </c>
      <c r="AC152">
        <f ca="1">Table1[[#This Row],[call delta adj]]+Table1[[#This Row],[put delta adj]]</f>
        <v>0</v>
      </c>
      <c r="AD152">
        <f ca="1">Table1[[#This Row],[Put Gex]]*Table1[[#This Row],[DeltaP]]*-1</f>
        <v>0</v>
      </c>
      <c r="AE152">
        <f ca="1">Table1[[#This Row],[Call Gex]]*Table1[[#This Row],[DeltaC]]</f>
        <v>0</v>
      </c>
      <c r="AF152">
        <f>IF(Table1[[#This Row],[DeltaC]]-ABS(Table1[[#This Row],[DeltaP]])="0","0.01",Table1[[#This Row],[DeltaC]]-ABS(Table1[[#This Row],[DeltaP]]))</f>
        <v>0</v>
      </c>
      <c r="AG152" t="e">
        <f ca="1">((LN($A$4/Table1[[#This Row],[Strike]]) + (0.411 + 0.5 * Table1[[#This Row],[IV Calc P]]^2) *Table1[[#This Row],[T]])) / (Table1[[#This Row],[IV Calc P]] * SQRT(Table1[[#This Row],[T]]))</f>
        <v>#DIV/0!</v>
      </c>
      <c r="AH152" t="e">
        <f ca="1">(LN($A$4/Table1[[#This Row],[Strike]]) + (0.411-0 + 0.5 * Table1[[#This Row],[IV Calc C]]^2) *Table1[[#This Row],[T]]) / (Table1[[#This Row],[IV Calc C]] * SQRT(Table1[[#This Row],[T]]))</f>
        <v>#DIV/0!</v>
      </c>
      <c r="AI152" t="e">
        <f ca="1">(EXP(-(AG152^2)/2)/SQRT(2*PI())*EXP(0*SQRT(Table1[[#This Row],[T]]))/$A$4*18%*SQRT(SQRT(Table1[[#This Row],[T]])))</f>
        <v>#DIV/0!</v>
      </c>
      <c r="AJ152" t="e">
        <f ca="1">(EXP(-(AH152^2)/2)/SQRT(2*PI())*EXP(0*SQRT(Table1[[#This Row],[T]]))/$A$4*18%*SQRT(SQRT(Table1[[#This Row],[T]])))</f>
        <v>#DIV/0!</v>
      </c>
      <c r="AK152" t="e">
        <f ca="1">Table1[[#This Row],[Call D1]]-Table1[[#This Row],[IV Calc C]]*SQRT(Table1[[#This Row],[T]])</f>
        <v>#DIV/0!</v>
      </c>
      <c r="AL152" t="e">
        <f ca="1">Table1[[#This Row],[Put D1]]-Table1[[#This Row],[IV Calc P]]*SQRT(Table1[[#This Row],[T]])</f>
        <v>#DIV/0!</v>
      </c>
      <c r="AM152" t="e">
        <f ca="1">EXP(-0.5*Table1[[#This Row],[Call D1]]^2)/SQRT(2*PI())</f>
        <v>#DIV/0!</v>
      </c>
      <c r="AN152" t="e">
        <f ca="1">EXP(-0.5*Table1[[#This Row],[Put D1]]^2)/SQRT(2*PI())</f>
        <v>#DIV/0!</v>
      </c>
      <c r="AO152">
        <f ca="1">IFERROR((EXP(0*Table1[[#This Row],[T]])*Table1[[#This Row],[call N(d1)]]*(Table1[[#This Row],[call d2]]/Table1[[#This Row],[IV Calc C]]))*Table1[[#This Row],[Open.Int]]*Table1[[#This Row],[DeltaC]],0)</f>
        <v>0</v>
      </c>
      <c r="AP152">
        <f ca="1">IFERROR((EXP(0*Table1[[#This Row],[T]])*Table1[[#This Row],[put N(d1)]]*(Table1[[#This Row],[put d2]]/Table1[[#This Row],[IV Calc P]]))*Table1[[#This Row],[Open.Int8]]*Table1[[#This Row],[DeltaP]]*-1,0)</f>
        <v>0</v>
      </c>
      <c r="AQ152">
        <f ca="1">((Table1[[#This Row],[call vanna]]+Table1[[#This Row],[put vanna]])*$A$4)</f>
        <v>0</v>
      </c>
      <c r="AR15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2" s="9" t="str" cm="1">
        <f t="array" ref="AT152">_xlfn.IFS(     $M$1="SPX","SPXW",     $M$1="RUT","RUTW",  $M$1="NDX","NDXP",   TRUE,$M$1 )</f>
        <v>SPXW</v>
      </c>
      <c r="AU152" s="2">
        <f t="shared" si="17"/>
        <v>6915</v>
      </c>
      <c r="AV152" t="str">
        <f t="shared" si="18"/>
        <v>260123</v>
      </c>
      <c r="AW152" s="19">
        <f ca="1">IFERROR((EXP(0*Table1[[#This Row],[T]])*Table1[[#This Row],[put N(d1)]]*(Table1[[#This Row],[put d2]]/Table1[[#This Row],[IV Calc P]]))*Table1[[#This Row],[Open.Int8]]*Table1[[#This Row],[DeltaP]]*-1,0)</f>
        <v>0</v>
      </c>
      <c r="AX152">
        <f ca="1">IFERROR((EXP(0*Table1[[#This Row],[T]])*Table1[[#This Row],[call N(d1)]]*(Table1[[#This Row],[call d2]]/Table1[[#This Row],[IV Calc C]]))*Table1[[#This Row],[Open.Int]]*Table1[[#This Row],[DeltaC]],0)</f>
        <v>0</v>
      </c>
      <c r="AY15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2">
        <f>((Table1[[#This Row],[High C]]+Table1[[#This Row],[Low C]])/2)*Table1[[#This Row],[gammac]]*Table1[[#This Row],[Volume]]</f>
        <v>0</v>
      </c>
      <c r="BD152">
        <f>((Table1[[#This Row],[High P]]+Table1[[#This Row],[Low P]])/2)*Table1[[#This Row],[gammap]]*Table1[[#This Row],[Volume9]]*-1</f>
        <v>0</v>
      </c>
      <c r="BE152">
        <f>(Table1[[#This Row],[SgammaC]]+Table1[[#This Row],[SgammaP]])*$A$4*-100</f>
        <v>0</v>
      </c>
      <c r="BF152">
        <f>Table1[[#This Row],[DEXc]]+Table1[[#This Row],[DEXp]]</f>
        <v>0</v>
      </c>
      <c r="BG152">
        <f>IFERROR(Table1[[#This Row],[DeltaC]]*Table1[[#This Row],[Open.Int]]*$A$4,0)</f>
        <v>0</v>
      </c>
      <c r="BH152">
        <f>IFERROR(Table1[[#This Row],[DeltaP]]*Table1[[#This Row],[Open.Int8]]*$A$4,0)</f>
        <v>0</v>
      </c>
      <c r="BI15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2">
        <f ca="1">Table1[[#This Row],[Charmc]]+Table1[[#This Row],[Charmp]]</f>
        <v>0</v>
      </c>
      <c r="BL15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2" s="78">
        <f ca="1">Table1[[#This Row],[call helper]]+Table1[[#This Row],[put helper]]</f>
        <v>0</v>
      </c>
      <c r="BP152" t="str">
        <f>RTD("tos.rtd", , "STRIKE", "."&amp;Table1[[#This Row],[Ticker]]&amp;Table1[[#This Row],[Expiry]]&amp;""&amp;"C"&amp;Table1[[#This Row],[Spot]]+Table1[[#This Row],[step]])</f>
        <v>N/A</v>
      </c>
    </row>
    <row r="153" spans="1:77" x14ac:dyDescent="0.25">
      <c r="A153">
        <f t="shared" ca="1" si="14"/>
        <v>2.5814307458086375E-3</v>
      </c>
      <c r="C153" s="17"/>
      <c r="D153" t="b">
        <f>IF(
    ISNUMBER(Table1[[#This Row],[Strike]]),RTD("tos.rtd", , "OPEN_INT", "."&amp;Table1[[#This Row],[Ticker]]&amp;Table1[[#This Row],[Expiry]]&amp;""&amp;"C"&amp;Table1[[#This Row],[Strike]]))</f>
        <v>0</v>
      </c>
      <c r="E15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3" t="b">
        <f>IF(
    ISNUMBER(Table1[[#This Row],[Strike]]),RTD("tos.rtd", , "DELTA", "."&amp;Table1[[#This Row],[Ticker]]&amp;Table1[[#This Row],[Expiry]]&amp;""&amp;"C"&amp;Table1[[#This Row],[Strike]]))</f>
        <v>0</v>
      </c>
      <c r="H153" s="17" t="b" cm="1">
        <f t="array" ref="H153">IF(
    ISNUMBER(Table1[[#This Row],[Strike]]),IndividualLegIVCore($A$4, Table1[[#This Row],[Strike]], 0.0411, Table1[[#This Row],[T]], ((Table1[[#This Row],[BIDC]]+Table1[[#This Row],[ASKC]])/2), TRUE))</f>
        <v>0</v>
      </c>
      <c r="I153" t="b">
        <f>IF(
    ISNUMBER(Table1[[#This Row],[Strike]]),RTD("tos.rtd", , "BID", "."&amp;Table1[[#This Row],[Ticker]]&amp;Table1[[#This Row],[Expiry]]&amp;""&amp;"C"&amp;Table1[[#This Row],[Strike]]))</f>
        <v>0</v>
      </c>
      <c r="J153" t="b">
        <f>IF(
    ISNUMBER(Table1[[#This Row],[Strike]]),RTD("tos.rtd", , "ASK", "."&amp;Table1[[#This Row],[Ticker]]&amp;Table1[[#This Row],[Expiry]]&amp;""&amp;"C"&amp;Table1[[#This Row],[Strike]]))</f>
        <v>0</v>
      </c>
      <c r="K15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3" s="17" cm="1">
        <f t="array" aca="1" ref="L15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3" s="1">
        <f t="shared" si="15"/>
        <v>46045</v>
      </c>
      <c r="N153" t="b">
        <f t="shared" si="16"/>
        <v>0</v>
      </c>
      <c r="P153" s="17" t="b" cm="1">
        <f t="array" ref="P153">IF(
    ISNUMBER(Table1[[#This Row],[Strike]]),IndividualLegIVCore($A$4, Table1[[#This Row],[Strike]], 0.0411, Table1[[#This Row],[T]], ((Table1[[#This Row],[BIDP]]+Table1[[#This Row],[ASKP]])/2), FALSE))</f>
        <v>0</v>
      </c>
      <c r="Q153" t="b">
        <f>IF(
    ISNUMBER(Table1[[#This Row],[Strike]]),RTD("tos.rtd", , "BID", "."&amp;Table1[[#This Row],[Ticker]]&amp;Table1[[#This Row],[Expiry]]&amp;""&amp;"P"&amp;Table1[[#This Row],[Strike]]))</f>
        <v>0</v>
      </c>
      <c r="R153" t="b">
        <f>IF(
    ISNUMBER(Table1[[#This Row],[Strike]]),RTD("tos.rtd", , "ASK", "."&amp;Table1[[#This Row],[Ticker]]&amp;Table1[[#This Row],[Expiry]]&amp;""&amp;"P"&amp;Table1[[#This Row],[Strike]]))</f>
        <v>0</v>
      </c>
      <c r="S153" s="17"/>
      <c r="T153" t="b">
        <f>IF(
    ISNUMBER(Table1[[#This Row],[Strike]]),RTD("tos.rtd", , "OPEN_INT", "."&amp;Table1[[#This Row],[Ticker]]&amp;Table1[[#This Row],[Expiry]]&amp;""&amp;"P"&amp;Table1[[#This Row],[Strike]]))</f>
        <v>0</v>
      </c>
      <c r="U15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3" t="b">
        <f>IF(
    ISNUMBER(Table1[[#This Row],[Strike]]),RTD("tos.rtd", , "DELTA", "."&amp;Table1[[#This Row],[Ticker]]&amp;Table1[[#This Row],[Expiry]]&amp;""&amp;"P"&amp;Table1[[#This Row],[Strike]]))</f>
        <v>0</v>
      </c>
      <c r="Y153" s="19">
        <f>21.5* IF($M$1="NDX", 10, IF(OR($M$1="SPX", $M$1="RUT"), 2, 1))</f>
        <v>43</v>
      </c>
      <c r="Z153">
        <f ca="1">IFERROR(Table1[[#This Row],[call gamma]]*(Table1[[#This Row],[Open.Int]])*$A$4^2,0)</f>
        <v>0</v>
      </c>
      <c r="AA153">
        <f ca="1">IFERROR(((Table1[[#This Row],[Open.Int8]])*Table1[[#This Row],[Put gamma]])*-1*$A$4^2,0)</f>
        <v>0</v>
      </c>
      <c r="AB153">
        <f ca="1">(Table1[[#This Row],[Call Gex]]+Table1[[#This Row],[Put Gex]])</f>
        <v>0</v>
      </c>
      <c r="AC153">
        <f ca="1">Table1[[#This Row],[call delta adj]]+Table1[[#This Row],[put delta adj]]</f>
        <v>0</v>
      </c>
      <c r="AD153">
        <f ca="1">Table1[[#This Row],[Put Gex]]*Table1[[#This Row],[DeltaP]]*-1</f>
        <v>0</v>
      </c>
      <c r="AE153">
        <f ca="1">Table1[[#This Row],[Call Gex]]*Table1[[#This Row],[DeltaC]]</f>
        <v>0</v>
      </c>
      <c r="AF153">
        <f>IF(Table1[[#This Row],[DeltaC]]-ABS(Table1[[#This Row],[DeltaP]])="0","0.01",Table1[[#This Row],[DeltaC]]-ABS(Table1[[#This Row],[DeltaP]]))</f>
        <v>0</v>
      </c>
      <c r="AG153" t="e">
        <f ca="1">((LN($A$4/Table1[[#This Row],[Strike]]) + (0.411 + 0.5 * Table1[[#This Row],[IV Calc P]]^2) *Table1[[#This Row],[T]])) / (Table1[[#This Row],[IV Calc P]] * SQRT(Table1[[#This Row],[T]]))</f>
        <v>#DIV/0!</v>
      </c>
      <c r="AH153" t="e">
        <f ca="1">(LN($A$4/Table1[[#This Row],[Strike]]) + (0.411-0 + 0.5 * Table1[[#This Row],[IV Calc C]]^2) *Table1[[#This Row],[T]]) / (Table1[[#This Row],[IV Calc C]] * SQRT(Table1[[#This Row],[T]]))</f>
        <v>#DIV/0!</v>
      </c>
      <c r="AI153" t="e">
        <f ca="1">(EXP(-(AG153^2)/2)/SQRT(2*PI())*EXP(0*SQRT(Table1[[#This Row],[T]]))/$A$4*18%*SQRT(SQRT(Table1[[#This Row],[T]])))</f>
        <v>#DIV/0!</v>
      </c>
      <c r="AJ153" t="e">
        <f ca="1">(EXP(-(AH153^2)/2)/SQRT(2*PI())*EXP(0*SQRT(Table1[[#This Row],[T]]))/$A$4*18%*SQRT(SQRT(Table1[[#This Row],[T]])))</f>
        <v>#DIV/0!</v>
      </c>
      <c r="AK153" t="e">
        <f ca="1">Table1[[#This Row],[Call D1]]-Table1[[#This Row],[IV Calc C]]*SQRT(Table1[[#This Row],[T]])</f>
        <v>#DIV/0!</v>
      </c>
      <c r="AL153" t="e">
        <f ca="1">Table1[[#This Row],[Put D1]]-Table1[[#This Row],[IV Calc P]]*SQRT(Table1[[#This Row],[T]])</f>
        <v>#DIV/0!</v>
      </c>
      <c r="AM153" t="e">
        <f ca="1">EXP(-0.5*Table1[[#This Row],[Call D1]]^2)/SQRT(2*PI())</f>
        <v>#DIV/0!</v>
      </c>
      <c r="AN153" t="e">
        <f ca="1">EXP(-0.5*Table1[[#This Row],[Put D1]]^2)/SQRT(2*PI())</f>
        <v>#DIV/0!</v>
      </c>
      <c r="AO153">
        <f ca="1">IFERROR((EXP(0*Table1[[#This Row],[T]])*Table1[[#This Row],[call N(d1)]]*(Table1[[#This Row],[call d2]]/Table1[[#This Row],[IV Calc C]]))*Table1[[#This Row],[Open.Int]]*Table1[[#This Row],[DeltaC]],0)</f>
        <v>0</v>
      </c>
      <c r="AP153">
        <f ca="1">IFERROR((EXP(0*Table1[[#This Row],[T]])*Table1[[#This Row],[put N(d1)]]*(Table1[[#This Row],[put d2]]/Table1[[#This Row],[IV Calc P]]))*Table1[[#This Row],[Open.Int8]]*Table1[[#This Row],[DeltaP]]*-1,0)</f>
        <v>0</v>
      </c>
      <c r="AQ153">
        <f ca="1">((Table1[[#This Row],[call vanna]]+Table1[[#This Row],[put vanna]])*$A$4)</f>
        <v>0</v>
      </c>
      <c r="AR15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3" s="9" t="str" cm="1">
        <f t="array" ref="AT153">_xlfn.IFS(     $M$1="SPX","SPXW",     $M$1="RUT","RUTW",  $M$1="NDX","NDXP",   TRUE,$M$1 )</f>
        <v>SPXW</v>
      </c>
      <c r="AU153" s="2">
        <f t="shared" si="17"/>
        <v>6915</v>
      </c>
      <c r="AV153" t="str">
        <f t="shared" si="18"/>
        <v>260123</v>
      </c>
      <c r="AW153" s="19">
        <f ca="1">IFERROR((EXP(0*Table1[[#This Row],[T]])*Table1[[#This Row],[put N(d1)]]*(Table1[[#This Row],[put d2]]/Table1[[#This Row],[IV Calc P]]))*Table1[[#This Row],[Open.Int8]]*Table1[[#This Row],[DeltaP]]*-1,0)</f>
        <v>0</v>
      </c>
      <c r="AX153">
        <f ca="1">IFERROR((EXP(0*Table1[[#This Row],[T]])*Table1[[#This Row],[call N(d1)]]*(Table1[[#This Row],[call d2]]/Table1[[#This Row],[IV Calc C]]))*Table1[[#This Row],[Open.Int]]*Table1[[#This Row],[DeltaC]],0)</f>
        <v>0</v>
      </c>
      <c r="AY15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3">
        <f>((Table1[[#This Row],[High C]]+Table1[[#This Row],[Low C]])/2)*Table1[[#This Row],[gammac]]*Table1[[#This Row],[Volume]]</f>
        <v>0</v>
      </c>
      <c r="BD153">
        <f>((Table1[[#This Row],[High P]]+Table1[[#This Row],[Low P]])/2)*Table1[[#This Row],[gammap]]*Table1[[#This Row],[Volume9]]*-1</f>
        <v>0</v>
      </c>
      <c r="BE153">
        <f>(Table1[[#This Row],[SgammaC]]+Table1[[#This Row],[SgammaP]])*$A$4*-100</f>
        <v>0</v>
      </c>
      <c r="BF153">
        <f>Table1[[#This Row],[DEXc]]+Table1[[#This Row],[DEXp]]</f>
        <v>0</v>
      </c>
      <c r="BG153">
        <f>IFERROR(Table1[[#This Row],[DeltaC]]*Table1[[#This Row],[Open.Int]]*$A$4,0)</f>
        <v>0</v>
      </c>
      <c r="BH153">
        <f>IFERROR(Table1[[#This Row],[DeltaP]]*Table1[[#This Row],[Open.Int8]]*$A$4,0)</f>
        <v>0</v>
      </c>
      <c r="BI15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3">
        <f ca="1">Table1[[#This Row],[Charmc]]+Table1[[#This Row],[Charmp]]</f>
        <v>0</v>
      </c>
      <c r="BL15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3" s="78">
        <f ca="1">Table1[[#This Row],[call helper]]+Table1[[#This Row],[put helper]]</f>
        <v>0</v>
      </c>
      <c r="BP153" t="str">
        <f>RTD("tos.rtd", , "STRIKE", "."&amp;Table1[[#This Row],[Ticker]]&amp;Table1[[#This Row],[Expiry]]&amp;""&amp;"C"&amp;Table1[[#This Row],[Spot]]+Table1[[#This Row],[step]])</f>
        <v>N/A</v>
      </c>
    </row>
    <row r="154" spans="1:77" x14ac:dyDescent="0.25">
      <c r="A154">
        <f t="shared" ca="1" si="14"/>
        <v>2.5814307458086375E-3</v>
      </c>
      <c r="C154" s="17"/>
      <c r="D154" t="b">
        <f>IF(
    ISNUMBER(Table1[[#This Row],[Strike]]),RTD("tos.rtd", , "OPEN_INT", "."&amp;Table1[[#This Row],[Ticker]]&amp;Table1[[#This Row],[Expiry]]&amp;""&amp;"C"&amp;Table1[[#This Row],[Strike]]))</f>
        <v>0</v>
      </c>
      <c r="E15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4" t="b">
        <f>IF(
    ISNUMBER(Table1[[#This Row],[Strike]]),RTD("tos.rtd", , "DELTA", "."&amp;Table1[[#This Row],[Ticker]]&amp;Table1[[#This Row],[Expiry]]&amp;""&amp;"C"&amp;Table1[[#This Row],[Strike]]))</f>
        <v>0</v>
      </c>
      <c r="H154" s="17" t="b" cm="1">
        <f t="array" ref="H154">IF(
    ISNUMBER(Table1[[#This Row],[Strike]]),IndividualLegIVCore($A$4, Table1[[#This Row],[Strike]], 0.0411, Table1[[#This Row],[T]], ((Table1[[#This Row],[BIDC]]+Table1[[#This Row],[ASKC]])/2), TRUE))</f>
        <v>0</v>
      </c>
      <c r="I154" t="b">
        <f>IF(
    ISNUMBER(Table1[[#This Row],[Strike]]),RTD("tos.rtd", , "BID", "."&amp;Table1[[#This Row],[Ticker]]&amp;Table1[[#This Row],[Expiry]]&amp;""&amp;"C"&amp;Table1[[#This Row],[Strike]]))</f>
        <v>0</v>
      </c>
      <c r="J154" t="b">
        <f>IF(
    ISNUMBER(Table1[[#This Row],[Strike]]),RTD("tos.rtd", , "ASK", "."&amp;Table1[[#This Row],[Ticker]]&amp;Table1[[#This Row],[Expiry]]&amp;""&amp;"C"&amp;Table1[[#This Row],[Strike]]))</f>
        <v>0</v>
      </c>
      <c r="K15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4" s="17" cm="1">
        <f t="array" aca="1" ref="L15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4" s="1">
        <f t="shared" si="15"/>
        <v>46045</v>
      </c>
      <c r="N154" t="b">
        <f t="shared" si="16"/>
        <v>0</v>
      </c>
      <c r="P154" s="17" t="b" cm="1">
        <f t="array" ref="P154">IF(
    ISNUMBER(Table1[[#This Row],[Strike]]),IndividualLegIVCore($A$4, Table1[[#This Row],[Strike]], 0.0411, Table1[[#This Row],[T]], ((Table1[[#This Row],[BIDP]]+Table1[[#This Row],[ASKP]])/2), FALSE))</f>
        <v>0</v>
      </c>
      <c r="Q154" t="b">
        <f>IF(
    ISNUMBER(Table1[[#This Row],[Strike]]),RTD("tos.rtd", , "BID", "."&amp;Table1[[#This Row],[Ticker]]&amp;Table1[[#This Row],[Expiry]]&amp;""&amp;"P"&amp;Table1[[#This Row],[Strike]]))</f>
        <v>0</v>
      </c>
      <c r="R154" t="b">
        <f>IF(
    ISNUMBER(Table1[[#This Row],[Strike]]),RTD("tos.rtd", , "ASK", "."&amp;Table1[[#This Row],[Ticker]]&amp;Table1[[#This Row],[Expiry]]&amp;""&amp;"P"&amp;Table1[[#This Row],[Strike]]))</f>
        <v>0</v>
      </c>
      <c r="S154" s="17"/>
      <c r="T154" t="b">
        <f>IF(
    ISNUMBER(Table1[[#This Row],[Strike]]),RTD("tos.rtd", , "OPEN_INT", "."&amp;Table1[[#This Row],[Ticker]]&amp;Table1[[#This Row],[Expiry]]&amp;""&amp;"P"&amp;Table1[[#This Row],[Strike]]))</f>
        <v>0</v>
      </c>
      <c r="U15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4" t="b">
        <f>IF(
    ISNUMBER(Table1[[#This Row],[Strike]]),RTD("tos.rtd", , "DELTA", "."&amp;Table1[[#This Row],[Ticker]]&amp;Table1[[#This Row],[Expiry]]&amp;""&amp;"P"&amp;Table1[[#This Row],[Strike]]))</f>
        <v>0</v>
      </c>
      <c r="Y154" s="19">
        <f>22* IF($M$1="NDX", 10, IF(OR($M$1="SPX", $M$1="RUT"), 2, 1))</f>
        <v>44</v>
      </c>
      <c r="Z154">
        <f ca="1">IFERROR(Table1[[#This Row],[call gamma]]*(Table1[[#This Row],[Open.Int]])*$A$4^2,0)</f>
        <v>0</v>
      </c>
      <c r="AA154">
        <f ca="1">IFERROR(((Table1[[#This Row],[Open.Int8]])*Table1[[#This Row],[Put gamma]])*-1*$A$4^2,0)</f>
        <v>0</v>
      </c>
      <c r="AB154">
        <f ca="1">(Table1[[#This Row],[Call Gex]]+Table1[[#This Row],[Put Gex]])</f>
        <v>0</v>
      </c>
      <c r="AC154">
        <f ca="1">Table1[[#This Row],[call delta adj]]+Table1[[#This Row],[put delta adj]]</f>
        <v>0</v>
      </c>
      <c r="AD154">
        <f ca="1">Table1[[#This Row],[Put Gex]]*Table1[[#This Row],[DeltaP]]*-1</f>
        <v>0</v>
      </c>
      <c r="AE154">
        <f ca="1">Table1[[#This Row],[Call Gex]]*Table1[[#This Row],[DeltaC]]</f>
        <v>0</v>
      </c>
      <c r="AF154">
        <f>IF(Table1[[#This Row],[DeltaC]]-ABS(Table1[[#This Row],[DeltaP]])="0","0.01",Table1[[#This Row],[DeltaC]]-ABS(Table1[[#This Row],[DeltaP]]))</f>
        <v>0</v>
      </c>
      <c r="AG154" t="e">
        <f ca="1">((LN($A$4/Table1[[#This Row],[Strike]]) + (0.411 + 0.5 * Table1[[#This Row],[IV Calc P]]^2) *Table1[[#This Row],[T]])) / (Table1[[#This Row],[IV Calc P]] * SQRT(Table1[[#This Row],[T]]))</f>
        <v>#DIV/0!</v>
      </c>
      <c r="AH154" t="e">
        <f ca="1">(LN($A$4/Table1[[#This Row],[Strike]]) + (0.411-0 + 0.5 * Table1[[#This Row],[IV Calc C]]^2) *Table1[[#This Row],[T]]) / (Table1[[#This Row],[IV Calc C]] * SQRT(Table1[[#This Row],[T]]))</f>
        <v>#DIV/0!</v>
      </c>
      <c r="AI154" t="e">
        <f ca="1">(EXP(-(AG154^2)/2)/SQRT(2*PI())*EXP(0*SQRT(Table1[[#This Row],[T]]))/$A$4*18%*SQRT(SQRT(Table1[[#This Row],[T]])))</f>
        <v>#DIV/0!</v>
      </c>
      <c r="AJ154" t="e">
        <f ca="1">(EXP(-(AH154^2)/2)/SQRT(2*PI())*EXP(0*SQRT(Table1[[#This Row],[T]]))/$A$4*18%*SQRT(SQRT(Table1[[#This Row],[T]])))</f>
        <v>#DIV/0!</v>
      </c>
      <c r="AK154" t="e">
        <f ca="1">Table1[[#This Row],[Call D1]]-Table1[[#This Row],[IV Calc C]]*SQRT(Table1[[#This Row],[T]])</f>
        <v>#DIV/0!</v>
      </c>
      <c r="AL154" t="e">
        <f ca="1">Table1[[#This Row],[Put D1]]-Table1[[#This Row],[IV Calc P]]*SQRT(Table1[[#This Row],[T]])</f>
        <v>#DIV/0!</v>
      </c>
      <c r="AM154" t="e">
        <f ca="1">EXP(-0.5*Table1[[#This Row],[Call D1]]^2)/SQRT(2*PI())</f>
        <v>#DIV/0!</v>
      </c>
      <c r="AN154" t="e">
        <f ca="1">EXP(-0.5*Table1[[#This Row],[Put D1]]^2)/SQRT(2*PI())</f>
        <v>#DIV/0!</v>
      </c>
      <c r="AO154">
        <f ca="1">IFERROR((EXP(0*Table1[[#This Row],[T]])*Table1[[#This Row],[call N(d1)]]*(Table1[[#This Row],[call d2]]/Table1[[#This Row],[IV Calc C]]))*Table1[[#This Row],[Open.Int]]*Table1[[#This Row],[DeltaC]],0)</f>
        <v>0</v>
      </c>
      <c r="AP154">
        <f ca="1">IFERROR((EXP(0*Table1[[#This Row],[T]])*Table1[[#This Row],[put N(d1)]]*(Table1[[#This Row],[put d2]]/Table1[[#This Row],[IV Calc P]]))*Table1[[#This Row],[Open.Int8]]*Table1[[#This Row],[DeltaP]]*-1,0)</f>
        <v>0</v>
      </c>
      <c r="AQ154">
        <f ca="1">((Table1[[#This Row],[call vanna]]+Table1[[#This Row],[put vanna]])*$A$4)</f>
        <v>0</v>
      </c>
      <c r="AR15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4" s="9" t="str" cm="1">
        <f t="array" ref="AT154">_xlfn.IFS(     $M$1="SPX","SPXW",     $M$1="RUT","RUTW",  $M$1="NDX","NDXP",   TRUE,$M$1 )</f>
        <v>SPXW</v>
      </c>
      <c r="AU154" s="2">
        <f t="shared" si="17"/>
        <v>6915</v>
      </c>
      <c r="AV154" t="str">
        <f t="shared" si="18"/>
        <v>260123</v>
      </c>
      <c r="AW154" s="19">
        <f ca="1">IFERROR((EXP(0*Table1[[#This Row],[T]])*Table1[[#This Row],[put N(d1)]]*(Table1[[#This Row],[put d2]]/Table1[[#This Row],[IV Calc P]]))*Table1[[#This Row],[Open.Int8]]*Table1[[#This Row],[DeltaP]]*-1,0)</f>
        <v>0</v>
      </c>
      <c r="AX154">
        <f ca="1">IFERROR((EXP(0*Table1[[#This Row],[T]])*Table1[[#This Row],[call N(d1)]]*(Table1[[#This Row],[call d2]]/Table1[[#This Row],[IV Calc C]]))*Table1[[#This Row],[Open.Int]]*Table1[[#This Row],[DeltaC]],0)</f>
        <v>0</v>
      </c>
      <c r="AY15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4">
        <f>((Table1[[#This Row],[High C]]+Table1[[#This Row],[Low C]])/2)*Table1[[#This Row],[gammac]]*Table1[[#This Row],[Volume]]</f>
        <v>0</v>
      </c>
      <c r="BD154">
        <f>((Table1[[#This Row],[High P]]+Table1[[#This Row],[Low P]])/2)*Table1[[#This Row],[gammap]]*Table1[[#This Row],[Volume9]]*-1</f>
        <v>0</v>
      </c>
      <c r="BE154">
        <f>(Table1[[#This Row],[SgammaC]]+Table1[[#This Row],[SgammaP]])*$A$4*-100</f>
        <v>0</v>
      </c>
      <c r="BF154">
        <f>Table1[[#This Row],[DEXc]]+Table1[[#This Row],[DEXp]]</f>
        <v>0</v>
      </c>
      <c r="BG154">
        <f>IFERROR(Table1[[#This Row],[DeltaC]]*Table1[[#This Row],[Open.Int]]*$A$4,0)</f>
        <v>0</v>
      </c>
      <c r="BH154">
        <f>IFERROR(Table1[[#This Row],[DeltaP]]*Table1[[#This Row],[Open.Int8]]*$A$4,0)</f>
        <v>0</v>
      </c>
      <c r="BI15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4">
        <f ca="1">Table1[[#This Row],[Charmc]]+Table1[[#This Row],[Charmp]]</f>
        <v>0</v>
      </c>
      <c r="BL15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4" s="78">
        <f ca="1">Table1[[#This Row],[call helper]]+Table1[[#This Row],[put helper]]</f>
        <v>0</v>
      </c>
      <c r="BP154" t="str">
        <f>RTD("tos.rtd", , "STRIKE", "."&amp;Table1[[#This Row],[Ticker]]&amp;Table1[[#This Row],[Expiry]]&amp;""&amp;"C"&amp;Table1[[#This Row],[Spot]]+Table1[[#This Row],[step]])</f>
        <v>N/A</v>
      </c>
    </row>
    <row r="155" spans="1:77" x14ac:dyDescent="0.25">
      <c r="A155">
        <f t="shared" ca="1" si="14"/>
        <v>2.5814307458086375E-3</v>
      </c>
      <c r="C155" s="17"/>
      <c r="D155">
        <f>IF(
    ISNUMBER(Table1[[#This Row],[Strike]]),RTD("tos.rtd", , "OPEN_INT", "."&amp;Table1[[#This Row],[Ticker]]&amp;Table1[[#This Row],[Expiry]]&amp;""&amp;"C"&amp;Table1[[#This Row],[Strike]]))</f>
        <v>1655</v>
      </c>
      <c r="E15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7543</v>
      </c>
      <c r="G155">
        <f>IF(
    ISNUMBER(Table1[[#This Row],[Strike]]),RTD("tos.rtd", , "DELTA", "."&amp;Table1[[#This Row],[Ticker]]&amp;Table1[[#This Row],[Expiry]]&amp;""&amp;"C"&amp;Table1[[#This Row],[Strike]]))</f>
        <v>0.1</v>
      </c>
      <c r="H155" s="17" cm="1">
        <f t="array" aca="1" ref="H155" ca="1">IF(
    ISNUMBER(Table1[[#This Row],[Strike]]),IndividualLegIVCore($A$4, Table1[[#This Row],[Strike]], 0.0411, Table1[[#This Row],[T]], ((Table1[[#This Row],[BIDC]]+Table1[[#This Row],[ASKC]])/2), TRUE))</f>
        <v>0.10131370782164606</v>
      </c>
      <c r="I155">
        <f>IF(
    ISNUMBER(Table1[[#This Row],[Strike]]),RTD("tos.rtd", , "BID", "."&amp;Table1[[#This Row],[Ticker]]&amp;Table1[[#This Row],[Expiry]]&amp;""&amp;"C"&amp;Table1[[#This Row],[Strike]]))</f>
        <v>1.55</v>
      </c>
      <c r="J155">
        <f>IF(
    ISNUMBER(Table1[[#This Row],[Strike]]),RTD("tos.rtd", , "ASK", "."&amp;Table1[[#This Row],[Ticker]]&amp;Table1[[#This Row],[Expiry]]&amp;""&amp;"C"&amp;Table1[[#This Row],[Strike]]))</f>
        <v>1.8</v>
      </c>
      <c r="K15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0.10131370782164606</v>
      </c>
      <c r="L155" s="17" cm="1">
        <f t="array" aca="1" ref="L155" ca="1">CubicSplineIVSmile($A$4, Table1[[#This Row],[Strike]], 0.0411, Table1[[#This Row],[T]], (Table1[[#This Row],[BIDC]]+Table1[[#This Row],[ASKC]])/2, (Table1[[#This Row],[BIDP]]+Table1[[#This Row],[ASKP]])/2, Table1[Strike], Table1[IV Calc AVG])</f>
        <v>0.14965288791618611</v>
      </c>
      <c r="M155" s="1">
        <f t="shared" si="15"/>
        <v>46045</v>
      </c>
      <c r="N155">
        <f t="shared" si="16"/>
        <v>6960</v>
      </c>
      <c r="P155" s="17" cm="1">
        <f t="array" aca="1" ref="P155" ca="1">IF(
    ISNUMBER(Table1[[#This Row],[Strike]]),IndividualLegIVCore($A$4, Table1[[#This Row],[Strike]], 0.0411, Table1[[#This Row],[T]], ((Table1[[#This Row],[BIDP]]+Table1[[#This Row],[ASKP]])/2), FALSE))</f>
        <v>0.15879477900533823</v>
      </c>
      <c r="Q155">
        <f>IF(
    ISNUMBER(Table1[[#This Row],[Strike]]),RTD("tos.rtd", , "BID", "."&amp;Table1[[#This Row],[Ticker]]&amp;Table1[[#This Row],[Expiry]]&amp;""&amp;"P"&amp;Table1[[#This Row],[Strike]]))</f>
        <v>51.7</v>
      </c>
      <c r="R155">
        <f>IF(
    ISNUMBER(Table1[[#This Row],[Strike]]),RTD("tos.rtd", , "ASK", "."&amp;Table1[[#This Row],[Ticker]]&amp;Table1[[#This Row],[Expiry]]&amp;""&amp;"P"&amp;Table1[[#This Row],[Strike]]))</f>
        <v>53.1</v>
      </c>
      <c r="S155" s="17"/>
      <c r="T155">
        <f>IF(
    ISNUMBER(Table1[[#This Row],[Strike]]),RTD("tos.rtd", , "OPEN_INT", "."&amp;Table1[[#This Row],[Ticker]]&amp;Table1[[#This Row],[Expiry]]&amp;""&amp;"P"&amp;Table1[[#This Row],[Strike]]))</f>
        <v>1753</v>
      </c>
      <c r="U15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588</v>
      </c>
      <c r="W155">
        <f>IF(
    ISNUMBER(Table1[[#This Row],[Strike]]),RTD("tos.rtd", , "DELTA", "."&amp;Table1[[#This Row],[Ticker]]&amp;Table1[[#This Row],[Expiry]]&amp;""&amp;"P"&amp;Table1[[#This Row],[Strike]]))</f>
        <v>-0.79</v>
      </c>
      <c r="Y155" s="19">
        <f>22.5* IF($M$1="NDX", 10, IF(OR($M$1="SPX", $M$1="RUT"), 2, 1))</f>
        <v>45</v>
      </c>
      <c r="Z155">
        <f ca="1">IFERROR(Table1[[#This Row],[call gamma]]*(Table1[[#This Row],[Open.Int]])*$A$4^2,0)</f>
        <v>101376.63072860302</v>
      </c>
      <c r="AA155">
        <f ca="1">IFERROR(((Table1[[#This Row],[Open.Int8]])*Table1[[#This Row],[Put gamma]])*-1*$A$4^2,0)</f>
        <v>-153750.66375982849</v>
      </c>
      <c r="AB155">
        <f ca="1">(Table1[[#This Row],[Call Gex]]+Table1[[#This Row],[Put Gex]])</f>
        <v>-52374.033031225466</v>
      </c>
      <c r="AC155">
        <f ca="1">Table1[[#This Row],[call delta adj]]+Table1[[#This Row],[put delta adj]]</f>
        <v>-111325.3612974042</v>
      </c>
      <c r="AD155">
        <f ca="1">Table1[[#This Row],[Put Gex]]*Table1[[#This Row],[DeltaP]]*-1</f>
        <v>-121463.02437026451</v>
      </c>
      <c r="AE155">
        <f ca="1">Table1[[#This Row],[Call Gex]]*Table1[[#This Row],[DeltaC]]</f>
        <v>10137.663072860303</v>
      </c>
      <c r="AF155">
        <f>IF(Table1[[#This Row],[DeltaC]]-ABS(Table1[[#This Row],[DeltaP]])="0","0.01",Table1[[#This Row],[DeltaC]]-ABS(Table1[[#This Row],[DeltaP]]))</f>
        <v>-0.69000000000000006</v>
      </c>
      <c r="AG155">
        <f ca="1">((LN($A$4/Table1[[#This Row],[Strike]]) + (0.411 + 0.5 * Table1[[#This Row],[IV Calc P]]^2) *Table1[[#This Row],[T]])) / (Table1[[#This Row],[IV Calc P]] * SQRT(Table1[[#This Row],[T]]))</f>
        <v>-0.69802027830387336</v>
      </c>
      <c r="AH155">
        <f ca="1">(LN($A$4/Table1[[#This Row],[Strike]]) + (0.411-0 + 0.5 * Table1[[#This Row],[IV Calc C]]^2) *Table1[[#This Row],[T]]) / (Table1[[#This Row],[IV Calc C]] * SQRT(Table1[[#This Row],[T]]))</f>
        <v>-1.0977961402352612</v>
      </c>
      <c r="AI155">
        <f ca="1">(EXP(-(AG155^2)/2)/SQRT(2*PI())*EXP(0*SQRT(Table1[[#This Row],[T]]))/$A$4*18%*SQRT(SQRT(Table1[[#This Row],[T]])))</f>
        <v>1.8350926450794848E-6</v>
      </c>
      <c r="AJ155">
        <f ca="1">(EXP(-(AH155^2)/2)/SQRT(2*PI())*EXP(0*SQRT(Table1[[#This Row],[T]]))/$A$4*18%*SQRT(SQRT(Table1[[#This Row],[T]])))</f>
        <v>1.2816303004398737E-6</v>
      </c>
      <c r="AK155">
        <f ca="1">Table1[[#This Row],[Call D1]]-Table1[[#This Row],[IV Calc C]]*SQRT(Table1[[#This Row],[T]])</f>
        <v>-1.102943665049823</v>
      </c>
      <c r="AL155">
        <f ca="1">Table1[[#This Row],[Put D1]]-Table1[[#This Row],[IV Calc P]]*SQRT(Table1[[#This Row],[T]])</f>
        <v>-0.70608828887152342</v>
      </c>
      <c r="AM155">
        <f ca="1">EXP(-0.5*Table1[[#This Row],[Call D1]]^2)/SQRT(2*PI())</f>
        <v>0.21838041458037238</v>
      </c>
      <c r="AN155">
        <f ca="1">EXP(-0.5*Table1[[#This Row],[Put D1]]^2)/SQRT(2*PI())</f>
        <v>0.31268634370481685</v>
      </c>
      <c r="AO155">
        <f ca="1">IFERROR((EXP(0*Table1[[#This Row],[T]])*Table1[[#This Row],[call N(d1)]]*(Table1[[#This Row],[call d2]]/Table1[[#This Row],[IV Calc C]]))*Table1[[#This Row],[Open.Int]]*Table1[[#This Row],[DeltaC]],0)</f>
        <v>-393.45657317105315</v>
      </c>
      <c r="AP155">
        <f ca="1">IFERROR((EXP(0*Table1[[#This Row],[T]])*Table1[[#This Row],[put N(d1)]]*(Table1[[#This Row],[put d2]]/Table1[[#This Row],[IV Calc P]]))*Table1[[#This Row],[Open.Int8]]*Table1[[#This Row],[DeltaP]]*-1,0)</f>
        <v>-1925.4875319267242</v>
      </c>
      <c r="AQ155">
        <f ca="1">((Table1[[#This Row],[call vanna]]+Table1[[#This Row],[put vanna]])*$A$4)</f>
        <v>-16031672.228977721</v>
      </c>
      <c r="AR15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101376.63072860302</v>
      </c>
      <c r="AS15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-153750.66375982849</v>
      </c>
      <c r="AT155" s="9" t="str" cm="1">
        <f t="array" ref="AT155">_xlfn.IFS(     $M$1="SPX","SPXW",     $M$1="RUT","RUTW",  $M$1="NDX","NDXP",   TRUE,$M$1 )</f>
        <v>SPXW</v>
      </c>
      <c r="AU155" s="2">
        <f t="shared" si="17"/>
        <v>6915</v>
      </c>
      <c r="AV155" t="str">
        <f t="shared" si="18"/>
        <v>260123</v>
      </c>
      <c r="AW155" s="19">
        <f ca="1">IFERROR((EXP(0*Table1[[#This Row],[T]])*Table1[[#This Row],[put N(d1)]]*(Table1[[#This Row],[put d2]]/Table1[[#This Row],[IV Calc P]]))*Table1[[#This Row],[Open.Int8]]*Table1[[#This Row],[DeltaP]]*-1,0)</f>
        <v>-1925.4875319267242</v>
      </c>
      <c r="AX155">
        <f ca="1">IFERROR((EXP(0*Table1[[#This Row],[T]])*Table1[[#This Row],[call N(d1)]]*(Table1[[#This Row],[call d2]]/Table1[[#This Row],[IV Calc C]]))*Table1[[#This Row],[Open.Int]]*Table1[[#This Row],[DeltaC]],0)</f>
        <v>-393.45657317105315</v>
      </c>
      <c r="AY155">
        <f>IF(
    ISNUMBER(Table1[[#This Row],[Strike]]),RTD("tos.rtd", , "high", "."&amp;Table1[[#This Row],[Ticker]]&amp;Table1[[#This Row],[Expiry]]&amp;""&amp;"C"&amp;Table1[[#This Row],[Spot]]+Table1[[#This Row],[step]]))</f>
        <v>9.4</v>
      </c>
      <c r="AZ155">
        <f>IF(
    ISNUMBER(Table1[[#This Row],[Strike]]),RTD("tos.rtd", , "low", "."&amp;Table1[[#This Row],[Ticker]]&amp;Table1[[#This Row],[Expiry]]&amp;""&amp;"C"&amp;Table1[[#This Row],[Spot]]+Table1[[#This Row],[step]]))</f>
        <v>1.3</v>
      </c>
      <c r="BA155">
        <f>IF(
    ISNUMBER(Table1[[#This Row],[Strike]]),RTD("tos.rtd", , "high", "."&amp;Table1[[#This Row],[Ticker]]&amp;Table1[[#This Row],[Expiry]]&amp;""&amp;"P"&amp;Table1[[#This Row],[Spot]]+Table1[[#This Row],[step]]))</f>
        <v>64.84</v>
      </c>
      <c r="BB155">
        <f>IF(
    ISNUMBER(Table1[[#This Row],[Strike]]),RTD("tos.rtd", , "low", "."&amp;Table1[[#This Row],[Ticker]]&amp;Table1[[#This Row],[Expiry]]&amp;""&amp;"P"&amp;Table1[[#This Row],[Spot]]+Table1[[#This Row],[step]]))</f>
        <v>30.73</v>
      </c>
      <c r="BC155">
        <f>((Table1[[#This Row],[High C]]+Table1[[#This Row],[Low C]])/2)*Table1[[#This Row],[gammac]]*Table1[[#This Row],[Volume]]</f>
        <v>0</v>
      </c>
      <c r="BD155">
        <f>((Table1[[#This Row],[High P]]+Table1[[#This Row],[Low P]])/2)*Table1[[#This Row],[gammap]]*Table1[[#This Row],[Volume9]]*-1</f>
        <v>-280.97580000000005</v>
      </c>
      <c r="BE155">
        <f>(Table1[[#This Row],[SgammaC]]+Table1[[#This Row],[SgammaP]])*$A$4*-100</f>
        <v>194248404.69300005</v>
      </c>
      <c r="BF155">
        <f>Table1[[#This Row],[DEXc]]+Table1[[#This Row],[DEXp]]</f>
        <v>-8429931.5895000007</v>
      </c>
      <c r="BG155">
        <f>IFERROR(Table1[[#This Row],[DeltaC]]*Table1[[#This Row],[Open.Int]]*$A$4,0)</f>
        <v>1144159.425</v>
      </c>
      <c r="BH155">
        <f>IFERROR(Table1[[#This Row],[DeltaP]]*Table1[[#This Row],[Open.Int8]]*$A$4,0)</f>
        <v>-9574091.0145000014</v>
      </c>
      <c r="BI15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-4194404.7341382168</v>
      </c>
      <c r="BJ15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-7767768.3009391669</v>
      </c>
      <c r="BK155">
        <f ca="1">Table1[[#This Row],[Charmc]]+Table1[[#This Row],[Charmp]]</f>
        <v>-11962173.035077384</v>
      </c>
      <c r="BL155" s="78">
        <f>IF(
    ISNUMBER(Table1[[#This Row],[Strike]]),RTD("tos.rtd", , "GAMMA", "."&amp;Table1[[#This Row],[Ticker]]&amp;Table1[[#This Row],[Expiry]]&amp;""&amp;"P"&amp;Table1[[#This Row],[Spot]]+Table1[[#This Row],[step]]))</f>
        <v>0.01</v>
      </c>
      <c r="BM15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5" s="78">
        <f ca="1">Table1[[#This Row],[call helper]]+Table1[[#This Row],[put helper]]</f>
        <v>-52374.033031225466</v>
      </c>
      <c r="BP155">
        <f>RTD("tos.rtd", , "STRIKE", "."&amp;Table1[[#This Row],[Ticker]]&amp;Table1[[#This Row],[Expiry]]&amp;""&amp;"C"&amp;Table1[[#This Row],[Spot]]+Table1[[#This Row],[step]])</f>
        <v>6960</v>
      </c>
    </row>
    <row r="156" spans="1:77" x14ac:dyDescent="0.25">
      <c r="A156">
        <f t="shared" ca="1" si="14"/>
        <v>2.5814307458086375E-3</v>
      </c>
      <c r="C156" s="17"/>
      <c r="D156" t="b">
        <f>IF(
    ISNUMBER(Table1[[#This Row],[Strike]]),RTD("tos.rtd", , "OPEN_INT", "."&amp;Table1[[#This Row],[Ticker]]&amp;Table1[[#This Row],[Expiry]]&amp;""&amp;"C"&amp;Table1[[#This Row],[Strike]]))</f>
        <v>0</v>
      </c>
      <c r="E15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6" t="b">
        <f>IF(
    ISNUMBER(Table1[[#This Row],[Strike]]),RTD("tos.rtd", , "DELTA", "."&amp;Table1[[#This Row],[Ticker]]&amp;Table1[[#This Row],[Expiry]]&amp;""&amp;"C"&amp;Table1[[#This Row],[Strike]]))</f>
        <v>0</v>
      </c>
      <c r="H156" s="17" t="b" cm="1">
        <f t="array" ref="H156">IF(
    ISNUMBER(Table1[[#This Row],[Strike]]),IndividualLegIVCore($A$4, Table1[[#This Row],[Strike]], 0.0411, Table1[[#This Row],[T]], ((Table1[[#This Row],[BIDC]]+Table1[[#This Row],[ASKC]])/2), TRUE))</f>
        <v>0</v>
      </c>
      <c r="I156" t="b">
        <f>IF(
    ISNUMBER(Table1[[#This Row],[Strike]]),RTD("tos.rtd", , "BID", "."&amp;Table1[[#This Row],[Ticker]]&amp;Table1[[#This Row],[Expiry]]&amp;""&amp;"C"&amp;Table1[[#This Row],[Strike]]))</f>
        <v>0</v>
      </c>
      <c r="J156" t="b">
        <f>IF(
    ISNUMBER(Table1[[#This Row],[Strike]]),RTD("tos.rtd", , "ASK", "."&amp;Table1[[#This Row],[Ticker]]&amp;Table1[[#This Row],[Expiry]]&amp;""&amp;"C"&amp;Table1[[#This Row],[Strike]]))</f>
        <v>0</v>
      </c>
      <c r="K15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6" s="17" cm="1">
        <f t="array" aca="1" ref="L15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6" s="1">
        <f t="shared" si="15"/>
        <v>46045</v>
      </c>
      <c r="N156" t="b">
        <f t="shared" si="16"/>
        <v>0</v>
      </c>
      <c r="P156" s="17" t="b" cm="1">
        <f t="array" ref="P156">IF(
    ISNUMBER(Table1[[#This Row],[Strike]]),IndividualLegIVCore($A$4, Table1[[#This Row],[Strike]], 0.0411, Table1[[#This Row],[T]], ((Table1[[#This Row],[BIDP]]+Table1[[#This Row],[ASKP]])/2), FALSE))</f>
        <v>0</v>
      </c>
      <c r="Q156" t="b">
        <f>IF(
    ISNUMBER(Table1[[#This Row],[Strike]]),RTD("tos.rtd", , "BID", "."&amp;Table1[[#This Row],[Ticker]]&amp;Table1[[#This Row],[Expiry]]&amp;""&amp;"P"&amp;Table1[[#This Row],[Strike]]))</f>
        <v>0</v>
      </c>
      <c r="R156" t="b">
        <f>IF(
    ISNUMBER(Table1[[#This Row],[Strike]]),RTD("tos.rtd", , "ASK", "."&amp;Table1[[#This Row],[Ticker]]&amp;Table1[[#This Row],[Expiry]]&amp;""&amp;"P"&amp;Table1[[#This Row],[Strike]]))</f>
        <v>0</v>
      </c>
      <c r="S156" s="17"/>
      <c r="T156" t="b">
        <f>IF(
    ISNUMBER(Table1[[#This Row],[Strike]]),RTD("tos.rtd", , "OPEN_INT", "."&amp;Table1[[#This Row],[Ticker]]&amp;Table1[[#This Row],[Expiry]]&amp;""&amp;"P"&amp;Table1[[#This Row],[Strike]]))</f>
        <v>0</v>
      </c>
      <c r="U15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6" t="b">
        <f>IF(
    ISNUMBER(Table1[[#This Row],[Strike]]),RTD("tos.rtd", , "DELTA", "."&amp;Table1[[#This Row],[Ticker]]&amp;Table1[[#This Row],[Expiry]]&amp;""&amp;"P"&amp;Table1[[#This Row],[Strike]]))</f>
        <v>0</v>
      </c>
      <c r="Y156" s="19">
        <f>23* IF($M$1="NDX", 10, IF(OR($M$1="SPX", $M$1="RUT"), 2, 1))</f>
        <v>46</v>
      </c>
      <c r="Z156">
        <f ca="1">IFERROR(Table1[[#This Row],[call gamma]]*(Table1[[#This Row],[Open.Int]])*$A$4^2,0)</f>
        <v>0</v>
      </c>
      <c r="AA156">
        <f ca="1">IFERROR(((Table1[[#This Row],[Open.Int8]])*Table1[[#This Row],[Put gamma]])*-1*$A$4^2,0)</f>
        <v>0</v>
      </c>
      <c r="AB156">
        <f ca="1">(Table1[[#This Row],[Call Gex]]+Table1[[#This Row],[Put Gex]])</f>
        <v>0</v>
      </c>
      <c r="AC156">
        <f ca="1">Table1[[#This Row],[call delta adj]]+Table1[[#This Row],[put delta adj]]</f>
        <v>0</v>
      </c>
      <c r="AD156">
        <f ca="1">Table1[[#This Row],[Put Gex]]*Table1[[#This Row],[DeltaP]]*-1</f>
        <v>0</v>
      </c>
      <c r="AE156">
        <f ca="1">Table1[[#This Row],[Call Gex]]*Table1[[#This Row],[DeltaC]]</f>
        <v>0</v>
      </c>
      <c r="AF156">
        <f>IF(Table1[[#This Row],[DeltaC]]-ABS(Table1[[#This Row],[DeltaP]])="0","0.01",Table1[[#This Row],[DeltaC]]-ABS(Table1[[#This Row],[DeltaP]]))</f>
        <v>0</v>
      </c>
      <c r="AG156" t="e">
        <f ca="1">((LN($A$4/Table1[[#This Row],[Strike]]) + (0.411 + 0.5 * Table1[[#This Row],[IV Calc P]]^2) *Table1[[#This Row],[T]])) / (Table1[[#This Row],[IV Calc P]] * SQRT(Table1[[#This Row],[T]]))</f>
        <v>#DIV/0!</v>
      </c>
      <c r="AH156" t="e">
        <f ca="1">(LN($A$4/Table1[[#This Row],[Strike]]) + (0.411-0 + 0.5 * Table1[[#This Row],[IV Calc C]]^2) *Table1[[#This Row],[T]]) / (Table1[[#This Row],[IV Calc C]] * SQRT(Table1[[#This Row],[T]]))</f>
        <v>#DIV/0!</v>
      </c>
      <c r="AI156" t="e">
        <f ca="1">(EXP(-(AG156^2)/2)/SQRT(2*PI())*EXP(0*SQRT(Table1[[#This Row],[T]]))/$A$4*18%*SQRT(SQRT(Table1[[#This Row],[T]])))</f>
        <v>#DIV/0!</v>
      </c>
      <c r="AJ156" t="e">
        <f ca="1">(EXP(-(AH156^2)/2)/SQRT(2*PI())*EXP(0*SQRT(Table1[[#This Row],[T]]))/$A$4*18%*SQRT(SQRT(Table1[[#This Row],[T]])))</f>
        <v>#DIV/0!</v>
      </c>
      <c r="AK156" t="e">
        <f ca="1">Table1[[#This Row],[Call D1]]-Table1[[#This Row],[IV Calc C]]*SQRT(Table1[[#This Row],[T]])</f>
        <v>#DIV/0!</v>
      </c>
      <c r="AL156" t="e">
        <f ca="1">Table1[[#This Row],[Put D1]]-Table1[[#This Row],[IV Calc P]]*SQRT(Table1[[#This Row],[T]])</f>
        <v>#DIV/0!</v>
      </c>
      <c r="AM156" t="e">
        <f ca="1">EXP(-0.5*Table1[[#This Row],[Call D1]]^2)/SQRT(2*PI())</f>
        <v>#DIV/0!</v>
      </c>
      <c r="AN156" t="e">
        <f ca="1">EXP(-0.5*Table1[[#This Row],[Put D1]]^2)/SQRT(2*PI())</f>
        <v>#DIV/0!</v>
      </c>
      <c r="AO156">
        <f ca="1">IFERROR((EXP(0*Table1[[#This Row],[T]])*Table1[[#This Row],[call N(d1)]]*(Table1[[#This Row],[call d2]]/Table1[[#This Row],[IV Calc C]]))*Table1[[#This Row],[Open.Int]]*Table1[[#This Row],[DeltaC]],0)</f>
        <v>0</v>
      </c>
      <c r="AP156">
        <f ca="1">IFERROR((EXP(0*Table1[[#This Row],[T]])*Table1[[#This Row],[put N(d1)]]*(Table1[[#This Row],[put d2]]/Table1[[#This Row],[IV Calc P]]))*Table1[[#This Row],[Open.Int8]]*Table1[[#This Row],[DeltaP]]*-1,0)</f>
        <v>0</v>
      </c>
      <c r="AQ156">
        <f ca="1">((Table1[[#This Row],[call vanna]]+Table1[[#This Row],[put vanna]])*$A$4)</f>
        <v>0</v>
      </c>
      <c r="AR15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6" s="9" t="str" cm="1">
        <f t="array" ref="AT156">_xlfn.IFS(     $M$1="SPX","SPXW",     $M$1="RUT","RUTW",  $M$1="NDX","NDXP",   TRUE,$M$1 )</f>
        <v>SPXW</v>
      </c>
      <c r="AU156" s="2">
        <f t="shared" si="17"/>
        <v>6915</v>
      </c>
      <c r="AV156" t="str">
        <f t="shared" si="18"/>
        <v>260123</v>
      </c>
      <c r="AW156" s="19">
        <f ca="1">IFERROR((EXP(0*Table1[[#This Row],[T]])*Table1[[#This Row],[put N(d1)]]*(Table1[[#This Row],[put d2]]/Table1[[#This Row],[IV Calc P]]))*Table1[[#This Row],[Open.Int8]]*Table1[[#This Row],[DeltaP]]*-1,0)</f>
        <v>0</v>
      </c>
      <c r="AX156">
        <f ca="1">IFERROR((EXP(0*Table1[[#This Row],[T]])*Table1[[#This Row],[call N(d1)]]*(Table1[[#This Row],[call d2]]/Table1[[#This Row],[IV Calc C]]))*Table1[[#This Row],[Open.Int]]*Table1[[#This Row],[DeltaC]],0)</f>
        <v>0</v>
      </c>
      <c r="AY15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6">
        <f>((Table1[[#This Row],[High C]]+Table1[[#This Row],[Low C]])/2)*Table1[[#This Row],[gammac]]*Table1[[#This Row],[Volume]]</f>
        <v>0</v>
      </c>
      <c r="BD156">
        <f>((Table1[[#This Row],[High P]]+Table1[[#This Row],[Low P]])/2)*Table1[[#This Row],[gammap]]*Table1[[#This Row],[Volume9]]*-1</f>
        <v>0</v>
      </c>
      <c r="BE156">
        <f>(Table1[[#This Row],[SgammaC]]+Table1[[#This Row],[SgammaP]])*$A$4*-100</f>
        <v>0</v>
      </c>
      <c r="BF156">
        <f>Table1[[#This Row],[DEXc]]+Table1[[#This Row],[DEXp]]</f>
        <v>0</v>
      </c>
      <c r="BG156">
        <f>IFERROR(Table1[[#This Row],[DeltaC]]*Table1[[#This Row],[Open.Int]]*$A$4,0)</f>
        <v>0</v>
      </c>
      <c r="BH156">
        <f>IFERROR(Table1[[#This Row],[DeltaP]]*Table1[[#This Row],[Open.Int8]]*$A$4,0)</f>
        <v>0</v>
      </c>
      <c r="BI15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6">
        <f ca="1">Table1[[#This Row],[Charmc]]+Table1[[#This Row],[Charmp]]</f>
        <v>0</v>
      </c>
      <c r="BL15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6" s="78">
        <f ca="1">Table1[[#This Row],[call helper]]+Table1[[#This Row],[put helper]]</f>
        <v>0</v>
      </c>
      <c r="BP156" t="str">
        <f>RTD("tos.rtd", , "STRIKE", "."&amp;Table1[[#This Row],[Ticker]]&amp;Table1[[#This Row],[Expiry]]&amp;""&amp;"C"&amp;Table1[[#This Row],[Spot]]+Table1[[#This Row],[step]])</f>
        <v>N/A</v>
      </c>
    </row>
    <row r="157" spans="1:77" x14ac:dyDescent="0.25">
      <c r="A157">
        <f t="shared" ca="1" si="14"/>
        <v>2.5814307458086375E-3</v>
      </c>
      <c r="C157" s="17"/>
      <c r="D157" t="b">
        <f>IF(
    ISNUMBER(Table1[[#This Row],[Strike]]),RTD("tos.rtd", , "OPEN_INT", "."&amp;Table1[[#This Row],[Ticker]]&amp;Table1[[#This Row],[Expiry]]&amp;""&amp;"C"&amp;Table1[[#This Row],[Strike]]))</f>
        <v>0</v>
      </c>
      <c r="E15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7" t="b">
        <f>IF(
    ISNUMBER(Table1[[#This Row],[Strike]]),RTD("tos.rtd", , "DELTA", "."&amp;Table1[[#This Row],[Ticker]]&amp;Table1[[#This Row],[Expiry]]&amp;""&amp;"C"&amp;Table1[[#This Row],[Strike]]))</f>
        <v>0</v>
      </c>
      <c r="H157" s="17" t="b" cm="1">
        <f t="array" ref="H157">IF(
    ISNUMBER(Table1[[#This Row],[Strike]]),IndividualLegIVCore($A$4, Table1[[#This Row],[Strike]], 0.0411, Table1[[#This Row],[T]], ((Table1[[#This Row],[BIDC]]+Table1[[#This Row],[ASKC]])/2), TRUE))</f>
        <v>0</v>
      </c>
      <c r="I157" t="b">
        <f>IF(
    ISNUMBER(Table1[[#This Row],[Strike]]),RTD("tos.rtd", , "BID", "."&amp;Table1[[#This Row],[Ticker]]&amp;Table1[[#This Row],[Expiry]]&amp;""&amp;"C"&amp;Table1[[#This Row],[Strike]]))</f>
        <v>0</v>
      </c>
      <c r="J157" t="b">
        <f>IF(
    ISNUMBER(Table1[[#This Row],[Strike]]),RTD("tos.rtd", , "ASK", "."&amp;Table1[[#This Row],[Ticker]]&amp;Table1[[#This Row],[Expiry]]&amp;""&amp;"C"&amp;Table1[[#This Row],[Strike]]))</f>
        <v>0</v>
      </c>
      <c r="K15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7" s="17" cm="1">
        <f t="array" aca="1" ref="L15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7" s="1">
        <f t="shared" si="15"/>
        <v>46045</v>
      </c>
      <c r="N157" t="b">
        <f t="shared" si="16"/>
        <v>0</v>
      </c>
      <c r="P157" s="17" t="b" cm="1">
        <f t="array" ref="P157">IF(
    ISNUMBER(Table1[[#This Row],[Strike]]),IndividualLegIVCore($A$4, Table1[[#This Row],[Strike]], 0.0411, Table1[[#This Row],[T]], ((Table1[[#This Row],[BIDP]]+Table1[[#This Row],[ASKP]])/2), FALSE))</f>
        <v>0</v>
      </c>
      <c r="Q157" t="b">
        <f>IF(
    ISNUMBER(Table1[[#This Row],[Strike]]),RTD("tos.rtd", , "BID", "."&amp;Table1[[#This Row],[Ticker]]&amp;Table1[[#This Row],[Expiry]]&amp;""&amp;"P"&amp;Table1[[#This Row],[Strike]]))</f>
        <v>0</v>
      </c>
      <c r="R157" t="b">
        <f>IF(
    ISNUMBER(Table1[[#This Row],[Strike]]),RTD("tos.rtd", , "ASK", "."&amp;Table1[[#This Row],[Ticker]]&amp;Table1[[#This Row],[Expiry]]&amp;""&amp;"P"&amp;Table1[[#This Row],[Strike]]))</f>
        <v>0</v>
      </c>
      <c r="S157" s="17"/>
      <c r="T157" t="b">
        <f>IF(
    ISNUMBER(Table1[[#This Row],[Strike]]),RTD("tos.rtd", , "OPEN_INT", "."&amp;Table1[[#This Row],[Ticker]]&amp;Table1[[#This Row],[Expiry]]&amp;""&amp;"P"&amp;Table1[[#This Row],[Strike]]))</f>
        <v>0</v>
      </c>
      <c r="U15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7" t="b">
        <f>IF(
    ISNUMBER(Table1[[#This Row],[Strike]]),RTD("tos.rtd", , "DELTA", "."&amp;Table1[[#This Row],[Ticker]]&amp;Table1[[#This Row],[Expiry]]&amp;""&amp;"P"&amp;Table1[[#This Row],[Strike]]))</f>
        <v>0</v>
      </c>
      <c r="Y157" s="19">
        <f>23.5* IF($M$1="NDX", 10, IF(OR($M$1="SPX", $M$1="RUT"), 2, 1))</f>
        <v>47</v>
      </c>
      <c r="Z157">
        <f ca="1">IFERROR(Table1[[#This Row],[call gamma]]*(Table1[[#This Row],[Open.Int]])*$A$4^2,0)</f>
        <v>0</v>
      </c>
      <c r="AA157">
        <f ca="1">IFERROR(((Table1[[#This Row],[Open.Int8]])*Table1[[#This Row],[Put gamma]])*-1*$A$4^2,0)</f>
        <v>0</v>
      </c>
      <c r="AB157">
        <f ca="1">(Table1[[#This Row],[Call Gex]]+Table1[[#This Row],[Put Gex]])</f>
        <v>0</v>
      </c>
      <c r="AC157">
        <f ca="1">Table1[[#This Row],[call delta adj]]+Table1[[#This Row],[put delta adj]]</f>
        <v>0</v>
      </c>
      <c r="AD157">
        <f ca="1">Table1[[#This Row],[Put Gex]]*Table1[[#This Row],[DeltaP]]*-1</f>
        <v>0</v>
      </c>
      <c r="AE157">
        <f ca="1">Table1[[#This Row],[Call Gex]]*Table1[[#This Row],[DeltaC]]</f>
        <v>0</v>
      </c>
      <c r="AF157">
        <f>IF(Table1[[#This Row],[DeltaC]]-ABS(Table1[[#This Row],[DeltaP]])="0","0.01",Table1[[#This Row],[DeltaC]]-ABS(Table1[[#This Row],[DeltaP]]))</f>
        <v>0</v>
      </c>
      <c r="AG157" t="e">
        <f ca="1">((LN($A$4/Table1[[#This Row],[Strike]]) + (0.411 + 0.5 * Table1[[#This Row],[IV Calc P]]^2) *Table1[[#This Row],[T]])) / (Table1[[#This Row],[IV Calc P]] * SQRT(Table1[[#This Row],[T]]))</f>
        <v>#DIV/0!</v>
      </c>
      <c r="AH157" t="e">
        <f ca="1">(LN($A$4/Table1[[#This Row],[Strike]]) + (0.411-0 + 0.5 * Table1[[#This Row],[IV Calc C]]^2) *Table1[[#This Row],[T]]) / (Table1[[#This Row],[IV Calc C]] * SQRT(Table1[[#This Row],[T]]))</f>
        <v>#DIV/0!</v>
      </c>
      <c r="AI157" t="e">
        <f ca="1">(EXP(-(AG157^2)/2)/SQRT(2*PI())*EXP(0*SQRT(Table1[[#This Row],[T]]))/$A$4*18%*SQRT(SQRT(Table1[[#This Row],[T]])))</f>
        <v>#DIV/0!</v>
      </c>
      <c r="AJ157" t="e">
        <f ca="1">(EXP(-(AH157^2)/2)/SQRT(2*PI())*EXP(0*SQRT(Table1[[#This Row],[T]]))/$A$4*18%*SQRT(SQRT(Table1[[#This Row],[T]])))</f>
        <v>#DIV/0!</v>
      </c>
      <c r="AK157" t="e">
        <f ca="1">Table1[[#This Row],[Call D1]]-Table1[[#This Row],[IV Calc C]]*SQRT(Table1[[#This Row],[T]])</f>
        <v>#DIV/0!</v>
      </c>
      <c r="AL157" t="e">
        <f ca="1">Table1[[#This Row],[Put D1]]-Table1[[#This Row],[IV Calc P]]*SQRT(Table1[[#This Row],[T]])</f>
        <v>#DIV/0!</v>
      </c>
      <c r="AM157" t="e">
        <f ca="1">EXP(-0.5*Table1[[#This Row],[Call D1]]^2)/SQRT(2*PI())</f>
        <v>#DIV/0!</v>
      </c>
      <c r="AN157" t="e">
        <f ca="1">EXP(-0.5*Table1[[#This Row],[Put D1]]^2)/SQRT(2*PI())</f>
        <v>#DIV/0!</v>
      </c>
      <c r="AO157">
        <f ca="1">IFERROR((EXP(0*Table1[[#This Row],[T]])*Table1[[#This Row],[call N(d1)]]*(Table1[[#This Row],[call d2]]/Table1[[#This Row],[IV Calc C]]))*Table1[[#This Row],[Open.Int]]*Table1[[#This Row],[DeltaC]],0)</f>
        <v>0</v>
      </c>
      <c r="AP157">
        <f ca="1">IFERROR((EXP(0*Table1[[#This Row],[T]])*Table1[[#This Row],[put N(d1)]]*(Table1[[#This Row],[put d2]]/Table1[[#This Row],[IV Calc P]]))*Table1[[#This Row],[Open.Int8]]*Table1[[#This Row],[DeltaP]]*-1,0)</f>
        <v>0</v>
      </c>
      <c r="AQ157">
        <f ca="1">((Table1[[#This Row],[call vanna]]+Table1[[#This Row],[put vanna]])*$A$4)</f>
        <v>0</v>
      </c>
      <c r="AR15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7" s="9" t="str" cm="1">
        <f t="array" ref="AT157">_xlfn.IFS(     $M$1="SPX","SPXW",     $M$1="RUT","RUTW",  $M$1="NDX","NDXP",   TRUE,$M$1 )</f>
        <v>SPXW</v>
      </c>
      <c r="AU157" s="2">
        <f t="shared" si="17"/>
        <v>6915</v>
      </c>
      <c r="AV157" t="str">
        <f t="shared" si="18"/>
        <v>260123</v>
      </c>
      <c r="AW157" s="19">
        <f ca="1">IFERROR((EXP(0*Table1[[#This Row],[T]])*Table1[[#This Row],[put N(d1)]]*(Table1[[#This Row],[put d2]]/Table1[[#This Row],[IV Calc P]]))*Table1[[#This Row],[Open.Int8]]*Table1[[#This Row],[DeltaP]]*-1,0)</f>
        <v>0</v>
      </c>
      <c r="AX157">
        <f ca="1">IFERROR((EXP(0*Table1[[#This Row],[T]])*Table1[[#This Row],[call N(d1)]]*(Table1[[#This Row],[call d2]]/Table1[[#This Row],[IV Calc C]]))*Table1[[#This Row],[Open.Int]]*Table1[[#This Row],[DeltaC]],0)</f>
        <v>0</v>
      </c>
      <c r="AY15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7">
        <f>((Table1[[#This Row],[High C]]+Table1[[#This Row],[Low C]])/2)*Table1[[#This Row],[gammac]]*Table1[[#This Row],[Volume]]</f>
        <v>0</v>
      </c>
      <c r="BD157">
        <f>((Table1[[#This Row],[High P]]+Table1[[#This Row],[Low P]])/2)*Table1[[#This Row],[gammap]]*Table1[[#This Row],[Volume9]]*-1</f>
        <v>0</v>
      </c>
      <c r="BE157">
        <f>(Table1[[#This Row],[SgammaC]]+Table1[[#This Row],[SgammaP]])*$A$4*-100</f>
        <v>0</v>
      </c>
      <c r="BF157">
        <f>Table1[[#This Row],[DEXc]]+Table1[[#This Row],[DEXp]]</f>
        <v>0</v>
      </c>
      <c r="BG157">
        <f>IFERROR(Table1[[#This Row],[DeltaC]]*Table1[[#This Row],[Open.Int]]*$A$4,0)</f>
        <v>0</v>
      </c>
      <c r="BH157">
        <f>IFERROR(Table1[[#This Row],[DeltaP]]*Table1[[#This Row],[Open.Int8]]*$A$4,0)</f>
        <v>0</v>
      </c>
      <c r="BI15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7">
        <f ca="1">Table1[[#This Row],[Charmc]]+Table1[[#This Row],[Charmp]]</f>
        <v>0</v>
      </c>
      <c r="BL15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7" s="78">
        <f ca="1">Table1[[#This Row],[call helper]]+Table1[[#This Row],[put helper]]</f>
        <v>0</v>
      </c>
      <c r="BP157" t="str">
        <f>RTD("tos.rtd", , "STRIKE", "."&amp;Table1[[#This Row],[Ticker]]&amp;Table1[[#This Row],[Expiry]]&amp;""&amp;"C"&amp;Table1[[#This Row],[Spot]]+Table1[[#This Row],[step]])</f>
        <v>N/A</v>
      </c>
    </row>
    <row r="158" spans="1:77" x14ac:dyDescent="0.25">
      <c r="A158">
        <f t="shared" ca="1" si="14"/>
        <v>2.5814307458086375E-3</v>
      </c>
      <c r="C158" s="17"/>
      <c r="D158" t="b">
        <f>IF(
    ISNUMBER(Table1[[#This Row],[Strike]]),RTD("tos.rtd", , "OPEN_INT", "."&amp;Table1[[#This Row],[Ticker]]&amp;Table1[[#This Row],[Expiry]]&amp;""&amp;"C"&amp;Table1[[#This Row],[Strike]]))</f>
        <v>0</v>
      </c>
      <c r="E15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8" t="b">
        <f>IF(
    ISNUMBER(Table1[[#This Row],[Strike]]),RTD("tos.rtd", , "DELTA", "."&amp;Table1[[#This Row],[Ticker]]&amp;Table1[[#This Row],[Expiry]]&amp;""&amp;"C"&amp;Table1[[#This Row],[Strike]]))</f>
        <v>0</v>
      </c>
      <c r="H158" s="17" t="b" cm="1">
        <f t="array" ref="H158">IF(
    ISNUMBER(Table1[[#This Row],[Strike]]),IndividualLegIVCore($A$4, Table1[[#This Row],[Strike]], 0.0411, Table1[[#This Row],[T]], ((Table1[[#This Row],[BIDC]]+Table1[[#This Row],[ASKC]])/2), TRUE))</f>
        <v>0</v>
      </c>
      <c r="I158" t="b">
        <f>IF(
    ISNUMBER(Table1[[#This Row],[Strike]]),RTD("tos.rtd", , "BID", "."&amp;Table1[[#This Row],[Ticker]]&amp;Table1[[#This Row],[Expiry]]&amp;""&amp;"C"&amp;Table1[[#This Row],[Strike]]))</f>
        <v>0</v>
      </c>
      <c r="J158" t="b">
        <f>IF(
    ISNUMBER(Table1[[#This Row],[Strike]]),RTD("tos.rtd", , "ASK", "."&amp;Table1[[#This Row],[Ticker]]&amp;Table1[[#This Row],[Expiry]]&amp;""&amp;"C"&amp;Table1[[#This Row],[Strike]]))</f>
        <v>0</v>
      </c>
      <c r="K15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8" s="17" cm="1">
        <f t="array" aca="1" ref="L15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8" s="1">
        <f t="shared" si="15"/>
        <v>46045</v>
      </c>
      <c r="N158" t="b">
        <f t="shared" si="16"/>
        <v>0</v>
      </c>
      <c r="P158" s="17" t="b" cm="1">
        <f t="array" ref="P158">IF(
    ISNUMBER(Table1[[#This Row],[Strike]]),IndividualLegIVCore($A$4, Table1[[#This Row],[Strike]], 0.0411, Table1[[#This Row],[T]], ((Table1[[#This Row],[BIDP]]+Table1[[#This Row],[ASKP]])/2), FALSE))</f>
        <v>0</v>
      </c>
      <c r="Q158" t="b">
        <f>IF(
    ISNUMBER(Table1[[#This Row],[Strike]]),RTD("tos.rtd", , "BID", "."&amp;Table1[[#This Row],[Ticker]]&amp;Table1[[#This Row],[Expiry]]&amp;""&amp;"P"&amp;Table1[[#This Row],[Strike]]))</f>
        <v>0</v>
      </c>
      <c r="R158" t="b">
        <f>IF(
    ISNUMBER(Table1[[#This Row],[Strike]]),RTD("tos.rtd", , "ASK", "."&amp;Table1[[#This Row],[Ticker]]&amp;Table1[[#This Row],[Expiry]]&amp;""&amp;"P"&amp;Table1[[#This Row],[Strike]]))</f>
        <v>0</v>
      </c>
      <c r="S158" s="17"/>
      <c r="T158" t="b">
        <f>IF(
    ISNUMBER(Table1[[#This Row],[Strike]]),RTD("tos.rtd", , "OPEN_INT", "."&amp;Table1[[#This Row],[Ticker]]&amp;Table1[[#This Row],[Expiry]]&amp;""&amp;"P"&amp;Table1[[#This Row],[Strike]]))</f>
        <v>0</v>
      </c>
      <c r="U15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8" t="b">
        <f>IF(
    ISNUMBER(Table1[[#This Row],[Strike]]),RTD("tos.rtd", , "DELTA", "."&amp;Table1[[#This Row],[Ticker]]&amp;Table1[[#This Row],[Expiry]]&amp;""&amp;"P"&amp;Table1[[#This Row],[Strike]]))</f>
        <v>0</v>
      </c>
      <c r="Y158" s="19">
        <f>24* IF($M$1="NDX", 10, IF(OR($M$1="SPX", $M$1="RUT"), 2, 1))</f>
        <v>48</v>
      </c>
      <c r="Z158">
        <f ca="1">IFERROR(Table1[[#This Row],[call gamma]]*(Table1[[#This Row],[Open.Int]])*$A$4^2,0)</f>
        <v>0</v>
      </c>
      <c r="AA158">
        <f ca="1">IFERROR(((Table1[[#This Row],[Open.Int8]])*Table1[[#This Row],[Put gamma]])*-1*$A$4^2,0)</f>
        <v>0</v>
      </c>
      <c r="AB158">
        <f ca="1">(Table1[[#This Row],[Call Gex]]+Table1[[#This Row],[Put Gex]])</f>
        <v>0</v>
      </c>
      <c r="AC158">
        <f ca="1">Table1[[#This Row],[call delta adj]]+Table1[[#This Row],[put delta adj]]</f>
        <v>0</v>
      </c>
      <c r="AD158">
        <f ca="1">Table1[[#This Row],[Put Gex]]*Table1[[#This Row],[DeltaP]]*-1</f>
        <v>0</v>
      </c>
      <c r="AE158">
        <f ca="1">Table1[[#This Row],[Call Gex]]*Table1[[#This Row],[DeltaC]]</f>
        <v>0</v>
      </c>
      <c r="AF158">
        <f>IF(Table1[[#This Row],[DeltaC]]-ABS(Table1[[#This Row],[DeltaP]])="0","0.01",Table1[[#This Row],[DeltaC]]-ABS(Table1[[#This Row],[DeltaP]]))</f>
        <v>0</v>
      </c>
      <c r="AG158" t="e">
        <f ca="1">((LN($A$4/Table1[[#This Row],[Strike]]) + (0.411 + 0.5 * Table1[[#This Row],[IV Calc P]]^2) *Table1[[#This Row],[T]])) / (Table1[[#This Row],[IV Calc P]] * SQRT(Table1[[#This Row],[T]]))</f>
        <v>#DIV/0!</v>
      </c>
      <c r="AH158" t="e">
        <f ca="1">(LN($A$4/Table1[[#This Row],[Strike]]) + (0.411-0 + 0.5 * Table1[[#This Row],[IV Calc C]]^2) *Table1[[#This Row],[T]]) / (Table1[[#This Row],[IV Calc C]] * SQRT(Table1[[#This Row],[T]]))</f>
        <v>#DIV/0!</v>
      </c>
      <c r="AI158" t="e">
        <f ca="1">(EXP(-(AG158^2)/2)/SQRT(2*PI())*EXP(0*SQRT(Table1[[#This Row],[T]]))/$A$4*18%*SQRT(SQRT(Table1[[#This Row],[T]])))</f>
        <v>#DIV/0!</v>
      </c>
      <c r="AJ158" t="e">
        <f ca="1">(EXP(-(AH158^2)/2)/SQRT(2*PI())*EXP(0*SQRT(Table1[[#This Row],[T]]))/$A$4*18%*SQRT(SQRT(Table1[[#This Row],[T]])))</f>
        <v>#DIV/0!</v>
      </c>
      <c r="AK158" t="e">
        <f ca="1">Table1[[#This Row],[Call D1]]-Table1[[#This Row],[IV Calc C]]*SQRT(Table1[[#This Row],[T]])</f>
        <v>#DIV/0!</v>
      </c>
      <c r="AL158" t="e">
        <f ca="1">Table1[[#This Row],[Put D1]]-Table1[[#This Row],[IV Calc P]]*SQRT(Table1[[#This Row],[T]])</f>
        <v>#DIV/0!</v>
      </c>
      <c r="AM158" t="e">
        <f ca="1">EXP(-0.5*Table1[[#This Row],[Call D1]]^2)/SQRT(2*PI())</f>
        <v>#DIV/0!</v>
      </c>
      <c r="AN158" t="e">
        <f ca="1">EXP(-0.5*Table1[[#This Row],[Put D1]]^2)/SQRT(2*PI())</f>
        <v>#DIV/0!</v>
      </c>
      <c r="AO158">
        <f ca="1">IFERROR((EXP(0*Table1[[#This Row],[T]])*Table1[[#This Row],[call N(d1)]]*(Table1[[#This Row],[call d2]]/Table1[[#This Row],[IV Calc C]]))*Table1[[#This Row],[Open.Int]]*Table1[[#This Row],[DeltaC]],0)</f>
        <v>0</v>
      </c>
      <c r="AP158">
        <f ca="1">IFERROR((EXP(0*Table1[[#This Row],[T]])*Table1[[#This Row],[put N(d1)]]*(Table1[[#This Row],[put d2]]/Table1[[#This Row],[IV Calc P]]))*Table1[[#This Row],[Open.Int8]]*Table1[[#This Row],[DeltaP]]*-1,0)</f>
        <v>0</v>
      </c>
      <c r="AQ158">
        <f ca="1">((Table1[[#This Row],[call vanna]]+Table1[[#This Row],[put vanna]])*$A$4)</f>
        <v>0</v>
      </c>
      <c r="AR15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8" s="9" t="str" cm="1">
        <f t="array" ref="AT158">_xlfn.IFS(     $M$1="SPX","SPXW",     $M$1="RUT","RUTW",  $M$1="NDX","NDXP",   TRUE,$M$1 )</f>
        <v>SPXW</v>
      </c>
      <c r="AU158" s="2">
        <f t="shared" si="17"/>
        <v>6915</v>
      </c>
      <c r="AV158" t="str">
        <f t="shared" si="18"/>
        <v>260123</v>
      </c>
      <c r="AW158" s="19">
        <f ca="1">IFERROR((EXP(0*Table1[[#This Row],[T]])*Table1[[#This Row],[put N(d1)]]*(Table1[[#This Row],[put d2]]/Table1[[#This Row],[IV Calc P]]))*Table1[[#This Row],[Open.Int8]]*Table1[[#This Row],[DeltaP]]*-1,0)</f>
        <v>0</v>
      </c>
      <c r="AX158">
        <f ca="1">IFERROR((EXP(0*Table1[[#This Row],[T]])*Table1[[#This Row],[call N(d1)]]*(Table1[[#This Row],[call d2]]/Table1[[#This Row],[IV Calc C]]))*Table1[[#This Row],[Open.Int]]*Table1[[#This Row],[DeltaC]],0)</f>
        <v>0</v>
      </c>
      <c r="AY15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8">
        <f>((Table1[[#This Row],[High C]]+Table1[[#This Row],[Low C]])/2)*Table1[[#This Row],[gammac]]*Table1[[#This Row],[Volume]]</f>
        <v>0</v>
      </c>
      <c r="BD158">
        <f>((Table1[[#This Row],[High P]]+Table1[[#This Row],[Low P]])/2)*Table1[[#This Row],[gammap]]*Table1[[#This Row],[Volume9]]*-1</f>
        <v>0</v>
      </c>
      <c r="BE158">
        <f>(Table1[[#This Row],[SgammaC]]+Table1[[#This Row],[SgammaP]])*$A$4*-100</f>
        <v>0</v>
      </c>
      <c r="BF158">
        <f>Table1[[#This Row],[DEXc]]+Table1[[#This Row],[DEXp]]</f>
        <v>0</v>
      </c>
      <c r="BG158">
        <f>IFERROR(Table1[[#This Row],[DeltaC]]*Table1[[#This Row],[Open.Int]]*$A$4,0)</f>
        <v>0</v>
      </c>
      <c r="BH158">
        <f>IFERROR(Table1[[#This Row],[DeltaP]]*Table1[[#This Row],[Open.Int8]]*$A$4,0)</f>
        <v>0</v>
      </c>
      <c r="BI15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8">
        <f ca="1">Table1[[#This Row],[Charmc]]+Table1[[#This Row],[Charmp]]</f>
        <v>0</v>
      </c>
      <c r="BL15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8" s="78">
        <f ca="1">Table1[[#This Row],[call helper]]+Table1[[#This Row],[put helper]]</f>
        <v>0</v>
      </c>
      <c r="BP158" t="str">
        <f>RTD("tos.rtd", , "STRIKE", "."&amp;Table1[[#This Row],[Ticker]]&amp;Table1[[#This Row],[Expiry]]&amp;""&amp;"C"&amp;Table1[[#This Row],[Spot]]+Table1[[#This Row],[step]])</f>
        <v>N/A</v>
      </c>
    </row>
    <row r="159" spans="1:77" x14ac:dyDescent="0.25">
      <c r="A159">
        <f t="shared" ca="1" si="14"/>
        <v>2.5814307458086375E-3</v>
      </c>
      <c r="C159" s="17"/>
      <c r="D159" t="b">
        <f>IF(
    ISNUMBER(Table1[[#This Row],[Strike]]),RTD("tos.rtd", , "OPEN_INT", "."&amp;Table1[[#This Row],[Ticker]]&amp;Table1[[#This Row],[Expiry]]&amp;""&amp;"C"&amp;Table1[[#This Row],[Strike]]))</f>
        <v>0</v>
      </c>
      <c r="E15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9" t="b">
        <f>IF(
    ISNUMBER(Table1[[#This Row],[Strike]]),RTD("tos.rtd", , "DELTA", "."&amp;Table1[[#This Row],[Ticker]]&amp;Table1[[#This Row],[Expiry]]&amp;""&amp;"C"&amp;Table1[[#This Row],[Strike]]))</f>
        <v>0</v>
      </c>
      <c r="H159" s="17" t="b" cm="1">
        <f t="array" ref="H159">IF(
    ISNUMBER(Table1[[#This Row],[Strike]]),IndividualLegIVCore($A$4, Table1[[#This Row],[Strike]], 0.0411, Table1[[#This Row],[T]], ((Table1[[#This Row],[BIDC]]+Table1[[#This Row],[ASKC]])/2), TRUE))</f>
        <v>0</v>
      </c>
      <c r="I159" t="b">
        <f>IF(
    ISNUMBER(Table1[[#This Row],[Strike]]),RTD("tos.rtd", , "BID", "."&amp;Table1[[#This Row],[Ticker]]&amp;Table1[[#This Row],[Expiry]]&amp;""&amp;"C"&amp;Table1[[#This Row],[Strike]]))</f>
        <v>0</v>
      </c>
      <c r="J159" t="b">
        <f>IF(
    ISNUMBER(Table1[[#This Row],[Strike]]),RTD("tos.rtd", , "ASK", "."&amp;Table1[[#This Row],[Ticker]]&amp;Table1[[#This Row],[Expiry]]&amp;""&amp;"C"&amp;Table1[[#This Row],[Strike]]))</f>
        <v>0</v>
      </c>
      <c r="K15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9" s="17" cm="1">
        <f t="array" aca="1" ref="L15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9" s="1">
        <f t="shared" si="15"/>
        <v>46045</v>
      </c>
      <c r="N159" t="b">
        <f t="shared" si="16"/>
        <v>0</v>
      </c>
      <c r="P159" s="17" t="b" cm="1">
        <f t="array" ref="P159">IF(
    ISNUMBER(Table1[[#This Row],[Strike]]),IndividualLegIVCore($A$4, Table1[[#This Row],[Strike]], 0.0411, Table1[[#This Row],[T]], ((Table1[[#This Row],[BIDP]]+Table1[[#This Row],[ASKP]])/2), FALSE))</f>
        <v>0</v>
      </c>
      <c r="Q159" t="b">
        <f>IF(
    ISNUMBER(Table1[[#This Row],[Strike]]),RTD("tos.rtd", , "BID", "."&amp;Table1[[#This Row],[Ticker]]&amp;Table1[[#This Row],[Expiry]]&amp;""&amp;"P"&amp;Table1[[#This Row],[Strike]]))</f>
        <v>0</v>
      </c>
      <c r="R159" t="b">
        <f>IF(
    ISNUMBER(Table1[[#This Row],[Strike]]),RTD("tos.rtd", , "ASK", "."&amp;Table1[[#This Row],[Ticker]]&amp;Table1[[#This Row],[Expiry]]&amp;""&amp;"P"&amp;Table1[[#This Row],[Strike]]))</f>
        <v>0</v>
      </c>
      <c r="S159" s="17"/>
      <c r="T159" t="b">
        <f>IF(
    ISNUMBER(Table1[[#This Row],[Strike]]),RTD("tos.rtd", , "OPEN_INT", "."&amp;Table1[[#This Row],[Ticker]]&amp;Table1[[#This Row],[Expiry]]&amp;""&amp;"P"&amp;Table1[[#This Row],[Strike]]))</f>
        <v>0</v>
      </c>
      <c r="U15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9" t="b">
        <f>IF(
    ISNUMBER(Table1[[#This Row],[Strike]]),RTD("tos.rtd", , "DELTA", "."&amp;Table1[[#This Row],[Ticker]]&amp;Table1[[#This Row],[Expiry]]&amp;""&amp;"P"&amp;Table1[[#This Row],[Strike]]))</f>
        <v>0</v>
      </c>
      <c r="Y159" s="19">
        <f>24.5* IF($M$1="NDX", 10, IF(OR($M$1="SPX", $M$1="RUT"), 2, 1))</f>
        <v>49</v>
      </c>
      <c r="Z159">
        <f ca="1">IFERROR(Table1[[#This Row],[call gamma]]*(Table1[[#This Row],[Open.Int]])*$A$4^2,0)</f>
        <v>0</v>
      </c>
      <c r="AA159">
        <f ca="1">IFERROR(((Table1[[#This Row],[Open.Int8]])*Table1[[#This Row],[Put gamma]])*-1*$A$4^2,0)</f>
        <v>0</v>
      </c>
      <c r="AB159">
        <f ca="1">(Table1[[#This Row],[Call Gex]]+Table1[[#This Row],[Put Gex]])</f>
        <v>0</v>
      </c>
      <c r="AC159">
        <f ca="1">Table1[[#This Row],[call delta adj]]+Table1[[#This Row],[put delta adj]]</f>
        <v>0</v>
      </c>
      <c r="AD159">
        <f ca="1">Table1[[#This Row],[Put Gex]]*Table1[[#This Row],[DeltaP]]*-1</f>
        <v>0</v>
      </c>
      <c r="AE159">
        <f ca="1">Table1[[#This Row],[Call Gex]]*Table1[[#This Row],[DeltaC]]</f>
        <v>0</v>
      </c>
      <c r="AF159">
        <f>IF(Table1[[#This Row],[DeltaC]]-ABS(Table1[[#This Row],[DeltaP]])="0","0.01",Table1[[#This Row],[DeltaC]]-ABS(Table1[[#This Row],[DeltaP]]))</f>
        <v>0</v>
      </c>
      <c r="AG159" t="e">
        <f ca="1">((LN($A$4/Table1[[#This Row],[Strike]]) + (0.411 + 0.5 * Table1[[#This Row],[IV Calc P]]^2) *Table1[[#This Row],[T]])) / (Table1[[#This Row],[IV Calc P]] * SQRT(Table1[[#This Row],[T]]))</f>
        <v>#DIV/0!</v>
      </c>
      <c r="AH159" t="e">
        <f ca="1">(LN($A$4/Table1[[#This Row],[Strike]]) + (0.411-0 + 0.5 * Table1[[#This Row],[IV Calc C]]^2) *Table1[[#This Row],[T]]) / (Table1[[#This Row],[IV Calc C]] * SQRT(Table1[[#This Row],[T]]))</f>
        <v>#DIV/0!</v>
      </c>
      <c r="AI159" t="e">
        <f ca="1">(EXP(-(AG159^2)/2)/SQRT(2*PI())*EXP(0*SQRT(Table1[[#This Row],[T]]))/$A$4*18%*SQRT(SQRT(Table1[[#This Row],[T]])))</f>
        <v>#DIV/0!</v>
      </c>
      <c r="AJ159" t="e">
        <f ca="1">(EXP(-(AH159^2)/2)/SQRT(2*PI())*EXP(0*SQRT(Table1[[#This Row],[T]]))/$A$4*18%*SQRT(SQRT(Table1[[#This Row],[T]])))</f>
        <v>#DIV/0!</v>
      </c>
      <c r="AK159" t="e">
        <f ca="1">Table1[[#This Row],[Call D1]]-Table1[[#This Row],[IV Calc C]]*SQRT(Table1[[#This Row],[T]])</f>
        <v>#DIV/0!</v>
      </c>
      <c r="AL159" t="e">
        <f ca="1">Table1[[#This Row],[Put D1]]-Table1[[#This Row],[IV Calc P]]*SQRT(Table1[[#This Row],[T]])</f>
        <v>#DIV/0!</v>
      </c>
      <c r="AM159" t="e">
        <f ca="1">EXP(-0.5*Table1[[#This Row],[Call D1]]^2)/SQRT(2*PI())</f>
        <v>#DIV/0!</v>
      </c>
      <c r="AN159" t="e">
        <f ca="1">EXP(-0.5*Table1[[#This Row],[Put D1]]^2)/SQRT(2*PI())</f>
        <v>#DIV/0!</v>
      </c>
      <c r="AO159">
        <f ca="1">IFERROR((EXP(0*Table1[[#This Row],[T]])*Table1[[#This Row],[call N(d1)]]*(Table1[[#This Row],[call d2]]/Table1[[#This Row],[IV Calc C]]))*Table1[[#This Row],[Open.Int]]*Table1[[#This Row],[DeltaC]],0)</f>
        <v>0</v>
      </c>
      <c r="AP159">
        <f ca="1">IFERROR((EXP(0*Table1[[#This Row],[T]])*Table1[[#This Row],[put N(d1)]]*(Table1[[#This Row],[put d2]]/Table1[[#This Row],[IV Calc P]]))*Table1[[#This Row],[Open.Int8]]*Table1[[#This Row],[DeltaP]]*-1,0)</f>
        <v>0</v>
      </c>
      <c r="AQ159">
        <f ca="1">((Table1[[#This Row],[call vanna]]+Table1[[#This Row],[put vanna]])*$A$4)</f>
        <v>0</v>
      </c>
      <c r="AR15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9" s="9" t="str" cm="1">
        <f t="array" ref="AT159">_xlfn.IFS(     $M$1="SPX","SPXW",     $M$1="RUT","RUTW",  $M$1="NDX","NDXP",   TRUE,$M$1 )</f>
        <v>SPXW</v>
      </c>
      <c r="AU159" s="2">
        <f t="shared" si="17"/>
        <v>6915</v>
      </c>
      <c r="AV159" t="str">
        <f t="shared" si="18"/>
        <v>260123</v>
      </c>
      <c r="AW159" s="19">
        <f ca="1">IFERROR((EXP(0*Table1[[#This Row],[T]])*Table1[[#This Row],[put N(d1)]]*(Table1[[#This Row],[put d2]]/Table1[[#This Row],[IV Calc P]]))*Table1[[#This Row],[Open.Int8]]*Table1[[#This Row],[DeltaP]]*-1,0)</f>
        <v>0</v>
      </c>
      <c r="AX159">
        <f ca="1">IFERROR((EXP(0*Table1[[#This Row],[T]])*Table1[[#This Row],[call N(d1)]]*(Table1[[#This Row],[call d2]]/Table1[[#This Row],[IV Calc C]]))*Table1[[#This Row],[Open.Int]]*Table1[[#This Row],[DeltaC]],0)</f>
        <v>0</v>
      </c>
      <c r="AY15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9">
        <f>((Table1[[#This Row],[High C]]+Table1[[#This Row],[Low C]])/2)*Table1[[#This Row],[gammac]]*Table1[[#This Row],[Volume]]</f>
        <v>0</v>
      </c>
      <c r="BD159">
        <f>((Table1[[#This Row],[High P]]+Table1[[#This Row],[Low P]])/2)*Table1[[#This Row],[gammap]]*Table1[[#This Row],[Volume9]]*-1</f>
        <v>0</v>
      </c>
      <c r="BE159">
        <f>(Table1[[#This Row],[SgammaC]]+Table1[[#This Row],[SgammaP]])*$A$4*-100</f>
        <v>0</v>
      </c>
      <c r="BF159">
        <f>Table1[[#This Row],[DEXc]]+Table1[[#This Row],[DEXp]]</f>
        <v>0</v>
      </c>
      <c r="BG159">
        <f>IFERROR(Table1[[#This Row],[DeltaC]]*Table1[[#This Row],[Open.Int]]*$A$4,0)</f>
        <v>0</v>
      </c>
      <c r="BH159">
        <f>IFERROR(Table1[[#This Row],[DeltaP]]*Table1[[#This Row],[Open.Int8]]*$A$4,0)</f>
        <v>0</v>
      </c>
      <c r="BI15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9">
        <f ca="1">Table1[[#This Row],[Charmc]]+Table1[[#This Row],[Charmp]]</f>
        <v>0</v>
      </c>
      <c r="BL15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9" s="78">
        <f ca="1">Table1[[#This Row],[call helper]]+Table1[[#This Row],[put helper]]</f>
        <v>0</v>
      </c>
      <c r="BP159" t="str">
        <f>RTD("tos.rtd", , "STRIKE", "."&amp;Table1[[#This Row],[Ticker]]&amp;Table1[[#This Row],[Expiry]]&amp;""&amp;"C"&amp;Table1[[#This Row],[Spot]]+Table1[[#This Row],[step]])</f>
        <v>N/A</v>
      </c>
    </row>
    <row r="160" spans="1:77" x14ac:dyDescent="0.25">
      <c r="A160">
        <f t="shared" ca="1" si="14"/>
        <v>2.5814307458086375E-3</v>
      </c>
      <c r="C160" s="17"/>
      <c r="D160">
        <f>IF(
    ISNUMBER(Table1[[#This Row],[Strike]]),RTD("tos.rtd", , "OPEN_INT", "."&amp;Table1[[#This Row],[Ticker]]&amp;Table1[[#This Row],[Expiry]]&amp;""&amp;"C"&amp;Table1[[#This Row],[Strike]]))</f>
        <v>1488</v>
      </c>
      <c r="E16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6637</v>
      </c>
      <c r="G160">
        <f>IF(
    ISNUMBER(Table1[[#This Row],[Strike]]),RTD("tos.rtd", , "DELTA", "."&amp;Table1[[#This Row],[Ticker]]&amp;Table1[[#This Row],[Expiry]]&amp;""&amp;"C"&amp;Table1[[#This Row],[Strike]]))</f>
        <v>0.08</v>
      </c>
      <c r="H160" s="17" cm="1">
        <f t="array" aca="1" ref="H160" ca="1">IF(
    ISNUMBER(Table1[[#This Row],[Strike]]),IndividualLegIVCore($A$4, Table1[[#This Row],[Strike]], 0.0411, Table1[[#This Row],[T]], ((Table1[[#This Row],[BIDC]]+Table1[[#This Row],[ASKC]])/2), TRUE))</f>
        <v>0.1015451531667964</v>
      </c>
      <c r="I160">
        <f>IF(
    ISNUMBER(Table1[[#This Row],[Strike]]),RTD("tos.rtd", , "BID", "."&amp;Table1[[#This Row],[Ticker]]&amp;Table1[[#This Row],[Expiry]]&amp;""&amp;"C"&amp;Table1[[#This Row],[Strike]]))</f>
        <v>1.1499999999999999</v>
      </c>
      <c r="J160">
        <f>IF(
    ISNUMBER(Table1[[#This Row],[Strike]]),RTD("tos.rtd", , "ASK", "."&amp;Table1[[#This Row],[Ticker]]&amp;Table1[[#This Row],[Expiry]]&amp;""&amp;"C"&amp;Table1[[#This Row],[Strike]]))</f>
        <v>1.35</v>
      </c>
      <c r="K16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0.1015451531667964</v>
      </c>
      <c r="L160" s="17" cm="1">
        <f t="array" aca="1" ref="L160" ca="1">CubicSplineIVSmile($A$4, Table1[[#This Row],[Strike]], 0.0411, Table1[[#This Row],[T]], (Table1[[#This Row],[BIDC]]+Table1[[#This Row],[ASKC]])/2, (Table1[[#This Row],[BIDP]]+Table1[[#This Row],[ASKP]])/2, Table1[Strike], Table1[IV Calc AVG])</f>
        <v>0.15550036702941394</v>
      </c>
      <c r="M160" s="1">
        <f t="shared" si="15"/>
        <v>46045</v>
      </c>
      <c r="N160">
        <f t="shared" si="16"/>
        <v>6965</v>
      </c>
      <c r="P160" s="17" cm="1">
        <f t="array" aca="1" ref="P160" ca="1">IF(
    ISNUMBER(Table1[[#This Row],[Strike]]),IndividualLegIVCore($A$4, Table1[[#This Row],[Strike]], 0.0411, Table1[[#This Row],[T]], ((Table1[[#This Row],[BIDP]]+Table1[[#This Row],[ASKP]])/2), FALSE))</f>
        <v>0.16423523998699055</v>
      </c>
      <c r="Q160">
        <f>IF(
    ISNUMBER(Table1[[#This Row],[Strike]]),RTD("tos.rtd", , "BID", "."&amp;Table1[[#This Row],[Ticker]]&amp;Table1[[#This Row],[Expiry]]&amp;""&amp;"P"&amp;Table1[[#This Row],[Strike]]))</f>
        <v>56.4</v>
      </c>
      <c r="R160">
        <f>IF(
    ISNUMBER(Table1[[#This Row],[Strike]]),RTD("tos.rtd", , "ASK", "."&amp;Table1[[#This Row],[Ticker]]&amp;Table1[[#This Row],[Expiry]]&amp;""&amp;"P"&amp;Table1[[#This Row],[Strike]]))</f>
        <v>57.5</v>
      </c>
      <c r="S160" s="17"/>
      <c r="T160">
        <f>IF(
    ISNUMBER(Table1[[#This Row],[Strike]]),RTD("tos.rtd", , "OPEN_INT", "."&amp;Table1[[#This Row],[Ticker]]&amp;Table1[[#This Row],[Expiry]]&amp;""&amp;"P"&amp;Table1[[#This Row],[Strike]]))</f>
        <v>390</v>
      </c>
      <c r="U16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155</v>
      </c>
      <c r="W160">
        <f>IF(
    ISNUMBER(Table1[[#This Row],[Strike]]),RTD("tos.rtd", , "DELTA", "."&amp;Table1[[#This Row],[Ticker]]&amp;Table1[[#This Row],[Expiry]]&amp;""&amp;"P"&amp;Table1[[#This Row],[Strike]]))</f>
        <v>-0.81</v>
      </c>
      <c r="Y160" s="19">
        <f>25* IF($M$1="NDX", 10, IF(OR($M$1="SPX", $M$1="RUT"), 2, 1))</f>
        <v>50</v>
      </c>
      <c r="Z160">
        <f ca="1">IFERROR(Table1[[#This Row],[call gamma]]*(Table1[[#This Row],[Open.Int]])*$A$4^2,0)</f>
        <v>77718.158163438391</v>
      </c>
      <c r="AA160">
        <f ca="1">IFERROR(((Table1[[#This Row],[Open.Int8]])*Table1[[#This Row],[Put gamma]])*-1*$A$4^2,0)</f>
        <v>-32677.564820300184</v>
      </c>
      <c r="AB160">
        <f ca="1">(Table1[[#This Row],[Call Gex]]+Table1[[#This Row],[Put Gex]])</f>
        <v>45040.593343138207</v>
      </c>
      <c r="AC160">
        <f ca="1">Table1[[#This Row],[call delta adj]]+Table1[[#This Row],[put delta adj]]</f>
        <v>-20251.374851368077</v>
      </c>
      <c r="AD160">
        <f ca="1">Table1[[#This Row],[Put Gex]]*Table1[[#This Row],[DeltaP]]*-1</f>
        <v>-26468.82750444315</v>
      </c>
      <c r="AE160">
        <f ca="1">Table1[[#This Row],[Call Gex]]*Table1[[#This Row],[DeltaC]]</f>
        <v>6217.4526530750718</v>
      </c>
      <c r="AF160">
        <f>IF(Table1[[#This Row],[DeltaC]]-ABS(Table1[[#This Row],[DeltaP]])="0","0.01",Table1[[#This Row],[DeltaC]]-ABS(Table1[[#This Row],[DeltaP]]))</f>
        <v>-0.73000000000000009</v>
      </c>
      <c r="AG160">
        <f ca="1">((LN($A$4/Table1[[#This Row],[Strike]]) + (0.411 + 0.5 * Table1[[#This Row],[IV Calc P]]^2) *Table1[[#This Row],[T]])) / (Table1[[#This Row],[IV Calc P]] * SQRT(Table1[[#This Row],[T]]))</f>
        <v>-0.76068716456359764</v>
      </c>
      <c r="AH160">
        <f ca="1">(LN($A$4/Table1[[#This Row],[Strike]]) + (0.411-0 + 0.5 * Table1[[#This Row],[IV Calc C]]^2) *Table1[[#This Row],[T]]) / (Table1[[#This Row],[IV Calc C]] * SQRT(Table1[[#This Row],[T]]))</f>
        <v>-1.2344746112251761</v>
      </c>
      <c r="AI160">
        <f ca="1">(EXP(-(AG160^2)/2)/SQRT(2*PI())*EXP(0*SQRT(Table1[[#This Row],[T]]))/$A$4*18%*SQRT(SQRT(Table1[[#This Row],[T]])))</f>
        <v>1.7531052451636922E-6</v>
      </c>
      <c r="AJ160">
        <f ca="1">(EXP(-(AH160^2)/2)/SQRT(2*PI())*EXP(0*SQRT(Table1[[#This Row],[T]]))/$A$4*18%*SQRT(SQRT(Table1[[#This Row],[T]])))</f>
        <v>1.092804513012521E-6</v>
      </c>
      <c r="AK160">
        <f ca="1">Table1[[#This Row],[Call D1]]-Table1[[#This Row],[IV Calc C]]*SQRT(Table1[[#This Row],[T]])</f>
        <v>-1.2396338952644568</v>
      </c>
      <c r="AL160">
        <f ca="1">Table1[[#This Row],[Put D1]]-Table1[[#This Row],[IV Calc P]]*SQRT(Table1[[#This Row],[T]])</f>
        <v>-0.7690315928886059</v>
      </c>
      <c r="AM160">
        <f ca="1">EXP(-0.5*Table1[[#This Row],[Call D1]]^2)/SQRT(2*PI())</f>
        <v>0.18620588365074486</v>
      </c>
      <c r="AN160">
        <f ca="1">EXP(-0.5*Table1[[#This Row],[Put D1]]^2)/SQRT(2*PI())</f>
        <v>0.29871629135989924</v>
      </c>
      <c r="AO160">
        <f ca="1">IFERROR((EXP(0*Table1[[#This Row],[T]])*Table1[[#This Row],[call N(d1)]]*(Table1[[#This Row],[call d2]]/Table1[[#This Row],[IV Calc C]]))*Table1[[#This Row],[Open.Int]]*Table1[[#This Row],[DeltaC]],0)</f>
        <v>-270.59549459268953</v>
      </c>
      <c r="AP160">
        <f ca="1">IFERROR((EXP(0*Table1[[#This Row],[T]])*Table1[[#This Row],[put N(d1)]]*(Table1[[#This Row],[put d2]]/Table1[[#This Row],[IV Calc P]]))*Table1[[#This Row],[Open.Int8]]*Table1[[#This Row],[DeltaP]]*-1,0)</f>
        <v>-441.86170784635686</v>
      </c>
      <c r="AQ160">
        <f ca="1">((Table1[[#This Row],[call vanna]]+Table1[[#This Row],[put vanna]])*$A$4)</f>
        <v>-4925466.0004819809</v>
      </c>
      <c r="AR16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77718.158163438391</v>
      </c>
      <c r="AS16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-32677.564820300184</v>
      </c>
      <c r="AT160" s="9" t="str" cm="1">
        <f t="array" ref="AT160">_xlfn.IFS(     $M$1="SPX","SPXW",     $M$1="RUT","RUTW",  $M$1="NDX","NDXP",   TRUE,$M$1 )</f>
        <v>SPXW</v>
      </c>
      <c r="AU160" s="2">
        <f t="shared" si="17"/>
        <v>6915</v>
      </c>
      <c r="AV160" t="str">
        <f t="shared" si="18"/>
        <v>260123</v>
      </c>
      <c r="AW160" s="19">
        <f ca="1">IFERROR((EXP(0*Table1[[#This Row],[T]])*Table1[[#This Row],[put N(d1)]]*(Table1[[#This Row],[put d2]]/Table1[[#This Row],[IV Calc P]]))*Table1[[#This Row],[Open.Int8]]*Table1[[#This Row],[DeltaP]]*-1,0)</f>
        <v>-441.86170784635686</v>
      </c>
      <c r="AX160">
        <f ca="1">IFERROR((EXP(0*Table1[[#This Row],[T]])*Table1[[#This Row],[call N(d1)]]*(Table1[[#This Row],[call d2]]/Table1[[#This Row],[IV Calc C]]))*Table1[[#This Row],[Open.Int]]*Table1[[#This Row],[DeltaC]],0)</f>
        <v>-270.59549459268953</v>
      </c>
      <c r="AY160">
        <f>IF(
    ISNUMBER(Table1[[#This Row],[Strike]]),RTD("tos.rtd", , "high", "."&amp;Table1[[#This Row],[Ticker]]&amp;Table1[[#This Row],[Expiry]]&amp;""&amp;"C"&amp;Table1[[#This Row],[Spot]]+Table1[[#This Row],[step]]))</f>
        <v>7.66</v>
      </c>
      <c r="AZ160">
        <f>IF(
    ISNUMBER(Table1[[#This Row],[Strike]]),RTD("tos.rtd", , "low", "."&amp;Table1[[#This Row],[Ticker]]&amp;Table1[[#This Row],[Expiry]]&amp;""&amp;"C"&amp;Table1[[#This Row],[Spot]]+Table1[[#This Row],[step]]))</f>
        <v>1</v>
      </c>
      <c r="BA160">
        <f>IF(
    ISNUMBER(Table1[[#This Row],[Strike]]),RTD("tos.rtd", , "high", "."&amp;Table1[[#This Row],[Ticker]]&amp;Table1[[#This Row],[Expiry]]&amp;""&amp;"P"&amp;Table1[[#This Row],[Spot]]+Table1[[#This Row],[step]]))</f>
        <v>69.73</v>
      </c>
      <c r="BB160">
        <f>IF(
    ISNUMBER(Table1[[#This Row],[Strike]]),RTD("tos.rtd", , "low", "."&amp;Table1[[#This Row],[Ticker]]&amp;Table1[[#This Row],[Expiry]]&amp;""&amp;"P"&amp;Table1[[#This Row],[Spot]]+Table1[[#This Row],[step]]))</f>
        <v>36.04</v>
      </c>
      <c r="BC160">
        <f>((Table1[[#This Row],[High C]]+Table1[[#This Row],[Low C]])/2)*Table1[[#This Row],[gammac]]*Table1[[#This Row],[Volume]]</f>
        <v>0</v>
      </c>
      <c r="BD160">
        <f>((Table1[[#This Row],[High P]]+Table1[[#This Row],[Low P]])/2)*Table1[[#This Row],[gammap]]*Table1[[#This Row],[Volume9]]*-1</f>
        <v>0</v>
      </c>
      <c r="BE160">
        <f>(Table1[[#This Row],[SgammaC]]+Table1[[#This Row],[SgammaP]])*$A$4*-100</f>
        <v>0</v>
      </c>
      <c r="BF160">
        <f>Table1[[#This Row],[DEXc]]+Table1[[#This Row],[DEXp]]</f>
        <v>-1360962.081</v>
      </c>
      <c r="BG160">
        <f>IFERROR(Table1[[#This Row],[DeltaC]]*Table1[[#This Row],[Open.Int]]*$A$4,0)</f>
        <v>822965.18400000012</v>
      </c>
      <c r="BH160">
        <f>IFERROR(Table1[[#This Row],[DeltaP]]*Table1[[#This Row],[Open.Int8]]*$A$4,0)</f>
        <v>-2183927.2650000001</v>
      </c>
      <c r="BI16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-3345364.0956508964</v>
      </c>
      <c r="BJ16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-1752204.2104817922</v>
      </c>
      <c r="BK160">
        <f ca="1">Table1[[#This Row],[Charmc]]+Table1[[#This Row],[Charmp]]</f>
        <v>-5097568.3061326891</v>
      </c>
      <c r="BL16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0" s="78">
        <f ca="1">Table1[[#This Row],[call helper]]+Table1[[#This Row],[put helper]]</f>
        <v>45040.593343138207</v>
      </c>
      <c r="BP160">
        <f>RTD("tos.rtd", , "STRIKE", "."&amp;Table1[[#This Row],[Ticker]]&amp;Table1[[#This Row],[Expiry]]&amp;""&amp;"C"&amp;Table1[[#This Row],[Spot]]+Table1[[#This Row],[step]])</f>
        <v>6965</v>
      </c>
    </row>
    <row r="161" spans="1:68" x14ac:dyDescent="0.25">
      <c r="A161">
        <f t="shared" ca="1" si="14"/>
        <v>2.5814307458086375E-3</v>
      </c>
      <c r="C161" s="17"/>
      <c r="D161" t="b">
        <f>IF(
    ISNUMBER(Table1[[#This Row],[Strike]]),RTD("tos.rtd", , "OPEN_INT", "."&amp;Table1[[#This Row],[Ticker]]&amp;Table1[[#This Row],[Expiry]]&amp;""&amp;"C"&amp;Table1[[#This Row],[Strike]]))</f>
        <v>0</v>
      </c>
      <c r="E16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1" t="b">
        <f>IF(
    ISNUMBER(Table1[[#This Row],[Strike]]),RTD("tos.rtd", , "DELTA", "."&amp;Table1[[#This Row],[Ticker]]&amp;Table1[[#This Row],[Expiry]]&amp;""&amp;"C"&amp;Table1[[#This Row],[Strike]]))</f>
        <v>0</v>
      </c>
      <c r="H161" s="17" t="b" cm="1">
        <f t="array" ref="H161">IF(
    ISNUMBER(Table1[[#This Row],[Strike]]),IndividualLegIVCore($A$4, Table1[[#This Row],[Strike]], 0.0411, Table1[[#This Row],[T]], ((Table1[[#This Row],[BIDC]]+Table1[[#This Row],[ASKC]])/2), TRUE))</f>
        <v>0</v>
      </c>
      <c r="I161" t="b">
        <f>IF(
    ISNUMBER(Table1[[#This Row],[Strike]]),RTD("tos.rtd", , "BID", "."&amp;Table1[[#This Row],[Ticker]]&amp;Table1[[#This Row],[Expiry]]&amp;""&amp;"C"&amp;Table1[[#This Row],[Strike]]))</f>
        <v>0</v>
      </c>
      <c r="J161" t="b">
        <f>IF(
    ISNUMBER(Table1[[#This Row],[Strike]]),RTD("tos.rtd", , "ASK", "."&amp;Table1[[#This Row],[Ticker]]&amp;Table1[[#This Row],[Expiry]]&amp;""&amp;"C"&amp;Table1[[#This Row],[Strike]]))</f>
        <v>0</v>
      </c>
      <c r="K16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1" s="17" cm="1">
        <f t="array" aca="1" ref="L16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1" s="1">
        <f t="shared" si="15"/>
        <v>46045</v>
      </c>
      <c r="N161" t="b">
        <f t="shared" si="16"/>
        <v>0</v>
      </c>
      <c r="P161" s="17" t="b" cm="1">
        <f t="array" ref="P161">IF(
    ISNUMBER(Table1[[#This Row],[Strike]]),IndividualLegIVCore($A$4, Table1[[#This Row],[Strike]], 0.0411, Table1[[#This Row],[T]], ((Table1[[#This Row],[BIDP]]+Table1[[#This Row],[ASKP]])/2), FALSE))</f>
        <v>0</v>
      </c>
      <c r="Q161" t="b">
        <f>IF(
    ISNUMBER(Table1[[#This Row],[Strike]]),RTD("tos.rtd", , "BID", "."&amp;Table1[[#This Row],[Ticker]]&amp;Table1[[#This Row],[Expiry]]&amp;""&amp;"P"&amp;Table1[[#This Row],[Strike]]))</f>
        <v>0</v>
      </c>
      <c r="R161" t="b">
        <f>IF(
    ISNUMBER(Table1[[#This Row],[Strike]]),RTD("tos.rtd", , "ASK", "."&amp;Table1[[#This Row],[Ticker]]&amp;Table1[[#This Row],[Expiry]]&amp;""&amp;"P"&amp;Table1[[#This Row],[Strike]]))</f>
        <v>0</v>
      </c>
      <c r="S161" s="17"/>
      <c r="T161" t="b">
        <f>IF(
    ISNUMBER(Table1[[#This Row],[Strike]]),RTD("tos.rtd", , "OPEN_INT", "."&amp;Table1[[#This Row],[Ticker]]&amp;Table1[[#This Row],[Expiry]]&amp;""&amp;"P"&amp;Table1[[#This Row],[Strike]]))</f>
        <v>0</v>
      </c>
      <c r="U16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1" t="b">
        <f>IF(
    ISNUMBER(Table1[[#This Row],[Strike]]),RTD("tos.rtd", , "DELTA", "."&amp;Table1[[#This Row],[Ticker]]&amp;Table1[[#This Row],[Expiry]]&amp;""&amp;"P"&amp;Table1[[#This Row],[Strike]]))</f>
        <v>0</v>
      </c>
      <c r="Y161" s="19">
        <f>25.5* IF($M$1="NDX", 10, IF(OR($M$1="SPX", $M$1="RUT"), 2, 1))</f>
        <v>51</v>
      </c>
      <c r="Z161">
        <f ca="1">IFERROR(Table1[[#This Row],[call gamma]]*(Table1[[#This Row],[Open.Int]])*$A$4^2,0)</f>
        <v>0</v>
      </c>
      <c r="AA161">
        <f ca="1">IFERROR(((Table1[[#This Row],[Open.Int8]])*Table1[[#This Row],[Put gamma]])*-1*$A$4^2,0)</f>
        <v>0</v>
      </c>
      <c r="AB161">
        <f ca="1">(Table1[[#This Row],[Call Gex]]+Table1[[#This Row],[Put Gex]])</f>
        <v>0</v>
      </c>
      <c r="AC161">
        <f ca="1">Table1[[#This Row],[call delta adj]]+Table1[[#This Row],[put delta adj]]</f>
        <v>0</v>
      </c>
      <c r="AD161">
        <f ca="1">Table1[[#This Row],[Put Gex]]*Table1[[#This Row],[DeltaP]]*-1</f>
        <v>0</v>
      </c>
      <c r="AE161">
        <f ca="1">Table1[[#This Row],[Call Gex]]*Table1[[#This Row],[DeltaC]]</f>
        <v>0</v>
      </c>
      <c r="AF161">
        <f>IF(Table1[[#This Row],[DeltaC]]-ABS(Table1[[#This Row],[DeltaP]])="0","0.01",Table1[[#This Row],[DeltaC]]-ABS(Table1[[#This Row],[DeltaP]]))</f>
        <v>0</v>
      </c>
      <c r="AG161" t="e">
        <f ca="1">((LN($A$4/Table1[[#This Row],[Strike]]) + (0.411 + 0.5 * Table1[[#This Row],[IV Calc P]]^2) *Table1[[#This Row],[T]])) / (Table1[[#This Row],[IV Calc P]] * SQRT(Table1[[#This Row],[T]]))</f>
        <v>#DIV/0!</v>
      </c>
      <c r="AH161" t="e">
        <f ca="1">(LN($A$4/Table1[[#This Row],[Strike]]) + (0.411-0 + 0.5 * Table1[[#This Row],[IV Calc C]]^2) *Table1[[#This Row],[T]]) / (Table1[[#This Row],[IV Calc C]] * SQRT(Table1[[#This Row],[T]]))</f>
        <v>#DIV/0!</v>
      </c>
      <c r="AI161" t="e">
        <f ca="1">(EXP(-(AG161^2)/2)/SQRT(2*PI())*EXP(0*SQRT(Table1[[#This Row],[T]]))/$A$4*18%*SQRT(SQRT(Table1[[#This Row],[T]])))</f>
        <v>#DIV/0!</v>
      </c>
      <c r="AJ161" t="e">
        <f ca="1">(EXP(-(AH161^2)/2)/SQRT(2*PI())*EXP(0*SQRT(Table1[[#This Row],[T]]))/$A$4*18%*SQRT(SQRT(Table1[[#This Row],[T]])))</f>
        <v>#DIV/0!</v>
      </c>
      <c r="AK161" t="e">
        <f ca="1">Table1[[#This Row],[Call D1]]-Table1[[#This Row],[IV Calc C]]*SQRT(Table1[[#This Row],[T]])</f>
        <v>#DIV/0!</v>
      </c>
      <c r="AL161" t="e">
        <f ca="1">Table1[[#This Row],[Put D1]]-Table1[[#This Row],[IV Calc P]]*SQRT(Table1[[#This Row],[T]])</f>
        <v>#DIV/0!</v>
      </c>
      <c r="AM161" t="e">
        <f ca="1">EXP(-0.5*Table1[[#This Row],[Call D1]]^2)/SQRT(2*PI())</f>
        <v>#DIV/0!</v>
      </c>
      <c r="AN161" t="e">
        <f ca="1">EXP(-0.5*Table1[[#This Row],[Put D1]]^2)/SQRT(2*PI())</f>
        <v>#DIV/0!</v>
      </c>
      <c r="AO161">
        <f ca="1">IFERROR((EXP(0*Table1[[#This Row],[T]])*Table1[[#This Row],[call N(d1)]]*(Table1[[#This Row],[call d2]]/Table1[[#This Row],[IV Calc C]]))*Table1[[#This Row],[Open.Int]]*Table1[[#This Row],[DeltaC]],0)</f>
        <v>0</v>
      </c>
      <c r="AP161">
        <f ca="1">IFERROR((EXP(0*Table1[[#This Row],[T]])*Table1[[#This Row],[put N(d1)]]*(Table1[[#This Row],[put d2]]/Table1[[#This Row],[IV Calc P]]))*Table1[[#This Row],[Open.Int8]]*Table1[[#This Row],[DeltaP]]*-1,0)</f>
        <v>0</v>
      </c>
      <c r="AQ161">
        <f ca="1">((Table1[[#This Row],[call vanna]]+Table1[[#This Row],[put vanna]])*$A$4)</f>
        <v>0</v>
      </c>
      <c r="AR16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1" s="9" t="str" cm="1">
        <f t="array" ref="AT161">_xlfn.IFS(     $M$1="SPX","SPXW",     $M$1="RUT","RUTW",  $M$1="NDX","NDXP",   TRUE,$M$1 )</f>
        <v>SPXW</v>
      </c>
      <c r="AU161" s="2">
        <f t="shared" si="17"/>
        <v>6915</v>
      </c>
      <c r="AV161" t="str">
        <f t="shared" si="18"/>
        <v>260123</v>
      </c>
      <c r="AW161" s="19">
        <f ca="1">IFERROR((EXP(0*Table1[[#This Row],[T]])*Table1[[#This Row],[put N(d1)]]*(Table1[[#This Row],[put d2]]/Table1[[#This Row],[IV Calc P]]))*Table1[[#This Row],[Open.Int8]]*Table1[[#This Row],[DeltaP]]*-1,0)</f>
        <v>0</v>
      </c>
      <c r="AX161">
        <f ca="1">IFERROR((EXP(0*Table1[[#This Row],[T]])*Table1[[#This Row],[call N(d1)]]*(Table1[[#This Row],[call d2]]/Table1[[#This Row],[IV Calc C]]))*Table1[[#This Row],[Open.Int]]*Table1[[#This Row],[DeltaC]],0)</f>
        <v>0</v>
      </c>
      <c r="AY16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1">
        <f>((Table1[[#This Row],[High C]]+Table1[[#This Row],[Low C]])/2)*Table1[[#This Row],[gammac]]*Table1[[#This Row],[Volume]]</f>
        <v>0</v>
      </c>
      <c r="BD161">
        <f>((Table1[[#This Row],[High P]]+Table1[[#This Row],[Low P]])/2)*Table1[[#This Row],[gammap]]*Table1[[#This Row],[Volume9]]*-1</f>
        <v>0</v>
      </c>
      <c r="BE161">
        <f>(Table1[[#This Row],[SgammaC]]+Table1[[#This Row],[SgammaP]])*$A$4*-100</f>
        <v>0</v>
      </c>
      <c r="BF161">
        <f>Table1[[#This Row],[DEXc]]+Table1[[#This Row],[DEXp]]</f>
        <v>0</v>
      </c>
      <c r="BG161">
        <f>IFERROR(Table1[[#This Row],[DeltaC]]*Table1[[#This Row],[Open.Int]]*$A$4,0)</f>
        <v>0</v>
      </c>
      <c r="BH161">
        <f>IFERROR(Table1[[#This Row],[DeltaP]]*Table1[[#This Row],[Open.Int8]]*$A$4,0)</f>
        <v>0</v>
      </c>
      <c r="BI16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1">
        <f ca="1">Table1[[#This Row],[Charmc]]+Table1[[#This Row],[Charmp]]</f>
        <v>0</v>
      </c>
      <c r="BL16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1" s="78">
        <f ca="1">Table1[[#This Row],[call helper]]+Table1[[#This Row],[put helper]]</f>
        <v>0</v>
      </c>
      <c r="BP161" t="str">
        <f>RTD("tos.rtd", , "STRIKE", "."&amp;Table1[[#This Row],[Ticker]]&amp;Table1[[#This Row],[Expiry]]&amp;""&amp;"C"&amp;Table1[[#This Row],[Spot]]+Table1[[#This Row],[step]])</f>
        <v>N/A</v>
      </c>
    </row>
    <row r="162" spans="1:68" x14ac:dyDescent="0.25">
      <c r="A162">
        <f t="shared" ca="1" si="14"/>
        <v>2.5814307458086375E-3</v>
      </c>
      <c r="C162" s="17"/>
      <c r="D162" t="b">
        <f>IF(
    ISNUMBER(Table1[[#This Row],[Strike]]),RTD("tos.rtd", , "OPEN_INT", "."&amp;Table1[[#This Row],[Ticker]]&amp;Table1[[#This Row],[Expiry]]&amp;""&amp;"C"&amp;Table1[[#This Row],[Strike]]))</f>
        <v>0</v>
      </c>
      <c r="E16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2" t="b">
        <f>IF(
    ISNUMBER(Table1[[#This Row],[Strike]]),RTD("tos.rtd", , "DELTA", "."&amp;Table1[[#This Row],[Ticker]]&amp;Table1[[#This Row],[Expiry]]&amp;""&amp;"C"&amp;Table1[[#This Row],[Strike]]))</f>
        <v>0</v>
      </c>
      <c r="H162" s="17" t="b" cm="1">
        <f t="array" ref="H162">IF(
    ISNUMBER(Table1[[#This Row],[Strike]]),IndividualLegIVCore($A$4, Table1[[#This Row],[Strike]], 0.0411, Table1[[#This Row],[T]], ((Table1[[#This Row],[BIDC]]+Table1[[#This Row],[ASKC]])/2), TRUE))</f>
        <v>0</v>
      </c>
      <c r="I162" t="b">
        <f>IF(
    ISNUMBER(Table1[[#This Row],[Strike]]),RTD("tos.rtd", , "BID", "."&amp;Table1[[#This Row],[Ticker]]&amp;Table1[[#This Row],[Expiry]]&amp;""&amp;"C"&amp;Table1[[#This Row],[Strike]]))</f>
        <v>0</v>
      </c>
      <c r="J162" t="b">
        <f>IF(
    ISNUMBER(Table1[[#This Row],[Strike]]),RTD("tos.rtd", , "ASK", "."&amp;Table1[[#This Row],[Ticker]]&amp;Table1[[#This Row],[Expiry]]&amp;""&amp;"C"&amp;Table1[[#This Row],[Strike]]))</f>
        <v>0</v>
      </c>
      <c r="K16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2" s="17" cm="1">
        <f t="array" aca="1" ref="L16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2" s="1">
        <f t="shared" si="15"/>
        <v>46045</v>
      </c>
      <c r="N162" t="b">
        <f t="shared" si="16"/>
        <v>0</v>
      </c>
      <c r="P162" s="17" t="b" cm="1">
        <f t="array" ref="P162">IF(
    ISNUMBER(Table1[[#This Row],[Strike]]),IndividualLegIVCore($A$4, Table1[[#This Row],[Strike]], 0.0411, Table1[[#This Row],[T]], ((Table1[[#This Row],[BIDP]]+Table1[[#This Row],[ASKP]])/2), FALSE))</f>
        <v>0</v>
      </c>
      <c r="Q162" t="b">
        <f>IF(
    ISNUMBER(Table1[[#This Row],[Strike]]),RTD("tos.rtd", , "BID", "."&amp;Table1[[#This Row],[Ticker]]&amp;Table1[[#This Row],[Expiry]]&amp;""&amp;"P"&amp;Table1[[#This Row],[Strike]]))</f>
        <v>0</v>
      </c>
      <c r="R162" t="b">
        <f>IF(
    ISNUMBER(Table1[[#This Row],[Strike]]),RTD("tos.rtd", , "ASK", "."&amp;Table1[[#This Row],[Ticker]]&amp;Table1[[#This Row],[Expiry]]&amp;""&amp;"P"&amp;Table1[[#This Row],[Strike]]))</f>
        <v>0</v>
      </c>
      <c r="S162" s="17"/>
      <c r="T162" t="b">
        <f>IF(
    ISNUMBER(Table1[[#This Row],[Strike]]),RTD("tos.rtd", , "OPEN_INT", "."&amp;Table1[[#This Row],[Ticker]]&amp;Table1[[#This Row],[Expiry]]&amp;""&amp;"P"&amp;Table1[[#This Row],[Strike]]))</f>
        <v>0</v>
      </c>
      <c r="U16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2" t="b">
        <f>IF(
    ISNUMBER(Table1[[#This Row],[Strike]]),RTD("tos.rtd", , "DELTA", "."&amp;Table1[[#This Row],[Ticker]]&amp;Table1[[#This Row],[Expiry]]&amp;""&amp;"P"&amp;Table1[[#This Row],[Strike]]))</f>
        <v>0</v>
      </c>
      <c r="Y162" s="19">
        <f>26* IF($M$1="NDX", 10, IF(OR($M$1="SPX", $M$1="RUT"), 2, 1))</f>
        <v>52</v>
      </c>
      <c r="Z162">
        <f ca="1">IFERROR(Table1[[#This Row],[call gamma]]*(Table1[[#This Row],[Open.Int]])*$A$4^2,0)</f>
        <v>0</v>
      </c>
      <c r="AA162">
        <f ca="1">IFERROR(((Table1[[#This Row],[Open.Int8]])*Table1[[#This Row],[Put gamma]])*-1*$A$4^2,0)</f>
        <v>0</v>
      </c>
      <c r="AB162">
        <f ca="1">(Table1[[#This Row],[Call Gex]]+Table1[[#This Row],[Put Gex]])</f>
        <v>0</v>
      </c>
      <c r="AC162">
        <f ca="1">Table1[[#This Row],[call delta adj]]+Table1[[#This Row],[put delta adj]]</f>
        <v>0</v>
      </c>
      <c r="AD162">
        <f ca="1">Table1[[#This Row],[Put Gex]]*Table1[[#This Row],[DeltaP]]*-1</f>
        <v>0</v>
      </c>
      <c r="AE162">
        <f ca="1">Table1[[#This Row],[Call Gex]]*Table1[[#This Row],[DeltaC]]</f>
        <v>0</v>
      </c>
      <c r="AF162">
        <f>IF(Table1[[#This Row],[DeltaC]]-ABS(Table1[[#This Row],[DeltaP]])="0","0.01",Table1[[#This Row],[DeltaC]]-ABS(Table1[[#This Row],[DeltaP]]))</f>
        <v>0</v>
      </c>
      <c r="AG162" t="e">
        <f ca="1">((LN($A$4/Table1[[#This Row],[Strike]]) + (0.411 + 0.5 * Table1[[#This Row],[IV Calc P]]^2) *Table1[[#This Row],[T]])) / (Table1[[#This Row],[IV Calc P]] * SQRT(Table1[[#This Row],[T]]))</f>
        <v>#DIV/0!</v>
      </c>
      <c r="AH162" t="e">
        <f ca="1">(LN($A$4/Table1[[#This Row],[Strike]]) + (0.411-0 + 0.5 * Table1[[#This Row],[IV Calc C]]^2) *Table1[[#This Row],[T]]) / (Table1[[#This Row],[IV Calc C]] * SQRT(Table1[[#This Row],[T]]))</f>
        <v>#DIV/0!</v>
      </c>
      <c r="AI162" t="e">
        <f ca="1">(EXP(-(AG162^2)/2)/SQRT(2*PI())*EXP(0*SQRT(Table1[[#This Row],[T]]))/$A$4*18%*SQRT(SQRT(Table1[[#This Row],[T]])))</f>
        <v>#DIV/0!</v>
      </c>
      <c r="AJ162" t="e">
        <f ca="1">(EXP(-(AH162^2)/2)/SQRT(2*PI())*EXP(0*SQRT(Table1[[#This Row],[T]]))/$A$4*18%*SQRT(SQRT(Table1[[#This Row],[T]])))</f>
        <v>#DIV/0!</v>
      </c>
      <c r="AK162" t="e">
        <f ca="1">Table1[[#This Row],[Call D1]]-Table1[[#This Row],[IV Calc C]]*SQRT(Table1[[#This Row],[T]])</f>
        <v>#DIV/0!</v>
      </c>
      <c r="AL162" t="e">
        <f ca="1">Table1[[#This Row],[Put D1]]-Table1[[#This Row],[IV Calc P]]*SQRT(Table1[[#This Row],[T]])</f>
        <v>#DIV/0!</v>
      </c>
      <c r="AM162" t="e">
        <f ca="1">EXP(-0.5*Table1[[#This Row],[Call D1]]^2)/SQRT(2*PI())</f>
        <v>#DIV/0!</v>
      </c>
      <c r="AN162" t="e">
        <f ca="1">EXP(-0.5*Table1[[#This Row],[Put D1]]^2)/SQRT(2*PI())</f>
        <v>#DIV/0!</v>
      </c>
      <c r="AO162">
        <f ca="1">IFERROR((EXP(0*Table1[[#This Row],[T]])*Table1[[#This Row],[call N(d1)]]*(Table1[[#This Row],[call d2]]/Table1[[#This Row],[IV Calc C]]))*Table1[[#This Row],[Open.Int]]*Table1[[#This Row],[DeltaC]],0)</f>
        <v>0</v>
      </c>
      <c r="AP162">
        <f ca="1">IFERROR((EXP(0*Table1[[#This Row],[T]])*Table1[[#This Row],[put N(d1)]]*(Table1[[#This Row],[put d2]]/Table1[[#This Row],[IV Calc P]]))*Table1[[#This Row],[Open.Int8]]*Table1[[#This Row],[DeltaP]]*-1,0)</f>
        <v>0</v>
      </c>
      <c r="AQ162">
        <f ca="1">((Table1[[#This Row],[call vanna]]+Table1[[#This Row],[put vanna]])*$A$4)</f>
        <v>0</v>
      </c>
      <c r="AR16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2" s="9" t="str" cm="1">
        <f t="array" ref="AT162">_xlfn.IFS(     $M$1="SPX","SPXW",     $M$1="RUT","RUTW",  $M$1="NDX","NDXP",   TRUE,$M$1 )</f>
        <v>SPXW</v>
      </c>
      <c r="AU162" s="2">
        <f t="shared" si="17"/>
        <v>6915</v>
      </c>
      <c r="AV162" t="str">
        <f t="shared" si="18"/>
        <v>260123</v>
      </c>
      <c r="AW162" s="19">
        <f ca="1">IFERROR((EXP(0*Table1[[#This Row],[T]])*Table1[[#This Row],[put N(d1)]]*(Table1[[#This Row],[put d2]]/Table1[[#This Row],[IV Calc P]]))*Table1[[#This Row],[Open.Int8]]*Table1[[#This Row],[DeltaP]]*-1,0)</f>
        <v>0</v>
      </c>
      <c r="AX162">
        <f ca="1">IFERROR((EXP(0*Table1[[#This Row],[T]])*Table1[[#This Row],[call N(d1)]]*(Table1[[#This Row],[call d2]]/Table1[[#This Row],[IV Calc C]]))*Table1[[#This Row],[Open.Int]]*Table1[[#This Row],[DeltaC]],0)</f>
        <v>0</v>
      </c>
      <c r="AY16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2">
        <f>((Table1[[#This Row],[High C]]+Table1[[#This Row],[Low C]])/2)*Table1[[#This Row],[gammac]]*Table1[[#This Row],[Volume]]</f>
        <v>0</v>
      </c>
      <c r="BD162">
        <f>((Table1[[#This Row],[High P]]+Table1[[#This Row],[Low P]])/2)*Table1[[#This Row],[gammap]]*Table1[[#This Row],[Volume9]]*-1</f>
        <v>0</v>
      </c>
      <c r="BE162">
        <f>(Table1[[#This Row],[SgammaC]]+Table1[[#This Row],[SgammaP]])*$A$4*-100</f>
        <v>0</v>
      </c>
      <c r="BF162">
        <f>Table1[[#This Row],[DEXc]]+Table1[[#This Row],[DEXp]]</f>
        <v>0</v>
      </c>
      <c r="BG162">
        <f>IFERROR(Table1[[#This Row],[DeltaC]]*Table1[[#This Row],[Open.Int]]*$A$4,0)</f>
        <v>0</v>
      </c>
      <c r="BH162">
        <f>IFERROR(Table1[[#This Row],[DeltaP]]*Table1[[#This Row],[Open.Int8]]*$A$4,0)</f>
        <v>0</v>
      </c>
      <c r="BI16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2">
        <f ca="1">Table1[[#This Row],[Charmc]]+Table1[[#This Row],[Charmp]]</f>
        <v>0</v>
      </c>
      <c r="BL16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2" s="78">
        <f ca="1">Table1[[#This Row],[call helper]]+Table1[[#This Row],[put helper]]</f>
        <v>0</v>
      </c>
      <c r="BP162" t="str">
        <f>RTD("tos.rtd", , "STRIKE", "."&amp;Table1[[#This Row],[Ticker]]&amp;Table1[[#This Row],[Expiry]]&amp;""&amp;"C"&amp;Table1[[#This Row],[Spot]]+Table1[[#This Row],[step]])</f>
        <v>N/A</v>
      </c>
    </row>
    <row r="163" spans="1:68" x14ac:dyDescent="0.25">
      <c r="A163">
        <f t="shared" ca="1" si="14"/>
        <v>2.5814307458086375E-3</v>
      </c>
      <c r="C163" s="17"/>
      <c r="D163" t="b">
        <f>IF(
    ISNUMBER(Table1[[#This Row],[Strike]]),RTD("tos.rtd", , "OPEN_INT", "."&amp;Table1[[#This Row],[Ticker]]&amp;Table1[[#This Row],[Expiry]]&amp;""&amp;"C"&amp;Table1[[#This Row],[Strike]]))</f>
        <v>0</v>
      </c>
      <c r="E16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3" t="b">
        <f>IF(
    ISNUMBER(Table1[[#This Row],[Strike]]),RTD("tos.rtd", , "DELTA", "."&amp;Table1[[#This Row],[Ticker]]&amp;Table1[[#This Row],[Expiry]]&amp;""&amp;"C"&amp;Table1[[#This Row],[Strike]]))</f>
        <v>0</v>
      </c>
      <c r="H163" s="17" t="b" cm="1">
        <f t="array" ref="H163">IF(
    ISNUMBER(Table1[[#This Row],[Strike]]),IndividualLegIVCore($A$4, Table1[[#This Row],[Strike]], 0.0411, Table1[[#This Row],[T]], ((Table1[[#This Row],[BIDC]]+Table1[[#This Row],[ASKC]])/2), TRUE))</f>
        <v>0</v>
      </c>
      <c r="I163" t="b">
        <f>IF(
    ISNUMBER(Table1[[#This Row],[Strike]]),RTD("tos.rtd", , "BID", "."&amp;Table1[[#This Row],[Ticker]]&amp;Table1[[#This Row],[Expiry]]&amp;""&amp;"C"&amp;Table1[[#This Row],[Strike]]))</f>
        <v>0</v>
      </c>
      <c r="J163" t="b">
        <f>IF(
    ISNUMBER(Table1[[#This Row],[Strike]]),RTD("tos.rtd", , "ASK", "."&amp;Table1[[#This Row],[Ticker]]&amp;Table1[[#This Row],[Expiry]]&amp;""&amp;"C"&amp;Table1[[#This Row],[Strike]]))</f>
        <v>0</v>
      </c>
      <c r="K16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3" s="17" cm="1">
        <f t="array" aca="1" ref="L16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3" s="1">
        <f t="shared" si="15"/>
        <v>46045</v>
      </c>
      <c r="N163" t="b">
        <f t="shared" si="16"/>
        <v>0</v>
      </c>
      <c r="P163" s="17" t="b" cm="1">
        <f t="array" ref="P163">IF(
    ISNUMBER(Table1[[#This Row],[Strike]]),IndividualLegIVCore($A$4, Table1[[#This Row],[Strike]], 0.0411, Table1[[#This Row],[T]], ((Table1[[#This Row],[BIDP]]+Table1[[#This Row],[ASKP]])/2), FALSE))</f>
        <v>0</v>
      </c>
      <c r="Q163" t="b">
        <f>IF(
    ISNUMBER(Table1[[#This Row],[Strike]]),RTD("tos.rtd", , "BID", "."&amp;Table1[[#This Row],[Ticker]]&amp;Table1[[#This Row],[Expiry]]&amp;""&amp;"P"&amp;Table1[[#This Row],[Strike]]))</f>
        <v>0</v>
      </c>
      <c r="R163" t="b">
        <f>IF(
    ISNUMBER(Table1[[#This Row],[Strike]]),RTD("tos.rtd", , "ASK", "."&amp;Table1[[#This Row],[Ticker]]&amp;Table1[[#This Row],[Expiry]]&amp;""&amp;"P"&amp;Table1[[#This Row],[Strike]]))</f>
        <v>0</v>
      </c>
      <c r="S163" s="17"/>
      <c r="T163" t="b">
        <f>IF(
    ISNUMBER(Table1[[#This Row],[Strike]]),RTD("tos.rtd", , "OPEN_INT", "."&amp;Table1[[#This Row],[Ticker]]&amp;Table1[[#This Row],[Expiry]]&amp;""&amp;"P"&amp;Table1[[#This Row],[Strike]]))</f>
        <v>0</v>
      </c>
      <c r="U16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3" t="b">
        <f>IF(
    ISNUMBER(Table1[[#This Row],[Strike]]),RTD("tos.rtd", , "DELTA", "."&amp;Table1[[#This Row],[Ticker]]&amp;Table1[[#This Row],[Expiry]]&amp;""&amp;"P"&amp;Table1[[#This Row],[Strike]]))</f>
        <v>0</v>
      </c>
      <c r="Y163" s="19">
        <f>26.5* IF($M$1="NDX", 10, IF(OR($M$1="SPX", $M$1="RUT"), 2, 1))</f>
        <v>53</v>
      </c>
      <c r="Z163">
        <f ca="1">IFERROR(Table1[[#This Row],[call gamma]]*(Table1[[#This Row],[Open.Int]])*$A$4^2,0)</f>
        <v>0</v>
      </c>
      <c r="AA163">
        <f ca="1">IFERROR(((Table1[[#This Row],[Open.Int8]])*Table1[[#This Row],[Put gamma]])*-1*$A$4^2,0)</f>
        <v>0</v>
      </c>
      <c r="AB163">
        <f ca="1">(Table1[[#This Row],[Call Gex]]+Table1[[#This Row],[Put Gex]])</f>
        <v>0</v>
      </c>
      <c r="AC163">
        <f ca="1">Table1[[#This Row],[call delta adj]]+Table1[[#This Row],[put delta adj]]</f>
        <v>0</v>
      </c>
      <c r="AD163">
        <f ca="1">Table1[[#This Row],[Put Gex]]*Table1[[#This Row],[DeltaP]]*-1</f>
        <v>0</v>
      </c>
      <c r="AE163">
        <f ca="1">Table1[[#This Row],[Call Gex]]*Table1[[#This Row],[DeltaC]]</f>
        <v>0</v>
      </c>
      <c r="AF163">
        <f>IF(Table1[[#This Row],[DeltaC]]-ABS(Table1[[#This Row],[DeltaP]])="0","0.01",Table1[[#This Row],[DeltaC]]-ABS(Table1[[#This Row],[DeltaP]]))</f>
        <v>0</v>
      </c>
      <c r="AG163" t="e">
        <f ca="1">((LN($A$4/Table1[[#This Row],[Strike]]) + (0.411 + 0.5 * Table1[[#This Row],[IV Calc P]]^2) *Table1[[#This Row],[T]])) / (Table1[[#This Row],[IV Calc P]] * SQRT(Table1[[#This Row],[T]]))</f>
        <v>#DIV/0!</v>
      </c>
      <c r="AH163" t="e">
        <f ca="1">(LN($A$4/Table1[[#This Row],[Strike]]) + (0.411-0 + 0.5 * Table1[[#This Row],[IV Calc C]]^2) *Table1[[#This Row],[T]]) / (Table1[[#This Row],[IV Calc C]] * SQRT(Table1[[#This Row],[T]]))</f>
        <v>#DIV/0!</v>
      </c>
      <c r="AI163" t="e">
        <f ca="1">(EXP(-(AG163^2)/2)/SQRT(2*PI())*EXP(0*SQRT(Table1[[#This Row],[T]]))/$A$4*18%*SQRT(SQRT(Table1[[#This Row],[T]])))</f>
        <v>#DIV/0!</v>
      </c>
      <c r="AJ163" t="e">
        <f ca="1">(EXP(-(AH163^2)/2)/SQRT(2*PI())*EXP(0*SQRT(Table1[[#This Row],[T]]))/$A$4*18%*SQRT(SQRT(Table1[[#This Row],[T]])))</f>
        <v>#DIV/0!</v>
      </c>
      <c r="AK163" t="e">
        <f ca="1">Table1[[#This Row],[Call D1]]-Table1[[#This Row],[IV Calc C]]*SQRT(Table1[[#This Row],[T]])</f>
        <v>#DIV/0!</v>
      </c>
      <c r="AL163" t="e">
        <f ca="1">Table1[[#This Row],[Put D1]]-Table1[[#This Row],[IV Calc P]]*SQRT(Table1[[#This Row],[T]])</f>
        <v>#DIV/0!</v>
      </c>
      <c r="AM163" t="e">
        <f ca="1">EXP(-0.5*Table1[[#This Row],[Call D1]]^2)/SQRT(2*PI())</f>
        <v>#DIV/0!</v>
      </c>
      <c r="AN163" t="e">
        <f ca="1">EXP(-0.5*Table1[[#This Row],[Put D1]]^2)/SQRT(2*PI())</f>
        <v>#DIV/0!</v>
      </c>
      <c r="AO163">
        <f ca="1">IFERROR((EXP(0*Table1[[#This Row],[T]])*Table1[[#This Row],[call N(d1)]]*(Table1[[#This Row],[call d2]]/Table1[[#This Row],[IV Calc C]]))*Table1[[#This Row],[Open.Int]]*Table1[[#This Row],[DeltaC]],0)</f>
        <v>0</v>
      </c>
      <c r="AP163">
        <f ca="1">IFERROR((EXP(0*Table1[[#This Row],[T]])*Table1[[#This Row],[put N(d1)]]*(Table1[[#This Row],[put d2]]/Table1[[#This Row],[IV Calc P]]))*Table1[[#This Row],[Open.Int8]]*Table1[[#This Row],[DeltaP]]*-1,0)</f>
        <v>0</v>
      </c>
      <c r="AQ163">
        <f ca="1">((Table1[[#This Row],[call vanna]]+Table1[[#This Row],[put vanna]])*$A$4)</f>
        <v>0</v>
      </c>
      <c r="AR16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3" s="9" t="str" cm="1">
        <f t="array" ref="AT163">_xlfn.IFS(     $M$1="SPX","SPXW",     $M$1="RUT","RUTW",  $M$1="NDX","NDXP",   TRUE,$M$1 )</f>
        <v>SPXW</v>
      </c>
      <c r="AU163" s="2">
        <f t="shared" si="17"/>
        <v>6915</v>
      </c>
      <c r="AV163" t="str">
        <f t="shared" si="18"/>
        <v>260123</v>
      </c>
      <c r="AW163" s="19">
        <f ca="1">IFERROR((EXP(0*Table1[[#This Row],[T]])*Table1[[#This Row],[put N(d1)]]*(Table1[[#This Row],[put d2]]/Table1[[#This Row],[IV Calc P]]))*Table1[[#This Row],[Open.Int8]]*Table1[[#This Row],[DeltaP]]*-1,0)</f>
        <v>0</v>
      </c>
      <c r="AX163">
        <f ca="1">IFERROR((EXP(0*Table1[[#This Row],[T]])*Table1[[#This Row],[call N(d1)]]*(Table1[[#This Row],[call d2]]/Table1[[#This Row],[IV Calc C]]))*Table1[[#This Row],[Open.Int]]*Table1[[#This Row],[DeltaC]],0)</f>
        <v>0</v>
      </c>
      <c r="AY16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3">
        <f>((Table1[[#This Row],[High C]]+Table1[[#This Row],[Low C]])/2)*Table1[[#This Row],[gammac]]*Table1[[#This Row],[Volume]]</f>
        <v>0</v>
      </c>
      <c r="BD163">
        <f>((Table1[[#This Row],[High P]]+Table1[[#This Row],[Low P]])/2)*Table1[[#This Row],[gammap]]*Table1[[#This Row],[Volume9]]*-1</f>
        <v>0</v>
      </c>
      <c r="BE163">
        <f>(Table1[[#This Row],[SgammaC]]+Table1[[#This Row],[SgammaP]])*$A$4*-100</f>
        <v>0</v>
      </c>
      <c r="BF163">
        <f>Table1[[#This Row],[DEXc]]+Table1[[#This Row],[DEXp]]</f>
        <v>0</v>
      </c>
      <c r="BG163">
        <f>IFERROR(Table1[[#This Row],[DeltaC]]*Table1[[#This Row],[Open.Int]]*$A$4,0)</f>
        <v>0</v>
      </c>
      <c r="BH163">
        <f>IFERROR(Table1[[#This Row],[DeltaP]]*Table1[[#This Row],[Open.Int8]]*$A$4,0)</f>
        <v>0</v>
      </c>
      <c r="BI16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3">
        <f ca="1">Table1[[#This Row],[Charmc]]+Table1[[#This Row],[Charmp]]</f>
        <v>0</v>
      </c>
      <c r="BL16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3" s="78">
        <f ca="1">Table1[[#This Row],[call helper]]+Table1[[#This Row],[put helper]]</f>
        <v>0</v>
      </c>
      <c r="BP163" t="str">
        <f>RTD("tos.rtd", , "STRIKE", "."&amp;Table1[[#This Row],[Ticker]]&amp;Table1[[#This Row],[Expiry]]&amp;""&amp;"C"&amp;Table1[[#This Row],[Spot]]+Table1[[#This Row],[step]])</f>
        <v>N/A</v>
      </c>
    </row>
    <row r="164" spans="1:68" x14ac:dyDescent="0.25">
      <c r="A164">
        <f t="shared" ca="1" si="14"/>
        <v>2.5814307458086375E-3</v>
      </c>
      <c r="C164" s="17"/>
      <c r="D164" t="b">
        <f>IF(
    ISNUMBER(Table1[[#This Row],[Strike]]),RTD("tos.rtd", , "OPEN_INT", "."&amp;Table1[[#This Row],[Ticker]]&amp;Table1[[#This Row],[Expiry]]&amp;""&amp;"C"&amp;Table1[[#This Row],[Strike]]))</f>
        <v>0</v>
      </c>
      <c r="E16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4" t="b">
        <f>IF(
    ISNUMBER(Table1[[#This Row],[Strike]]),RTD("tos.rtd", , "DELTA", "."&amp;Table1[[#This Row],[Ticker]]&amp;Table1[[#This Row],[Expiry]]&amp;""&amp;"C"&amp;Table1[[#This Row],[Strike]]))</f>
        <v>0</v>
      </c>
      <c r="H164" s="17" t="b" cm="1">
        <f t="array" ref="H164">IF(
    ISNUMBER(Table1[[#This Row],[Strike]]),IndividualLegIVCore($A$4, Table1[[#This Row],[Strike]], 0.0411, Table1[[#This Row],[T]], ((Table1[[#This Row],[BIDC]]+Table1[[#This Row],[ASKC]])/2), TRUE))</f>
        <v>0</v>
      </c>
      <c r="I164" t="b">
        <f>IF(
    ISNUMBER(Table1[[#This Row],[Strike]]),RTD("tos.rtd", , "BID", "."&amp;Table1[[#This Row],[Ticker]]&amp;Table1[[#This Row],[Expiry]]&amp;""&amp;"C"&amp;Table1[[#This Row],[Strike]]))</f>
        <v>0</v>
      </c>
      <c r="J164" t="b">
        <f>IF(
    ISNUMBER(Table1[[#This Row],[Strike]]),RTD("tos.rtd", , "ASK", "."&amp;Table1[[#This Row],[Ticker]]&amp;Table1[[#This Row],[Expiry]]&amp;""&amp;"C"&amp;Table1[[#This Row],[Strike]]))</f>
        <v>0</v>
      </c>
      <c r="K16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4" s="17" cm="1">
        <f t="array" aca="1" ref="L16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4" s="1">
        <f t="shared" si="15"/>
        <v>46045</v>
      </c>
      <c r="N164" t="b">
        <f t="shared" si="16"/>
        <v>0</v>
      </c>
      <c r="P164" s="17" t="b" cm="1">
        <f t="array" ref="P164">IF(
    ISNUMBER(Table1[[#This Row],[Strike]]),IndividualLegIVCore($A$4, Table1[[#This Row],[Strike]], 0.0411, Table1[[#This Row],[T]], ((Table1[[#This Row],[BIDP]]+Table1[[#This Row],[ASKP]])/2), FALSE))</f>
        <v>0</v>
      </c>
      <c r="Q164" t="b">
        <f>IF(
    ISNUMBER(Table1[[#This Row],[Strike]]),RTD("tos.rtd", , "BID", "."&amp;Table1[[#This Row],[Ticker]]&amp;Table1[[#This Row],[Expiry]]&amp;""&amp;"P"&amp;Table1[[#This Row],[Strike]]))</f>
        <v>0</v>
      </c>
      <c r="R164" t="b">
        <f>IF(
    ISNUMBER(Table1[[#This Row],[Strike]]),RTD("tos.rtd", , "ASK", "."&amp;Table1[[#This Row],[Ticker]]&amp;Table1[[#This Row],[Expiry]]&amp;""&amp;"P"&amp;Table1[[#This Row],[Strike]]))</f>
        <v>0</v>
      </c>
      <c r="S164" s="17"/>
      <c r="T164" t="b">
        <f>IF(
    ISNUMBER(Table1[[#This Row],[Strike]]),RTD("tos.rtd", , "OPEN_INT", "."&amp;Table1[[#This Row],[Ticker]]&amp;Table1[[#This Row],[Expiry]]&amp;""&amp;"P"&amp;Table1[[#This Row],[Strike]]))</f>
        <v>0</v>
      </c>
      <c r="U16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4" t="b">
        <f>IF(
    ISNUMBER(Table1[[#This Row],[Strike]]),RTD("tos.rtd", , "DELTA", "."&amp;Table1[[#This Row],[Ticker]]&amp;Table1[[#This Row],[Expiry]]&amp;""&amp;"P"&amp;Table1[[#This Row],[Strike]]))</f>
        <v>0</v>
      </c>
      <c r="Y164" s="19">
        <f>27* IF($M$1="NDX", 10, IF(OR($M$1="SPX", $M$1="RUT"), 2, 1))</f>
        <v>54</v>
      </c>
      <c r="Z164">
        <f ca="1">IFERROR(Table1[[#This Row],[call gamma]]*(Table1[[#This Row],[Open.Int]])*$A$4^2,0)</f>
        <v>0</v>
      </c>
      <c r="AA164">
        <f ca="1">IFERROR(((Table1[[#This Row],[Open.Int8]])*Table1[[#This Row],[Put gamma]])*-1*$A$4^2,0)</f>
        <v>0</v>
      </c>
      <c r="AB164">
        <f ca="1">(Table1[[#This Row],[Call Gex]]+Table1[[#This Row],[Put Gex]])</f>
        <v>0</v>
      </c>
      <c r="AC164">
        <f ca="1">Table1[[#This Row],[call delta adj]]+Table1[[#This Row],[put delta adj]]</f>
        <v>0</v>
      </c>
      <c r="AD164">
        <f ca="1">Table1[[#This Row],[Put Gex]]*Table1[[#This Row],[DeltaP]]*-1</f>
        <v>0</v>
      </c>
      <c r="AE164">
        <f ca="1">Table1[[#This Row],[Call Gex]]*Table1[[#This Row],[DeltaC]]</f>
        <v>0</v>
      </c>
      <c r="AF164">
        <f>IF(Table1[[#This Row],[DeltaC]]-ABS(Table1[[#This Row],[DeltaP]])="0","0.01",Table1[[#This Row],[DeltaC]]-ABS(Table1[[#This Row],[DeltaP]]))</f>
        <v>0</v>
      </c>
      <c r="AG164" t="e">
        <f ca="1">((LN($A$4/Table1[[#This Row],[Strike]]) + (0.411 + 0.5 * Table1[[#This Row],[IV Calc P]]^2) *Table1[[#This Row],[T]])) / (Table1[[#This Row],[IV Calc P]] * SQRT(Table1[[#This Row],[T]]))</f>
        <v>#DIV/0!</v>
      </c>
      <c r="AH164" t="e">
        <f ca="1">(LN($A$4/Table1[[#This Row],[Strike]]) + (0.411-0 + 0.5 * Table1[[#This Row],[IV Calc C]]^2) *Table1[[#This Row],[T]]) / (Table1[[#This Row],[IV Calc C]] * SQRT(Table1[[#This Row],[T]]))</f>
        <v>#DIV/0!</v>
      </c>
      <c r="AI164" t="e">
        <f ca="1">(EXP(-(AG164^2)/2)/SQRT(2*PI())*EXP(0*SQRT(Table1[[#This Row],[T]]))/$A$4*18%*SQRT(SQRT(Table1[[#This Row],[T]])))</f>
        <v>#DIV/0!</v>
      </c>
      <c r="AJ164" t="e">
        <f ca="1">(EXP(-(AH164^2)/2)/SQRT(2*PI())*EXP(0*SQRT(Table1[[#This Row],[T]]))/$A$4*18%*SQRT(SQRT(Table1[[#This Row],[T]])))</f>
        <v>#DIV/0!</v>
      </c>
      <c r="AK164" t="e">
        <f ca="1">Table1[[#This Row],[Call D1]]-Table1[[#This Row],[IV Calc C]]*SQRT(Table1[[#This Row],[T]])</f>
        <v>#DIV/0!</v>
      </c>
      <c r="AL164" t="e">
        <f ca="1">Table1[[#This Row],[Put D1]]-Table1[[#This Row],[IV Calc P]]*SQRT(Table1[[#This Row],[T]])</f>
        <v>#DIV/0!</v>
      </c>
      <c r="AM164" t="e">
        <f ca="1">EXP(-0.5*Table1[[#This Row],[Call D1]]^2)/SQRT(2*PI())</f>
        <v>#DIV/0!</v>
      </c>
      <c r="AN164" t="e">
        <f ca="1">EXP(-0.5*Table1[[#This Row],[Put D1]]^2)/SQRT(2*PI())</f>
        <v>#DIV/0!</v>
      </c>
      <c r="AO164">
        <f ca="1">IFERROR((EXP(0*Table1[[#This Row],[T]])*Table1[[#This Row],[call N(d1)]]*(Table1[[#This Row],[call d2]]/Table1[[#This Row],[IV Calc C]]))*Table1[[#This Row],[Open.Int]]*Table1[[#This Row],[DeltaC]],0)</f>
        <v>0</v>
      </c>
      <c r="AP164">
        <f ca="1">IFERROR((EXP(0*Table1[[#This Row],[T]])*Table1[[#This Row],[put N(d1)]]*(Table1[[#This Row],[put d2]]/Table1[[#This Row],[IV Calc P]]))*Table1[[#This Row],[Open.Int8]]*Table1[[#This Row],[DeltaP]]*-1,0)</f>
        <v>0</v>
      </c>
      <c r="AQ164">
        <f ca="1">((Table1[[#This Row],[call vanna]]+Table1[[#This Row],[put vanna]])*$A$4)</f>
        <v>0</v>
      </c>
      <c r="AR16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4" s="9" t="str" cm="1">
        <f t="array" ref="AT164">_xlfn.IFS(     $M$1="SPX","SPXW",     $M$1="RUT","RUTW",  $M$1="NDX","NDXP",   TRUE,$M$1 )</f>
        <v>SPXW</v>
      </c>
      <c r="AU164" s="2">
        <f t="shared" si="17"/>
        <v>6915</v>
      </c>
      <c r="AV164" t="str">
        <f t="shared" si="18"/>
        <v>260123</v>
      </c>
      <c r="AW164" s="19">
        <f ca="1">IFERROR((EXP(0*Table1[[#This Row],[T]])*Table1[[#This Row],[put N(d1)]]*(Table1[[#This Row],[put d2]]/Table1[[#This Row],[IV Calc P]]))*Table1[[#This Row],[Open.Int8]]*Table1[[#This Row],[DeltaP]]*-1,0)</f>
        <v>0</v>
      </c>
      <c r="AX164">
        <f ca="1">IFERROR((EXP(0*Table1[[#This Row],[T]])*Table1[[#This Row],[call N(d1)]]*(Table1[[#This Row],[call d2]]/Table1[[#This Row],[IV Calc C]]))*Table1[[#This Row],[Open.Int]]*Table1[[#This Row],[DeltaC]],0)</f>
        <v>0</v>
      </c>
      <c r="AY16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4">
        <f>((Table1[[#This Row],[High C]]+Table1[[#This Row],[Low C]])/2)*Table1[[#This Row],[gammac]]*Table1[[#This Row],[Volume]]</f>
        <v>0</v>
      </c>
      <c r="BD164">
        <f>((Table1[[#This Row],[High P]]+Table1[[#This Row],[Low P]])/2)*Table1[[#This Row],[gammap]]*Table1[[#This Row],[Volume9]]*-1</f>
        <v>0</v>
      </c>
      <c r="BE164">
        <f>(Table1[[#This Row],[SgammaC]]+Table1[[#This Row],[SgammaP]])*$A$4*-100</f>
        <v>0</v>
      </c>
      <c r="BF164">
        <f>Table1[[#This Row],[DEXc]]+Table1[[#This Row],[DEXp]]</f>
        <v>0</v>
      </c>
      <c r="BG164">
        <f>IFERROR(Table1[[#This Row],[DeltaC]]*Table1[[#This Row],[Open.Int]]*$A$4,0)</f>
        <v>0</v>
      </c>
      <c r="BH164">
        <f>IFERROR(Table1[[#This Row],[DeltaP]]*Table1[[#This Row],[Open.Int8]]*$A$4,0)</f>
        <v>0</v>
      </c>
      <c r="BI16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4">
        <f ca="1">Table1[[#This Row],[Charmc]]+Table1[[#This Row],[Charmp]]</f>
        <v>0</v>
      </c>
      <c r="BL16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4" s="78">
        <f ca="1">Table1[[#This Row],[call helper]]+Table1[[#This Row],[put helper]]</f>
        <v>0</v>
      </c>
      <c r="BP164" t="str">
        <f>RTD("tos.rtd", , "STRIKE", "."&amp;Table1[[#This Row],[Ticker]]&amp;Table1[[#This Row],[Expiry]]&amp;""&amp;"C"&amp;Table1[[#This Row],[Spot]]+Table1[[#This Row],[step]])</f>
        <v>N/A</v>
      </c>
    </row>
    <row r="165" spans="1:68" x14ac:dyDescent="0.25">
      <c r="A165">
        <f t="shared" ca="1" si="14"/>
        <v>2.5814307458086375E-3</v>
      </c>
      <c r="C165" s="17"/>
      <c r="D165">
        <f>IF(
    ISNUMBER(Table1[[#This Row],[Strike]]),RTD("tos.rtd", , "OPEN_INT", "."&amp;Table1[[#This Row],[Ticker]]&amp;Table1[[#This Row],[Expiry]]&amp;""&amp;"C"&amp;Table1[[#This Row],[Strike]]))</f>
        <v>1571</v>
      </c>
      <c r="E16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7725</v>
      </c>
      <c r="G165">
        <f>IF(
    ISNUMBER(Table1[[#This Row],[Strike]]),RTD("tos.rtd", , "DELTA", "."&amp;Table1[[#This Row],[Ticker]]&amp;Table1[[#This Row],[Expiry]]&amp;""&amp;"C"&amp;Table1[[#This Row],[Strike]]))</f>
        <v>0.06</v>
      </c>
      <c r="H165" s="17" cm="1">
        <f t="array" aca="1" ref="H165" ca="1">IF(
    ISNUMBER(Table1[[#This Row],[Strike]]),IndividualLegIVCore($A$4, Table1[[#This Row],[Strike]], 0.0411, Table1[[#This Row],[T]], ((Table1[[#This Row],[BIDC]]+Table1[[#This Row],[ASKC]])/2), TRUE))</f>
        <v>0.10126819934112893</v>
      </c>
      <c r="I165">
        <f>IF(
    ISNUMBER(Table1[[#This Row],[Strike]]),RTD("tos.rtd", , "BID", "."&amp;Table1[[#This Row],[Ticker]]&amp;Table1[[#This Row],[Expiry]]&amp;""&amp;"C"&amp;Table1[[#This Row],[Strike]]))</f>
        <v>0.85</v>
      </c>
      <c r="J165">
        <f>IF(
    ISNUMBER(Table1[[#This Row],[Strike]]),RTD("tos.rtd", , "ASK", "."&amp;Table1[[#This Row],[Ticker]]&amp;Table1[[#This Row],[Expiry]]&amp;""&amp;"C"&amp;Table1[[#This Row],[Strike]]))</f>
        <v>0.95</v>
      </c>
      <c r="K16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0.10126819934112893</v>
      </c>
      <c r="L165" s="17" cm="1">
        <f t="array" aca="1" ref="L165" ca="1">CubicSplineIVSmile($A$4, Table1[[#This Row],[Strike]], 0.0411, Table1[[#This Row],[T]], (Table1[[#This Row],[BIDC]]+Table1[[#This Row],[ASKC]])/2, (Table1[[#This Row],[BIDP]]+Table1[[#This Row],[ASKP]])/2, Table1[Strike], Table1[IV Calc AVG])</f>
        <v>0.16268507829873671</v>
      </c>
      <c r="M165" s="1">
        <f t="shared" si="15"/>
        <v>46045</v>
      </c>
      <c r="N165">
        <f t="shared" si="16"/>
        <v>6970</v>
      </c>
      <c r="P165" s="17" cm="1">
        <f t="array" aca="1" ref="P165" ca="1">IF(
    ISNUMBER(Table1[[#This Row],[Strike]]),IndividualLegIVCore($A$4, Table1[[#This Row],[Strike]], 0.0411, Table1[[#This Row],[T]], ((Table1[[#This Row],[BIDP]]+Table1[[#This Row],[ASKP]])/2), FALSE))</f>
        <v>0.17130426728435849</v>
      </c>
      <c r="Q165">
        <f>IF(
    ISNUMBER(Table1[[#This Row],[Strike]]),RTD("tos.rtd", , "BID", "."&amp;Table1[[#This Row],[Ticker]]&amp;Table1[[#This Row],[Expiry]]&amp;""&amp;"P"&amp;Table1[[#This Row],[Strike]]))</f>
        <v>61.1</v>
      </c>
      <c r="R165">
        <f>IF(
    ISNUMBER(Table1[[#This Row],[Strike]]),RTD("tos.rtd", , "ASK", "."&amp;Table1[[#This Row],[Ticker]]&amp;Table1[[#This Row],[Expiry]]&amp;""&amp;"P"&amp;Table1[[#This Row],[Strike]]))</f>
        <v>62.3</v>
      </c>
      <c r="S165" s="17"/>
      <c r="T165">
        <f>IF(
    ISNUMBER(Table1[[#This Row],[Strike]]),RTD("tos.rtd", , "OPEN_INT", "."&amp;Table1[[#This Row],[Ticker]]&amp;Table1[[#This Row],[Expiry]]&amp;""&amp;"P"&amp;Table1[[#This Row],[Strike]]))</f>
        <v>365</v>
      </c>
      <c r="U16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185</v>
      </c>
      <c r="W165">
        <f>IF(
    ISNUMBER(Table1[[#This Row],[Strike]]),RTD("tos.rtd", , "DELTA", "."&amp;Table1[[#This Row],[Ticker]]&amp;Table1[[#This Row],[Expiry]]&amp;""&amp;"P"&amp;Table1[[#This Row],[Strike]]))</f>
        <v>-0.82</v>
      </c>
      <c r="Y165" s="19">
        <f>27.5* IF($M$1="NDX", 10, IF(OR($M$1="SPX", $M$1="RUT"), 2, 1))</f>
        <v>55</v>
      </c>
      <c r="Z165">
        <f ca="1">IFERROR(Table1[[#This Row],[call gamma]]*(Table1[[#This Row],[Open.Int]])*$A$4^2,0)</f>
        <v>68088.109654128348</v>
      </c>
      <c r="AA165">
        <f ca="1">IFERROR(((Table1[[#This Row],[Open.Int8]])*Table1[[#This Row],[Put gamma]])*-1*$A$4^2,0)</f>
        <v>-29387.821215768785</v>
      </c>
      <c r="AB165">
        <f ca="1">(Table1[[#This Row],[Call Gex]]+Table1[[#This Row],[Put Gex]])</f>
        <v>38700.288438359566</v>
      </c>
      <c r="AC165">
        <f ca="1">Table1[[#This Row],[call delta adj]]+Table1[[#This Row],[put delta adj]]</f>
        <v>-20012.726817682698</v>
      </c>
      <c r="AD165">
        <f ca="1">Table1[[#This Row],[Put Gex]]*Table1[[#This Row],[DeltaP]]*-1</f>
        <v>-24098.013396930401</v>
      </c>
      <c r="AE165">
        <f ca="1">Table1[[#This Row],[Call Gex]]*Table1[[#This Row],[DeltaC]]</f>
        <v>4085.2865792477005</v>
      </c>
      <c r="AF165">
        <f>IF(Table1[[#This Row],[DeltaC]]-ABS(Table1[[#This Row],[DeltaP]])="0","0.01",Table1[[#This Row],[DeltaC]]-ABS(Table1[[#This Row],[DeltaP]]))</f>
        <v>-0.76</v>
      </c>
      <c r="AG165">
        <f ca="1">((LN($A$4/Table1[[#This Row],[Strike]]) + (0.411 + 0.5 * Table1[[#This Row],[IV Calc P]]^2) *Table1[[#This Row],[T]])) / (Table1[[#This Row],[IV Calc P]] * SQRT(Table1[[#This Row],[T]]))</f>
        <v>-0.8113957145280436</v>
      </c>
      <c r="AH165">
        <f ca="1">(LN($A$4/Table1[[#This Row],[Strike]]) + (0.411-0 + 0.5 * Table1[[#This Row],[IV Calc C]]^2) *Table1[[#This Row],[T]]) / (Table1[[#This Row],[IV Calc C]] * SQRT(Table1[[#This Row],[T]]))</f>
        <v>-1.3773376746176453</v>
      </c>
      <c r="AI165">
        <f ca="1">(EXP(-(AG165^2)/2)/SQRT(2*PI())*EXP(0*SQRT(Table1[[#This Row],[T]]))/$A$4*18%*SQRT(SQRT(Table1[[#This Row],[T]])))</f>
        <v>1.6846024810792735E-6</v>
      </c>
      <c r="AJ165">
        <f ca="1">(EXP(-(AH165^2)/2)/SQRT(2*PI())*EXP(0*SQRT(Table1[[#This Row],[T]]))/$A$4*18%*SQRT(SQRT(Table1[[#This Row],[T]])))</f>
        <v>9.0681355482411454E-7</v>
      </c>
      <c r="AK165">
        <f ca="1">Table1[[#This Row],[Call D1]]-Table1[[#This Row],[IV Calc C]]*SQRT(Table1[[#This Row],[T]])</f>
        <v>-1.3824828872472348</v>
      </c>
      <c r="AL165">
        <f ca="1">Table1[[#This Row],[Put D1]]-Table1[[#This Row],[IV Calc P]]*SQRT(Table1[[#This Row],[T]])</f>
        <v>-0.82009930445329726</v>
      </c>
      <c r="AM165">
        <f ca="1">EXP(-0.5*Table1[[#This Row],[Call D1]]^2)/SQRT(2*PI())</f>
        <v>0.15451438685682181</v>
      </c>
      <c r="AN165">
        <f ca="1">EXP(-0.5*Table1[[#This Row],[Put D1]]^2)/SQRT(2*PI())</f>
        <v>0.28704392217861313</v>
      </c>
      <c r="AO165">
        <f ca="1">IFERROR((EXP(0*Table1[[#This Row],[T]])*Table1[[#This Row],[call N(d1)]]*(Table1[[#This Row],[call d2]]/Table1[[#This Row],[IV Calc C]]))*Table1[[#This Row],[Open.Int]]*Table1[[#This Row],[DeltaC]],0)</f>
        <v>-198.83051374669694</v>
      </c>
      <c r="AP165">
        <f ca="1">IFERROR((EXP(0*Table1[[#This Row],[T]])*Table1[[#This Row],[put N(d1)]]*(Table1[[#This Row],[put d2]]/Table1[[#This Row],[IV Calc P]]))*Table1[[#This Row],[Open.Int8]]*Table1[[#This Row],[DeltaP]]*-1,0)</f>
        <v>-411.29490952063986</v>
      </c>
      <c r="AQ165">
        <f ca="1">((Table1[[#This Row],[call vanna]]+Table1[[#This Row],[put vanna]])*$A$4)</f>
        <v>-4218010.5949452436</v>
      </c>
      <c r="AR16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68088.109654128348</v>
      </c>
      <c r="AS16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-29387.821215768785</v>
      </c>
      <c r="AT165" s="9" t="str" cm="1">
        <f t="array" ref="AT165">_xlfn.IFS(     $M$1="SPX","SPXW",     $M$1="RUT","RUTW",  $M$1="NDX","NDXP",   TRUE,$M$1 )</f>
        <v>SPXW</v>
      </c>
      <c r="AU165" s="2">
        <f t="shared" si="17"/>
        <v>6915</v>
      </c>
      <c r="AV165" t="str">
        <f t="shared" si="18"/>
        <v>260123</v>
      </c>
      <c r="AW165" s="19">
        <f ca="1">IFERROR((EXP(0*Table1[[#This Row],[T]])*Table1[[#This Row],[put N(d1)]]*(Table1[[#This Row],[put d2]]/Table1[[#This Row],[IV Calc P]]))*Table1[[#This Row],[Open.Int8]]*Table1[[#This Row],[DeltaP]]*-1,0)</f>
        <v>-411.29490952063986</v>
      </c>
      <c r="AX165">
        <f ca="1">IFERROR((EXP(0*Table1[[#This Row],[T]])*Table1[[#This Row],[call N(d1)]]*(Table1[[#This Row],[call d2]]/Table1[[#This Row],[IV Calc C]]))*Table1[[#This Row],[Open.Int]]*Table1[[#This Row],[DeltaC]],0)</f>
        <v>-198.83051374669694</v>
      </c>
      <c r="AY165">
        <f>IF(
    ISNUMBER(Table1[[#This Row],[Strike]]),RTD("tos.rtd", , "high", "."&amp;Table1[[#This Row],[Ticker]]&amp;Table1[[#This Row],[Expiry]]&amp;""&amp;"C"&amp;Table1[[#This Row],[Spot]]+Table1[[#This Row],[step]]))</f>
        <v>6.5</v>
      </c>
      <c r="AZ165">
        <f>IF(
    ISNUMBER(Table1[[#This Row],[Strike]]),RTD("tos.rtd", , "low", "."&amp;Table1[[#This Row],[Ticker]]&amp;Table1[[#This Row],[Expiry]]&amp;""&amp;"C"&amp;Table1[[#This Row],[Spot]]+Table1[[#This Row],[step]]))</f>
        <v>0.75</v>
      </c>
      <c r="BA165">
        <f>IF(
    ISNUMBER(Table1[[#This Row],[Strike]]),RTD("tos.rtd", , "high", "."&amp;Table1[[#This Row],[Ticker]]&amp;Table1[[#This Row],[Expiry]]&amp;""&amp;"P"&amp;Table1[[#This Row],[Spot]]+Table1[[#This Row],[step]]))</f>
        <v>73.72</v>
      </c>
      <c r="BB165">
        <f>IF(
    ISNUMBER(Table1[[#This Row],[Strike]]),RTD("tos.rtd", , "low", "."&amp;Table1[[#This Row],[Ticker]]&amp;Table1[[#This Row],[Expiry]]&amp;""&amp;"P"&amp;Table1[[#This Row],[Spot]]+Table1[[#This Row],[step]]))</f>
        <v>38</v>
      </c>
      <c r="BC165">
        <f>((Table1[[#This Row],[High C]]+Table1[[#This Row],[Low C]])/2)*Table1[[#This Row],[gammac]]*Table1[[#This Row],[Volume]]</f>
        <v>0</v>
      </c>
      <c r="BD165">
        <f>((Table1[[#This Row],[High P]]+Table1[[#This Row],[Low P]])/2)*Table1[[#This Row],[gammap]]*Table1[[#This Row],[Volume9]]*-1</f>
        <v>0</v>
      </c>
      <c r="BE165">
        <f>(Table1[[#This Row],[SgammaC]]+Table1[[#This Row],[SgammaP]])*$A$4*-100</f>
        <v>0</v>
      </c>
      <c r="BF165">
        <f>Table1[[#This Row],[DEXc]]+Table1[[#This Row],[DEXp]]</f>
        <v>-1417513.284</v>
      </c>
      <c r="BG165">
        <f>IFERROR(Table1[[#This Row],[DeltaC]]*Table1[[#This Row],[Open.Int]]*$A$4,0)</f>
        <v>651652.37099999993</v>
      </c>
      <c r="BH165">
        <f>IFERROR(Table1[[#This Row],[DeltaP]]*Table1[[#This Row],[Open.Int8]]*$A$4,0)</f>
        <v>-2069165.6549999998</v>
      </c>
      <c r="BI16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-3029647.754319069</v>
      </c>
      <c r="BJ16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-1669776.8487340715</v>
      </c>
      <c r="BK165">
        <f ca="1">Table1[[#This Row],[Charmc]]+Table1[[#This Row],[Charmp]]</f>
        <v>-4699424.6030531405</v>
      </c>
      <c r="BL16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5" s="78">
        <f ca="1">Table1[[#This Row],[call helper]]+Table1[[#This Row],[put helper]]</f>
        <v>38700.288438359566</v>
      </c>
      <c r="BP165">
        <f>RTD("tos.rtd", , "STRIKE", "."&amp;Table1[[#This Row],[Ticker]]&amp;Table1[[#This Row],[Expiry]]&amp;""&amp;"C"&amp;Table1[[#This Row],[Spot]]+Table1[[#This Row],[step]])</f>
        <v>6970</v>
      </c>
    </row>
    <row r="166" spans="1:68" x14ac:dyDescent="0.25">
      <c r="A166">
        <f t="shared" ca="1" si="14"/>
        <v>2.5814307458086375E-3</v>
      </c>
      <c r="C166" s="17"/>
      <c r="D166" t="b">
        <f>IF(
    ISNUMBER(Table1[[#This Row],[Strike]]),RTD("tos.rtd", , "OPEN_INT", "."&amp;Table1[[#This Row],[Ticker]]&amp;Table1[[#This Row],[Expiry]]&amp;""&amp;"C"&amp;Table1[[#This Row],[Strike]]))</f>
        <v>0</v>
      </c>
      <c r="E16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6" t="b">
        <f>IF(
    ISNUMBER(Table1[[#This Row],[Strike]]),RTD("tos.rtd", , "DELTA", "."&amp;Table1[[#This Row],[Ticker]]&amp;Table1[[#This Row],[Expiry]]&amp;""&amp;"C"&amp;Table1[[#This Row],[Strike]]))</f>
        <v>0</v>
      </c>
      <c r="H166" s="17" t="b" cm="1">
        <f t="array" ref="H166">IF(
    ISNUMBER(Table1[[#This Row],[Strike]]),IndividualLegIVCore($A$4, Table1[[#This Row],[Strike]], 0.0411, Table1[[#This Row],[T]], ((Table1[[#This Row],[BIDC]]+Table1[[#This Row],[ASKC]])/2), TRUE))</f>
        <v>0</v>
      </c>
      <c r="I166" t="b">
        <f>IF(
    ISNUMBER(Table1[[#This Row],[Strike]]),RTD("tos.rtd", , "BID", "."&amp;Table1[[#This Row],[Ticker]]&amp;Table1[[#This Row],[Expiry]]&amp;""&amp;"C"&amp;Table1[[#This Row],[Strike]]))</f>
        <v>0</v>
      </c>
      <c r="J166" t="b">
        <f>IF(
    ISNUMBER(Table1[[#This Row],[Strike]]),RTD("tos.rtd", , "ASK", "."&amp;Table1[[#This Row],[Ticker]]&amp;Table1[[#This Row],[Expiry]]&amp;""&amp;"C"&amp;Table1[[#This Row],[Strike]]))</f>
        <v>0</v>
      </c>
      <c r="K16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6" s="17" cm="1">
        <f t="array" aca="1" ref="L16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6" s="1">
        <f t="shared" si="15"/>
        <v>46045</v>
      </c>
      <c r="N166" t="b">
        <f t="shared" si="16"/>
        <v>0</v>
      </c>
      <c r="P166" s="17" t="b" cm="1">
        <f t="array" ref="P166">IF(
    ISNUMBER(Table1[[#This Row],[Strike]]),IndividualLegIVCore($A$4, Table1[[#This Row],[Strike]], 0.0411, Table1[[#This Row],[T]], ((Table1[[#This Row],[BIDP]]+Table1[[#This Row],[ASKP]])/2), FALSE))</f>
        <v>0</v>
      </c>
      <c r="Q166" t="b">
        <f>IF(
    ISNUMBER(Table1[[#This Row],[Strike]]),RTD("tos.rtd", , "BID", "."&amp;Table1[[#This Row],[Ticker]]&amp;Table1[[#This Row],[Expiry]]&amp;""&amp;"P"&amp;Table1[[#This Row],[Strike]]))</f>
        <v>0</v>
      </c>
      <c r="R166" t="b">
        <f>IF(
    ISNUMBER(Table1[[#This Row],[Strike]]),RTD("tos.rtd", , "ASK", "."&amp;Table1[[#This Row],[Ticker]]&amp;Table1[[#This Row],[Expiry]]&amp;""&amp;"P"&amp;Table1[[#This Row],[Strike]]))</f>
        <v>0</v>
      </c>
      <c r="S166" s="17"/>
      <c r="T166" t="b">
        <f>IF(
    ISNUMBER(Table1[[#This Row],[Strike]]),RTD("tos.rtd", , "OPEN_INT", "."&amp;Table1[[#This Row],[Ticker]]&amp;Table1[[#This Row],[Expiry]]&amp;""&amp;"P"&amp;Table1[[#This Row],[Strike]]))</f>
        <v>0</v>
      </c>
      <c r="U16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6" t="b">
        <f>IF(
    ISNUMBER(Table1[[#This Row],[Strike]]),RTD("tos.rtd", , "DELTA", "."&amp;Table1[[#This Row],[Ticker]]&amp;Table1[[#This Row],[Expiry]]&amp;""&amp;"P"&amp;Table1[[#This Row],[Strike]]))</f>
        <v>0</v>
      </c>
      <c r="Y166" s="19">
        <f>28* IF($M$1="NDX", 10, IF(OR($M$1="SPX", $M$1="RUT"), 2, 1))</f>
        <v>56</v>
      </c>
      <c r="Z166">
        <f ca="1">IFERROR(Table1[[#This Row],[call gamma]]*(Table1[[#This Row],[Open.Int]])*$A$4^2,0)</f>
        <v>0</v>
      </c>
      <c r="AA166">
        <f ca="1">IFERROR(((Table1[[#This Row],[Open.Int8]])*Table1[[#This Row],[Put gamma]])*-1*$A$4^2,0)</f>
        <v>0</v>
      </c>
      <c r="AB166">
        <f ca="1">(Table1[[#This Row],[Call Gex]]+Table1[[#This Row],[Put Gex]])</f>
        <v>0</v>
      </c>
      <c r="AC166">
        <f ca="1">Table1[[#This Row],[call delta adj]]+Table1[[#This Row],[put delta adj]]</f>
        <v>0</v>
      </c>
      <c r="AD166">
        <f ca="1">Table1[[#This Row],[Put Gex]]*Table1[[#This Row],[DeltaP]]*-1</f>
        <v>0</v>
      </c>
      <c r="AE166">
        <f ca="1">Table1[[#This Row],[Call Gex]]*Table1[[#This Row],[DeltaC]]</f>
        <v>0</v>
      </c>
      <c r="AF166">
        <f>IF(Table1[[#This Row],[DeltaC]]-ABS(Table1[[#This Row],[DeltaP]])="0","0.01",Table1[[#This Row],[DeltaC]]-ABS(Table1[[#This Row],[DeltaP]]))</f>
        <v>0</v>
      </c>
      <c r="AG166" t="e">
        <f ca="1">((LN($A$4/Table1[[#This Row],[Strike]]) + (0.411 + 0.5 * Table1[[#This Row],[IV Calc P]]^2) *Table1[[#This Row],[T]])) / (Table1[[#This Row],[IV Calc P]] * SQRT(Table1[[#This Row],[T]]))</f>
        <v>#DIV/0!</v>
      </c>
      <c r="AH166" t="e">
        <f ca="1">(LN($A$4/Table1[[#This Row],[Strike]]) + (0.411-0 + 0.5 * Table1[[#This Row],[IV Calc C]]^2) *Table1[[#This Row],[T]]) / (Table1[[#This Row],[IV Calc C]] * SQRT(Table1[[#This Row],[T]]))</f>
        <v>#DIV/0!</v>
      </c>
      <c r="AI166" t="e">
        <f ca="1">(EXP(-(AG166^2)/2)/SQRT(2*PI())*EXP(0*SQRT(Table1[[#This Row],[T]]))/$A$4*18%*SQRT(SQRT(Table1[[#This Row],[T]])))</f>
        <v>#DIV/0!</v>
      </c>
      <c r="AJ166" t="e">
        <f ca="1">(EXP(-(AH166^2)/2)/SQRT(2*PI())*EXP(0*SQRT(Table1[[#This Row],[T]]))/$A$4*18%*SQRT(SQRT(Table1[[#This Row],[T]])))</f>
        <v>#DIV/0!</v>
      </c>
      <c r="AK166" t="e">
        <f ca="1">Table1[[#This Row],[Call D1]]-Table1[[#This Row],[IV Calc C]]*SQRT(Table1[[#This Row],[T]])</f>
        <v>#DIV/0!</v>
      </c>
      <c r="AL166" t="e">
        <f ca="1">Table1[[#This Row],[Put D1]]-Table1[[#This Row],[IV Calc P]]*SQRT(Table1[[#This Row],[T]])</f>
        <v>#DIV/0!</v>
      </c>
      <c r="AM166" t="e">
        <f ca="1">EXP(-0.5*Table1[[#This Row],[Call D1]]^2)/SQRT(2*PI())</f>
        <v>#DIV/0!</v>
      </c>
      <c r="AN166" t="e">
        <f ca="1">EXP(-0.5*Table1[[#This Row],[Put D1]]^2)/SQRT(2*PI())</f>
        <v>#DIV/0!</v>
      </c>
      <c r="AO166">
        <f ca="1">IFERROR((EXP(0*Table1[[#This Row],[T]])*Table1[[#This Row],[call N(d1)]]*(Table1[[#This Row],[call d2]]/Table1[[#This Row],[IV Calc C]]))*Table1[[#This Row],[Open.Int]]*Table1[[#This Row],[DeltaC]],0)</f>
        <v>0</v>
      </c>
      <c r="AP166">
        <f ca="1">IFERROR((EXP(0*Table1[[#This Row],[T]])*Table1[[#This Row],[put N(d1)]]*(Table1[[#This Row],[put d2]]/Table1[[#This Row],[IV Calc P]]))*Table1[[#This Row],[Open.Int8]]*Table1[[#This Row],[DeltaP]]*-1,0)</f>
        <v>0</v>
      </c>
      <c r="AQ166">
        <f ca="1">((Table1[[#This Row],[call vanna]]+Table1[[#This Row],[put vanna]])*$A$4)</f>
        <v>0</v>
      </c>
      <c r="AR16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6" s="9" t="str" cm="1">
        <f t="array" ref="AT166">_xlfn.IFS(     $M$1="SPX","SPXW",     $M$1="RUT","RUTW",  $M$1="NDX","NDXP",   TRUE,$M$1 )</f>
        <v>SPXW</v>
      </c>
      <c r="AU166" s="2">
        <f t="shared" si="17"/>
        <v>6915</v>
      </c>
      <c r="AV166" t="str">
        <f t="shared" si="18"/>
        <v>260123</v>
      </c>
      <c r="AW166" s="19">
        <f ca="1">IFERROR((EXP(0*Table1[[#This Row],[T]])*Table1[[#This Row],[put N(d1)]]*(Table1[[#This Row],[put d2]]/Table1[[#This Row],[IV Calc P]]))*Table1[[#This Row],[Open.Int8]]*Table1[[#This Row],[DeltaP]]*-1,0)</f>
        <v>0</v>
      </c>
      <c r="AX166">
        <f ca="1">IFERROR((EXP(0*Table1[[#This Row],[T]])*Table1[[#This Row],[call N(d1)]]*(Table1[[#This Row],[call d2]]/Table1[[#This Row],[IV Calc C]]))*Table1[[#This Row],[Open.Int]]*Table1[[#This Row],[DeltaC]],0)</f>
        <v>0</v>
      </c>
      <c r="AY16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6">
        <f>((Table1[[#This Row],[High C]]+Table1[[#This Row],[Low C]])/2)*Table1[[#This Row],[gammac]]*Table1[[#This Row],[Volume]]</f>
        <v>0</v>
      </c>
      <c r="BD166">
        <f>((Table1[[#This Row],[High P]]+Table1[[#This Row],[Low P]])/2)*Table1[[#This Row],[gammap]]*Table1[[#This Row],[Volume9]]*-1</f>
        <v>0</v>
      </c>
      <c r="BE166">
        <f>(Table1[[#This Row],[SgammaC]]+Table1[[#This Row],[SgammaP]])*$A$4*-100</f>
        <v>0</v>
      </c>
      <c r="BF166">
        <f>Table1[[#This Row],[DEXc]]+Table1[[#This Row],[DEXp]]</f>
        <v>0</v>
      </c>
      <c r="BG166">
        <f>IFERROR(Table1[[#This Row],[DeltaC]]*Table1[[#This Row],[Open.Int]]*$A$4,0)</f>
        <v>0</v>
      </c>
      <c r="BH166">
        <f>IFERROR(Table1[[#This Row],[DeltaP]]*Table1[[#This Row],[Open.Int8]]*$A$4,0)</f>
        <v>0</v>
      </c>
      <c r="BI16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6">
        <f ca="1">Table1[[#This Row],[Charmc]]+Table1[[#This Row],[Charmp]]</f>
        <v>0</v>
      </c>
      <c r="BL16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6" s="78">
        <f ca="1">Table1[[#This Row],[call helper]]+Table1[[#This Row],[put helper]]</f>
        <v>0</v>
      </c>
      <c r="BP166" t="str">
        <f>RTD("tos.rtd", , "STRIKE", "."&amp;Table1[[#This Row],[Ticker]]&amp;Table1[[#This Row],[Expiry]]&amp;""&amp;"C"&amp;Table1[[#This Row],[Spot]]+Table1[[#This Row],[step]])</f>
        <v>N/A</v>
      </c>
    </row>
    <row r="167" spans="1:68" x14ac:dyDescent="0.25">
      <c r="A167">
        <f t="shared" ca="1" si="14"/>
        <v>2.5814307458086375E-3</v>
      </c>
      <c r="C167" s="17"/>
      <c r="D167" t="b">
        <f>IF(
    ISNUMBER(Table1[[#This Row],[Strike]]),RTD("tos.rtd", , "OPEN_INT", "."&amp;Table1[[#This Row],[Ticker]]&amp;Table1[[#This Row],[Expiry]]&amp;""&amp;"C"&amp;Table1[[#This Row],[Strike]]))</f>
        <v>0</v>
      </c>
      <c r="E16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7" t="b">
        <f>IF(
    ISNUMBER(Table1[[#This Row],[Strike]]),RTD("tos.rtd", , "DELTA", "."&amp;Table1[[#This Row],[Ticker]]&amp;Table1[[#This Row],[Expiry]]&amp;""&amp;"C"&amp;Table1[[#This Row],[Strike]]))</f>
        <v>0</v>
      </c>
      <c r="H167" s="17" t="b" cm="1">
        <f t="array" ref="H167">IF(
    ISNUMBER(Table1[[#This Row],[Strike]]),IndividualLegIVCore($A$4, Table1[[#This Row],[Strike]], 0.0411, Table1[[#This Row],[T]], ((Table1[[#This Row],[BIDC]]+Table1[[#This Row],[ASKC]])/2), TRUE))</f>
        <v>0</v>
      </c>
      <c r="I167" t="b">
        <f>IF(
    ISNUMBER(Table1[[#This Row],[Strike]]),RTD("tos.rtd", , "BID", "."&amp;Table1[[#This Row],[Ticker]]&amp;Table1[[#This Row],[Expiry]]&amp;""&amp;"C"&amp;Table1[[#This Row],[Strike]]))</f>
        <v>0</v>
      </c>
      <c r="J167" t="b">
        <f>IF(
    ISNUMBER(Table1[[#This Row],[Strike]]),RTD("tos.rtd", , "ASK", "."&amp;Table1[[#This Row],[Ticker]]&amp;Table1[[#This Row],[Expiry]]&amp;""&amp;"C"&amp;Table1[[#This Row],[Strike]]))</f>
        <v>0</v>
      </c>
      <c r="K16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7" s="17" cm="1">
        <f t="array" aca="1" ref="L16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7" s="1">
        <f t="shared" si="15"/>
        <v>46045</v>
      </c>
      <c r="N167" t="b">
        <f t="shared" si="16"/>
        <v>0</v>
      </c>
      <c r="P167" s="17" t="b" cm="1">
        <f t="array" ref="P167">IF(
    ISNUMBER(Table1[[#This Row],[Strike]]),IndividualLegIVCore($A$4, Table1[[#This Row],[Strike]], 0.0411, Table1[[#This Row],[T]], ((Table1[[#This Row],[BIDP]]+Table1[[#This Row],[ASKP]])/2), FALSE))</f>
        <v>0</v>
      </c>
      <c r="Q167" t="b">
        <f>IF(
    ISNUMBER(Table1[[#This Row],[Strike]]),RTD("tos.rtd", , "BID", "."&amp;Table1[[#This Row],[Ticker]]&amp;Table1[[#This Row],[Expiry]]&amp;""&amp;"P"&amp;Table1[[#This Row],[Strike]]))</f>
        <v>0</v>
      </c>
      <c r="R167" t="b">
        <f>IF(
    ISNUMBER(Table1[[#This Row],[Strike]]),RTD("tos.rtd", , "ASK", "."&amp;Table1[[#This Row],[Ticker]]&amp;Table1[[#This Row],[Expiry]]&amp;""&amp;"P"&amp;Table1[[#This Row],[Strike]]))</f>
        <v>0</v>
      </c>
      <c r="S167" s="17"/>
      <c r="T167" t="b">
        <f>IF(
    ISNUMBER(Table1[[#This Row],[Strike]]),RTD("tos.rtd", , "OPEN_INT", "."&amp;Table1[[#This Row],[Ticker]]&amp;Table1[[#This Row],[Expiry]]&amp;""&amp;"P"&amp;Table1[[#This Row],[Strike]]))</f>
        <v>0</v>
      </c>
      <c r="U16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7" t="b">
        <f>IF(
    ISNUMBER(Table1[[#This Row],[Strike]]),RTD("tos.rtd", , "DELTA", "."&amp;Table1[[#This Row],[Ticker]]&amp;Table1[[#This Row],[Expiry]]&amp;""&amp;"P"&amp;Table1[[#This Row],[Strike]]))</f>
        <v>0</v>
      </c>
      <c r="Y167" s="19">
        <f>28.5* IF($M$1="NDX", 10, IF(OR($M$1="SPX", $M$1="RUT"), 2, 1))</f>
        <v>57</v>
      </c>
      <c r="Z167">
        <f ca="1">IFERROR(Table1[[#This Row],[call gamma]]*(Table1[[#This Row],[Open.Int]])*$A$4^2,0)</f>
        <v>0</v>
      </c>
      <c r="AA167">
        <f ca="1">IFERROR(((Table1[[#This Row],[Open.Int8]])*Table1[[#This Row],[Put gamma]])*-1*$A$4^2,0)</f>
        <v>0</v>
      </c>
      <c r="AB167">
        <f ca="1">(Table1[[#This Row],[Call Gex]]+Table1[[#This Row],[Put Gex]])</f>
        <v>0</v>
      </c>
      <c r="AC167">
        <f ca="1">Table1[[#This Row],[call delta adj]]+Table1[[#This Row],[put delta adj]]</f>
        <v>0</v>
      </c>
      <c r="AD167">
        <f ca="1">Table1[[#This Row],[Put Gex]]*Table1[[#This Row],[DeltaP]]*-1</f>
        <v>0</v>
      </c>
      <c r="AE167">
        <f ca="1">Table1[[#This Row],[Call Gex]]*Table1[[#This Row],[DeltaC]]</f>
        <v>0</v>
      </c>
      <c r="AF167">
        <f>IF(Table1[[#This Row],[DeltaC]]-ABS(Table1[[#This Row],[DeltaP]])="0","0.01",Table1[[#This Row],[DeltaC]]-ABS(Table1[[#This Row],[DeltaP]]))</f>
        <v>0</v>
      </c>
      <c r="AG167" t="e">
        <f ca="1">((LN($A$4/Table1[[#This Row],[Strike]]) + (0.411 + 0.5 * Table1[[#This Row],[IV Calc P]]^2) *Table1[[#This Row],[T]])) / (Table1[[#This Row],[IV Calc P]] * SQRT(Table1[[#This Row],[T]]))</f>
        <v>#DIV/0!</v>
      </c>
      <c r="AH167" t="e">
        <f ca="1">(LN($A$4/Table1[[#This Row],[Strike]]) + (0.411-0 + 0.5 * Table1[[#This Row],[IV Calc C]]^2) *Table1[[#This Row],[T]]) / (Table1[[#This Row],[IV Calc C]] * SQRT(Table1[[#This Row],[T]]))</f>
        <v>#DIV/0!</v>
      </c>
      <c r="AI167" t="e">
        <f ca="1">(EXP(-(AG167^2)/2)/SQRT(2*PI())*EXP(0*SQRT(Table1[[#This Row],[T]]))/$A$4*18%*SQRT(SQRT(Table1[[#This Row],[T]])))</f>
        <v>#DIV/0!</v>
      </c>
      <c r="AJ167" t="e">
        <f ca="1">(EXP(-(AH167^2)/2)/SQRT(2*PI())*EXP(0*SQRT(Table1[[#This Row],[T]]))/$A$4*18%*SQRT(SQRT(Table1[[#This Row],[T]])))</f>
        <v>#DIV/0!</v>
      </c>
      <c r="AK167" t="e">
        <f ca="1">Table1[[#This Row],[Call D1]]-Table1[[#This Row],[IV Calc C]]*SQRT(Table1[[#This Row],[T]])</f>
        <v>#DIV/0!</v>
      </c>
      <c r="AL167" t="e">
        <f ca="1">Table1[[#This Row],[Put D1]]-Table1[[#This Row],[IV Calc P]]*SQRT(Table1[[#This Row],[T]])</f>
        <v>#DIV/0!</v>
      </c>
      <c r="AM167" t="e">
        <f ca="1">EXP(-0.5*Table1[[#This Row],[Call D1]]^2)/SQRT(2*PI())</f>
        <v>#DIV/0!</v>
      </c>
      <c r="AN167" t="e">
        <f ca="1">EXP(-0.5*Table1[[#This Row],[Put D1]]^2)/SQRT(2*PI())</f>
        <v>#DIV/0!</v>
      </c>
      <c r="AO167">
        <f ca="1">IFERROR((EXP(0*Table1[[#This Row],[T]])*Table1[[#This Row],[call N(d1)]]*(Table1[[#This Row],[call d2]]/Table1[[#This Row],[IV Calc C]]))*Table1[[#This Row],[Open.Int]]*Table1[[#This Row],[DeltaC]],0)</f>
        <v>0</v>
      </c>
      <c r="AP167">
        <f ca="1">IFERROR((EXP(0*Table1[[#This Row],[T]])*Table1[[#This Row],[put N(d1)]]*(Table1[[#This Row],[put d2]]/Table1[[#This Row],[IV Calc P]]))*Table1[[#This Row],[Open.Int8]]*Table1[[#This Row],[DeltaP]]*-1,0)</f>
        <v>0</v>
      </c>
      <c r="AQ167">
        <f ca="1">((Table1[[#This Row],[call vanna]]+Table1[[#This Row],[put vanna]])*$A$4)</f>
        <v>0</v>
      </c>
      <c r="AR16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7" s="9" t="str" cm="1">
        <f t="array" ref="AT167">_xlfn.IFS(     $M$1="SPX","SPXW",     $M$1="RUT","RUTW",  $M$1="NDX","NDXP",   TRUE,$M$1 )</f>
        <v>SPXW</v>
      </c>
      <c r="AU167" s="2">
        <f t="shared" si="17"/>
        <v>6915</v>
      </c>
      <c r="AV167" t="str">
        <f t="shared" si="18"/>
        <v>260123</v>
      </c>
      <c r="AW167" s="19">
        <f ca="1">IFERROR((EXP(0*Table1[[#This Row],[T]])*Table1[[#This Row],[put N(d1)]]*(Table1[[#This Row],[put d2]]/Table1[[#This Row],[IV Calc P]]))*Table1[[#This Row],[Open.Int8]]*Table1[[#This Row],[DeltaP]]*-1,0)</f>
        <v>0</v>
      </c>
      <c r="AX167">
        <f ca="1">IFERROR((EXP(0*Table1[[#This Row],[T]])*Table1[[#This Row],[call N(d1)]]*(Table1[[#This Row],[call d2]]/Table1[[#This Row],[IV Calc C]]))*Table1[[#This Row],[Open.Int]]*Table1[[#This Row],[DeltaC]],0)</f>
        <v>0</v>
      </c>
      <c r="AY16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7">
        <f>((Table1[[#This Row],[High C]]+Table1[[#This Row],[Low C]])/2)*Table1[[#This Row],[gammac]]*Table1[[#This Row],[Volume]]</f>
        <v>0</v>
      </c>
      <c r="BD167">
        <f>((Table1[[#This Row],[High P]]+Table1[[#This Row],[Low P]])/2)*Table1[[#This Row],[gammap]]*Table1[[#This Row],[Volume9]]*-1</f>
        <v>0</v>
      </c>
      <c r="BE167">
        <f>(Table1[[#This Row],[SgammaC]]+Table1[[#This Row],[SgammaP]])*$A$4*-100</f>
        <v>0</v>
      </c>
      <c r="BF167">
        <f>Table1[[#This Row],[DEXc]]+Table1[[#This Row],[DEXp]]</f>
        <v>0</v>
      </c>
      <c r="BG167">
        <f>IFERROR(Table1[[#This Row],[DeltaC]]*Table1[[#This Row],[Open.Int]]*$A$4,0)</f>
        <v>0</v>
      </c>
      <c r="BH167">
        <f>IFERROR(Table1[[#This Row],[DeltaP]]*Table1[[#This Row],[Open.Int8]]*$A$4,0)</f>
        <v>0</v>
      </c>
      <c r="BI16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7">
        <f ca="1">Table1[[#This Row],[Charmc]]+Table1[[#This Row],[Charmp]]</f>
        <v>0</v>
      </c>
      <c r="BL16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7" s="78">
        <f ca="1">Table1[[#This Row],[call helper]]+Table1[[#This Row],[put helper]]</f>
        <v>0</v>
      </c>
      <c r="BP167" t="str">
        <f>RTD("tos.rtd", , "STRIKE", "."&amp;Table1[[#This Row],[Ticker]]&amp;Table1[[#This Row],[Expiry]]&amp;""&amp;"C"&amp;Table1[[#This Row],[Spot]]+Table1[[#This Row],[step]])</f>
        <v>N/A</v>
      </c>
    </row>
    <row r="168" spans="1:68" x14ac:dyDescent="0.25">
      <c r="A168" s="13">
        <f t="shared" ca="1" si="14"/>
        <v>2.5814307458086375E-3</v>
      </c>
      <c r="B168" s="13"/>
      <c r="C168" s="17"/>
      <c r="D168" t="b">
        <f>IF(
    ISNUMBER(Table1[[#This Row],[Strike]]),RTD("tos.rtd", , "OPEN_INT", "."&amp;Table1[[#This Row],[Ticker]]&amp;Table1[[#This Row],[Expiry]]&amp;""&amp;"C"&amp;Table1[[#This Row],[Strike]]))</f>
        <v>0</v>
      </c>
      <c r="E16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8" t="b">
        <f>IF(
    ISNUMBER(Table1[[#This Row],[Strike]]),RTD("tos.rtd", , "DELTA", "."&amp;Table1[[#This Row],[Ticker]]&amp;Table1[[#This Row],[Expiry]]&amp;""&amp;"C"&amp;Table1[[#This Row],[Strike]]))</f>
        <v>0</v>
      </c>
      <c r="H168" s="17" t="b" cm="1">
        <f t="array" ref="H168">IF(
    ISNUMBER(Table1[[#This Row],[Strike]]),IndividualLegIVCore($A$4, Table1[[#This Row],[Strike]], 0.0411, Table1[[#This Row],[T]], ((Table1[[#This Row],[BIDC]]+Table1[[#This Row],[ASKC]])/2), TRUE))</f>
        <v>0</v>
      </c>
      <c r="I168" t="b">
        <f>IF(
    ISNUMBER(Table1[[#This Row],[Strike]]),RTD("tos.rtd", , "BID", "."&amp;Table1[[#This Row],[Ticker]]&amp;Table1[[#This Row],[Expiry]]&amp;""&amp;"C"&amp;Table1[[#This Row],[Strike]]))</f>
        <v>0</v>
      </c>
      <c r="J168" t="b">
        <f>IF(
    ISNUMBER(Table1[[#This Row],[Strike]]),RTD("tos.rtd", , "ASK", "."&amp;Table1[[#This Row],[Ticker]]&amp;Table1[[#This Row],[Expiry]]&amp;""&amp;"C"&amp;Table1[[#This Row],[Strike]]))</f>
        <v>0</v>
      </c>
      <c r="K16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8" s="17" cm="1">
        <f t="array" aca="1" ref="L16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8" s="1">
        <f t="shared" si="15"/>
        <v>46045</v>
      </c>
      <c r="N168" t="b">
        <f t="shared" si="16"/>
        <v>0</v>
      </c>
      <c r="P168" s="17" t="b" cm="1">
        <f t="array" ref="P168">IF(
    ISNUMBER(Table1[[#This Row],[Strike]]),IndividualLegIVCore($A$4, Table1[[#This Row],[Strike]], 0.0411, Table1[[#This Row],[T]], ((Table1[[#This Row],[BIDP]]+Table1[[#This Row],[ASKP]])/2), FALSE))</f>
        <v>0</v>
      </c>
      <c r="Q168" t="b">
        <f>IF(
    ISNUMBER(Table1[[#This Row],[Strike]]),RTD("tos.rtd", , "BID", "."&amp;Table1[[#This Row],[Ticker]]&amp;Table1[[#This Row],[Expiry]]&amp;""&amp;"P"&amp;Table1[[#This Row],[Strike]]))</f>
        <v>0</v>
      </c>
      <c r="R168" t="b">
        <f>IF(
    ISNUMBER(Table1[[#This Row],[Strike]]),RTD("tos.rtd", , "ASK", "."&amp;Table1[[#This Row],[Ticker]]&amp;Table1[[#This Row],[Expiry]]&amp;""&amp;"P"&amp;Table1[[#This Row],[Strike]]))</f>
        <v>0</v>
      </c>
      <c r="S168" s="17"/>
      <c r="T168" t="b">
        <f>IF(
    ISNUMBER(Table1[[#This Row],[Strike]]),RTD("tos.rtd", , "OPEN_INT", "."&amp;Table1[[#This Row],[Ticker]]&amp;Table1[[#This Row],[Expiry]]&amp;""&amp;"P"&amp;Table1[[#This Row],[Strike]]))</f>
        <v>0</v>
      </c>
      <c r="U16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8" t="b">
        <f>IF(
    ISNUMBER(Table1[[#This Row],[Strike]]),RTD("tos.rtd", , "DELTA", "."&amp;Table1[[#This Row],[Ticker]]&amp;Table1[[#This Row],[Expiry]]&amp;""&amp;"P"&amp;Table1[[#This Row],[Strike]]))</f>
        <v>0</v>
      </c>
      <c r="X168" s="13"/>
      <c r="Y168" s="19">
        <f>29* IF($M$1="NDX", 10, IF(OR($M$1="SPX", $M$1="RUT"), 2, 1))</f>
        <v>58</v>
      </c>
      <c r="Z168">
        <f ca="1">IFERROR(Table1[[#This Row],[call gamma]]*(Table1[[#This Row],[Open.Int]])*$A$4^2,0)</f>
        <v>0</v>
      </c>
      <c r="AA168">
        <f ca="1">IFERROR(((Table1[[#This Row],[Open.Int8]])*Table1[[#This Row],[Put gamma]])*-1*$A$4^2,0)</f>
        <v>0</v>
      </c>
      <c r="AB168">
        <f ca="1">(Table1[[#This Row],[Call Gex]]+Table1[[#This Row],[Put Gex]])</f>
        <v>0</v>
      </c>
      <c r="AC168">
        <f ca="1">Table1[[#This Row],[call delta adj]]+Table1[[#This Row],[put delta adj]]</f>
        <v>0</v>
      </c>
      <c r="AD168">
        <f ca="1">Table1[[#This Row],[Put Gex]]*Table1[[#This Row],[DeltaP]]*-1</f>
        <v>0</v>
      </c>
      <c r="AE168">
        <f ca="1">Table1[[#This Row],[Call Gex]]*Table1[[#This Row],[DeltaC]]</f>
        <v>0</v>
      </c>
      <c r="AF168">
        <f>IF(Table1[[#This Row],[DeltaC]]-ABS(Table1[[#This Row],[DeltaP]])="0","0.01",Table1[[#This Row],[DeltaC]]-ABS(Table1[[#This Row],[DeltaP]]))</f>
        <v>0</v>
      </c>
      <c r="AG168" t="e">
        <f ca="1">((LN($A$4/Table1[[#This Row],[Strike]]) + (0.411 + 0.5 * Table1[[#This Row],[IV Calc P]]^2) *Table1[[#This Row],[T]])) / (Table1[[#This Row],[IV Calc P]] * SQRT(Table1[[#This Row],[T]]))</f>
        <v>#DIV/0!</v>
      </c>
      <c r="AH168" t="e">
        <f ca="1">(LN($A$4/Table1[[#This Row],[Strike]]) + (0.411-0 + 0.5 * Table1[[#This Row],[IV Calc C]]^2) *Table1[[#This Row],[T]]) / (Table1[[#This Row],[IV Calc C]] * SQRT(Table1[[#This Row],[T]]))</f>
        <v>#DIV/0!</v>
      </c>
      <c r="AI168" t="e">
        <f ca="1">(EXP(-(AG168^2)/2)/SQRT(2*PI())*EXP(0*SQRT(Table1[[#This Row],[T]]))/$A$4*18%*SQRT(SQRT(Table1[[#This Row],[T]])))</f>
        <v>#DIV/0!</v>
      </c>
      <c r="AJ168" t="e">
        <f ca="1">(EXP(-(AH168^2)/2)/SQRT(2*PI())*EXP(0*SQRT(Table1[[#This Row],[T]]))/$A$4*18%*SQRT(SQRT(Table1[[#This Row],[T]])))</f>
        <v>#DIV/0!</v>
      </c>
      <c r="AK168" t="e">
        <f ca="1">Table1[[#This Row],[Call D1]]-Table1[[#This Row],[IV Calc C]]*SQRT(Table1[[#This Row],[T]])</f>
        <v>#DIV/0!</v>
      </c>
      <c r="AL168" t="e">
        <f ca="1">Table1[[#This Row],[Put D1]]-Table1[[#This Row],[IV Calc P]]*SQRT(Table1[[#This Row],[T]])</f>
        <v>#DIV/0!</v>
      </c>
      <c r="AM168" t="e">
        <f ca="1">EXP(-0.5*Table1[[#This Row],[Call D1]]^2)/SQRT(2*PI())</f>
        <v>#DIV/0!</v>
      </c>
      <c r="AN168" t="e">
        <f ca="1">EXP(-0.5*Table1[[#This Row],[Put D1]]^2)/SQRT(2*PI())</f>
        <v>#DIV/0!</v>
      </c>
      <c r="AO168">
        <f ca="1">IFERROR((EXP(0*Table1[[#This Row],[T]])*Table1[[#This Row],[call N(d1)]]*(Table1[[#This Row],[call d2]]/Table1[[#This Row],[IV Calc C]]))*Table1[[#This Row],[Open.Int]]*Table1[[#This Row],[DeltaC]],0)</f>
        <v>0</v>
      </c>
      <c r="AP168">
        <f ca="1">IFERROR((EXP(0*Table1[[#This Row],[T]])*Table1[[#This Row],[put N(d1)]]*(Table1[[#This Row],[put d2]]/Table1[[#This Row],[IV Calc P]]))*Table1[[#This Row],[Open.Int8]]*Table1[[#This Row],[DeltaP]]*-1,0)</f>
        <v>0</v>
      </c>
      <c r="AQ168">
        <f ca="1">((Table1[[#This Row],[call vanna]]+Table1[[#This Row],[put vanna]])*$A$4)</f>
        <v>0</v>
      </c>
      <c r="AR16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8" s="22" t="str" cm="1">
        <f t="array" ref="AT168">_xlfn.IFS(     $M$1="SPX","SPXW",     $M$1="RUT","RUTW",  $M$1="NDX","NDXP",   TRUE,$M$1 )</f>
        <v>SPXW</v>
      </c>
      <c r="AU168" s="23">
        <f t="shared" si="17"/>
        <v>6915</v>
      </c>
      <c r="AV168" s="13" t="str">
        <f t="shared" si="18"/>
        <v>260123</v>
      </c>
      <c r="AW168" s="19">
        <f ca="1">IFERROR((EXP(0*Table1[[#This Row],[T]])*Table1[[#This Row],[put N(d1)]]*(Table1[[#This Row],[put d2]]/Table1[[#This Row],[IV Calc P]]))*Table1[[#This Row],[Open.Int8]]*Table1[[#This Row],[DeltaP]]*-1,0)</f>
        <v>0</v>
      </c>
      <c r="AX168" s="13">
        <f ca="1">IFERROR((EXP(0*Table1[[#This Row],[T]])*Table1[[#This Row],[call N(d1)]]*(Table1[[#This Row],[call d2]]/Table1[[#This Row],[IV Calc C]]))*Table1[[#This Row],[Open.Int]]*Table1[[#This Row],[DeltaC]],0)</f>
        <v>0</v>
      </c>
      <c r="AY168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8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8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8" s="13">
        <f>((Table1[[#This Row],[High C]]+Table1[[#This Row],[Low C]])/2)*Table1[[#This Row],[gammac]]*Table1[[#This Row],[Volume]]</f>
        <v>0</v>
      </c>
      <c r="BD168" s="13">
        <f>((Table1[[#This Row],[High P]]+Table1[[#This Row],[Low P]])/2)*Table1[[#This Row],[gammap]]*Table1[[#This Row],[Volume9]]*-1</f>
        <v>0</v>
      </c>
      <c r="BE168" s="13">
        <f>(Table1[[#This Row],[SgammaC]]+Table1[[#This Row],[SgammaP]])*$A$4*-100</f>
        <v>0</v>
      </c>
      <c r="BF168">
        <f>Table1[[#This Row],[DEXc]]+Table1[[#This Row],[DEXp]]</f>
        <v>0</v>
      </c>
      <c r="BG168">
        <f>IFERROR(Table1[[#This Row],[DeltaC]]*Table1[[#This Row],[Open.Int]]*$A$4,0)</f>
        <v>0</v>
      </c>
      <c r="BH168">
        <f>IFERROR(Table1[[#This Row],[DeltaP]]*Table1[[#This Row],[Open.Int8]]*$A$4,0)</f>
        <v>0</v>
      </c>
      <c r="BI16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8">
        <f ca="1">Table1[[#This Row],[Charmc]]+Table1[[#This Row],[Charmp]]</f>
        <v>0</v>
      </c>
      <c r="BL168" s="90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8" s="90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8" s="78">
        <f ca="1">Table1[[#This Row],[call helper]]+Table1[[#This Row],[put helper]]</f>
        <v>0</v>
      </c>
      <c r="BP168" t="str">
        <f>RTD("tos.rtd", , "STRIKE", "."&amp;Table1[[#This Row],[Ticker]]&amp;Table1[[#This Row],[Expiry]]&amp;""&amp;"C"&amp;Table1[[#This Row],[Spot]]+Table1[[#This Row],[step]])</f>
        <v>N/A</v>
      </c>
    </row>
    <row r="169" spans="1:68" x14ac:dyDescent="0.25">
      <c r="A169">
        <f t="shared" ca="1" si="14"/>
        <v>2.5814307458086375E-3</v>
      </c>
      <c r="C169" s="17"/>
      <c r="D169" t="b">
        <f>IF(
    ISNUMBER(Table1[[#This Row],[Strike]]),RTD("tos.rtd", , "OPEN_INT", "."&amp;Table1[[#This Row],[Ticker]]&amp;Table1[[#This Row],[Expiry]]&amp;""&amp;"C"&amp;Table1[[#This Row],[Strike]]))</f>
        <v>0</v>
      </c>
      <c r="E16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9" t="b">
        <f>IF(
    ISNUMBER(Table1[[#This Row],[Strike]]),RTD("tos.rtd", , "DELTA", "."&amp;Table1[[#This Row],[Ticker]]&amp;Table1[[#This Row],[Expiry]]&amp;""&amp;"C"&amp;Table1[[#This Row],[Strike]]))</f>
        <v>0</v>
      </c>
      <c r="H169" s="17" t="b" cm="1">
        <f t="array" ref="H169">IF(
    ISNUMBER(Table1[[#This Row],[Strike]]),IndividualLegIVCore($A$4, Table1[[#This Row],[Strike]], 0.0411, Table1[[#This Row],[T]], ((Table1[[#This Row],[BIDC]]+Table1[[#This Row],[ASKC]])/2), TRUE))</f>
        <v>0</v>
      </c>
      <c r="I169" t="b">
        <f>IF(
    ISNUMBER(Table1[[#This Row],[Strike]]),RTD("tos.rtd", , "BID", "."&amp;Table1[[#This Row],[Ticker]]&amp;Table1[[#This Row],[Expiry]]&amp;""&amp;"C"&amp;Table1[[#This Row],[Strike]]))</f>
        <v>0</v>
      </c>
      <c r="J169" t="b">
        <f>IF(
    ISNUMBER(Table1[[#This Row],[Strike]]),RTD("tos.rtd", , "ASK", "."&amp;Table1[[#This Row],[Ticker]]&amp;Table1[[#This Row],[Expiry]]&amp;""&amp;"C"&amp;Table1[[#This Row],[Strike]]))</f>
        <v>0</v>
      </c>
      <c r="K16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9" s="17" cm="1">
        <f t="array" aca="1" ref="L16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9" s="1">
        <f t="shared" si="15"/>
        <v>46045</v>
      </c>
      <c r="N169" t="b">
        <f t="shared" si="16"/>
        <v>0</v>
      </c>
      <c r="P169" s="17" t="b" cm="1">
        <f t="array" ref="P169">IF(
    ISNUMBER(Table1[[#This Row],[Strike]]),IndividualLegIVCore($A$4, Table1[[#This Row],[Strike]], 0.0411, Table1[[#This Row],[T]], ((Table1[[#This Row],[BIDP]]+Table1[[#This Row],[ASKP]])/2), FALSE))</f>
        <v>0</v>
      </c>
      <c r="Q169" t="b">
        <f>IF(
    ISNUMBER(Table1[[#This Row],[Strike]]),RTD("tos.rtd", , "BID", "."&amp;Table1[[#This Row],[Ticker]]&amp;Table1[[#This Row],[Expiry]]&amp;""&amp;"P"&amp;Table1[[#This Row],[Strike]]))</f>
        <v>0</v>
      </c>
      <c r="R169" t="b">
        <f>IF(
    ISNUMBER(Table1[[#This Row],[Strike]]),RTD("tos.rtd", , "ASK", "."&amp;Table1[[#This Row],[Ticker]]&amp;Table1[[#This Row],[Expiry]]&amp;""&amp;"P"&amp;Table1[[#This Row],[Strike]]))</f>
        <v>0</v>
      </c>
      <c r="S169" s="17"/>
      <c r="T169" t="b">
        <f>IF(
    ISNUMBER(Table1[[#This Row],[Strike]]),RTD("tos.rtd", , "OPEN_INT", "."&amp;Table1[[#This Row],[Ticker]]&amp;Table1[[#This Row],[Expiry]]&amp;""&amp;"P"&amp;Table1[[#This Row],[Strike]]))</f>
        <v>0</v>
      </c>
      <c r="U16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9" t="b">
        <f>IF(
    ISNUMBER(Table1[[#This Row],[Strike]]),RTD("tos.rtd", , "DELTA", "."&amp;Table1[[#This Row],[Ticker]]&amp;Table1[[#This Row],[Expiry]]&amp;""&amp;"P"&amp;Table1[[#This Row],[Strike]]))</f>
        <v>0</v>
      </c>
      <c r="Y169" s="19">
        <f>29.5* IF($M$1="NDX", 10, IF(OR($M$1="SPX", $M$1="RUT"), 2, 1))</f>
        <v>59</v>
      </c>
      <c r="Z169">
        <f ca="1">IFERROR(Table1[[#This Row],[call gamma]]*(Table1[[#This Row],[Open.Int]])*$A$4^2,0)</f>
        <v>0</v>
      </c>
      <c r="AA169">
        <f ca="1">IFERROR(((Table1[[#This Row],[Open.Int8]])*Table1[[#This Row],[Put gamma]])*-1*$A$4^2,0)</f>
        <v>0</v>
      </c>
      <c r="AB169">
        <f ca="1">(Table1[[#This Row],[Call Gex]]+Table1[[#This Row],[Put Gex]])</f>
        <v>0</v>
      </c>
      <c r="AC169">
        <f ca="1">Table1[[#This Row],[call delta adj]]+Table1[[#This Row],[put delta adj]]</f>
        <v>0</v>
      </c>
      <c r="AD169">
        <f ca="1">Table1[[#This Row],[Put Gex]]*Table1[[#This Row],[DeltaP]]*-1</f>
        <v>0</v>
      </c>
      <c r="AE169">
        <f ca="1">Table1[[#This Row],[Call Gex]]*Table1[[#This Row],[DeltaC]]</f>
        <v>0</v>
      </c>
      <c r="AF169">
        <f>IF(Table1[[#This Row],[DeltaC]]-ABS(Table1[[#This Row],[DeltaP]])="0","0.01",Table1[[#This Row],[DeltaC]]-ABS(Table1[[#This Row],[DeltaP]]))</f>
        <v>0</v>
      </c>
      <c r="AG169" t="e">
        <f ca="1">((LN($A$4/Table1[[#This Row],[Strike]]) + (0.411 + 0.5 * Table1[[#This Row],[IV Calc P]]^2) *Table1[[#This Row],[T]])) / (Table1[[#This Row],[IV Calc P]] * SQRT(Table1[[#This Row],[T]]))</f>
        <v>#DIV/0!</v>
      </c>
      <c r="AH169" t="e">
        <f ca="1">(LN($A$4/Table1[[#This Row],[Strike]]) + (0.411-0 + 0.5 * Table1[[#This Row],[IV Calc C]]^2) *Table1[[#This Row],[T]]) / (Table1[[#This Row],[IV Calc C]] * SQRT(Table1[[#This Row],[T]]))</f>
        <v>#DIV/0!</v>
      </c>
      <c r="AI169" t="e">
        <f ca="1">(EXP(-(AG169^2)/2)/SQRT(2*PI())*EXP(0*SQRT(Table1[[#This Row],[T]]))/$A$4*18%*SQRT(SQRT(Table1[[#This Row],[T]])))</f>
        <v>#DIV/0!</v>
      </c>
      <c r="AJ169" t="e">
        <f ca="1">(EXP(-(AH169^2)/2)/SQRT(2*PI())*EXP(0*SQRT(Table1[[#This Row],[T]]))/$A$4*18%*SQRT(SQRT(Table1[[#This Row],[T]])))</f>
        <v>#DIV/0!</v>
      </c>
      <c r="AK169" t="e">
        <f ca="1">Table1[[#This Row],[Call D1]]-Table1[[#This Row],[IV Calc C]]*SQRT(Table1[[#This Row],[T]])</f>
        <v>#DIV/0!</v>
      </c>
      <c r="AL169" t="e">
        <f ca="1">Table1[[#This Row],[Put D1]]-Table1[[#This Row],[IV Calc P]]*SQRT(Table1[[#This Row],[T]])</f>
        <v>#DIV/0!</v>
      </c>
      <c r="AM169" t="e">
        <f ca="1">EXP(-0.5*Table1[[#This Row],[Call D1]]^2)/SQRT(2*PI())</f>
        <v>#DIV/0!</v>
      </c>
      <c r="AN169" t="e">
        <f ca="1">EXP(-0.5*Table1[[#This Row],[Put D1]]^2)/SQRT(2*PI())</f>
        <v>#DIV/0!</v>
      </c>
      <c r="AO169">
        <f ca="1">IFERROR((EXP(0*Table1[[#This Row],[T]])*Table1[[#This Row],[call N(d1)]]*(Table1[[#This Row],[call d2]]/Table1[[#This Row],[IV Calc C]]))*Table1[[#This Row],[Open.Int]]*Table1[[#This Row],[DeltaC]],0)</f>
        <v>0</v>
      </c>
      <c r="AP169">
        <f ca="1">IFERROR((EXP(0*Table1[[#This Row],[T]])*Table1[[#This Row],[put N(d1)]]*(Table1[[#This Row],[put d2]]/Table1[[#This Row],[IV Calc P]]))*Table1[[#This Row],[Open.Int8]]*Table1[[#This Row],[DeltaP]]*-1,0)</f>
        <v>0</v>
      </c>
      <c r="AQ169">
        <f ca="1">((Table1[[#This Row],[call vanna]]+Table1[[#This Row],[put vanna]])*$A$4)</f>
        <v>0</v>
      </c>
      <c r="AR16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9" s="9" t="str" cm="1">
        <f t="array" ref="AT169">_xlfn.IFS(     $M$1="SPX","SPXW",     $M$1="RUT","RUTW",  $M$1="NDX","NDXP",   TRUE,$M$1 )</f>
        <v>SPXW</v>
      </c>
      <c r="AU169" s="2">
        <f t="shared" si="17"/>
        <v>6915</v>
      </c>
      <c r="AV169" t="str">
        <f t="shared" si="18"/>
        <v>260123</v>
      </c>
      <c r="AW169" s="19">
        <f ca="1">IFERROR((EXP(0*Table1[[#This Row],[T]])*Table1[[#This Row],[put N(d1)]]*(Table1[[#This Row],[put d2]]/Table1[[#This Row],[IV Calc P]]))*Table1[[#This Row],[Open.Int8]]*Table1[[#This Row],[DeltaP]]*-1,0)</f>
        <v>0</v>
      </c>
      <c r="AX169">
        <f ca="1">IFERROR((EXP(0*Table1[[#This Row],[T]])*Table1[[#This Row],[call N(d1)]]*(Table1[[#This Row],[call d2]]/Table1[[#This Row],[IV Calc C]]))*Table1[[#This Row],[Open.Int]]*Table1[[#This Row],[DeltaC]],0)</f>
        <v>0</v>
      </c>
      <c r="AY16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9">
        <f>((Table1[[#This Row],[High C]]+Table1[[#This Row],[Low C]])/2)*Table1[[#This Row],[gammac]]*Table1[[#This Row],[Volume]]</f>
        <v>0</v>
      </c>
      <c r="BD169">
        <f>((Table1[[#This Row],[High P]]+Table1[[#This Row],[Low P]])/2)*Table1[[#This Row],[gammap]]*Table1[[#This Row],[Volume9]]*-1</f>
        <v>0</v>
      </c>
      <c r="BE169">
        <f>(Table1[[#This Row],[SgammaC]]+Table1[[#This Row],[SgammaP]])*$A$4*-100</f>
        <v>0</v>
      </c>
      <c r="BF169">
        <f>Table1[[#This Row],[DEXc]]+Table1[[#This Row],[DEXp]]</f>
        <v>0</v>
      </c>
      <c r="BG169">
        <f>IFERROR(Table1[[#This Row],[DeltaC]]*Table1[[#This Row],[Open.Int]]*$A$4,0)</f>
        <v>0</v>
      </c>
      <c r="BH169">
        <f>IFERROR(Table1[[#This Row],[DeltaP]]*Table1[[#This Row],[Open.Int8]]*$A$4,0)</f>
        <v>0</v>
      </c>
      <c r="BI16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9">
        <f ca="1">Table1[[#This Row],[Charmc]]+Table1[[#This Row],[Charmp]]</f>
        <v>0</v>
      </c>
      <c r="BL16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9" s="78">
        <f ca="1">Table1[[#This Row],[call helper]]+Table1[[#This Row],[put helper]]</f>
        <v>0</v>
      </c>
      <c r="BP169" t="str">
        <f>RTD("tos.rtd", , "STRIKE", "."&amp;Table1[[#This Row],[Ticker]]&amp;Table1[[#This Row],[Expiry]]&amp;""&amp;"C"&amp;Table1[[#This Row],[Spot]]+Table1[[#This Row],[step]])</f>
        <v>N/A</v>
      </c>
    </row>
    <row r="170" spans="1:68" x14ac:dyDescent="0.25">
      <c r="A170">
        <f t="shared" ca="1" si="14"/>
        <v>2.5814307458086375E-3</v>
      </c>
      <c r="C170" s="17"/>
      <c r="D170">
        <f>IF(
    ISNUMBER(Table1[[#This Row],[Strike]]),RTD("tos.rtd", , "OPEN_INT", "."&amp;Table1[[#This Row],[Ticker]]&amp;Table1[[#This Row],[Expiry]]&amp;""&amp;"C"&amp;Table1[[#This Row],[Strike]]))</f>
        <v>4030</v>
      </c>
      <c r="E17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8080</v>
      </c>
      <c r="G170">
        <f>IF(
    ISNUMBER(Table1[[#This Row],[Strike]]),RTD("tos.rtd", , "DELTA", "."&amp;Table1[[#This Row],[Ticker]]&amp;Table1[[#This Row],[Expiry]]&amp;""&amp;"C"&amp;Table1[[#This Row],[Strike]]))</f>
        <v>0.05</v>
      </c>
      <c r="H170" s="17" cm="1">
        <f t="array" aca="1" ref="H170" ca="1">IF(
    ISNUMBER(Table1[[#This Row],[Strike]]),IndividualLegIVCore($A$4, Table1[[#This Row],[Strike]], 0.0411, Table1[[#This Row],[T]], ((Table1[[#This Row],[BIDC]]+Table1[[#This Row],[ASKC]])/2), TRUE))</f>
        <v>0.10215079987238174</v>
      </c>
      <c r="I170">
        <f>IF(
    ISNUMBER(Table1[[#This Row],[Strike]]),RTD("tos.rtd", , "BID", "."&amp;Table1[[#This Row],[Ticker]]&amp;Table1[[#This Row],[Expiry]]&amp;""&amp;"C"&amp;Table1[[#This Row],[Strike]]))</f>
        <v>0.6</v>
      </c>
      <c r="J170">
        <f>IF(
    ISNUMBER(Table1[[#This Row],[Strike]]),RTD("tos.rtd", , "ASK", "."&amp;Table1[[#This Row],[Ticker]]&amp;Table1[[#This Row],[Expiry]]&amp;""&amp;"C"&amp;Table1[[#This Row],[Strike]]))</f>
        <v>0.75</v>
      </c>
      <c r="K17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0.10215079987238174</v>
      </c>
      <c r="L170" s="17" cm="1">
        <f t="array" aca="1" ref="L170" ca="1">CubicSplineIVSmile($A$4, Table1[[#This Row],[Strike]], 0.0411, Table1[[#This Row],[T]], (Table1[[#This Row],[BIDC]]+Table1[[#This Row],[ASKC]])/2, (Table1[[#This Row],[BIDP]]+Table1[[#This Row],[ASKP]])/2, Table1[Strike], Table1[IV Calc AVG])</f>
        <v>0.16876131167352071</v>
      </c>
      <c r="M170" s="1">
        <f t="shared" si="15"/>
        <v>46045</v>
      </c>
      <c r="N170">
        <f t="shared" si="16"/>
        <v>6975</v>
      </c>
      <c r="P170" s="17" cm="1">
        <f t="array" aca="1" ref="P170" ca="1">IF(
    ISNUMBER(Table1[[#This Row],[Strike]]),IndividualLegIVCore($A$4, Table1[[#This Row],[Strike]], 0.0411, Table1[[#This Row],[T]], ((Table1[[#This Row],[BIDP]]+Table1[[#This Row],[ASKP]])/2), FALSE))</f>
        <v>0.17687731869003959</v>
      </c>
      <c r="Q170">
        <f>IF(
    ISNUMBER(Table1[[#This Row],[Strike]]),RTD("tos.rtd", , "BID", "."&amp;Table1[[#This Row],[Ticker]]&amp;Table1[[#This Row],[Expiry]]&amp;""&amp;"P"&amp;Table1[[#This Row],[Strike]]))</f>
        <v>65.8</v>
      </c>
      <c r="R170">
        <f>IF(
    ISNUMBER(Table1[[#This Row],[Strike]]),RTD("tos.rtd", , "ASK", "."&amp;Table1[[#This Row],[Ticker]]&amp;Table1[[#This Row],[Expiry]]&amp;""&amp;"P"&amp;Table1[[#This Row],[Strike]]))</f>
        <v>66.900000000000006</v>
      </c>
      <c r="S170" s="17"/>
      <c r="T170">
        <f>IF(
    ISNUMBER(Table1[[#This Row],[Strike]]),RTD("tos.rtd", , "OPEN_INT", "."&amp;Table1[[#This Row],[Ticker]]&amp;Table1[[#This Row],[Expiry]]&amp;""&amp;"P"&amp;Table1[[#This Row],[Strike]]))</f>
        <v>539</v>
      </c>
      <c r="U17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186</v>
      </c>
      <c r="W170">
        <f>IF(
    ISNUMBER(Table1[[#This Row],[Strike]]),RTD("tos.rtd", , "DELTA", "."&amp;Table1[[#This Row],[Ticker]]&amp;Table1[[#This Row],[Expiry]]&amp;""&amp;"P"&amp;Table1[[#This Row],[Strike]]))</f>
        <v>-0.84</v>
      </c>
      <c r="Y170" s="21">
        <f>30* IF($M$1="NDX", 10, IF(OR($M$1="SPX", $M$1="RUT"), 2, 1))</f>
        <v>60</v>
      </c>
      <c r="Z170">
        <f ca="1">IFERROR(Table1[[#This Row],[call gamma]]*(Table1[[#This Row],[Open.Int]])*$A$4^2,0)</f>
        <v>145625.45643899566</v>
      </c>
      <c r="AA170">
        <f ca="1">IFERROR(((Table1[[#This Row],[Open.Int8]])*Table1[[#This Row],[Put gamma]])*-1*$A$4^2,0)</f>
        <v>-41478.166600485718</v>
      </c>
      <c r="AB170">
        <f ca="1">(Table1[[#This Row],[Call Gex]]+Table1[[#This Row],[Put Gex]])</f>
        <v>104147.28983850995</v>
      </c>
      <c r="AC170">
        <f ca="1">Table1[[#This Row],[call delta adj]]+Table1[[#This Row],[put delta adj]]</f>
        <v>-27560.387122458214</v>
      </c>
      <c r="AD170">
        <f ca="1">Table1[[#This Row],[Put Gex]]*Table1[[#This Row],[DeltaP]]*-1</f>
        <v>-34841.659944407998</v>
      </c>
      <c r="AE170">
        <f ca="1">Table1[[#This Row],[Call Gex]]*Table1[[#This Row],[DeltaC]]</f>
        <v>7281.272821949784</v>
      </c>
      <c r="AF170">
        <f>IF(Table1[[#This Row],[DeltaC]]-ABS(Table1[[#This Row],[DeltaP]])="0","0.01",Table1[[#This Row],[DeltaC]]-ABS(Table1[[#This Row],[DeltaP]]))</f>
        <v>-0.78999999999999992</v>
      </c>
      <c r="AG170">
        <f ca="1">((LN($A$4/Table1[[#This Row],[Strike]]) + (0.411 + 0.5 * Table1[[#This Row],[IV Calc P]]^2) *Table1[[#This Row],[T]])) / (Table1[[#This Row],[IV Calc P]] * SQRT(Table1[[#This Row],[T]]))</f>
        <v>-0.86534719215115286</v>
      </c>
      <c r="AH170">
        <f ca="1">(LN($A$4/Table1[[#This Row],[Strike]]) + (0.411-0 + 0.5 * Table1[[#This Row],[IV Calc C]]^2) *Table1[[#This Row],[T]]) / (Table1[[#This Row],[IV Calc C]] * SQRT(Table1[[#This Row],[T]]))</f>
        <v>-1.5035612322985181</v>
      </c>
      <c r="AI170">
        <f ca="1">(EXP(-(AG170^2)/2)/SQRT(2*PI())*EXP(0*SQRT(Table1[[#This Row],[T]]))/$A$4*18%*SQRT(SQRT(Table1[[#This Row],[T]])))</f>
        <v>1.6101031431192319E-6</v>
      </c>
      <c r="AJ170">
        <f ca="1">(EXP(-(AH170^2)/2)/SQRT(2*PI())*EXP(0*SQRT(Table1[[#This Row],[T]]))/$A$4*18%*SQRT(SQRT(Table1[[#This Row],[T]])))</f>
        <v>7.5605808997746539E-7</v>
      </c>
      <c r="AK170">
        <f ca="1">Table1[[#This Row],[Call D1]]-Table1[[#This Row],[IV Calc C]]*SQRT(Table1[[#This Row],[T]])</f>
        <v>-1.5087512879037881</v>
      </c>
      <c r="AL170">
        <f ca="1">Table1[[#This Row],[Put D1]]-Table1[[#This Row],[IV Calc P]]*SQRT(Table1[[#This Row],[T]])</f>
        <v>-0.87433393645916857</v>
      </c>
      <c r="AM170">
        <f ca="1">EXP(-0.5*Table1[[#This Row],[Call D1]]^2)/SQRT(2*PI())</f>
        <v>0.12882676000985299</v>
      </c>
      <c r="AN170">
        <f ca="1">EXP(-0.5*Table1[[#This Row],[Put D1]]^2)/SQRT(2*PI())</f>
        <v>0.27434978073697169</v>
      </c>
      <c r="AO170">
        <f ca="1">IFERROR((EXP(0*Table1[[#This Row],[T]])*Table1[[#This Row],[call N(d1)]]*(Table1[[#This Row],[call d2]]/Table1[[#This Row],[IV Calc C]]))*Table1[[#This Row],[Open.Int]]*Table1[[#This Row],[DeltaC]],0)</f>
        <v>-383.40433335146656</v>
      </c>
      <c r="AP170">
        <f ca="1">IFERROR((EXP(0*Table1[[#This Row],[T]])*Table1[[#This Row],[put N(d1)]]*(Table1[[#This Row],[put d2]]/Table1[[#This Row],[IV Calc P]]))*Table1[[#This Row],[Open.Int8]]*Table1[[#This Row],[DeltaP]]*-1,0)</f>
        <v>-614.01341262529559</v>
      </c>
      <c r="AQ170">
        <f ca="1">((Table1[[#This Row],[call vanna]]+Table1[[#This Row],[put vanna]])*$A$4)</f>
        <v>-6895497.9741484486</v>
      </c>
      <c r="AR17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145625.45643899566</v>
      </c>
      <c r="AS17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-41478.166600485718</v>
      </c>
      <c r="AT170" s="9" t="str" cm="1">
        <f t="array" ref="AT170">_xlfn.IFS(     $M$1="SPX","SPXW",     $M$1="RUT","RUTW",  $M$1="NDX","NDXP",   TRUE,$M$1 )</f>
        <v>SPXW</v>
      </c>
      <c r="AU170" s="2">
        <f t="shared" si="17"/>
        <v>6915</v>
      </c>
      <c r="AV170" t="str">
        <f t="shared" si="18"/>
        <v>260123</v>
      </c>
      <c r="AW170" s="21">
        <f ca="1">IFERROR((EXP(0*Table1[[#This Row],[T]])*Table1[[#This Row],[put N(d1)]]*(Table1[[#This Row],[put d2]]/Table1[[#This Row],[IV Calc P]]))*Table1[[#This Row],[Open.Int8]]*Table1[[#This Row],[DeltaP]]*-1,0)</f>
        <v>-614.01341262529559</v>
      </c>
      <c r="AX170">
        <f ca="1">IFERROR((EXP(0*Table1[[#This Row],[T]])*Table1[[#This Row],[call N(d1)]]*(Table1[[#This Row],[call d2]]/Table1[[#This Row],[IV Calc C]]))*Table1[[#This Row],[Open.Int]]*Table1[[#This Row],[DeltaC]],0)</f>
        <v>-383.40433335146656</v>
      </c>
      <c r="AY170">
        <f>IF(
    ISNUMBER(Table1[[#This Row],[Strike]]),RTD("tos.rtd", , "high", "."&amp;Table1[[#This Row],[Ticker]]&amp;Table1[[#This Row],[Expiry]]&amp;""&amp;"C"&amp;Table1[[#This Row],[Spot]]+Table1[[#This Row],[step]]))</f>
        <v>5.2</v>
      </c>
      <c r="AZ170">
        <f>IF(
    ISNUMBER(Table1[[#This Row],[Strike]]),RTD("tos.rtd", , "low", "."&amp;Table1[[#This Row],[Ticker]]&amp;Table1[[#This Row],[Expiry]]&amp;""&amp;"C"&amp;Table1[[#This Row],[Spot]]+Table1[[#This Row],[step]]))</f>
        <v>0.55000000000000004</v>
      </c>
      <c r="BA170">
        <f>IF(
    ISNUMBER(Table1[[#This Row],[Strike]]),RTD("tos.rtd", , "high", "."&amp;Table1[[#This Row],[Ticker]]&amp;Table1[[#This Row],[Expiry]]&amp;""&amp;"P"&amp;Table1[[#This Row],[Spot]]+Table1[[#This Row],[step]]))</f>
        <v>76.459999999999994</v>
      </c>
      <c r="BB170">
        <f>IF(
    ISNUMBER(Table1[[#This Row],[Strike]]),RTD("tos.rtd", , "low", "."&amp;Table1[[#This Row],[Ticker]]&amp;Table1[[#This Row],[Expiry]]&amp;""&amp;"P"&amp;Table1[[#This Row],[Spot]]+Table1[[#This Row],[step]]))</f>
        <v>42.47</v>
      </c>
      <c r="BC170">
        <f>((Table1[[#This Row],[High C]]+Table1[[#This Row],[Low C]])/2)*Table1[[#This Row],[gammac]]*Table1[[#This Row],[Volume]]</f>
        <v>0</v>
      </c>
      <c r="BD170">
        <f>((Table1[[#This Row],[High P]]+Table1[[#This Row],[Low P]])/2)*Table1[[#This Row],[gammap]]*Table1[[#This Row],[Volume9]]*-1</f>
        <v>0</v>
      </c>
      <c r="BE170">
        <f>(Table1[[#This Row],[SgammaC]]+Table1[[#This Row],[SgammaP]])*$A$4*-100</f>
        <v>0</v>
      </c>
      <c r="BF170">
        <f>Table1[[#This Row],[DEXc]]+Table1[[#This Row],[DEXp]]</f>
        <v>-1737048.3209999998</v>
      </c>
      <c r="BG170">
        <f>IFERROR(Table1[[#This Row],[DeltaC]]*Table1[[#This Row],[Open.Int]]*$A$4,0)</f>
        <v>1393040.0250000001</v>
      </c>
      <c r="BH170">
        <f>IFERROR(Table1[[#This Row],[DeltaP]]*Table1[[#This Row],[Open.Int8]]*$A$4,0)</f>
        <v>-3130088.3459999999</v>
      </c>
      <c r="BI17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-6718712.125124245</v>
      </c>
      <c r="BJ17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-2487278.6036744295</v>
      </c>
      <c r="BK170">
        <f ca="1">Table1[[#This Row],[Charmc]]+Table1[[#This Row],[Charmp]]</f>
        <v>-9205990.7287986744</v>
      </c>
      <c r="BL17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0" s="78">
        <f ca="1">Table1[[#This Row],[call helper]]+Table1[[#This Row],[put helper]]</f>
        <v>104147.28983850995</v>
      </c>
      <c r="BP170">
        <f>RTD("tos.rtd", , "STRIKE", "."&amp;Table1[[#This Row],[Ticker]]&amp;Table1[[#This Row],[Expiry]]&amp;""&amp;"C"&amp;Table1[[#This Row],[Spot]]+Table1[[#This Row],[step]])</f>
        <v>6975</v>
      </c>
    </row>
    <row r="171" spans="1:68" x14ac:dyDescent="0.25">
      <c r="A171">
        <f t="shared" ca="1" si="14"/>
        <v>2.5814307458086375E-3</v>
      </c>
      <c r="C171" s="17"/>
      <c r="D171" t="b">
        <f>IF(
    ISNUMBER(Table1[[#This Row],[Strike]]),RTD("tos.rtd", , "OPEN_INT", "."&amp;Table1[[#This Row],[Ticker]]&amp;Table1[[#This Row],[Expiry]]&amp;""&amp;"C"&amp;Table1[[#This Row],[Strike]]))</f>
        <v>0</v>
      </c>
      <c r="E17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1" t="b">
        <f>IF(
    ISNUMBER(Table1[[#This Row],[Strike]]),RTD("tos.rtd", , "DELTA", "."&amp;Table1[[#This Row],[Ticker]]&amp;Table1[[#This Row],[Expiry]]&amp;""&amp;"C"&amp;Table1[[#This Row],[Strike]]))</f>
        <v>0</v>
      </c>
      <c r="H171" s="17" t="b" cm="1">
        <f t="array" ref="H171">IF(
    ISNUMBER(Table1[[#This Row],[Strike]]),IndividualLegIVCore($A$4, Table1[[#This Row],[Strike]], 0.0411, Table1[[#This Row],[T]], ((Table1[[#This Row],[BIDC]]+Table1[[#This Row],[ASKC]])/2), TRUE))</f>
        <v>0</v>
      </c>
      <c r="I171" t="b">
        <f>IF(
    ISNUMBER(Table1[[#This Row],[Strike]]),RTD("tos.rtd", , "BID", "."&amp;Table1[[#This Row],[Ticker]]&amp;Table1[[#This Row],[Expiry]]&amp;""&amp;"C"&amp;Table1[[#This Row],[Strike]]))</f>
        <v>0</v>
      </c>
      <c r="J171" t="b">
        <f>IF(
    ISNUMBER(Table1[[#This Row],[Strike]]),RTD("tos.rtd", , "ASK", "."&amp;Table1[[#This Row],[Ticker]]&amp;Table1[[#This Row],[Expiry]]&amp;""&amp;"C"&amp;Table1[[#This Row],[Strike]]))</f>
        <v>0</v>
      </c>
      <c r="K17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1" s="17" cm="1">
        <f t="array" aca="1" ref="L17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1" s="1">
        <f t="shared" si="15"/>
        <v>46045</v>
      </c>
      <c r="N171" t="b">
        <f t="shared" si="16"/>
        <v>0</v>
      </c>
      <c r="P171" s="17" t="b" cm="1">
        <f t="array" ref="P171">IF(
    ISNUMBER(Table1[[#This Row],[Strike]]),IndividualLegIVCore($A$4, Table1[[#This Row],[Strike]], 0.0411, Table1[[#This Row],[T]], ((Table1[[#This Row],[BIDP]]+Table1[[#This Row],[ASKP]])/2), FALSE))</f>
        <v>0</v>
      </c>
      <c r="Q171" t="b">
        <f>IF(
    ISNUMBER(Table1[[#This Row],[Strike]]),RTD("tos.rtd", , "BID", "."&amp;Table1[[#This Row],[Ticker]]&amp;Table1[[#This Row],[Expiry]]&amp;""&amp;"P"&amp;Table1[[#This Row],[Strike]]))</f>
        <v>0</v>
      </c>
      <c r="R171" t="b">
        <f>IF(
    ISNUMBER(Table1[[#This Row],[Strike]]),RTD("tos.rtd", , "ASK", "."&amp;Table1[[#This Row],[Ticker]]&amp;Table1[[#This Row],[Expiry]]&amp;""&amp;"P"&amp;Table1[[#This Row],[Strike]]))</f>
        <v>0</v>
      </c>
      <c r="S171" s="17"/>
      <c r="T171" t="b">
        <f>IF(
    ISNUMBER(Table1[[#This Row],[Strike]]),RTD("tos.rtd", , "OPEN_INT", "."&amp;Table1[[#This Row],[Ticker]]&amp;Table1[[#This Row],[Expiry]]&amp;""&amp;"P"&amp;Table1[[#This Row],[Strike]]))</f>
        <v>0</v>
      </c>
      <c r="U17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1" t="b">
        <f>IF(
    ISNUMBER(Table1[[#This Row],[Strike]]),RTD("tos.rtd", , "DELTA", "."&amp;Table1[[#This Row],[Ticker]]&amp;Table1[[#This Row],[Expiry]]&amp;""&amp;"P"&amp;Table1[[#This Row],[Strike]]))</f>
        <v>0</v>
      </c>
      <c r="Y171" s="19">
        <f>30.5* IF($M$1="NDX", 10, IF(OR($M$1="SPX", $M$1="RUT"), 2, 1))</f>
        <v>61</v>
      </c>
      <c r="Z171">
        <f ca="1">IFERROR(Table1[[#This Row],[call gamma]]*(Table1[[#This Row],[Open.Int]])*$A$4^2,0)</f>
        <v>0</v>
      </c>
      <c r="AA171">
        <f ca="1">IFERROR(((Table1[[#This Row],[Open.Int8]])*Table1[[#This Row],[Put gamma]])*-1*$A$4^2,0)</f>
        <v>0</v>
      </c>
      <c r="AB171">
        <f ca="1">(Table1[[#This Row],[Call Gex]]+Table1[[#This Row],[Put Gex]])</f>
        <v>0</v>
      </c>
      <c r="AC171">
        <f ca="1">Table1[[#This Row],[call delta adj]]+Table1[[#This Row],[put delta adj]]</f>
        <v>0</v>
      </c>
      <c r="AD171">
        <f ca="1">Table1[[#This Row],[Put Gex]]*Table1[[#This Row],[DeltaP]]*-1</f>
        <v>0</v>
      </c>
      <c r="AE171">
        <f ca="1">Table1[[#This Row],[Call Gex]]*Table1[[#This Row],[DeltaC]]</f>
        <v>0</v>
      </c>
      <c r="AF171">
        <f>IF(Table1[[#This Row],[DeltaC]]-ABS(Table1[[#This Row],[DeltaP]])="0","0.01",Table1[[#This Row],[DeltaC]]-ABS(Table1[[#This Row],[DeltaP]]))</f>
        <v>0</v>
      </c>
      <c r="AG171" t="e">
        <f ca="1">((LN($A$4/Table1[[#This Row],[Strike]]) + (0.411 + 0.5 * Table1[[#This Row],[IV Calc P]]^2) *Table1[[#This Row],[T]])) / (Table1[[#This Row],[IV Calc P]] * SQRT(Table1[[#This Row],[T]]))</f>
        <v>#DIV/0!</v>
      </c>
      <c r="AH171" t="e">
        <f ca="1">(LN($A$4/Table1[[#This Row],[Strike]]) + (0.411-0 + 0.5 * Table1[[#This Row],[IV Calc C]]^2) *Table1[[#This Row],[T]]) / (Table1[[#This Row],[IV Calc C]] * SQRT(Table1[[#This Row],[T]]))</f>
        <v>#DIV/0!</v>
      </c>
      <c r="AI171" t="e">
        <f ca="1">(EXP(-(AG171^2)/2)/SQRT(2*PI())*EXP(0*SQRT(Table1[[#This Row],[T]]))/$A$4*18%*SQRT(SQRT(Table1[[#This Row],[T]])))</f>
        <v>#DIV/0!</v>
      </c>
      <c r="AJ171" t="e">
        <f ca="1">(EXP(-(AH171^2)/2)/SQRT(2*PI())*EXP(0*SQRT(Table1[[#This Row],[T]]))/$A$4*18%*SQRT(SQRT(Table1[[#This Row],[T]])))</f>
        <v>#DIV/0!</v>
      </c>
      <c r="AK171" t="e">
        <f ca="1">Table1[[#This Row],[Call D1]]-Table1[[#This Row],[IV Calc C]]*SQRT(Table1[[#This Row],[T]])</f>
        <v>#DIV/0!</v>
      </c>
      <c r="AL171" t="e">
        <f ca="1">Table1[[#This Row],[Put D1]]-Table1[[#This Row],[IV Calc P]]*SQRT(Table1[[#This Row],[T]])</f>
        <v>#DIV/0!</v>
      </c>
      <c r="AM171" t="e">
        <f ca="1">EXP(-0.5*Table1[[#This Row],[Call D1]]^2)/SQRT(2*PI())</f>
        <v>#DIV/0!</v>
      </c>
      <c r="AN171" t="e">
        <f ca="1">EXP(-0.5*Table1[[#This Row],[Put D1]]^2)/SQRT(2*PI())</f>
        <v>#DIV/0!</v>
      </c>
      <c r="AO171">
        <f ca="1">IFERROR((EXP(0*Table1[[#This Row],[T]])*Table1[[#This Row],[call N(d1)]]*(Table1[[#This Row],[call d2]]/Table1[[#This Row],[IV Calc C]]))*Table1[[#This Row],[Open.Int]]*Table1[[#This Row],[DeltaC]],0)</f>
        <v>0</v>
      </c>
      <c r="AP171">
        <f ca="1">IFERROR((EXP(0*Table1[[#This Row],[T]])*Table1[[#This Row],[put N(d1)]]*(Table1[[#This Row],[put d2]]/Table1[[#This Row],[IV Calc P]]))*Table1[[#This Row],[Open.Int8]]*Table1[[#This Row],[DeltaP]]*-1,0)</f>
        <v>0</v>
      </c>
      <c r="AQ171">
        <f ca="1">((Table1[[#This Row],[call vanna]]+Table1[[#This Row],[put vanna]])*$A$4)</f>
        <v>0</v>
      </c>
      <c r="AR17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1" s="9" t="str" cm="1">
        <f t="array" ref="AT171">_xlfn.IFS(     $M$1="SPX","SPXW",     $M$1="RUT","RUTW",  $M$1="NDX","NDXP",   TRUE,$M$1 )</f>
        <v>SPXW</v>
      </c>
      <c r="AU171" s="2">
        <f t="shared" si="17"/>
        <v>6915</v>
      </c>
      <c r="AV171" t="str">
        <f t="shared" si="18"/>
        <v>260123</v>
      </c>
      <c r="AW171" s="19">
        <f ca="1">IFERROR((EXP(0*Table1[[#This Row],[T]])*Table1[[#This Row],[put N(d1)]]*(Table1[[#This Row],[put d2]]/Table1[[#This Row],[IV Calc P]]))*Table1[[#This Row],[Open.Int8]]*Table1[[#This Row],[DeltaP]]*-1,0)</f>
        <v>0</v>
      </c>
      <c r="AX171">
        <f ca="1">IFERROR((EXP(0*Table1[[#This Row],[T]])*Table1[[#This Row],[call N(d1)]]*(Table1[[#This Row],[call d2]]/Table1[[#This Row],[IV Calc C]]))*Table1[[#This Row],[Open.Int]]*Table1[[#This Row],[DeltaC]],0)</f>
        <v>0</v>
      </c>
      <c r="AY17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1">
        <f>((Table1[[#This Row],[High C]]+Table1[[#This Row],[Low C]])/2)*Table1[[#This Row],[gammac]]*Table1[[#This Row],[Volume]]</f>
        <v>0</v>
      </c>
      <c r="BD171">
        <f>((Table1[[#This Row],[High P]]+Table1[[#This Row],[Low P]])/2)*Table1[[#This Row],[gammap]]*Table1[[#This Row],[Volume9]]*-1</f>
        <v>0</v>
      </c>
      <c r="BE171">
        <f>(Table1[[#This Row],[SgammaC]]+Table1[[#This Row],[SgammaP]])*$A$4*-100</f>
        <v>0</v>
      </c>
      <c r="BF171">
        <f>Table1[[#This Row],[DEXc]]+Table1[[#This Row],[DEXp]]</f>
        <v>0</v>
      </c>
      <c r="BG171">
        <f>IFERROR(Table1[[#This Row],[DeltaC]]*Table1[[#This Row],[Open.Int]]*$A$4,0)</f>
        <v>0</v>
      </c>
      <c r="BH171">
        <f>IFERROR(Table1[[#This Row],[DeltaP]]*Table1[[#This Row],[Open.Int8]]*$A$4,0)</f>
        <v>0</v>
      </c>
      <c r="BI17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1">
        <f ca="1">Table1[[#This Row],[Charmc]]+Table1[[#This Row],[Charmp]]</f>
        <v>0</v>
      </c>
      <c r="BL17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1" s="78">
        <f ca="1">Table1[[#This Row],[call helper]]+Table1[[#This Row],[put helper]]</f>
        <v>0</v>
      </c>
      <c r="BP171" t="str">
        <f>RTD("tos.rtd", , "STRIKE", "."&amp;Table1[[#This Row],[Ticker]]&amp;Table1[[#This Row],[Expiry]]&amp;""&amp;"C"&amp;Table1[[#This Row],[Spot]]+Table1[[#This Row],[step]])</f>
        <v>N/A</v>
      </c>
    </row>
    <row r="172" spans="1:68" x14ac:dyDescent="0.25">
      <c r="A172">
        <f t="shared" ca="1" si="14"/>
        <v>2.5814307458086375E-3</v>
      </c>
      <c r="C172" s="17"/>
      <c r="D172" t="b">
        <f>IF(
    ISNUMBER(Table1[[#This Row],[Strike]]),RTD("tos.rtd", , "OPEN_INT", "."&amp;Table1[[#This Row],[Ticker]]&amp;Table1[[#This Row],[Expiry]]&amp;""&amp;"C"&amp;Table1[[#This Row],[Strike]]))</f>
        <v>0</v>
      </c>
      <c r="E17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2" t="b">
        <f>IF(
    ISNUMBER(Table1[[#This Row],[Strike]]),RTD("tos.rtd", , "DELTA", "."&amp;Table1[[#This Row],[Ticker]]&amp;Table1[[#This Row],[Expiry]]&amp;""&amp;"C"&amp;Table1[[#This Row],[Strike]]))</f>
        <v>0</v>
      </c>
      <c r="H172" s="17" t="b" cm="1">
        <f t="array" ref="H172">IF(
    ISNUMBER(Table1[[#This Row],[Strike]]),IndividualLegIVCore($A$4, Table1[[#This Row],[Strike]], 0.0411, Table1[[#This Row],[T]], ((Table1[[#This Row],[BIDC]]+Table1[[#This Row],[ASKC]])/2), TRUE))</f>
        <v>0</v>
      </c>
      <c r="I172" t="b">
        <f>IF(
    ISNUMBER(Table1[[#This Row],[Strike]]),RTD("tos.rtd", , "BID", "."&amp;Table1[[#This Row],[Ticker]]&amp;Table1[[#This Row],[Expiry]]&amp;""&amp;"C"&amp;Table1[[#This Row],[Strike]]))</f>
        <v>0</v>
      </c>
      <c r="J172" t="b">
        <f>IF(
    ISNUMBER(Table1[[#This Row],[Strike]]),RTD("tos.rtd", , "ASK", "."&amp;Table1[[#This Row],[Ticker]]&amp;Table1[[#This Row],[Expiry]]&amp;""&amp;"C"&amp;Table1[[#This Row],[Strike]]))</f>
        <v>0</v>
      </c>
      <c r="K17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2" s="17" cm="1">
        <f t="array" aca="1" ref="L17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2" s="1">
        <f t="shared" si="15"/>
        <v>46045</v>
      </c>
      <c r="N172" t="b">
        <f t="shared" si="16"/>
        <v>0</v>
      </c>
      <c r="P172" s="17" t="b" cm="1">
        <f t="array" ref="P172">IF(
    ISNUMBER(Table1[[#This Row],[Strike]]),IndividualLegIVCore($A$4, Table1[[#This Row],[Strike]], 0.0411, Table1[[#This Row],[T]], ((Table1[[#This Row],[BIDP]]+Table1[[#This Row],[ASKP]])/2), FALSE))</f>
        <v>0</v>
      </c>
      <c r="Q172" t="b">
        <f>IF(
    ISNUMBER(Table1[[#This Row],[Strike]]),RTD("tos.rtd", , "BID", "."&amp;Table1[[#This Row],[Ticker]]&amp;Table1[[#This Row],[Expiry]]&amp;""&amp;"P"&amp;Table1[[#This Row],[Strike]]))</f>
        <v>0</v>
      </c>
      <c r="R172" t="b">
        <f>IF(
    ISNUMBER(Table1[[#This Row],[Strike]]),RTD("tos.rtd", , "ASK", "."&amp;Table1[[#This Row],[Ticker]]&amp;Table1[[#This Row],[Expiry]]&amp;""&amp;"P"&amp;Table1[[#This Row],[Strike]]))</f>
        <v>0</v>
      </c>
      <c r="S172" s="17"/>
      <c r="T172" t="b">
        <f>IF(
    ISNUMBER(Table1[[#This Row],[Strike]]),RTD("tos.rtd", , "OPEN_INT", "."&amp;Table1[[#This Row],[Ticker]]&amp;Table1[[#This Row],[Expiry]]&amp;""&amp;"P"&amp;Table1[[#This Row],[Strike]]))</f>
        <v>0</v>
      </c>
      <c r="U17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2" t="b">
        <f>IF(
    ISNUMBER(Table1[[#This Row],[Strike]]),RTD("tos.rtd", , "DELTA", "."&amp;Table1[[#This Row],[Ticker]]&amp;Table1[[#This Row],[Expiry]]&amp;""&amp;"P"&amp;Table1[[#This Row],[Strike]]))</f>
        <v>0</v>
      </c>
      <c r="Y172" s="19">
        <f>31* IF($M$1="NDX", 10, IF(OR($M$1="SPX", $M$1="RUT"), 2, 1))</f>
        <v>62</v>
      </c>
      <c r="Z172">
        <f ca="1">IFERROR(Table1[[#This Row],[call gamma]]*(Table1[[#This Row],[Open.Int]])*$A$4^2,0)</f>
        <v>0</v>
      </c>
      <c r="AA172">
        <f ca="1">IFERROR(((Table1[[#This Row],[Open.Int8]])*Table1[[#This Row],[Put gamma]])*-1*$A$4^2,0)</f>
        <v>0</v>
      </c>
      <c r="AB172">
        <f ca="1">(Table1[[#This Row],[Call Gex]]+Table1[[#This Row],[Put Gex]])</f>
        <v>0</v>
      </c>
      <c r="AC172">
        <f ca="1">Table1[[#This Row],[call delta adj]]+Table1[[#This Row],[put delta adj]]</f>
        <v>0</v>
      </c>
      <c r="AD172">
        <f ca="1">Table1[[#This Row],[Put Gex]]*Table1[[#This Row],[DeltaP]]*-1</f>
        <v>0</v>
      </c>
      <c r="AE172">
        <f ca="1">Table1[[#This Row],[Call Gex]]*Table1[[#This Row],[DeltaC]]</f>
        <v>0</v>
      </c>
      <c r="AF172">
        <f>IF(Table1[[#This Row],[DeltaC]]-ABS(Table1[[#This Row],[DeltaP]])="0","0.01",Table1[[#This Row],[DeltaC]]-ABS(Table1[[#This Row],[DeltaP]]))</f>
        <v>0</v>
      </c>
      <c r="AG172" t="e">
        <f ca="1">((LN($A$4/Table1[[#This Row],[Strike]]) + (0.411 + 0.5 * Table1[[#This Row],[IV Calc P]]^2) *Table1[[#This Row],[T]])) / (Table1[[#This Row],[IV Calc P]] * SQRT(Table1[[#This Row],[T]]))</f>
        <v>#DIV/0!</v>
      </c>
      <c r="AH172" t="e">
        <f ca="1">(LN($A$4/Table1[[#This Row],[Strike]]) + (0.411-0 + 0.5 * Table1[[#This Row],[IV Calc C]]^2) *Table1[[#This Row],[T]]) / (Table1[[#This Row],[IV Calc C]] * SQRT(Table1[[#This Row],[T]]))</f>
        <v>#DIV/0!</v>
      </c>
      <c r="AI172" t="e">
        <f ca="1">(EXP(-(AG172^2)/2)/SQRT(2*PI())*EXP(0*SQRT(Table1[[#This Row],[T]]))/$A$4*18%*SQRT(SQRT(Table1[[#This Row],[T]])))</f>
        <v>#DIV/0!</v>
      </c>
      <c r="AJ172" t="e">
        <f ca="1">(EXP(-(AH172^2)/2)/SQRT(2*PI())*EXP(0*SQRT(Table1[[#This Row],[T]]))/$A$4*18%*SQRT(SQRT(Table1[[#This Row],[T]])))</f>
        <v>#DIV/0!</v>
      </c>
      <c r="AK172" t="e">
        <f ca="1">Table1[[#This Row],[Call D1]]-Table1[[#This Row],[IV Calc C]]*SQRT(Table1[[#This Row],[T]])</f>
        <v>#DIV/0!</v>
      </c>
      <c r="AL172" t="e">
        <f ca="1">Table1[[#This Row],[Put D1]]-Table1[[#This Row],[IV Calc P]]*SQRT(Table1[[#This Row],[T]])</f>
        <v>#DIV/0!</v>
      </c>
      <c r="AM172" t="e">
        <f ca="1">EXP(-0.5*Table1[[#This Row],[Call D1]]^2)/SQRT(2*PI())</f>
        <v>#DIV/0!</v>
      </c>
      <c r="AN172" t="e">
        <f ca="1">EXP(-0.5*Table1[[#This Row],[Put D1]]^2)/SQRT(2*PI())</f>
        <v>#DIV/0!</v>
      </c>
      <c r="AO172">
        <f ca="1">IFERROR((EXP(0*Table1[[#This Row],[T]])*Table1[[#This Row],[call N(d1)]]*(Table1[[#This Row],[call d2]]/Table1[[#This Row],[IV Calc C]]))*Table1[[#This Row],[Open.Int]]*Table1[[#This Row],[DeltaC]],0)</f>
        <v>0</v>
      </c>
      <c r="AP172">
        <f ca="1">IFERROR((EXP(0*Table1[[#This Row],[T]])*Table1[[#This Row],[put N(d1)]]*(Table1[[#This Row],[put d2]]/Table1[[#This Row],[IV Calc P]]))*Table1[[#This Row],[Open.Int8]]*Table1[[#This Row],[DeltaP]]*-1,0)</f>
        <v>0</v>
      </c>
      <c r="AQ172">
        <f ca="1">((Table1[[#This Row],[call vanna]]+Table1[[#This Row],[put vanna]])*$A$4)</f>
        <v>0</v>
      </c>
      <c r="AR17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2" s="9" t="str" cm="1">
        <f t="array" ref="AT172">_xlfn.IFS(     $M$1="SPX","SPXW",     $M$1="RUT","RUTW",  $M$1="NDX","NDXP",   TRUE,$M$1 )</f>
        <v>SPXW</v>
      </c>
      <c r="AU172" s="2">
        <f t="shared" si="17"/>
        <v>6915</v>
      </c>
      <c r="AV172" t="str">
        <f t="shared" si="18"/>
        <v>260123</v>
      </c>
      <c r="AW172" s="19">
        <f ca="1">IFERROR((EXP(0*Table1[[#This Row],[T]])*Table1[[#This Row],[put N(d1)]]*(Table1[[#This Row],[put d2]]/Table1[[#This Row],[IV Calc P]]))*Table1[[#This Row],[Open.Int8]]*Table1[[#This Row],[DeltaP]]*-1,0)</f>
        <v>0</v>
      </c>
      <c r="AX172">
        <f ca="1">IFERROR((EXP(0*Table1[[#This Row],[T]])*Table1[[#This Row],[call N(d1)]]*(Table1[[#This Row],[call d2]]/Table1[[#This Row],[IV Calc C]]))*Table1[[#This Row],[Open.Int]]*Table1[[#This Row],[DeltaC]],0)</f>
        <v>0</v>
      </c>
      <c r="AY17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2">
        <f>((Table1[[#This Row],[High C]]+Table1[[#This Row],[Low C]])/2)*Table1[[#This Row],[gammac]]*Table1[[#This Row],[Volume]]</f>
        <v>0</v>
      </c>
      <c r="BD172">
        <f>((Table1[[#This Row],[High P]]+Table1[[#This Row],[Low P]])/2)*Table1[[#This Row],[gammap]]*Table1[[#This Row],[Volume9]]*-1</f>
        <v>0</v>
      </c>
      <c r="BE172">
        <f>(Table1[[#This Row],[SgammaC]]+Table1[[#This Row],[SgammaP]])*$A$4*-100</f>
        <v>0</v>
      </c>
      <c r="BF172">
        <f>Table1[[#This Row],[DEXc]]+Table1[[#This Row],[DEXp]]</f>
        <v>0</v>
      </c>
      <c r="BG172">
        <f>IFERROR(Table1[[#This Row],[DeltaC]]*Table1[[#This Row],[Open.Int]]*$A$4,0)</f>
        <v>0</v>
      </c>
      <c r="BH172">
        <f>IFERROR(Table1[[#This Row],[DeltaP]]*Table1[[#This Row],[Open.Int8]]*$A$4,0)</f>
        <v>0</v>
      </c>
      <c r="BI17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2">
        <f ca="1">Table1[[#This Row],[Charmc]]+Table1[[#This Row],[Charmp]]</f>
        <v>0</v>
      </c>
      <c r="BL17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2" s="78">
        <f ca="1">Table1[[#This Row],[call helper]]+Table1[[#This Row],[put helper]]</f>
        <v>0</v>
      </c>
      <c r="BP172" t="str">
        <f>RTD("tos.rtd", , "STRIKE", "."&amp;Table1[[#This Row],[Ticker]]&amp;Table1[[#This Row],[Expiry]]&amp;""&amp;"C"&amp;Table1[[#This Row],[Spot]]+Table1[[#This Row],[step]])</f>
        <v>N/A</v>
      </c>
    </row>
    <row r="173" spans="1:68" x14ac:dyDescent="0.25">
      <c r="A173">
        <f t="shared" ca="1" si="14"/>
        <v>2.5814307458086375E-3</v>
      </c>
      <c r="C173" s="17"/>
      <c r="D173" t="b">
        <f>IF(
    ISNUMBER(Table1[[#This Row],[Strike]]),RTD("tos.rtd", , "OPEN_INT", "."&amp;Table1[[#This Row],[Ticker]]&amp;Table1[[#This Row],[Expiry]]&amp;""&amp;"C"&amp;Table1[[#This Row],[Strike]]))</f>
        <v>0</v>
      </c>
      <c r="E17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3" t="b">
        <f>IF(
    ISNUMBER(Table1[[#This Row],[Strike]]),RTD("tos.rtd", , "DELTA", "."&amp;Table1[[#This Row],[Ticker]]&amp;Table1[[#This Row],[Expiry]]&amp;""&amp;"C"&amp;Table1[[#This Row],[Strike]]))</f>
        <v>0</v>
      </c>
      <c r="H173" s="17" t="b" cm="1">
        <f t="array" ref="H173">IF(
    ISNUMBER(Table1[[#This Row],[Strike]]),IndividualLegIVCore($A$4, Table1[[#This Row],[Strike]], 0.0411, Table1[[#This Row],[T]], ((Table1[[#This Row],[BIDC]]+Table1[[#This Row],[ASKC]])/2), TRUE))</f>
        <v>0</v>
      </c>
      <c r="I173" t="b">
        <f>IF(
    ISNUMBER(Table1[[#This Row],[Strike]]),RTD("tos.rtd", , "BID", "."&amp;Table1[[#This Row],[Ticker]]&amp;Table1[[#This Row],[Expiry]]&amp;""&amp;"C"&amp;Table1[[#This Row],[Strike]]))</f>
        <v>0</v>
      </c>
      <c r="J173" t="b">
        <f>IF(
    ISNUMBER(Table1[[#This Row],[Strike]]),RTD("tos.rtd", , "ASK", "."&amp;Table1[[#This Row],[Ticker]]&amp;Table1[[#This Row],[Expiry]]&amp;""&amp;"C"&amp;Table1[[#This Row],[Strike]]))</f>
        <v>0</v>
      </c>
      <c r="K17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3" s="17" cm="1">
        <f t="array" aca="1" ref="L17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3" s="1">
        <f t="shared" si="15"/>
        <v>46045</v>
      </c>
      <c r="N173" t="b">
        <f t="shared" si="16"/>
        <v>0</v>
      </c>
      <c r="P173" s="17" t="b" cm="1">
        <f t="array" ref="P173">IF(
    ISNUMBER(Table1[[#This Row],[Strike]]),IndividualLegIVCore($A$4, Table1[[#This Row],[Strike]], 0.0411, Table1[[#This Row],[T]], ((Table1[[#This Row],[BIDP]]+Table1[[#This Row],[ASKP]])/2), FALSE))</f>
        <v>0</v>
      </c>
      <c r="Q173" t="b">
        <f>IF(
    ISNUMBER(Table1[[#This Row],[Strike]]),RTD("tos.rtd", , "BID", "."&amp;Table1[[#This Row],[Ticker]]&amp;Table1[[#This Row],[Expiry]]&amp;""&amp;"P"&amp;Table1[[#This Row],[Strike]]))</f>
        <v>0</v>
      </c>
      <c r="R173" t="b">
        <f>IF(
    ISNUMBER(Table1[[#This Row],[Strike]]),RTD("tos.rtd", , "ASK", "."&amp;Table1[[#This Row],[Ticker]]&amp;Table1[[#This Row],[Expiry]]&amp;""&amp;"P"&amp;Table1[[#This Row],[Strike]]))</f>
        <v>0</v>
      </c>
      <c r="S173" s="17"/>
      <c r="T173" t="b">
        <f>IF(
    ISNUMBER(Table1[[#This Row],[Strike]]),RTD("tos.rtd", , "OPEN_INT", "."&amp;Table1[[#This Row],[Ticker]]&amp;Table1[[#This Row],[Expiry]]&amp;""&amp;"P"&amp;Table1[[#This Row],[Strike]]))</f>
        <v>0</v>
      </c>
      <c r="U17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3" t="b">
        <f>IF(
    ISNUMBER(Table1[[#This Row],[Strike]]),RTD("tos.rtd", , "DELTA", "."&amp;Table1[[#This Row],[Ticker]]&amp;Table1[[#This Row],[Expiry]]&amp;""&amp;"P"&amp;Table1[[#This Row],[Strike]]))</f>
        <v>0</v>
      </c>
      <c r="Y173" s="19">
        <f>31.5* IF($M$1="NDX", 10, IF(OR($M$1="SPX", $M$1="RUT"), 2, 1))</f>
        <v>63</v>
      </c>
      <c r="Z173">
        <f ca="1">IFERROR(Table1[[#This Row],[call gamma]]*(Table1[[#This Row],[Open.Int]])*$A$4^2,0)</f>
        <v>0</v>
      </c>
      <c r="AA173">
        <f ca="1">IFERROR(((Table1[[#This Row],[Open.Int8]])*Table1[[#This Row],[Put gamma]])*-1*$A$4^2,0)</f>
        <v>0</v>
      </c>
      <c r="AB173">
        <f ca="1">(Table1[[#This Row],[Call Gex]]+Table1[[#This Row],[Put Gex]])</f>
        <v>0</v>
      </c>
      <c r="AC173">
        <f ca="1">Table1[[#This Row],[call delta adj]]+Table1[[#This Row],[put delta adj]]</f>
        <v>0</v>
      </c>
      <c r="AD173">
        <f ca="1">Table1[[#This Row],[Put Gex]]*Table1[[#This Row],[DeltaP]]*-1</f>
        <v>0</v>
      </c>
      <c r="AE173">
        <f ca="1">Table1[[#This Row],[Call Gex]]*Table1[[#This Row],[DeltaC]]</f>
        <v>0</v>
      </c>
      <c r="AF173">
        <f>IF(Table1[[#This Row],[DeltaC]]-ABS(Table1[[#This Row],[DeltaP]])="0","0.01",Table1[[#This Row],[DeltaC]]-ABS(Table1[[#This Row],[DeltaP]]))</f>
        <v>0</v>
      </c>
      <c r="AG173" t="e">
        <f ca="1">((LN($A$4/Table1[[#This Row],[Strike]]) + (0.411 + 0.5 * Table1[[#This Row],[IV Calc P]]^2) *Table1[[#This Row],[T]])) / (Table1[[#This Row],[IV Calc P]] * SQRT(Table1[[#This Row],[T]]))</f>
        <v>#DIV/0!</v>
      </c>
      <c r="AH173" t="e">
        <f ca="1">(LN($A$4/Table1[[#This Row],[Strike]]) + (0.411-0 + 0.5 * Table1[[#This Row],[IV Calc C]]^2) *Table1[[#This Row],[T]]) / (Table1[[#This Row],[IV Calc C]] * SQRT(Table1[[#This Row],[T]]))</f>
        <v>#DIV/0!</v>
      </c>
      <c r="AI173" t="e">
        <f ca="1">(EXP(-(AG173^2)/2)/SQRT(2*PI())*EXP(0*SQRT(Table1[[#This Row],[T]]))/$A$4*18%*SQRT(SQRT(Table1[[#This Row],[T]])))</f>
        <v>#DIV/0!</v>
      </c>
      <c r="AJ173" t="e">
        <f ca="1">(EXP(-(AH173^2)/2)/SQRT(2*PI())*EXP(0*SQRT(Table1[[#This Row],[T]]))/$A$4*18%*SQRT(SQRT(Table1[[#This Row],[T]])))</f>
        <v>#DIV/0!</v>
      </c>
      <c r="AK173" t="e">
        <f ca="1">Table1[[#This Row],[Call D1]]-Table1[[#This Row],[IV Calc C]]*SQRT(Table1[[#This Row],[T]])</f>
        <v>#DIV/0!</v>
      </c>
      <c r="AL173" t="e">
        <f ca="1">Table1[[#This Row],[Put D1]]-Table1[[#This Row],[IV Calc P]]*SQRT(Table1[[#This Row],[T]])</f>
        <v>#DIV/0!</v>
      </c>
      <c r="AM173" t="e">
        <f ca="1">EXP(-0.5*Table1[[#This Row],[Call D1]]^2)/SQRT(2*PI())</f>
        <v>#DIV/0!</v>
      </c>
      <c r="AN173" t="e">
        <f ca="1">EXP(-0.5*Table1[[#This Row],[Put D1]]^2)/SQRT(2*PI())</f>
        <v>#DIV/0!</v>
      </c>
      <c r="AO173">
        <f ca="1">IFERROR((EXP(0*Table1[[#This Row],[T]])*Table1[[#This Row],[call N(d1)]]*(Table1[[#This Row],[call d2]]/Table1[[#This Row],[IV Calc C]]))*Table1[[#This Row],[Open.Int]]*Table1[[#This Row],[DeltaC]],0)</f>
        <v>0</v>
      </c>
      <c r="AP173">
        <f ca="1">IFERROR((EXP(0*Table1[[#This Row],[T]])*Table1[[#This Row],[put N(d1)]]*(Table1[[#This Row],[put d2]]/Table1[[#This Row],[IV Calc P]]))*Table1[[#This Row],[Open.Int8]]*Table1[[#This Row],[DeltaP]]*-1,0)</f>
        <v>0</v>
      </c>
      <c r="AQ173">
        <f ca="1">((Table1[[#This Row],[call vanna]]+Table1[[#This Row],[put vanna]])*$A$4)</f>
        <v>0</v>
      </c>
      <c r="AR17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3" s="9" t="str" cm="1">
        <f t="array" ref="AT173">_xlfn.IFS(     $M$1="SPX","SPXW",     $M$1="RUT","RUTW",  $M$1="NDX","NDXP",   TRUE,$M$1 )</f>
        <v>SPXW</v>
      </c>
      <c r="AU173" s="2">
        <f t="shared" si="17"/>
        <v>6915</v>
      </c>
      <c r="AV173" t="str">
        <f t="shared" si="18"/>
        <v>260123</v>
      </c>
      <c r="AW173" s="19">
        <f ca="1">IFERROR((EXP(0*Table1[[#This Row],[T]])*Table1[[#This Row],[put N(d1)]]*(Table1[[#This Row],[put d2]]/Table1[[#This Row],[IV Calc P]]))*Table1[[#This Row],[Open.Int8]]*Table1[[#This Row],[DeltaP]]*-1,0)</f>
        <v>0</v>
      </c>
      <c r="AX173">
        <f ca="1">IFERROR((EXP(0*Table1[[#This Row],[T]])*Table1[[#This Row],[call N(d1)]]*(Table1[[#This Row],[call d2]]/Table1[[#This Row],[IV Calc C]]))*Table1[[#This Row],[Open.Int]]*Table1[[#This Row],[DeltaC]],0)</f>
        <v>0</v>
      </c>
      <c r="AY17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3">
        <f>((Table1[[#This Row],[High C]]+Table1[[#This Row],[Low C]])/2)*Table1[[#This Row],[gammac]]*Table1[[#This Row],[Volume]]</f>
        <v>0</v>
      </c>
      <c r="BD173">
        <f>((Table1[[#This Row],[High P]]+Table1[[#This Row],[Low P]])/2)*Table1[[#This Row],[gammap]]*Table1[[#This Row],[Volume9]]*-1</f>
        <v>0</v>
      </c>
      <c r="BE173">
        <f>(Table1[[#This Row],[SgammaC]]+Table1[[#This Row],[SgammaP]])*$A$4*-100</f>
        <v>0</v>
      </c>
      <c r="BF173">
        <f>Table1[[#This Row],[DEXc]]+Table1[[#This Row],[DEXp]]</f>
        <v>0</v>
      </c>
      <c r="BG173">
        <f>IFERROR(Table1[[#This Row],[DeltaC]]*Table1[[#This Row],[Open.Int]]*$A$4,0)</f>
        <v>0</v>
      </c>
      <c r="BH173">
        <f>IFERROR(Table1[[#This Row],[DeltaP]]*Table1[[#This Row],[Open.Int8]]*$A$4,0)</f>
        <v>0</v>
      </c>
      <c r="BI17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3">
        <f ca="1">Table1[[#This Row],[Charmc]]+Table1[[#This Row],[Charmp]]</f>
        <v>0</v>
      </c>
      <c r="BL17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3" s="78">
        <f ca="1">Table1[[#This Row],[call helper]]+Table1[[#This Row],[put helper]]</f>
        <v>0</v>
      </c>
      <c r="BP173" t="str">
        <f>RTD("tos.rtd", , "STRIKE", "."&amp;Table1[[#This Row],[Ticker]]&amp;Table1[[#This Row],[Expiry]]&amp;""&amp;"C"&amp;Table1[[#This Row],[Spot]]+Table1[[#This Row],[step]])</f>
        <v>N/A</v>
      </c>
    </row>
    <row r="174" spans="1:68" x14ac:dyDescent="0.25">
      <c r="A174">
        <f t="shared" ca="1" si="14"/>
        <v>2.5814307458086375E-3</v>
      </c>
      <c r="C174" s="17"/>
      <c r="D174" t="b">
        <f>IF(
    ISNUMBER(Table1[[#This Row],[Strike]]),RTD("tos.rtd", , "OPEN_INT", "."&amp;Table1[[#This Row],[Ticker]]&amp;Table1[[#This Row],[Expiry]]&amp;""&amp;"C"&amp;Table1[[#This Row],[Strike]]))</f>
        <v>0</v>
      </c>
      <c r="E17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4" t="b">
        <f>IF(
    ISNUMBER(Table1[[#This Row],[Strike]]),RTD("tos.rtd", , "DELTA", "."&amp;Table1[[#This Row],[Ticker]]&amp;Table1[[#This Row],[Expiry]]&amp;""&amp;"C"&amp;Table1[[#This Row],[Strike]]))</f>
        <v>0</v>
      </c>
      <c r="H174" s="17" t="b" cm="1">
        <f t="array" ref="H174">IF(
    ISNUMBER(Table1[[#This Row],[Strike]]),IndividualLegIVCore($A$4, Table1[[#This Row],[Strike]], 0.0411, Table1[[#This Row],[T]], ((Table1[[#This Row],[BIDC]]+Table1[[#This Row],[ASKC]])/2), TRUE))</f>
        <v>0</v>
      </c>
      <c r="I174" t="b">
        <f>IF(
    ISNUMBER(Table1[[#This Row],[Strike]]),RTD("tos.rtd", , "BID", "."&amp;Table1[[#This Row],[Ticker]]&amp;Table1[[#This Row],[Expiry]]&amp;""&amp;"C"&amp;Table1[[#This Row],[Strike]]))</f>
        <v>0</v>
      </c>
      <c r="J174" t="b">
        <f>IF(
    ISNUMBER(Table1[[#This Row],[Strike]]),RTD("tos.rtd", , "ASK", "."&amp;Table1[[#This Row],[Ticker]]&amp;Table1[[#This Row],[Expiry]]&amp;""&amp;"C"&amp;Table1[[#This Row],[Strike]]))</f>
        <v>0</v>
      </c>
      <c r="K17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4" s="17" cm="1">
        <f t="array" aca="1" ref="L17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4" s="1">
        <f t="shared" si="15"/>
        <v>46045</v>
      </c>
      <c r="N174" t="b">
        <f t="shared" si="16"/>
        <v>0</v>
      </c>
      <c r="P174" s="17" t="b" cm="1">
        <f t="array" ref="P174">IF(
    ISNUMBER(Table1[[#This Row],[Strike]]),IndividualLegIVCore($A$4, Table1[[#This Row],[Strike]], 0.0411, Table1[[#This Row],[T]], ((Table1[[#This Row],[BIDP]]+Table1[[#This Row],[ASKP]])/2), FALSE))</f>
        <v>0</v>
      </c>
      <c r="Q174" t="b">
        <f>IF(
    ISNUMBER(Table1[[#This Row],[Strike]]),RTD("tos.rtd", , "BID", "."&amp;Table1[[#This Row],[Ticker]]&amp;Table1[[#This Row],[Expiry]]&amp;""&amp;"P"&amp;Table1[[#This Row],[Strike]]))</f>
        <v>0</v>
      </c>
      <c r="R174" t="b">
        <f>IF(
    ISNUMBER(Table1[[#This Row],[Strike]]),RTD("tos.rtd", , "ASK", "."&amp;Table1[[#This Row],[Ticker]]&amp;Table1[[#This Row],[Expiry]]&amp;""&amp;"P"&amp;Table1[[#This Row],[Strike]]))</f>
        <v>0</v>
      </c>
      <c r="S174" s="17"/>
      <c r="T174" t="b">
        <f>IF(
    ISNUMBER(Table1[[#This Row],[Strike]]),RTD("tos.rtd", , "OPEN_INT", "."&amp;Table1[[#This Row],[Ticker]]&amp;Table1[[#This Row],[Expiry]]&amp;""&amp;"P"&amp;Table1[[#This Row],[Strike]]))</f>
        <v>0</v>
      </c>
      <c r="U17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4" t="b">
        <f>IF(
    ISNUMBER(Table1[[#This Row],[Strike]]),RTD("tos.rtd", , "DELTA", "."&amp;Table1[[#This Row],[Ticker]]&amp;Table1[[#This Row],[Expiry]]&amp;""&amp;"P"&amp;Table1[[#This Row],[Strike]]))</f>
        <v>0</v>
      </c>
      <c r="Y174" s="19">
        <f>32* IF($M$1="NDX", 10, IF(OR($M$1="SPX", $M$1="RUT"), 2, 1))</f>
        <v>64</v>
      </c>
      <c r="Z174">
        <f ca="1">IFERROR(Table1[[#This Row],[call gamma]]*(Table1[[#This Row],[Open.Int]])*$A$4^2,0)</f>
        <v>0</v>
      </c>
      <c r="AA174">
        <f ca="1">IFERROR(((Table1[[#This Row],[Open.Int8]])*Table1[[#This Row],[Put gamma]])*-1*$A$4^2,0)</f>
        <v>0</v>
      </c>
      <c r="AB174">
        <f ca="1">(Table1[[#This Row],[Call Gex]]+Table1[[#This Row],[Put Gex]])</f>
        <v>0</v>
      </c>
      <c r="AC174">
        <f ca="1">Table1[[#This Row],[call delta adj]]+Table1[[#This Row],[put delta adj]]</f>
        <v>0</v>
      </c>
      <c r="AD174">
        <f ca="1">Table1[[#This Row],[Put Gex]]*Table1[[#This Row],[DeltaP]]*-1</f>
        <v>0</v>
      </c>
      <c r="AE174">
        <f ca="1">Table1[[#This Row],[Call Gex]]*Table1[[#This Row],[DeltaC]]</f>
        <v>0</v>
      </c>
      <c r="AF174">
        <f>IF(Table1[[#This Row],[DeltaC]]-ABS(Table1[[#This Row],[DeltaP]])="0","0.01",Table1[[#This Row],[DeltaC]]-ABS(Table1[[#This Row],[DeltaP]]))</f>
        <v>0</v>
      </c>
      <c r="AG174" t="e">
        <f ca="1">((LN($A$4/Table1[[#This Row],[Strike]]) + (0.411 + 0.5 * Table1[[#This Row],[IV Calc P]]^2) *Table1[[#This Row],[T]])) / (Table1[[#This Row],[IV Calc P]] * SQRT(Table1[[#This Row],[T]]))</f>
        <v>#DIV/0!</v>
      </c>
      <c r="AH174" t="e">
        <f ca="1">(LN($A$4/Table1[[#This Row],[Strike]]) + (0.411-0 + 0.5 * Table1[[#This Row],[IV Calc C]]^2) *Table1[[#This Row],[T]]) / (Table1[[#This Row],[IV Calc C]] * SQRT(Table1[[#This Row],[T]]))</f>
        <v>#DIV/0!</v>
      </c>
      <c r="AI174" t="e">
        <f ca="1">(EXP(-(AG174^2)/2)/SQRT(2*PI())*EXP(0*SQRT(Table1[[#This Row],[T]]))/$A$4*18%*SQRT(SQRT(Table1[[#This Row],[T]])))</f>
        <v>#DIV/0!</v>
      </c>
      <c r="AJ174" t="e">
        <f ca="1">(EXP(-(AH174^2)/2)/SQRT(2*PI())*EXP(0*SQRT(Table1[[#This Row],[T]]))/$A$4*18%*SQRT(SQRT(Table1[[#This Row],[T]])))</f>
        <v>#DIV/0!</v>
      </c>
      <c r="AK174" t="e">
        <f ca="1">Table1[[#This Row],[Call D1]]-Table1[[#This Row],[IV Calc C]]*SQRT(Table1[[#This Row],[T]])</f>
        <v>#DIV/0!</v>
      </c>
      <c r="AL174" t="e">
        <f ca="1">Table1[[#This Row],[Put D1]]-Table1[[#This Row],[IV Calc P]]*SQRT(Table1[[#This Row],[T]])</f>
        <v>#DIV/0!</v>
      </c>
      <c r="AM174" t="e">
        <f ca="1">EXP(-0.5*Table1[[#This Row],[Call D1]]^2)/SQRT(2*PI())</f>
        <v>#DIV/0!</v>
      </c>
      <c r="AN174" t="e">
        <f ca="1">EXP(-0.5*Table1[[#This Row],[Put D1]]^2)/SQRT(2*PI())</f>
        <v>#DIV/0!</v>
      </c>
      <c r="AO174">
        <f ca="1">IFERROR((EXP(0*Table1[[#This Row],[T]])*Table1[[#This Row],[call N(d1)]]*(Table1[[#This Row],[call d2]]/Table1[[#This Row],[IV Calc C]]))*Table1[[#This Row],[Open.Int]]*Table1[[#This Row],[DeltaC]],0)</f>
        <v>0</v>
      </c>
      <c r="AP174">
        <f ca="1">IFERROR((EXP(0*Table1[[#This Row],[T]])*Table1[[#This Row],[put N(d1)]]*(Table1[[#This Row],[put d2]]/Table1[[#This Row],[IV Calc P]]))*Table1[[#This Row],[Open.Int8]]*Table1[[#This Row],[DeltaP]]*-1,0)</f>
        <v>0</v>
      </c>
      <c r="AQ174">
        <f ca="1">((Table1[[#This Row],[call vanna]]+Table1[[#This Row],[put vanna]])*$A$4)</f>
        <v>0</v>
      </c>
      <c r="AR17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4" s="9" t="str" cm="1">
        <f t="array" ref="AT174">_xlfn.IFS(     $M$1="SPX","SPXW",     $M$1="RUT","RUTW",  $M$1="NDX","NDXP",   TRUE,$M$1 )</f>
        <v>SPXW</v>
      </c>
      <c r="AU174" s="2">
        <f t="shared" si="17"/>
        <v>6915</v>
      </c>
      <c r="AV174" t="str">
        <f t="shared" si="18"/>
        <v>260123</v>
      </c>
      <c r="AW174" s="19">
        <f ca="1">IFERROR((EXP(0*Table1[[#This Row],[T]])*Table1[[#This Row],[put N(d1)]]*(Table1[[#This Row],[put d2]]/Table1[[#This Row],[IV Calc P]]))*Table1[[#This Row],[Open.Int8]]*Table1[[#This Row],[DeltaP]]*-1,0)</f>
        <v>0</v>
      </c>
      <c r="AX174">
        <f ca="1">IFERROR((EXP(0*Table1[[#This Row],[T]])*Table1[[#This Row],[call N(d1)]]*(Table1[[#This Row],[call d2]]/Table1[[#This Row],[IV Calc C]]))*Table1[[#This Row],[Open.Int]]*Table1[[#This Row],[DeltaC]],0)</f>
        <v>0</v>
      </c>
      <c r="AY17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4">
        <f>((Table1[[#This Row],[High C]]+Table1[[#This Row],[Low C]])/2)*Table1[[#This Row],[gammac]]*Table1[[#This Row],[Volume]]</f>
        <v>0</v>
      </c>
      <c r="BD174">
        <f>((Table1[[#This Row],[High P]]+Table1[[#This Row],[Low P]])/2)*Table1[[#This Row],[gammap]]*Table1[[#This Row],[Volume9]]*-1</f>
        <v>0</v>
      </c>
      <c r="BE174">
        <f>(Table1[[#This Row],[SgammaC]]+Table1[[#This Row],[SgammaP]])*$A$4*-100</f>
        <v>0</v>
      </c>
      <c r="BF174">
        <f>Table1[[#This Row],[DEXc]]+Table1[[#This Row],[DEXp]]</f>
        <v>0</v>
      </c>
      <c r="BG174">
        <f>IFERROR(Table1[[#This Row],[DeltaC]]*Table1[[#This Row],[Open.Int]]*$A$4,0)</f>
        <v>0</v>
      </c>
      <c r="BH174">
        <f>IFERROR(Table1[[#This Row],[DeltaP]]*Table1[[#This Row],[Open.Int8]]*$A$4,0)</f>
        <v>0</v>
      </c>
      <c r="BI17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4">
        <f ca="1">Table1[[#This Row],[Charmc]]+Table1[[#This Row],[Charmp]]</f>
        <v>0</v>
      </c>
      <c r="BL17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4" s="78">
        <f ca="1">Table1[[#This Row],[call helper]]+Table1[[#This Row],[put helper]]</f>
        <v>0</v>
      </c>
      <c r="BP174" t="str">
        <f>RTD("tos.rtd", , "STRIKE", "."&amp;Table1[[#This Row],[Ticker]]&amp;Table1[[#This Row],[Expiry]]&amp;""&amp;"C"&amp;Table1[[#This Row],[Spot]]+Table1[[#This Row],[step]])</f>
        <v>N/A</v>
      </c>
    </row>
    <row r="175" spans="1:68" x14ac:dyDescent="0.25">
      <c r="A175">
        <f t="shared" ca="1" si="14"/>
        <v>2.5814307458086375E-3</v>
      </c>
      <c r="C175" s="17"/>
      <c r="D175">
        <f>IF(
    ISNUMBER(Table1[[#This Row],[Strike]]),RTD("tos.rtd", , "OPEN_INT", "."&amp;Table1[[#This Row],[Ticker]]&amp;Table1[[#This Row],[Expiry]]&amp;""&amp;"C"&amp;Table1[[#This Row],[Strike]]))</f>
        <v>1962</v>
      </c>
      <c r="E17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6021</v>
      </c>
      <c r="G175">
        <f>IF(
    ISNUMBER(Table1[[#This Row],[Strike]]),RTD("tos.rtd", , "DELTA", "."&amp;Table1[[#This Row],[Ticker]]&amp;Table1[[#This Row],[Expiry]]&amp;""&amp;"C"&amp;Table1[[#This Row],[Strike]]))</f>
        <v>0.03</v>
      </c>
      <c r="H175" s="17" cm="1">
        <f t="array" aca="1" ref="H175" ca="1">IF(
    ISNUMBER(Table1[[#This Row],[Strike]]),IndividualLegIVCore($A$4, Table1[[#This Row],[Strike]], 0.0411, Table1[[#This Row],[T]], ((Table1[[#This Row],[BIDC]]+Table1[[#This Row],[ASKC]])/2), TRUE))</f>
        <v>0.10199031554626477</v>
      </c>
      <c r="I175">
        <f>IF(
    ISNUMBER(Table1[[#This Row],[Strike]]),RTD("tos.rtd", , "BID", "."&amp;Table1[[#This Row],[Ticker]]&amp;Table1[[#This Row],[Expiry]]&amp;""&amp;"C"&amp;Table1[[#This Row],[Strike]]))</f>
        <v>0.4</v>
      </c>
      <c r="J175">
        <f>IF(
    ISNUMBER(Table1[[#This Row],[Strike]]),RTD("tos.rtd", , "ASK", "."&amp;Table1[[#This Row],[Ticker]]&amp;Table1[[#This Row],[Expiry]]&amp;""&amp;"C"&amp;Table1[[#This Row],[Strike]]))</f>
        <v>0.55000000000000004</v>
      </c>
      <c r="K17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0.10199031554626477</v>
      </c>
      <c r="L175" s="17" cm="1">
        <f t="array" aca="1" ref="L175" ca="1">CubicSplineIVSmile($A$4, Table1[[#This Row],[Strike]], 0.0411, Table1[[#This Row],[T]], (Table1[[#This Row],[BIDC]]+Table1[[#This Row],[ASKC]])/2, (Table1[[#This Row],[BIDP]]+Table1[[#This Row],[ASKP]])/2, Table1[Strike], Table1[IV Calc AVG])</f>
        <v>0.17642013420034691</v>
      </c>
      <c r="M175" s="1">
        <f t="shared" si="15"/>
        <v>46045</v>
      </c>
      <c r="N175">
        <f t="shared" si="16"/>
        <v>6980</v>
      </c>
      <c r="P175" s="17" cm="1">
        <f t="array" aca="1" ref="P175" ca="1">IF(
    ISNUMBER(Table1[[#This Row],[Strike]]),IndividualLegIVCore($A$4, Table1[[#This Row],[Strike]], 0.0411, Table1[[#This Row],[T]], ((Table1[[#This Row],[BIDP]]+Table1[[#This Row],[ASKP]])/2), FALSE))</f>
        <v>0.18438775620663991</v>
      </c>
      <c r="Q175">
        <f>IF(
    ISNUMBER(Table1[[#This Row],[Strike]]),RTD("tos.rtd", , "BID", "."&amp;Table1[[#This Row],[Ticker]]&amp;Table1[[#This Row],[Expiry]]&amp;""&amp;"P"&amp;Table1[[#This Row],[Strike]]))</f>
        <v>70.599999999999994</v>
      </c>
      <c r="R175">
        <f>IF(
    ISNUMBER(Table1[[#This Row],[Strike]]),RTD("tos.rtd", , "ASK", "."&amp;Table1[[#This Row],[Ticker]]&amp;Table1[[#This Row],[Expiry]]&amp;""&amp;"P"&amp;Table1[[#This Row],[Strike]]))</f>
        <v>71.8</v>
      </c>
      <c r="S175" s="17"/>
      <c r="T175">
        <f>IF(
    ISNUMBER(Table1[[#This Row],[Strike]]),RTD("tos.rtd", , "OPEN_INT", "."&amp;Table1[[#This Row],[Ticker]]&amp;Table1[[#This Row],[Expiry]]&amp;""&amp;"P"&amp;Table1[[#This Row],[Strike]]))</f>
        <v>437</v>
      </c>
      <c r="U17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186</v>
      </c>
      <c r="W175">
        <f>IF(
    ISNUMBER(Table1[[#This Row],[Strike]]),RTD("tos.rtd", , "DELTA", "."&amp;Table1[[#This Row],[Ticker]]&amp;Table1[[#This Row],[Expiry]]&amp;""&amp;"P"&amp;Table1[[#This Row],[Strike]]))</f>
        <v>-0.84</v>
      </c>
      <c r="Y175" s="19">
        <f>32.5* IF($M$1="NDX", 10, IF(OR($M$1="SPX", $M$1="RUT"), 2, 1))</f>
        <v>65</v>
      </c>
      <c r="Z175">
        <f ca="1">IFERROR(Table1[[#This Row],[call gamma]]*(Table1[[#This Row],[Open.Int]])*$A$4^2,0)</f>
        <v>56817.868255114336</v>
      </c>
      <c r="AA175">
        <f ca="1">IFERROR(((Table1[[#This Row],[Open.Int8]])*Table1[[#This Row],[Put gamma]])*-1*$A$4^2,0)</f>
        <v>-32433.220482777062</v>
      </c>
      <c r="AB175">
        <f ca="1">(Table1[[#This Row],[Call Gex]]+Table1[[#This Row],[Put Gex]])</f>
        <v>24384.647772337274</v>
      </c>
      <c r="AC175">
        <f ca="1">Table1[[#This Row],[call delta adj]]+Table1[[#This Row],[put delta adj]]</f>
        <v>-25539.3691578793</v>
      </c>
      <c r="AD175">
        <f ca="1">Table1[[#This Row],[Put Gex]]*Table1[[#This Row],[DeltaP]]*-1</f>
        <v>-27243.90520553273</v>
      </c>
      <c r="AE175">
        <f ca="1">Table1[[#This Row],[Call Gex]]*Table1[[#This Row],[DeltaC]]</f>
        <v>1704.5360476534299</v>
      </c>
      <c r="AF175">
        <f>IF(Table1[[#This Row],[DeltaC]]-ABS(Table1[[#This Row],[DeltaP]])="0","0.01",Table1[[#This Row],[DeltaC]]-ABS(Table1[[#This Row],[DeltaP]]))</f>
        <v>-0.80999999999999994</v>
      </c>
      <c r="AG175">
        <f ca="1">((LN($A$4/Table1[[#This Row],[Strike]]) + (0.411 + 0.5 * Table1[[#This Row],[IV Calc P]]^2) *Table1[[#This Row],[T]])) / (Table1[[#This Row],[IV Calc P]] * SQRT(Table1[[#This Row],[T]]))</f>
        <v>-0.90621682548365712</v>
      </c>
      <c r="AH175">
        <f ca="1">(LN($A$4/Table1[[#This Row],[Strike]]) + (0.411-0 + 0.5 * Table1[[#This Row],[IV Calc C]]^2) *Table1[[#This Row],[T]]) / (Table1[[#This Row],[IV Calc C]] * SQRT(Table1[[#This Row],[T]]))</f>
        <v>-1.6442221718900225</v>
      </c>
      <c r="AI175">
        <f ca="1">(EXP(-(AG175^2)/2)/SQRT(2*PI())*EXP(0*SQRT(Table1[[#This Row],[T]]))/$A$4*18%*SQRT(SQRT(Table1[[#This Row],[T]])))</f>
        <v>1.5528573028058922E-6</v>
      </c>
      <c r="AJ175">
        <f ca="1">(EXP(-(AH175^2)/2)/SQRT(2*PI())*EXP(0*SQRT(Table1[[#This Row],[T]]))/$A$4*18%*SQRT(SQRT(Table1[[#This Row],[T]])))</f>
        <v>6.0591100944803481E-7</v>
      </c>
      <c r="AK175">
        <f ca="1">Table1[[#This Row],[Call D1]]-Table1[[#This Row],[IV Calc C]]*SQRT(Table1[[#This Row],[T]])</f>
        <v>-1.649404073642583</v>
      </c>
      <c r="AL175">
        <f ca="1">Table1[[#This Row],[Put D1]]-Table1[[#This Row],[IV Calc P]]*SQRT(Table1[[#This Row],[T]])</f>
        <v>-0.91558515846625743</v>
      </c>
      <c r="AM175">
        <f ca="1">EXP(-0.5*Table1[[#This Row],[Call D1]]^2)/SQRT(2*PI())</f>
        <v>0.10324279739380381</v>
      </c>
      <c r="AN175">
        <f ca="1">EXP(-0.5*Table1[[#This Row],[Put D1]]^2)/SQRT(2*PI())</f>
        <v>0.264595508903403</v>
      </c>
      <c r="AO175">
        <f ca="1">IFERROR((EXP(0*Table1[[#This Row],[T]])*Table1[[#This Row],[call N(d1)]]*(Table1[[#This Row],[call d2]]/Table1[[#This Row],[IV Calc C]]))*Table1[[#This Row],[Open.Int]]*Table1[[#This Row],[DeltaC]],0)</f>
        <v>-98.276153169759013</v>
      </c>
      <c r="AP175">
        <f ca="1">IFERROR((EXP(0*Table1[[#This Row],[T]])*Table1[[#This Row],[put N(d1)]]*(Table1[[#This Row],[put d2]]/Table1[[#This Row],[IV Calc P]]))*Table1[[#This Row],[Open.Int8]]*Table1[[#This Row],[DeltaP]]*-1,0)</f>
        <v>-482.29177574143404</v>
      </c>
      <c r="AQ175">
        <f ca="1">((Table1[[#This Row],[call vanna]]+Table1[[#This Row],[put vanna]])*$A$4)</f>
        <v>-4013669.2913381965</v>
      </c>
      <c r="AR17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56817.868255114336</v>
      </c>
      <c r="AS17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-32433.220482777062</v>
      </c>
      <c r="AT175" s="9" t="str" cm="1">
        <f t="array" ref="AT175">_xlfn.IFS(     $M$1="SPX","SPXW",     $M$1="RUT","RUTW",  $M$1="NDX","NDXP",   TRUE,$M$1 )</f>
        <v>SPXW</v>
      </c>
      <c r="AU175" s="2">
        <f t="shared" si="17"/>
        <v>6915</v>
      </c>
      <c r="AV175" t="str">
        <f t="shared" si="18"/>
        <v>260123</v>
      </c>
      <c r="AW175" s="19">
        <f ca="1">IFERROR((EXP(0*Table1[[#This Row],[T]])*Table1[[#This Row],[put N(d1)]]*(Table1[[#This Row],[put d2]]/Table1[[#This Row],[IV Calc P]]))*Table1[[#This Row],[Open.Int8]]*Table1[[#This Row],[DeltaP]]*-1,0)</f>
        <v>-482.29177574143404</v>
      </c>
      <c r="AX175">
        <f ca="1">IFERROR((EXP(0*Table1[[#This Row],[T]])*Table1[[#This Row],[call N(d1)]]*(Table1[[#This Row],[call d2]]/Table1[[#This Row],[IV Calc C]]))*Table1[[#This Row],[Open.Int]]*Table1[[#This Row],[DeltaC]],0)</f>
        <v>-98.276153169759013</v>
      </c>
      <c r="AY175">
        <f>IF(
    ISNUMBER(Table1[[#This Row],[Strike]]),RTD("tos.rtd", , "high", "."&amp;Table1[[#This Row],[Ticker]]&amp;Table1[[#This Row],[Expiry]]&amp;""&amp;"C"&amp;Table1[[#This Row],[Spot]]+Table1[[#This Row],[step]]))</f>
        <v>4.3</v>
      </c>
      <c r="AZ175">
        <f>IF(
    ISNUMBER(Table1[[#This Row],[Strike]]),RTD("tos.rtd", , "low", "."&amp;Table1[[#This Row],[Ticker]]&amp;Table1[[#This Row],[Expiry]]&amp;""&amp;"C"&amp;Table1[[#This Row],[Spot]]+Table1[[#This Row],[step]]))</f>
        <v>0.4</v>
      </c>
      <c r="BA175">
        <f>IF(
    ISNUMBER(Table1[[#This Row],[Strike]]),RTD("tos.rtd", , "high", "."&amp;Table1[[#This Row],[Ticker]]&amp;Table1[[#This Row],[Expiry]]&amp;""&amp;"P"&amp;Table1[[#This Row],[Spot]]+Table1[[#This Row],[step]]))</f>
        <v>82.63</v>
      </c>
      <c r="BB175">
        <f>IF(
    ISNUMBER(Table1[[#This Row],[Strike]]),RTD("tos.rtd", , "low", "."&amp;Table1[[#This Row],[Ticker]]&amp;Table1[[#This Row],[Expiry]]&amp;""&amp;"P"&amp;Table1[[#This Row],[Spot]]+Table1[[#This Row],[step]]))</f>
        <v>46.75</v>
      </c>
      <c r="BC175">
        <f>((Table1[[#This Row],[High C]]+Table1[[#This Row],[Low C]])/2)*Table1[[#This Row],[gammac]]*Table1[[#This Row],[Volume]]</f>
        <v>0</v>
      </c>
      <c r="BD175">
        <f>((Table1[[#This Row],[High P]]+Table1[[#This Row],[Low P]])/2)*Table1[[#This Row],[gammap]]*Table1[[#This Row],[Volume9]]*-1</f>
        <v>0</v>
      </c>
      <c r="BE175">
        <f>(Table1[[#This Row],[SgammaC]]+Table1[[#This Row],[SgammaP]])*$A$4*-100</f>
        <v>0</v>
      </c>
      <c r="BF175">
        <f>Table1[[#This Row],[DEXc]]+Table1[[#This Row],[DEXp]]</f>
        <v>-2130832.7370000002</v>
      </c>
      <c r="BG175">
        <f>IFERROR(Table1[[#This Row],[DeltaC]]*Table1[[#This Row],[Open.Int]]*$A$4,0)</f>
        <v>406919.78100000002</v>
      </c>
      <c r="BH175">
        <f>IFERROR(Table1[[#This Row],[DeltaP]]*Table1[[#This Row],[Open.Int8]]*$A$4,0)</f>
        <v>-2537752.5180000002</v>
      </c>
      <c r="BI17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-2694220.0174217345</v>
      </c>
      <c r="BJ17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-2050617.4754424053</v>
      </c>
      <c r="BK175">
        <f ca="1">Table1[[#This Row],[Charmc]]+Table1[[#This Row],[Charmp]]</f>
        <v>-4744837.4928641394</v>
      </c>
      <c r="BL17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5" s="78">
        <f ca="1">Table1[[#This Row],[call helper]]+Table1[[#This Row],[put helper]]</f>
        <v>24384.647772337274</v>
      </c>
      <c r="BP175">
        <f>RTD("tos.rtd", , "STRIKE", "."&amp;Table1[[#This Row],[Ticker]]&amp;Table1[[#This Row],[Expiry]]&amp;""&amp;"C"&amp;Table1[[#This Row],[Spot]]+Table1[[#This Row],[step]])</f>
        <v>6980</v>
      </c>
    </row>
    <row r="176" spans="1:68" x14ac:dyDescent="0.25">
      <c r="A176">
        <f t="shared" ca="1" si="14"/>
        <v>2.5814307458086375E-3</v>
      </c>
      <c r="C176" s="17"/>
      <c r="D176" t="b">
        <f>IF(
    ISNUMBER(Table1[[#This Row],[Strike]]),RTD("tos.rtd", , "OPEN_INT", "."&amp;Table1[[#This Row],[Ticker]]&amp;Table1[[#This Row],[Expiry]]&amp;""&amp;"C"&amp;Table1[[#This Row],[Strike]]))</f>
        <v>0</v>
      </c>
      <c r="E17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6" t="b">
        <f>IF(
    ISNUMBER(Table1[[#This Row],[Strike]]),RTD("tos.rtd", , "DELTA", "."&amp;Table1[[#This Row],[Ticker]]&amp;Table1[[#This Row],[Expiry]]&amp;""&amp;"C"&amp;Table1[[#This Row],[Strike]]))</f>
        <v>0</v>
      </c>
      <c r="H176" s="17" t="b" cm="1">
        <f t="array" ref="H176">IF(
    ISNUMBER(Table1[[#This Row],[Strike]]),IndividualLegIVCore($A$4, Table1[[#This Row],[Strike]], 0.0411, Table1[[#This Row],[T]], ((Table1[[#This Row],[BIDC]]+Table1[[#This Row],[ASKC]])/2), TRUE))</f>
        <v>0</v>
      </c>
      <c r="I176" t="b">
        <f>IF(
    ISNUMBER(Table1[[#This Row],[Strike]]),RTD("tos.rtd", , "BID", "."&amp;Table1[[#This Row],[Ticker]]&amp;Table1[[#This Row],[Expiry]]&amp;""&amp;"C"&amp;Table1[[#This Row],[Strike]]))</f>
        <v>0</v>
      </c>
      <c r="J176" t="b">
        <f>IF(
    ISNUMBER(Table1[[#This Row],[Strike]]),RTD("tos.rtd", , "ASK", "."&amp;Table1[[#This Row],[Ticker]]&amp;Table1[[#This Row],[Expiry]]&amp;""&amp;"C"&amp;Table1[[#This Row],[Strike]]))</f>
        <v>0</v>
      </c>
      <c r="K17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6" s="17" cm="1">
        <f t="array" aca="1" ref="L17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6" s="1">
        <f t="shared" si="15"/>
        <v>46045</v>
      </c>
      <c r="N176" t="b">
        <f t="shared" si="16"/>
        <v>0</v>
      </c>
      <c r="P176" s="17" t="b" cm="1">
        <f t="array" ref="P176">IF(
    ISNUMBER(Table1[[#This Row],[Strike]]),IndividualLegIVCore($A$4, Table1[[#This Row],[Strike]], 0.0411, Table1[[#This Row],[T]], ((Table1[[#This Row],[BIDP]]+Table1[[#This Row],[ASKP]])/2), FALSE))</f>
        <v>0</v>
      </c>
      <c r="Q176" t="b">
        <f>IF(
    ISNUMBER(Table1[[#This Row],[Strike]]),RTD("tos.rtd", , "BID", "."&amp;Table1[[#This Row],[Ticker]]&amp;Table1[[#This Row],[Expiry]]&amp;""&amp;"P"&amp;Table1[[#This Row],[Strike]]))</f>
        <v>0</v>
      </c>
      <c r="R176" t="b">
        <f>IF(
    ISNUMBER(Table1[[#This Row],[Strike]]),RTD("tos.rtd", , "ASK", "."&amp;Table1[[#This Row],[Ticker]]&amp;Table1[[#This Row],[Expiry]]&amp;""&amp;"P"&amp;Table1[[#This Row],[Strike]]))</f>
        <v>0</v>
      </c>
      <c r="S176" s="17"/>
      <c r="T176" t="b">
        <f>IF(
    ISNUMBER(Table1[[#This Row],[Strike]]),RTD("tos.rtd", , "OPEN_INT", "."&amp;Table1[[#This Row],[Ticker]]&amp;Table1[[#This Row],[Expiry]]&amp;""&amp;"P"&amp;Table1[[#This Row],[Strike]]))</f>
        <v>0</v>
      </c>
      <c r="U17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6" t="b">
        <f>IF(
    ISNUMBER(Table1[[#This Row],[Strike]]),RTD("tos.rtd", , "DELTA", "."&amp;Table1[[#This Row],[Ticker]]&amp;Table1[[#This Row],[Expiry]]&amp;""&amp;"P"&amp;Table1[[#This Row],[Strike]]))</f>
        <v>0</v>
      </c>
      <c r="Y176" s="19">
        <f>33* IF($M$1="NDX", 10, IF(OR($M$1="SPX", $M$1="RUT"), 2, 1))</f>
        <v>66</v>
      </c>
      <c r="Z176">
        <f ca="1">IFERROR(Table1[[#This Row],[call gamma]]*(Table1[[#This Row],[Open.Int]])*$A$4^2,0)</f>
        <v>0</v>
      </c>
      <c r="AA176">
        <f ca="1">IFERROR(((Table1[[#This Row],[Open.Int8]])*Table1[[#This Row],[Put gamma]])*-1*$A$4^2,0)</f>
        <v>0</v>
      </c>
      <c r="AB176">
        <f ca="1">(Table1[[#This Row],[Call Gex]]+Table1[[#This Row],[Put Gex]])</f>
        <v>0</v>
      </c>
      <c r="AC176">
        <f ca="1">Table1[[#This Row],[call delta adj]]+Table1[[#This Row],[put delta adj]]</f>
        <v>0</v>
      </c>
      <c r="AD176">
        <f ca="1">Table1[[#This Row],[Put Gex]]*Table1[[#This Row],[DeltaP]]*-1</f>
        <v>0</v>
      </c>
      <c r="AE176">
        <f ca="1">Table1[[#This Row],[Call Gex]]*Table1[[#This Row],[DeltaC]]</f>
        <v>0</v>
      </c>
      <c r="AF176">
        <f>IF(Table1[[#This Row],[DeltaC]]-ABS(Table1[[#This Row],[DeltaP]])="0","0.01",Table1[[#This Row],[DeltaC]]-ABS(Table1[[#This Row],[DeltaP]]))</f>
        <v>0</v>
      </c>
      <c r="AG176" t="e">
        <f ca="1">((LN($A$4/Table1[[#This Row],[Strike]]) + (0.411 + 0.5 * Table1[[#This Row],[IV Calc P]]^2) *Table1[[#This Row],[T]])) / (Table1[[#This Row],[IV Calc P]] * SQRT(Table1[[#This Row],[T]]))</f>
        <v>#DIV/0!</v>
      </c>
      <c r="AH176" t="e">
        <f ca="1">(LN($A$4/Table1[[#This Row],[Strike]]) + (0.411-0 + 0.5 * Table1[[#This Row],[IV Calc C]]^2) *Table1[[#This Row],[T]]) / (Table1[[#This Row],[IV Calc C]] * SQRT(Table1[[#This Row],[T]]))</f>
        <v>#DIV/0!</v>
      </c>
      <c r="AI176" t="e">
        <f ca="1">(EXP(-(AG176^2)/2)/SQRT(2*PI())*EXP(0*SQRT(Table1[[#This Row],[T]]))/$A$4*18%*SQRT(SQRT(Table1[[#This Row],[T]])))</f>
        <v>#DIV/0!</v>
      </c>
      <c r="AJ176" t="e">
        <f ca="1">(EXP(-(AH176^2)/2)/SQRT(2*PI())*EXP(0*SQRT(Table1[[#This Row],[T]]))/$A$4*18%*SQRT(SQRT(Table1[[#This Row],[T]])))</f>
        <v>#DIV/0!</v>
      </c>
      <c r="AK176" t="e">
        <f ca="1">Table1[[#This Row],[Call D1]]-Table1[[#This Row],[IV Calc C]]*SQRT(Table1[[#This Row],[T]])</f>
        <v>#DIV/0!</v>
      </c>
      <c r="AL176" t="e">
        <f ca="1">Table1[[#This Row],[Put D1]]-Table1[[#This Row],[IV Calc P]]*SQRT(Table1[[#This Row],[T]])</f>
        <v>#DIV/0!</v>
      </c>
      <c r="AM176" t="e">
        <f ca="1">EXP(-0.5*Table1[[#This Row],[Call D1]]^2)/SQRT(2*PI())</f>
        <v>#DIV/0!</v>
      </c>
      <c r="AN176" t="e">
        <f ca="1">EXP(-0.5*Table1[[#This Row],[Put D1]]^2)/SQRT(2*PI())</f>
        <v>#DIV/0!</v>
      </c>
      <c r="AO176">
        <f ca="1">IFERROR((EXP(0*Table1[[#This Row],[T]])*Table1[[#This Row],[call N(d1)]]*(Table1[[#This Row],[call d2]]/Table1[[#This Row],[IV Calc C]]))*Table1[[#This Row],[Open.Int]]*Table1[[#This Row],[DeltaC]],0)</f>
        <v>0</v>
      </c>
      <c r="AP176">
        <f ca="1">IFERROR((EXP(0*Table1[[#This Row],[T]])*Table1[[#This Row],[put N(d1)]]*(Table1[[#This Row],[put d2]]/Table1[[#This Row],[IV Calc P]]))*Table1[[#This Row],[Open.Int8]]*Table1[[#This Row],[DeltaP]]*-1,0)</f>
        <v>0</v>
      </c>
      <c r="AQ176">
        <f ca="1">((Table1[[#This Row],[call vanna]]+Table1[[#This Row],[put vanna]])*$A$4)</f>
        <v>0</v>
      </c>
      <c r="AR17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6" s="9" t="str" cm="1">
        <f t="array" ref="AT176">_xlfn.IFS(     $M$1="SPX","SPXW",     $M$1="RUT","RUTW",  $M$1="NDX","NDXP",   TRUE,$M$1 )</f>
        <v>SPXW</v>
      </c>
      <c r="AU176" s="2">
        <f t="shared" si="17"/>
        <v>6915</v>
      </c>
      <c r="AV176" t="str">
        <f t="shared" si="18"/>
        <v>260123</v>
      </c>
      <c r="AW176" s="19">
        <f ca="1">IFERROR((EXP(0*Table1[[#This Row],[T]])*Table1[[#This Row],[put N(d1)]]*(Table1[[#This Row],[put d2]]/Table1[[#This Row],[IV Calc P]]))*Table1[[#This Row],[Open.Int8]]*Table1[[#This Row],[DeltaP]]*-1,0)</f>
        <v>0</v>
      </c>
      <c r="AX176">
        <f ca="1">IFERROR((EXP(0*Table1[[#This Row],[T]])*Table1[[#This Row],[call N(d1)]]*(Table1[[#This Row],[call d2]]/Table1[[#This Row],[IV Calc C]]))*Table1[[#This Row],[Open.Int]]*Table1[[#This Row],[DeltaC]],0)</f>
        <v>0</v>
      </c>
      <c r="AY17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6">
        <f>((Table1[[#This Row],[High C]]+Table1[[#This Row],[Low C]])/2)*Table1[[#This Row],[gammac]]*Table1[[#This Row],[Volume]]</f>
        <v>0</v>
      </c>
      <c r="BD176">
        <f>((Table1[[#This Row],[High P]]+Table1[[#This Row],[Low P]])/2)*Table1[[#This Row],[gammap]]*Table1[[#This Row],[Volume9]]*-1</f>
        <v>0</v>
      </c>
      <c r="BE176">
        <f>(Table1[[#This Row],[SgammaC]]+Table1[[#This Row],[SgammaP]])*$A$4*-100</f>
        <v>0</v>
      </c>
      <c r="BF176">
        <f>Table1[[#This Row],[DEXc]]+Table1[[#This Row],[DEXp]]</f>
        <v>0</v>
      </c>
      <c r="BG176">
        <f>IFERROR(Table1[[#This Row],[DeltaC]]*Table1[[#This Row],[Open.Int]]*$A$4,0)</f>
        <v>0</v>
      </c>
      <c r="BH176">
        <f>IFERROR(Table1[[#This Row],[DeltaP]]*Table1[[#This Row],[Open.Int8]]*$A$4,0)</f>
        <v>0</v>
      </c>
      <c r="BI17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6">
        <f ca="1">Table1[[#This Row],[Charmc]]+Table1[[#This Row],[Charmp]]</f>
        <v>0</v>
      </c>
      <c r="BL17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6" s="78">
        <f ca="1">Table1[[#This Row],[call helper]]+Table1[[#This Row],[put helper]]</f>
        <v>0</v>
      </c>
      <c r="BP176" t="str">
        <f>RTD("tos.rtd", , "STRIKE", "."&amp;Table1[[#This Row],[Ticker]]&amp;Table1[[#This Row],[Expiry]]&amp;""&amp;"C"&amp;Table1[[#This Row],[Spot]]+Table1[[#This Row],[step]])</f>
        <v>N/A</v>
      </c>
    </row>
    <row r="177" spans="1:68" x14ac:dyDescent="0.25">
      <c r="A177">
        <f t="shared" ca="1" si="14"/>
        <v>2.5814307458086375E-3</v>
      </c>
      <c r="C177" s="17"/>
      <c r="D177" t="b">
        <f>IF(
    ISNUMBER(Table1[[#This Row],[Strike]]),RTD("tos.rtd", , "OPEN_INT", "."&amp;Table1[[#This Row],[Ticker]]&amp;Table1[[#This Row],[Expiry]]&amp;""&amp;"C"&amp;Table1[[#This Row],[Strike]]))</f>
        <v>0</v>
      </c>
      <c r="E17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7" t="b">
        <f>IF(
    ISNUMBER(Table1[[#This Row],[Strike]]),RTD("tos.rtd", , "DELTA", "."&amp;Table1[[#This Row],[Ticker]]&amp;Table1[[#This Row],[Expiry]]&amp;""&amp;"C"&amp;Table1[[#This Row],[Strike]]))</f>
        <v>0</v>
      </c>
      <c r="H177" s="17" t="b" cm="1">
        <f t="array" ref="H177">IF(
    ISNUMBER(Table1[[#This Row],[Strike]]),IndividualLegIVCore($A$4, Table1[[#This Row],[Strike]], 0.0411, Table1[[#This Row],[T]], ((Table1[[#This Row],[BIDC]]+Table1[[#This Row],[ASKC]])/2), TRUE))</f>
        <v>0</v>
      </c>
      <c r="I177" t="b">
        <f>IF(
    ISNUMBER(Table1[[#This Row],[Strike]]),RTD("tos.rtd", , "BID", "."&amp;Table1[[#This Row],[Ticker]]&amp;Table1[[#This Row],[Expiry]]&amp;""&amp;"C"&amp;Table1[[#This Row],[Strike]]))</f>
        <v>0</v>
      </c>
      <c r="J177" t="b">
        <f>IF(
    ISNUMBER(Table1[[#This Row],[Strike]]),RTD("tos.rtd", , "ASK", "."&amp;Table1[[#This Row],[Ticker]]&amp;Table1[[#This Row],[Expiry]]&amp;""&amp;"C"&amp;Table1[[#This Row],[Strike]]))</f>
        <v>0</v>
      </c>
      <c r="K17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7" s="17" cm="1">
        <f t="array" aca="1" ref="L17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7" s="1">
        <f t="shared" si="15"/>
        <v>46045</v>
      </c>
      <c r="N177" t="b">
        <f t="shared" si="16"/>
        <v>0</v>
      </c>
      <c r="P177" s="17" t="b" cm="1">
        <f t="array" ref="P177">IF(
    ISNUMBER(Table1[[#This Row],[Strike]]),IndividualLegIVCore($A$4, Table1[[#This Row],[Strike]], 0.0411, Table1[[#This Row],[T]], ((Table1[[#This Row],[BIDP]]+Table1[[#This Row],[ASKP]])/2), FALSE))</f>
        <v>0</v>
      </c>
      <c r="Q177" t="b">
        <f>IF(
    ISNUMBER(Table1[[#This Row],[Strike]]),RTD("tos.rtd", , "BID", "."&amp;Table1[[#This Row],[Ticker]]&amp;Table1[[#This Row],[Expiry]]&amp;""&amp;"P"&amp;Table1[[#This Row],[Strike]]))</f>
        <v>0</v>
      </c>
      <c r="R177" t="b">
        <f>IF(
    ISNUMBER(Table1[[#This Row],[Strike]]),RTD("tos.rtd", , "ASK", "."&amp;Table1[[#This Row],[Ticker]]&amp;Table1[[#This Row],[Expiry]]&amp;""&amp;"P"&amp;Table1[[#This Row],[Strike]]))</f>
        <v>0</v>
      </c>
      <c r="S177" s="17"/>
      <c r="T177" t="b">
        <f>IF(
    ISNUMBER(Table1[[#This Row],[Strike]]),RTD("tos.rtd", , "OPEN_INT", "."&amp;Table1[[#This Row],[Ticker]]&amp;Table1[[#This Row],[Expiry]]&amp;""&amp;"P"&amp;Table1[[#This Row],[Strike]]))</f>
        <v>0</v>
      </c>
      <c r="U17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7" t="b">
        <f>IF(
    ISNUMBER(Table1[[#This Row],[Strike]]),RTD("tos.rtd", , "DELTA", "."&amp;Table1[[#This Row],[Ticker]]&amp;Table1[[#This Row],[Expiry]]&amp;""&amp;"P"&amp;Table1[[#This Row],[Strike]]))</f>
        <v>0</v>
      </c>
      <c r="Y177" s="19">
        <f>33.5* IF($M$1="NDX", 10, IF(OR($M$1="SPX", $M$1="RUT"), 2, 1))</f>
        <v>67</v>
      </c>
      <c r="Z177">
        <f ca="1">IFERROR(Table1[[#This Row],[call gamma]]*(Table1[[#This Row],[Open.Int]])*$A$4^2,0)</f>
        <v>0</v>
      </c>
      <c r="AA177">
        <f ca="1">IFERROR(((Table1[[#This Row],[Open.Int8]])*Table1[[#This Row],[Put gamma]])*-1*$A$4^2,0)</f>
        <v>0</v>
      </c>
      <c r="AB177">
        <f ca="1">(Table1[[#This Row],[Call Gex]]+Table1[[#This Row],[Put Gex]])</f>
        <v>0</v>
      </c>
      <c r="AC177">
        <f ca="1">Table1[[#This Row],[call delta adj]]+Table1[[#This Row],[put delta adj]]</f>
        <v>0</v>
      </c>
      <c r="AD177">
        <f ca="1">Table1[[#This Row],[Put Gex]]*Table1[[#This Row],[DeltaP]]*-1</f>
        <v>0</v>
      </c>
      <c r="AE177">
        <f ca="1">Table1[[#This Row],[Call Gex]]*Table1[[#This Row],[DeltaC]]</f>
        <v>0</v>
      </c>
      <c r="AF177">
        <f>IF(Table1[[#This Row],[DeltaC]]-ABS(Table1[[#This Row],[DeltaP]])="0","0.01",Table1[[#This Row],[DeltaC]]-ABS(Table1[[#This Row],[DeltaP]]))</f>
        <v>0</v>
      </c>
      <c r="AG177" t="e">
        <f ca="1">((LN($A$4/Table1[[#This Row],[Strike]]) + (0.411 + 0.5 * Table1[[#This Row],[IV Calc P]]^2) *Table1[[#This Row],[T]])) / (Table1[[#This Row],[IV Calc P]] * SQRT(Table1[[#This Row],[T]]))</f>
        <v>#DIV/0!</v>
      </c>
      <c r="AH177" t="e">
        <f ca="1">(LN($A$4/Table1[[#This Row],[Strike]]) + (0.411-0 + 0.5 * Table1[[#This Row],[IV Calc C]]^2) *Table1[[#This Row],[T]]) / (Table1[[#This Row],[IV Calc C]] * SQRT(Table1[[#This Row],[T]]))</f>
        <v>#DIV/0!</v>
      </c>
      <c r="AI177" t="e">
        <f ca="1">(EXP(-(AG177^2)/2)/SQRT(2*PI())*EXP(0*SQRT(Table1[[#This Row],[T]]))/$A$4*18%*SQRT(SQRT(Table1[[#This Row],[T]])))</f>
        <v>#DIV/0!</v>
      </c>
      <c r="AJ177" t="e">
        <f ca="1">(EXP(-(AH177^2)/2)/SQRT(2*PI())*EXP(0*SQRT(Table1[[#This Row],[T]]))/$A$4*18%*SQRT(SQRT(Table1[[#This Row],[T]])))</f>
        <v>#DIV/0!</v>
      </c>
      <c r="AK177" t="e">
        <f ca="1">Table1[[#This Row],[Call D1]]-Table1[[#This Row],[IV Calc C]]*SQRT(Table1[[#This Row],[T]])</f>
        <v>#DIV/0!</v>
      </c>
      <c r="AL177" t="e">
        <f ca="1">Table1[[#This Row],[Put D1]]-Table1[[#This Row],[IV Calc P]]*SQRT(Table1[[#This Row],[T]])</f>
        <v>#DIV/0!</v>
      </c>
      <c r="AM177" t="e">
        <f ca="1">EXP(-0.5*Table1[[#This Row],[Call D1]]^2)/SQRT(2*PI())</f>
        <v>#DIV/0!</v>
      </c>
      <c r="AN177" t="e">
        <f ca="1">EXP(-0.5*Table1[[#This Row],[Put D1]]^2)/SQRT(2*PI())</f>
        <v>#DIV/0!</v>
      </c>
      <c r="AO177">
        <f ca="1">IFERROR((EXP(0*Table1[[#This Row],[T]])*Table1[[#This Row],[call N(d1)]]*(Table1[[#This Row],[call d2]]/Table1[[#This Row],[IV Calc C]]))*Table1[[#This Row],[Open.Int]]*Table1[[#This Row],[DeltaC]],0)</f>
        <v>0</v>
      </c>
      <c r="AP177">
        <f ca="1">IFERROR((EXP(0*Table1[[#This Row],[T]])*Table1[[#This Row],[put N(d1)]]*(Table1[[#This Row],[put d2]]/Table1[[#This Row],[IV Calc P]]))*Table1[[#This Row],[Open.Int8]]*Table1[[#This Row],[DeltaP]]*-1,0)</f>
        <v>0</v>
      </c>
      <c r="AQ177">
        <f ca="1">((Table1[[#This Row],[call vanna]]+Table1[[#This Row],[put vanna]])*$A$4)</f>
        <v>0</v>
      </c>
      <c r="AR17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7" s="9" t="str" cm="1">
        <f t="array" ref="AT177">_xlfn.IFS(     $M$1="SPX","SPXW",     $M$1="RUT","RUTW",  $M$1="NDX","NDXP",   TRUE,$M$1 )</f>
        <v>SPXW</v>
      </c>
      <c r="AU177" s="2">
        <f t="shared" si="17"/>
        <v>6915</v>
      </c>
      <c r="AV177" t="str">
        <f t="shared" si="18"/>
        <v>260123</v>
      </c>
      <c r="AW177" s="19">
        <f ca="1">IFERROR((EXP(0*Table1[[#This Row],[T]])*Table1[[#This Row],[put N(d1)]]*(Table1[[#This Row],[put d2]]/Table1[[#This Row],[IV Calc P]]))*Table1[[#This Row],[Open.Int8]]*Table1[[#This Row],[DeltaP]]*-1,0)</f>
        <v>0</v>
      </c>
      <c r="AX177">
        <f ca="1">IFERROR((EXP(0*Table1[[#This Row],[T]])*Table1[[#This Row],[call N(d1)]]*(Table1[[#This Row],[call d2]]/Table1[[#This Row],[IV Calc C]]))*Table1[[#This Row],[Open.Int]]*Table1[[#This Row],[DeltaC]],0)</f>
        <v>0</v>
      </c>
      <c r="AY17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7">
        <f>((Table1[[#This Row],[High C]]+Table1[[#This Row],[Low C]])/2)*Table1[[#This Row],[gammac]]*Table1[[#This Row],[Volume]]</f>
        <v>0</v>
      </c>
      <c r="BD177">
        <f>((Table1[[#This Row],[High P]]+Table1[[#This Row],[Low P]])/2)*Table1[[#This Row],[gammap]]*Table1[[#This Row],[Volume9]]*-1</f>
        <v>0</v>
      </c>
      <c r="BE177">
        <f>(Table1[[#This Row],[SgammaC]]+Table1[[#This Row],[SgammaP]])*$A$4*-100</f>
        <v>0</v>
      </c>
      <c r="BF177">
        <f>Table1[[#This Row],[DEXc]]+Table1[[#This Row],[DEXp]]</f>
        <v>0</v>
      </c>
      <c r="BG177">
        <f>IFERROR(Table1[[#This Row],[DeltaC]]*Table1[[#This Row],[Open.Int]]*$A$4,0)</f>
        <v>0</v>
      </c>
      <c r="BH177">
        <f>IFERROR(Table1[[#This Row],[DeltaP]]*Table1[[#This Row],[Open.Int8]]*$A$4,0)</f>
        <v>0</v>
      </c>
      <c r="BI17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7">
        <f ca="1">Table1[[#This Row],[Charmc]]+Table1[[#This Row],[Charmp]]</f>
        <v>0</v>
      </c>
      <c r="BL17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7" s="78">
        <f ca="1">Table1[[#This Row],[call helper]]+Table1[[#This Row],[put helper]]</f>
        <v>0</v>
      </c>
      <c r="BP177" t="str">
        <f>RTD("tos.rtd", , "STRIKE", "."&amp;Table1[[#This Row],[Ticker]]&amp;Table1[[#This Row],[Expiry]]&amp;""&amp;"C"&amp;Table1[[#This Row],[Spot]]+Table1[[#This Row],[step]])</f>
        <v>N/A</v>
      </c>
    </row>
    <row r="178" spans="1:68" x14ac:dyDescent="0.25">
      <c r="A178">
        <f t="shared" ca="1" si="14"/>
        <v>2.5814307458086375E-3</v>
      </c>
      <c r="C178" s="17"/>
      <c r="D178" t="b">
        <f>IF(
    ISNUMBER(Table1[[#This Row],[Strike]]),RTD("tos.rtd", , "OPEN_INT", "."&amp;Table1[[#This Row],[Ticker]]&amp;Table1[[#This Row],[Expiry]]&amp;""&amp;"C"&amp;Table1[[#This Row],[Strike]]))</f>
        <v>0</v>
      </c>
      <c r="E17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8" t="b">
        <f>IF(
    ISNUMBER(Table1[[#This Row],[Strike]]),RTD("tos.rtd", , "DELTA", "."&amp;Table1[[#This Row],[Ticker]]&amp;Table1[[#This Row],[Expiry]]&amp;""&amp;"C"&amp;Table1[[#This Row],[Strike]]))</f>
        <v>0</v>
      </c>
      <c r="H178" s="17" t="b" cm="1">
        <f t="array" ref="H178">IF(
    ISNUMBER(Table1[[#This Row],[Strike]]),IndividualLegIVCore($A$4, Table1[[#This Row],[Strike]], 0.0411, Table1[[#This Row],[T]], ((Table1[[#This Row],[BIDC]]+Table1[[#This Row],[ASKC]])/2), TRUE))</f>
        <v>0</v>
      </c>
      <c r="I178" t="b">
        <f>IF(
    ISNUMBER(Table1[[#This Row],[Strike]]),RTD("tos.rtd", , "BID", "."&amp;Table1[[#This Row],[Ticker]]&amp;Table1[[#This Row],[Expiry]]&amp;""&amp;"C"&amp;Table1[[#This Row],[Strike]]))</f>
        <v>0</v>
      </c>
      <c r="J178" t="b">
        <f>IF(
    ISNUMBER(Table1[[#This Row],[Strike]]),RTD("tos.rtd", , "ASK", "."&amp;Table1[[#This Row],[Ticker]]&amp;Table1[[#This Row],[Expiry]]&amp;""&amp;"C"&amp;Table1[[#This Row],[Strike]]))</f>
        <v>0</v>
      </c>
      <c r="K17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8" s="17" cm="1">
        <f t="array" aca="1" ref="L17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8" s="1">
        <f t="shared" si="15"/>
        <v>46045</v>
      </c>
      <c r="N178" t="b">
        <f t="shared" si="16"/>
        <v>0</v>
      </c>
      <c r="P178" s="17" t="b" cm="1">
        <f t="array" ref="P178">IF(
    ISNUMBER(Table1[[#This Row],[Strike]]),IndividualLegIVCore($A$4, Table1[[#This Row],[Strike]], 0.0411, Table1[[#This Row],[T]], ((Table1[[#This Row],[BIDP]]+Table1[[#This Row],[ASKP]])/2), FALSE))</f>
        <v>0</v>
      </c>
      <c r="Q178" t="b">
        <f>IF(
    ISNUMBER(Table1[[#This Row],[Strike]]),RTD("tos.rtd", , "BID", "."&amp;Table1[[#This Row],[Ticker]]&amp;Table1[[#This Row],[Expiry]]&amp;""&amp;"P"&amp;Table1[[#This Row],[Strike]]))</f>
        <v>0</v>
      </c>
      <c r="R178" t="b">
        <f>IF(
    ISNUMBER(Table1[[#This Row],[Strike]]),RTD("tos.rtd", , "ASK", "."&amp;Table1[[#This Row],[Ticker]]&amp;Table1[[#This Row],[Expiry]]&amp;""&amp;"P"&amp;Table1[[#This Row],[Strike]]))</f>
        <v>0</v>
      </c>
      <c r="S178" s="17"/>
      <c r="T178" t="b">
        <f>IF(
    ISNUMBER(Table1[[#This Row],[Strike]]),RTD("tos.rtd", , "OPEN_INT", "."&amp;Table1[[#This Row],[Ticker]]&amp;Table1[[#This Row],[Expiry]]&amp;""&amp;"P"&amp;Table1[[#This Row],[Strike]]))</f>
        <v>0</v>
      </c>
      <c r="U17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8" t="b">
        <f>IF(
    ISNUMBER(Table1[[#This Row],[Strike]]),RTD("tos.rtd", , "DELTA", "."&amp;Table1[[#This Row],[Ticker]]&amp;Table1[[#This Row],[Expiry]]&amp;""&amp;"P"&amp;Table1[[#This Row],[Strike]]))</f>
        <v>0</v>
      </c>
      <c r="Y178" s="19">
        <f>34* IF($M$1="NDX", 10, IF(OR($M$1="SPX", $M$1="RUT"), 2, 1))</f>
        <v>68</v>
      </c>
      <c r="Z178">
        <f ca="1">IFERROR(Table1[[#This Row],[call gamma]]*(Table1[[#This Row],[Open.Int]])*$A$4^2,0)</f>
        <v>0</v>
      </c>
      <c r="AA178">
        <f ca="1">IFERROR(((Table1[[#This Row],[Open.Int8]])*Table1[[#This Row],[Put gamma]])*-1*$A$4^2,0)</f>
        <v>0</v>
      </c>
      <c r="AB178">
        <f ca="1">(Table1[[#This Row],[Call Gex]]+Table1[[#This Row],[Put Gex]])</f>
        <v>0</v>
      </c>
      <c r="AC178">
        <f ca="1">Table1[[#This Row],[call delta adj]]+Table1[[#This Row],[put delta adj]]</f>
        <v>0</v>
      </c>
      <c r="AD178">
        <f ca="1">Table1[[#This Row],[Put Gex]]*Table1[[#This Row],[DeltaP]]*-1</f>
        <v>0</v>
      </c>
      <c r="AE178">
        <f ca="1">Table1[[#This Row],[Call Gex]]*Table1[[#This Row],[DeltaC]]</f>
        <v>0</v>
      </c>
      <c r="AF178">
        <f>IF(Table1[[#This Row],[DeltaC]]-ABS(Table1[[#This Row],[DeltaP]])="0","0.01",Table1[[#This Row],[DeltaC]]-ABS(Table1[[#This Row],[DeltaP]]))</f>
        <v>0</v>
      </c>
      <c r="AG178" t="e">
        <f ca="1">((LN($A$4/Table1[[#This Row],[Strike]]) + (0.411 + 0.5 * Table1[[#This Row],[IV Calc P]]^2) *Table1[[#This Row],[T]])) / (Table1[[#This Row],[IV Calc P]] * SQRT(Table1[[#This Row],[T]]))</f>
        <v>#DIV/0!</v>
      </c>
      <c r="AH178" t="e">
        <f ca="1">(LN($A$4/Table1[[#This Row],[Strike]]) + (0.411-0 + 0.5 * Table1[[#This Row],[IV Calc C]]^2) *Table1[[#This Row],[T]]) / (Table1[[#This Row],[IV Calc C]] * SQRT(Table1[[#This Row],[T]]))</f>
        <v>#DIV/0!</v>
      </c>
      <c r="AI178" t="e">
        <f ca="1">(EXP(-(AG178^2)/2)/SQRT(2*PI())*EXP(0*SQRT(Table1[[#This Row],[T]]))/$A$4*18%*SQRT(SQRT(Table1[[#This Row],[T]])))</f>
        <v>#DIV/0!</v>
      </c>
      <c r="AJ178" t="e">
        <f ca="1">(EXP(-(AH178^2)/2)/SQRT(2*PI())*EXP(0*SQRT(Table1[[#This Row],[T]]))/$A$4*18%*SQRT(SQRT(Table1[[#This Row],[T]])))</f>
        <v>#DIV/0!</v>
      </c>
      <c r="AK178" t="e">
        <f ca="1">Table1[[#This Row],[Call D1]]-Table1[[#This Row],[IV Calc C]]*SQRT(Table1[[#This Row],[T]])</f>
        <v>#DIV/0!</v>
      </c>
      <c r="AL178" t="e">
        <f ca="1">Table1[[#This Row],[Put D1]]-Table1[[#This Row],[IV Calc P]]*SQRT(Table1[[#This Row],[T]])</f>
        <v>#DIV/0!</v>
      </c>
      <c r="AM178" t="e">
        <f ca="1">EXP(-0.5*Table1[[#This Row],[Call D1]]^2)/SQRT(2*PI())</f>
        <v>#DIV/0!</v>
      </c>
      <c r="AN178" t="e">
        <f ca="1">EXP(-0.5*Table1[[#This Row],[Put D1]]^2)/SQRT(2*PI())</f>
        <v>#DIV/0!</v>
      </c>
      <c r="AO178">
        <f ca="1">IFERROR((EXP(0*Table1[[#This Row],[T]])*Table1[[#This Row],[call N(d1)]]*(Table1[[#This Row],[call d2]]/Table1[[#This Row],[IV Calc C]]))*Table1[[#This Row],[Open.Int]]*Table1[[#This Row],[DeltaC]],0)</f>
        <v>0</v>
      </c>
      <c r="AP178">
        <f ca="1">IFERROR((EXP(0*Table1[[#This Row],[T]])*Table1[[#This Row],[put N(d1)]]*(Table1[[#This Row],[put d2]]/Table1[[#This Row],[IV Calc P]]))*Table1[[#This Row],[Open.Int8]]*Table1[[#This Row],[DeltaP]]*-1,0)</f>
        <v>0</v>
      </c>
      <c r="AQ178">
        <f ca="1">((Table1[[#This Row],[call vanna]]+Table1[[#This Row],[put vanna]])*$A$4)</f>
        <v>0</v>
      </c>
      <c r="AR17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8" s="9" t="str" cm="1">
        <f t="array" ref="AT178">_xlfn.IFS(     $M$1="SPX","SPXW",     $M$1="RUT","RUTW",  $M$1="NDX","NDXP",   TRUE,$M$1 )</f>
        <v>SPXW</v>
      </c>
      <c r="AU178" s="2">
        <f t="shared" si="17"/>
        <v>6915</v>
      </c>
      <c r="AV178" t="str">
        <f t="shared" si="18"/>
        <v>260123</v>
      </c>
      <c r="AW178" s="19">
        <f ca="1">IFERROR((EXP(0*Table1[[#This Row],[T]])*Table1[[#This Row],[put N(d1)]]*(Table1[[#This Row],[put d2]]/Table1[[#This Row],[IV Calc P]]))*Table1[[#This Row],[Open.Int8]]*Table1[[#This Row],[DeltaP]]*-1,0)</f>
        <v>0</v>
      </c>
      <c r="AX178">
        <f ca="1">IFERROR((EXP(0*Table1[[#This Row],[T]])*Table1[[#This Row],[call N(d1)]]*(Table1[[#This Row],[call d2]]/Table1[[#This Row],[IV Calc C]]))*Table1[[#This Row],[Open.Int]]*Table1[[#This Row],[DeltaC]],0)</f>
        <v>0</v>
      </c>
      <c r="AY17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8">
        <f>((Table1[[#This Row],[High C]]+Table1[[#This Row],[Low C]])/2)*Table1[[#This Row],[gammac]]*Table1[[#This Row],[Volume]]</f>
        <v>0</v>
      </c>
      <c r="BD178">
        <f>((Table1[[#This Row],[High P]]+Table1[[#This Row],[Low P]])/2)*Table1[[#This Row],[gammap]]*Table1[[#This Row],[Volume9]]*-1</f>
        <v>0</v>
      </c>
      <c r="BE178">
        <f>(Table1[[#This Row],[SgammaC]]+Table1[[#This Row],[SgammaP]])*$A$4*-100</f>
        <v>0</v>
      </c>
      <c r="BF178">
        <f>Table1[[#This Row],[DEXc]]+Table1[[#This Row],[DEXp]]</f>
        <v>0</v>
      </c>
      <c r="BG178">
        <f>IFERROR(Table1[[#This Row],[DeltaC]]*Table1[[#This Row],[Open.Int]]*$A$4,0)</f>
        <v>0</v>
      </c>
      <c r="BH178">
        <f>IFERROR(Table1[[#This Row],[DeltaP]]*Table1[[#This Row],[Open.Int8]]*$A$4,0)</f>
        <v>0</v>
      </c>
      <c r="BI17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8">
        <f ca="1">Table1[[#This Row],[Charmc]]+Table1[[#This Row],[Charmp]]</f>
        <v>0</v>
      </c>
      <c r="BL17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8" s="78">
        <f ca="1">Table1[[#This Row],[call helper]]+Table1[[#This Row],[put helper]]</f>
        <v>0</v>
      </c>
      <c r="BP178" t="str">
        <f>RTD("tos.rtd", , "STRIKE", "."&amp;Table1[[#This Row],[Ticker]]&amp;Table1[[#This Row],[Expiry]]&amp;""&amp;"C"&amp;Table1[[#This Row],[Spot]]+Table1[[#This Row],[step]])</f>
        <v>N/A</v>
      </c>
    </row>
    <row r="179" spans="1:68" x14ac:dyDescent="0.25">
      <c r="A179">
        <f t="shared" ca="1" si="14"/>
        <v>2.5814307458086375E-3</v>
      </c>
      <c r="C179" s="17"/>
      <c r="D179" t="b">
        <f>IF(
    ISNUMBER(Table1[[#This Row],[Strike]]),RTD("tos.rtd", , "OPEN_INT", "."&amp;Table1[[#This Row],[Ticker]]&amp;Table1[[#This Row],[Expiry]]&amp;""&amp;"C"&amp;Table1[[#This Row],[Strike]]))</f>
        <v>0</v>
      </c>
      <c r="E17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9" t="b">
        <f>IF(
    ISNUMBER(Table1[[#This Row],[Strike]]),RTD("tos.rtd", , "DELTA", "."&amp;Table1[[#This Row],[Ticker]]&amp;Table1[[#This Row],[Expiry]]&amp;""&amp;"C"&amp;Table1[[#This Row],[Strike]]))</f>
        <v>0</v>
      </c>
      <c r="H179" s="17" t="b" cm="1">
        <f t="array" ref="H179">IF(
    ISNUMBER(Table1[[#This Row],[Strike]]),IndividualLegIVCore($A$4, Table1[[#This Row],[Strike]], 0.0411, Table1[[#This Row],[T]], ((Table1[[#This Row],[BIDC]]+Table1[[#This Row],[ASKC]])/2), TRUE))</f>
        <v>0</v>
      </c>
      <c r="I179" t="b">
        <f>IF(
    ISNUMBER(Table1[[#This Row],[Strike]]),RTD("tos.rtd", , "BID", "."&amp;Table1[[#This Row],[Ticker]]&amp;Table1[[#This Row],[Expiry]]&amp;""&amp;"C"&amp;Table1[[#This Row],[Strike]]))</f>
        <v>0</v>
      </c>
      <c r="J179" t="b">
        <f>IF(
    ISNUMBER(Table1[[#This Row],[Strike]]),RTD("tos.rtd", , "ASK", "."&amp;Table1[[#This Row],[Ticker]]&amp;Table1[[#This Row],[Expiry]]&amp;""&amp;"C"&amp;Table1[[#This Row],[Strike]]))</f>
        <v>0</v>
      </c>
      <c r="K17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9" s="17" cm="1">
        <f t="array" aca="1" ref="L17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9" s="1">
        <f t="shared" si="15"/>
        <v>46045</v>
      </c>
      <c r="N179" t="b">
        <f t="shared" si="16"/>
        <v>0</v>
      </c>
      <c r="P179" s="17" t="b" cm="1">
        <f t="array" ref="P179">IF(
    ISNUMBER(Table1[[#This Row],[Strike]]),IndividualLegIVCore($A$4, Table1[[#This Row],[Strike]], 0.0411, Table1[[#This Row],[T]], ((Table1[[#This Row],[BIDP]]+Table1[[#This Row],[ASKP]])/2), FALSE))</f>
        <v>0</v>
      </c>
      <c r="Q179" t="b">
        <f>IF(
    ISNUMBER(Table1[[#This Row],[Strike]]),RTD("tos.rtd", , "BID", "."&amp;Table1[[#This Row],[Ticker]]&amp;Table1[[#This Row],[Expiry]]&amp;""&amp;"P"&amp;Table1[[#This Row],[Strike]]))</f>
        <v>0</v>
      </c>
      <c r="R179" t="b">
        <f>IF(
    ISNUMBER(Table1[[#This Row],[Strike]]),RTD("tos.rtd", , "ASK", "."&amp;Table1[[#This Row],[Ticker]]&amp;Table1[[#This Row],[Expiry]]&amp;""&amp;"P"&amp;Table1[[#This Row],[Strike]]))</f>
        <v>0</v>
      </c>
      <c r="S179" s="17"/>
      <c r="T179" t="b">
        <f>IF(
    ISNUMBER(Table1[[#This Row],[Strike]]),RTD("tos.rtd", , "OPEN_INT", "."&amp;Table1[[#This Row],[Ticker]]&amp;Table1[[#This Row],[Expiry]]&amp;""&amp;"P"&amp;Table1[[#This Row],[Strike]]))</f>
        <v>0</v>
      </c>
      <c r="U17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9" t="b">
        <f>IF(
    ISNUMBER(Table1[[#This Row],[Strike]]),RTD("tos.rtd", , "DELTA", "."&amp;Table1[[#This Row],[Ticker]]&amp;Table1[[#This Row],[Expiry]]&amp;""&amp;"P"&amp;Table1[[#This Row],[Strike]]))</f>
        <v>0</v>
      </c>
      <c r="Y179" s="19">
        <f>34.5* IF($M$1="NDX", 10, IF(OR($M$1="SPX", $M$1="RUT"), 2, 1))</f>
        <v>69</v>
      </c>
      <c r="Z179">
        <f ca="1">IFERROR(Table1[[#This Row],[call gamma]]*(Table1[[#This Row],[Open.Int]])*$A$4^2,0)</f>
        <v>0</v>
      </c>
      <c r="AA179">
        <f ca="1">IFERROR(((Table1[[#This Row],[Open.Int8]])*Table1[[#This Row],[Put gamma]])*-1*$A$4^2,0)</f>
        <v>0</v>
      </c>
      <c r="AB179">
        <f ca="1">(Table1[[#This Row],[Call Gex]]+Table1[[#This Row],[Put Gex]])</f>
        <v>0</v>
      </c>
      <c r="AC179">
        <f ca="1">Table1[[#This Row],[call delta adj]]+Table1[[#This Row],[put delta adj]]</f>
        <v>0</v>
      </c>
      <c r="AD179">
        <f ca="1">Table1[[#This Row],[Put Gex]]*Table1[[#This Row],[DeltaP]]*-1</f>
        <v>0</v>
      </c>
      <c r="AE179">
        <f ca="1">Table1[[#This Row],[Call Gex]]*Table1[[#This Row],[DeltaC]]</f>
        <v>0</v>
      </c>
      <c r="AF179">
        <f>IF(Table1[[#This Row],[DeltaC]]-ABS(Table1[[#This Row],[DeltaP]])="0","0.01",Table1[[#This Row],[DeltaC]]-ABS(Table1[[#This Row],[DeltaP]]))</f>
        <v>0</v>
      </c>
      <c r="AG179" t="e">
        <f ca="1">((LN($A$4/Table1[[#This Row],[Strike]]) + (0.411 + 0.5 * Table1[[#This Row],[IV Calc P]]^2) *Table1[[#This Row],[T]])) / (Table1[[#This Row],[IV Calc P]] * SQRT(Table1[[#This Row],[T]]))</f>
        <v>#DIV/0!</v>
      </c>
      <c r="AH179" t="e">
        <f ca="1">(LN($A$4/Table1[[#This Row],[Strike]]) + (0.411-0 + 0.5 * Table1[[#This Row],[IV Calc C]]^2) *Table1[[#This Row],[T]]) / (Table1[[#This Row],[IV Calc C]] * SQRT(Table1[[#This Row],[T]]))</f>
        <v>#DIV/0!</v>
      </c>
      <c r="AI179" t="e">
        <f ca="1">(EXP(-(AG179^2)/2)/SQRT(2*PI())*EXP(0*SQRT(Table1[[#This Row],[T]]))/$A$4*18%*SQRT(SQRT(Table1[[#This Row],[T]])))</f>
        <v>#DIV/0!</v>
      </c>
      <c r="AJ179" t="e">
        <f ca="1">(EXP(-(AH179^2)/2)/SQRT(2*PI())*EXP(0*SQRT(Table1[[#This Row],[T]]))/$A$4*18%*SQRT(SQRT(Table1[[#This Row],[T]])))</f>
        <v>#DIV/0!</v>
      </c>
      <c r="AK179" t="e">
        <f ca="1">Table1[[#This Row],[Call D1]]-Table1[[#This Row],[IV Calc C]]*SQRT(Table1[[#This Row],[T]])</f>
        <v>#DIV/0!</v>
      </c>
      <c r="AL179" t="e">
        <f ca="1">Table1[[#This Row],[Put D1]]-Table1[[#This Row],[IV Calc P]]*SQRT(Table1[[#This Row],[T]])</f>
        <v>#DIV/0!</v>
      </c>
      <c r="AM179" t="e">
        <f ca="1">EXP(-0.5*Table1[[#This Row],[Call D1]]^2)/SQRT(2*PI())</f>
        <v>#DIV/0!</v>
      </c>
      <c r="AN179" t="e">
        <f ca="1">EXP(-0.5*Table1[[#This Row],[Put D1]]^2)/SQRT(2*PI())</f>
        <v>#DIV/0!</v>
      </c>
      <c r="AO179">
        <f ca="1">IFERROR((EXP(0*Table1[[#This Row],[T]])*Table1[[#This Row],[call N(d1)]]*(Table1[[#This Row],[call d2]]/Table1[[#This Row],[IV Calc C]]))*Table1[[#This Row],[Open.Int]]*Table1[[#This Row],[DeltaC]],0)</f>
        <v>0</v>
      </c>
      <c r="AP179">
        <f ca="1">IFERROR((EXP(0*Table1[[#This Row],[T]])*Table1[[#This Row],[put N(d1)]]*(Table1[[#This Row],[put d2]]/Table1[[#This Row],[IV Calc P]]))*Table1[[#This Row],[Open.Int8]]*Table1[[#This Row],[DeltaP]]*-1,0)</f>
        <v>0</v>
      </c>
      <c r="AQ179">
        <f ca="1">((Table1[[#This Row],[call vanna]]+Table1[[#This Row],[put vanna]])*$A$4)</f>
        <v>0</v>
      </c>
      <c r="AR17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9" s="9" t="str" cm="1">
        <f t="array" ref="AT179">_xlfn.IFS(     $M$1="SPX","SPXW",     $M$1="RUT","RUTW",  $M$1="NDX","NDXP",   TRUE,$M$1 )</f>
        <v>SPXW</v>
      </c>
      <c r="AU179" s="2">
        <f t="shared" si="17"/>
        <v>6915</v>
      </c>
      <c r="AV179" t="str">
        <f t="shared" si="18"/>
        <v>260123</v>
      </c>
      <c r="AW179" s="19">
        <f ca="1">IFERROR((EXP(0*Table1[[#This Row],[T]])*Table1[[#This Row],[put N(d1)]]*(Table1[[#This Row],[put d2]]/Table1[[#This Row],[IV Calc P]]))*Table1[[#This Row],[Open.Int8]]*Table1[[#This Row],[DeltaP]]*-1,0)</f>
        <v>0</v>
      </c>
      <c r="AX179">
        <f ca="1">IFERROR((EXP(0*Table1[[#This Row],[T]])*Table1[[#This Row],[call N(d1)]]*(Table1[[#This Row],[call d2]]/Table1[[#This Row],[IV Calc C]]))*Table1[[#This Row],[Open.Int]]*Table1[[#This Row],[DeltaC]],0)</f>
        <v>0</v>
      </c>
      <c r="AY17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9">
        <f>((Table1[[#This Row],[High C]]+Table1[[#This Row],[Low C]])/2)*Table1[[#This Row],[gammac]]*Table1[[#This Row],[Volume]]</f>
        <v>0</v>
      </c>
      <c r="BD179">
        <f>((Table1[[#This Row],[High P]]+Table1[[#This Row],[Low P]])/2)*Table1[[#This Row],[gammap]]*Table1[[#This Row],[Volume9]]*-1</f>
        <v>0</v>
      </c>
      <c r="BE179">
        <f>(Table1[[#This Row],[SgammaC]]+Table1[[#This Row],[SgammaP]])*$A$4*-100</f>
        <v>0</v>
      </c>
      <c r="BF179">
        <f>Table1[[#This Row],[DEXc]]+Table1[[#This Row],[DEXp]]</f>
        <v>0</v>
      </c>
      <c r="BG179">
        <f>IFERROR(Table1[[#This Row],[DeltaC]]*Table1[[#This Row],[Open.Int]]*$A$4,0)</f>
        <v>0</v>
      </c>
      <c r="BH179">
        <f>IFERROR(Table1[[#This Row],[DeltaP]]*Table1[[#This Row],[Open.Int8]]*$A$4,0)</f>
        <v>0</v>
      </c>
      <c r="BI17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9">
        <f ca="1">Table1[[#This Row],[Charmc]]+Table1[[#This Row],[Charmp]]</f>
        <v>0</v>
      </c>
      <c r="BL17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9" s="78">
        <f ca="1">Table1[[#This Row],[call helper]]+Table1[[#This Row],[put helper]]</f>
        <v>0</v>
      </c>
      <c r="BP179" t="str">
        <f>RTD("tos.rtd", , "STRIKE", "."&amp;Table1[[#This Row],[Ticker]]&amp;Table1[[#This Row],[Expiry]]&amp;""&amp;"C"&amp;Table1[[#This Row],[Spot]]+Table1[[#This Row],[step]])</f>
        <v>N/A</v>
      </c>
    </row>
    <row r="180" spans="1:68" x14ac:dyDescent="0.25">
      <c r="A180">
        <f t="shared" ca="1" si="14"/>
        <v>2.5814307458086375E-3</v>
      </c>
      <c r="C180" s="17"/>
      <c r="D180">
        <f>IF(
    ISNUMBER(Table1[[#This Row],[Strike]]),RTD("tos.rtd", , "OPEN_INT", "."&amp;Table1[[#This Row],[Ticker]]&amp;Table1[[#This Row],[Expiry]]&amp;""&amp;"C"&amp;Table1[[#This Row],[Strike]]))</f>
        <v>6535</v>
      </c>
      <c r="E18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7960</v>
      </c>
      <c r="G180">
        <f>IF(
    ISNUMBER(Table1[[#This Row],[Strike]]),RTD("tos.rtd", , "DELTA", "."&amp;Table1[[#This Row],[Ticker]]&amp;Table1[[#This Row],[Expiry]]&amp;""&amp;"C"&amp;Table1[[#This Row],[Strike]]))</f>
        <v>0.03</v>
      </c>
      <c r="H180" s="17" cm="1">
        <f t="array" aca="1" ref="H180" ca="1">IF(
    ISNUMBER(Table1[[#This Row],[Strike]]),IndividualLegIVCore($A$4, Table1[[#This Row],[Strike]], 0.0411, Table1[[#This Row],[T]], ((Table1[[#This Row],[BIDC]]+Table1[[#This Row],[ASKC]])/2), TRUE))</f>
        <v>0.10287181763561518</v>
      </c>
      <c r="I180">
        <f>IF(
    ISNUMBER(Table1[[#This Row],[Strike]]),RTD("tos.rtd", , "BID", "."&amp;Table1[[#This Row],[Ticker]]&amp;Table1[[#This Row],[Expiry]]&amp;""&amp;"C"&amp;Table1[[#This Row],[Strike]]))</f>
        <v>0.3</v>
      </c>
      <c r="J180">
        <f>IF(
    ISNUMBER(Table1[[#This Row],[Strike]]),RTD("tos.rtd", , "ASK", "."&amp;Table1[[#This Row],[Ticker]]&amp;Table1[[#This Row],[Expiry]]&amp;""&amp;"C"&amp;Table1[[#This Row],[Strike]]))</f>
        <v>0.4</v>
      </c>
      <c r="K18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0.10287181763561518</v>
      </c>
      <c r="L180" s="17" cm="1">
        <f t="array" aca="1" ref="L180" ca="1">CubicSplineIVSmile($A$4, Table1[[#This Row],[Strike]], 0.0411, Table1[[#This Row],[T]], (Table1[[#This Row],[BIDC]]+Table1[[#This Row],[ASKC]])/2, (Table1[[#This Row],[BIDP]]+Table1[[#This Row],[ASKP]])/2, Table1[Strike], Table1[IV Calc AVG])</f>
        <v>0.18394027739344745</v>
      </c>
      <c r="M180" s="1">
        <f t="shared" si="15"/>
        <v>46045</v>
      </c>
      <c r="N180">
        <f t="shared" si="16"/>
        <v>6985</v>
      </c>
      <c r="P180" s="17" cm="1">
        <f t="array" aca="1" ref="P180" ca="1">IF(
    ISNUMBER(Table1[[#This Row],[Strike]]),IndividualLegIVCore($A$4, Table1[[#This Row],[Strike]], 0.0411, Table1[[#This Row],[T]], ((Table1[[#This Row],[BIDP]]+Table1[[#This Row],[ASKP]])/2), FALSE))</f>
        <v>0.19165524132971926</v>
      </c>
      <c r="Q180">
        <f>IF(
    ISNUMBER(Table1[[#This Row],[Strike]]),RTD("tos.rtd", , "BID", "."&amp;Table1[[#This Row],[Ticker]]&amp;Table1[[#This Row],[Expiry]]&amp;""&amp;"P"&amp;Table1[[#This Row],[Strike]]))</f>
        <v>73.7</v>
      </c>
      <c r="R180">
        <f>IF(
    ISNUMBER(Table1[[#This Row],[Strike]]),RTD("tos.rtd", , "ASK", "."&amp;Table1[[#This Row],[Ticker]]&amp;Table1[[#This Row],[Expiry]]&amp;""&amp;"P"&amp;Table1[[#This Row],[Strike]]))</f>
        <v>78.400000000000006</v>
      </c>
      <c r="S180" s="17"/>
      <c r="T180">
        <f>IF(
    ISNUMBER(Table1[[#This Row],[Strike]]),RTD("tos.rtd", , "OPEN_INT", "."&amp;Table1[[#This Row],[Ticker]]&amp;Table1[[#This Row],[Expiry]]&amp;""&amp;"P"&amp;Table1[[#This Row],[Strike]]))</f>
        <v>220</v>
      </c>
      <c r="U18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168</v>
      </c>
      <c r="W180">
        <f>IF(
    ISNUMBER(Table1[[#This Row],[Strike]]),RTD("tos.rtd", , "DELTA", "."&amp;Table1[[#This Row],[Ticker]]&amp;Table1[[#This Row],[Expiry]]&amp;""&amp;"P"&amp;Table1[[#This Row],[Strike]]))</f>
        <v>-0.85</v>
      </c>
      <c r="Y180" s="19">
        <f>35* IF($M$1="NDX", 10, IF(OR($M$1="SPX", $M$1="RUT"), 2, 1))</f>
        <v>70</v>
      </c>
      <c r="Z180">
        <f ca="1">IFERROR(Table1[[#This Row],[call gamma]]*(Table1[[#This Row],[Open.Int]])*$A$4^2,0)</f>
        <v>153466.89966780978</v>
      </c>
      <c r="AA180">
        <f ca="1">IFERROR(((Table1[[#This Row],[Open.Int8]])*Table1[[#This Row],[Put gamma]])*-1*$A$4^2,0)</f>
        <v>-15751.766369354218</v>
      </c>
      <c r="AB180">
        <f ca="1">(Table1[[#This Row],[Call Gex]]+Table1[[#This Row],[Put Gex]])</f>
        <v>137715.13329845556</v>
      </c>
      <c r="AC180">
        <f ca="1">Table1[[#This Row],[call delta adj]]+Table1[[#This Row],[put delta adj]]</f>
        <v>-8784.9944239167926</v>
      </c>
      <c r="AD180">
        <f ca="1">Table1[[#This Row],[Put Gex]]*Table1[[#This Row],[DeltaP]]*-1</f>
        <v>-13389.001413951086</v>
      </c>
      <c r="AE180">
        <f ca="1">Table1[[#This Row],[Call Gex]]*Table1[[#This Row],[DeltaC]]</f>
        <v>4604.0069900342933</v>
      </c>
      <c r="AF180">
        <f>IF(Table1[[#This Row],[DeltaC]]-ABS(Table1[[#This Row],[DeltaP]])="0","0.01",Table1[[#This Row],[DeltaC]]-ABS(Table1[[#This Row],[DeltaP]]))</f>
        <v>-0.82</v>
      </c>
      <c r="AG180">
        <f ca="1">((LN($A$4/Table1[[#This Row],[Strike]]) + (0.411 + 0.5 * Table1[[#This Row],[IV Calc P]]^2) *Table1[[#This Row],[T]])) / (Table1[[#This Row],[IV Calc P]] * SQRT(Table1[[#This Row],[T]]))</f>
        <v>-0.94502860304733505</v>
      </c>
      <c r="AH180">
        <f ca="1">(LN($A$4/Table1[[#This Row],[Strike]]) + (0.411-0 + 0.5 * Table1[[#This Row],[IV Calc C]]^2) *Table1[[#This Row],[T]]) / (Table1[[#This Row],[IV Calc C]] * SQRT(Table1[[#This Row],[T]]))</f>
        <v>-1.7670920819143987</v>
      </c>
      <c r="AI180">
        <f ca="1">(EXP(-(AG180^2)/2)/SQRT(2*PI())*EXP(0*SQRT(Table1[[#This Row],[T]]))/$A$4*18%*SQRT(SQRT(Table1[[#This Row],[T]])))</f>
        <v>1.4980609804645055E-6</v>
      </c>
      <c r="AJ180">
        <f ca="1">(EXP(-(AH180^2)/2)/SQRT(2*PI())*EXP(0*SQRT(Table1[[#This Row],[T]]))/$A$4*18%*SQRT(SQRT(Table1[[#This Row],[T]])))</f>
        <v>4.9135122035126228E-7</v>
      </c>
      <c r="AK180">
        <f ca="1">Table1[[#This Row],[Call D1]]-Table1[[#This Row],[IV Calc C]]*SQRT(Table1[[#This Row],[T]])</f>
        <v>-1.7723187708332429</v>
      </c>
      <c r="AL180">
        <f ca="1">Table1[[#This Row],[Put D1]]-Table1[[#This Row],[IV Calc P]]*SQRT(Table1[[#This Row],[T]])</f>
        <v>-0.95476618083219222</v>
      </c>
      <c r="AM180">
        <f ca="1">EXP(-0.5*Table1[[#This Row],[Call D1]]^2)/SQRT(2*PI())</f>
        <v>8.3722648542292721E-2</v>
      </c>
      <c r="AN180">
        <f ca="1">EXP(-0.5*Table1[[#This Row],[Put D1]]^2)/SQRT(2*PI())</f>
        <v>0.25525861698825031</v>
      </c>
      <c r="AO180">
        <f ca="1">IFERROR((EXP(0*Table1[[#This Row],[T]])*Table1[[#This Row],[call N(d1)]]*(Table1[[#This Row],[call d2]]/Table1[[#This Row],[IV Calc C]]))*Table1[[#This Row],[Open.Int]]*Table1[[#This Row],[DeltaC]],0)</f>
        <v>-282.78425767662145</v>
      </c>
      <c r="AP180">
        <f ca="1">IFERROR((EXP(0*Table1[[#This Row],[T]])*Table1[[#This Row],[put N(d1)]]*(Table1[[#This Row],[put d2]]/Table1[[#This Row],[IV Calc P]]))*Table1[[#This Row],[Open.Int8]]*Table1[[#This Row],[DeltaP]]*-1,0)</f>
        <v>-237.79260522078854</v>
      </c>
      <c r="AQ180">
        <f ca="1">((Table1[[#This Row],[call vanna]]+Table1[[#This Row],[put vanna]])*$A$4)</f>
        <v>-3598930.0551118096</v>
      </c>
      <c r="AR18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153466.89966780978</v>
      </c>
      <c r="AS18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-15751.766369354218</v>
      </c>
      <c r="AT180" s="9" t="str" cm="1">
        <f t="array" ref="AT180">_xlfn.IFS(     $M$1="SPX","SPXW",     $M$1="RUT","RUTW",  $M$1="NDX","NDXP",   TRUE,$M$1 )</f>
        <v>SPXW</v>
      </c>
      <c r="AU180" s="2">
        <f t="shared" si="17"/>
        <v>6915</v>
      </c>
      <c r="AV180" t="str">
        <f t="shared" si="18"/>
        <v>260123</v>
      </c>
      <c r="AW180" s="19">
        <f ca="1">IFERROR((EXP(0*Table1[[#This Row],[T]])*Table1[[#This Row],[put N(d1)]]*(Table1[[#This Row],[put d2]]/Table1[[#This Row],[IV Calc P]]))*Table1[[#This Row],[Open.Int8]]*Table1[[#This Row],[DeltaP]]*-1,0)</f>
        <v>-237.79260522078854</v>
      </c>
      <c r="AX180">
        <f ca="1">IFERROR((EXP(0*Table1[[#This Row],[T]])*Table1[[#This Row],[call N(d1)]]*(Table1[[#This Row],[call d2]]/Table1[[#This Row],[IV Calc C]]))*Table1[[#This Row],[Open.Int]]*Table1[[#This Row],[DeltaC]],0)</f>
        <v>-282.78425767662145</v>
      </c>
      <c r="AY180">
        <f>IF(
    ISNUMBER(Table1[[#This Row],[Strike]]),RTD("tos.rtd", , "high", "."&amp;Table1[[#This Row],[Ticker]]&amp;Table1[[#This Row],[Expiry]]&amp;""&amp;"C"&amp;Table1[[#This Row],[Spot]]+Table1[[#This Row],[step]]))</f>
        <v>3.4</v>
      </c>
      <c r="AZ180">
        <f>IF(
    ISNUMBER(Table1[[#This Row],[Strike]]),RTD("tos.rtd", , "low", "."&amp;Table1[[#This Row],[Ticker]]&amp;Table1[[#This Row],[Expiry]]&amp;""&amp;"C"&amp;Table1[[#This Row],[Spot]]+Table1[[#This Row],[step]]))</f>
        <v>0.32</v>
      </c>
      <c r="BA180">
        <f>IF(
    ISNUMBER(Table1[[#This Row],[Strike]]),RTD("tos.rtd", , "high", "."&amp;Table1[[#This Row],[Ticker]]&amp;Table1[[#This Row],[Expiry]]&amp;""&amp;"P"&amp;Table1[[#This Row],[Spot]]+Table1[[#This Row],[step]]))</f>
        <v>87.53</v>
      </c>
      <c r="BB180">
        <f>IF(
    ISNUMBER(Table1[[#This Row],[Strike]]),RTD("tos.rtd", , "low", "."&amp;Table1[[#This Row],[Ticker]]&amp;Table1[[#This Row],[Expiry]]&amp;""&amp;"P"&amp;Table1[[#This Row],[Spot]]+Table1[[#This Row],[step]]))</f>
        <v>51</v>
      </c>
      <c r="BC180">
        <f>((Table1[[#This Row],[High C]]+Table1[[#This Row],[Low C]])/2)*Table1[[#This Row],[gammac]]*Table1[[#This Row],[Volume]]</f>
        <v>0</v>
      </c>
      <c r="BD180">
        <f>((Table1[[#This Row],[High P]]+Table1[[#This Row],[Low P]])/2)*Table1[[#This Row],[gammap]]*Table1[[#This Row],[Volume9]]*-1</f>
        <v>0</v>
      </c>
      <c r="BE180">
        <f>(Table1[[#This Row],[SgammaC]]+Table1[[#This Row],[SgammaP]])*$A$4*-100</f>
        <v>0</v>
      </c>
      <c r="BF180">
        <f>Table1[[#This Row],[DEXc]]+Table1[[#This Row],[DEXp]]</f>
        <v>62565.817499999888</v>
      </c>
      <c r="BG180">
        <f>IFERROR(Table1[[#This Row],[DeltaC]]*Table1[[#This Row],[Open.Int]]*$A$4,0)</f>
        <v>1355362.2674999998</v>
      </c>
      <c r="BH180">
        <f>IFERROR(Table1[[#This Row],[DeltaP]]*Table1[[#This Row],[Open.Int8]]*$A$4,0)</f>
        <v>-1292796.45</v>
      </c>
      <c r="BI1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-7509917.7339446237</v>
      </c>
      <c r="BJ18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-1047354.6319440638</v>
      </c>
      <c r="BK180">
        <f ca="1">Table1[[#This Row],[Charmc]]+Table1[[#This Row],[Charmp]]</f>
        <v>-8557272.3658886869</v>
      </c>
      <c r="BL18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0" s="78">
        <f ca="1">Table1[[#This Row],[call helper]]+Table1[[#This Row],[put helper]]</f>
        <v>137715.13329845556</v>
      </c>
      <c r="BP180">
        <f>RTD("tos.rtd", , "STRIKE", "."&amp;Table1[[#This Row],[Ticker]]&amp;Table1[[#This Row],[Expiry]]&amp;""&amp;"C"&amp;Table1[[#This Row],[Spot]]+Table1[[#This Row],[step]])</f>
        <v>6985</v>
      </c>
    </row>
    <row r="181" spans="1:68" x14ac:dyDescent="0.25">
      <c r="A181">
        <f t="shared" ca="1" si="14"/>
        <v>2.5814307458086375E-3</v>
      </c>
      <c r="C181" s="17"/>
      <c r="D181" t="b">
        <f>IF(
    ISNUMBER(Table1[[#This Row],[Strike]]),RTD("tos.rtd", , "OPEN_INT", "."&amp;Table1[[#This Row],[Ticker]]&amp;Table1[[#This Row],[Expiry]]&amp;""&amp;"C"&amp;Table1[[#This Row],[Strike]]))</f>
        <v>0</v>
      </c>
      <c r="E18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1" t="b">
        <f>IF(
    ISNUMBER(Table1[[#This Row],[Strike]]),RTD("tos.rtd", , "DELTA", "."&amp;Table1[[#This Row],[Ticker]]&amp;Table1[[#This Row],[Expiry]]&amp;""&amp;"C"&amp;Table1[[#This Row],[Strike]]))</f>
        <v>0</v>
      </c>
      <c r="H181" s="17" t="b" cm="1">
        <f t="array" ref="H181">IF(
    ISNUMBER(Table1[[#This Row],[Strike]]),IndividualLegIVCore($A$4, Table1[[#This Row],[Strike]], 0.0411, Table1[[#This Row],[T]], ((Table1[[#This Row],[BIDC]]+Table1[[#This Row],[ASKC]])/2), TRUE))</f>
        <v>0</v>
      </c>
      <c r="I181" t="b">
        <f>IF(
    ISNUMBER(Table1[[#This Row],[Strike]]),RTD("tos.rtd", , "BID", "."&amp;Table1[[#This Row],[Ticker]]&amp;Table1[[#This Row],[Expiry]]&amp;""&amp;"C"&amp;Table1[[#This Row],[Strike]]))</f>
        <v>0</v>
      </c>
      <c r="J181" t="b">
        <f>IF(
    ISNUMBER(Table1[[#This Row],[Strike]]),RTD("tos.rtd", , "ASK", "."&amp;Table1[[#This Row],[Ticker]]&amp;Table1[[#This Row],[Expiry]]&amp;""&amp;"C"&amp;Table1[[#This Row],[Strike]]))</f>
        <v>0</v>
      </c>
      <c r="K18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1" s="17" cm="1">
        <f t="array" aca="1" ref="L18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1" s="1">
        <f t="shared" si="15"/>
        <v>46045</v>
      </c>
      <c r="N181" t="b">
        <f t="shared" si="16"/>
        <v>0</v>
      </c>
      <c r="P181" s="17" t="b" cm="1">
        <f t="array" ref="P181">IF(
    ISNUMBER(Table1[[#This Row],[Strike]]),IndividualLegIVCore($A$4, Table1[[#This Row],[Strike]], 0.0411, Table1[[#This Row],[T]], ((Table1[[#This Row],[BIDP]]+Table1[[#This Row],[ASKP]])/2), FALSE))</f>
        <v>0</v>
      </c>
      <c r="Q181" t="b">
        <f>IF(
    ISNUMBER(Table1[[#This Row],[Strike]]),RTD("tos.rtd", , "BID", "."&amp;Table1[[#This Row],[Ticker]]&amp;Table1[[#This Row],[Expiry]]&amp;""&amp;"P"&amp;Table1[[#This Row],[Strike]]))</f>
        <v>0</v>
      </c>
      <c r="R181" t="b">
        <f>IF(
    ISNUMBER(Table1[[#This Row],[Strike]]),RTD("tos.rtd", , "ASK", "."&amp;Table1[[#This Row],[Ticker]]&amp;Table1[[#This Row],[Expiry]]&amp;""&amp;"P"&amp;Table1[[#This Row],[Strike]]))</f>
        <v>0</v>
      </c>
      <c r="S181" s="17"/>
      <c r="T181" t="b">
        <f>IF(
    ISNUMBER(Table1[[#This Row],[Strike]]),RTD("tos.rtd", , "OPEN_INT", "."&amp;Table1[[#This Row],[Ticker]]&amp;Table1[[#This Row],[Expiry]]&amp;""&amp;"P"&amp;Table1[[#This Row],[Strike]]))</f>
        <v>0</v>
      </c>
      <c r="U18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1" t="b">
        <f>IF(
    ISNUMBER(Table1[[#This Row],[Strike]]),RTD("tos.rtd", , "DELTA", "."&amp;Table1[[#This Row],[Ticker]]&amp;Table1[[#This Row],[Expiry]]&amp;""&amp;"P"&amp;Table1[[#This Row],[Strike]]))</f>
        <v>0</v>
      </c>
      <c r="Y181" s="19">
        <f>35.5* IF($M$1="NDX", 10, IF(OR($M$1="SPX", $M$1="RUT"), 2, 1))</f>
        <v>71</v>
      </c>
      <c r="Z181">
        <f ca="1">IFERROR(Table1[[#This Row],[call gamma]]*(Table1[[#This Row],[Open.Int]])*$A$4^2,0)</f>
        <v>0</v>
      </c>
      <c r="AA181">
        <f ca="1">IFERROR(((Table1[[#This Row],[Open.Int8]])*Table1[[#This Row],[Put gamma]])*-1*$A$4^2,0)</f>
        <v>0</v>
      </c>
      <c r="AB181">
        <f ca="1">(Table1[[#This Row],[Call Gex]]+Table1[[#This Row],[Put Gex]])</f>
        <v>0</v>
      </c>
      <c r="AC181">
        <f ca="1">Table1[[#This Row],[call delta adj]]+Table1[[#This Row],[put delta adj]]</f>
        <v>0</v>
      </c>
      <c r="AD181">
        <f ca="1">Table1[[#This Row],[Put Gex]]*Table1[[#This Row],[DeltaP]]*-1</f>
        <v>0</v>
      </c>
      <c r="AE181">
        <f ca="1">Table1[[#This Row],[Call Gex]]*Table1[[#This Row],[DeltaC]]</f>
        <v>0</v>
      </c>
      <c r="AF181">
        <f>IF(Table1[[#This Row],[DeltaC]]-ABS(Table1[[#This Row],[DeltaP]])="0","0.01",Table1[[#This Row],[DeltaC]]-ABS(Table1[[#This Row],[DeltaP]]))</f>
        <v>0</v>
      </c>
      <c r="AG181" t="e">
        <f ca="1">((LN($A$4/Table1[[#This Row],[Strike]]) + (0.411 + 0.5 * Table1[[#This Row],[IV Calc P]]^2) *Table1[[#This Row],[T]])) / (Table1[[#This Row],[IV Calc P]] * SQRT(Table1[[#This Row],[T]]))</f>
        <v>#DIV/0!</v>
      </c>
      <c r="AH181" t="e">
        <f ca="1">(LN($A$4/Table1[[#This Row],[Strike]]) + (0.411-0 + 0.5 * Table1[[#This Row],[IV Calc C]]^2) *Table1[[#This Row],[T]]) / (Table1[[#This Row],[IV Calc C]] * SQRT(Table1[[#This Row],[T]]))</f>
        <v>#DIV/0!</v>
      </c>
      <c r="AI181" t="e">
        <f ca="1">(EXP(-(AG181^2)/2)/SQRT(2*PI())*EXP(0*SQRT(Table1[[#This Row],[T]]))/$A$4*18%*SQRT(SQRT(Table1[[#This Row],[T]])))</f>
        <v>#DIV/0!</v>
      </c>
      <c r="AJ181" t="e">
        <f ca="1">(EXP(-(AH181^2)/2)/SQRT(2*PI())*EXP(0*SQRT(Table1[[#This Row],[T]]))/$A$4*18%*SQRT(SQRT(Table1[[#This Row],[T]])))</f>
        <v>#DIV/0!</v>
      </c>
      <c r="AK181" t="e">
        <f ca="1">Table1[[#This Row],[Call D1]]-Table1[[#This Row],[IV Calc C]]*SQRT(Table1[[#This Row],[T]])</f>
        <v>#DIV/0!</v>
      </c>
      <c r="AL181" t="e">
        <f ca="1">Table1[[#This Row],[Put D1]]-Table1[[#This Row],[IV Calc P]]*SQRT(Table1[[#This Row],[T]])</f>
        <v>#DIV/0!</v>
      </c>
      <c r="AM181" t="e">
        <f ca="1">EXP(-0.5*Table1[[#This Row],[Call D1]]^2)/SQRT(2*PI())</f>
        <v>#DIV/0!</v>
      </c>
      <c r="AN181" t="e">
        <f ca="1">EXP(-0.5*Table1[[#This Row],[Put D1]]^2)/SQRT(2*PI())</f>
        <v>#DIV/0!</v>
      </c>
      <c r="AO181">
        <f ca="1">IFERROR((EXP(0*Table1[[#This Row],[T]])*Table1[[#This Row],[call N(d1)]]*(Table1[[#This Row],[call d2]]/Table1[[#This Row],[IV Calc C]]))*Table1[[#This Row],[Open.Int]]*Table1[[#This Row],[DeltaC]],0)</f>
        <v>0</v>
      </c>
      <c r="AP181">
        <f ca="1">IFERROR((EXP(0*Table1[[#This Row],[T]])*Table1[[#This Row],[put N(d1)]]*(Table1[[#This Row],[put d2]]/Table1[[#This Row],[IV Calc P]]))*Table1[[#This Row],[Open.Int8]]*Table1[[#This Row],[DeltaP]]*-1,0)</f>
        <v>0</v>
      </c>
      <c r="AQ181">
        <f ca="1">((Table1[[#This Row],[call vanna]]+Table1[[#This Row],[put vanna]])*$A$4)</f>
        <v>0</v>
      </c>
      <c r="AR18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1" s="9" t="str" cm="1">
        <f t="array" ref="AT181">_xlfn.IFS(     $M$1="SPX","SPXW",     $M$1="RUT","RUTW",  $M$1="NDX","NDXP",   TRUE,$M$1 )</f>
        <v>SPXW</v>
      </c>
      <c r="AU181" s="2">
        <f t="shared" si="17"/>
        <v>6915</v>
      </c>
      <c r="AV181" t="str">
        <f t="shared" si="18"/>
        <v>260123</v>
      </c>
      <c r="AW181" s="19">
        <f ca="1">IFERROR((EXP(0*Table1[[#This Row],[T]])*Table1[[#This Row],[put N(d1)]]*(Table1[[#This Row],[put d2]]/Table1[[#This Row],[IV Calc P]]))*Table1[[#This Row],[Open.Int8]]*Table1[[#This Row],[DeltaP]]*-1,0)</f>
        <v>0</v>
      </c>
      <c r="AX181">
        <f ca="1">IFERROR((EXP(0*Table1[[#This Row],[T]])*Table1[[#This Row],[call N(d1)]]*(Table1[[#This Row],[call d2]]/Table1[[#This Row],[IV Calc C]]))*Table1[[#This Row],[Open.Int]]*Table1[[#This Row],[DeltaC]],0)</f>
        <v>0</v>
      </c>
      <c r="AY18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1">
        <f>((Table1[[#This Row],[High C]]+Table1[[#This Row],[Low C]])/2)*Table1[[#This Row],[gammac]]*Table1[[#This Row],[Volume]]</f>
        <v>0</v>
      </c>
      <c r="BD181">
        <f>((Table1[[#This Row],[High P]]+Table1[[#This Row],[Low P]])/2)*Table1[[#This Row],[gammap]]*Table1[[#This Row],[Volume9]]*-1</f>
        <v>0</v>
      </c>
      <c r="BE181">
        <f>(Table1[[#This Row],[SgammaC]]+Table1[[#This Row],[SgammaP]])*$A$4*-100</f>
        <v>0</v>
      </c>
      <c r="BF181">
        <f>Table1[[#This Row],[DEXc]]+Table1[[#This Row],[DEXp]]</f>
        <v>0</v>
      </c>
      <c r="BG181">
        <f>IFERROR(Table1[[#This Row],[DeltaC]]*Table1[[#This Row],[Open.Int]]*$A$4,0)</f>
        <v>0</v>
      </c>
      <c r="BH181">
        <f>IFERROR(Table1[[#This Row],[DeltaP]]*Table1[[#This Row],[Open.Int8]]*$A$4,0)</f>
        <v>0</v>
      </c>
      <c r="BI1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1">
        <f ca="1">Table1[[#This Row],[Charmc]]+Table1[[#This Row],[Charmp]]</f>
        <v>0</v>
      </c>
      <c r="BL18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1" s="78">
        <f ca="1">Table1[[#This Row],[call helper]]+Table1[[#This Row],[put helper]]</f>
        <v>0</v>
      </c>
      <c r="BP181" t="str">
        <f>RTD("tos.rtd", , "STRIKE", "."&amp;Table1[[#This Row],[Ticker]]&amp;Table1[[#This Row],[Expiry]]&amp;""&amp;"C"&amp;Table1[[#This Row],[Spot]]+Table1[[#This Row],[step]])</f>
        <v>N/A</v>
      </c>
    </row>
    <row r="182" spans="1:68" x14ac:dyDescent="0.25">
      <c r="A182">
        <f t="shared" ca="1" si="14"/>
        <v>2.5814307458086375E-3</v>
      </c>
      <c r="C182" s="17"/>
      <c r="D182" t="b">
        <f>IF(
    ISNUMBER(Table1[[#This Row],[Strike]]),RTD("tos.rtd", , "OPEN_INT", "."&amp;Table1[[#This Row],[Ticker]]&amp;Table1[[#This Row],[Expiry]]&amp;""&amp;"C"&amp;Table1[[#This Row],[Strike]]))</f>
        <v>0</v>
      </c>
      <c r="E18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2" t="b">
        <f>IF(
    ISNUMBER(Table1[[#This Row],[Strike]]),RTD("tos.rtd", , "DELTA", "."&amp;Table1[[#This Row],[Ticker]]&amp;Table1[[#This Row],[Expiry]]&amp;""&amp;"C"&amp;Table1[[#This Row],[Strike]]))</f>
        <v>0</v>
      </c>
      <c r="H182" s="17" t="b" cm="1">
        <f t="array" ref="H182">IF(
    ISNUMBER(Table1[[#This Row],[Strike]]),IndividualLegIVCore($A$4, Table1[[#This Row],[Strike]], 0.0411, Table1[[#This Row],[T]], ((Table1[[#This Row],[BIDC]]+Table1[[#This Row],[ASKC]])/2), TRUE))</f>
        <v>0</v>
      </c>
      <c r="I182" t="b">
        <f>IF(
    ISNUMBER(Table1[[#This Row],[Strike]]),RTD("tos.rtd", , "BID", "."&amp;Table1[[#This Row],[Ticker]]&amp;Table1[[#This Row],[Expiry]]&amp;""&amp;"C"&amp;Table1[[#This Row],[Strike]]))</f>
        <v>0</v>
      </c>
      <c r="J182" t="b">
        <f>IF(
    ISNUMBER(Table1[[#This Row],[Strike]]),RTD("tos.rtd", , "ASK", "."&amp;Table1[[#This Row],[Ticker]]&amp;Table1[[#This Row],[Expiry]]&amp;""&amp;"C"&amp;Table1[[#This Row],[Strike]]))</f>
        <v>0</v>
      </c>
      <c r="K18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2" s="17" cm="1">
        <f t="array" aca="1" ref="L18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2" s="1">
        <f t="shared" si="15"/>
        <v>46045</v>
      </c>
      <c r="N182" t="b">
        <f t="shared" si="16"/>
        <v>0</v>
      </c>
      <c r="P182" s="17" t="b" cm="1">
        <f t="array" ref="P182">IF(
    ISNUMBER(Table1[[#This Row],[Strike]]),IndividualLegIVCore($A$4, Table1[[#This Row],[Strike]], 0.0411, Table1[[#This Row],[T]], ((Table1[[#This Row],[BIDP]]+Table1[[#This Row],[ASKP]])/2), FALSE))</f>
        <v>0</v>
      </c>
      <c r="Q182" t="b">
        <f>IF(
    ISNUMBER(Table1[[#This Row],[Strike]]),RTD("tos.rtd", , "BID", "."&amp;Table1[[#This Row],[Ticker]]&amp;Table1[[#This Row],[Expiry]]&amp;""&amp;"P"&amp;Table1[[#This Row],[Strike]]))</f>
        <v>0</v>
      </c>
      <c r="R182" t="b">
        <f>IF(
    ISNUMBER(Table1[[#This Row],[Strike]]),RTD("tos.rtd", , "ASK", "."&amp;Table1[[#This Row],[Ticker]]&amp;Table1[[#This Row],[Expiry]]&amp;""&amp;"P"&amp;Table1[[#This Row],[Strike]]))</f>
        <v>0</v>
      </c>
      <c r="S182" s="17"/>
      <c r="T182" t="b">
        <f>IF(
    ISNUMBER(Table1[[#This Row],[Strike]]),RTD("tos.rtd", , "OPEN_INT", "."&amp;Table1[[#This Row],[Ticker]]&amp;Table1[[#This Row],[Expiry]]&amp;""&amp;"P"&amp;Table1[[#This Row],[Strike]]))</f>
        <v>0</v>
      </c>
      <c r="U18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2" t="b">
        <f>IF(
    ISNUMBER(Table1[[#This Row],[Strike]]),RTD("tos.rtd", , "DELTA", "."&amp;Table1[[#This Row],[Ticker]]&amp;Table1[[#This Row],[Expiry]]&amp;""&amp;"P"&amp;Table1[[#This Row],[Strike]]))</f>
        <v>0</v>
      </c>
      <c r="Y182" s="19">
        <f>36* IF($M$1="NDX", 10, IF(OR($M$1="SPX", $M$1="RUT"), 2, 1))</f>
        <v>72</v>
      </c>
      <c r="Z182">
        <f ca="1">IFERROR(Table1[[#This Row],[call gamma]]*(Table1[[#This Row],[Open.Int]])*$A$4^2,0)</f>
        <v>0</v>
      </c>
      <c r="AA182">
        <f ca="1">IFERROR(((Table1[[#This Row],[Open.Int8]])*Table1[[#This Row],[Put gamma]])*-1*$A$4^2,0)</f>
        <v>0</v>
      </c>
      <c r="AB182">
        <f ca="1">(Table1[[#This Row],[Call Gex]]+Table1[[#This Row],[Put Gex]])</f>
        <v>0</v>
      </c>
      <c r="AC182">
        <f ca="1">Table1[[#This Row],[call delta adj]]+Table1[[#This Row],[put delta adj]]</f>
        <v>0</v>
      </c>
      <c r="AD182">
        <f ca="1">Table1[[#This Row],[Put Gex]]*Table1[[#This Row],[DeltaP]]*-1</f>
        <v>0</v>
      </c>
      <c r="AE182">
        <f ca="1">Table1[[#This Row],[Call Gex]]*Table1[[#This Row],[DeltaC]]</f>
        <v>0</v>
      </c>
      <c r="AF182">
        <f>IF(Table1[[#This Row],[DeltaC]]-ABS(Table1[[#This Row],[DeltaP]])="0","0.01",Table1[[#This Row],[DeltaC]]-ABS(Table1[[#This Row],[DeltaP]]))</f>
        <v>0</v>
      </c>
      <c r="AG182" t="e">
        <f ca="1">((LN($A$4/Table1[[#This Row],[Strike]]) + (0.411 + 0.5 * Table1[[#This Row],[IV Calc P]]^2) *Table1[[#This Row],[T]])) / (Table1[[#This Row],[IV Calc P]] * SQRT(Table1[[#This Row],[T]]))</f>
        <v>#DIV/0!</v>
      </c>
      <c r="AH182" t="e">
        <f ca="1">(LN($A$4/Table1[[#This Row],[Strike]]) + (0.411-0 + 0.5 * Table1[[#This Row],[IV Calc C]]^2) *Table1[[#This Row],[T]]) / (Table1[[#This Row],[IV Calc C]] * SQRT(Table1[[#This Row],[T]]))</f>
        <v>#DIV/0!</v>
      </c>
      <c r="AI182" t="e">
        <f ca="1">(EXP(-(AG182^2)/2)/SQRT(2*PI())*EXP(0*SQRT(Table1[[#This Row],[T]]))/$A$4*18%*SQRT(SQRT(Table1[[#This Row],[T]])))</f>
        <v>#DIV/0!</v>
      </c>
      <c r="AJ182" t="e">
        <f ca="1">(EXP(-(AH182^2)/2)/SQRT(2*PI())*EXP(0*SQRT(Table1[[#This Row],[T]]))/$A$4*18%*SQRT(SQRT(Table1[[#This Row],[T]])))</f>
        <v>#DIV/0!</v>
      </c>
      <c r="AK182" t="e">
        <f ca="1">Table1[[#This Row],[Call D1]]-Table1[[#This Row],[IV Calc C]]*SQRT(Table1[[#This Row],[T]])</f>
        <v>#DIV/0!</v>
      </c>
      <c r="AL182" t="e">
        <f ca="1">Table1[[#This Row],[Put D1]]-Table1[[#This Row],[IV Calc P]]*SQRT(Table1[[#This Row],[T]])</f>
        <v>#DIV/0!</v>
      </c>
      <c r="AM182" t="e">
        <f ca="1">EXP(-0.5*Table1[[#This Row],[Call D1]]^2)/SQRT(2*PI())</f>
        <v>#DIV/0!</v>
      </c>
      <c r="AN182" t="e">
        <f ca="1">EXP(-0.5*Table1[[#This Row],[Put D1]]^2)/SQRT(2*PI())</f>
        <v>#DIV/0!</v>
      </c>
      <c r="AO182">
        <f ca="1">IFERROR((EXP(0*Table1[[#This Row],[T]])*Table1[[#This Row],[call N(d1)]]*(Table1[[#This Row],[call d2]]/Table1[[#This Row],[IV Calc C]]))*Table1[[#This Row],[Open.Int]]*Table1[[#This Row],[DeltaC]],0)</f>
        <v>0</v>
      </c>
      <c r="AP182">
        <f ca="1">IFERROR((EXP(0*Table1[[#This Row],[T]])*Table1[[#This Row],[put N(d1)]]*(Table1[[#This Row],[put d2]]/Table1[[#This Row],[IV Calc P]]))*Table1[[#This Row],[Open.Int8]]*Table1[[#This Row],[DeltaP]]*-1,0)</f>
        <v>0</v>
      </c>
      <c r="AQ182">
        <f ca="1">((Table1[[#This Row],[call vanna]]+Table1[[#This Row],[put vanna]])*$A$4)</f>
        <v>0</v>
      </c>
      <c r="AR18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2" s="9" t="str" cm="1">
        <f t="array" ref="AT182">_xlfn.IFS(     $M$1="SPX","SPXW",     $M$1="RUT","RUTW",  $M$1="NDX","NDXP",   TRUE,$M$1 )</f>
        <v>SPXW</v>
      </c>
      <c r="AU182" s="2">
        <f t="shared" si="17"/>
        <v>6915</v>
      </c>
      <c r="AV182" t="str">
        <f t="shared" si="18"/>
        <v>260123</v>
      </c>
      <c r="AW182" s="19">
        <f ca="1">IFERROR((EXP(0*Table1[[#This Row],[T]])*Table1[[#This Row],[put N(d1)]]*(Table1[[#This Row],[put d2]]/Table1[[#This Row],[IV Calc P]]))*Table1[[#This Row],[Open.Int8]]*Table1[[#This Row],[DeltaP]]*-1,0)</f>
        <v>0</v>
      </c>
      <c r="AX182">
        <f ca="1">IFERROR((EXP(0*Table1[[#This Row],[T]])*Table1[[#This Row],[call N(d1)]]*(Table1[[#This Row],[call d2]]/Table1[[#This Row],[IV Calc C]]))*Table1[[#This Row],[Open.Int]]*Table1[[#This Row],[DeltaC]],0)</f>
        <v>0</v>
      </c>
      <c r="AY18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2">
        <f>((Table1[[#This Row],[High C]]+Table1[[#This Row],[Low C]])/2)*Table1[[#This Row],[gammac]]*Table1[[#This Row],[Volume]]</f>
        <v>0</v>
      </c>
      <c r="BD182">
        <f>((Table1[[#This Row],[High P]]+Table1[[#This Row],[Low P]])/2)*Table1[[#This Row],[gammap]]*Table1[[#This Row],[Volume9]]*-1</f>
        <v>0</v>
      </c>
      <c r="BE182">
        <f>(Table1[[#This Row],[SgammaC]]+Table1[[#This Row],[SgammaP]])*$A$4*-100</f>
        <v>0</v>
      </c>
      <c r="BF182">
        <f>Table1[[#This Row],[DEXc]]+Table1[[#This Row],[DEXp]]</f>
        <v>0</v>
      </c>
      <c r="BG182">
        <f>IFERROR(Table1[[#This Row],[DeltaC]]*Table1[[#This Row],[Open.Int]]*$A$4,0)</f>
        <v>0</v>
      </c>
      <c r="BH182">
        <f>IFERROR(Table1[[#This Row],[DeltaP]]*Table1[[#This Row],[Open.Int8]]*$A$4,0)</f>
        <v>0</v>
      </c>
      <c r="BI18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2">
        <f ca="1">Table1[[#This Row],[Charmc]]+Table1[[#This Row],[Charmp]]</f>
        <v>0</v>
      </c>
      <c r="BL18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2" s="78">
        <f ca="1">Table1[[#This Row],[call helper]]+Table1[[#This Row],[put helper]]</f>
        <v>0</v>
      </c>
      <c r="BP182" t="str">
        <f>RTD("tos.rtd", , "STRIKE", "."&amp;Table1[[#This Row],[Ticker]]&amp;Table1[[#This Row],[Expiry]]&amp;""&amp;"C"&amp;Table1[[#This Row],[Spot]]+Table1[[#This Row],[step]])</f>
        <v>N/A</v>
      </c>
    </row>
    <row r="183" spans="1:68" x14ac:dyDescent="0.25">
      <c r="A183">
        <f t="shared" ca="1" si="14"/>
        <v>2.5814307458086375E-3</v>
      </c>
      <c r="C183" s="17"/>
      <c r="D183" t="b">
        <f>IF(
    ISNUMBER(Table1[[#This Row],[Strike]]),RTD("tos.rtd", , "OPEN_INT", "."&amp;Table1[[#This Row],[Ticker]]&amp;Table1[[#This Row],[Expiry]]&amp;""&amp;"C"&amp;Table1[[#This Row],[Strike]]))</f>
        <v>0</v>
      </c>
      <c r="E18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3" t="b">
        <f>IF(
    ISNUMBER(Table1[[#This Row],[Strike]]),RTD("tos.rtd", , "DELTA", "."&amp;Table1[[#This Row],[Ticker]]&amp;Table1[[#This Row],[Expiry]]&amp;""&amp;"C"&amp;Table1[[#This Row],[Strike]]))</f>
        <v>0</v>
      </c>
      <c r="H183" s="17" t="b" cm="1">
        <f t="array" ref="H183">IF(
    ISNUMBER(Table1[[#This Row],[Strike]]),IndividualLegIVCore($A$4, Table1[[#This Row],[Strike]], 0.0411, Table1[[#This Row],[T]], ((Table1[[#This Row],[BIDC]]+Table1[[#This Row],[ASKC]])/2), TRUE))</f>
        <v>0</v>
      </c>
      <c r="I183" t="b">
        <f>IF(
    ISNUMBER(Table1[[#This Row],[Strike]]),RTD("tos.rtd", , "BID", "."&amp;Table1[[#This Row],[Ticker]]&amp;Table1[[#This Row],[Expiry]]&amp;""&amp;"C"&amp;Table1[[#This Row],[Strike]]))</f>
        <v>0</v>
      </c>
      <c r="J183" t="b">
        <f>IF(
    ISNUMBER(Table1[[#This Row],[Strike]]),RTD("tos.rtd", , "ASK", "."&amp;Table1[[#This Row],[Ticker]]&amp;Table1[[#This Row],[Expiry]]&amp;""&amp;"C"&amp;Table1[[#This Row],[Strike]]))</f>
        <v>0</v>
      </c>
      <c r="K18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3" s="17" cm="1">
        <f t="array" aca="1" ref="L18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3" s="1">
        <f t="shared" si="15"/>
        <v>46045</v>
      </c>
      <c r="N183" t="b">
        <f t="shared" si="16"/>
        <v>0</v>
      </c>
      <c r="P183" s="17" t="b" cm="1">
        <f t="array" ref="P183">IF(
    ISNUMBER(Table1[[#This Row],[Strike]]),IndividualLegIVCore($A$4, Table1[[#This Row],[Strike]], 0.0411, Table1[[#This Row],[T]], ((Table1[[#This Row],[BIDP]]+Table1[[#This Row],[ASKP]])/2), FALSE))</f>
        <v>0</v>
      </c>
      <c r="Q183" t="b">
        <f>IF(
    ISNUMBER(Table1[[#This Row],[Strike]]),RTD("tos.rtd", , "BID", "."&amp;Table1[[#This Row],[Ticker]]&amp;Table1[[#This Row],[Expiry]]&amp;""&amp;"P"&amp;Table1[[#This Row],[Strike]]))</f>
        <v>0</v>
      </c>
      <c r="R183" t="b">
        <f>IF(
    ISNUMBER(Table1[[#This Row],[Strike]]),RTD("tos.rtd", , "ASK", "."&amp;Table1[[#This Row],[Ticker]]&amp;Table1[[#This Row],[Expiry]]&amp;""&amp;"P"&amp;Table1[[#This Row],[Strike]]))</f>
        <v>0</v>
      </c>
      <c r="S183" s="17"/>
      <c r="T183" t="b">
        <f>IF(
    ISNUMBER(Table1[[#This Row],[Strike]]),RTD("tos.rtd", , "OPEN_INT", "."&amp;Table1[[#This Row],[Ticker]]&amp;Table1[[#This Row],[Expiry]]&amp;""&amp;"P"&amp;Table1[[#This Row],[Strike]]))</f>
        <v>0</v>
      </c>
      <c r="U18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3" t="b">
        <f>IF(
    ISNUMBER(Table1[[#This Row],[Strike]]),RTD("tos.rtd", , "DELTA", "."&amp;Table1[[#This Row],[Ticker]]&amp;Table1[[#This Row],[Expiry]]&amp;""&amp;"P"&amp;Table1[[#This Row],[Strike]]))</f>
        <v>0</v>
      </c>
      <c r="Y183" s="19">
        <f>36.5* IF($M$1="NDX", 10, IF(OR($M$1="SPX", $M$1="RUT"), 2, 1))</f>
        <v>73</v>
      </c>
      <c r="Z183">
        <f ca="1">IFERROR(Table1[[#This Row],[call gamma]]*(Table1[[#This Row],[Open.Int]])*$A$4^2,0)</f>
        <v>0</v>
      </c>
      <c r="AA183">
        <f ca="1">IFERROR(((Table1[[#This Row],[Open.Int8]])*Table1[[#This Row],[Put gamma]])*-1*$A$4^2,0)</f>
        <v>0</v>
      </c>
      <c r="AB183">
        <f ca="1">(Table1[[#This Row],[Call Gex]]+Table1[[#This Row],[Put Gex]])</f>
        <v>0</v>
      </c>
      <c r="AC183">
        <f ca="1">Table1[[#This Row],[call delta adj]]+Table1[[#This Row],[put delta adj]]</f>
        <v>0</v>
      </c>
      <c r="AD183">
        <f ca="1">Table1[[#This Row],[Put Gex]]*Table1[[#This Row],[DeltaP]]*-1</f>
        <v>0</v>
      </c>
      <c r="AE183">
        <f ca="1">Table1[[#This Row],[Call Gex]]*Table1[[#This Row],[DeltaC]]</f>
        <v>0</v>
      </c>
      <c r="AF183">
        <f>IF(Table1[[#This Row],[DeltaC]]-ABS(Table1[[#This Row],[DeltaP]])="0","0.01",Table1[[#This Row],[DeltaC]]-ABS(Table1[[#This Row],[DeltaP]]))</f>
        <v>0</v>
      </c>
      <c r="AG183" t="e">
        <f ca="1">((LN($A$4/Table1[[#This Row],[Strike]]) + (0.411 + 0.5 * Table1[[#This Row],[IV Calc P]]^2) *Table1[[#This Row],[T]])) / (Table1[[#This Row],[IV Calc P]] * SQRT(Table1[[#This Row],[T]]))</f>
        <v>#DIV/0!</v>
      </c>
      <c r="AH183" t="e">
        <f ca="1">(LN($A$4/Table1[[#This Row],[Strike]]) + (0.411-0 + 0.5 * Table1[[#This Row],[IV Calc C]]^2) *Table1[[#This Row],[T]]) / (Table1[[#This Row],[IV Calc C]] * SQRT(Table1[[#This Row],[T]]))</f>
        <v>#DIV/0!</v>
      </c>
      <c r="AI183" t="e">
        <f ca="1">(EXP(-(AG183^2)/2)/SQRT(2*PI())*EXP(0*SQRT(Table1[[#This Row],[T]]))/$A$4*18%*SQRT(SQRT(Table1[[#This Row],[T]])))</f>
        <v>#DIV/0!</v>
      </c>
      <c r="AJ183" t="e">
        <f ca="1">(EXP(-(AH183^2)/2)/SQRT(2*PI())*EXP(0*SQRT(Table1[[#This Row],[T]]))/$A$4*18%*SQRT(SQRT(Table1[[#This Row],[T]])))</f>
        <v>#DIV/0!</v>
      </c>
      <c r="AK183" t="e">
        <f ca="1">Table1[[#This Row],[Call D1]]-Table1[[#This Row],[IV Calc C]]*SQRT(Table1[[#This Row],[T]])</f>
        <v>#DIV/0!</v>
      </c>
      <c r="AL183" t="e">
        <f ca="1">Table1[[#This Row],[Put D1]]-Table1[[#This Row],[IV Calc P]]*SQRT(Table1[[#This Row],[T]])</f>
        <v>#DIV/0!</v>
      </c>
      <c r="AM183" t="e">
        <f ca="1">EXP(-0.5*Table1[[#This Row],[Call D1]]^2)/SQRT(2*PI())</f>
        <v>#DIV/0!</v>
      </c>
      <c r="AN183" t="e">
        <f ca="1">EXP(-0.5*Table1[[#This Row],[Put D1]]^2)/SQRT(2*PI())</f>
        <v>#DIV/0!</v>
      </c>
      <c r="AO183">
        <f ca="1">IFERROR((EXP(0*Table1[[#This Row],[T]])*Table1[[#This Row],[call N(d1)]]*(Table1[[#This Row],[call d2]]/Table1[[#This Row],[IV Calc C]]))*Table1[[#This Row],[Open.Int]]*Table1[[#This Row],[DeltaC]],0)</f>
        <v>0</v>
      </c>
      <c r="AP183">
        <f ca="1">IFERROR((EXP(0*Table1[[#This Row],[T]])*Table1[[#This Row],[put N(d1)]]*(Table1[[#This Row],[put d2]]/Table1[[#This Row],[IV Calc P]]))*Table1[[#This Row],[Open.Int8]]*Table1[[#This Row],[DeltaP]]*-1,0)</f>
        <v>0</v>
      </c>
      <c r="AQ183">
        <f ca="1">((Table1[[#This Row],[call vanna]]+Table1[[#This Row],[put vanna]])*$A$4)</f>
        <v>0</v>
      </c>
      <c r="AR18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3" s="9" t="str" cm="1">
        <f t="array" ref="AT183">_xlfn.IFS(     $M$1="SPX","SPXW",     $M$1="RUT","RUTW",  $M$1="NDX","NDXP",   TRUE,$M$1 )</f>
        <v>SPXW</v>
      </c>
      <c r="AU183" s="2">
        <f t="shared" si="17"/>
        <v>6915</v>
      </c>
      <c r="AV183" t="str">
        <f t="shared" si="18"/>
        <v>260123</v>
      </c>
      <c r="AW183" s="19">
        <f ca="1">IFERROR((EXP(0*Table1[[#This Row],[T]])*Table1[[#This Row],[put N(d1)]]*(Table1[[#This Row],[put d2]]/Table1[[#This Row],[IV Calc P]]))*Table1[[#This Row],[Open.Int8]]*Table1[[#This Row],[DeltaP]]*-1,0)</f>
        <v>0</v>
      </c>
      <c r="AX183">
        <f ca="1">IFERROR((EXP(0*Table1[[#This Row],[T]])*Table1[[#This Row],[call N(d1)]]*(Table1[[#This Row],[call d2]]/Table1[[#This Row],[IV Calc C]]))*Table1[[#This Row],[Open.Int]]*Table1[[#This Row],[DeltaC]],0)</f>
        <v>0</v>
      </c>
      <c r="AY18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3">
        <f>((Table1[[#This Row],[High C]]+Table1[[#This Row],[Low C]])/2)*Table1[[#This Row],[gammac]]*Table1[[#This Row],[Volume]]</f>
        <v>0</v>
      </c>
      <c r="BD183">
        <f>((Table1[[#This Row],[High P]]+Table1[[#This Row],[Low P]])/2)*Table1[[#This Row],[gammap]]*Table1[[#This Row],[Volume9]]*-1</f>
        <v>0</v>
      </c>
      <c r="BE183">
        <f>(Table1[[#This Row],[SgammaC]]+Table1[[#This Row],[SgammaP]])*$A$4*-100</f>
        <v>0</v>
      </c>
      <c r="BF183">
        <f>Table1[[#This Row],[DEXc]]+Table1[[#This Row],[DEXp]]</f>
        <v>0</v>
      </c>
      <c r="BG183">
        <f>IFERROR(Table1[[#This Row],[DeltaC]]*Table1[[#This Row],[Open.Int]]*$A$4,0)</f>
        <v>0</v>
      </c>
      <c r="BH183">
        <f>IFERROR(Table1[[#This Row],[DeltaP]]*Table1[[#This Row],[Open.Int8]]*$A$4,0)</f>
        <v>0</v>
      </c>
      <c r="BI18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3">
        <f ca="1">Table1[[#This Row],[Charmc]]+Table1[[#This Row],[Charmp]]</f>
        <v>0</v>
      </c>
      <c r="BL18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3" s="78">
        <f ca="1">Table1[[#This Row],[call helper]]+Table1[[#This Row],[put helper]]</f>
        <v>0</v>
      </c>
      <c r="BP183" t="str">
        <f>RTD("tos.rtd", , "STRIKE", "."&amp;Table1[[#This Row],[Ticker]]&amp;Table1[[#This Row],[Expiry]]&amp;""&amp;"C"&amp;Table1[[#This Row],[Spot]]+Table1[[#This Row],[step]])</f>
        <v>N/A</v>
      </c>
    </row>
    <row r="184" spans="1:68" x14ac:dyDescent="0.25">
      <c r="A184">
        <f t="shared" ca="1" si="14"/>
        <v>2.5814307458086375E-3</v>
      </c>
      <c r="C184" s="17"/>
      <c r="D184" t="b">
        <f>IF(
    ISNUMBER(Table1[[#This Row],[Strike]]),RTD("tos.rtd", , "OPEN_INT", "."&amp;Table1[[#This Row],[Ticker]]&amp;Table1[[#This Row],[Expiry]]&amp;""&amp;"C"&amp;Table1[[#This Row],[Strike]]))</f>
        <v>0</v>
      </c>
      <c r="E18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4" t="b">
        <f>IF(
    ISNUMBER(Table1[[#This Row],[Strike]]),RTD("tos.rtd", , "DELTA", "."&amp;Table1[[#This Row],[Ticker]]&amp;Table1[[#This Row],[Expiry]]&amp;""&amp;"C"&amp;Table1[[#This Row],[Strike]]))</f>
        <v>0</v>
      </c>
      <c r="H184" s="17" t="b" cm="1">
        <f t="array" ref="H184">IF(
    ISNUMBER(Table1[[#This Row],[Strike]]),IndividualLegIVCore($A$4, Table1[[#This Row],[Strike]], 0.0411, Table1[[#This Row],[T]], ((Table1[[#This Row],[BIDC]]+Table1[[#This Row],[ASKC]])/2), TRUE))</f>
        <v>0</v>
      </c>
      <c r="I184" t="b">
        <f>IF(
    ISNUMBER(Table1[[#This Row],[Strike]]),RTD("tos.rtd", , "BID", "."&amp;Table1[[#This Row],[Ticker]]&amp;Table1[[#This Row],[Expiry]]&amp;""&amp;"C"&amp;Table1[[#This Row],[Strike]]))</f>
        <v>0</v>
      </c>
      <c r="J184" t="b">
        <f>IF(
    ISNUMBER(Table1[[#This Row],[Strike]]),RTD("tos.rtd", , "ASK", "."&amp;Table1[[#This Row],[Ticker]]&amp;Table1[[#This Row],[Expiry]]&amp;""&amp;"C"&amp;Table1[[#This Row],[Strike]]))</f>
        <v>0</v>
      </c>
      <c r="K18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4" s="17" cm="1">
        <f t="array" aca="1" ref="L18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4" s="1">
        <f t="shared" si="15"/>
        <v>46045</v>
      </c>
      <c r="N184" t="b">
        <f t="shared" si="16"/>
        <v>0</v>
      </c>
      <c r="P184" s="17" t="b" cm="1">
        <f t="array" ref="P184">IF(
    ISNUMBER(Table1[[#This Row],[Strike]]),IndividualLegIVCore($A$4, Table1[[#This Row],[Strike]], 0.0411, Table1[[#This Row],[T]], ((Table1[[#This Row],[BIDP]]+Table1[[#This Row],[ASKP]])/2), FALSE))</f>
        <v>0</v>
      </c>
      <c r="Q184" t="b">
        <f>IF(
    ISNUMBER(Table1[[#This Row],[Strike]]),RTD("tos.rtd", , "BID", "."&amp;Table1[[#This Row],[Ticker]]&amp;Table1[[#This Row],[Expiry]]&amp;""&amp;"P"&amp;Table1[[#This Row],[Strike]]))</f>
        <v>0</v>
      </c>
      <c r="R184" t="b">
        <f>IF(
    ISNUMBER(Table1[[#This Row],[Strike]]),RTD("tos.rtd", , "ASK", "."&amp;Table1[[#This Row],[Ticker]]&amp;Table1[[#This Row],[Expiry]]&amp;""&amp;"P"&amp;Table1[[#This Row],[Strike]]))</f>
        <v>0</v>
      </c>
      <c r="S184" s="17"/>
      <c r="T184" t="b">
        <f>IF(
    ISNUMBER(Table1[[#This Row],[Strike]]),RTD("tos.rtd", , "OPEN_INT", "."&amp;Table1[[#This Row],[Ticker]]&amp;Table1[[#This Row],[Expiry]]&amp;""&amp;"P"&amp;Table1[[#This Row],[Strike]]))</f>
        <v>0</v>
      </c>
      <c r="U18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4" t="b">
        <f>IF(
    ISNUMBER(Table1[[#This Row],[Strike]]),RTD("tos.rtd", , "DELTA", "."&amp;Table1[[#This Row],[Ticker]]&amp;Table1[[#This Row],[Expiry]]&amp;""&amp;"P"&amp;Table1[[#This Row],[Strike]]))</f>
        <v>0</v>
      </c>
      <c r="Y184" s="19">
        <f>37* IF($M$1="NDX", 10, IF(OR($M$1="SPX", $M$1="RUT"), 2, 1))</f>
        <v>74</v>
      </c>
      <c r="Z184">
        <f ca="1">IFERROR(Table1[[#This Row],[call gamma]]*(Table1[[#This Row],[Open.Int]])*$A$4^2,0)</f>
        <v>0</v>
      </c>
      <c r="AA184">
        <f ca="1">IFERROR(((Table1[[#This Row],[Open.Int8]])*Table1[[#This Row],[Put gamma]])*-1*$A$4^2,0)</f>
        <v>0</v>
      </c>
      <c r="AB184">
        <f ca="1">(Table1[[#This Row],[Call Gex]]+Table1[[#This Row],[Put Gex]])</f>
        <v>0</v>
      </c>
      <c r="AC184">
        <f ca="1">Table1[[#This Row],[call delta adj]]+Table1[[#This Row],[put delta adj]]</f>
        <v>0</v>
      </c>
      <c r="AD184">
        <f ca="1">Table1[[#This Row],[Put Gex]]*Table1[[#This Row],[DeltaP]]*-1</f>
        <v>0</v>
      </c>
      <c r="AE184">
        <f ca="1">Table1[[#This Row],[Call Gex]]*Table1[[#This Row],[DeltaC]]</f>
        <v>0</v>
      </c>
      <c r="AF184">
        <f>IF(Table1[[#This Row],[DeltaC]]-ABS(Table1[[#This Row],[DeltaP]])="0","0.01",Table1[[#This Row],[DeltaC]]-ABS(Table1[[#This Row],[DeltaP]]))</f>
        <v>0</v>
      </c>
      <c r="AG184" t="e">
        <f ca="1">((LN($A$4/Table1[[#This Row],[Strike]]) + (0.411 + 0.5 * Table1[[#This Row],[IV Calc P]]^2) *Table1[[#This Row],[T]])) / (Table1[[#This Row],[IV Calc P]] * SQRT(Table1[[#This Row],[T]]))</f>
        <v>#DIV/0!</v>
      </c>
      <c r="AH184" t="e">
        <f ca="1">(LN($A$4/Table1[[#This Row],[Strike]]) + (0.411-0 + 0.5 * Table1[[#This Row],[IV Calc C]]^2) *Table1[[#This Row],[T]]) / (Table1[[#This Row],[IV Calc C]] * SQRT(Table1[[#This Row],[T]]))</f>
        <v>#DIV/0!</v>
      </c>
      <c r="AI184" t="e">
        <f ca="1">(EXP(-(AG184^2)/2)/SQRT(2*PI())*EXP(0*SQRT(Table1[[#This Row],[T]]))/$A$4*18%*SQRT(SQRT(Table1[[#This Row],[T]])))</f>
        <v>#DIV/0!</v>
      </c>
      <c r="AJ184" t="e">
        <f ca="1">(EXP(-(AH184^2)/2)/SQRT(2*PI())*EXP(0*SQRT(Table1[[#This Row],[T]]))/$A$4*18%*SQRT(SQRT(Table1[[#This Row],[T]])))</f>
        <v>#DIV/0!</v>
      </c>
      <c r="AK184" t="e">
        <f ca="1">Table1[[#This Row],[Call D1]]-Table1[[#This Row],[IV Calc C]]*SQRT(Table1[[#This Row],[T]])</f>
        <v>#DIV/0!</v>
      </c>
      <c r="AL184" t="e">
        <f ca="1">Table1[[#This Row],[Put D1]]-Table1[[#This Row],[IV Calc P]]*SQRT(Table1[[#This Row],[T]])</f>
        <v>#DIV/0!</v>
      </c>
      <c r="AM184" t="e">
        <f ca="1">EXP(-0.5*Table1[[#This Row],[Call D1]]^2)/SQRT(2*PI())</f>
        <v>#DIV/0!</v>
      </c>
      <c r="AN184" t="e">
        <f ca="1">EXP(-0.5*Table1[[#This Row],[Put D1]]^2)/SQRT(2*PI())</f>
        <v>#DIV/0!</v>
      </c>
      <c r="AO184">
        <f ca="1">IFERROR((EXP(0*Table1[[#This Row],[T]])*Table1[[#This Row],[call N(d1)]]*(Table1[[#This Row],[call d2]]/Table1[[#This Row],[IV Calc C]]))*Table1[[#This Row],[Open.Int]]*Table1[[#This Row],[DeltaC]],0)</f>
        <v>0</v>
      </c>
      <c r="AP184">
        <f ca="1">IFERROR((EXP(0*Table1[[#This Row],[T]])*Table1[[#This Row],[put N(d1)]]*(Table1[[#This Row],[put d2]]/Table1[[#This Row],[IV Calc P]]))*Table1[[#This Row],[Open.Int8]]*Table1[[#This Row],[DeltaP]]*-1,0)</f>
        <v>0</v>
      </c>
      <c r="AQ184">
        <f ca="1">((Table1[[#This Row],[call vanna]]+Table1[[#This Row],[put vanna]])*$A$4)</f>
        <v>0</v>
      </c>
      <c r="AR18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4" s="9" t="str" cm="1">
        <f t="array" ref="AT184">_xlfn.IFS(     $M$1="SPX","SPXW",     $M$1="RUT","RUTW",  $M$1="NDX","NDXP",   TRUE,$M$1 )</f>
        <v>SPXW</v>
      </c>
      <c r="AU184" s="2">
        <f t="shared" si="17"/>
        <v>6915</v>
      </c>
      <c r="AV184" t="str">
        <f t="shared" si="18"/>
        <v>260123</v>
      </c>
      <c r="AW184" s="19">
        <f ca="1">IFERROR((EXP(0*Table1[[#This Row],[T]])*Table1[[#This Row],[put N(d1)]]*(Table1[[#This Row],[put d2]]/Table1[[#This Row],[IV Calc P]]))*Table1[[#This Row],[Open.Int8]]*Table1[[#This Row],[DeltaP]]*-1,0)</f>
        <v>0</v>
      </c>
      <c r="AX184">
        <f ca="1">IFERROR((EXP(0*Table1[[#This Row],[T]])*Table1[[#This Row],[call N(d1)]]*(Table1[[#This Row],[call d2]]/Table1[[#This Row],[IV Calc C]]))*Table1[[#This Row],[Open.Int]]*Table1[[#This Row],[DeltaC]],0)</f>
        <v>0</v>
      </c>
      <c r="AY18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4">
        <f>((Table1[[#This Row],[High C]]+Table1[[#This Row],[Low C]])/2)*Table1[[#This Row],[gammac]]*Table1[[#This Row],[Volume]]</f>
        <v>0</v>
      </c>
      <c r="BD184">
        <f>((Table1[[#This Row],[High P]]+Table1[[#This Row],[Low P]])/2)*Table1[[#This Row],[gammap]]*Table1[[#This Row],[Volume9]]*-1</f>
        <v>0</v>
      </c>
      <c r="BE184">
        <f>(Table1[[#This Row],[SgammaC]]+Table1[[#This Row],[SgammaP]])*$A$4*-100</f>
        <v>0</v>
      </c>
      <c r="BF184">
        <f>Table1[[#This Row],[DEXc]]+Table1[[#This Row],[DEXp]]</f>
        <v>0</v>
      </c>
      <c r="BG184">
        <f>IFERROR(Table1[[#This Row],[DeltaC]]*Table1[[#This Row],[Open.Int]]*$A$4,0)</f>
        <v>0</v>
      </c>
      <c r="BH184">
        <f>IFERROR(Table1[[#This Row],[DeltaP]]*Table1[[#This Row],[Open.Int8]]*$A$4,0)</f>
        <v>0</v>
      </c>
      <c r="BI18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4">
        <f ca="1">Table1[[#This Row],[Charmc]]+Table1[[#This Row],[Charmp]]</f>
        <v>0</v>
      </c>
      <c r="BL18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4" s="78">
        <f ca="1">Table1[[#This Row],[call helper]]+Table1[[#This Row],[put helper]]</f>
        <v>0</v>
      </c>
      <c r="BP184" t="str">
        <f>RTD("tos.rtd", , "STRIKE", "."&amp;Table1[[#This Row],[Ticker]]&amp;Table1[[#This Row],[Expiry]]&amp;""&amp;"C"&amp;Table1[[#This Row],[Spot]]+Table1[[#This Row],[step]])</f>
        <v>N/A</v>
      </c>
    </row>
    <row r="185" spans="1:68" x14ac:dyDescent="0.25">
      <c r="A185">
        <f t="shared" ca="1" si="14"/>
        <v>2.5814307458086375E-3</v>
      </c>
      <c r="C185" s="17"/>
      <c r="D185">
        <f>IF(
    ISNUMBER(Table1[[#This Row],[Strike]]),RTD("tos.rtd", , "OPEN_INT", "."&amp;Table1[[#This Row],[Ticker]]&amp;Table1[[#This Row],[Expiry]]&amp;""&amp;"C"&amp;Table1[[#This Row],[Strike]]))</f>
        <v>1706</v>
      </c>
      <c r="E18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5496</v>
      </c>
      <c r="G185">
        <f>IF(
    ISNUMBER(Table1[[#This Row],[Strike]]),RTD("tos.rtd", , "DELTA", "."&amp;Table1[[#This Row],[Ticker]]&amp;Table1[[#This Row],[Expiry]]&amp;""&amp;"C"&amp;Table1[[#This Row],[Strike]]))</f>
        <v>0.02</v>
      </c>
      <c r="H185" s="17" cm="1">
        <f t="array" aca="1" ref="H185" ca="1">IF(
    ISNUMBER(Table1[[#This Row],[Strike]]),IndividualLegIVCore($A$4, Table1[[#This Row],[Strike]], 0.0411, Table1[[#This Row],[T]], ((Table1[[#This Row],[BIDC]]+Table1[[#This Row],[ASKC]])/2), TRUE))</f>
        <v>0.10336942462460789</v>
      </c>
      <c r="I185">
        <f>IF(
    ISNUMBER(Table1[[#This Row],[Strike]]),RTD("tos.rtd", , "BID", "."&amp;Table1[[#This Row],[Ticker]]&amp;Table1[[#This Row],[Expiry]]&amp;""&amp;"C"&amp;Table1[[#This Row],[Strike]]))</f>
        <v>0.2</v>
      </c>
      <c r="J185">
        <f>IF(
    ISNUMBER(Table1[[#This Row],[Strike]]),RTD("tos.rtd", , "ASK", "."&amp;Table1[[#This Row],[Ticker]]&amp;Table1[[#This Row],[Expiry]]&amp;""&amp;"C"&amp;Table1[[#This Row],[Strike]]))</f>
        <v>0.3</v>
      </c>
      <c r="K18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0.10336942462460789</v>
      </c>
      <c r="L185" s="17" cm="1">
        <f t="array" aca="1" ref="L185" ca="1">CubicSplineIVSmile($A$4, Table1[[#This Row],[Strike]], 0.0411, Table1[[#This Row],[T]], (Table1[[#This Row],[BIDC]]+Table1[[#This Row],[ASKC]])/2, (Table1[[#This Row],[BIDP]]+Table1[[#This Row],[ASKP]])/2, Table1[Strike], Table1[IV Calc AVG])</f>
        <v>0.19180815566145509</v>
      </c>
      <c r="M185" s="1">
        <f t="shared" si="15"/>
        <v>46045</v>
      </c>
      <c r="N185">
        <f t="shared" si="16"/>
        <v>6990</v>
      </c>
      <c r="P185" s="17" cm="1">
        <f t="array" aca="1" ref="P185" ca="1">IF(
    ISNUMBER(Table1[[#This Row],[Strike]]),IndividualLegIVCore($A$4, Table1[[#This Row],[Strike]], 0.0411, Table1[[#This Row],[T]], ((Table1[[#This Row],[BIDP]]+Table1[[#This Row],[ASKP]])/2), FALSE))</f>
        <v>0.19932630471734872</v>
      </c>
      <c r="Q185">
        <f>IF(
    ISNUMBER(Table1[[#This Row],[Strike]]),RTD("tos.rtd", , "BID", "."&amp;Table1[[#This Row],[Ticker]]&amp;Table1[[#This Row],[Expiry]]&amp;""&amp;"P"&amp;Table1[[#This Row],[Strike]]))</f>
        <v>80.400000000000006</v>
      </c>
      <c r="R185">
        <f>IF(
    ISNUMBER(Table1[[#This Row],[Strike]]),RTD("tos.rtd", , "ASK", "."&amp;Table1[[#This Row],[Ticker]]&amp;Table1[[#This Row],[Expiry]]&amp;""&amp;"P"&amp;Table1[[#This Row],[Strike]]))</f>
        <v>81.5</v>
      </c>
      <c r="S185" s="17"/>
      <c r="T185">
        <f>IF(
    ISNUMBER(Table1[[#This Row],[Strike]]),RTD("tos.rtd", , "OPEN_INT", "."&amp;Table1[[#This Row],[Ticker]]&amp;Table1[[#This Row],[Expiry]]&amp;""&amp;"P"&amp;Table1[[#This Row],[Strike]]))</f>
        <v>326</v>
      </c>
      <c r="U18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38</v>
      </c>
      <c r="W185">
        <f>IF(
    ISNUMBER(Table1[[#This Row],[Strike]]),RTD("tos.rtd", , "DELTA", "."&amp;Table1[[#This Row],[Ticker]]&amp;Table1[[#This Row],[Expiry]]&amp;""&amp;"P"&amp;Table1[[#This Row],[Strike]]))</f>
        <v>-0.86</v>
      </c>
      <c r="Y185" s="19">
        <f>37.5* IF($M$1="NDX", 10, IF(OR($M$1="SPX", $M$1="RUT"), 2, 1))</f>
        <v>75</v>
      </c>
      <c r="Z185">
        <f ca="1">IFERROR(Table1[[#This Row],[call gamma]]*(Table1[[#This Row],[Open.Int]])*$A$4^2,0)</f>
        <v>31709.759295043972</v>
      </c>
      <c r="AA185">
        <f ca="1">IFERROR(((Table1[[#This Row],[Open.Int8]])*Table1[[#This Row],[Put gamma]])*-1*$A$4^2,0)</f>
        <v>-22592.236012252586</v>
      </c>
      <c r="AB185">
        <f ca="1">(Table1[[#This Row],[Call Gex]]+Table1[[#This Row],[Put Gex]])</f>
        <v>9117.523282791386</v>
      </c>
      <c r="AC185">
        <f ca="1">Table1[[#This Row],[call delta adj]]+Table1[[#This Row],[put delta adj]]</f>
        <v>-18795.127784636345</v>
      </c>
      <c r="AD185">
        <f ca="1">Table1[[#This Row],[Put Gex]]*Table1[[#This Row],[DeltaP]]*-1</f>
        <v>-19429.322970537225</v>
      </c>
      <c r="AE185">
        <f ca="1">Table1[[#This Row],[Call Gex]]*Table1[[#This Row],[DeltaC]]</f>
        <v>634.19518590087944</v>
      </c>
      <c r="AF185">
        <f>IF(Table1[[#This Row],[DeltaC]]-ABS(Table1[[#This Row],[DeltaP]])="0","0.01",Table1[[#This Row],[DeltaC]]-ABS(Table1[[#This Row],[DeltaP]]))</f>
        <v>-0.84</v>
      </c>
      <c r="AG185">
        <f ca="1">((LN($A$4/Table1[[#This Row],[Strike]]) + (0.411 + 0.5 * Table1[[#This Row],[IV Calc P]]^2) *Table1[[#This Row],[T]])) / (Table1[[#This Row],[IV Calc P]] * SQRT(Table1[[#This Row],[T]]))</f>
        <v>-0.97893367165231537</v>
      </c>
      <c r="AH185">
        <f ca="1">(LN($A$4/Table1[[#This Row],[Strike]]) + (0.411-0 + 0.5 * Table1[[#This Row],[IV Calc C]]^2) *Table1[[#This Row],[T]]) / (Table1[[#This Row],[IV Calc C]] * SQRT(Table1[[#This Row],[T]]))</f>
        <v>-1.8948069683779161</v>
      </c>
      <c r="AI185">
        <f ca="1">(EXP(-(AG185^2)/2)/SQRT(2*PI())*EXP(0*SQRT(Table1[[#This Row],[T]]))/$A$4*18%*SQRT(SQRT(Table1[[#This Row],[T]])))</f>
        <v>1.4499883990251554E-6</v>
      </c>
      <c r="AJ185">
        <f ca="1">(EXP(-(AH185^2)/2)/SQRT(2*PI())*EXP(0*SQRT(Table1[[#This Row],[T]]))/$A$4*18%*SQRT(SQRT(Table1[[#This Row],[T]])))</f>
        <v>3.8889900309081504E-7</v>
      </c>
      <c r="AK185">
        <f ca="1">Table1[[#This Row],[Call D1]]-Table1[[#This Row],[IV Calc C]]*SQRT(Table1[[#This Row],[T]])</f>
        <v>-1.9000589396043455</v>
      </c>
      <c r="AL185">
        <f ca="1">Table1[[#This Row],[Put D1]]-Table1[[#This Row],[IV Calc P]]*SQRT(Table1[[#This Row],[T]])</f>
        <v>-0.98906099915604984</v>
      </c>
      <c r="AM185">
        <f ca="1">EXP(-0.5*Table1[[#This Row],[Call D1]]^2)/SQRT(2*PI())</f>
        <v>6.626554123737341E-2</v>
      </c>
      <c r="AN185">
        <f ca="1">EXP(-0.5*Table1[[#This Row],[Put D1]]^2)/SQRT(2*PI())</f>
        <v>0.24706740126787377</v>
      </c>
      <c r="AO185">
        <f ca="1">IFERROR((EXP(0*Table1[[#This Row],[T]])*Table1[[#This Row],[call N(d1)]]*(Table1[[#This Row],[call d2]]/Table1[[#This Row],[IV Calc C]]))*Table1[[#This Row],[Open.Int]]*Table1[[#This Row],[DeltaC]],0)</f>
        <v>-41.559637041803938</v>
      </c>
      <c r="AP185">
        <f ca="1">IFERROR((EXP(0*Table1[[#This Row],[T]])*Table1[[#This Row],[put N(d1)]]*(Table1[[#This Row],[put d2]]/Table1[[#This Row],[IV Calc P]]))*Table1[[#This Row],[Open.Int8]]*Table1[[#This Row],[DeltaP]]*-1,0)</f>
        <v>-343.70825271733099</v>
      </c>
      <c r="AQ185">
        <f ca="1">((Table1[[#This Row],[call vanna]]+Table1[[#This Row],[put vanna]])*$A$4)</f>
        <v>-2663491.7656663158</v>
      </c>
      <c r="AR18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31709.759295043972</v>
      </c>
      <c r="AS18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-22592.236012252586</v>
      </c>
      <c r="AT185" s="9" t="str" cm="1">
        <f t="array" ref="AT185">_xlfn.IFS(     $M$1="SPX","SPXW",     $M$1="RUT","RUTW",  $M$1="NDX","NDXP",   TRUE,$M$1 )</f>
        <v>SPXW</v>
      </c>
      <c r="AU185" s="2">
        <f t="shared" si="17"/>
        <v>6915</v>
      </c>
      <c r="AV185" t="str">
        <f t="shared" si="18"/>
        <v>260123</v>
      </c>
      <c r="AW185" s="19">
        <f ca="1">IFERROR((EXP(0*Table1[[#This Row],[T]])*Table1[[#This Row],[put N(d1)]]*(Table1[[#This Row],[put d2]]/Table1[[#This Row],[IV Calc P]]))*Table1[[#This Row],[Open.Int8]]*Table1[[#This Row],[DeltaP]]*-1,0)</f>
        <v>-343.70825271733099</v>
      </c>
      <c r="AX185">
        <f ca="1">IFERROR((EXP(0*Table1[[#This Row],[T]])*Table1[[#This Row],[call N(d1)]]*(Table1[[#This Row],[call d2]]/Table1[[#This Row],[IV Calc C]]))*Table1[[#This Row],[Open.Int]]*Table1[[#This Row],[DeltaC]],0)</f>
        <v>-41.559637041803938</v>
      </c>
      <c r="AY185">
        <f>IF(
    ISNUMBER(Table1[[#This Row],[Strike]]),RTD("tos.rtd", , "high", "."&amp;Table1[[#This Row],[Ticker]]&amp;Table1[[#This Row],[Expiry]]&amp;""&amp;"C"&amp;Table1[[#This Row],[Spot]]+Table1[[#This Row],[step]]))</f>
        <v>2.8</v>
      </c>
      <c r="AZ185">
        <f>IF(
    ISNUMBER(Table1[[#This Row],[Strike]]),RTD("tos.rtd", , "low", "."&amp;Table1[[#This Row],[Ticker]]&amp;Table1[[#This Row],[Expiry]]&amp;""&amp;"C"&amp;Table1[[#This Row],[Spot]]+Table1[[#This Row],[step]]))</f>
        <v>0.22</v>
      </c>
      <c r="BA185">
        <f>IF(
    ISNUMBER(Table1[[#This Row],[Strike]]),RTD("tos.rtd", , "high", "."&amp;Table1[[#This Row],[Ticker]]&amp;Table1[[#This Row],[Expiry]]&amp;""&amp;"P"&amp;Table1[[#This Row],[Spot]]+Table1[[#This Row],[step]]))</f>
        <v>85.22</v>
      </c>
      <c r="BB185">
        <f>IF(
    ISNUMBER(Table1[[#This Row],[Strike]]),RTD("tos.rtd", , "low", "."&amp;Table1[[#This Row],[Ticker]]&amp;Table1[[#This Row],[Expiry]]&amp;""&amp;"P"&amp;Table1[[#This Row],[Spot]]+Table1[[#This Row],[step]]))</f>
        <v>59.34</v>
      </c>
      <c r="BC185">
        <f>((Table1[[#This Row],[High C]]+Table1[[#This Row],[Low C]])/2)*Table1[[#This Row],[gammac]]*Table1[[#This Row],[Volume]]</f>
        <v>0</v>
      </c>
      <c r="BD185">
        <f>((Table1[[#This Row],[High P]]+Table1[[#This Row],[Low P]])/2)*Table1[[#This Row],[gammap]]*Table1[[#This Row],[Volume9]]*-1</f>
        <v>0</v>
      </c>
      <c r="BE185">
        <f>(Table1[[#This Row],[SgammaC]]+Table1[[#This Row],[SgammaP]])*$A$4*-100</f>
        <v>0</v>
      </c>
      <c r="BF185">
        <f>Table1[[#This Row],[DEXc]]+Table1[[#This Row],[DEXp]]</f>
        <v>-1702343.304</v>
      </c>
      <c r="BG185">
        <f>IFERROR(Table1[[#This Row],[DeltaC]]*Table1[[#This Row],[Open.Int]]*$A$4,0)</f>
        <v>235883.50200000001</v>
      </c>
      <c r="BH185">
        <f>IFERROR(Table1[[#This Row],[DeltaP]]*Table1[[#This Row],[Open.Int8]]*$A$4,0)</f>
        <v>-1938226.8060000001</v>
      </c>
      <c r="BI18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-1594215.0682468961</v>
      </c>
      <c r="BJ18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-1576728.3171768084</v>
      </c>
      <c r="BK185">
        <f ca="1">Table1[[#This Row],[Charmc]]+Table1[[#This Row],[Charmp]]</f>
        <v>-3170943.3854237045</v>
      </c>
      <c r="BL18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5" s="78">
        <f ca="1">Table1[[#This Row],[call helper]]+Table1[[#This Row],[put helper]]</f>
        <v>9117.523282791386</v>
      </c>
      <c r="BP185">
        <f>RTD("tos.rtd", , "STRIKE", "."&amp;Table1[[#This Row],[Ticker]]&amp;Table1[[#This Row],[Expiry]]&amp;""&amp;"C"&amp;Table1[[#This Row],[Spot]]+Table1[[#This Row],[step]])</f>
        <v>6990</v>
      </c>
    </row>
    <row r="186" spans="1:68" x14ac:dyDescent="0.25">
      <c r="A186">
        <f t="shared" ca="1" si="14"/>
        <v>2.5814307458086375E-3</v>
      </c>
      <c r="C186" s="17"/>
      <c r="D186" t="b">
        <f>IF(
    ISNUMBER(Table1[[#This Row],[Strike]]),RTD("tos.rtd", , "OPEN_INT", "."&amp;Table1[[#This Row],[Ticker]]&amp;Table1[[#This Row],[Expiry]]&amp;""&amp;"C"&amp;Table1[[#This Row],[Strike]]))</f>
        <v>0</v>
      </c>
      <c r="E18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6" t="b">
        <f>IF(
    ISNUMBER(Table1[[#This Row],[Strike]]),RTD("tos.rtd", , "DELTA", "."&amp;Table1[[#This Row],[Ticker]]&amp;Table1[[#This Row],[Expiry]]&amp;""&amp;"C"&amp;Table1[[#This Row],[Strike]]))</f>
        <v>0</v>
      </c>
      <c r="H186" s="17" t="b" cm="1">
        <f t="array" ref="H186">IF(
    ISNUMBER(Table1[[#This Row],[Strike]]),IndividualLegIVCore($A$4, Table1[[#This Row],[Strike]], 0.0411, Table1[[#This Row],[T]], ((Table1[[#This Row],[BIDC]]+Table1[[#This Row],[ASKC]])/2), TRUE))</f>
        <v>0</v>
      </c>
      <c r="I186" t="b">
        <f>IF(
    ISNUMBER(Table1[[#This Row],[Strike]]),RTD("tos.rtd", , "BID", "."&amp;Table1[[#This Row],[Ticker]]&amp;Table1[[#This Row],[Expiry]]&amp;""&amp;"C"&amp;Table1[[#This Row],[Strike]]))</f>
        <v>0</v>
      </c>
      <c r="J186" t="b">
        <f>IF(
    ISNUMBER(Table1[[#This Row],[Strike]]),RTD("tos.rtd", , "ASK", "."&amp;Table1[[#This Row],[Ticker]]&amp;Table1[[#This Row],[Expiry]]&amp;""&amp;"C"&amp;Table1[[#This Row],[Strike]]))</f>
        <v>0</v>
      </c>
      <c r="K18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6" s="17" cm="1">
        <f t="array" aca="1" ref="L18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6" s="1">
        <f t="shared" si="15"/>
        <v>46045</v>
      </c>
      <c r="N186" t="b">
        <f t="shared" si="16"/>
        <v>0</v>
      </c>
      <c r="P186" s="17" t="b" cm="1">
        <f t="array" ref="P186">IF(
    ISNUMBER(Table1[[#This Row],[Strike]]),IndividualLegIVCore($A$4, Table1[[#This Row],[Strike]], 0.0411, Table1[[#This Row],[T]], ((Table1[[#This Row],[BIDP]]+Table1[[#This Row],[ASKP]])/2), FALSE))</f>
        <v>0</v>
      </c>
      <c r="Q186" t="b">
        <f>IF(
    ISNUMBER(Table1[[#This Row],[Strike]]),RTD("tos.rtd", , "BID", "."&amp;Table1[[#This Row],[Ticker]]&amp;Table1[[#This Row],[Expiry]]&amp;""&amp;"P"&amp;Table1[[#This Row],[Strike]]))</f>
        <v>0</v>
      </c>
      <c r="R186" t="b">
        <f>IF(
    ISNUMBER(Table1[[#This Row],[Strike]]),RTD("tos.rtd", , "ASK", "."&amp;Table1[[#This Row],[Ticker]]&amp;Table1[[#This Row],[Expiry]]&amp;""&amp;"P"&amp;Table1[[#This Row],[Strike]]))</f>
        <v>0</v>
      </c>
      <c r="S186" s="17"/>
      <c r="T186" t="b">
        <f>IF(
    ISNUMBER(Table1[[#This Row],[Strike]]),RTD("tos.rtd", , "OPEN_INT", "."&amp;Table1[[#This Row],[Ticker]]&amp;Table1[[#This Row],[Expiry]]&amp;""&amp;"P"&amp;Table1[[#This Row],[Strike]]))</f>
        <v>0</v>
      </c>
      <c r="U18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6" t="b">
        <f>IF(
    ISNUMBER(Table1[[#This Row],[Strike]]),RTD("tos.rtd", , "DELTA", "."&amp;Table1[[#This Row],[Ticker]]&amp;Table1[[#This Row],[Expiry]]&amp;""&amp;"P"&amp;Table1[[#This Row],[Strike]]))</f>
        <v>0</v>
      </c>
      <c r="Y186" s="19">
        <f>38* IF($M$1="NDX", 10, IF(OR($M$1="SPX", $M$1="RUT"), 2, 1))</f>
        <v>76</v>
      </c>
      <c r="Z186">
        <f ca="1">IFERROR(Table1[[#This Row],[call gamma]]*(Table1[[#This Row],[Open.Int]])*$A$4^2,0)</f>
        <v>0</v>
      </c>
      <c r="AA186">
        <f ca="1">IFERROR(((Table1[[#This Row],[Open.Int8]])*Table1[[#This Row],[Put gamma]])*-1*$A$4^2,0)</f>
        <v>0</v>
      </c>
      <c r="AB186">
        <f ca="1">(Table1[[#This Row],[Call Gex]]+Table1[[#This Row],[Put Gex]])</f>
        <v>0</v>
      </c>
      <c r="AC186">
        <f ca="1">Table1[[#This Row],[call delta adj]]+Table1[[#This Row],[put delta adj]]</f>
        <v>0</v>
      </c>
      <c r="AD186">
        <f ca="1">Table1[[#This Row],[Put Gex]]*Table1[[#This Row],[DeltaP]]*-1</f>
        <v>0</v>
      </c>
      <c r="AE186">
        <f ca="1">Table1[[#This Row],[Call Gex]]*Table1[[#This Row],[DeltaC]]</f>
        <v>0</v>
      </c>
      <c r="AF186">
        <f>IF(Table1[[#This Row],[DeltaC]]-ABS(Table1[[#This Row],[DeltaP]])="0","0.01",Table1[[#This Row],[DeltaC]]-ABS(Table1[[#This Row],[DeltaP]]))</f>
        <v>0</v>
      </c>
      <c r="AG186" t="e">
        <f ca="1">((LN($A$4/Table1[[#This Row],[Strike]]) + (0.411 + 0.5 * Table1[[#This Row],[IV Calc P]]^2) *Table1[[#This Row],[T]])) / (Table1[[#This Row],[IV Calc P]] * SQRT(Table1[[#This Row],[T]]))</f>
        <v>#DIV/0!</v>
      </c>
      <c r="AH186" t="e">
        <f ca="1">(LN($A$4/Table1[[#This Row],[Strike]]) + (0.411-0 + 0.5 * Table1[[#This Row],[IV Calc C]]^2) *Table1[[#This Row],[T]]) / (Table1[[#This Row],[IV Calc C]] * SQRT(Table1[[#This Row],[T]]))</f>
        <v>#DIV/0!</v>
      </c>
      <c r="AI186" t="e">
        <f ca="1">(EXP(-(AG186^2)/2)/SQRT(2*PI())*EXP(0*SQRT(Table1[[#This Row],[T]]))/$A$4*18%*SQRT(SQRT(Table1[[#This Row],[T]])))</f>
        <v>#DIV/0!</v>
      </c>
      <c r="AJ186" t="e">
        <f ca="1">(EXP(-(AH186^2)/2)/SQRT(2*PI())*EXP(0*SQRT(Table1[[#This Row],[T]]))/$A$4*18%*SQRT(SQRT(Table1[[#This Row],[T]])))</f>
        <v>#DIV/0!</v>
      </c>
      <c r="AK186" t="e">
        <f ca="1">Table1[[#This Row],[Call D1]]-Table1[[#This Row],[IV Calc C]]*SQRT(Table1[[#This Row],[T]])</f>
        <v>#DIV/0!</v>
      </c>
      <c r="AL186" t="e">
        <f ca="1">Table1[[#This Row],[Put D1]]-Table1[[#This Row],[IV Calc P]]*SQRT(Table1[[#This Row],[T]])</f>
        <v>#DIV/0!</v>
      </c>
      <c r="AM186" t="e">
        <f ca="1">EXP(-0.5*Table1[[#This Row],[Call D1]]^2)/SQRT(2*PI())</f>
        <v>#DIV/0!</v>
      </c>
      <c r="AN186" t="e">
        <f ca="1">EXP(-0.5*Table1[[#This Row],[Put D1]]^2)/SQRT(2*PI())</f>
        <v>#DIV/0!</v>
      </c>
      <c r="AO186">
        <f ca="1">IFERROR((EXP(0*Table1[[#This Row],[T]])*Table1[[#This Row],[call N(d1)]]*(Table1[[#This Row],[call d2]]/Table1[[#This Row],[IV Calc C]]))*Table1[[#This Row],[Open.Int]]*Table1[[#This Row],[DeltaC]],0)</f>
        <v>0</v>
      </c>
      <c r="AP186">
        <f ca="1">IFERROR((EXP(0*Table1[[#This Row],[T]])*Table1[[#This Row],[put N(d1)]]*(Table1[[#This Row],[put d2]]/Table1[[#This Row],[IV Calc P]]))*Table1[[#This Row],[Open.Int8]]*Table1[[#This Row],[DeltaP]]*-1,0)</f>
        <v>0</v>
      </c>
      <c r="AQ186">
        <f ca="1">((Table1[[#This Row],[call vanna]]+Table1[[#This Row],[put vanna]])*$A$4)</f>
        <v>0</v>
      </c>
      <c r="AR18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6" s="9" t="str" cm="1">
        <f t="array" ref="AT186">_xlfn.IFS(     $M$1="SPX","SPXW",     $M$1="RUT","RUTW",  $M$1="NDX","NDXP",   TRUE,$M$1 )</f>
        <v>SPXW</v>
      </c>
      <c r="AU186" s="2">
        <f t="shared" si="17"/>
        <v>6915</v>
      </c>
      <c r="AV186" t="str">
        <f t="shared" si="18"/>
        <v>260123</v>
      </c>
      <c r="AW186" s="19">
        <f ca="1">IFERROR((EXP(0*Table1[[#This Row],[T]])*Table1[[#This Row],[put N(d1)]]*(Table1[[#This Row],[put d2]]/Table1[[#This Row],[IV Calc P]]))*Table1[[#This Row],[Open.Int8]]*Table1[[#This Row],[DeltaP]]*-1,0)</f>
        <v>0</v>
      </c>
      <c r="AX186">
        <f ca="1">IFERROR((EXP(0*Table1[[#This Row],[T]])*Table1[[#This Row],[call N(d1)]]*(Table1[[#This Row],[call d2]]/Table1[[#This Row],[IV Calc C]]))*Table1[[#This Row],[Open.Int]]*Table1[[#This Row],[DeltaC]],0)</f>
        <v>0</v>
      </c>
      <c r="AY18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6">
        <f>((Table1[[#This Row],[High C]]+Table1[[#This Row],[Low C]])/2)*Table1[[#This Row],[gammac]]*Table1[[#This Row],[Volume]]</f>
        <v>0</v>
      </c>
      <c r="BD186">
        <f>((Table1[[#This Row],[High P]]+Table1[[#This Row],[Low P]])/2)*Table1[[#This Row],[gammap]]*Table1[[#This Row],[Volume9]]*-1</f>
        <v>0</v>
      </c>
      <c r="BE186">
        <f>(Table1[[#This Row],[SgammaC]]+Table1[[#This Row],[SgammaP]])*$A$4*-100</f>
        <v>0</v>
      </c>
      <c r="BF186">
        <f>Table1[[#This Row],[DEXc]]+Table1[[#This Row],[DEXp]]</f>
        <v>0</v>
      </c>
      <c r="BG186">
        <f>IFERROR(Table1[[#This Row],[DeltaC]]*Table1[[#This Row],[Open.Int]]*$A$4,0)</f>
        <v>0</v>
      </c>
      <c r="BH186">
        <f>IFERROR(Table1[[#This Row],[DeltaP]]*Table1[[#This Row],[Open.Int8]]*$A$4,0)</f>
        <v>0</v>
      </c>
      <c r="BI18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6">
        <f ca="1">Table1[[#This Row],[Charmc]]+Table1[[#This Row],[Charmp]]</f>
        <v>0</v>
      </c>
      <c r="BL18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6" s="78">
        <f ca="1">Table1[[#This Row],[call helper]]+Table1[[#This Row],[put helper]]</f>
        <v>0</v>
      </c>
      <c r="BP186" t="str">
        <f>RTD("tos.rtd", , "STRIKE", "."&amp;Table1[[#This Row],[Ticker]]&amp;Table1[[#This Row],[Expiry]]&amp;""&amp;"C"&amp;Table1[[#This Row],[Spot]]+Table1[[#This Row],[step]])</f>
        <v>N/A</v>
      </c>
    </row>
    <row r="187" spans="1:68" x14ac:dyDescent="0.25">
      <c r="A187">
        <f t="shared" ca="1" si="14"/>
        <v>2.5814307458086375E-3</v>
      </c>
      <c r="C187" s="17"/>
      <c r="D187" t="b">
        <f>IF(
    ISNUMBER(Table1[[#This Row],[Strike]]),RTD("tos.rtd", , "OPEN_INT", "."&amp;Table1[[#This Row],[Ticker]]&amp;Table1[[#This Row],[Expiry]]&amp;""&amp;"C"&amp;Table1[[#This Row],[Strike]]))</f>
        <v>0</v>
      </c>
      <c r="E18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7" t="b">
        <f>IF(
    ISNUMBER(Table1[[#This Row],[Strike]]),RTD("tos.rtd", , "DELTA", "."&amp;Table1[[#This Row],[Ticker]]&amp;Table1[[#This Row],[Expiry]]&amp;""&amp;"C"&amp;Table1[[#This Row],[Strike]]))</f>
        <v>0</v>
      </c>
      <c r="H187" s="17" t="b" cm="1">
        <f t="array" ref="H187">IF(
    ISNUMBER(Table1[[#This Row],[Strike]]),IndividualLegIVCore($A$4, Table1[[#This Row],[Strike]], 0.0411, Table1[[#This Row],[T]], ((Table1[[#This Row],[BIDC]]+Table1[[#This Row],[ASKC]])/2), TRUE))</f>
        <v>0</v>
      </c>
      <c r="I187" t="b">
        <f>IF(
    ISNUMBER(Table1[[#This Row],[Strike]]),RTD("tos.rtd", , "BID", "."&amp;Table1[[#This Row],[Ticker]]&amp;Table1[[#This Row],[Expiry]]&amp;""&amp;"C"&amp;Table1[[#This Row],[Strike]]))</f>
        <v>0</v>
      </c>
      <c r="J187" t="b">
        <f>IF(
    ISNUMBER(Table1[[#This Row],[Strike]]),RTD("tos.rtd", , "ASK", "."&amp;Table1[[#This Row],[Ticker]]&amp;Table1[[#This Row],[Expiry]]&amp;""&amp;"C"&amp;Table1[[#This Row],[Strike]]))</f>
        <v>0</v>
      </c>
      <c r="K18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7" s="17" cm="1">
        <f t="array" aca="1" ref="L18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7" s="1">
        <f t="shared" si="15"/>
        <v>46045</v>
      </c>
      <c r="N187" t="b">
        <f t="shared" si="16"/>
        <v>0</v>
      </c>
      <c r="P187" s="17" t="b" cm="1">
        <f t="array" ref="P187">IF(
    ISNUMBER(Table1[[#This Row],[Strike]]),IndividualLegIVCore($A$4, Table1[[#This Row],[Strike]], 0.0411, Table1[[#This Row],[T]], ((Table1[[#This Row],[BIDP]]+Table1[[#This Row],[ASKP]])/2), FALSE))</f>
        <v>0</v>
      </c>
      <c r="Q187" t="b">
        <f>IF(
    ISNUMBER(Table1[[#This Row],[Strike]]),RTD("tos.rtd", , "BID", "."&amp;Table1[[#This Row],[Ticker]]&amp;Table1[[#This Row],[Expiry]]&amp;""&amp;"P"&amp;Table1[[#This Row],[Strike]]))</f>
        <v>0</v>
      </c>
      <c r="R187" t="b">
        <f>IF(
    ISNUMBER(Table1[[#This Row],[Strike]]),RTD("tos.rtd", , "ASK", "."&amp;Table1[[#This Row],[Ticker]]&amp;Table1[[#This Row],[Expiry]]&amp;""&amp;"P"&amp;Table1[[#This Row],[Strike]]))</f>
        <v>0</v>
      </c>
      <c r="S187" s="17"/>
      <c r="T187" t="b">
        <f>IF(
    ISNUMBER(Table1[[#This Row],[Strike]]),RTD("tos.rtd", , "OPEN_INT", "."&amp;Table1[[#This Row],[Ticker]]&amp;Table1[[#This Row],[Expiry]]&amp;""&amp;"P"&amp;Table1[[#This Row],[Strike]]))</f>
        <v>0</v>
      </c>
      <c r="U18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7" t="b">
        <f>IF(
    ISNUMBER(Table1[[#This Row],[Strike]]),RTD("tos.rtd", , "DELTA", "."&amp;Table1[[#This Row],[Ticker]]&amp;Table1[[#This Row],[Expiry]]&amp;""&amp;"P"&amp;Table1[[#This Row],[Strike]]))</f>
        <v>0</v>
      </c>
      <c r="Y187" s="19">
        <f>38.5* IF($M$1="NDX", 10, IF(OR($M$1="SPX", $M$1="RUT"), 2, 1))</f>
        <v>77</v>
      </c>
      <c r="Z187">
        <f ca="1">IFERROR(Table1[[#This Row],[call gamma]]*(Table1[[#This Row],[Open.Int]])*$A$4^2,0)</f>
        <v>0</v>
      </c>
      <c r="AA187">
        <f ca="1">IFERROR(((Table1[[#This Row],[Open.Int8]])*Table1[[#This Row],[Put gamma]])*-1*$A$4^2,0)</f>
        <v>0</v>
      </c>
      <c r="AB187">
        <f ca="1">(Table1[[#This Row],[Call Gex]]+Table1[[#This Row],[Put Gex]])</f>
        <v>0</v>
      </c>
      <c r="AC187">
        <f ca="1">Table1[[#This Row],[call delta adj]]+Table1[[#This Row],[put delta adj]]</f>
        <v>0</v>
      </c>
      <c r="AD187">
        <f ca="1">Table1[[#This Row],[Put Gex]]*Table1[[#This Row],[DeltaP]]*-1</f>
        <v>0</v>
      </c>
      <c r="AE187">
        <f ca="1">Table1[[#This Row],[Call Gex]]*Table1[[#This Row],[DeltaC]]</f>
        <v>0</v>
      </c>
      <c r="AF187">
        <f>IF(Table1[[#This Row],[DeltaC]]-ABS(Table1[[#This Row],[DeltaP]])="0","0.01",Table1[[#This Row],[DeltaC]]-ABS(Table1[[#This Row],[DeltaP]]))</f>
        <v>0</v>
      </c>
      <c r="AG187" t="e">
        <f ca="1">((LN($A$4/Table1[[#This Row],[Strike]]) + (0.411 + 0.5 * Table1[[#This Row],[IV Calc P]]^2) *Table1[[#This Row],[T]])) / (Table1[[#This Row],[IV Calc P]] * SQRT(Table1[[#This Row],[T]]))</f>
        <v>#DIV/0!</v>
      </c>
      <c r="AH187" t="e">
        <f ca="1">(LN($A$4/Table1[[#This Row],[Strike]]) + (0.411-0 + 0.5 * Table1[[#This Row],[IV Calc C]]^2) *Table1[[#This Row],[T]]) / (Table1[[#This Row],[IV Calc C]] * SQRT(Table1[[#This Row],[T]]))</f>
        <v>#DIV/0!</v>
      </c>
      <c r="AI187" t="e">
        <f ca="1">(EXP(-(AG187^2)/2)/SQRT(2*PI())*EXP(0*SQRT(Table1[[#This Row],[T]]))/$A$4*18%*SQRT(SQRT(Table1[[#This Row],[T]])))</f>
        <v>#DIV/0!</v>
      </c>
      <c r="AJ187" t="e">
        <f ca="1">(EXP(-(AH187^2)/2)/SQRT(2*PI())*EXP(0*SQRT(Table1[[#This Row],[T]]))/$A$4*18%*SQRT(SQRT(Table1[[#This Row],[T]])))</f>
        <v>#DIV/0!</v>
      </c>
      <c r="AK187" t="e">
        <f ca="1">Table1[[#This Row],[Call D1]]-Table1[[#This Row],[IV Calc C]]*SQRT(Table1[[#This Row],[T]])</f>
        <v>#DIV/0!</v>
      </c>
      <c r="AL187" t="e">
        <f ca="1">Table1[[#This Row],[Put D1]]-Table1[[#This Row],[IV Calc P]]*SQRT(Table1[[#This Row],[T]])</f>
        <v>#DIV/0!</v>
      </c>
      <c r="AM187" t="e">
        <f ca="1">EXP(-0.5*Table1[[#This Row],[Call D1]]^2)/SQRT(2*PI())</f>
        <v>#DIV/0!</v>
      </c>
      <c r="AN187" t="e">
        <f ca="1">EXP(-0.5*Table1[[#This Row],[Put D1]]^2)/SQRT(2*PI())</f>
        <v>#DIV/0!</v>
      </c>
      <c r="AO187">
        <f ca="1">IFERROR((EXP(0*Table1[[#This Row],[T]])*Table1[[#This Row],[call N(d1)]]*(Table1[[#This Row],[call d2]]/Table1[[#This Row],[IV Calc C]]))*Table1[[#This Row],[Open.Int]]*Table1[[#This Row],[DeltaC]],0)</f>
        <v>0</v>
      </c>
      <c r="AP187">
        <f ca="1">IFERROR((EXP(0*Table1[[#This Row],[T]])*Table1[[#This Row],[put N(d1)]]*(Table1[[#This Row],[put d2]]/Table1[[#This Row],[IV Calc P]]))*Table1[[#This Row],[Open.Int8]]*Table1[[#This Row],[DeltaP]]*-1,0)</f>
        <v>0</v>
      </c>
      <c r="AQ187">
        <f ca="1">((Table1[[#This Row],[call vanna]]+Table1[[#This Row],[put vanna]])*$A$4)</f>
        <v>0</v>
      </c>
      <c r="AR18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7" s="9" t="str" cm="1">
        <f t="array" ref="AT187">_xlfn.IFS(     $M$1="SPX","SPXW",     $M$1="RUT","RUTW",  $M$1="NDX","NDXP",   TRUE,$M$1 )</f>
        <v>SPXW</v>
      </c>
      <c r="AU187" s="2">
        <f t="shared" si="17"/>
        <v>6915</v>
      </c>
      <c r="AV187" t="str">
        <f t="shared" si="18"/>
        <v>260123</v>
      </c>
      <c r="AW187" s="19">
        <f ca="1">IFERROR((EXP(0*Table1[[#This Row],[T]])*Table1[[#This Row],[put N(d1)]]*(Table1[[#This Row],[put d2]]/Table1[[#This Row],[IV Calc P]]))*Table1[[#This Row],[Open.Int8]]*Table1[[#This Row],[DeltaP]]*-1,0)</f>
        <v>0</v>
      </c>
      <c r="AX187">
        <f ca="1">IFERROR((EXP(0*Table1[[#This Row],[T]])*Table1[[#This Row],[call N(d1)]]*(Table1[[#This Row],[call d2]]/Table1[[#This Row],[IV Calc C]]))*Table1[[#This Row],[Open.Int]]*Table1[[#This Row],[DeltaC]],0)</f>
        <v>0</v>
      </c>
      <c r="AY18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7">
        <f>((Table1[[#This Row],[High C]]+Table1[[#This Row],[Low C]])/2)*Table1[[#This Row],[gammac]]*Table1[[#This Row],[Volume]]</f>
        <v>0</v>
      </c>
      <c r="BD187">
        <f>((Table1[[#This Row],[High P]]+Table1[[#This Row],[Low P]])/2)*Table1[[#This Row],[gammap]]*Table1[[#This Row],[Volume9]]*-1</f>
        <v>0</v>
      </c>
      <c r="BE187">
        <f>(Table1[[#This Row],[SgammaC]]+Table1[[#This Row],[SgammaP]])*$A$4*-100</f>
        <v>0</v>
      </c>
      <c r="BF187">
        <f>Table1[[#This Row],[DEXc]]+Table1[[#This Row],[DEXp]]</f>
        <v>0</v>
      </c>
      <c r="BG187">
        <f>IFERROR(Table1[[#This Row],[DeltaC]]*Table1[[#This Row],[Open.Int]]*$A$4,0)</f>
        <v>0</v>
      </c>
      <c r="BH187">
        <f>IFERROR(Table1[[#This Row],[DeltaP]]*Table1[[#This Row],[Open.Int8]]*$A$4,0)</f>
        <v>0</v>
      </c>
      <c r="BI18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7">
        <f ca="1">Table1[[#This Row],[Charmc]]+Table1[[#This Row],[Charmp]]</f>
        <v>0</v>
      </c>
      <c r="BL18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7" s="78">
        <f ca="1">Table1[[#This Row],[call helper]]+Table1[[#This Row],[put helper]]</f>
        <v>0</v>
      </c>
      <c r="BP187" t="str">
        <f>RTD("tos.rtd", , "STRIKE", "."&amp;Table1[[#This Row],[Ticker]]&amp;Table1[[#This Row],[Expiry]]&amp;""&amp;"C"&amp;Table1[[#This Row],[Spot]]+Table1[[#This Row],[step]])</f>
        <v>N/A</v>
      </c>
    </row>
    <row r="188" spans="1:68" x14ac:dyDescent="0.25">
      <c r="A188">
        <f t="shared" ca="1" si="14"/>
        <v>2.5814307458086375E-3</v>
      </c>
      <c r="C188" s="17"/>
      <c r="D188" t="b">
        <f>IF(
    ISNUMBER(Table1[[#This Row],[Strike]]),RTD("tos.rtd", , "OPEN_INT", "."&amp;Table1[[#This Row],[Ticker]]&amp;Table1[[#This Row],[Expiry]]&amp;""&amp;"C"&amp;Table1[[#This Row],[Strike]]))</f>
        <v>0</v>
      </c>
      <c r="E18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8" t="b">
        <f>IF(
    ISNUMBER(Table1[[#This Row],[Strike]]),RTD("tos.rtd", , "DELTA", "."&amp;Table1[[#This Row],[Ticker]]&amp;Table1[[#This Row],[Expiry]]&amp;""&amp;"C"&amp;Table1[[#This Row],[Strike]]))</f>
        <v>0</v>
      </c>
      <c r="H188" s="17" t="b" cm="1">
        <f t="array" ref="H188">IF(
    ISNUMBER(Table1[[#This Row],[Strike]]),IndividualLegIVCore($A$4, Table1[[#This Row],[Strike]], 0.0411, Table1[[#This Row],[T]], ((Table1[[#This Row],[BIDC]]+Table1[[#This Row],[ASKC]])/2), TRUE))</f>
        <v>0</v>
      </c>
      <c r="I188" t="b">
        <f>IF(
    ISNUMBER(Table1[[#This Row],[Strike]]),RTD("tos.rtd", , "BID", "."&amp;Table1[[#This Row],[Ticker]]&amp;Table1[[#This Row],[Expiry]]&amp;""&amp;"C"&amp;Table1[[#This Row],[Strike]]))</f>
        <v>0</v>
      </c>
      <c r="J188" t="b">
        <f>IF(
    ISNUMBER(Table1[[#This Row],[Strike]]),RTD("tos.rtd", , "ASK", "."&amp;Table1[[#This Row],[Ticker]]&amp;Table1[[#This Row],[Expiry]]&amp;""&amp;"C"&amp;Table1[[#This Row],[Strike]]))</f>
        <v>0</v>
      </c>
      <c r="K18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8" s="17" cm="1">
        <f t="array" aca="1" ref="L18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8" s="1">
        <f t="shared" si="15"/>
        <v>46045</v>
      </c>
      <c r="N188" t="b">
        <f t="shared" si="16"/>
        <v>0</v>
      </c>
      <c r="P188" s="17" t="b" cm="1">
        <f t="array" ref="P188">IF(
    ISNUMBER(Table1[[#This Row],[Strike]]),IndividualLegIVCore($A$4, Table1[[#This Row],[Strike]], 0.0411, Table1[[#This Row],[T]], ((Table1[[#This Row],[BIDP]]+Table1[[#This Row],[ASKP]])/2), FALSE))</f>
        <v>0</v>
      </c>
      <c r="Q188" t="b">
        <f>IF(
    ISNUMBER(Table1[[#This Row],[Strike]]),RTD("tos.rtd", , "BID", "."&amp;Table1[[#This Row],[Ticker]]&amp;Table1[[#This Row],[Expiry]]&amp;""&amp;"P"&amp;Table1[[#This Row],[Strike]]))</f>
        <v>0</v>
      </c>
      <c r="R188" t="b">
        <f>IF(
    ISNUMBER(Table1[[#This Row],[Strike]]),RTD("tos.rtd", , "ASK", "."&amp;Table1[[#This Row],[Ticker]]&amp;Table1[[#This Row],[Expiry]]&amp;""&amp;"P"&amp;Table1[[#This Row],[Strike]]))</f>
        <v>0</v>
      </c>
      <c r="S188" s="17"/>
      <c r="T188" t="b">
        <f>IF(
    ISNUMBER(Table1[[#This Row],[Strike]]),RTD("tos.rtd", , "OPEN_INT", "."&amp;Table1[[#This Row],[Ticker]]&amp;Table1[[#This Row],[Expiry]]&amp;""&amp;"P"&amp;Table1[[#This Row],[Strike]]))</f>
        <v>0</v>
      </c>
      <c r="U18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8" t="b">
        <f>IF(
    ISNUMBER(Table1[[#This Row],[Strike]]),RTD("tos.rtd", , "DELTA", "."&amp;Table1[[#This Row],[Ticker]]&amp;Table1[[#This Row],[Expiry]]&amp;""&amp;"P"&amp;Table1[[#This Row],[Strike]]))</f>
        <v>0</v>
      </c>
      <c r="Y188" s="19">
        <f>39* IF($M$1="NDX", 10, IF(OR($M$1="SPX", $M$1="RUT"), 2, 1))</f>
        <v>78</v>
      </c>
      <c r="Z188">
        <f ca="1">IFERROR(Table1[[#This Row],[call gamma]]*(Table1[[#This Row],[Open.Int]])*$A$4^2,0)</f>
        <v>0</v>
      </c>
      <c r="AA188">
        <f ca="1">IFERROR(((Table1[[#This Row],[Open.Int8]])*Table1[[#This Row],[Put gamma]])*-1*$A$4^2,0)</f>
        <v>0</v>
      </c>
      <c r="AB188">
        <f ca="1">(Table1[[#This Row],[Call Gex]]+Table1[[#This Row],[Put Gex]])</f>
        <v>0</v>
      </c>
      <c r="AC188">
        <f ca="1">Table1[[#This Row],[call delta adj]]+Table1[[#This Row],[put delta adj]]</f>
        <v>0</v>
      </c>
      <c r="AD188">
        <f ca="1">Table1[[#This Row],[Put Gex]]*Table1[[#This Row],[DeltaP]]*-1</f>
        <v>0</v>
      </c>
      <c r="AE188">
        <f ca="1">Table1[[#This Row],[Call Gex]]*Table1[[#This Row],[DeltaC]]</f>
        <v>0</v>
      </c>
      <c r="AF188">
        <f>IF(Table1[[#This Row],[DeltaC]]-ABS(Table1[[#This Row],[DeltaP]])="0","0.01",Table1[[#This Row],[DeltaC]]-ABS(Table1[[#This Row],[DeltaP]]))</f>
        <v>0</v>
      </c>
      <c r="AG188" t="e">
        <f ca="1">((LN($A$4/Table1[[#This Row],[Strike]]) + (0.411 + 0.5 * Table1[[#This Row],[IV Calc P]]^2) *Table1[[#This Row],[T]])) / (Table1[[#This Row],[IV Calc P]] * SQRT(Table1[[#This Row],[T]]))</f>
        <v>#DIV/0!</v>
      </c>
      <c r="AH188" t="e">
        <f ca="1">(LN($A$4/Table1[[#This Row],[Strike]]) + (0.411-0 + 0.5 * Table1[[#This Row],[IV Calc C]]^2) *Table1[[#This Row],[T]]) / (Table1[[#This Row],[IV Calc C]] * SQRT(Table1[[#This Row],[T]]))</f>
        <v>#DIV/0!</v>
      </c>
      <c r="AI188" t="e">
        <f ca="1">(EXP(-(AG188^2)/2)/SQRT(2*PI())*EXP(0*SQRT(Table1[[#This Row],[T]]))/$A$4*18%*SQRT(SQRT(Table1[[#This Row],[T]])))</f>
        <v>#DIV/0!</v>
      </c>
      <c r="AJ188" t="e">
        <f ca="1">(EXP(-(AH188^2)/2)/SQRT(2*PI())*EXP(0*SQRT(Table1[[#This Row],[T]]))/$A$4*18%*SQRT(SQRT(Table1[[#This Row],[T]])))</f>
        <v>#DIV/0!</v>
      </c>
      <c r="AK188" t="e">
        <f ca="1">Table1[[#This Row],[Call D1]]-Table1[[#This Row],[IV Calc C]]*SQRT(Table1[[#This Row],[T]])</f>
        <v>#DIV/0!</v>
      </c>
      <c r="AL188" t="e">
        <f ca="1">Table1[[#This Row],[Put D1]]-Table1[[#This Row],[IV Calc P]]*SQRT(Table1[[#This Row],[T]])</f>
        <v>#DIV/0!</v>
      </c>
      <c r="AM188" t="e">
        <f ca="1">EXP(-0.5*Table1[[#This Row],[Call D1]]^2)/SQRT(2*PI())</f>
        <v>#DIV/0!</v>
      </c>
      <c r="AN188" t="e">
        <f ca="1">EXP(-0.5*Table1[[#This Row],[Put D1]]^2)/SQRT(2*PI())</f>
        <v>#DIV/0!</v>
      </c>
      <c r="AO188">
        <f ca="1">IFERROR((EXP(0*Table1[[#This Row],[T]])*Table1[[#This Row],[call N(d1)]]*(Table1[[#This Row],[call d2]]/Table1[[#This Row],[IV Calc C]]))*Table1[[#This Row],[Open.Int]]*Table1[[#This Row],[DeltaC]],0)</f>
        <v>0</v>
      </c>
      <c r="AP188">
        <f ca="1">IFERROR((EXP(0*Table1[[#This Row],[T]])*Table1[[#This Row],[put N(d1)]]*(Table1[[#This Row],[put d2]]/Table1[[#This Row],[IV Calc P]]))*Table1[[#This Row],[Open.Int8]]*Table1[[#This Row],[DeltaP]]*-1,0)</f>
        <v>0</v>
      </c>
      <c r="AQ188">
        <f ca="1">((Table1[[#This Row],[call vanna]]+Table1[[#This Row],[put vanna]])*$A$4)</f>
        <v>0</v>
      </c>
      <c r="AR18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8" s="9" t="str" cm="1">
        <f t="array" ref="AT188">_xlfn.IFS(     $M$1="SPX","SPXW",     $M$1="RUT","RUTW",  $M$1="NDX","NDXP",   TRUE,$M$1 )</f>
        <v>SPXW</v>
      </c>
      <c r="AU188" s="2">
        <f t="shared" si="17"/>
        <v>6915</v>
      </c>
      <c r="AV188" t="str">
        <f t="shared" si="18"/>
        <v>260123</v>
      </c>
      <c r="AW188" s="19">
        <f ca="1">IFERROR((EXP(0*Table1[[#This Row],[T]])*Table1[[#This Row],[put N(d1)]]*(Table1[[#This Row],[put d2]]/Table1[[#This Row],[IV Calc P]]))*Table1[[#This Row],[Open.Int8]]*Table1[[#This Row],[DeltaP]]*-1,0)</f>
        <v>0</v>
      </c>
      <c r="AX188">
        <f ca="1">IFERROR((EXP(0*Table1[[#This Row],[T]])*Table1[[#This Row],[call N(d1)]]*(Table1[[#This Row],[call d2]]/Table1[[#This Row],[IV Calc C]]))*Table1[[#This Row],[Open.Int]]*Table1[[#This Row],[DeltaC]],0)</f>
        <v>0</v>
      </c>
      <c r="AY18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8">
        <f>((Table1[[#This Row],[High C]]+Table1[[#This Row],[Low C]])/2)*Table1[[#This Row],[gammac]]*Table1[[#This Row],[Volume]]</f>
        <v>0</v>
      </c>
      <c r="BD188">
        <f>((Table1[[#This Row],[High P]]+Table1[[#This Row],[Low P]])/2)*Table1[[#This Row],[gammap]]*Table1[[#This Row],[Volume9]]*-1</f>
        <v>0</v>
      </c>
      <c r="BE188">
        <f>(Table1[[#This Row],[SgammaC]]+Table1[[#This Row],[SgammaP]])*$A$4*-100</f>
        <v>0</v>
      </c>
      <c r="BF188">
        <f>Table1[[#This Row],[DEXc]]+Table1[[#This Row],[DEXp]]</f>
        <v>0</v>
      </c>
      <c r="BG188">
        <f>IFERROR(Table1[[#This Row],[DeltaC]]*Table1[[#This Row],[Open.Int]]*$A$4,0)</f>
        <v>0</v>
      </c>
      <c r="BH188">
        <f>IFERROR(Table1[[#This Row],[DeltaP]]*Table1[[#This Row],[Open.Int8]]*$A$4,0)</f>
        <v>0</v>
      </c>
      <c r="BI18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8">
        <f ca="1">Table1[[#This Row],[Charmc]]+Table1[[#This Row],[Charmp]]</f>
        <v>0</v>
      </c>
      <c r="BL18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8" s="78">
        <f ca="1">Table1[[#This Row],[call helper]]+Table1[[#This Row],[put helper]]</f>
        <v>0</v>
      </c>
      <c r="BP188" t="str">
        <f>RTD("tos.rtd", , "STRIKE", "."&amp;Table1[[#This Row],[Ticker]]&amp;Table1[[#This Row],[Expiry]]&amp;""&amp;"C"&amp;Table1[[#This Row],[Spot]]+Table1[[#This Row],[step]])</f>
        <v>N/A</v>
      </c>
    </row>
    <row r="189" spans="1:68" x14ac:dyDescent="0.25">
      <c r="A189">
        <f t="shared" ca="1" si="14"/>
        <v>2.5814307458086375E-3</v>
      </c>
      <c r="C189" s="17"/>
      <c r="D189" t="b">
        <f>IF(
    ISNUMBER(Table1[[#This Row],[Strike]]),RTD("tos.rtd", , "OPEN_INT", "."&amp;Table1[[#This Row],[Ticker]]&amp;Table1[[#This Row],[Expiry]]&amp;""&amp;"C"&amp;Table1[[#This Row],[Strike]]))</f>
        <v>0</v>
      </c>
      <c r="E18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9" t="b">
        <f>IF(
    ISNUMBER(Table1[[#This Row],[Strike]]),RTD("tos.rtd", , "DELTA", "."&amp;Table1[[#This Row],[Ticker]]&amp;Table1[[#This Row],[Expiry]]&amp;""&amp;"C"&amp;Table1[[#This Row],[Strike]]))</f>
        <v>0</v>
      </c>
      <c r="H189" s="17" t="b" cm="1">
        <f t="array" ref="H189">IF(
    ISNUMBER(Table1[[#This Row],[Strike]]),IndividualLegIVCore($A$4, Table1[[#This Row],[Strike]], 0.0411, Table1[[#This Row],[T]], ((Table1[[#This Row],[BIDC]]+Table1[[#This Row],[ASKC]])/2), TRUE))</f>
        <v>0</v>
      </c>
      <c r="I189" t="b">
        <f>IF(
    ISNUMBER(Table1[[#This Row],[Strike]]),RTD("tos.rtd", , "BID", "."&amp;Table1[[#This Row],[Ticker]]&amp;Table1[[#This Row],[Expiry]]&amp;""&amp;"C"&amp;Table1[[#This Row],[Strike]]))</f>
        <v>0</v>
      </c>
      <c r="J189" t="b">
        <f>IF(
    ISNUMBER(Table1[[#This Row],[Strike]]),RTD("tos.rtd", , "ASK", "."&amp;Table1[[#This Row],[Ticker]]&amp;Table1[[#This Row],[Expiry]]&amp;""&amp;"C"&amp;Table1[[#This Row],[Strike]]))</f>
        <v>0</v>
      </c>
      <c r="K18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9" s="17" cm="1">
        <f t="array" aca="1" ref="L18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9" s="1">
        <f t="shared" si="15"/>
        <v>46045</v>
      </c>
      <c r="N189" t="b">
        <f t="shared" si="16"/>
        <v>0</v>
      </c>
      <c r="P189" s="17" t="b" cm="1">
        <f t="array" ref="P189">IF(
    ISNUMBER(Table1[[#This Row],[Strike]]),IndividualLegIVCore($A$4, Table1[[#This Row],[Strike]], 0.0411, Table1[[#This Row],[T]], ((Table1[[#This Row],[BIDP]]+Table1[[#This Row],[ASKP]])/2), FALSE))</f>
        <v>0</v>
      </c>
      <c r="Q189" t="b">
        <f>IF(
    ISNUMBER(Table1[[#This Row],[Strike]]),RTD("tos.rtd", , "BID", "."&amp;Table1[[#This Row],[Ticker]]&amp;Table1[[#This Row],[Expiry]]&amp;""&amp;"P"&amp;Table1[[#This Row],[Strike]]))</f>
        <v>0</v>
      </c>
      <c r="R189" t="b">
        <f>IF(
    ISNUMBER(Table1[[#This Row],[Strike]]),RTD("tos.rtd", , "ASK", "."&amp;Table1[[#This Row],[Ticker]]&amp;Table1[[#This Row],[Expiry]]&amp;""&amp;"P"&amp;Table1[[#This Row],[Strike]]))</f>
        <v>0</v>
      </c>
      <c r="S189" s="17"/>
      <c r="T189" t="b">
        <f>IF(
    ISNUMBER(Table1[[#This Row],[Strike]]),RTD("tos.rtd", , "OPEN_INT", "."&amp;Table1[[#This Row],[Ticker]]&amp;Table1[[#This Row],[Expiry]]&amp;""&amp;"P"&amp;Table1[[#This Row],[Strike]]))</f>
        <v>0</v>
      </c>
      <c r="U18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9" t="b">
        <f>IF(
    ISNUMBER(Table1[[#This Row],[Strike]]),RTD("tos.rtd", , "DELTA", "."&amp;Table1[[#This Row],[Ticker]]&amp;Table1[[#This Row],[Expiry]]&amp;""&amp;"P"&amp;Table1[[#This Row],[Strike]]))</f>
        <v>0</v>
      </c>
      <c r="Y189" s="19">
        <f>39.5* IF($M$1="NDX", 10, IF(OR($M$1="SPX", $M$1="RUT"), 2, 1))</f>
        <v>79</v>
      </c>
      <c r="Z189">
        <f ca="1">IFERROR(Table1[[#This Row],[call gamma]]*(Table1[[#This Row],[Open.Int]])*$A$4^2,0)</f>
        <v>0</v>
      </c>
      <c r="AA189">
        <f ca="1">IFERROR(((Table1[[#This Row],[Open.Int8]])*Table1[[#This Row],[Put gamma]])*-1*$A$4^2,0)</f>
        <v>0</v>
      </c>
      <c r="AB189">
        <f ca="1">(Table1[[#This Row],[Call Gex]]+Table1[[#This Row],[Put Gex]])</f>
        <v>0</v>
      </c>
      <c r="AC189">
        <f ca="1">Table1[[#This Row],[call delta adj]]+Table1[[#This Row],[put delta adj]]</f>
        <v>0</v>
      </c>
      <c r="AD189">
        <f ca="1">Table1[[#This Row],[Put Gex]]*Table1[[#This Row],[DeltaP]]*-1</f>
        <v>0</v>
      </c>
      <c r="AE189">
        <f ca="1">Table1[[#This Row],[Call Gex]]*Table1[[#This Row],[DeltaC]]</f>
        <v>0</v>
      </c>
      <c r="AF189">
        <f>IF(Table1[[#This Row],[DeltaC]]-ABS(Table1[[#This Row],[DeltaP]])="0","0.01",Table1[[#This Row],[DeltaC]]-ABS(Table1[[#This Row],[DeltaP]]))</f>
        <v>0</v>
      </c>
      <c r="AG189" t="e">
        <f ca="1">((LN($A$4/Table1[[#This Row],[Strike]]) + (0.411 + 0.5 * Table1[[#This Row],[IV Calc P]]^2) *Table1[[#This Row],[T]])) / (Table1[[#This Row],[IV Calc P]] * SQRT(Table1[[#This Row],[T]]))</f>
        <v>#DIV/0!</v>
      </c>
      <c r="AH189" t="e">
        <f ca="1">(LN($A$4/Table1[[#This Row],[Strike]]) + (0.411-0 + 0.5 * Table1[[#This Row],[IV Calc C]]^2) *Table1[[#This Row],[T]]) / (Table1[[#This Row],[IV Calc C]] * SQRT(Table1[[#This Row],[T]]))</f>
        <v>#DIV/0!</v>
      </c>
      <c r="AI189" t="e">
        <f ca="1">(EXP(-(AG189^2)/2)/SQRT(2*PI())*EXP(0*SQRT(Table1[[#This Row],[T]]))/$A$4*18%*SQRT(SQRT(Table1[[#This Row],[T]])))</f>
        <v>#DIV/0!</v>
      </c>
      <c r="AJ189" t="e">
        <f ca="1">(EXP(-(AH189^2)/2)/SQRT(2*PI())*EXP(0*SQRT(Table1[[#This Row],[T]]))/$A$4*18%*SQRT(SQRT(Table1[[#This Row],[T]])))</f>
        <v>#DIV/0!</v>
      </c>
      <c r="AK189" t="e">
        <f ca="1">Table1[[#This Row],[Call D1]]-Table1[[#This Row],[IV Calc C]]*SQRT(Table1[[#This Row],[T]])</f>
        <v>#DIV/0!</v>
      </c>
      <c r="AL189" t="e">
        <f ca="1">Table1[[#This Row],[Put D1]]-Table1[[#This Row],[IV Calc P]]*SQRT(Table1[[#This Row],[T]])</f>
        <v>#DIV/0!</v>
      </c>
      <c r="AM189" t="e">
        <f ca="1">EXP(-0.5*Table1[[#This Row],[Call D1]]^2)/SQRT(2*PI())</f>
        <v>#DIV/0!</v>
      </c>
      <c r="AN189" t="e">
        <f ca="1">EXP(-0.5*Table1[[#This Row],[Put D1]]^2)/SQRT(2*PI())</f>
        <v>#DIV/0!</v>
      </c>
      <c r="AO189">
        <f ca="1">IFERROR((EXP(0*Table1[[#This Row],[T]])*Table1[[#This Row],[call N(d1)]]*(Table1[[#This Row],[call d2]]/Table1[[#This Row],[IV Calc C]]))*Table1[[#This Row],[Open.Int]]*Table1[[#This Row],[DeltaC]],0)</f>
        <v>0</v>
      </c>
      <c r="AP189">
        <f ca="1">IFERROR((EXP(0*Table1[[#This Row],[T]])*Table1[[#This Row],[put N(d1)]]*(Table1[[#This Row],[put d2]]/Table1[[#This Row],[IV Calc P]]))*Table1[[#This Row],[Open.Int8]]*Table1[[#This Row],[DeltaP]]*-1,0)</f>
        <v>0</v>
      </c>
      <c r="AQ189">
        <f ca="1">((Table1[[#This Row],[call vanna]]+Table1[[#This Row],[put vanna]])*$A$4)</f>
        <v>0</v>
      </c>
      <c r="AR18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9" s="9" t="str" cm="1">
        <f t="array" ref="AT189">_xlfn.IFS(     $M$1="SPX","SPXW",     $M$1="RUT","RUTW",  $M$1="NDX","NDXP",   TRUE,$M$1 )</f>
        <v>SPXW</v>
      </c>
      <c r="AU189" s="2">
        <f t="shared" si="17"/>
        <v>6915</v>
      </c>
      <c r="AV189" t="str">
        <f t="shared" si="18"/>
        <v>260123</v>
      </c>
      <c r="AW189" s="19">
        <f ca="1">IFERROR((EXP(0*Table1[[#This Row],[T]])*Table1[[#This Row],[put N(d1)]]*(Table1[[#This Row],[put d2]]/Table1[[#This Row],[IV Calc P]]))*Table1[[#This Row],[Open.Int8]]*Table1[[#This Row],[DeltaP]]*-1,0)</f>
        <v>0</v>
      </c>
      <c r="AX189">
        <f ca="1">IFERROR((EXP(0*Table1[[#This Row],[T]])*Table1[[#This Row],[call N(d1)]]*(Table1[[#This Row],[call d2]]/Table1[[#This Row],[IV Calc C]]))*Table1[[#This Row],[Open.Int]]*Table1[[#This Row],[DeltaC]],0)</f>
        <v>0</v>
      </c>
      <c r="AY18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9">
        <f>((Table1[[#This Row],[High C]]+Table1[[#This Row],[Low C]])/2)*Table1[[#This Row],[gammac]]*Table1[[#This Row],[Volume]]</f>
        <v>0</v>
      </c>
      <c r="BD189">
        <f>((Table1[[#This Row],[High P]]+Table1[[#This Row],[Low P]])/2)*Table1[[#This Row],[gammap]]*Table1[[#This Row],[Volume9]]*-1</f>
        <v>0</v>
      </c>
      <c r="BE189">
        <f>(Table1[[#This Row],[SgammaC]]+Table1[[#This Row],[SgammaP]])*$A$4*-100</f>
        <v>0</v>
      </c>
      <c r="BF189">
        <f>Table1[[#This Row],[DEXc]]+Table1[[#This Row],[DEXp]]</f>
        <v>0</v>
      </c>
      <c r="BG189">
        <f>IFERROR(Table1[[#This Row],[DeltaC]]*Table1[[#This Row],[Open.Int]]*$A$4,0)</f>
        <v>0</v>
      </c>
      <c r="BH189">
        <f>IFERROR(Table1[[#This Row],[DeltaP]]*Table1[[#This Row],[Open.Int8]]*$A$4,0)</f>
        <v>0</v>
      </c>
      <c r="BI18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9">
        <f ca="1">Table1[[#This Row],[Charmc]]+Table1[[#This Row],[Charmp]]</f>
        <v>0</v>
      </c>
      <c r="BL18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9" s="78">
        <f ca="1">Table1[[#This Row],[call helper]]+Table1[[#This Row],[put helper]]</f>
        <v>0</v>
      </c>
      <c r="BP189" t="str">
        <f>RTD("tos.rtd", , "STRIKE", "."&amp;Table1[[#This Row],[Ticker]]&amp;Table1[[#This Row],[Expiry]]&amp;""&amp;"C"&amp;Table1[[#This Row],[Spot]]+Table1[[#This Row],[step]])</f>
        <v>N/A</v>
      </c>
    </row>
    <row r="190" spans="1:68" x14ac:dyDescent="0.25">
      <c r="A190">
        <f t="shared" ca="1" si="14"/>
        <v>2.5814307458086375E-3</v>
      </c>
      <c r="C190" s="17"/>
      <c r="D190">
        <f>IF(
    ISNUMBER(Table1[[#This Row],[Strike]]),RTD("tos.rtd", , "OPEN_INT", "."&amp;Table1[[#This Row],[Ticker]]&amp;Table1[[#This Row],[Expiry]]&amp;""&amp;"C"&amp;Table1[[#This Row],[Strike]]))</f>
        <v>5622</v>
      </c>
      <c r="E19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7797</v>
      </c>
      <c r="G190">
        <f>IF(
    ISNUMBER(Table1[[#This Row],[Strike]]),RTD("tos.rtd", , "DELTA", "."&amp;Table1[[#This Row],[Ticker]]&amp;Table1[[#This Row],[Expiry]]&amp;""&amp;"C"&amp;Table1[[#This Row],[Strike]]))</f>
        <v>0.02</v>
      </c>
      <c r="H190" s="17" cm="1">
        <f t="array" aca="1" ref="H190" ca="1">IF(
    ISNUMBER(Table1[[#This Row],[Strike]]),IndividualLegIVCore($A$4, Table1[[#This Row],[Strike]], 0.0411, Table1[[#This Row],[T]], ((Table1[[#This Row],[BIDC]]+Table1[[#This Row],[ASKC]])/2), TRUE))</f>
        <v>0.10565345164264177</v>
      </c>
      <c r="I190">
        <f>IF(
    ISNUMBER(Table1[[#This Row],[Strike]]),RTD("tos.rtd", , "BID", "."&amp;Table1[[#This Row],[Ticker]]&amp;Table1[[#This Row],[Expiry]]&amp;""&amp;"C"&amp;Table1[[#This Row],[Strike]]))</f>
        <v>0.15</v>
      </c>
      <c r="J190">
        <f>IF(
    ISNUMBER(Table1[[#This Row],[Strike]]),RTD("tos.rtd", , "ASK", "."&amp;Table1[[#This Row],[Ticker]]&amp;Table1[[#This Row],[Expiry]]&amp;""&amp;"C"&amp;Table1[[#This Row],[Strike]]))</f>
        <v>0.25</v>
      </c>
      <c r="K19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0.10565345164264177</v>
      </c>
      <c r="L190" s="17" cm="1">
        <f t="array" aca="1" ref="L190" ca="1">CubicSplineIVSmile($A$4, Table1[[#This Row],[Strike]], 0.0411, Table1[[#This Row],[T]], (Table1[[#This Row],[BIDC]]+Table1[[#This Row],[ASKC]])/2, (Table1[[#This Row],[BIDP]]+Table1[[#This Row],[ASKP]])/2, Table1[Strike], Table1[IV Calc AVG])</f>
        <v>0.20010705858935268</v>
      </c>
      <c r="M190" s="1">
        <f t="shared" si="15"/>
        <v>46045</v>
      </c>
      <c r="N190">
        <f t="shared" si="16"/>
        <v>6995</v>
      </c>
      <c r="P190" s="17" cm="1">
        <f t="array" aca="1" ref="P190" ca="1">IF(
    ISNUMBER(Table1[[#This Row],[Strike]]),IndividualLegIVCore($A$4, Table1[[#This Row],[Strike]], 0.0411, Table1[[#This Row],[T]], ((Table1[[#This Row],[BIDP]]+Table1[[#This Row],[ASKP]])/2), FALSE))</f>
        <v>0.20747046707284919</v>
      </c>
      <c r="Q190">
        <f>IF(
    ISNUMBER(Table1[[#This Row],[Strike]]),RTD("tos.rtd", , "BID", "."&amp;Table1[[#This Row],[Ticker]]&amp;Table1[[#This Row],[Expiry]]&amp;""&amp;"P"&amp;Table1[[#This Row],[Strike]]))</f>
        <v>83.5</v>
      </c>
      <c r="R190">
        <f>IF(
    ISNUMBER(Table1[[#This Row],[Strike]]),RTD("tos.rtd", , "ASK", "."&amp;Table1[[#This Row],[Ticker]]&amp;Table1[[#This Row],[Expiry]]&amp;""&amp;"P"&amp;Table1[[#This Row],[Strike]]))</f>
        <v>88.3</v>
      </c>
      <c r="S190" s="17"/>
      <c r="T190">
        <f>IF(
    ISNUMBER(Table1[[#This Row],[Strike]]),RTD("tos.rtd", , "OPEN_INT", "."&amp;Table1[[#This Row],[Ticker]]&amp;Table1[[#This Row],[Expiry]]&amp;""&amp;"P"&amp;Table1[[#This Row],[Strike]]))</f>
        <v>116</v>
      </c>
      <c r="U19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74</v>
      </c>
      <c r="W190">
        <f>IF(
    ISNUMBER(Table1[[#This Row],[Strike]]),RTD("tos.rtd", , "DELTA", "."&amp;Table1[[#This Row],[Ticker]]&amp;Table1[[#This Row],[Expiry]]&amp;""&amp;"P"&amp;Table1[[#This Row],[Strike]]))</f>
        <v>-0.86</v>
      </c>
      <c r="Y190" s="19">
        <f>40* IF($M$1="NDX", 10, IF(OR($M$1="SPX", $M$1="RUT"), 2, 1))</f>
        <v>80</v>
      </c>
      <c r="Z190">
        <f ca="1">IFERROR(Table1[[#This Row],[call gamma]]*(Table1[[#This Row],[Open.Int]])*$A$4^2,0)</f>
        <v>87387.296151552</v>
      </c>
      <c r="AA190">
        <f ca="1">IFERROR(((Table1[[#This Row],[Open.Int8]])*Table1[[#This Row],[Put gamma]])*-1*$A$4^2,0)</f>
        <v>-7810.6504705397529</v>
      </c>
      <c r="AB190">
        <f ca="1">(Table1[[#This Row],[Call Gex]]+Table1[[#This Row],[Put Gex]])</f>
        <v>79576.645681012247</v>
      </c>
      <c r="AC190">
        <f ca="1">Table1[[#This Row],[call delta adj]]+Table1[[#This Row],[put delta adj]]</f>
        <v>-4969.413481633148</v>
      </c>
      <c r="AD190">
        <f ca="1">Table1[[#This Row],[Put Gex]]*Table1[[#This Row],[DeltaP]]*-1</f>
        <v>-6717.1594046641876</v>
      </c>
      <c r="AE190">
        <f ca="1">Table1[[#This Row],[Call Gex]]*Table1[[#This Row],[DeltaC]]</f>
        <v>1747.7459230310401</v>
      </c>
      <c r="AF190">
        <f>IF(Table1[[#This Row],[DeltaC]]-ABS(Table1[[#This Row],[DeltaP]])="0","0.01",Table1[[#This Row],[DeltaC]]-ABS(Table1[[#This Row],[DeltaP]]))</f>
        <v>-0.84</v>
      </c>
      <c r="AG190">
        <f ca="1">((LN($A$4/Table1[[#This Row],[Strike]]) + (0.411 + 0.5 * Table1[[#This Row],[IV Calc P]]^2) *Table1[[#This Row],[T]])) / (Table1[[#This Row],[IV Calc P]] * SQRT(Table1[[#This Row],[T]]))</f>
        <v>-1.0079349554380161</v>
      </c>
      <c r="AH190">
        <f ca="1">(LN($A$4/Table1[[#This Row],[Strike]]) + (0.411-0 + 0.5 * Table1[[#This Row],[IV Calc C]]^2) *Table1[[#This Row],[T]]) / (Table1[[#This Row],[IV Calc C]] * SQRT(Table1[[#This Row],[T]]))</f>
        <v>-1.9869359957893467</v>
      </c>
      <c r="AI190">
        <f ca="1">(EXP(-(AG190^2)/2)/SQRT(2*PI())*EXP(0*SQRT(Table1[[#This Row],[T]]))/$A$4*18%*SQRT(SQRT(Table1[[#This Row],[T]])))</f>
        <v>1.4088090263214385E-6</v>
      </c>
      <c r="AJ190">
        <f ca="1">(EXP(-(AH190^2)/2)/SQRT(2*PI())*EXP(0*SQRT(Table1[[#This Row],[T]]))/$A$4*18%*SQRT(SQRT(Table1[[#This Row],[T]])))</f>
        <v>3.2522234139026235E-7</v>
      </c>
      <c r="AK190">
        <f ca="1">Table1[[#This Row],[Call D1]]-Table1[[#This Row],[IV Calc C]]*SQRT(Table1[[#This Row],[T]])</f>
        <v>-1.9923040133633556</v>
      </c>
      <c r="AL190">
        <f ca="1">Table1[[#This Row],[Put D1]]-Table1[[#This Row],[IV Calc P]]*SQRT(Table1[[#This Row],[T]])</f>
        <v>-1.0184760697700104</v>
      </c>
      <c r="AM190">
        <f ca="1">EXP(-0.5*Table1[[#This Row],[Call D1]]^2)/SQRT(2*PI())</f>
        <v>5.5415504548565267E-2</v>
      </c>
      <c r="AN190">
        <f ca="1">EXP(-0.5*Table1[[#This Row],[Put D1]]^2)/SQRT(2*PI())</f>
        <v>0.2400507378196774</v>
      </c>
      <c r="AO190">
        <f ca="1">IFERROR((EXP(0*Table1[[#This Row],[T]])*Table1[[#This Row],[call N(d1)]]*(Table1[[#This Row],[call d2]]/Table1[[#This Row],[IV Calc C]]))*Table1[[#This Row],[Open.Int]]*Table1[[#This Row],[DeltaC]],0)</f>
        <v>-117.49626157942134</v>
      </c>
      <c r="AP190">
        <f ca="1">IFERROR((EXP(0*Table1[[#This Row],[T]])*Table1[[#This Row],[put N(d1)]]*(Table1[[#This Row],[put d2]]/Table1[[#This Row],[IV Calc P]]))*Table1[[#This Row],[Open.Int8]]*Table1[[#This Row],[DeltaP]]*-1,0)</f>
        <v>-117.55849842355434</v>
      </c>
      <c r="AQ190">
        <f ca="1">((Table1[[#This Row],[call vanna]]+Table1[[#This Row],[put vanna]])*$A$4)</f>
        <v>-1625015.8250665721</v>
      </c>
      <c r="AR19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87387.296151552</v>
      </c>
      <c r="AS19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-7810.6504705397529</v>
      </c>
      <c r="AT190" s="9" t="str" cm="1">
        <f t="array" ref="AT190">_xlfn.IFS(     $M$1="SPX","SPXW",     $M$1="RUT","RUTW",  $M$1="NDX","NDXP",   TRUE,$M$1 )</f>
        <v>SPXW</v>
      </c>
      <c r="AU190" s="2">
        <f t="shared" si="17"/>
        <v>6915</v>
      </c>
      <c r="AV190" t="str">
        <f t="shared" si="18"/>
        <v>260123</v>
      </c>
      <c r="AW190" s="19">
        <f ca="1">IFERROR((EXP(0*Table1[[#This Row],[T]])*Table1[[#This Row],[put N(d1)]]*(Table1[[#This Row],[put d2]]/Table1[[#This Row],[IV Calc P]]))*Table1[[#This Row],[Open.Int8]]*Table1[[#This Row],[DeltaP]]*-1,0)</f>
        <v>-117.55849842355434</v>
      </c>
      <c r="AX190">
        <f ca="1">IFERROR((EXP(0*Table1[[#This Row],[T]])*Table1[[#This Row],[call N(d1)]]*(Table1[[#This Row],[call d2]]/Table1[[#This Row],[IV Calc C]]))*Table1[[#This Row],[Open.Int]]*Table1[[#This Row],[DeltaC]],0)</f>
        <v>-117.49626157942134</v>
      </c>
      <c r="AY190">
        <f>IF(
    ISNUMBER(Table1[[#This Row],[Strike]]),RTD("tos.rtd", , "high", "."&amp;Table1[[#This Row],[Ticker]]&amp;Table1[[#This Row],[Expiry]]&amp;""&amp;"C"&amp;Table1[[#This Row],[Spot]]+Table1[[#This Row],[step]]))</f>
        <v>2.2200000000000002</v>
      </c>
      <c r="AZ190">
        <f>IF(
    ISNUMBER(Table1[[#This Row],[Strike]]),RTD("tos.rtd", , "low", "."&amp;Table1[[#This Row],[Ticker]]&amp;Table1[[#This Row],[Expiry]]&amp;""&amp;"C"&amp;Table1[[#This Row],[Spot]]+Table1[[#This Row],[step]]))</f>
        <v>0.17</v>
      </c>
      <c r="BA190">
        <f>IF(
    ISNUMBER(Table1[[#This Row],[Strike]]),RTD("tos.rtd", , "high", "."&amp;Table1[[#This Row],[Ticker]]&amp;Table1[[#This Row],[Expiry]]&amp;""&amp;"P"&amp;Table1[[#This Row],[Spot]]+Table1[[#This Row],[step]]))</f>
        <v>89.3</v>
      </c>
      <c r="BB190">
        <f>IF(
    ISNUMBER(Table1[[#This Row],[Strike]]),RTD("tos.rtd", , "low", "."&amp;Table1[[#This Row],[Ticker]]&amp;Table1[[#This Row],[Expiry]]&amp;""&amp;"P"&amp;Table1[[#This Row],[Spot]]+Table1[[#This Row],[step]]))</f>
        <v>69.430000000000007</v>
      </c>
      <c r="BC190">
        <f>((Table1[[#This Row],[High C]]+Table1[[#This Row],[Low C]])/2)*Table1[[#This Row],[gammac]]*Table1[[#This Row],[Volume]]</f>
        <v>0</v>
      </c>
      <c r="BD190">
        <f>((Table1[[#This Row],[High P]]+Table1[[#This Row],[Low P]])/2)*Table1[[#This Row],[gammap]]*Table1[[#This Row],[Volume9]]*-1</f>
        <v>0</v>
      </c>
      <c r="BE190">
        <f>(Table1[[#This Row],[SgammaC]]+Table1[[#This Row],[SgammaP]])*$A$4*-100</f>
        <v>0</v>
      </c>
      <c r="BF190">
        <f>Table1[[#This Row],[DEXc]]+Table1[[#This Row],[DEXp]]</f>
        <v>87661.277999999933</v>
      </c>
      <c r="BG190">
        <f>IFERROR(Table1[[#This Row],[DeltaC]]*Table1[[#This Row],[Open.Int]]*$A$4,0)</f>
        <v>777337.07400000002</v>
      </c>
      <c r="BH190">
        <f>IFERROR(Table1[[#This Row],[DeltaP]]*Table1[[#This Row],[Open.Int8]]*$A$4,0)</f>
        <v>-689675.79600000009</v>
      </c>
      <c r="BI19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-4563767.8977748733</v>
      </c>
      <c r="BJ19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-571148.66887832864</v>
      </c>
      <c r="BK190">
        <f ca="1">Table1[[#This Row],[Charmc]]+Table1[[#This Row],[Charmp]]</f>
        <v>-5134916.5666532023</v>
      </c>
      <c r="BL19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0" s="78">
        <f ca="1">Table1[[#This Row],[call helper]]+Table1[[#This Row],[put helper]]</f>
        <v>79576.645681012247</v>
      </c>
      <c r="BP190">
        <f>RTD("tos.rtd", , "STRIKE", "."&amp;Table1[[#This Row],[Ticker]]&amp;Table1[[#This Row],[Expiry]]&amp;""&amp;"C"&amp;Table1[[#This Row],[Spot]]+Table1[[#This Row],[step]])</f>
        <v>6995</v>
      </c>
    </row>
    <row r="191" spans="1:68" x14ac:dyDescent="0.25">
      <c r="A191">
        <f t="shared" ca="1" si="14"/>
        <v>2.5814307458086375E-3</v>
      </c>
      <c r="C191" s="17"/>
      <c r="D191" t="b">
        <f>IF(
    ISNUMBER(Table1[[#This Row],[Strike]]),RTD("tos.rtd", , "OPEN_INT", "."&amp;Table1[[#This Row],[Ticker]]&amp;Table1[[#This Row],[Expiry]]&amp;""&amp;"C"&amp;Table1[[#This Row],[Strike]]))</f>
        <v>0</v>
      </c>
      <c r="E19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1" t="b">
        <f>IF(
    ISNUMBER(Table1[[#This Row],[Strike]]),RTD("tos.rtd", , "DELTA", "."&amp;Table1[[#This Row],[Ticker]]&amp;Table1[[#This Row],[Expiry]]&amp;""&amp;"C"&amp;Table1[[#This Row],[Strike]]))</f>
        <v>0</v>
      </c>
      <c r="H191" s="17" t="b" cm="1">
        <f t="array" ref="H191">IF(
    ISNUMBER(Table1[[#This Row],[Strike]]),IndividualLegIVCore($A$4, Table1[[#This Row],[Strike]], 0.0411, Table1[[#This Row],[T]], ((Table1[[#This Row],[BIDC]]+Table1[[#This Row],[ASKC]])/2), TRUE))</f>
        <v>0</v>
      </c>
      <c r="I191" t="b">
        <f>IF(
    ISNUMBER(Table1[[#This Row],[Strike]]),RTD("tos.rtd", , "BID", "."&amp;Table1[[#This Row],[Ticker]]&amp;Table1[[#This Row],[Expiry]]&amp;""&amp;"C"&amp;Table1[[#This Row],[Strike]]))</f>
        <v>0</v>
      </c>
      <c r="J191" t="b">
        <f>IF(
    ISNUMBER(Table1[[#This Row],[Strike]]),RTD("tos.rtd", , "ASK", "."&amp;Table1[[#This Row],[Ticker]]&amp;Table1[[#This Row],[Expiry]]&amp;""&amp;"C"&amp;Table1[[#This Row],[Strike]]))</f>
        <v>0</v>
      </c>
      <c r="K19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1" s="17" cm="1">
        <f t="array" aca="1" ref="L19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1" s="1">
        <f t="shared" si="15"/>
        <v>46045</v>
      </c>
      <c r="N191" t="b">
        <f t="shared" si="16"/>
        <v>0</v>
      </c>
      <c r="P191" s="17" t="b" cm="1">
        <f t="array" ref="P191">IF(
    ISNUMBER(Table1[[#This Row],[Strike]]),IndividualLegIVCore($A$4, Table1[[#This Row],[Strike]], 0.0411, Table1[[#This Row],[T]], ((Table1[[#This Row],[BIDP]]+Table1[[#This Row],[ASKP]])/2), FALSE))</f>
        <v>0</v>
      </c>
      <c r="Q191" t="b">
        <f>IF(
    ISNUMBER(Table1[[#This Row],[Strike]]),RTD("tos.rtd", , "BID", "."&amp;Table1[[#This Row],[Ticker]]&amp;Table1[[#This Row],[Expiry]]&amp;""&amp;"P"&amp;Table1[[#This Row],[Strike]]))</f>
        <v>0</v>
      </c>
      <c r="R191" t="b">
        <f>IF(
    ISNUMBER(Table1[[#This Row],[Strike]]),RTD("tos.rtd", , "ASK", "."&amp;Table1[[#This Row],[Ticker]]&amp;Table1[[#This Row],[Expiry]]&amp;""&amp;"P"&amp;Table1[[#This Row],[Strike]]))</f>
        <v>0</v>
      </c>
      <c r="S191" s="17"/>
      <c r="T191" t="b">
        <f>IF(
    ISNUMBER(Table1[[#This Row],[Strike]]),RTD("tos.rtd", , "OPEN_INT", "."&amp;Table1[[#This Row],[Ticker]]&amp;Table1[[#This Row],[Expiry]]&amp;""&amp;"P"&amp;Table1[[#This Row],[Strike]]))</f>
        <v>0</v>
      </c>
      <c r="U19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1" t="b">
        <f>IF(
    ISNUMBER(Table1[[#This Row],[Strike]]),RTD("tos.rtd", , "DELTA", "."&amp;Table1[[#This Row],[Ticker]]&amp;Table1[[#This Row],[Expiry]]&amp;""&amp;"P"&amp;Table1[[#This Row],[Strike]]))</f>
        <v>0</v>
      </c>
      <c r="Y191" s="19">
        <f>40.5* IF($M$1="NDX", 10, IF(OR($M$1="SPX", $M$1="RUT"), 2, 1))</f>
        <v>81</v>
      </c>
      <c r="Z191">
        <f ca="1">IFERROR(Table1[[#This Row],[call gamma]]*(Table1[[#This Row],[Open.Int]])*$A$4^2,0)</f>
        <v>0</v>
      </c>
      <c r="AA191">
        <f ca="1">IFERROR(((Table1[[#This Row],[Open.Int8]])*Table1[[#This Row],[Put gamma]])*-1*$A$4^2,0)</f>
        <v>0</v>
      </c>
      <c r="AB191">
        <f ca="1">(Table1[[#This Row],[Call Gex]]+Table1[[#This Row],[Put Gex]])</f>
        <v>0</v>
      </c>
      <c r="AC191">
        <f ca="1">Table1[[#This Row],[call delta adj]]+Table1[[#This Row],[put delta adj]]</f>
        <v>0</v>
      </c>
      <c r="AD191">
        <f ca="1">Table1[[#This Row],[Put Gex]]*Table1[[#This Row],[DeltaP]]*-1</f>
        <v>0</v>
      </c>
      <c r="AE191">
        <f ca="1">Table1[[#This Row],[Call Gex]]*Table1[[#This Row],[DeltaC]]</f>
        <v>0</v>
      </c>
      <c r="AF191">
        <f>IF(Table1[[#This Row],[DeltaC]]-ABS(Table1[[#This Row],[DeltaP]])="0","0.01",Table1[[#This Row],[DeltaC]]-ABS(Table1[[#This Row],[DeltaP]]))</f>
        <v>0</v>
      </c>
      <c r="AG191" t="e">
        <f ca="1">((LN($A$4/Table1[[#This Row],[Strike]]) + (0.411 + 0.5 * Table1[[#This Row],[IV Calc P]]^2) *Table1[[#This Row],[T]])) / (Table1[[#This Row],[IV Calc P]] * SQRT(Table1[[#This Row],[T]]))</f>
        <v>#DIV/0!</v>
      </c>
      <c r="AH191" t="e">
        <f ca="1">(LN($A$4/Table1[[#This Row],[Strike]]) + (0.411-0 + 0.5 * Table1[[#This Row],[IV Calc C]]^2) *Table1[[#This Row],[T]]) / (Table1[[#This Row],[IV Calc C]] * SQRT(Table1[[#This Row],[T]]))</f>
        <v>#DIV/0!</v>
      </c>
      <c r="AI191" t="e">
        <f ca="1">(EXP(-(AG191^2)/2)/SQRT(2*PI())*EXP(0*SQRT(Table1[[#This Row],[T]]))/$A$4*18%*SQRT(SQRT(Table1[[#This Row],[T]])))</f>
        <v>#DIV/0!</v>
      </c>
      <c r="AJ191" t="e">
        <f ca="1">(EXP(-(AH191^2)/2)/SQRT(2*PI())*EXP(0*SQRT(Table1[[#This Row],[T]]))/$A$4*18%*SQRT(SQRT(Table1[[#This Row],[T]])))</f>
        <v>#DIV/0!</v>
      </c>
      <c r="AK191" t="e">
        <f ca="1">Table1[[#This Row],[Call D1]]-Table1[[#This Row],[IV Calc C]]*SQRT(Table1[[#This Row],[T]])</f>
        <v>#DIV/0!</v>
      </c>
      <c r="AL191" t="e">
        <f ca="1">Table1[[#This Row],[Put D1]]-Table1[[#This Row],[IV Calc P]]*SQRT(Table1[[#This Row],[T]])</f>
        <v>#DIV/0!</v>
      </c>
      <c r="AM191" t="e">
        <f ca="1">EXP(-0.5*Table1[[#This Row],[Call D1]]^2)/SQRT(2*PI())</f>
        <v>#DIV/0!</v>
      </c>
      <c r="AN191" t="e">
        <f ca="1">EXP(-0.5*Table1[[#This Row],[Put D1]]^2)/SQRT(2*PI())</f>
        <v>#DIV/0!</v>
      </c>
      <c r="AO191">
        <f ca="1">IFERROR((EXP(0*Table1[[#This Row],[T]])*Table1[[#This Row],[call N(d1)]]*(Table1[[#This Row],[call d2]]/Table1[[#This Row],[IV Calc C]]))*Table1[[#This Row],[Open.Int]]*Table1[[#This Row],[DeltaC]],0)</f>
        <v>0</v>
      </c>
      <c r="AP191">
        <f ca="1">IFERROR((EXP(0*Table1[[#This Row],[T]])*Table1[[#This Row],[put N(d1)]]*(Table1[[#This Row],[put d2]]/Table1[[#This Row],[IV Calc P]]))*Table1[[#This Row],[Open.Int8]]*Table1[[#This Row],[DeltaP]]*-1,0)</f>
        <v>0</v>
      </c>
      <c r="AQ191">
        <f ca="1">((Table1[[#This Row],[call vanna]]+Table1[[#This Row],[put vanna]])*$A$4)</f>
        <v>0</v>
      </c>
      <c r="AR19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1" s="9" t="str" cm="1">
        <f t="array" ref="AT191">_xlfn.IFS(     $M$1="SPX","SPXW",     $M$1="RUT","RUTW",  $M$1="NDX","NDXP",   TRUE,$M$1 )</f>
        <v>SPXW</v>
      </c>
      <c r="AU191" s="2">
        <f t="shared" si="17"/>
        <v>6915</v>
      </c>
      <c r="AV191" t="str">
        <f t="shared" si="18"/>
        <v>260123</v>
      </c>
      <c r="AW191" s="19">
        <f ca="1">IFERROR((EXP(0*Table1[[#This Row],[T]])*Table1[[#This Row],[put N(d1)]]*(Table1[[#This Row],[put d2]]/Table1[[#This Row],[IV Calc P]]))*Table1[[#This Row],[Open.Int8]]*Table1[[#This Row],[DeltaP]]*-1,0)</f>
        <v>0</v>
      </c>
      <c r="AX191">
        <f ca="1">IFERROR((EXP(0*Table1[[#This Row],[T]])*Table1[[#This Row],[call N(d1)]]*(Table1[[#This Row],[call d2]]/Table1[[#This Row],[IV Calc C]]))*Table1[[#This Row],[Open.Int]]*Table1[[#This Row],[DeltaC]],0)</f>
        <v>0</v>
      </c>
      <c r="AY19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1">
        <f>((Table1[[#This Row],[High C]]+Table1[[#This Row],[Low C]])/2)*Table1[[#This Row],[gammac]]*Table1[[#This Row],[Volume]]</f>
        <v>0</v>
      </c>
      <c r="BD191">
        <f>((Table1[[#This Row],[High P]]+Table1[[#This Row],[Low P]])/2)*Table1[[#This Row],[gammap]]*Table1[[#This Row],[Volume9]]*-1</f>
        <v>0</v>
      </c>
      <c r="BE191">
        <f>(Table1[[#This Row],[SgammaC]]+Table1[[#This Row],[SgammaP]])*$A$4*-100</f>
        <v>0</v>
      </c>
      <c r="BF191">
        <f>Table1[[#This Row],[DEXc]]+Table1[[#This Row],[DEXp]]</f>
        <v>0</v>
      </c>
      <c r="BG191">
        <f>IFERROR(Table1[[#This Row],[DeltaC]]*Table1[[#This Row],[Open.Int]]*$A$4,0)</f>
        <v>0</v>
      </c>
      <c r="BH191">
        <f>IFERROR(Table1[[#This Row],[DeltaP]]*Table1[[#This Row],[Open.Int8]]*$A$4,0)</f>
        <v>0</v>
      </c>
      <c r="BI19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1">
        <f ca="1">Table1[[#This Row],[Charmc]]+Table1[[#This Row],[Charmp]]</f>
        <v>0</v>
      </c>
      <c r="BL19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1" s="78">
        <f ca="1">Table1[[#This Row],[call helper]]+Table1[[#This Row],[put helper]]</f>
        <v>0</v>
      </c>
      <c r="BP191" t="str">
        <f>RTD("tos.rtd", , "STRIKE", "."&amp;Table1[[#This Row],[Ticker]]&amp;Table1[[#This Row],[Expiry]]&amp;""&amp;"C"&amp;Table1[[#This Row],[Spot]]+Table1[[#This Row],[step]])</f>
        <v>N/A</v>
      </c>
    </row>
    <row r="192" spans="1:68" x14ac:dyDescent="0.25">
      <c r="A192">
        <f t="shared" ca="1" si="14"/>
        <v>2.5814307458086375E-3</v>
      </c>
      <c r="C192" s="17"/>
      <c r="D192" t="b">
        <f>IF(
    ISNUMBER(Table1[[#This Row],[Strike]]),RTD("tos.rtd", , "OPEN_INT", "."&amp;Table1[[#This Row],[Ticker]]&amp;Table1[[#This Row],[Expiry]]&amp;""&amp;"C"&amp;Table1[[#This Row],[Strike]]))</f>
        <v>0</v>
      </c>
      <c r="E19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2" t="b">
        <f>IF(
    ISNUMBER(Table1[[#This Row],[Strike]]),RTD("tos.rtd", , "DELTA", "."&amp;Table1[[#This Row],[Ticker]]&amp;Table1[[#This Row],[Expiry]]&amp;""&amp;"C"&amp;Table1[[#This Row],[Strike]]))</f>
        <v>0</v>
      </c>
      <c r="H192" s="17" t="b" cm="1">
        <f t="array" ref="H192">IF(
    ISNUMBER(Table1[[#This Row],[Strike]]),IndividualLegIVCore($A$4, Table1[[#This Row],[Strike]], 0.0411, Table1[[#This Row],[T]], ((Table1[[#This Row],[BIDC]]+Table1[[#This Row],[ASKC]])/2), TRUE))</f>
        <v>0</v>
      </c>
      <c r="I192" t="b">
        <f>IF(
    ISNUMBER(Table1[[#This Row],[Strike]]),RTD("tos.rtd", , "BID", "."&amp;Table1[[#This Row],[Ticker]]&amp;Table1[[#This Row],[Expiry]]&amp;""&amp;"C"&amp;Table1[[#This Row],[Strike]]))</f>
        <v>0</v>
      </c>
      <c r="J192" t="b">
        <f>IF(
    ISNUMBER(Table1[[#This Row],[Strike]]),RTD("tos.rtd", , "ASK", "."&amp;Table1[[#This Row],[Ticker]]&amp;Table1[[#This Row],[Expiry]]&amp;""&amp;"C"&amp;Table1[[#This Row],[Strike]]))</f>
        <v>0</v>
      </c>
      <c r="K19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2" s="17" cm="1">
        <f t="array" aca="1" ref="L19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2" s="1">
        <f t="shared" si="15"/>
        <v>46045</v>
      </c>
      <c r="N192" t="b">
        <f t="shared" si="16"/>
        <v>0</v>
      </c>
      <c r="P192" s="17" t="b" cm="1">
        <f t="array" ref="P192">IF(
    ISNUMBER(Table1[[#This Row],[Strike]]),IndividualLegIVCore($A$4, Table1[[#This Row],[Strike]], 0.0411, Table1[[#This Row],[T]], ((Table1[[#This Row],[BIDP]]+Table1[[#This Row],[ASKP]])/2), FALSE))</f>
        <v>0</v>
      </c>
      <c r="Q192" t="b">
        <f>IF(
    ISNUMBER(Table1[[#This Row],[Strike]]),RTD("tos.rtd", , "BID", "."&amp;Table1[[#This Row],[Ticker]]&amp;Table1[[#This Row],[Expiry]]&amp;""&amp;"P"&amp;Table1[[#This Row],[Strike]]))</f>
        <v>0</v>
      </c>
      <c r="R192" t="b">
        <f>IF(
    ISNUMBER(Table1[[#This Row],[Strike]]),RTD("tos.rtd", , "ASK", "."&amp;Table1[[#This Row],[Ticker]]&amp;Table1[[#This Row],[Expiry]]&amp;""&amp;"P"&amp;Table1[[#This Row],[Strike]]))</f>
        <v>0</v>
      </c>
      <c r="S192" s="17"/>
      <c r="T192" t="b">
        <f>IF(
    ISNUMBER(Table1[[#This Row],[Strike]]),RTD("tos.rtd", , "OPEN_INT", "."&amp;Table1[[#This Row],[Ticker]]&amp;Table1[[#This Row],[Expiry]]&amp;""&amp;"P"&amp;Table1[[#This Row],[Strike]]))</f>
        <v>0</v>
      </c>
      <c r="U19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2" t="b">
        <f>IF(
    ISNUMBER(Table1[[#This Row],[Strike]]),RTD("tos.rtd", , "DELTA", "."&amp;Table1[[#This Row],[Ticker]]&amp;Table1[[#This Row],[Expiry]]&amp;""&amp;"P"&amp;Table1[[#This Row],[Strike]]))</f>
        <v>0</v>
      </c>
      <c r="Y192" s="19">
        <f>41* IF($M$1="NDX", 10, IF(OR($M$1="SPX", $M$1="RUT"), 2, 1))</f>
        <v>82</v>
      </c>
      <c r="Z192">
        <f ca="1">IFERROR(Table1[[#This Row],[call gamma]]*(Table1[[#This Row],[Open.Int]])*$A$4^2,0)</f>
        <v>0</v>
      </c>
      <c r="AA192">
        <f ca="1">IFERROR(((Table1[[#This Row],[Open.Int8]])*Table1[[#This Row],[Put gamma]])*-1*$A$4^2,0)</f>
        <v>0</v>
      </c>
      <c r="AB192">
        <f ca="1">(Table1[[#This Row],[Call Gex]]+Table1[[#This Row],[Put Gex]])</f>
        <v>0</v>
      </c>
      <c r="AC192">
        <f ca="1">Table1[[#This Row],[call delta adj]]+Table1[[#This Row],[put delta adj]]</f>
        <v>0</v>
      </c>
      <c r="AD192">
        <f ca="1">Table1[[#This Row],[Put Gex]]*Table1[[#This Row],[DeltaP]]*-1</f>
        <v>0</v>
      </c>
      <c r="AE192">
        <f ca="1">Table1[[#This Row],[Call Gex]]*Table1[[#This Row],[DeltaC]]</f>
        <v>0</v>
      </c>
      <c r="AF192">
        <f>IF(Table1[[#This Row],[DeltaC]]-ABS(Table1[[#This Row],[DeltaP]])="0","0.01",Table1[[#This Row],[DeltaC]]-ABS(Table1[[#This Row],[DeltaP]]))</f>
        <v>0</v>
      </c>
      <c r="AG192" t="e">
        <f ca="1">((LN($A$4/Table1[[#This Row],[Strike]]) + (0.411 + 0.5 * Table1[[#This Row],[IV Calc P]]^2) *Table1[[#This Row],[T]])) / (Table1[[#This Row],[IV Calc P]] * SQRT(Table1[[#This Row],[T]]))</f>
        <v>#DIV/0!</v>
      </c>
      <c r="AH192" t="e">
        <f ca="1">(LN($A$4/Table1[[#This Row],[Strike]]) + (0.411-0 + 0.5 * Table1[[#This Row],[IV Calc C]]^2) *Table1[[#This Row],[T]]) / (Table1[[#This Row],[IV Calc C]] * SQRT(Table1[[#This Row],[T]]))</f>
        <v>#DIV/0!</v>
      </c>
      <c r="AI192" t="e">
        <f ca="1">(EXP(-(AG192^2)/2)/SQRT(2*PI())*EXP(0*SQRT(Table1[[#This Row],[T]]))/$A$4*18%*SQRT(SQRT(Table1[[#This Row],[T]])))</f>
        <v>#DIV/0!</v>
      </c>
      <c r="AJ192" t="e">
        <f ca="1">(EXP(-(AH192^2)/2)/SQRT(2*PI())*EXP(0*SQRT(Table1[[#This Row],[T]]))/$A$4*18%*SQRT(SQRT(Table1[[#This Row],[T]])))</f>
        <v>#DIV/0!</v>
      </c>
      <c r="AK192" t="e">
        <f ca="1">Table1[[#This Row],[Call D1]]-Table1[[#This Row],[IV Calc C]]*SQRT(Table1[[#This Row],[T]])</f>
        <v>#DIV/0!</v>
      </c>
      <c r="AL192" t="e">
        <f ca="1">Table1[[#This Row],[Put D1]]-Table1[[#This Row],[IV Calc P]]*SQRT(Table1[[#This Row],[T]])</f>
        <v>#DIV/0!</v>
      </c>
      <c r="AM192" t="e">
        <f ca="1">EXP(-0.5*Table1[[#This Row],[Call D1]]^2)/SQRT(2*PI())</f>
        <v>#DIV/0!</v>
      </c>
      <c r="AN192" t="e">
        <f ca="1">EXP(-0.5*Table1[[#This Row],[Put D1]]^2)/SQRT(2*PI())</f>
        <v>#DIV/0!</v>
      </c>
      <c r="AO192">
        <f ca="1">IFERROR((EXP(0*Table1[[#This Row],[T]])*Table1[[#This Row],[call N(d1)]]*(Table1[[#This Row],[call d2]]/Table1[[#This Row],[IV Calc C]]))*Table1[[#This Row],[Open.Int]]*Table1[[#This Row],[DeltaC]],0)</f>
        <v>0</v>
      </c>
      <c r="AP192">
        <f ca="1">IFERROR((EXP(0*Table1[[#This Row],[T]])*Table1[[#This Row],[put N(d1)]]*(Table1[[#This Row],[put d2]]/Table1[[#This Row],[IV Calc P]]))*Table1[[#This Row],[Open.Int8]]*Table1[[#This Row],[DeltaP]]*-1,0)</f>
        <v>0</v>
      </c>
      <c r="AQ192">
        <f ca="1">((Table1[[#This Row],[call vanna]]+Table1[[#This Row],[put vanna]])*$A$4)</f>
        <v>0</v>
      </c>
      <c r="AR19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2" s="9" t="str" cm="1">
        <f t="array" ref="AT192">_xlfn.IFS(     $M$1="SPX","SPXW",     $M$1="RUT","RUTW",  $M$1="NDX","NDXP",   TRUE,$M$1 )</f>
        <v>SPXW</v>
      </c>
      <c r="AU192" s="2">
        <f t="shared" si="17"/>
        <v>6915</v>
      </c>
      <c r="AV192" t="str">
        <f t="shared" si="18"/>
        <v>260123</v>
      </c>
      <c r="AW192" s="19">
        <f ca="1">IFERROR((EXP(0*Table1[[#This Row],[T]])*Table1[[#This Row],[put N(d1)]]*(Table1[[#This Row],[put d2]]/Table1[[#This Row],[IV Calc P]]))*Table1[[#This Row],[Open.Int8]]*Table1[[#This Row],[DeltaP]]*-1,0)</f>
        <v>0</v>
      </c>
      <c r="AX192">
        <f ca="1">IFERROR((EXP(0*Table1[[#This Row],[T]])*Table1[[#This Row],[call N(d1)]]*(Table1[[#This Row],[call d2]]/Table1[[#This Row],[IV Calc C]]))*Table1[[#This Row],[Open.Int]]*Table1[[#This Row],[DeltaC]],0)</f>
        <v>0</v>
      </c>
      <c r="AY19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2">
        <f>((Table1[[#This Row],[High C]]+Table1[[#This Row],[Low C]])/2)*Table1[[#This Row],[gammac]]*Table1[[#This Row],[Volume]]</f>
        <v>0</v>
      </c>
      <c r="BD192">
        <f>((Table1[[#This Row],[High P]]+Table1[[#This Row],[Low P]])/2)*Table1[[#This Row],[gammap]]*Table1[[#This Row],[Volume9]]*-1</f>
        <v>0</v>
      </c>
      <c r="BE192">
        <f>(Table1[[#This Row],[SgammaC]]+Table1[[#This Row],[SgammaP]])*$A$4*-100</f>
        <v>0</v>
      </c>
      <c r="BF192">
        <f>Table1[[#This Row],[DEXc]]+Table1[[#This Row],[DEXp]]</f>
        <v>0</v>
      </c>
      <c r="BG192">
        <f>IFERROR(Table1[[#This Row],[DeltaC]]*Table1[[#This Row],[Open.Int]]*$A$4,0)</f>
        <v>0</v>
      </c>
      <c r="BH192">
        <f>IFERROR(Table1[[#This Row],[DeltaP]]*Table1[[#This Row],[Open.Int8]]*$A$4,0)</f>
        <v>0</v>
      </c>
      <c r="BI19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2">
        <f ca="1">Table1[[#This Row],[Charmc]]+Table1[[#This Row],[Charmp]]</f>
        <v>0</v>
      </c>
      <c r="BL19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2" s="78">
        <f ca="1">Table1[[#This Row],[call helper]]+Table1[[#This Row],[put helper]]</f>
        <v>0</v>
      </c>
      <c r="BP192" t="str">
        <f>RTD("tos.rtd", , "STRIKE", "."&amp;Table1[[#This Row],[Ticker]]&amp;Table1[[#This Row],[Expiry]]&amp;""&amp;"C"&amp;Table1[[#This Row],[Spot]]+Table1[[#This Row],[step]])</f>
        <v>N/A</v>
      </c>
    </row>
    <row r="193" spans="1:68" x14ac:dyDescent="0.25">
      <c r="A193">
        <f t="shared" ca="1" si="14"/>
        <v>2.5814307458086375E-3</v>
      </c>
      <c r="C193" s="17"/>
      <c r="D193" t="b">
        <f>IF(
    ISNUMBER(Table1[[#This Row],[Strike]]),RTD("tos.rtd", , "OPEN_INT", "."&amp;Table1[[#This Row],[Ticker]]&amp;Table1[[#This Row],[Expiry]]&amp;""&amp;"C"&amp;Table1[[#This Row],[Strike]]))</f>
        <v>0</v>
      </c>
      <c r="E19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3" t="b">
        <f>IF(
    ISNUMBER(Table1[[#This Row],[Strike]]),RTD("tos.rtd", , "DELTA", "."&amp;Table1[[#This Row],[Ticker]]&amp;Table1[[#This Row],[Expiry]]&amp;""&amp;"C"&amp;Table1[[#This Row],[Strike]]))</f>
        <v>0</v>
      </c>
      <c r="H193" s="17" t="b" cm="1">
        <f t="array" ref="H193">IF(
    ISNUMBER(Table1[[#This Row],[Strike]]),IndividualLegIVCore($A$4, Table1[[#This Row],[Strike]], 0.0411, Table1[[#This Row],[T]], ((Table1[[#This Row],[BIDC]]+Table1[[#This Row],[ASKC]])/2), TRUE))</f>
        <v>0</v>
      </c>
      <c r="I193" t="b">
        <f>IF(
    ISNUMBER(Table1[[#This Row],[Strike]]),RTD("tos.rtd", , "BID", "."&amp;Table1[[#This Row],[Ticker]]&amp;Table1[[#This Row],[Expiry]]&amp;""&amp;"C"&amp;Table1[[#This Row],[Strike]]))</f>
        <v>0</v>
      </c>
      <c r="J193" t="b">
        <f>IF(
    ISNUMBER(Table1[[#This Row],[Strike]]),RTD("tos.rtd", , "ASK", "."&amp;Table1[[#This Row],[Ticker]]&amp;Table1[[#This Row],[Expiry]]&amp;""&amp;"C"&amp;Table1[[#This Row],[Strike]]))</f>
        <v>0</v>
      </c>
      <c r="K19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3" s="17" cm="1">
        <f t="array" aca="1" ref="L19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3" s="1">
        <f t="shared" si="15"/>
        <v>46045</v>
      </c>
      <c r="N193" t="b">
        <f t="shared" si="16"/>
        <v>0</v>
      </c>
      <c r="P193" s="17" t="b" cm="1">
        <f t="array" ref="P193">IF(
    ISNUMBER(Table1[[#This Row],[Strike]]),IndividualLegIVCore($A$4, Table1[[#This Row],[Strike]], 0.0411, Table1[[#This Row],[T]], ((Table1[[#This Row],[BIDP]]+Table1[[#This Row],[ASKP]])/2), FALSE))</f>
        <v>0</v>
      </c>
      <c r="Q193" t="b">
        <f>IF(
    ISNUMBER(Table1[[#This Row],[Strike]]),RTD("tos.rtd", , "BID", "."&amp;Table1[[#This Row],[Ticker]]&amp;Table1[[#This Row],[Expiry]]&amp;""&amp;"P"&amp;Table1[[#This Row],[Strike]]))</f>
        <v>0</v>
      </c>
      <c r="R193" t="b">
        <f>IF(
    ISNUMBER(Table1[[#This Row],[Strike]]),RTD("tos.rtd", , "ASK", "."&amp;Table1[[#This Row],[Ticker]]&amp;Table1[[#This Row],[Expiry]]&amp;""&amp;"P"&amp;Table1[[#This Row],[Strike]]))</f>
        <v>0</v>
      </c>
      <c r="S193" s="17"/>
      <c r="T193" t="b">
        <f>IF(
    ISNUMBER(Table1[[#This Row],[Strike]]),RTD("tos.rtd", , "OPEN_INT", "."&amp;Table1[[#This Row],[Ticker]]&amp;Table1[[#This Row],[Expiry]]&amp;""&amp;"P"&amp;Table1[[#This Row],[Strike]]))</f>
        <v>0</v>
      </c>
      <c r="U19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3" t="b">
        <f>IF(
    ISNUMBER(Table1[[#This Row],[Strike]]),RTD("tos.rtd", , "DELTA", "."&amp;Table1[[#This Row],[Ticker]]&amp;Table1[[#This Row],[Expiry]]&amp;""&amp;"P"&amp;Table1[[#This Row],[Strike]]))</f>
        <v>0</v>
      </c>
      <c r="Y193" s="19">
        <f>41.5* IF($M$1="NDX", 10, IF(OR($M$1="SPX", $M$1="RUT"), 2, 1))</f>
        <v>83</v>
      </c>
      <c r="Z193">
        <f ca="1">IFERROR(Table1[[#This Row],[call gamma]]*(Table1[[#This Row],[Open.Int]])*$A$4^2,0)</f>
        <v>0</v>
      </c>
      <c r="AA193">
        <f ca="1">IFERROR(((Table1[[#This Row],[Open.Int8]])*Table1[[#This Row],[Put gamma]])*-1*$A$4^2,0)</f>
        <v>0</v>
      </c>
      <c r="AB193">
        <f ca="1">(Table1[[#This Row],[Call Gex]]+Table1[[#This Row],[Put Gex]])</f>
        <v>0</v>
      </c>
      <c r="AC193">
        <f ca="1">Table1[[#This Row],[call delta adj]]+Table1[[#This Row],[put delta adj]]</f>
        <v>0</v>
      </c>
      <c r="AD193">
        <f ca="1">Table1[[#This Row],[Put Gex]]*Table1[[#This Row],[DeltaP]]*-1</f>
        <v>0</v>
      </c>
      <c r="AE193">
        <f ca="1">Table1[[#This Row],[Call Gex]]*Table1[[#This Row],[DeltaC]]</f>
        <v>0</v>
      </c>
      <c r="AF193">
        <f>IF(Table1[[#This Row],[DeltaC]]-ABS(Table1[[#This Row],[DeltaP]])="0","0.01",Table1[[#This Row],[DeltaC]]-ABS(Table1[[#This Row],[DeltaP]]))</f>
        <v>0</v>
      </c>
      <c r="AG193" t="e">
        <f ca="1">((LN($A$4/Table1[[#This Row],[Strike]]) + (0.411 + 0.5 * Table1[[#This Row],[IV Calc P]]^2) *Table1[[#This Row],[T]])) / (Table1[[#This Row],[IV Calc P]] * SQRT(Table1[[#This Row],[T]]))</f>
        <v>#DIV/0!</v>
      </c>
      <c r="AH193" t="e">
        <f ca="1">(LN($A$4/Table1[[#This Row],[Strike]]) + (0.411-0 + 0.5 * Table1[[#This Row],[IV Calc C]]^2) *Table1[[#This Row],[T]]) / (Table1[[#This Row],[IV Calc C]] * SQRT(Table1[[#This Row],[T]]))</f>
        <v>#DIV/0!</v>
      </c>
      <c r="AI193" t="e">
        <f ca="1">(EXP(-(AG193^2)/2)/SQRT(2*PI())*EXP(0*SQRT(Table1[[#This Row],[T]]))/$A$4*18%*SQRT(SQRT(Table1[[#This Row],[T]])))</f>
        <v>#DIV/0!</v>
      </c>
      <c r="AJ193" t="e">
        <f ca="1">(EXP(-(AH193^2)/2)/SQRT(2*PI())*EXP(0*SQRT(Table1[[#This Row],[T]]))/$A$4*18%*SQRT(SQRT(Table1[[#This Row],[T]])))</f>
        <v>#DIV/0!</v>
      </c>
      <c r="AK193" t="e">
        <f ca="1">Table1[[#This Row],[Call D1]]-Table1[[#This Row],[IV Calc C]]*SQRT(Table1[[#This Row],[T]])</f>
        <v>#DIV/0!</v>
      </c>
      <c r="AL193" t="e">
        <f ca="1">Table1[[#This Row],[Put D1]]-Table1[[#This Row],[IV Calc P]]*SQRT(Table1[[#This Row],[T]])</f>
        <v>#DIV/0!</v>
      </c>
      <c r="AM193" t="e">
        <f ca="1">EXP(-0.5*Table1[[#This Row],[Call D1]]^2)/SQRT(2*PI())</f>
        <v>#DIV/0!</v>
      </c>
      <c r="AN193" t="e">
        <f ca="1">EXP(-0.5*Table1[[#This Row],[Put D1]]^2)/SQRT(2*PI())</f>
        <v>#DIV/0!</v>
      </c>
      <c r="AO193">
        <f ca="1">IFERROR((EXP(0*Table1[[#This Row],[T]])*Table1[[#This Row],[call N(d1)]]*(Table1[[#This Row],[call d2]]/Table1[[#This Row],[IV Calc C]]))*Table1[[#This Row],[Open.Int]]*Table1[[#This Row],[DeltaC]],0)</f>
        <v>0</v>
      </c>
      <c r="AP193">
        <f ca="1">IFERROR((EXP(0*Table1[[#This Row],[T]])*Table1[[#This Row],[put N(d1)]]*(Table1[[#This Row],[put d2]]/Table1[[#This Row],[IV Calc P]]))*Table1[[#This Row],[Open.Int8]]*Table1[[#This Row],[DeltaP]]*-1,0)</f>
        <v>0</v>
      </c>
      <c r="AQ193">
        <f ca="1">((Table1[[#This Row],[call vanna]]+Table1[[#This Row],[put vanna]])*$A$4)</f>
        <v>0</v>
      </c>
      <c r="AR19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3" s="9" t="str" cm="1">
        <f t="array" ref="AT193">_xlfn.IFS(     $M$1="SPX","SPXW",     $M$1="RUT","RUTW",  $M$1="NDX","NDXP",   TRUE,$M$1 )</f>
        <v>SPXW</v>
      </c>
      <c r="AU193" s="2">
        <f t="shared" si="17"/>
        <v>6915</v>
      </c>
      <c r="AV193" t="str">
        <f t="shared" si="18"/>
        <v>260123</v>
      </c>
      <c r="AW193" s="19">
        <f ca="1">IFERROR((EXP(0*Table1[[#This Row],[T]])*Table1[[#This Row],[put N(d1)]]*(Table1[[#This Row],[put d2]]/Table1[[#This Row],[IV Calc P]]))*Table1[[#This Row],[Open.Int8]]*Table1[[#This Row],[DeltaP]]*-1,0)</f>
        <v>0</v>
      </c>
      <c r="AX193">
        <f ca="1">IFERROR((EXP(0*Table1[[#This Row],[T]])*Table1[[#This Row],[call N(d1)]]*(Table1[[#This Row],[call d2]]/Table1[[#This Row],[IV Calc C]]))*Table1[[#This Row],[Open.Int]]*Table1[[#This Row],[DeltaC]],0)</f>
        <v>0</v>
      </c>
      <c r="AY19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3">
        <f>((Table1[[#This Row],[High C]]+Table1[[#This Row],[Low C]])/2)*Table1[[#This Row],[gammac]]*Table1[[#This Row],[Volume]]</f>
        <v>0</v>
      </c>
      <c r="BD193">
        <f>((Table1[[#This Row],[High P]]+Table1[[#This Row],[Low P]])/2)*Table1[[#This Row],[gammap]]*Table1[[#This Row],[Volume9]]*-1</f>
        <v>0</v>
      </c>
      <c r="BE193">
        <f>(Table1[[#This Row],[SgammaC]]+Table1[[#This Row],[SgammaP]])*$A$4*-100</f>
        <v>0</v>
      </c>
      <c r="BF193">
        <f>Table1[[#This Row],[DEXc]]+Table1[[#This Row],[DEXp]]</f>
        <v>0</v>
      </c>
      <c r="BG193">
        <f>IFERROR(Table1[[#This Row],[DeltaC]]*Table1[[#This Row],[Open.Int]]*$A$4,0)</f>
        <v>0</v>
      </c>
      <c r="BH193">
        <f>IFERROR(Table1[[#This Row],[DeltaP]]*Table1[[#This Row],[Open.Int8]]*$A$4,0)</f>
        <v>0</v>
      </c>
      <c r="BI19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3">
        <f ca="1">Table1[[#This Row],[Charmc]]+Table1[[#This Row],[Charmp]]</f>
        <v>0</v>
      </c>
      <c r="BL19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3" s="78">
        <f ca="1">Table1[[#This Row],[call helper]]+Table1[[#This Row],[put helper]]</f>
        <v>0</v>
      </c>
      <c r="BP193" t="str">
        <f>RTD("tos.rtd", , "STRIKE", "."&amp;Table1[[#This Row],[Ticker]]&amp;Table1[[#This Row],[Expiry]]&amp;""&amp;"C"&amp;Table1[[#This Row],[Spot]]+Table1[[#This Row],[step]])</f>
        <v>N/A</v>
      </c>
    </row>
    <row r="194" spans="1:68" x14ac:dyDescent="0.25">
      <c r="A194">
        <f t="shared" ca="1" si="14"/>
        <v>2.5814307458086375E-3</v>
      </c>
      <c r="C194" s="17"/>
      <c r="D194" t="b">
        <f>IF(
    ISNUMBER(Table1[[#This Row],[Strike]]),RTD("tos.rtd", , "OPEN_INT", "."&amp;Table1[[#This Row],[Ticker]]&amp;Table1[[#This Row],[Expiry]]&amp;""&amp;"C"&amp;Table1[[#This Row],[Strike]]))</f>
        <v>0</v>
      </c>
      <c r="E19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4" t="b">
        <f>IF(
    ISNUMBER(Table1[[#This Row],[Strike]]),RTD("tos.rtd", , "DELTA", "."&amp;Table1[[#This Row],[Ticker]]&amp;Table1[[#This Row],[Expiry]]&amp;""&amp;"C"&amp;Table1[[#This Row],[Strike]]))</f>
        <v>0</v>
      </c>
      <c r="H194" s="17" t="b" cm="1">
        <f t="array" ref="H194">IF(
    ISNUMBER(Table1[[#This Row],[Strike]]),IndividualLegIVCore($A$4, Table1[[#This Row],[Strike]], 0.0411, Table1[[#This Row],[T]], ((Table1[[#This Row],[BIDC]]+Table1[[#This Row],[ASKC]])/2), TRUE))</f>
        <v>0</v>
      </c>
      <c r="I194" t="b">
        <f>IF(
    ISNUMBER(Table1[[#This Row],[Strike]]),RTD("tos.rtd", , "BID", "."&amp;Table1[[#This Row],[Ticker]]&amp;Table1[[#This Row],[Expiry]]&amp;""&amp;"C"&amp;Table1[[#This Row],[Strike]]))</f>
        <v>0</v>
      </c>
      <c r="J194" t="b">
        <f>IF(
    ISNUMBER(Table1[[#This Row],[Strike]]),RTD("tos.rtd", , "ASK", "."&amp;Table1[[#This Row],[Ticker]]&amp;Table1[[#This Row],[Expiry]]&amp;""&amp;"C"&amp;Table1[[#This Row],[Strike]]))</f>
        <v>0</v>
      </c>
      <c r="K19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4" s="17" cm="1">
        <f t="array" aca="1" ref="L19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4" s="1">
        <f t="shared" si="15"/>
        <v>46045</v>
      </c>
      <c r="N194" t="b">
        <f t="shared" si="16"/>
        <v>0</v>
      </c>
      <c r="P194" s="17" t="b" cm="1">
        <f t="array" ref="P194">IF(
    ISNUMBER(Table1[[#This Row],[Strike]]),IndividualLegIVCore($A$4, Table1[[#This Row],[Strike]], 0.0411, Table1[[#This Row],[T]], ((Table1[[#This Row],[BIDP]]+Table1[[#This Row],[ASKP]])/2), FALSE))</f>
        <v>0</v>
      </c>
      <c r="Q194" t="b">
        <f>IF(
    ISNUMBER(Table1[[#This Row],[Strike]]),RTD("tos.rtd", , "BID", "."&amp;Table1[[#This Row],[Ticker]]&amp;Table1[[#This Row],[Expiry]]&amp;""&amp;"P"&amp;Table1[[#This Row],[Strike]]))</f>
        <v>0</v>
      </c>
      <c r="R194" t="b">
        <f>IF(
    ISNUMBER(Table1[[#This Row],[Strike]]),RTD("tos.rtd", , "ASK", "."&amp;Table1[[#This Row],[Ticker]]&amp;Table1[[#This Row],[Expiry]]&amp;""&amp;"P"&amp;Table1[[#This Row],[Strike]]))</f>
        <v>0</v>
      </c>
      <c r="S194" s="17"/>
      <c r="T194" t="b">
        <f>IF(
    ISNUMBER(Table1[[#This Row],[Strike]]),RTD("tos.rtd", , "OPEN_INT", "."&amp;Table1[[#This Row],[Ticker]]&amp;Table1[[#This Row],[Expiry]]&amp;""&amp;"P"&amp;Table1[[#This Row],[Strike]]))</f>
        <v>0</v>
      </c>
      <c r="U19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4" t="b">
        <f>IF(
    ISNUMBER(Table1[[#This Row],[Strike]]),RTD("tos.rtd", , "DELTA", "."&amp;Table1[[#This Row],[Ticker]]&amp;Table1[[#This Row],[Expiry]]&amp;""&amp;"P"&amp;Table1[[#This Row],[Strike]]))</f>
        <v>0</v>
      </c>
      <c r="Y194" s="19">
        <f>42* IF($M$1="NDX", 10, IF(OR($M$1="SPX", $M$1="RUT"), 2, 1))</f>
        <v>84</v>
      </c>
      <c r="Z194">
        <f ca="1">IFERROR(Table1[[#This Row],[call gamma]]*(Table1[[#This Row],[Open.Int]])*$A$4^2,0)</f>
        <v>0</v>
      </c>
      <c r="AA194">
        <f ca="1">IFERROR(((Table1[[#This Row],[Open.Int8]])*Table1[[#This Row],[Put gamma]])*-1*$A$4^2,0)</f>
        <v>0</v>
      </c>
      <c r="AB194">
        <f ca="1">(Table1[[#This Row],[Call Gex]]+Table1[[#This Row],[Put Gex]])</f>
        <v>0</v>
      </c>
      <c r="AC194">
        <f ca="1">Table1[[#This Row],[call delta adj]]+Table1[[#This Row],[put delta adj]]</f>
        <v>0</v>
      </c>
      <c r="AD194">
        <f ca="1">Table1[[#This Row],[Put Gex]]*Table1[[#This Row],[DeltaP]]*-1</f>
        <v>0</v>
      </c>
      <c r="AE194">
        <f ca="1">Table1[[#This Row],[Call Gex]]*Table1[[#This Row],[DeltaC]]</f>
        <v>0</v>
      </c>
      <c r="AF194">
        <f>IF(Table1[[#This Row],[DeltaC]]-ABS(Table1[[#This Row],[DeltaP]])="0","0.01",Table1[[#This Row],[DeltaC]]-ABS(Table1[[#This Row],[DeltaP]]))</f>
        <v>0</v>
      </c>
      <c r="AG194" t="e">
        <f ca="1">((LN($A$4/Table1[[#This Row],[Strike]]) + (0.411 + 0.5 * Table1[[#This Row],[IV Calc P]]^2) *Table1[[#This Row],[T]])) / (Table1[[#This Row],[IV Calc P]] * SQRT(Table1[[#This Row],[T]]))</f>
        <v>#DIV/0!</v>
      </c>
      <c r="AH194" t="e">
        <f ca="1">(LN($A$4/Table1[[#This Row],[Strike]]) + (0.411-0 + 0.5 * Table1[[#This Row],[IV Calc C]]^2) *Table1[[#This Row],[T]]) / (Table1[[#This Row],[IV Calc C]] * SQRT(Table1[[#This Row],[T]]))</f>
        <v>#DIV/0!</v>
      </c>
      <c r="AI194" t="e">
        <f ca="1">(EXP(-(AG194^2)/2)/SQRT(2*PI())*EXP(0*SQRT(Table1[[#This Row],[T]]))/$A$4*18%*SQRT(SQRT(Table1[[#This Row],[T]])))</f>
        <v>#DIV/0!</v>
      </c>
      <c r="AJ194" t="e">
        <f ca="1">(EXP(-(AH194^2)/2)/SQRT(2*PI())*EXP(0*SQRT(Table1[[#This Row],[T]]))/$A$4*18%*SQRT(SQRT(Table1[[#This Row],[T]])))</f>
        <v>#DIV/0!</v>
      </c>
      <c r="AK194" t="e">
        <f ca="1">Table1[[#This Row],[Call D1]]-Table1[[#This Row],[IV Calc C]]*SQRT(Table1[[#This Row],[T]])</f>
        <v>#DIV/0!</v>
      </c>
      <c r="AL194" t="e">
        <f ca="1">Table1[[#This Row],[Put D1]]-Table1[[#This Row],[IV Calc P]]*SQRT(Table1[[#This Row],[T]])</f>
        <v>#DIV/0!</v>
      </c>
      <c r="AM194" t="e">
        <f ca="1">EXP(-0.5*Table1[[#This Row],[Call D1]]^2)/SQRT(2*PI())</f>
        <v>#DIV/0!</v>
      </c>
      <c r="AN194" t="e">
        <f ca="1">EXP(-0.5*Table1[[#This Row],[Put D1]]^2)/SQRT(2*PI())</f>
        <v>#DIV/0!</v>
      </c>
      <c r="AO194">
        <f ca="1">IFERROR((EXP(0*Table1[[#This Row],[T]])*Table1[[#This Row],[call N(d1)]]*(Table1[[#This Row],[call d2]]/Table1[[#This Row],[IV Calc C]]))*Table1[[#This Row],[Open.Int]]*Table1[[#This Row],[DeltaC]],0)</f>
        <v>0</v>
      </c>
      <c r="AP194">
        <f ca="1">IFERROR((EXP(0*Table1[[#This Row],[T]])*Table1[[#This Row],[put N(d1)]]*(Table1[[#This Row],[put d2]]/Table1[[#This Row],[IV Calc P]]))*Table1[[#This Row],[Open.Int8]]*Table1[[#This Row],[DeltaP]]*-1,0)</f>
        <v>0</v>
      </c>
      <c r="AQ194">
        <f ca="1">((Table1[[#This Row],[call vanna]]+Table1[[#This Row],[put vanna]])*$A$4)</f>
        <v>0</v>
      </c>
      <c r="AR19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4" s="9" t="str" cm="1">
        <f t="array" ref="AT194">_xlfn.IFS(     $M$1="SPX","SPXW",     $M$1="RUT","RUTW",  $M$1="NDX","NDXP",   TRUE,$M$1 )</f>
        <v>SPXW</v>
      </c>
      <c r="AU194" s="2">
        <f t="shared" si="17"/>
        <v>6915</v>
      </c>
      <c r="AV194" t="str">
        <f t="shared" si="18"/>
        <v>260123</v>
      </c>
      <c r="AW194" s="19">
        <f ca="1">IFERROR((EXP(0*Table1[[#This Row],[T]])*Table1[[#This Row],[put N(d1)]]*(Table1[[#This Row],[put d2]]/Table1[[#This Row],[IV Calc P]]))*Table1[[#This Row],[Open.Int8]]*Table1[[#This Row],[DeltaP]]*-1,0)</f>
        <v>0</v>
      </c>
      <c r="AX194">
        <f ca="1">IFERROR((EXP(0*Table1[[#This Row],[T]])*Table1[[#This Row],[call N(d1)]]*(Table1[[#This Row],[call d2]]/Table1[[#This Row],[IV Calc C]]))*Table1[[#This Row],[Open.Int]]*Table1[[#This Row],[DeltaC]],0)</f>
        <v>0</v>
      </c>
      <c r="AY19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4">
        <f>((Table1[[#This Row],[High C]]+Table1[[#This Row],[Low C]])/2)*Table1[[#This Row],[gammac]]*Table1[[#This Row],[Volume]]</f>
        <v>0</v>
      </c>
      <c r="BD194">
        <f>((Table1[[#This Row],[High P]]+Table1[[#This Row],[Low P]])/2)*Table1[[#This Row],[gammap]]*Table1[[#This Row],[Volume9]]*-1</f>
        <v>0</v>
      </c>
      <c r="BE194">
        <f>(Table1[[#This Row],[SgammaC]]+Table1[[#This Row],[SgammaP]])*$A$4*-100</f>
        <v>0</v>
      </c>
      <c r="BF194">
        <f>Table1[[#This Row],[DEXc]]+Table1[[#This Row],[DEXp]]</f>
        <v>0</v>
      </c>
      <c r="BG194">
        <f>IFERROR(Table1[[#This Row],[DeltaC]]*Table1[[#This Row],[Open.Int]]*$A$4,0)</f>
        <v>0</v>
      </c>
      <c r="BH194">
        <f>IFERROR(Table1[[#This Row],[DeltaP]]*Table1[[#This Row],[Open.Int8]]*$A$4,0)</f>
        <v>0</v>
      </c>
      <c r="BI19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4">
        <f ca="1">Table1[[#This Row],[Charmc]]+Table1[[#This Row],[Charmp]]</f>
        <v>0</v>
      </c>
      <c r="BL19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4" s="78">
        <f ca="1">Table1[[#This Row],[call helper]]+Table1[[#This Row],[put helper]]</f>
        <v>0</v>
      </c>
      <c r="BP194" t="str">
        <f>RTD("tos.rtd", , "STRIKE", "."&amp;Table1[[#This Row],[Ticker]]&amp;Table1[[#This Row],[Expiry]]&amp;""&amp;"C"&amp;Table1[[#This Row],[Spot]]+Table1[[#This Row],[step]])</f>
        <v>N/A</v>
      </c>
    </row>
    <row r="195" spans="1:68" x14ac:dyDescent="0.25">
      <c r="A195">
        <f t="shared" ca="1" si="14"/>
        <v>2.5814307458086375E-3</v>
      </c>
      <c r="C195" s="17"/>
      <c r="D195">
        <f>IF(
    ISNUMBER(Table1[[#This Row],[Strike]]),RTD("tos.rtd", , "OPEN_INT", "."&amp;Table1[[#This Row],[Ticker]]&amp;Table1[[#This Row],[Expiry]]&amp;""&amp;"C"&amp;Table1[[#This Row],[Strike]]))</f>
        <v>10887</v>
      </c>
      <c r="E19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13738</v>
      </c>
      <c r="G195">
        <f>IF(
    ISNUMBER(Table1[[#This Row],[Strike]]),RTD("tos.rtd", , "DELTA", "."&amp;Table1[[#This Row],[Ticker]]&amp;Table1[[#This Row],[Expiry]]&amp;""&amp;"C"&amp;Table1[[#This Row],[Strike]]))</f>
        <v>0.01</v>
      </c>
      <c r="H195" s="17" cm="1">
        <f t="array" aca="1" ref="H195" ca="1">IF(
    ISNUMBER(Table1[[#This Row],[Strike]]),IndividualLegIVCore($A$4, Table1[[#This Row],[Strike]], 0.0411, Table1[[#This Row],[T]], ((Table1[[#This Row],[BIDC]]+Table1[[#This Row],[ASKC]])/2), TRUE))</f>
        <v>0.10447104954340192</v>
      </c>
      <c r="I195">
        <f>IF(
    ISNUMBER(Table1[[#This Row],[Strike]]),RTD("tos.rtd", , "BID", "."&amp;Table1[[#This Row],[Ticker]]&amp;Table1[[#This Row],[Expiry]]&amp;""&amp;"C"&amp;Table1[[#This Row],[Strike]]))</f>
        <v>0.1</v>
      </c>
      <c r="J195">
        <f>IF(
    ISNUMBER(Table1[[#This Row],[Strike]]),RTD("tos.rtd", , "ASK", "."&amp;Table1[[#This Row],[Ticker]]&amp;Table1[[#This Row],[Expiry]]&amp;""&amp;"C"&amp;Table1[[#This Row],[Strike]]))</f>
        <v>0.15</v>
      </c>
      <c r="K19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0.10447104954340192</v>
      </c>
      <c r="L195" s="17" cm="1">
        <f t="array" aca="1" ref="L195" ca="1">CubicSplineIVSmile($A$4, Table1[[#This Row],[Strike]], 0.0411, Table1[[#This Row],[T]], (Table1[[#This Row],[BIDC]]+Table1[[#This Row],[ASKC]])/2, (Table1[[#This Row],[BIDP]]+Table1[[#This Row],[ASKP]])/2, Table1[Strike], Table1[IV Calc AVG])</f>
        <v>0.2082824941320468</v>
      </c>
      <c r="M195" s="1">
        <f t="shared" si="15"/>
        <v>46045</v>
      </c>
      <c r="N195">
        <f t="shared" si="16"/>
        <v>7000</v>
      </c>
      <c r="P195" s="17" cm="1">
        <f t="array" aca="1" ref="P195" ca="1">IF(
    ISNUMBER(Table1[[#This Row],[Strike]]),IndividualLegIVCore($A$4, Table1[[#This Row],[Strike]], 0.0411, Table1[[#This Row],[T]], ((Table1[[#This Row],[BIDP]]+Table1[[#This Row],[ASKP]])/2), FALSE))</f>
        <v>0.21548075124805283</v>
      </c>
      <c r="Q195">
        <f>IF(
    ISNUMBER(Table1[[#This Row],[Strike]]),RTD("tos.rtd", , "BID", "."&amp;Table1[[#This Row],[Ticker]]&amp;Table1[[#This Row],[Expiry]]&amp;""&amp;"P"&amp;Table1[[#This Row],[Strike]]))</f>
        <v>90.3</v>
      </c>
      <c r="R195">
        <f>IF(
    ISNUMBER(Table1[[#This Row],[Strike]]),RTD("tos.rtd", , "ASK", "."&amp;Table1[[#This Row],[Ticker]]&amp;Table1[[#This Row],[Expiry]]&amp;""&amp;"P"&amp;Table1[[#This Row],[Strike]]))</f>
        <v>91.4</v>
      </c>
      <c r="S195" s="17"/>
      <c r="T195">
        <f>IF(
    ISNUMBER(Table1[[#This Row],[Strike]]),RTD("tos.rtd", , "OPEN_INT", "."&amp;Table1[[#This Row],[Ticker]]&amp;Table1[[#This Row],[Expiry]]&amp;""&amp;"P"&amp;Table1[[#This Row],[Strike]]))</f>
        <v>6009</v>
      </c>
      <c r="U19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112</v>
      </c>
      <c r="W195">
        <f>IF(
    ISNUMBER(Table1[[#This Row],[Strike]]),RTD("tos.rtd", , "DELTA", "."&amp;Table1[[#This Row],[Ticker]]&amp;Table1[[#This Row],[Expiry]]&amp;""&amp;"P"&amp;Table1[[#This Row],[Strike]]))</f>
        <v>-0.87</v>
      </c>
      <c r="Y195" s="19">
        <f>42.5* IF($M$1="NDX", 10, IF(OR($M$1="SPX", $M$1="RUT"), 2, 1))</f>
        <v>85</v>
      </c>
      <c r="Z195">
        <f ca="1">IFERROR(Table1[[#This Row],[call gamma]]*(Table1[[#This Row],[Open.Int]])*$A$4^2,0)</f>
        <v>122315.38525329587</v>
      </c>
      <c r="AA195">
        <f ca="1">IFERROR(((Table1[[#This Row],[Open.Int8]])*Table1[[#This Row],[Put gamma]])*-1*$A$4^2,0)</f>
        <v>-393437.0801274128</v>
      </c>
      <c r="AB195">
        <f ca="1">(Table1[[#This Row],[Call Gex]]+Table1[[#This Row],[Put Gex]])</f>
        <v>-271121.69487411692</v>
      </c>
      <c r="AC195">
        <f ca="1">Table1[[#This Row],[call delta adj]]+Table1[[#This Row],[put delta adj]]</f>
        <v>-341067.10585831618</v>
      </c>
      <c r="AD195">
        <f ca="1">Table1[[#This Row],[Put Gex]]*Table1[[#This Row],[DeltaP]]*-1</f>
        <v>-342290.25971084915</v>
      </c>
      <c r="AE195">
        <f ca="1">Table1[[#This Row],[Call Gex]]*Table1[[#This Row],[DeltaC]]</f>
        <v>1223.1538525329588</v>
      </c>
      <c r="AF195">
        <f>IF(Table1[[#This Row],[DeltaC]]-ABS(Table1[[#This Row],[DeltaP]])="0","0.01",Table1[[#This Row],[DeltaC]]-ABS(Table1[[#This Row],[DeltaP]]))</f>
        <v>-0.86</v>
      </c>
      <c r="AG195">
        <f ca="1">((LN($A$4/Table1[[#This Row],[Strike]]) + (0.411 + 0.5 * Table1[[#This Row],[IV Calc P]]^2) *Table1[[#This Row],[T]])) / (Table1[[#This Row],[IV Calc P]] * SQRT(Table1[[#This Row],[T]]))</f>
        <v>-1.0353327587213341</v>
      </c>
      <c r="AH195">
        <f ca="1">(LN($A$4/Table1[[#This Row],[Strike]]) + (0.411-0 + 0.5 * Table1[[#This Row],[IV Calc C]]^2) *Table1[[#This Row],[T]]) / (Table1[[#This Row],[IV Calc C]] * SQRT(Table1[[#This Row],[T]]))</f>
        <v>-2.1441018423404916</v>
      </c>
      <c r="AI195">
        <f ca="1">(EXP(-(AG195^2)/2)/SQRT(2*PI())*EXP(0*SQRT(Table1[[#This Row],[T]]))/$A$4*18%*SQRT(SQRT(Table1[[#This Row],[T]])))</f>
        <v>1.3699224903254513E-6</v>
      </c>
      <c r="AJ195">
        <f ca="1">(EXP(-(AH195^2)/2)/SQRT(2*PI())*EXP(0*SQRT(Table1[[#This Row],[T]]))/$A$4*18%*SQRT(SQRT(Table1[[#This Row],[T]])))</f>
        <v>2.3506922524917345E-7</v>
      </c>
      <c r="AK195">
        <f ca="1">Table1[[#This Row],[Call D1]]-Table1[[#This Row],[IV Calc C]]*SQRT(Table1[[#This Row],[T]])</f>
        <v>-2.1494097846860098</v>
      </c>
      <c r="AL195">
        <f ca="1">Table1[[#This Row],[Put D1]]-Table1[[#This Row],[IV Calc P]]*SQRT(Table1[[#This Row],[T]])</f>
        <v>-1.0462808578281442</v>
      </c>
      <c r="AM195">
        <f ca="1">EXP(-0.5*Table1[[#This Row],[Call D1]]^2)/SQRT(2*PI())</f>
        <v>4.0054073977014049E-2</v>
      </c>
      <c r="AN195">
        <f ca="1">EXP(-0.5*Table1[[#This Row],[Put D1]]^2)/SQRT(2*PI())</f>
        <v>0.23342475695024598</v>
      </c>
      <c r="AO195">
        <f ca="1">IFERROR((EXP(0*Table1[[#This Row],[T]])*Table1[[#This Row],[call N(d1)]]*(Table1[[#This Row],[call d2]]/Table1[[#This Row],[IV Calc C]]))*Table1[[#This Row],[Open.Int]]*Table1[[#This Row],[DeltaC]],0)</f>
        <v>-89.717710500035068</v>
      </c>
      <c r="AP195">
        <f ca="1">IFERROR((EXP(0*Table1[[#This Row],[T]])*Table1[[#This Row],[put N(d1)]]*(Table1[[#This Row],[put d2]]/Table1[[#This Row],[IV Calc P]]))*Table1[[#This Row],[Open.Int8]]*Table1[[#This Row],[DeltaP]]*-1,0)</f>
        <v>-5925.2703524427552</v>
      </c>
      <c r="AQ195">
        <f ca="1">((Table1[[#This Row],[call vanna]]+Table1[[#This Row],[put vanna]])*$A$4)</f>
        <v>-41583717.724945538</v>
      </c>
      <c r="AR19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122315.38525329587</v>
      </c>
      <c r="AS19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-393437.0801274128</v>
      </c>
      <c r="AT195" s="9" t="str" cm="1">
        <f t="array" ref="AT195">_xlfn.IFS(     $M$1="SPX","SPXW",     $M$1="RUT","RUTW",  $M$1="NDX","NDXP",   TRUE,$M$1 )</f>
        <v>SPXW</v>
      </c>
      <c r="AU195" s="2">
        <f t="shared" si="17"/>
        <v>6915</v>
      </c>
      <c r="AV195" t="str">
        <f t="shared" si="18"/>
        <v>260123</v>
      </c>
      <c r="AW195" s="19">
        <f ca="1">IFERROR((EXP(0*Table1[[#This Row],[T]])*Table1[[#This Row],[put N(d1)]]*(Table1[[#This Row],[put d2]]/Table1[[#This Row],[IV Calc P]]))*Table1[[#This Row],[Open.Int8]]*Table1[[#This Row],[DeltaP]]*-1,0)</f>
        <v>-5925.2703524427552</v>
      </c>
      <c r="AX195">
        <f ca="1">IFERROR((EXP(0*Table1[[#This Row],[T]])*Table1[[#This Row],[call N(d1)]]*(Table1[[#This Row],[call d2]]/Table1[[#This Row],[IV Calc C]]))*Table1[[#This Row],[Open.Int]]*Table1[[#This Row],[DeltaC]],0)</f>
        <v>-89.717710500035068</v>
      </c>
      <c r="AY195">
        <f>IF(
    ISNUMBER(Table1[[#This Row],[Strike]]),RTD("tos.rtd", , "high", "."&amp;Table1[[#This Row],[Ticker]]&amp;Table1[[#This Row],[Expiry]]&amp;""&amp;"C"&amp;Table1[[#This Row],[Spot]]+Table1[[#This Row],[step]]))</f>
        <v>1.83</v>
      </c>
      <c r="AZ195">
        <f>IF(
    ISNUMBER(Table1[[#This Row],[Strike]]),RTD("tos.rtd", , "low", "."&amp;Table1[[#This Row],[Ticker]]&amp;Table1[[#This Row],[Expiry]]&amp;""&amp;"C"&amp;Table1[[#This Row],[Spot]]+Table1[[#This Row],[step]]))</f>
        <v>0.1</v>
      </c>
      <c r="BA195">
        <f>IF(
    ISNUMBER(Table1[[#This Row],[Strike]]),RTD("tos.rtd", , "high", "."&amp;Table1[[#This Row],[Ticker]]&amp;Table1[[#This Row],[Expiry]]&amp;""&amp;"P"&amp;Table1[[#This Row],[Spot]]+Table1[[#This Row],[step]]))</f>
        <v>102.37</v>
      </c>
      <c r="BB195">
        <f>IF(
    ISNUMBER(Table1[[#This Row],[Strike]]),RTD("tos.rtd", , "low", "."&amp;Table1[[#This Row],[Ticker]]&amp;Table1[[#This Row],[Expiry]]&amp;""&amp;"P"&amp;Table1[[#This Row],[Spot]]+Table1[[#This Row],[step]]))</f>
        <v>65.760000000000005</v>
      </c>
      <c r="BC195">
        <f>((Table1[[#This Row],[High C]]+Table1[[#This Row],[Low C]])/2)*Table1[[#This Row],[gammac]]*Table1[[#This Row],[Volume]]</f>
        <v>0</v>
      </c>
      <c r="BD195">
        <f>((Table1[[#This Row],[High P]]+Table1[[#This Row],[Low P]])/2)*Table1[[#This Row],[gammap]]*Table1[[#This Row],[Volume9]]*-1</f>
        <v>0</v>
      </c>
      <c r="BE195">
        <f>(Table1[[#This Row],[SgammaC]]+Table1[[#This Row],[SgammaP]])*$A$4*-100</f>
        <v>0</v>
      </c>
      <c r="BF195">
        <f>Table1[[#This Row],[DEXc]]+Table1[[#This Row],[DEXp]]</f>
        <v>-35389162.116000004</v>
      </c>
      <c r="BG195">
        <f>IFERROR(Table1[[#This Row],[DeltaC]]*Table1[[#This Row],[Open.Int]]*$A$4,0)</f>
        <v>752656.41450000007</v>
      </c>
      <c r="BH195">
        <f>IFERROR(Table1[[#This Row],[DeltaP]]*Table1[[#This Row],[Open.Int8]]*$A$4,0)</f>
        <v>-36141818.530500002</v>
      </c>
      <c r="BI19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-6461804.853615609</v>
      </c>
      <c r="BJ19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-30083098.700043827</v>
      </c>
      <c r="BK195">
        <f ca="1">Table1[[#This Row],[Charmc]]+Table1[[#This Row],[Charmp]]</f>
        <v>-36544903.553659439</v>
      </c>
      <c r="BL19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5" s="78">
        <f ca="1">Table1[[#This Row],[call helper]]+Table1[[#This Row],[put helper]]</f>
        <v>-271121.69487411692</v>
      </c>
      <c r="BP195">
        <f>RTD("tos.rtd", , "STRIKE", "."&amp;Table1[[#This Row],[Ticker]]&amp;Table1[[#This Row],[Expiry]]&amp;""&amp;"C"&amp;Table1[[#This Row],[Spot]]+Table1[[#This Row],[step]])</f>
        <v>7000</v>
      </c>
    </row>
    <row r="196" spans="1:68" x14ac:dyDescent="0.25">
      <c r="A196">
        <f t="shared" ca="1" si="14"/>
        <v>2.5814307458086375E-3</v>
      </c>
      <c r="C196" s="17"/>
      <c r="D196" t="b">
        <f>IF(
    ISNUMBER(Table1[[#This Row],[Strike]]),RTD("tos.rtd", , "OPEN_INT", "."&amp;Table1[[#This Row],[Ticker]]&amp;Table1[[#This Row],[Expiry]]&amp;""&amp;"C"&amp;Table1[[#This Row],[Strike]]))</f>
        <v>0</v>
      </c>
      <c r="E19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6" t="b">
        <f>IF(
    ISNUMBER(Table1[[#This Row],[Strike]]),RTD("tos.rtd", , "DELTA", "."&amp;Table1[[#This Row],[Ticker]]&amp;Table1[[#This Row],[Expiry]]&amp;""&amp;"C"&amp;Table1[[#This Row],[Strike]]))</f>
        <v>0</v>
      </c>
      <c r="H196" s="17" t="b" cm="1">
        <f t="array" ref="H196">IF(
    ISNUMBER(Table1[[#This Row],[Strike]]),IndividualLegIVCore($A$4, Table1[[#This Row],[Strike]], 0.0411, Table1[[#This Row],[T]], ((Table1[[#This Row],[BIDC]]+Table1[[#This Row],[ASKC]])/2), TRUE))</f>
        <v>0</v>
      </c>
      <c r="I196" t="b">
        <f>IF(
    ISNUMBER(Table1[[#This Row],[Strike]]),RTD("tos.rtd", , "BID", "."&amp;Table1[[#This Row],[Ticker]]&amp;Table1[[#This Row],[Expiry]]&amp;""&amp;"C"&amp;Table1[[#This Row],[Strike]]))</f>
        <v>0</v>
      </c>
      <c r="J196" t="b">
        <f>IF(
    ISNUMBER(Table1[[#This Row],[Strike]]),RTD("tos.rtd", , "ASK", "."&amp;Table1[[#This Row],[Ticker]]&amp;Table1[[#This Row],[Expiry]]&amp;""&amp;"C"&amp;Table1[[#This Row],[Strike]]))</f>
        <v>0</v>
      </c>
      <c r="K19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6" s="17" cm="1">
        <f t="array" aca="1" ref="L19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6" s="1">
        <f t="shared" si="15"/>
        <v>46045</v>
      </c>
      <c r="N196" t="b">
        <f t="shared" si="16"/>
        <v>0</v>
      </c>
      <c r="P196" s="17" t="b" cm="1">
        <f t="array" ref="P196">IF(
    ISNUMBER(Table1[[#This Row],[Strike]]),IndividualLegIVCore($A$4, Table1[[#This Row],[Strike]], 0.0411, Table1[[#This Row],[T]], ((Table1[[#This Row],[BIDP]]+Table1[[#This Row],[ASKP]])/2), FALSE))</f>
        <v>0</v>
      </c>
      <c r="Q196" t="b">
        <f>IF(
    ISNUMBER(Table1[[#This Row],[Strike]]),RTD("tos.rtd", , "BID", "."&amp;Table1[[#This Row],[Ticker]]&amp;Table1[[#This Row],[Expiry]]&amp;""&amp;"P"&amp;Table1[[#This Row],[Strike]]))</f>
        <v>0</v>
      </c>
      <c r="R196" t="b">
        <f>IF(
    ISNUMBER(Table1[[#This Row],[Strike]]),RTD("tos.rtd", , "ASK", "."&amp;Table1[[#This Row],[Ticker]]&amp;Table1[[#This Row],[Expiry]]&amp;""&amp;"P"&amp;Table1[[#This Row],[Strike]]))</f>
        <v>0</v>
      </c>
      <c r="S196" s="17"/>
      <c r="T196" t="b">
        <f>IF(
    ISNUMBER(Table1[[#This Row],[Strike]]),RTD("tos.rtd", , "OPEN_INT", "."&amp;Table1[[#This Row],[Ticker]]&amp;Table1[[#This Row],[Expiry]]&amp;""&amp;"P"&amp;Table1[[#This Row],[Strike]]))</f>
        <v>0</v>
      </c>
      <c r="U19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6" t="b">
        <f>IF(
    ISNUMBER(Table1[[#This Row],[Strike]]),RTD("tos.rtd", , "DELTA", "."&amp;Table1[[#This Row],[Ticker]]&amp;Table1[[#This Row],[Expiry]]&amp;""&amp;"P"&amp;Table1[[#This Row],[Strike]]))</f>
        <v>0</v>
      </c>
      <c r="Y196" s="19">
        <f>43* IF($M$1="NDX", 10, IF(OR($M$1="SPX", $M$1="RUT"), 2, 1))</f>
        <v>86</v>
      </c>
      <c r="Z196">
        <f ca="1">IFERROR(Table1[[#This Row],[call gamma]]*(Table1[[#This Row],[Open.Int]])*$A$4^2,0)</f>
        <v>0</v>
      </c>
      <c r="AA196">
        <f ca="1">IFERROR(((Table1[[#This Row],[Open.Int8]])*Table1[[#This Row],[Put gamma]])*-1*$A$4^2,0)</f>
        <v>0</v>
      </c>
      <c r="AB196">
        <f ca="1">(Table1[[#This Row],[Call Gex]]+Table1[[#This Row],[Put Gex]])</f>
        <v>0</v>
      </c>
      <c r="AC196">
        <f ca="1">Table1[[#This Row],[call delta adj]]+Table1[[#This Row],[put delta adj]]</f>
        <v>0</v>
      </c>
      <c r="AD196">
        <f ca="1">Table1[[#This Row],[Put Gex]]*Table1[[#This Row],[DeltaP]]*-1</f>
        <v>0</v>
      </c>
      <c r="AE196">
        <f ca="1">Table1[[#This Row],[Call Gex]]*Table1[[#This Row],[DeltaC]]</f>
        <v>0</v>
      </c>
      <c r="AF196">
        <f>IF(Table1[[#This Row],[DeltaC]]-ABS(Table1[[#This Row],[DeltaP]])="0","0.01",Table1[[#This Row],[DeltaC]]-ABS(Table1[[#This Row],[DeltaP]]))</f>
        <v>0</v>
      </c>
      <c r="AG196" t="e">
        <f ca="1">((LN($A$4/Table1[[#This Row],[Strike]]) + (0.411 + 0.5 * Table1[[#This Row],[IV Calc P]]^2) *Table1[[#This Row],[T]])) / (Table1[[#This Row],[IV Calc P]] * SQRT(Table1[[#This Row],[T]]))</f>
        <v>#DIV/0!</v>
      </c>
      <c r="AH196" t="e">
        <f ca="1">(LN($A$4/Table1[[#This Row],[Strike]]) + (0.411-0 + 0.5 * Table1[[#This Row],[IV Calc C]]^2) *Table1[[#This Row],[T]]) / (Table1[[#This Row],[IV Calc C]] * SQRT(Table1[[#This Row],[T]]))</f>
        <v>#DIV/0!</v>
      </c>
      <c r="AI196" t="e">
        <f ca="1">(EXP(-(AG196^2)/2)/SQRT(2*PI())*EXP(0*SQRT(Table1[[#This Row],[T]]))/$A$4*18%*SQRT(SQRT(Table1[[#This Row],[T]])))</f>
        <v>#DIV/0!</v>
      </c>
      <c r="AJ196" t="e">
        <f ca="1">(EXP(-(AH196^2)/2)/SQRT(2*PI())*EXP(0*SQRT(Table1[[#This Row],[T]]))/$A$4*18%*SQRT(SQRT(Table1[[#This Row],[T]])))</f>
        <v>#DIV/0!</v>
      </c>
      <c r="AK196" t="e">
        <f ca="1">Table1[[#This Row],[Call D1]]-Table1[[#This Row],[IV Calc C]]*SQRT(Table1[[#This Row],[T]])</f>
        <v>#DIV/0!</v>
      </c>
      <c r="AL196" t="e">
        <f ca="1">Table1[[#This Row],[Put D1]]-Table1[[#This Row],[IV Calc P]]*SQRT(Table1[[#This Row],[T]])</f>
        <v>#DIV/0!</v>
      </c>
      <c r="AM196" t="e">
        <f ca="1">EXP(-0.5*Table1[[#This Row],[Call D1]]^2)/SQRT(2*PI())</f>
        <v>#DIV/0!</v>
      </c>
      <c r="AN196" t="e">
        <f ca="1">EXP(-0.5*Table1[[#This Row],[Put D1]]^2)/SQRT(2*PI())</f>
        <v>#DIV/0!</v>
      </c>
      <c r="AO196">
        <f ca="1">IFERROR((EXP(0*Table1[[#This Row],[T]])*Table1[[#This Row],[call N(d1)]]*(Table1[[#This Row],[call d2]]/Table1[[#This Row],[IV Calc C]]))*Table1[[#This Row],[Open.Int]]*Table1[[#This Row],[DeltaC]],0)</f>
        <v>0</v>
      </c>
      <c r="AP196">
        <f ca="1">IFERROR((EXP(0*Table1[[#This Row],[T]])*Table1[[#This Row],[put N(d1)]]*(Table1[[#This Row],[put d2]]/Table1[[#This Row],[IV Calc P]]))*Table1[[#This Row],[Open.Int8]]*Table1[[#This Row],[DeltaP]]*-1,0)</f>
        <v>0</v>
      </c>
      <c r="AQ196">
        <f ca="1">((Table1[[#This Row],[call vanna]]+Table1[[#This Row],[put vanna]])*$A$4)</f>
        <v>0</v>
      </c>
      <c r="AR19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6" s="9" t="str" cm="1">
        <f t="array" ref="AT196">_xlfn.IFS(     $M$1="SPX","SPXW",     $M$1="RUT","RUTW",  $M$1="NDX","NDXP",   TRUE,$M$1 )</f>
        <v>SPXW</v>
      </c>
      <c r="AU196" s="2">
        <f t="shared" si="17"/>
        <v>6915</v>
      </c>
      <c r="AV196" t="str">
        <f t="shared" si="18"/>
        <v>260123</v>
      </c>
      <c r="AW196" s="19">
        <f ca="1">IFERROR((EXP(0*Table1[[#This Row],[T]])*Table1[[#This Row],[put N(d1)]]*(Table1[[#This Row],[put d2]]/Table1[[#This Row],[IV Calc P]]))*Table1[[#This Row],[Open.Int8]]*Table1[[#This Row],[DeltaP]]*-1,0)</f>
        <v>0</v>
      </c>
      <c r="AX196">
        <f ca="1">IFERROR((EXP(0*Table1[[#This Row],[T]])*Table1[[#This Row],[call N(d1)]]*(Table1[[#This Row],[call d2]]/Table1[[#This Row],[IV Calc C]]))*Table1[[#This Row],[Open.Int]]*Table1[[#This Row],[DeltaC]],0)</f>
        <v>0</v>
      </c>
      <c r="AY19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6">
        <f>((Table1[[#This Row],[High C]]+Table1[[#This Row],[Low C]])/2)*Table1[[#This Row],[gammac]]*Table1[[#This Row],[Volume]]</f>
        <v>0</v>
      </c>
      <c r="BD196">
        <f>((Table1[[#This Row],[High P]]+Table1[[#This Row],[Low P]])/2)*Table1[[#This Row],[gammap]]*Table1[[#This Row],[Volume9]]*-1</f>
        <v>0</v>
      </c>
      <c r="BE196">
        <f>(Table1[[#This Row],[SgammaC]]+Table1[[#This Row],[SgammaP]])*$A$4*-100</f>
        <v>0</v>
      </c>
      <c r="BF196">
        <f>Table1[[#This Row],[DEXc]]+Table1[[#This Row],[DEXp]]</f>
        <v>0</v>
      </c>
      <c r="BG196">
        <f>IFERROR(Table1[[#This Row],[DeltaC]]*Table1[[#This Row],[Open.Int]]*$A$4,0)</f>
        <v>0</v>
      </c>
      <c r="BH196">
        <f>IFERROR(Table1[[#This Row],[DeltaP]]*Table1[[#This Row],[Open.Int8]]*$A$4,0)</f>
        <v>0</v>
      </c>
      <c r="BI19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6">
        <f ca="1">Table1[[#This Row],[Charmc]]+Table1[[#This Row],[Charmp]]</f>
        <v>0</v>
      </c>
      <c r="BL19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6" s="78">
        <f ca="1">Table1[[#This Row],[call helper]]+Table1[[#This Row],[put helper]]</f>
        <v>0</v>
      </c>
      <c r="BP196" t="str">
        <f>RTD("tos.rtd", , "STRIKE", "."&amp;Table1[[#This Row],[Ticker]]&amp;Table1[[#This Row],[Expiry]]&amp;""&amp;"C"&amp;Table1[[#This Row],[Spot]]+Table1[[#This Row],[step]])</f>
        <v>N/A</v>
      </c>
    </row>
    <row r="197" spans="1:68" x14ac:dyDescent="0.25">
      <c r="A197">
        <f t="shared" ca="1" si="14"/>
        <v>2.5814307458086375E-3</v>
      </c>
      <c r="C197" s="17"/>
      <c r="D197" t="b">
        <f>IF(
    ISNUMBER(Table1[[#This Row],[Strike]]),RTD("tos.rtd", , "OPEN_INT", "."&amp;Table1[[#This Row],[Ticker]]&amp;Table1[[#This Row],[Expiry]]&amp;""&amp;"C"&amp;Table1[[#This Row],[Strike]]))</f>
        <v>0</v>
      </c>
      <c r="E19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7" t="b">
        <f>IF(
    ISNUMBER(Table1[[#This Row],[Strike]]),RTD("tos.rtd", , "DELTA", "."&amp;Table1[[#This Row],[Ticker]]&amp;Table1[[#This Row],[Expiry]]&amp;""&amp;"C"&amp;Table1[[#This Row],[Strike]]))</f>
        <v>0</v>
      </c>
      <c r="H197" s="17" t="b" cm="1">
        <f t="array" ref="H197">IF(
    ISNUMBER(Table1[[#This Row],[Strike]]),IndividualLegIVCore($A$4, Table1[[#This Row],[Strike]], 0.0411, Table1[[#This Row],[T]], ((Table1[[#This Row],[BIDC]]+Table1[[#This Row],[ASKC]])/2), TRUE))</f>
        <v>0</v>
      </c>
      <c r="I197" t="b">
        <f>IF(
    ISNUMBER(Table1[[#This Row],[Strike]]),RTD("tos.rtd", , "BID", "."&amp;Table1[[#This Row],[Ticker]]&amp;Table1[[#This Row],[Expiry]]&amp;""&amp;"C"&amp;Table1[[#This Row],[Strike]]))</f>
        <v>0</v>
      </c>
      <c r="J197" t="b">
        <f>IF(
    ISNUMBER(Table1[[#This Row],[Strike]]),RTD("tos.rtd", , "ASK", "."&amp;Table1[[#This Row],[Ticker]]&amp;Table1[[#This Row],[Expiry]]&amp;""&amp;"C"&amp;Table1[[#This Row],[Strike]]))</f>
        <v>0</v>
      </c>
      <c r="K19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7" s="17" cm="1">
        <f t="array" aca="1" ref="L19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7" s="1">
        <f t="shared" si="15"/>
        <v>46045</v>
      </c>
      <c r="N197" t="b">
        <f t="shared" si="16"/>
        <v>0</v>
      </c>
      <c r="P197" s="17" t="b" cm="1">
        <f t="array" ref="P197">IF(
    ISNUMBER(Table1[[#This Row],[Strike]]),IndividualLegIVCore($A$4, Table1[[#This Row],[Strike]], 0.0411, Table1[[#This Row],[T]], ((Table1[[#This Row],[BIDP]]+Table1[[#This Row],[ASKP]])/2), FALSE))</f>
        <v>0</v>
      </c>
      <c r="Q197" t="b">
        <f>IF(
    ISNUMBER(Table1[[#This Row],[Strike]]),RTD("tos.rtd", , "BID", "."&amp;Table1[[#This Row],[Ticker]]&amp;Table1[[#This Row],[Expiry]]&amp;""&amp;"P"&amp;Table1[[#This Row],[Strike]]))</f>
        <v>0</v>
      </c>
      <c r="R197" t="b">
        <f>IF(
    ISNUMBER(Table1[[#This Row],[Strike]]),RTD("tos.rtd", , "ASK", "."&amp;Table1[[#This Row],[Ticker]]&amp;Table1[[#This Row],[Expiry]]&amp;""&amp;"P"&amp;Table1[[#This Row],[Strike]]))</f>
        <v>0</v>
      </c>
      <c r="S197" s="17"/>
      <c r="T197" t="b">
        <f>IF(
    ISNUMBER(Table1[[#This Row],[Strike]]),RTD("tos.rtd", , "OPEN_INT", "."&amp;Table1[[#This Row],[Ticker]]&amp;Table1[[#This Row],[Expiry]]&amp;""&amp;"P"&amp;Table1[[#This Row],[Strike]]))</f>
        <v>0</v>
      </c>
      <c r="U19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7" t="b">
        <f>IF(
    ISNUMBER(Table1[[#This Row],[Strike]]),RTD("tos.rtd", , "DELTA", "."&amp;Table1[[#This Row],[Ticker]]&amp;Table1[[#This Row],[Expiry]]&amp;""&amp;"P"&amp;Table1[[#This Row],[Strike]]))</f>
        <v>0</v>
      </c>
      <c r="Y197" s="19">
        <f>43.5* IF($M$1="NDX", 10, IF(OR($M$1="SPX", $M$1="RUT"), 2, 1))</f>
        <v>87</v>
      </c>
      <c r="Z197">
        <f ca="1">IFERROR(Table1[[#This Row],[call gamma]]*(Table1[[#This Row],[Open.Int]])*$A$4^2,0)</f>
        <v>0</v>
      </c>
      <c r="AA197">
        <f ca="1">IFERROR(((Table1[[#This Row],[Open.Int8]])*Table1[[#This Row],[Put gamma]])*-1*$A$4^2,0)</f>
        <v>0</v>
      </c>
      <c r="AB197">
        <f ca="1">(Table1[[#This Row],[Call Gex]]+Table1[[#This Row],[Put Gex]])</f>
        <v>0</v>
      </c>
      <c r="AC197">
        <f ca="1">Table1[[#This Row],[call delta adj]]+Table1[[#This Row],[put delta adj]]</f>
        <v>0</v>
      </c>
      <c r="AD197">
        <f ca="1">Table1[[#This Row],[Put Gex]]*Table1[[#This Row],[DeltaP]]*-1</f>
        <v>0</v>
      </c>
      <c r="AE197">
        <f ca="1">Table1[[#This Row],[Call Gex]]*Table1[[#This Row],[DeltaC]]</f>
        <v>0</v>
      </c>
      <c r="AF197">
        <f>IF(Table1[[#This Row],[DeltaC]]-ABS(Table1[[#This Row],[DeltaP]])="0","0.01",Table1[[#This Row],[DeltaC]]-ABS(Table1[[#This Row],[DeltaP]]))</f>
        <v>0</v>
      </c>
      <c r="AG197" t="e">
        <f ca="1">((LN($A$4/Table1[[#This Row],[Strike]]) + (0.411 + 0.5 * Table1[[#This Row],[IV Calc P]]^2) *Table1[[#This Row],[T]])) / (Table1[[#This Row],[IV Calc P]] * SQRT(Table1[[#This Row],[T]]))</f>
        <v>#DIV/0!</v>
      </c>
      <c r="AH197" t="e">
        <f ca="1">(LN($A$4/Table1[[#This Row],[Strike]]) + (0.411-0 + 0.5 * Table1[[#This Row],[IV Calc C]]^2) *Table1[[#This Row],[T]]) / (Table1[[#This Row],[IV Calc C]] * SQRT(Table1[[#This Row],[T]]))</f>
        <v>#DIV/0!</v>
      </c>
      <c r="AI197" t="e">
        <f ca="1">(EXP(-(AG197^2)/2)/SQRT(2*PI())*EXP(0*SQRT(Table1[[#This Row],[T]]))/$A$4*18%*SQRT(SQRT(Table1[[#This Row],[T]])))</f>
        <v>#DIV/0!</v>
      </c>
      <c r="AJ197" t="e">
        <f ca="1">(EXP(-(AH197^2)/2)/SQRT(2*PI())*EXP(0*SQRT(Table1[[#This Row],[T]]))/$A$4*18%*SQRT(SQRT(Table1[[#This Row],[T]])))</f>
        <v>#DIV/0!</v>
      </c>
      <c r="AK197" t="e">
        <f ca="1">Table1[[#This Row],[Call D1]]-Table1[[#This Row],[IV Calc C]]*SQRT(Table1[[#This Row],[T]])</f>
        <v>#DIV/0!</v>
      </c>
      <c r="AL197" t="e">
        <f ca="1">Table1[[#This Row],[Put D1]]-Table1[[#This Row],[IV Calc P]]*SQRT(Table1[[#This Row],[T]])</f>
        <v>#DIV/0!</v>
      </c>
      <c r="AM197" t="e">
        <f ca="1">EXP(-0.5*Table1[[#This Row],[Call D1]]^2)/SQRT(2*PI())</f>
        <v>#DIV/0!</v>
      </c>
      <c r="AN197" t="e">
        <f ca="1">EXP(-0.5*Table1[[#This Row],[Put D1]]^2)/SQRT(2*PI())</f>
        <v>#DIV/0!</v>
      </c>
      <c r="AO197">
        <f ca="1">IFERROR((EXP(0*Table1[[#This Row],[T]])*Table1[[#This Row],[call N(d1)]]*(Table1[[#This Row],[call d2]]/Table1[[#This Row],[IV Calc C]]))*Table1[[#This Row],[Open.Int]]*Table1[[#This Row],[DeltaC]],0)</f>
        <v>0</v>
      </c>
      <c r="AP197">
        <f ca="1">IFERROR((EXP(0*Table1[[#This Row],[T]])*Table1[[#This Row],[put N(d1)]]*(Table1[[#This Row],[put d2]]/Table1[[#This Row],[IV Calc P]]))*Table1[[#This Row],[Open.Int8]]*Table1[[#This Row],[DeltaP]]*-1,0)</f>
        <v>0</v>
      </c>
      <c r="AQ197">
        <f ca="1">((Table1[[#This Row],[call vanna]]+Table1[[#This Row],[put vanna]])*$A$4)</f>
        <v>0</v>
      </c>
      <c r="AR19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7" s="9" t="str" cm="1">
        <f t="array" ref="AT197">_xlfn.IFS(     $M$1="SPX","SPXW",     $M$1="RUT","RUTW",  $M$1="NDX","NDXP",   TRUE,$M$1 )</f>
        <v>SPXW</v>
      </c>
      <c r="AU197" s="2">
        <f t="shared" si="17"/>
        <v>6915</v>
      </c>
      <c r="AV197" t="str">
        <f t="shared" si="18"/>
        <v>260123</v>
      </c>
      <c r="AW197" s="19">
        <f ca="1">IFERROR((EXP(0*Table1[[#This Row],[T]])*Table1[[#This Row],[put N(d1)]]*(Table1[[#This Row],[put d2]]/Table1[[#This Row],[IV Calc P]]))*Table1[[#This Row],[Open.Int8]]*Table1[[#This Row],[DeltaP]]*-1,0)</f>
        <v>0</v>
      </c>
      <c r="AX197">
        <f ca="1">IFERROR((EXP(0*Table1[[#This Row],[T]])*Table1[[#This Row],[call N(d1)]]*(Table1[[#This Row],[call d2]]/Table1[[#This Row],[IV Calc C]]))*Table1[[#This Row],[Open.Int]]*Table1[[#This Row],[DeltaC]],0)</f>
        <v>0</v>
      </c>
      <c r="AY19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7">
        <f>((Table1[[#This Row],[High C]]+Table1[[#This Row],[Low C]])/2)*Table1[[#This Row],[gammac]]*Table1[[#This Row],[Volume]]</f>
        <v>0</v>
      </c>
      <c r="BD197">
        <f>((Table1[[#This Row],[High P]]+Table1[[#This Row],[Low P]])/2)*Table1[[#This Row],[gammap]]*Table1[[#This Row],[Volume9]]*-1</f>
        <v>0</v>
      </c>
      <c r="BE197">
        <f>(Table1[[#This Row],[SgammaC]]+Table1[[#This Row],[SgammaP]])*$A$4*-100</f>
        <v>0</v>
      </c>
      <c r="BF197">
        <f>Table1[[#This Row],[DEXc]]+Table1[[#This Row],[DEXp]]</f>
        <v>0</v>
      </c>
      <c r="BG197">
        <f>IFERROR(Table1[[#This Row],[DeltaC]]*Table1[[#This Row],[Open.Int]]*$A$4,0)</f>
        <v>0</v>
      </c>
      <c r="BH197">
        <f>IFERROR(Table1[[#This Row],[DeltaP]]*Table1[[#This Row],[Open.Int8]]*$A$4,0)</f>
        <v>0</v>
      </c>
      <c r="BI19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7">
        <f ca="1">Table1[[#This Row],[Charmc]]+Table1[[#This Row],[Charmp]]</f>
        <v>0</v>
      </c>
      <c r="BL19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7" s="78">
        <f ca="1">Table1[[#This Row],[call helper]]+Table1[[#This Row],[put helper]]</f>
        <v>0</v>
      </c>
      <c r="BP197" t="str">
        <f>RTD("tos.rtd", , "STRIKE", "."&amp;Table1[[#This Row],[Ticker]]&amp;Table1[[#This Row],[Expiry]]&amp;""&amp;"C"&amp;Table1[[#This Row],[Spot]]+Table1[[#This Row],[step]])</f>
        <v>N/A</v>
      </c>
    </row>
    <row r="198" spans="1:68" x14ac:dyDescent="0.25">
      <c r="A198">
        <f t="shared" ca="1" si="14"/>
        <v>2.5814307458086375E-3</v>
      </c>
      <c r="C198" s="17"/>
      <c r="D198" t="b">
        <f>IF(
    ISNUMBER(Table1[[#This Row],[Strike]]),RTD("tos.rtd", , "OPEN_INT", "."&amp;Table1[[#This Row],[Ticker]]&amp;Table1[[#This Row],[Expiry]]&amp;""&amp;"C"&amp;Table1[[#This Row],[Strike]]))</f>
        <v>0</v>
      </c>
      <c r="E19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8" t="b">
        <f>IF(
    ISNUMBER(Table1[[#This Row],[Strike]]),RTD("tos.rtd", , "DELTA", "."&amp;Table1[[#This Row],[Ticker]]&amp;Table1[[#This Row],[Expiry]]&amp;""&amp;"C"&amp;Table1[[#This Row],[Strike]]))</f>
        <v>0</v>
      </c>
      <c r="H198" s="17" t="b" cm="1">
        <f t="array" ref="H198">IF(
    ISNUMBER(Table1[[#This Row],[Strike]]),IndividualLegIVCore($A$4, Table1[[#This Row],[Strike]], 0.0411, Table1[[#This Row],[T]], ((Table1[[#This Row],[BIDC]]+Table1[[#This Row],[ASKC]])/2), TRUE))</f>
        <v>0</v>
      </c>
      <c r="I198" t="b">
        <f>IF(
    ISNUMBER(Table1[[#This Row],[Strike]]),RTD("tos.rtd", , "BID", "."&amp;Table1[[#This Row],[Ticker]]&amp;Table1[[#This Row],[Expiry]]&amp;""&amp;"C"&amp;Table1[[#This Row],[Strike]]))</f>
        <v>0</v>
      </c>
      <c r="J198" t="b">
        <f>IF(
    ISNUMBER(Table1[[#This Row],[Strike]]),RTD("tos.rtd", , "ASK", "."&amp;Table1[[#This Row],[Ticker]]&amp;Table1[[#This Row],[Expiry]]&amp;""&amp;"C"&amp;Table1[[#This Row],[Strike]]))</f>
        <v>0</v>
      </c>
      <c r="K19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8" s="17" cm="1">
        <f t="array" aca="1" ref="L19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8" s="1">
        <f t="shared" si="15"/>
        <v>46045</v>
      </c>
      <c r="N198" t="b">
        <f t="shared" si="16"/>
        <v>0</v>
      </c>
      <c r="P198" s="17" t="b" cm="1">
        <f t="array" ref="P198">IF(
    ISNUMBER(Table1[[#This Row],[Strike]]),IndividualLegIVCore($A$4, Table1[[#This Row],[Strike]], 0.0411, Table1[[#This Row],[T]], ((Table1[[#This Row],[BIDP]]+Table1[[#This Row],[ASKP]])/2), FALSE))</f>
        <v>0</v>
      </c>
      <c r="Q198" t="b">
        <f>IF(
    ISNUMBER(Table1[[#This Row],[Strike]]),RTD("tos.rtd", , "BID", "."&amp;Table1[[#This Row],[Ticker]]&amp;Table1[[#This Row],[Expiry]]&amp;""&amp;"P"&amp;Table1[[#This Row],[Strike]]))</f>
        <v>0</v>
      </c>
      <c r="R198" t="b">
        <f>IF(
    ISNUMBER(Table1[[#This Row],[Strike]]),RTD("tos.rtd", , "ASK", "."&amp;Table1[[#This Row],[Ticker]]&amp;Table1[[#This Row],[Expiry]]&amp;""&amp;"P"&amp;Table1[[#This Row],[Strike]]))</f>
        <v>0</v>
      </c>
      <c r="S198" s="17"/>
      <c r="T198" t="b">
        <f>IF(
    ISNUMBER(Table1[[#This Row],[Strike]]),RTD("tos.rtd", , "OPEN_INT", "."&amp;Table1[[#This Row],[Ticker]]&amp;Table1[[#This Row],[Expiry]]&amp;""&amp;"P"&amp;Table1[[#This Row],[Strike]]))</f>
        <v>0</v>
      </c>
      <c r="U19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8" t="b">
        <f>IF(
    ISNUMBER(Table1[[#This Row],[Strike]]),RTD("tos.rtd", , "DELTA", "."&amp;Table1[[#This Row],[Ticker]]&amp;Table1[[#This Row],[Expiry]]&amp;""&amp;"P"&amp;Table1[[#This Row],[Strike]]))</f>
        <v>0</v>
      </c>
      <c r="Y198" s="19">
        <f>44* IF($M$1="NDX", 10, IF(OR($M$1="SPX", $M$1="RUT"), 2, 1))</f>
        <v>88</v>
      </c>
      <c r="Z198">
        <f ca="1">IFERROR(Table1[[#This Row],[call gamma]]*(Table1[[#This Row],[Open.Int]])*$A$4^2,0)</f>
        <v>0</v>
      </c>
      <c r="AA198">
        <f ca="1">IFERROR(((Table1[[#This Row],[Open.Int8]])*Table1[[#This Row],[Put gamma]])*-1*$A$4^2,0)</f>
        <v>0</v>
      </c>
      <c r="AB198">
        <f ca="1">(Table1[[#This Row],[Call Gex]]+Table1[[#This Row],[Put Gex]])</f>
        <v>0</v>
      </c>
      <c r="AC198">
        <f ca="1">Table1[[#This Row],[call delta adj]]+Table1[[#This Row],[put delta adj]]</f>
        <v>0</v>
      </c>
      <c r="AD198">
        <f ca="1">Table1[[#This Row],[Put Gex]]*Table1[[#This Row],[DeltaP]]*-1</f>
        <v>0</v>
      </c>
      <c r="AE198">
        <f ca="1">Table1[[#This Row],[Call Gex]]*Table1[[#This Row],[DeltaC]]</f>
        <v>0</v>
      </c>
      <c r="AF198">
        <f>IF(Table1[[#This Row],[DeltaC]]-ABS(Table1[[#This Row],[DeltaP]])="0","0.01",Table1[[#This Row],[DeltaC]]-ABS(Table1[[#This Row],[DeltaP]]))</f>
        <v>0</v>
      </c>
      <c r="AG198" t="e">
        <f ca="1">((LN($A$4/Table1[[#This Row],[Strike]]) + (0.411 + 0.5 * Table1[[#This Row],[IV Calc P]]^2) *Table1[[#This Row],[T]])) / (Table1[[#This Row],[IV Calc P]] * SQRT(Table1[[#This Row],[T]]))</f>
        <v>#DIV/0!</v>
      </c>
      <c r="AH198" t="e">
        <f ca="1">(LN($A$4/Table1[[#This Row],[Strike]]) + (0.411-0 + 0.5 * Table1[[#This Row],[IV Calc C]]^2) *Table1[[#This Row],[T]]) / (Table1[[#This Row],[IV Calc C]] * SQRT(Table1[[#This Row],[T]]))</f>
        <v>#DIV/0!</v>
      </c>
      <c r="AI198" t="e">
        <f ca="1">(EXP(-(AG198^2)/2)/SQRT(2*PI())*EXP(0*SQRT(Table1[[#This Row],[T]]))/$A$4*18%*SQRT(SQRT(Table1[[#This Row],[T]])))</f>
        <v>#DIV/0!</v>
      </c>
      <c r="AJ198" t="e">
        <f ca="1">(EXP(-(AH198^2)/2)/SQRT(2*PI())*EXP(0*SQRT(Table1[[#This Row],[T]]))/$A$4*18%*SQRT(SQRT(Table1[[#This Row],[T]])))</f>
        <v>#DIV/0!</v>
      </c>
      <c r="AK198" t="e">
        <f ca="1">Table1[[#This Row],[Call D1]]-Table1[[#This Row],[IV Calc C]]*SQRT(Table1[[#This Row],[T]])</f>
        <v>#DIV/0!</v>
      </c>
      <c r="AL198" t="e">
        <f ca="1">Table1[[#This Row],[Put D1]]-Table1[[#This Row],[IV Calc P]]*SQRT(Table1[[#This Row],[T]])</f>
        <v>#DIV/0!</v>
      </c>
      <c r="AM198" t="e">
        <f ca="1">EXP(-0.5*Table1[[#This Row],[Call D1]]^2)/SQRT(2*PI())</f>
        <v>#DIV/0!</v>
      </c>
      <c r="AN198" t="e">
        <f ca="1">EXP(-0.5*Table1[[#This Row],[Put D1]]^2)/SQRT(2*PI())</f>
        <v>#DIV/0!</v>
      </c>
      <c r="AO198">
        <f ca="1">IFERROR((EXP(0*Table1[[#This Row],[T]])*Table1[[#This Row],[call N(d1)]]*(Table1[[#This Row],[call d2]]/Table1[[#This Row],[IV Calc C]]))*Table1[[#This Row],[Open.Int]]*Table1[[#This Row],[DeltaC]],0)</f>
        <v>0</v>
      </c>
      <c r="AP198">
        <f ca="1">IFERROR((EXP(0*Table1[[#This Row],[T]])*Table1[[#This Row],[put N(d1)]]*(Table1[[#This Row],[put d2]]/Table1[[#This Row],[IV Calc P]]))*Table1[[#This Row],[Open.Int8]]*Table1[[#This Row],[DeltaP]]*-1,0)</f>
        <v>0</v>
      </c>
      <c r="AQ198">
        <f ca="1">((Table1[[#This Row],[call vanna]]+Table1[[#This Row],[put vanna]])*$A$4)</f>
        <v>0</v>
      </c>
      <c r="AR19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8" s="9" t="str" cm="1">
        <f t="array" ref="AT198">_xlfn.IFS(     $M$1="SPX","SPXW",     $M$1="RUT","RUTW",  $M$1="NDX","NDXP",   TRUE,$M$1 )</f>
        <v>SPXW</v>
      </c>
      <c r="AU198" s="2">
        <f t="shared" si="17"/>
        <v>6915</v>
      </c>
      <c r="AV198" t="str">
        <f t="shared" si="18"/>
        <v>260123</v>
      </c>
      <c r="AW198" s="19">
        <f ca="1">IFERROR((EXP(0*Table1[[#This Row],[T]])*Table1[[#This Row],[put N(d1)]]*(Table1[[#This Row],[put d2]]/Table1[[#This Row],[IV Calc P]]))*Table1[[#This Row],[Open.Int8]]*Table1[[#This Row],[DeltaP]]*-1,0)</f>
        <v>0</v>
      </c>
      <c r="AX198">
        <f ca="1">IFERROR((EXP(0*Table1[[#This Row],[T]])*Table1[[#This Row],[call N(d1)]]*(Table1[[#This Row],[call d2]]/Table1[[#This Row],[IV Calc C]]))*Table1[[#This Row],[Open.Int]]*Table1[[#This Row],[DeltaC]],0)</f>
        <v>0</v>
      </c>
      <c r="AY19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8">
        <f>((Table1[[#This Row],[High C]]+Table1[[#This Row],[Low C]])/2)*Table1[[#This Row],[gammac]]*Table1[[#This Row],[Volume]]</f>
        <v>0</v>
      </c>
      <c r="BD198">
        <f>((Table1[[#This Row],[High P]]+Table1[[#This Row],[Low P]])/2)*Table1[[#This Row],[gammap]]*Table1[[#This Row],[Volume9]]*-1</f>
        <v>0</v>
      </c>
      <c r="BE198">
        <f>(Table1[[#This Row],[SgammaC]]+Table1[[#This Row],[SgammaP]])*$A$4*-100</f>
        <v>0</v>
      </c>
      <c r="BF198">
        <f>Table1[[#This Row],[DEXc]]+Table1[[#This Row],[DEXp]]</f>
        <v>0</v>
      </c>
      <c r="BG198">
        <f>IFERROR(Table1[[#This Row],[DeltaC]]*Table1[[#This Row],[Open.Int]]*$A$4,0)</f>
        <v>0</v>
      </c>
      <c r="BH198">
        <f>IFERROR(Table1[[#This Row],[DeltaP]]*Table1[[#This Row],[Open.Int8]]*$A$4,0)</f>
        <v>0</v>
      </c>
      <c r="BI19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8">
        <f ca="1">Table1[[#This Row],[Charmc]]+Table1[[#This Row],[Charmp]]</f>
        <v>0</v>
      </c>
      <c r="BL19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8" s="78">
        <f ca="1">Table1[[#This Row],[call helper]]+Table1[[#This Row],[put helper]]</f>
        <v>0</v>
      </c>
      <c r="BP198" t="str">
        <f>RTD("tos.rtd", , "STRIKE", "."&amp;Table1[[#This Row],[Ticker]]&amp;Table1[[#This Row],[Expiry]]&amp;""&amp;"C"&amp;Table1[[#This Row],[Spot]]+Table1[[#This Row],[step]])</f>
        <v>N/A</v>
      </c>
    </row>
    <row r="199" spans="1:68" x14ac:dyDescent="0.25">
      <c r="A199">
        <f t="shared" ca="1" si="14"/>
        <v>2.5814307458086375E-3</v>
      </c>
      <c r="C199" s="17"/>
      <c r="D199" t="b">
        <f>IF(
    ISNUMBER(Table1[[#This Row],[Strike]]),RTD("tos.rtd", , "OPEN_INT", "."&amp;Table1[[#This Row],[Ticker]]&amp;Table1[[#This Row],[Expiry]]&amp;""&amp;"C"&amp;Table1[[#This Row],[Strike]]))</f>
        <v>0</v>
      </c>
      <c r="E19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9" t="b">
        <f>IF(
    ISNUMBER(Table1[[#This Row],[Strike]]),RTD("tos.rtd", , "DELTA", "."&amp;Table1[[#This Row],[Ticker]]&amp;Table1[[#This Row],[Expiry]]&amp;""&amp;"C"&amp;Table1[[#This Row],[Strike]]))</f>
        <v>0</v>
      </c>
      <c r="H199" s="17" t="b" cm="1">
        <f t="array" ref="H199">IF(
    ISNUMBER(Table1[[#This Row],[Strike]]),IndividualLegIVCore($A$4, Table1[[#This Row],[Strike]], 0.0411, Table1[[#This Row],[T]], ((Table1[[#This Row],[BIDC]]+Table1[[#This Row],[ASKC]])/2), TRUE))</f>
        <v>0</v>
      </c>
      <c r="I199" t="b">
        <f>IF(
    ISNUMBER(Table1[[#This Row],[Strike]]),RTD("tos.rtd", , "BID", "."&amp;Table1[[#This Row],[Ticker]]&amp;Table1[[#This Row],[Expiry]]&amp;""&amp;"C"&amp;Table1[[#This Row],[Strike]]))</f>
        <v>0</v>
      </c>
      <c r="J199" t="b">
        <f>IF(
    ISNUMBER(Table1[[#This Row],[Strike]]),RTD("tos.rtd", , "ASK", "."&amp;Table1[[#This Row],[Ticker]]&amp;Table1[[#This Row],[Expiry]]&amp;""&amp;"C"&amp;Table1[[#This Row],[Strike]]))</f>
        <v>0</v>
      </c>
      <c r="K19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9" s="17" cm="1">
        <f t="array" aca="1" ref="L19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9" s="1">
        <f t="shared" si="15"/>
        <v>46045</v>
      </c>
      <c r="N199" t="b">
        <f t="shared" si="16"/>
        <v>0</v>
      </c>
      <c r="P199" s="17" t="b" cm="1">
        <f t="array" ref="P199">IF(
    ISNUMBER(Table1[[#This Row],[Strike]]),IndividualLegIVCore($A$4, Table1[[#This Row],[Strike]], 0.0411, Table1[[#This Row],[T]], ((Table1[[#This Row],[BIDP]]+Table1[[#This Row],[ASKP]])/2), FALSE))</f>
        <v>0</v>
      </c>
      <c r="Q199" t="b">
        <f>IF(
    ISNUMBER(Table1[[#This Row],[Strike]]),RTD("tos.rtd", , "BID", "."&amp;Table1[[#This Row],[Ticker]]&amp;Table1[[#This Row],[Expiry]]&amp;""&amp;"P"&amp;Table1[[#This Row],[Strike]]))</f>
        <v>0</v>
      </c>
      <c r="R199" t="b">
        <f>IF(
    ISNUMBER(Table1[[#This Row],[Strike]]),RTD("tos.rtd", , "ASK", "."&amp;Table1[[#This Row],[Ticker]]&amp;Table1[[#This Row],[Expiry]]&amp;""&amp;"P"&amp;Table1[[#This Row],[Strike]]))</f>
        <v>0</v>
      </c>
      <c r="S199" s="17"/>
      <c r="T199" t="b">
        <f>IF(
    ISNUMBER(Table1[[#This Row],[Strike]]),RTD("tos.rtd", , "OPEN_INT", "."&amp;Table1[[#This Row],[Ticker]]&amp;Table1[[#This Row],[Expiry]]&amp;""&amp;"P"&amp;Table1[[#This Row],[Strike]]))</f>
        <v>0</v>
      </c>
      <c r="U19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9" t="b">
        <f>IF(
    ISNUMBER(Table1[[#This Row],[Strike]]),RTD("tos.rtd", , "DELTA", "."&amp;Table1[[#This Row],[Ticker]]&amp;Table1[[#This Row],[Expiry]]&amp;""&amp;"P"&amp;Table1[[#This Row],[Strike]]))</f>
        <v>0</v>
      </c>
      <c r="Y199" s="19">
        <f>44.5* IF($M$1="NDX", 10, IF(OR($M$1="SPX", $M$1="RUT"), 2, 1))</f>
        <v>89</v>
      </c>
      <c r="Z199">
        <f ca="1">IFERROR(Table1[[#This Row],[call gamma]]*(Table1[[#This Row],[Open.Int]])*$A$4^2,0)</f>
        <v>0</v>
      </c>
      <c r="AA199">
        <f ca="1">IFERROR(((Table1[[#This Row],[Open.Int8]])*Table1[[#This Row],[Put gamma]])*-1*$A$4^2,0)</f>
        <v>0</v>
      </c>
      <c r="AB199">
        <f ca="1">(Table1[[#This Row],[Call Gex]]+Table1[[#This Row],[Put Gex]])</f>
        <v>0</v>
      </c>
      <c r="AC199">
        <f ca="1">Table1[[#This Row],[call delta adj]]+Table1[[#This Row],[put delta adj]]</f>
        <v>0</v>
      </c>
      <c r="AD199">
        <f ca="1">Table1[[#This Row],[Put Gex]]*Table1[[#This Row],[DeltaP]]*-1</f>
        <v>0</v>
      </c>
      <c r="AE199">
        <f ca="1">Table1[[#This Row],[Call Gex]]*Table1[[#This Row],[DeltaC]]</f>
        <v>0</v>
      </c>
      <c r="AF199">
        <f>IF(Table1[[#This Row],[DeltaC]]-ABS(Table1[[#This Row],[DeltaP]])="0","0.01",Table1[[#This Row],[DeltaC]]-ABS(Table1[[#This Row],[DeltaP]]))</f>
        <v>0</v>
      </c>
      <c r="AG199" t="e">
        <f ca="1">((LN($A$4/Table1[[#This Row],[Strike]]) + (0.411 + 0.5 * Table1[[#This Row],[IV Calc P]]^2) *Table1[[#This Row],[T]])) / (Table1[[#This Row],[IV Calc P]] * SQRT(Table1[[#This Row],[T]]))</f>
        <v>#DIV/0!</v>
      </c>
      <c r="AH199" t="e">
        <f ca="1">(LN($A$4/Table1[[#This Row],[Strike]]) + (0.411-0 + 0.5 * Table1[[#This Row],[IV Calc C]]^2) *Table1[[#This Row],[T]]) / (Table1[[#This Row],[IV Calc C]] * SQRT(Table1[[#This Row],[T]]))</f>
        <v>#DIV/0!</v>
      </c>
      <c r="AI199" t="e">
        <f ca="1">(EXP(-(AG199^2)/2)/SQRT(2*PI())*EXP(0*SQRT(Table1[[#This Row],[T]]))/$A$4*18%*SQRT(SQRT(Table1[[#This Row],[T]])))</f>
        <v>#DIV/0!</v>
      </c>
      <c r="AJ199" t="e">
        <f ca="1">(EXP(-(AH199^2)/2)/SQRT(2*PI())*EXP(0*SQRT(Table1[[#This Row],[T]]))/$A$4*18%*SQRT(SQRT(Table1[[#This Row],[T]])))</f>
        <v>#DIV/0!</v>
      </c>
      <c r="AK199" t="e">
        <f ca="1">Table1[[#This Row],[Call D1]]-Table1[[#This Row],[IV Calc C]]*SQRT(Table1[[#This Row],[T]])</f>
        <v>#DIV/0!</v>
      </c>
      <c r="AL199" t="e">
        <f ca="1">Table1[[#This Row],[Put D1]]-Table1[[#This Row],[IV Calc P]]*SQRT(Table1[[#This Row],[T]])</f>
        <v>#DIV/0!</v>
      </c>
      <c r="AM199" t="e">
        <f ca="1">EXP(-0.5*Table1[[#This Row],[Call D1]]^2)/SQRT(2*PI())</f>
        <v>#DIV/0!</v>
      </c>
      <c r="AN199" t="e">
        <f ca="1">EXP(-0.5*Table1[[#This Row],[Put D1]]^2)/SQRT(2*PI())</f>
        <v>#DIV/0!</v>
      </c>
      <c r="AO199">
        <f ca="1">IFERROR((EXP(0*Table1[[#This Row],[T]])*Table1[[#This Row],[call N(d1)]]*(Table1[[#This Row],[call d2]]/Table1[[#This Row],[IV Calc C]]))*Table1[[#This Row],[Open.Int]]*Table1[[#This Row],[DeltaC]],0)</f>
        <v>0</v>
      </c>
      <c r="AP199">
        <f ca="1">IFERROR((EXP(0*Table1[[#This Row],[T]])*Table1[[#This Row],[put N(d1)]]*(Table1[[#This Row],[put d2]]/Table1[[#This Row],[IV Calc P]]))*Table1[[#This Row],[Open.Int8]]*Table1[[#This Row],[DeltaP]]*-1,0)</f>
        <v>0</v>
      </c>
      <c r="AQ199">
        <f ca="1">((Table1[[#This Row],[call vanna]]+Table1[[#This Row],[put vanna]])*$A$4)</f>
        <v>0</v>
      </c>
      <c r="AR19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9" s="9" t="str" cm="1">
        <f t="array" ref="AT199">_xlfn.IFS(     $M$1="SPX","SPXW",     $M$1="RUT","RUTW",  $M$1="NDX","NDXP",   TRUE,$M$1 )</f>
        <v>SPXW</v>
      </c>
      <c r="AU199" s="2">
        <f t="shared" si="17"/>
        <v>6915</v>
      </c>
      <c r="AV199" t="str">
        <f t="shared" si="18"/>
        <v>260123</v>
      </c>
      <c r="AW199" s="19">
        <f ca="1">IFERROR((EXP(0*Table1[[#This Row],[T]])*Table1[[#This Row],[put N(d1)]]*(Table1[[#This Row],[put d2]]/Table1[[#This Row],[IV Calc P]]))*Table1[[#This Row],[Open.Int8]]*Table1[[#This Row],[DeltaP]]*-1,0)</f>
        <v>0</v>
      </c>
      <c r="AX199">
        <f ca="1">IFERROR((EXP(0*Table1[[#This Row],[T]])*Table1[[#This Row],[call N(d1)]]*(Table1[[#This Row],[call d2]]/Table1[[#This Row],[IV Calc C]]))*Table1[[#This Row],[Open.Int]]*Table1[[#This Row],[DeltaC]],0)</f>
        <v>0</v>
      </c>
      <c r="AY19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9">
        <f>((Table1[[#This Row],[High C]]+Table1[[#This Row],[Low C]])/2)*Table1[[#This Row],[gammac]]*Table1[[#This Row],[Volume]]</f>
        <v>0</v>
      </c>
      <c r="BD199">
        <f>((Table1[[#This Row],[High P]]+Table1[[#This Row],[Low P]])/2)*Table1[[#This Row],[gammap]]*Table1[[#This Row],[Volume9]]*-1</f>
        <v>0</v>
      </c>
      <c r="BE199">
        <f>(Table1[[#This Row],[SgammaC]]+Table1[[#This Row],[SgammaP]])*$A$4*-100</f>
        <v>0</v>
      </c>
      <c r="BF199">
        <f>Table1[[#This Row],[DEXc]]+Table1[[#This Row],[DEXp]]</f>
        <v>0</v>
      </c>
      <c r="BG199">
        <f>IFERROR(Table1[[#This Row],[DeltaC]]*Table1[[#This Row],[Open.Int]]*$A$4,0)</f>
        <v>0</v>
      </c>
      <c r="BH199">
        <f>IFERROR(Table1[[#This Row],[DeltaP]]*Table1[[#This Row],[Open.Int8]]*$A$4,0)</f>
        <v>0</v>
      </c>
      <c r="BI19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9">
        <f ca="1">Table1[[#This Row],[Charmc]]+Table1[[#This Row],[Charmp]]</f>
        <v>0</v>
      </c>
      <c r="BL19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9" s="78">
        <f ca="1">Table1[[#This Row],[call helper]]+Table1[[#This Row],[put helper]]</f>
        <v>0</v>
      </c>
      <c r="BP199" t="str">
        <f>RTD("tos.rtd", , "STRIKE", "."&amp;Table1[[#This Row],[Ticker]]&amp;Table1[[#This Row],[Expiry]]&amp;""&amp;"C"&amp;Table1[[#This Row],[Spot]]+Table1[[#This Row],[step]])</f>
        <v>N/A</v>
      </c>
    </row>
    <row r="200" spans="1:68" x14ac:dyDescent="0.25">
      <c r="A200">
        <f t="shared" ca="1" si="14"/>
        <v>2.5814307458086375E-3</v>
      </c>
      <c r="C200" s="17"/>
      <c r="D200">
        <f>IF(
    ISNUMBER(Table1[[#This Row],[Strike]]),RTD("tos.rtd", , "OPEN_INT", "."&amp;Table1[[#This Row],[Ticker]]&amp;Table1[[#This Row],[Expiry]]&amp;""&amp;"C"&amp;Table1[[#This Row],[Strike]]))</f>
        <v>1553</v>
      </c>
      <c r="E20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4036</v>
      </c>
      <c r="G200">
        <f>IF(
    ISNUMBER(Table1[[#This Row],[Strike]]),RTD("tos.rtd", , "DELTA", "."&amp;Table1[[#This Row],[Ticker]]&amp;Table1[[#This Row],[Expiry]]&amp;""&amp;"C"&amp;Table1[[#This Row],[Strike]]))</f>
        <v>0.01</v>
      </c>
      <c r="H200" s="17" cm="1">
        <f t="array" aca="1" ref="H200" ca="1">IF(
    ISNUMBER(Table1[[#This Row],[Strike]]),IndividualLegIVCore($A$4, Table1[[#This Row],[Strike]], 0.0411, Table1[[#This Row],[T]], ((Table1[[#This Row],[BIDC]]+Table1[[#This Row],[ASKC]])/2), TRUE))</f>
        <v>0.10319395674927824</v>
      </c>
      <c r="I200">
        <f>IF(
    ISNUMBER(Table1[[#This Row],[Strike]]),RTD("tos.rtd", , "BID", "."&amp;Table1[[#This Row],[Ticker]]&amp;Table1[[#This Row],[Expiry]]&amp;""&amp;"C"&amp;Table1[[#This Row],[Strike]]))</f>
        <v>0.05</v>
      </c>
      <c r="J200">
        <f>IF(
    ISNUMBER(Table1[[#This Row],[Strike]]),RTD("tos.rtd", , "ASK", "."&amp;Table1[[#This Row],[Ticker]]&amp;Table1[[#This Row],[Expiry]]&amp;""&amp;"C"&amp;Table1[[#This Row],[Strike]]))</f>
        <v>0.1</v>
      </c>
      <c r="K20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0.10319395674927824</v>
      </c>
      <c r="L200" s="17" cm="1">
        <f t="array" aca="1" ref="L200" ca="1">CubicSplineIVSmile($A$4, Table1[[#This Row],[Strike]], 0.0411, Table1[[#This Row],[T]], (Table1[[#This Row],[BIDC]]+Table1[[#This Row],[ASKC]])/2, (Table1[[#This Row],[BIDP]]+Table1[[#This Row],[ASKP]])/2, Table1[Strike], Table1[IV Calc AVG])</f>
        <v>0.2169778410067377</v>
      </c>
      <c r="M200" s="1">
        <f t="shared" si="15"/>
        <v>46045</v>
      </c>
      <c r="N200">
        <f t="shared" si="16"/>
        <v>7005</v>
      </c>
      <c r="P200" s="17" cm="1">
        <f t="array" aca="1" ref="P200" ca="1">IF(
    ISNUMBER(Table1[[#This Row],[Strike]]),IndividualLegIVCore($A$4, Table1[[#This Row],[Strike]], 0.0411, Table1[[#This Row],[T]], ((Table1[[#This Row],[BIDP]]+Table1[[#This Row],[ASKP]])/2), FALSE))</f>
        <v>0.22405106341752726</v>
      </c>
      <c r="Q200">
        <f>IF(
    ISNUMBER(Table1[[#This Row],[Strike]]),RTD("tos.rtd", , "BID", "."&amp;Table1[[#This Row],[Ticker]]&amp;Table1[[#This Row],[Expiry]]&amp;""&amp;"P"&amp;Table1[[#This Row],[Strike]]))</f>
        <v>93.4</v>
      </c>
      <c r="R200">
        <f>IF(
    ISNUMBER(Table1[[#This Row],[Strike]]),RTD("tos.rtd", , "ASK", "."&amp;Table1[[#This Row],[Ticker]]&amp;Table1[[#This Row],[Expiry]]&amp;""&amp;"P"&amp;Table1[[#This Row],[Strike]]))</f>
        <v>98.3</v>
      </c>
      <c r="S200" s="17"/>
      <c r="T200">
        <f>IF(
    ISNUMBER(Table1[[#This Row],[Strike]]),RTD("tos.rtd", , "OPEN_INT", "."&amp;Table1[[#This Row],[Ticker]]&amp;Table1[[#This Row],[Expiry]]&amp;""&amp;"P"&amp;Table1[[#This Row],[Strike]]))</f>
        <v>26</v>
      </c>
      <c r="U20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9</v>
      </c>
      <c r="W200">
        <f>IF(
    ISNUMBER(Table1[[#This Row],[Strike]]),RTD("tos.rtd", , "DELTA", "."&amp;Table1[[#This Row],[Ticker]]&amp;Table1[[#This Row],[Expiry]]&amp;""&amp;"P"&amp;Table1[[#This Row],[Strike]]))</f>
        <v>-0.87</v>
      </c>
      <c r="Y200" s="20">
        <f>45* IF($M$1="NDX", 10, IF(OR($M$1="SPX", $M$1="RUT"), 2, 1))</f>
        <v>90</v>
      </c>
      <c r="Z200">
        <f ca="1">IFERROR(Table1[[#This Row],[call gamma]]*(Table1[[#This Row],[Open.Int]])*$A$4^2,0)</f>
        <v>12145.305466268219</v>
      </c>
      <c r="AA200">
        <f ca="1">IFERROR(((Table1[[#This Row],[Open.Int8]])*Table1[[#This Row],[Put gamma]])*-1*$A$4^2,0)</f>
        <v>-1662.3796149134603</v>
      </c>
      <c r="AB200">
        <f ca="1">(Table1[[#This Row],[Call Gex]]+Table1[[#This Row],[Put Gex]])</f>
        <v>10482.925851354759</v>
      </c>
      <c r="AC200">
        <f ca="1">Table1[[#This Row],[call delta adj]]+Table1[[#This Row],[put delta adj]]</f>
        <v>-1324.8172103120282</v>
      </c>
      <c r="AD200">
        <f ca="1">Table1[[#This Row],[Put Gex]]*Table1[[#This Row],[DeltaP]]*-1</f>
        <v>-1446.2702649747105</v>
      </c>
      <c r="AE200">
        <f ca="1">Table1[[#This Row],[Call Gex]]*Table1[[#This Row],[DeltaC]]</f>
        <v>121.45305466268219</v>
      </c>
      <c r="AF200">
        <f>IF(Table1[[#This Row],[DeltaC]]-ABS(Table1[[#This Row],[DeltaP]])="0","0.01",Table1[[#This Row],[DeltaC]]-ABS(Table1[[#This Row],[DeltaP]]))</f>
        <v>-0.86</v>
      </c>
      <c r="AG200">
        <f ca="1">((LN($A$4/Table1[[#This Row],[Strike]]) + (0.411 + 0.5 * Table1[[#This Row],[IV Calc P]]^2) *Table1[[#This Row],[T]])) / (Table1[[#This Row],[IV Calc P]] * SQRT(Table1[[#This Row],[T]]))</f>
        <v>-1.0580273649887308</v>
      </c>
      <c r="AH200">
        <f ca="1">(LN($A$4/Table1[[#This Row],[Strike]]) + (0.411-0 + 0.5 * Table1[[#This Row],[IV Calc C]]^2) *Table1[[#This Row],[T]]) / (Table1[[#This Row],[IV Calc C]] * SQRT(Table1[[#This Row],[T]]))</f>
        <v>-2.3068877747990371</v>
      </c>
      <c r="AI200">
        <f ca="1">(EXP(-(AG200^2)/2)/SQRT(2*PI())*EXP(0*SQRT(Table1[[#This Row],[T]]))/$A$4*18%*SQRT(SQRT(Table1[[#This Row],[T]])))</f>
        <v>1.3377648112937998E-6</v>
      </c>
      <c r="AJ200">
        <f ca="1">(EXP(-(AH200^2)/2)/SQRT(2*PI())*EXP(0*SQRT(Table1[[#This Row],[T]]))/$A$4*18%*SQRT(SQRT(Table1[[#This Row],[T]])))</f>
        <v>1.6362885741795152E-7</v>
      </c>
      <c r="AK200">
        <f ca="1">Table1[[#This Row],[Call D1]]-Table1[[#This Row],[IV Calc C]]*SQRT(Table1[[#This Row],[T]])</f>
        <v>-2.3121308308918498</v>
      </c>
      <c r="AL200">
        <f ca="1">Table1[[#This Row],[Put D1]]-Table1[[#This Row],[IV Calc P]]*SQRT(Table1[[#This Row],[T]])</f>
        <v>-1.0694109026507912</v>
      </c>
      <c r="AM200">
        <f ca="1">EXP(-0.5*Table1[[#This Row],[Call D1]]^2)/SQRT(2*PI())</f>
        <v>2.7881158636761876E-2</v>
      </c>
      <c r="AN200">
        <f ca="1">EXP(-0.5*Table1[[#This Row],[Put D1]]^2)/SQRT(2*PI())</f>
        <v>0.22794532401512863</v>
      </c>
      <c r="AO200">
        <f ca="1">IFERROR((EXP(0*Table1[[#This Row],[T]])*Table1[[#This Row],[call N(d1)]]*(Table1[[#This Row],[call d2]]/Table1[[#This Row],[IV Calc C]]))*Table1[[#This Row],[Open.Int]]*Table1[[#This Row],[DeltaC]],0)</f>
        <v>-9.7015340689485772</v>
      </c>
      <c r="AP200">
        <f ca="1">IFERROR((EXP(0*Table1[[#This Row],[T]])*Table1[[#This Row],[put N(d1)]]*(Table1[[#This Row],[put d2]]/Table1[[#This Row],[IV Calc P]]))*Table1[[#This Row],[Open.Int8]]*Table1[[#This Row],[DeltaP]]*-1,0)</f>
        <v>-24.610525442879375</v>
      </c>
      <c r="AQ200">
        <f ca="1">((Table1[[#This Row],[call vanna]]+Table1[[#This Row],[put vanna]])*$A$4)</f>
        <v>-237211.27662609579</v>
      </c>
      <c r="AR20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12145.305466268219</v>
      </c>
      <c r="AS20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-1662.3796149134603</v>
      </c>
      <c r="AT200" s="9" t="str" cm="1">
        <f t="array" ref="AT200">_xlfn.IFS(     $M$1="SPX","SPXW",     $M$1="RUT","RUTW",  $M$1="NDX","NDXP",   TRUE,$M$1 )</f>
        <v>SPXW</v>
      </c>
      <c r="AU200" s="2">
        <f t="shared" si="17"/>
        <v>6915</v>
      </c>
      <c r="AV200" t="str">
        <f t="shared" si="18"/>
        <v>260123</v>
      </c>
      <c r="AW200" s="20">
        <f ca="1">IFERROR((EXP(0*Table1[[#This Row],[T]])*Table1[[#This Row],[put N(d1)]]*(Table1[[#This Row],[put d2]]/Table1[[#This Row],[IV Calc P]]))*Table1[[#This Row],[Open.Int8]]*Table1[[#This Row],[DeltaP]]*-1,0)</f>
        <v>-24.610525442879375</v>
      </c>
      <c r="AX200">
        <f ca="1">IFERROR((EXP(0*Table1[[#This Row],[T]])*Table1[[#This Row],[call N(d1)]]*(Table1[[#This Row],[call d2]]/Table1[[#This Row],[IV Calc C]]))*Table1[[#This Row],[Open.Int]]*Table1[[#This Row],[DeltaC]],0)</f>
        <v>-9.7015340689485772</v>
      </c>
      <c r="AY200">
        <f>IF(
    ISNUMBER(Table1[[#This Row],[Strike]]),RTD("tos.rtd", , "high", "."&amp;Table1[[#This Row],[Ticker]]&amp;Table1[[#This Row],[Expiry]]&amp;""&amp;"C"&amp;Table1[[#This Row],[Spot]]+Table1[[#This Row],[step]]))</f>
        <v>1.48</v>
      </c>
      <c r="AZ200">
        <f>IF(
    ISNUMBER(Table1[[#This Row],[Strike]]),RTD("tos.rtd", , "low", "."&amp;Table1[[#This Row],[Ticker]]&amp;Table1[[#This Row],[Expiry]]&amp;""&amp;"C"&amp;Table1[[#This Row],[Spot]]+Table1[[#This Row],[step]]))</f>
        <v>0.05</v>
      </c>
      <c r="BA200">
        <f>IF(
    ISNUMBER(Table1[[#This Row],[Strike]]),RTD("tos.rtd", , "high", "."&amp;Table1[[#This Row],[Ticker]]&amp;Table1[[#This Row],[Expiry]]&amp;""&amp;"P"&amp;Table1[[#This Row],[Spot]]+Table1[[#This Row],[step]]))</f>
        <v>104.4</v>
      </c>
      <c r="BB200">
        <f>IF(
    ISNUMBER(Table1[[#This Row],[Strike]]),RTD("tos.rtd", , "low", "."&amp;Table1[[#This Row],[Ticker]]&amp;Table1[[#This Row],[Expiry]]&amp;""&amp;"P"&amp;Table1[[#This Row],[Spot]]+Table1[[#This Row],[step]]))</f>
        <v>90</v>
      </c>
      <c r="BC200">
        <f>((Table1[[#This Row],[High C]]+Table1[[#This Row],[Low C]])/2)*Table1[[#This Row],[gammac]]*Table1[[#This Row],[Volume]]</f>
        <v>0</v>
      </c>
      <c r="BD200">
        <f>((Table1[[#This Row],[High P]]+Table1[[#This Row],[Low P]])/2)*Table1[[#This Row],[gammap]]*Table1[[#This Row],[Volume9]]*-1</f>
        <v>0</v>
      </c>
      <c r="BE200">
        <f>(Table1[[#This Row],[SgammaC]]+Table1[[#This Row],[SgammaP]])*$A$4*-100</f>
        <v>0</v>
      </c>
      <c r="BF200">
        <f>Table1[[#This Row],[DEXc]]+Table1[[#This Row],[DEXp]]</f>
        <v>-49015.651500000007</v>
      </c>
      <c r="BG200">
        <f>IFERROR(Table1[[#This Row],[DeltaC]]*Table1[[#This Row],[Open.Int]]*$A$4,0)</f>
        <v>107364.32550000001</v>
      </c>
      <c r="BH200">
        <f>IFERROR(Table1[[#This Row],[DeltaP]]*Table1[[#This Row],[Open.Int8]]*$A$4,0)</f>
        <v>-156379.97700000001</v>
      </c>
      <c r="BI20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-646403.78250556195</v>
      </c>
      <c r="BJ20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-132712.70447058236</v>
      </c>
      <c r="BK200">
        <f ca="1">Table1[[#This Row],[Charmc]]+Table1[[#This Row],[Charmp]]</f>
        <v>-779116.48697614437</v>
      </c>
      <c r="BL20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0" s="78">
        <f ca="1">Table1[[#This Row],[call helper]]+Table1[[#This Row],[put helper]]</f>
        <v>10482.925851354759</v>
      </c>
      <c r="BP200">
        <f>RTD("tos.rtd", , "STRIKE", "."&amp;Table1[[#This Row],[Ticker]]&amp;Table1[[#This Row],[Expiry]]&amp;""&amp;"C"&amp;Table1[[#This Row],[Spot]]+Table1[[#This Row],[step]])</f>
        <v>7005</v>
      </c>
    </row>
    <row r="201" spans="1:68" x14ac:dyDescent="0.25">
      <c r="A201">
        <f t="shared" ca="1" si="14"/>
        <v>2.5814307458086375E-3</v>
      </c>
      <c r="C201" s="17"/>
      <c r="D201" t="b">
        <f>IF(
    ISNUMBER(Table1[[#This Row],[Strike]]),RTD("tos.rtd", , "OPEN_INT", "."&amp;Table1[[#This Row],[Ticker]]&amp;Table1[[#This Row],[Expiry]]&amp;""&amp;"C"&amp;Table1[[#This Row],[Strike]]))</f>
        <v>0</v>
      </c>
      <c r="E20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1" t="b">
        <f>IF(
    ISNUMBER(Table1[[#This Row],[Strike]]),RTD("tos.rtd", , "DELTA", "."&amp;Table1[[#This Row],[Ticker]]&amp;Table1[[#This Row],[Expiry]]&amp;""&amp;"C"&amp;Table1[[#This Row],[Strike]]))</f>
        <v>0</v>
      </c>
      <c r="H201" s="17" t="b" cm="1">
        <f t="array" ref="H201">IF(
    ISNUMBER(Table1[[#This Row],[Strike]]),IndividualLegIVCore($A$4, Table1[[#This Row],[Strike]], 0.0411, Table1[[#This Row],[T]], ((Table1[[#This Row],[BIDC]]+Table1[[#This Row],[ASKC]])/2), TRUE))</f>
        <v>0</v>
      </c>
      <c r="I201" t="b">
        <f>IF(
    ISNUMBER(Table1[[#This Row],[Strike]]),RTD("tos.rtd", , "BID", "."&amp;Table1[[#This Row],[Ticker]]&amp;Table1[[#This Row],[Expiry]]&amp;""&amp;"C"&amp;Table1[[#This Row],[Strike]]))</f>
        <v>0</v>
      </c>
      <c r="J201" t="b">
        <f>IF(
    ISNUMBER(Table1[[#This Row],[Strike]]),RTD("tos.rtd", , "ASK", "."&amp;Table1[[#This Row],[Ticker]]&amp;Table1[[#This Row],[Expiry]]&amp;""&amp;"C"&amp;Table1[[#This Row],[Strike]]))</f>
        <v>0</v>
      </c>
      <c r="K201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1" s="17" cm="1">
        <f t="array" aca="1" ref="L20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1" s="1">
        <f t="shared" si="15"/>
        <v>46045</v>
      </c>
      <c r="N201" t="b">
        <f t="shared" si="16"/>
        <v>0</v>
      </c>
      <c r="P201" s="17" t="b" cm="1">
        <f t="array" ref="P201">IF(
    ISNUMBER(Table1[[#This Row],[Strike]]),IndividualLegIVCore($A$4, Table1[[#This Row],[Strike]], 0.0411, Table1[[#This Row],[T]], ((Table1[[#This Row],[BIDP]]+Table1[[#This Row],[ASKP]])/2), FALSE))</f>
        <v>0</v>
      </c>
      <c r="Q201" t="b">
        <f>IF(
    ISNUMBER(Table1[[#This Row],[Strike]]),RTD("tos.rtd", , "BID", "."&amp;Table1[[#This Row],[Ticker]]&amp;Table1[[#This Row],[Expiry]]&amp;""&amp;"P"&amp;Table1[[#This Row],[Strike]]))</f>
        <v>0</v>
      </c>
      <c r="R201" t="b">
        <f>IF(
    ISNUMBER(Table1[[#This Row],[Strike]]),RTD("tos.rtd", , "ASK", "."&amp;Table1[[#This Row],[Ticker]]&amp;Table1[[#This Row],[Expiry]]&amp;""&amp;"P"&amp;Table1[[#This Row],[Strike]]))</f>
        <v>0</v>
      </c>
      <c r="S201" s="17"/>
      <c r="T201" t="b">
        <f>IF(
    ISNUMBER(Table1[[#This Row],[Strike]]),RTD("tos.rtd", , "OPEN_INT", "."&amp;Table1[[#This Row],[Ticker]]&amp;Table1[[#This Row],[Expiry]]&amp;""&amp;"P"&amp;Table1[[#This Row],[Strike]]))</f>
        <v>0</v>
      </c>
      <c r="U20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1" t="b">
        <f>IF(
    ISNUMBER(Table1[[#This Row],[Strike]]),RTD("tos.rtd", , "DELTA", "."&amp;Table1[[#This Row],[Ticker]]&amp;Table1[[#This Row],[Expiry]]&amp;""&amp;"P"&amp;Table1[[#This Row],[Strike]]))</f>
        <v>0</v>
      </c>
      <c r="Y201" s="19">
        <f>45.5* IF($M$1="NDX", 10, IF(OR($M$1="SPX", $M$1="RUT"), 2, 1))</f>
        <v>91</v>
      </c>
      <c r="Z201">
        <f ca="1">IFERROR(Table1[[#This Row],[call gamma]]*(Table1[[#This Row],[Open.Int]])*$A$4^2,0)</f>
        <v>0</v>
      </c>
      <c r="AA201">
        <f ca="1">IFERROR(((Table1[[#This Row],[Open.Int8]])*Table1[[#This Row],[Put gamma]])*-1*$A$4^2,0)</f>
        <v>0</v>
      </c>
      <c r="AB201">
        <f ca="1">(Table1[[#This Row],[Call Gex]]+Table1[[#This Row],[Put Gex]])</f>
        <v>0</v>
      </c>
      <c r="AC201">
        <f ca="1">Table1[[#This Row],[call delta adj]]+Table1[[#This Row],[put delta adj]]</f>
        <v>0</v>
      </c>
      <c r="AD201">
        <f ca="1">Table1[[#This Row],[Put Gex]]*Table1[[#This Row],[DeltaP]]*-1</f>
        <v>0</v>
      </c>
      <c r="AE201">
        <f ca="1">Table1[[#This Row],[Call Gex]]*Table1[[#This Row],[DeltaC]]</f>
        <v>0</v>
      </c>
      <c r="AF201">
        <f>IF(Table1[[#This Row],[DeltaC]]-ABS(Table1[[#This Row],[DeltaP]])="0","0.01",Table1[[#This Row],[DeltaC]]-ABS(Table1[[#This Row],[DeltaP]]))</f>
        <v>0</v>
      </c>
      <c r="AG201" t="e">
        <f ca="1">((LN($A$4/Table1[[#This Row],[Strike]]) + (0.411 + 0.5 * Table1[[#This Row],[IV Calc P]]^2) *Table1[[#This Row],[T]])) / (Table1[[#This Row],[IV Calc P]] * SQRT(Table1[[#This Row],[T]]))</f>
        <v>#DIV/0!</v>
      </c>
      <c r="AH201" t="e">
        <f ca="1">(LN($A$4/Table1[[#This Row],[Strike]]) + (0.411-0 + 0.5 * Table1[[#This Row],[IV Calc C]]^2) *Table1[[#This Row],[T]]) / (Table1[[#This Row],[IV Calc C]] * SQRT(Table1[[#This Row],[T]]))</f>
        <v>#DIV/0!</v>
      </c>
      <c r="AI201" t="e">
        <f ca="1">(EXP(-(AG201^2)/2)/SQRT(2*PI())*EXP(0*SQRT(Table1[[#This Row],[T]]))/$A$4*18%*SQRT(SQRT(Table1[[#This Row],[T]])))</f>
        <v>#DIV/0!</v>
      </c>
      <c r="AJ201" t="e">
        <f ca="1">(EXP(-(AH201^2)/2)/SQRT(2*PI())*EXP(0*SQRT(Table1[[#This Row],[T]]))/$A$4*18%*SQRT(SQRT(Table1[[#This Row],[T]])))</f>
        <v>#DIV/0!</v>
      </c>
      <c r="AK201" t="e">
        <f ca="1">Table1[[#This Row],[Call D1]]-Table1[[#This Row],[IV Calc C]]*SQRT(Table1[[#This Row],[T]])</f>
        <v>#DIV/0!</v>
      </c>
      <c r="AL201" t="e">
        <f ca="1">Table1[[#This Row],[Put D1]]-Table1[[#This Row],[IV Calc P]]*SQRT(Table1[[#This Row],[T]])</f>
        <v>#DIV/0!</v>
      </c>
      <c r="AM201" t="e">
        <f ca="1">EXP(-0.5*Table1[[#This Row],[Call D1]]^2)/SQRT(2*PI())</f>
        <v>#DIV/0!</v>
      </c>
      <c r="AN201" t="e">
        <f ca="1">EXP(-0.5*Table1[[#This Row],[Put D1]]^2)/SQRT(2*PI())</f>
        <v>#DIV/0!</v>
      </c>
      <c r="AO201">
        <f ca="1">IFERROR((EXP(0*Table1[[#This Row],[T]])*Table1[[#This Row],[call N(d1)]]*(Table1[[#This Row],[call d2]]/Table1[[#This Row],[IV Calc C]]))*Table1[[#This Row],[Open.Int]]*Table1[[#This Row],[DeltaC]],0)</f>
        <v>0</v>
      </c>
      <c r="AP201">
        <f ca="1">IFERROR((EXP(0*Table1[[#This Row],[T]])*Table1[[#This Row],[put N(d1)]]*(Table1[[#This Row],[put d2]]/Table1[[#This Row],[IV Calc P]]))*Table1[[#This Row],[Open.Int8]]*Table1[[#This Row],[DeltaP]]*-1,0)</f>
        <v>0</v>
      </c>
      <c r="AQ201">
        <f ca="1">((Table1[[#This Row],[call vanna]]+Table1[[#This Row],[put vanna]])*$A$4)</f>
        <v>0</v>
      </c>
      <c r="AR20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1" s="9" t="str" cm="1">
        <f t="array" ref="AT201">_xlfn.IFS(     $M$1="SPX","SPXW",     $M$1="RUT","RUTW",  $M$1="NDX","NDXP",   TRUE,$M$1 )</f>
        <v>SPXW</v>
      </c>
      <c r="AU201" s="2">
        <f t="shared" si="17"/>
        <v>6915</v>
      </c>
      <c r="AV201" t="str">
        <f t="shared" si="18"/>
        <v>260123</v>
      </c>
      <c r="AW201">
        <f ca="1">IFERROR((EXP(0*Table1[[#This Row],[T]])*Table1[[#This Row],[put N(d1)]]*(Table1[[#This Row],[put d2]]/Table1[[#This Row],[IV Calc P]]))*Table1[[#This Row],[Open.Int8]]*Table1[[#This Row],[DeltaP]]*-1,0)</f>
        <v>0</v>
      </c>
      <c r="AX201">
        <f ca="1">IFERROR((EXP(0*Table1[[#This Row],[T]])*Table1[[#This Row],[call N(d1)]]*(Table1[[#This Row],[call d2]]/Table1[[#This Row],[IV Calc C]]))*Table1[[#This Row],[Open.Int]]*Table1[[#This Row],[DeltaC]],0)</f>
        <v>0</v>
      </c>
      <c r="AY20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1">
        <f>((Table1[[#This Row],[High C]]+Table1[[#This Row],[Low C]])/2)*Table1[[#This Row],[gammac]]*Table1[[#This Row],[Volume]]</f>
        <v>0</v>
      </c>
      <c r="BD201">
        <f>((Table1[[#This Row],[High P]]+Table1[[#This Row],[Low P]])/2)*Table1[[#This Row],[gammap]]*Table1[[#This Row],[Volume9]]*-1</f>
        <v>0</v>
      </c>
      <c r="BE201">
        <f>(Table1[[#This Row],[SgammaC]]+Table1[[#This Row],[SgammaP]])*$A$4*-100</f>
        <v>0</v>
      </c>
      <c r="BF201">
        <f>Table1[[#This Row],[DEXc]]+Table1[[#This Row],[DEXp]]</f>
        <v>0</v>
      </c>
      <c r="BG201">
        <f>IFERROR(Table1[[#This Row],[DeltaC]]*Table1[[#This Row],[Open.Int]]*$A$4,0)</f>
        <v>0</v>
      </c>
      <c r="BH201">
        <f>IFERROR(Table1[[#This Row],[DeltaP]]*Table1[[#This Row],[Open.Int8]]*$A$4,0)</f>
        <v>0</v>
      </c>
      <c r="BI20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1">
        <f ca="1">Table1[[#This Row],[Charmc]]+Table1[[#This Row],[Charmp]]</f>
        <v>0</v>
      </c>
      <c r="BL201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1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1" s="78">
        <f ca="1">Table1[[#This Row],[call helper]]+Table1[[#This Row],[put helper]]</f>
        <v>0</v>
      </c>
      <c r="BP201" t="str">
        <f>RTD("tos.rtd", , "STRIKE", "."&amp;Table1[[#This Row],[Ticker]]&amp;Table1[[#This Row],[Expiry]]&amp;""&amp;"C"&amp;Table1[[#This Row],[Spot]]+Table1[[#This Row],[step]])</f>
        <v>N/A</v>
      </c>
    </row>
    <row r="202" spans="1:68" x14ac:dyDescent="0.25">
      <c r="A202">
        <f t="shared" ref="A202:A210" ca="1" si="19">$O$3</f>
        <v>2.5814307458086375E-3</v>
      </c>
      <c r="C202" s="17"/>
      <c r="D202" t="b">
        <f>IF(
    ISNUMBER(Table1[[#This Row],[Strike]]),RTD("tos.rtd", , "OPEN_INT", "."&amp;Table1[[#This Row],[Ticker]]&amp;Table1[[#This Row],[Expiry]]&amp;""&amp;"C"&amp;Table1[[#This Row],[Strike]]))</f>
        <v>0</v>
      </c>
      <c r="E20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2" t="b">
        <f>IF(
    ISNUMBER(Table1[[#This Row],[Strike]]),RTD("tos.rtd", , "DELTA", "."&amp;Table1[[#This Row],[Ticker]]&amp;Table1[[#This Row],[Expiry]]&amp;""&amp;"C"&amp;Table1[[#This Row],[Strike]]))</f>
        <v>0</v>
      </c>
      <c r="H202" s="17" t="b" cm="1">
        <f t="array" ref="H202">IF(
    ISNUMBER(Table1[[#This Row],[Strike]]),IndividualLegIVCore($A$4, Table1[[#This Row],[Strike]], 0.0411, Table1[[#This Row],[T]], ((Table1[[#This Row],[BIDC]]+Table1[[#This Row],[ASKC]])/2), TRUE))</f>
        <v>0</v>
      </c>
      <c r="I202" t="b">
        <f>IF(
    ISNUMBER(Table1[[#This Row],[Strike]]),RTD("tos.rtd", , "BID", "."&amp;Table1[[#This Row],[Ticker]]&amp;Table1[[#This Row],[Expiry]]&amp;""&amp;"C"&amp;Table1[[#This Row],[Strike]]))</f>
        <v>0</v>
      </c>
      <c r="J202" t="b">
        <f>IF(
    ISNUMBER(Table1[[#This Row],[Strike]]),RTD("tos.rtd", , "ASK", "."&amp;Table1[[#This Row],[Ticker]]&amp;Table1[[#This Row],[Expiry]]&amp;""&amp;"C"&amp;Table1[[#This Row],[Strike]]))</f>
        <v>0</v>
      </c>
      <c r="K202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2" s="17" cm="1">
        <f t="array" aca="1" ref="L20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2" s="1">
        <f t="shared" ref="M202:M210" si="20">$O$1</f>
        <v>46045</v>
      </c>
      <c r="N202" t="b">
        <f t="shared" ref="N202:N210" si="21">IF(ISNUMBER($BP202), $BP202, FALSE)</f>
        <v>0</v>
      </c>
      <c r="P202" s="17" t="b" cm="1">
        <f t="array" ref="P202">IF(
    ISNUMBER(Table1[[#This Row],[Strike]]),IndividualLegIVCore($A$4, Table1[[#This Row],[Strike]], 0.0411, Table1[[#This Row],[T]], ((Table1[[#This Row],[BIDP]]+Table1[[#This Row],[ASKP]])/2), FALSE))</f>
        <v>0</v>
      </c>
      <c r="Q202" t="b">
        <f>IF(
    ISNUMBER(Table1[[#This Row],[Strike]]),RTD("tos.rtd", , "BID", "."&amp;Table1[[#This Row],[Ticker]]&amp;Table1[[#This Row],[Expiry]]&amp;""&amp;"P"&amp;Table1[[#This Row],[Strike]]))</f>
        <v>0</v>
      </c>
      <c r="R202" t="b">
        <f>IF(
    ISNUMBER(Table1[[#This Row],[Strike]]),RTD("tos.rtd", , "ASK", "."&amp;Table1[[#This Row],[Ticker]]&amp;Table1[[#This Row],[Expiry]]&amp;""&amp;"P"&amp;Table1[[#This Row],[Strike]]))</f>
        <v>0</v>
      </c>
      <c r="S202" s="17"/>
      <c r="T202" t="b">
        <f>IF(
    ISNUMBER(Table1[[#This Row],[Strike]]),RTD("tos.rtd", , "OPEN_INT", "."&amp;Table1[[#This Row],[Ticker]]&amp;Table1[[#This Row],[Expiry]]&amp;""&amp;"P"&amp;Table1[[#This Row],[Strike]]))</f>
        <v>0</v>
      </c>
      <c r="U20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2" t="b">
        <f>IF(
    ISNUMBER(Table1[[#This Row],[Strike]]),RTD("tos.rtd", , "DELTA", "."&amp;Table1[[#This Row],[Ticker]]&amp;Table1[[#This Row],[Expiry]]&amp;""&amp;"P"&amp;Table1[[#This Row],[Strike]]))</f>
        <v>0</v>
      </c>
      <c r="Y202">
        <f>46* IF($M$1="NDX", 10, IF(OR($M$1="SPX", $M$1="RUT"), 2, 1))</f>
        <v>92</v>
      </c>
      <c r="Z202">
        <f ca="1">IFERROR(Table1[[#This Row],[call gamma]]*(Table1[[#This Row],[Open.Int]])*$A$4^2,0)</f>
        <v>0</v>
      </c>
      <c r="AA202">
        <f ca="1">IFERROR(((Table1[[#This Row],[Open.Int8]])*Table1[[#This Row],[Put gamma]])*-1*$A$4^2,0)</f>
        <v>0</v>
      </c>
      <c r="AB202">
        <f ca="1">(Table1[[#This Row],[Call Gex]]+Table1[[#This Row],[Put Gex]])</f>
        <v>0</v>
      </c>
      <c r="AC202">
        <f ca="1">Table1[[#This Row],[call delta adj]]+Table1[[#This Row],[put delta adj]]</f>
        <v>0</v>
      </c>
      <c r="AD202">
        <f ca="1">Table1[[#This Row],[Put Gex]]*Table1[[#This Row],[DeltaP]]*-1</f>
        <v>0</v>
      </c>
      <c r="AE202">
        <f ca="1">Table1[[#This Row],[Call Gex]]*Table1[[#This Row],[DeltaC]]</f>
        <v>0</v>
      </c>
      <c r="AF202">
        <f>IF(Table1[[#This Row],[DeltaC]]-ABS(Table1[[#This Row],[DeltaP]])="0","0.01",Table1[[#This Row],[DeltaC]]-ABS(Table1[[#This Row],[DeltaP]]))</f>
        <v>0</v>
      </c>
      <c r="AG202" t="e">
        <f ca="1">((LN($A$4/Table1[[#This Row],[Strike]]) + (0.411 + 0.5 * Table1[[#This Row],[IV Calc P]]^2) *Table1[[#This Row],[T]])) / (Table1[[#This Row],[IV Calc P]] * SQRT(Table1[[#This Row],[T]]))</f>
        <v>#DIV/0!</v>
      </c>
      <c r="AH202" t="e">
        <f ca="1">(LN($A$4/Table1[[#This Row],[Strike]]) + (0.411-0 + 0.5 * Table1[[#This Row],[IV Calc C]]^2) *Table1[[#This Row],[T]]) / (Table1[[#This Row],[IV Calc C]] * SQRT(Table1[[#This Row],[T]]))</f>
        <v>#DIV/0!</v>
      </c>
      <c r="AI202" t="e">
        <f ca="1">(EXP(-(AG202^2)/2)/SQRT(2*PI())*EXP(0*SQRT(Table1[[#This Row],[T]]))/$A$4*18%*SQRT(SQRT(Table1[[#This Row],[T]])))</f>
        <v>#DIV/0!</v>
      </c>
      <c r="AJ202" t="e">
        <f ca="1">(EXP(-(AH202^2)/2)/SQRT(2*PI())*EXP(0*SQRT(Table1[[#This Row],[T]]))/$A$4*18%*SQRT(SQRT(Table1[[#This Row],[T]])))</f>
        <v>#DIV/0!</v>
      </c>
      <c r="AK202" t="e">
        <f ca="1">Table1[[#This Row],[Call D1]]-Table1[[#This Row],[IV Calc C]]*SQRT(Table1[[#This Row],[T]])</f>
        <v>#DIV/0!</v>
      </c>
      <c r="AL202" t="e">
        <f ca="1">Table1[[#This Row],[Put D1]]-Table1[[#This Row],[IV Calc P]]*SQRT(Table1[[#This Row],[T]])</f>
        <v>#DIV/0!</v>
      </c>
      <c r="AM202" t="e">
        <f ca="1">EXP(-0.5*Table1[[#This Row],[Call D1]]^2)/SQRT(2*PI())</f>
        <v>#DIV/0!</v>
      </c>
      <c r="AN202" t="e">
        <f ca="1">EXP(-0.5*Table1[[#This Row],[Put D1]]^2)/SQRT(2*PI())</f>
        <v>#DIV/0!</v>
      </c>
      <c r="AO202">
        <f ca="1">IFERROR((EXP(0*Table1[[#This Row],[T]])*Table1[[#This Row],[call N(d1)]]*(Table1[[#This Row],[call d2]]/Table1[[#This Row],[IV Calc C]]))*Table1[[#This Row],[Open.Int]]*Table1[[#This Row],[DeltaC]],0)</f>
        <v>0</v>
      </c>
      <c r="AP202">
        <f ca="1">IFERROR((EXP(0*Table1[[#This Row],[T]])*Table1[[#This Row],[put N(d1)]]*(Table1[[#This Row],[put d2]]/Table1[[#This Row],[IV Calc P]]))*Table1[[#This Row],[Open.Int8]]*Table1[[#This Row],[DeltaP]]*-1,0)</f>
        <v>0</v>
      </c>
      <c r="AQ202">
        <f ca="1">((Table1[[#This Row],[call vanna]]+Table1[[#This Row],[put vanna]])*$A$4)</f>
        <v>0</v>
      </c>
      <c r="AR20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2" s="9" t="str" cm="1">
        <f t="array" ref="AT202">_xlfn.IFS(     $M$1="SPX","SPXW",     $M$1="RUT","RUTW",  $M$1="NDX","NDXP",   TRUE,$M$1 )</f>
        <v>SPXW</v>
      </c>
      <c r="AU202" s="2">
        <f t="shared" ref="AU202:AU210" si="22">$N$1</f>
        <v>6915</v>
      </c>
      <c r="AV202" t="str">
        <f t="shared" ref="AV202:AV210" si="23">$O$2</f>
        <v>260123</v>
      </c>
      <c r="AW202">
        <f ca="1">IFERROR((EXP(0*Table1[[#This Row],[T]])*Table1[[#This Row],[put N(d1)]]*(Table1[[#This Row],[put d2]]/Table1[[#This Row],[IV Calc P]]))*Table1[[#This Row],[Open.Int8]]*Table1[[#This Row],[DeltaP]]*-1,0)</f>
        <v>0</v>
      </c>
      <c r="AX202">
        <f ca="1">IFERROR((EXP(0*Table1[[#This Row],[T]])*Table1[[#This Row],[call N(d1)]]*(Table1[[#This Row],[call d2]]/Table1[[#This Row],[IV Calc C]]))*Table1[[#This Row],[Open.Int]]*Table1[[#This Row],[DeltaC]],0)</f>
        <v>0</v>
      </c>
      <c r="AY20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2">
        <f>((Table1[[#This Row],[High C]]+Table1[[#This Row],[Low C]])/2)*Table1[[#This Row],[gammac]]*Table1[[#This Row],[Volume]]</f>
        <v>0</v>
      </c>
      <c r="BD202">
        <f>((Table1[[#This Row],[High P]]+Table1[[#This Row],[Low P]])/2)*Table1[[#This Row],[gammap]]*Table1[[#This Row],[Volume9]]*-1</f>
        <v>0</v>
      </c>
      <c r="BE202">
        <f>(Table1[[#This Row],[SgammaC]]+Table1[[#This Row],[SgammaP]])*$A$4*-100</f>
        <v>0</v>
      </c>
      <c r="BF202">
        <f>Table1[[#This Row],[DEXc]]+Table1[[#This Row],[DEXp]]</f>
        <v>0</v>
      </c>
      <c r="BG202">
        <f>IFERROR(Table1[[#This Row],[DeltaC]]*Table1[[#This Row],[Open.Int]]*$A$4,0)</f>
        <v>0</v>
      </c>
      <c r="BH202">
        <f>IFERROR(Table1[[#This Row],[DeltaP]]*Table1[[#This Row],[Open.Int8]]*$A$4,0)</f>
        <v>0</v>
      </c>
      <c r="BI20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2">
        <f ca="1">Table1[[#This Row],[Charmc]]+Table1[[#This Row],[Charmp]]</f>
        <v>0</v>
      </c>
      <c r="BL202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2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2" s="78">
        <f ca="1">Table1[[#This Row],[call helper]]+Table1[[#This Row],[put helper]]</f>
        <v>0</v>
      </c>
      <c r="BP202" t="str">
        <f>RTD("tos.rtd", , "STRIKE", "."&amp;Table1[[#This Row],[Ticker]]&amp;Table1[[#This Row],[Expiry]]&amp;""&amp;"C"&amp;Table1[[#This Row],[Spot]]+Table1[[#This Row],[step]])</f>
        <v>N/A</v>
      </c>
    </row>
    <row r="203" spans="1:68" x14ac:dyDescent="0.25">
      <c r="A203">
        <f t="shared" ca="1" si="19"/>
        <v>2.5814307458086375E-3</v>
      </c>
      <c r="C203" s="17"/>
      <c r="D203" t="b">
        <f>IF(
    ISNUMBER(Table1[[#This Row],[Strike]]),RTD("tos.rtd", , "OPEN_INT", "."&amp;Table1[[#This Row],[Ticker]]&amp;Table1[[#This Row],[Expiry]]&amp;""&amp;"C"&amp;Table1[[#This Row],[Strike]]))</f>
        <v>0</v>
      </c>
      <c r="E20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3" t="b">
        <f>IF(
    ISNUMBER(Table1[[#This Row],[Strike]]),RTD("tos.rtd", , "DELTA", "."&amp;Table1[[#This Row],[Ticker]]&amp;Table1[[#This Row],[Expiry]]&amp;""&amp;"C"&amp;Table1[[#This Row],[Strike]]))</f>
        <v>0</v>
      </c>
      <c r="H203" s="17" t="b" cm="1">
        <f t="array" ref="H203">IF(
    ISNUMBER(Table1[[#This Row],[Strike]]),IndividualLegIVCore($A$4, Table1[[#This Row],[Strike]], 0.0411, Table1[[#This Row],[T]], ((Table1[[#This Row],[BIDC]]+Table1[[#This Row],[ASKC]])/2), TRUE))</f>
        <v>0</v>
      </c>
      <c r="I203" t="b">
        <f>IF(
    ISNUMBER(Table1[[#This Row],[Strike]]),RTD("tos.rtd", , "BID", "."&amp;Table1[[#This Row],[Ticker]]&amp;Table1[[#This Row],[Expiry]]&amp;""&amp;"C"&amp;Table1[[#This Row],[Strike]]))</f>
        <v>0</v>
      </c>
      <c r="J203" t="b">
        <f>IF(
    ISNUMBER(Table1[[#This Row],[Strike]]),RTD("tos.rtd", , "ASK", "."&amp;Table1[[#This Row],[Ticker]]&amp;Table1[[#This Row],[Expiry]]&amp;""&amp;"C"&amp;Table1[[#This Row],[Strike]]))</f>
        <v>0</v>
      </c>
      <c r="K203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3" s="17" cm="1">
        <f t="array" aca="1" ref="L20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3" s="1">
        <f t="shared" si="20"/>
        <v>46045</v>
      </c>
      <c r="N203" t="b">
        <f t="shared" si="21"/>
        <v>0</v>
      </c>
      <c r="P203" s="17" t="b" cm="1">
        <f t="array" ref="P203">IF(
    ISNUMBER(Table1[[#This Row],[Strike]]),IndividualLegIVCore($A$4, Table1[[#This Row],[Strike]], 0.0411, Table1[[#This Row],[T]], ((Table1[[#This Row],[BIDP]]+Table1[[#This Row],[ASKP]])/2), FALSE))</f>
        <v>0</v>
      </c>
      <c r="Q203" t="b">
        <f>IF(
    ISNUMBER(Table1[[#This Row],[Strike]]),RTD("tos.rtd", , "BID", "."&amp;Table1[[#This Row],[Ticker]]&amp;Table1[[#This Row],[Expiry]]&amp;""&amp;"P"&amp;Table1[[#This Row],[Strike]]))</f>
        <v>0</v>
      </c>
      <c r="R203" t="b">
        <f>IF(
    ISNUMBER(Table1[[#This Row],[Strike]]),RTD("tos.rtd", , "ASK", "."&amp;Table1[[#This Row],[Ticker]]&amp;Table1[[#This Row],[Expiry]]&amp;""&amp;"P"&amp;Table1[[#This Row],[Strike]]))</f>
        <v>0</v>
      </c>
      <c r="S203" s="17"/>
      <c r="T203" t="b">
        <f>IF(
    ISNUMBER(Table1[[#This Row],[Strike]]),RTD("tos.rtd", , "OPEN_INT", "."&amp;Table1[[#This Row],[Ticker]]&amp;Table1[[#This Row],[Expiry]]&amp;""&amp;"P"&amp;Table1[[#This Row],[Strike]]))</f>
        <v>0</v>
      </c>
      <c r="U20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3" t="b">
        <f>IF(
    ISNUMBER(Table1[[#This Row],[Strike]]),RTD("tos.rtd", , "DELTA", "."&amp;Table1[[#This Row],[Ticker]]&amp;Table1[[#This Row],[Expiry]]&amp;""&amp;"P"&amp;Table1[[#This Row],[Strike]]))</f>
        <v>0</v>
      </c>
      <c r="Y203">
        <f>46.5* IF($M$1="NDX", 10, IF(OR($M$1="SPX", $M$1="RUT"), 2, 1))</f>
        <v>93</v>
      </c>
      <c r="Z203">
        <f ca="1">IFERROR(Table1[[#This Row],[call gamma]]*(Table1[[#This Row],[Open.Int]])*$A$4^2,0)</f>
        <v>0</v>
      </c>
      <c r="AA203">
        <f ca="1">IFERROR(((Table1[[#This Row],[Open.Int8]])*Table1[[#This Row],[Put gamma]])*-1*$A$4^2,0)</f>
        <v>0</v>
      </c>
      <c r="AB203">
        <f ca="1">(Table1[[#This Row],[Call Gex]]+Table1[[#This Row],[Put Gex]])</f>
        <v>0</v>
      </c>
      <c r="AC203">
        <f ca="1">Table1[[#This Row],[call delta adj]]+Table1[[#This Row],[put delta adj]]</f>
        <v>0</v>
      </c>
      <c r="AD203">
        <f ca="1">Table1[[#This Row],[Put Gex]]*Table1[[#This Row],[DeltaP]]*-1</f>
        <v>0</v>
      </c>
      <c r="AE203">
        <f ca="1">Table1[[#This Row],[Call Gex]]*Table1[[#This Row],[DeltaC]]</f>
        <v>0</v>
      </c>
      <c r="AF203">
        <f>IF(Table1[[#This Row],[DeltaC]]-ABS(Table1[[#This Row],[DeltaP]])="0","0.01",Table1[[#This Row],[DeltaC]]-ABS(Table1[[#This Row],[DeltaP]]))</f>
        <v>0</v>
      </c>
      <c r="AG203" t="e">
        <f ca="1">((LN($A$4/Table1[[#This Row],[Strike]]) + (0.411 + 0.5 * Table1[[#This Row],[IV Calc P]]^2) *Table1[[#This Row],[T]])) / (Table1[[#This Row],[IV Calc P]] * SQRT(Table1[[#This Row],[T]]))</f>
        <v>#DIV/0!</v>
      </c>
      <c r="AH203" t="e">
        <f ca="1">(LN($A$4/Table1[[#This Row],[Strike]]) + (0.411-0 + 0.5 * Table1[[#This Row],[IV Calc C]]^2) *Table1[[#This Row],[T]]) / (Table1[[#This Row],[IV Calc C]] * SQRT(Table1[[#This Row],[T]]))</f>
        <v>#DIV/0!</v>
      </c>
      <c r="AI203" t="e">
        <f ca="1">(EXP(-(AG203^2)/2)/SQRT(2*PI())*EXP(0*SQRT(Table1[[#This Row],[T]]))/$A$4*18%*SQRT(SQRT(Table1[[#This Row],[T]])))</f>
        <v>#DIV/0!</v>
      </c>
      <c r="AJ203" t="e">
        <f ca="1">(EXP(-(AH203^2)/2)/SQRT(2*PI())*EXP(0*SQRT(Table1[[#This Row],[T]]))/$A$4*18%*SQRT(SQRT(Table1[[#This Row],[T]])))</f>
        <v>#DIV/0!</v>
      </c>
      <c r="AK203" t="e">
        <f ca="1">Table1[[#This Row],[Call D1]]-Table1[[#This Row],[IV Calc C]]*SQRT(Table1[[#This Row],[T]])</f>
        <v>#DIV/0!</v>
      </c>
      <c r="AL203" t="e">
        <f ca="1">Table1[[#This Row],[Put D1]]-Table1[[#This Row],[IV Calc P]]*SQRT(Table1[[#This Row],[T]])</f>
        <v>#DIV/0!</v>
      </c>
      <c r="AM203" t="e">
        <f ca="1">EXP(-0.5*Table1[[#This Row],[Call D1]]^2)/SQRT(2*PI())</f>
        <v>#DIV/0!</v>
      </c>
      <c r="AN203" t="e">
        <f ca="1">EXP(-0.5*Table1[[#This Row],[Put D1]]^2)/SQRT(2*PI())</f>
        <v>#DIV/0!</v>
      </c>
      <c r="AO203">
        <f ca="1">IFERROR((EXP(0*Table1[[#This Row],[T]])*Table1[[#This Row],[call N(d1)]]*(Table1[[#This Row],[call d2]]/Table1[[#This Row],[IV Calc C]]))*Table1[[#This Row],[Open.Int]]*Table1[[#This Row],[DeltaC]],0)</f>
        <v>0</v>
      </c>
      <c r="AP203">
        <f ca="1">IFERROR((EXP(0*Table1[[#This Row],[T]])*Table1[[#This Row],[put N(d1)]]*(Table1[[#This Row],[put d2]]/Table1[[#This Row],[IV Calc P]]))*Table1[[#This Row],[Open.Int8]]*Table1[[#This Row],[DeltaP]]*-1,0)</f>
        <v>0</v>
      </c>
      <c r="AQ203">
        <f ca="1">((Table1[[#This Row],[call vanna]]+Table1[[#This Row],[put vanna]])*$A$4)</f>
        <v>0</v>
      </c>
      <c r="AR20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3" s="9" t="str" cm="1">
        <f t="array" ref="AT203">_xlfn.IFS(     $M$1="SPX","SPXW",     $M$1="RUT","RUTW",  $M$1="NDX","NDXP",   TRUE,$M$1 )</f>
        <v>SPXW</v>
      </c>
      <c r="AU203" s="2">
        <f t="shared" si="22"/>
        <v>6915</v>
      </c>
      <c r="AV203" t="str">
        <f t="shared" si="23"/>
        <v>260123</v>
      </c>
      <c r="AW203">
        <f ca="1">IFERROR((EXP(0*Table1[[#This Row],[T]])*Table1[[#This Row],[put N(d1)]]*(Table1[[#This Row],[put d2]]/Table1[[#This Row],[IV Calc P]]))*Table1[[#This Row],[Open.Int8]]*Table1[[#This Row],[DeltaP]]*-1,0)</f>
        <v>0</v>
      </c>
      <c r="AX203">
        <f ca="1">IFERROR((EXP(0*Table1[[#This Row],[T]])*Table1[[#This Row],[call N(d1)]]*(Table1[[#This Row],[call d2]]/Table1[[#This Row],[IV Calc C]]))*Table1[[#This Row],[Open.Int]]*Table1[[#This Row],[DeltaC]],0)</f>
        <v>0</v>
      </c>
      <c r="AY20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3">
        <f>((Table1[[#This Row],[High C]]+Table1[[#This Row],[Low C]])/2)*Table1[[#This Row],[gammac]]*Table1[[#This Row],[Volume]]</f>
        <v>0</v>
      </c>
      <c r="BD203">
        <f>((Table1[[#This Row],[High P]]+Table1[[#This Row],[Low P]])/2)*Table1[[#This Row],[gammap]]*Table1[[#This Row],[Volume9]]*-1</f>
        <v>0</v>
      </c>
      <c r="BE203">
        <f>(Table1[[#This Row],[SgammaC]]+Table1[[#This Row],[SgammaP]])*$A$4*-100</f>
        <v>0</v>
      </c>
      <c r="BF203">
        <f>Table1[[#This Row],[DEXc]]+Table1[[#This Row],[DEXp]]</f>
        <v>0</v>
      </c>
      <c r="BG203">
        <f>IFERROR(Table1[[#This Row],[DeltaC]]*Table1[[#This Row],[Open.Int]]*$A$4,0)</f>
        <v>0</v>
      </c>
      <c r="BH203">
        <f>IFERROR(Table1[[#This Row],[DeltaP]]*Table1[[#This Row],[Open.Int8]]*$A$4,0)</f>
        <v>0</v>
      </c>
      <c r="BI20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3">
        <f ca="1">Table1[[#This Row],[Charmc]]+Table1[[#This Row],[Charmp]]</f>
        <v>0</v>
      </c>
      <c r="BL203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3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3" s="78">
        <f ca="1">Table1[[#This Row],[call helper]]+Table1[[#This Row],[put helper]]</f>
        <v>0</v>
      </c>
      <c r="BP203" t="str">
        <f>RTD("tos.rtd", , "STRIKE", "."&amp;Table1[[#This Row],[Ticker]]&amp;Table1[[#This Row],[Expiry]]&amp;""&amp;"C"&amp;Table1[[#This Row],[Spot]]+Table1[[#This Row],[step]])</f>
        <v>N/A</v>
      </c>
    </row>
    <row r="204" spans="1:68" x14ac:dyDescent="0.25">
      <c r="A204">
        <f t="shared" ca="1" si="19"/>
        <v>2.5814307458086375E-3</v>
      </c>
      <c r="C204" s="17"/>
      <c r="D204" t="b">
        <f>IF(
    ISNUMBER(Table1[[#This Row],[Strike]]),RTD("tos.rtd", , "OPEN_INT", "."&amp;Table1[[#This Row],[Ticker]]&amp;Table1[[#This Row],[Expiry]]&amp;""&amp;"C"&amp;Table1[[#This Row],[Strike]]))</f>
        <v>0</v>
      </c>
      <c r="E20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4" t="b">
        <f>IF(
    ISNUMBER(Table1[[#This Row],[Strike]]),RTD("tos.rtd", , "DELTA", "."&amp;Table1[[#This Row],[Ticker]]&amp;Table1[[#This Row],[Expiry]]&amp;""&amp;"C"&amp;Table1[[#This Row],[Strike]]))</f>
        <v>0</v>
      </c>
      <c r="H204" s="17" t="b" cm="1">
        <f t="array" ref="H204">IF(
    ISNUMBER(Table1[[#This Row],[Strike]]),IndividualLegIVCore($A$4, Table1[[#This Row],[Strike]], 0.0411, Table1[[#This Row],[T]], ((Table1[[#This Row],[BIDC]]+Table1[[#This Row],[ASKC]])/2), TRUE))</f>
        <v>0</v>
      </c>
      <c r="I204" t="b">
        <f>IF(
    ISNUMBER(Table1[[#This Row],[Strike]]),RTD("tos.rtd", , "BID", "."&amp;Table1[[#This Row],[Ticker]]&amp;Table1[[#This Row],[Expiry]]&amp;""&amp;"C"&amp;Table1[[#This Row],[Strike]]))</f>
        <v>0</v>
      </c>
      <c r="J204" t="b">
        <f>IF(
    ISNUMBER(Table1[[#This Row],[Strike]]),RTD("tos.rtd", , "ASK", "."&amp;Table1[[#This Row],[Ticker]]&amp;Table1[[#This Row],[Expiry]]&amp;""&amp;"C"&amp;Table1[[#This Row],[Strike]]))</f>
        <v>0</v>
      </c>
      <c r="K204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4" s="17" cm="1">
        <f t="array" aca="1" ref="L20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4" s="1">
        <f t="shared" si="20"/>
        <v>46045</v>
      </c>
      <c r="N204" t="b">
        <f t="shared" si="21"/>
        <v>0</v>
      </c>
      <c r="P204" s="17" t="b" cm="1">
        <f t="array" ref="P204">IF(
    ISNUMBER(Table1[[#This Row],[Strike]]),IndividualLegIVCore($A$4, Table1[[#This Row],[Strike]], 0.0411, Table1[[#This Row],[T]], ((Table1[[#This Row],[BIDP]]+Table1[[#This Row],[ASKP]])/2), FALSE))</f>
        <v>0</v>
      </c>
      <c r="Q204" t="b">
        <f>IF(
    ISNUMBER(Table1[[#This Row],[Strike]]),RTD("tos.rtd", , "BID", "."&amp;Table1[[#This Row],[Ticker]]&amp;Table1[[#This Row],[Expiry]]&amp;""&amp;"P"&amp;Table1[[#This Row],[Strike]]))</f>
        <v>0</v>
      </c>
      <c r="R204" t="b">
        <f>IF(
    ISNUMBER(Table1[[#This Row],[Strike]]),RTD("tos.rtd", , "ASK", "."&amp;Table1[[#This Row],[Ticker]]&amp;Table1[[#This Row],[Expiry]]&amp;""&amp;"P"&amp;Table1[[#This Row],[Strike]]))</f>
        <v>0</v>
      </c>
      <c r="S204" s="17"/>
      <c r="T204" t="b">
        <f>IF(
    ISNUMBER(Table1[[#This Row],[Strike]]),RTD("tos.rtd", , "OPEN_INT", "."&amp;Table1[[#This Row],[Ticker]]&amp;Table1[[#This Row],[Expiry]]&amp;""&amp;"P"&amp;Table1[[#This Row],[Strike]]))</f>
        <v>0</v>
      </c>
      <c r="U20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4" t="b">
        <f>IF(
    ISNUMBER(Table1[[#This Row],[Strike]]),RTD("tos.rtd", , "DELTA", "."&amp;Table1[[#This Row],[Ticker]]&amp;Table1[[#This Row],[Expiry]]&amp;""&amp;"P"&amp;Table1[[#This Row],[Strike]]))</f>
        <v>0</v>
      </c>
      <c r="Y204">
        <f>47* IF($M$1="NDX", 10, IF(OR($M$1="SPX", $M$1="RUT"), 2, 1))</f>
        <v>94</v>
      </c>
      <c r="Z204">
        <f ca="1">IFERROR(Table1[[#This Row],[call gamma]]*(Table1[[#This Row],[Open.Int]])*$A$4^2,0)</f>
        <v>0</v>
      </c>
      <c r="AA204">
        <f ca="1">IFERROR(((Table1[[#This Row],[Open.Int8]])*Table1[[#This Row],[Put gamma]])*-1*$A$4^2,0)</f>
        <v>0</v>
      </c>
      <c r="AB204">
        <f ca="1">(Table1[[#This Row],[Call Gex]]+Table1[[#This Row],[Put Gex]])</f>
        <v>0</v>
      </c>
      <c r="AC204">
        <f ca="1">Table1[[#This Row],[call delta adj]]+Table1[[#This Row],[put delta adj]]</f>
        <v>0</v>
      </c>
      <c r="AD204">
        <f ca="1">Table1[[#This Row],[Put Gex]]*Table1[[#This Row],[DeltaP]]*-1</f>
        <v>0</v>
      </c>
      <c r="AE204">
        <f ca="1">Table1[[#This Row],[Call Gex]]*Table1[[#This Row],[DeltaC]]</f>
        <v>0</v>
      </c>
      <c r="AF204">
        <f>IF(Table1[[#This Row],[DeltaC]]-ABS(Table1[[#This Row],[DeltaP]])="0","0.01",Table1[[#This Row],[DeltaC]]-ABS(Table1[[#This Row],[DeltaP]]))</f>
        <v>0</v>
      </c>
      <c r="AG204" t="e">
        <f ca="1">((LN($A$4/Table1[[#This Row],[Strike]]) + (0.411 + 0.5 * Table1[[#This Row],[IV Calc P]]^2) *Table1[[#This Row],[T]])) / (Table1[[#This Row],[IV Calc P]] * SQRT(Table1[[#This Row],[T]]))</f>
        <v>#DIV/0!</v>
      </c>
      <c r="AH204" t="e">
        <f ca="1">(LN($A$4/Table1[[#This Row],[Strike]]) + (0.411-0 + 0.5 * Table1[[#This Row],[IV Calc C]]^2) *Table1[[#This Row],[T]]) / (Table1[[#This Row],[IV Calc C]] * SQRT(Table1[[#This Row],[T]]))</f>
        <v>#DIV/0!</v>
      </c>
      <c r="AI204" t="e">
        <f ca="1">(EXP(-(AG204^2)/2)/SQRT(2*PI())*EXP(0*SQRT(Table1[[#This Row],[T]]))/$A$4*18%*SQRT(SQRT(Table1[[#This Row],[T]])))</f>
        <v>#DIV/0!</v>
      </c>
      <c r="AJ204" t="e">
        <f ca="1">(EXP(-(AH204^2)/2)/SQRT(2*PI())*EXP(0*SQRT(Table1[[#This Row],[T]]))/$A$4*18%*SQRT(SQRT(Table1[[#This Row],[T]])))</f>
        <v>#DIV/0!</v>
      </c>
      <c r="AK204" t="e">
        <f ca="1">Table1[[#This Row],[Call D1]]-Table1[[#This Row],[IV Calc C]]*SQRT(Table1[[#This Row],[T]])</f>
        <v>#DIV/0!</v>
      </c>
      <c r="AL204" t="e">
        <f ca="1">Table1[[#This Row],[Put D1]]-Table1[[#This Row],[IV Calc P]]*SQRT(Table1[[#This Row],[T]])</f>
        <v>#DIV/0!</v>
      </c>
      <c r="AM204" t="e">
        <f ca="1">EXP(-0.5*Table1[[#This Row],[Call D1]]^2)/SQRT(2*PI())</f>
        <v>#DIV/0!</v>
      </c>
      <c r="AN204" t="e">
        <f ca="1">EXP(-0.5*Table1[[#This Row],[Put D1]]^2)/SQRT(2*PI())</f>
        <v>#DIV/0!</v>
      </c>
      <c r="AO204">
        <f ca="1">IFERROR((EXP(0*Table1[[#This Row],[T]])*Table1[[#This Row],[call N(d1)]]*(Table1[[#This Row],[call d2]]/Table1[[#This Row],[IV Calc C]]))*Table1[[#This Row],[Open.Int]]*Table1[[#This Row],[DeltaC]],0)</f>
        <v>0</v>
      </c>
      <c r="AP204">
        <f ca="1">IFERROR((EXP(0*Table1[[#This Row],[T]])*Table1[[#This Row],[put N(d1)]]*(Table1[[#This Row],[put d2]]/Table1[[#This Row],[IV Calc P]]))*Table1[[#This Row],[Open.Int8]]*Table1[[#This Row],[DeltaP]]*-1,0)</f>
        <v>0</v>
      </c>
      <c r="AQ204">
        <f ca="1">((Table1[[#This Row],[call vanna]]+Table1[[#This Row],[put vanna]])*$A$4)</f>
        <v>0</v>
      </c>
      <c r="AR20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4" s="9" t="str" cm="1">
        <f t="array" ref="AT204">_xlfn.IFS(     $M$1="SPX","SPXW",     $M$1="RUT","RUTW",  $M$1="NDX","NDXP",   TRUE,$M$1 )</f>
        <v>SPXW</v>
      </c>
      <c r="AU204" s="2">
        <f t="shared" si="22"/>
        <v>6915</v>
      </c>
      <c r="AV204" t="str">
        <f t="shared" si="23"/>
        <v>260123</v>
      </c>
      <c r="AW204">
        <f ca="1">IFERROR((EXP(0*Table1[[#This Row],[T]])*Table1[[#This Row],[put N(d1)]]*(Table1[[#This Row],[put d2]]/Table1[[#This Row],[IV Calc P]]))*Table1[[#This Row],[Open.Int8]]*Table1[[#This Row],[DeltaP]]*-1,0)</f>
        <v>0</v>
      </c>
      <c r="AX204">
        <f ca="1">IFERROR((EXP(0*Table1[[#This Row],[T]])*Table1[[#This Row],[call N(d1)]]*(Table1[[#This Row],[call d2]]/Table1[[#This Row],[IV Calc C]]))*Table1[[#This Row],[Open.Int]]*Table1[[#This Row],[DeltaC]],0)</f>
        <v>0</v>
      </c>
      <c r="AY20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4">
        <f>((Table1[[#This Row],[High C]]+Table1[[#This Row],[Low C]])/2)*Table1[[#This Row],[gammac]]*Table1[[#This Row],[Volume]]</f>
        <v>0</v>
      </c>
      <c r="BD204">
        <f>((Table1[[#This Row],[High P]]+Table1[[#This Row],[Low P]])/2)*Table1[[#This Row],[gammap]]*Table1[[#This Row],[Volume9]]*-1</f>
        <v>0</v>
      </c>
      <c r="BE204">
        <f>(Table1[[#This Row],[SgammaC]]+Table1[[#This Row],[SgammaP]])*$A$4*-100</f>
        <v>0</v>
      </c>
      <c r="BF204">
        <f>Table1[[#This Row],[DEXc]]+Table1[[#This Row],[DEXp]]</f>
        <v>0</v>
      </c>
      <c r="BG204">
        <f>IFERROR(Table1[[#This Row],[DeltaC]]*Table1[[#This Row],[Open.Int]]*$A$4,0)</f>
        <v>0</v>
      </c>
      <c r="BH204">
        <f>IFERROR(Table1[[#This Row],[DeltaP]]*Table1[[#This Row],[Open.Int8]]*$A$4,0)</f>
        <v>0</v>
      </c>
      <c r="BI20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4">
        <f ca="1">Table1[[#This Row],[Charmc]]+Table1[[#This Row],[Charmp]]</f>
        <v>0</v>
      </c>
      <c r="BL204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4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4" s="78">
        <f ca="1">Table1[[#This Row],[call helper]]+Table1[[#This Row],[put helper]]</f>
        <v>0</v>
      </c>
      <c r="BP204" t="str">
        <f>RTD("tos.rtd", , "STRIKE", "."&amp;Table1[[#This Row],[Ticker]]&amp;Table1[[#This Row],[Expiry]]&amp;""&amp;"C"&amp;Table1[[#This Row],[Spot]]+Table1[[#This Row],[step]])</f>
        <v>N/A</v>
      </c>
    </row>
    <row r="205" spans="1:68" x14ac:dyDescent="0.25">
      <c r="A205">
        <f t="shared" ca="1" si="19"/>
        <v>2.5814307458086375E-3</v>
      </c>
      <c r="C205" s="17"/>
      <c r="D205">
        <f>IF(
    ISNUMBER(Table1[[#This Row],[Strike]]),RTD("tos.rtd", , "OPEN_INT", "."&amp;Table1[[#This Row],[Ticker]]&amp;Table1[[#This Row],[Expiry]]&amp;""&amp;"C"&amp;Table1[[#This Row],[Strike]]))</f>
        <v>1527</v>
      </c>
      <c r="E20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2659</v>
      </c>
      <c r="G205">
        <f>IF(
    ISNUMBER(Table1[[#This Row],[Strike]]),RTD("tos.rtd", , "DELTA", "."&amp;Table1[[#This Row],[Ticker]]&amp;Table1[[#This Row],[Expiry]]&amp;""&amp;"C"&amp;Table1[[#This Row],[Strike]]))</f>
        <v>0.01</v>
      </c>
      <c r="H205" s="17" cm="1">
        <f t="array" aca="1" ref="H205" ca="1">IF(
    ISNUMBER(Table1[[#This Row],[Strike]]),IndividualLegIVCore($A$4, Table1[[#This Row],[Strike]], 0.0411, Table1[[#This Row],[T]], ((Table1[[#This Row],[BIDC]]+Table1[[#This Row],[ASKC]])/2), TRUE))</f>
        <v>0.10816734264401703</v>
      </c>
      <c r="I205">
        <f>IF(
    ISNUMBER(Table1[[#This Row],[Strike]]),RTD("tos.rtd", , "BID", "."&amp;Table1[[#This Row],[Ticker]]&amp;Table1[[#This Row],[Expiry]]&amp;""&amp;"C"&amp;Table1[[#This Row],[Strike]]))</f>
        <v>0.05</v>
      </c>
      <c r="J205">
        <f>IF(
    ISNUMBER(Table1[[#This Row],[Strike]]),RTD("tos.rtd", , "ASK", "."&amp;Table1[[#This Row],[Ticker]]&amp;Table1[[#This Row],[Expiry]]&amp;""&amp;"C"&amp;Table1[[#This Row],[Strike]]))</f>
        <v>0.1</v>
      </c>
      <c r="K205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0.10816734264401703</v>
      </c>
      <c r="L205" s="17" cm="1">
        <f t="array" aca="1" ref="L205" ca="1">CubicSplineIVSmile($A$4, Table1[[#This Row],[Strike]], 0.0411, Table1[[#This Row],[T]], (Table1[[#This Row],[BIDC]]+Table1[[#This Row],[ASKC]])/2, (Table1[[#This Row],[BIDP]]+Table1[[#This Row],[ASKP]])/2, Table1[Strike], Table1[IV Calc AVG])</f>
        <v>0.22492888294235022</v>
      </c>
      <c r="M205" s="1">
        <f t="shared" si="20"/>
        <v>46045</v>
      </c>
      <c r="N205">
        <f t="shared" si="21"/>
        <v>7010</v>
      </c>
      <c r="P205" s="17" cm="1">
        <f t="array" aca="1" ref="P205" ca="1">IF(
    ISNUMBER(Table1[[#This Row],[Strike]]),IndividualLegIVCore($A$4, Table1[[#This Row],[Strike]], 0.0411, Table1[[#This Row],[T]], ((Table1[[#This Row],[BIDP]]+Table1[[#This Row],[ASKP]])/2), FALSE))</f>
        <v>0.23183330639762401</v>
      </c>
      <c r="Q205">
        <f>IF(
    ISNUMBER(Table1[[#This Row],[Strike]]),RTD("tos.rtd", , "BID", "."&amp;Table1[[#This Row],[Ticker]]&amp;Table1[[#This Row],[Expiry]]&amp;""&amp;"P"&amp;Table1[[#This Row],[Strike]]))</f>
        <v>98.4</v>
      </c>
      <c r="R205">
        <f>IF(
    ISNUMBER(Table1[[#This Row],[Strike]]),RTD("tos.rtd", , "ASK", "."&amp;Table1[[#This Row],[Ticker]]&amp;Table1[[#This Row],[Expiry]]&amp;""&amp;"P"&amp;Table1[[#This Row],[Strike]]))</f>
        <v>103.2</v>
      </c>
      <c r="S205" s="17"/>
      <c r="T205">
        <f>IF(
    ISNUMBER(Table1[[#This Row],[Strike]]),RTD("tos.rtd", , "OPEN_INT", "."&amp;Table1[[#This Row],[Ticker]]&amp;Table1[[#This Row],[Expiry]]&amp;""&amp;"P"&amp;Table1[[#This Row],[Strike]]))</f>
        <v>120</v>
      </c>
      <c r="U20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21</v>
      </c>
      <c r="W205">
        <f>IF(
    ISNUMBER(Table1[[#This Row],[Strike]]),RTD("tos.rtd", , "DELTA", "."&amp;Table1[[#This Row],[Ticker]]&amp;Table1[[#This Row],[Expiry]]&amp;""&amp;"P"&amp;Table1[[#This Row],[Strike]]))</f>
        <v>-0.88</v>
      </c>
      <c r="Y205">
        <f>47.5* IF($M$1="NDX", 10, IF(OR($M$1="SPX", $M$1="RUT"), 2, 1))</f>
        <v>95</v>
      </c>
      <c r="Z205">
        <f ca="1">IFERROR(Table1[[#This Row],[call gamma]]*(Table1[[#This Row],[Open.Int]])*$A$4^2,0)</f>
        <v>11308.233330951012</v>
      </c>
      <c r="AA205">
        <f ca="1">IFERROR(((Table1[[#This Row],[Open.Int8]])*Table1[[#This Row],[Put gamma]])*-1*$A$4^2,0)</f>
        <v>-7472.5643405761966</v>
      </c>
      <c r="AB205">
        <f ca="1">(Table1[[#This Row],[Call Gex]]+Table1[[#This Row],[Put Gex]])</f>
        <v>3835.6689903748156</v>
      </c>
      <c r="AC205">
        <f ca="1">Table1[[#This Row],[call delta adj]]+Table1[[#This Row],[put delta adj]]</f>
        <v>-6462.7742863975427</v>
      </c>
      <c r="AD205">
        <f ca="1">Table1[[#This Row],[Put Gex]]*Table1[[#This Row],[DeltaP]]*-1</f>
        <v>-6575.8566197070531</v>
      </c>
      <c r="AE205">
        <f ca="1">Table1[[#This Row],[Call Gex]]*Table1[[#This Row],[DeltaC]]</f>
        <v>113.08233330951012</v>
      </c>
      <c r="AF205">
        <f>IF(Table1[[#This Row],[DeltaC]]-ABS(Table1[[#This Row],[DeltaP]])="0","0.01",Table1[[#This Row],[DeltaC]]-ABS(Table1[[#This Row],[DeltaP]]))</f>
        <v>-0.87</v>
      </c>
      <c r="AG205">
        <f ca="1">((LN($A$4/Table1[[#This Row],[Strike]]) + (0.411 + 0.5 * Table1[[#This Row],[IV Calc P]]^2) *Table1[[#This Row],[T]])) / (Table1[[#This Row],[IV Calc P]] * SQRT(Table1[[#This Row],[T]]))</f>
        <v>-1.0826984905165336</v>
      </c>
      <c r="AH205">
        <f ca="1">(LN($A$4/Table1[[#This Row],[Strike]]) + (0.411-0 + 0.5 * Table1[[#This Row],[IV Calc C]]^2) *Table1[[#This Row],[T]]) / (Table1[[#This Row],[IV Calc C]] * SQRT(Table1[[#This Row],[T]]))</f>
        <v>-2.3304049969078626</v>
      </c>
      <c r="AI205">
        <f ca="1">(EXP(-(AG205^2)/2)/SQRT(2*PI())*EXP(0*SQRT(Table1[[#This Row],[T]]))/$A$4*18%*SQRT(SQRT(Table1[[#This Row],[T]])))</f>
        <v>1.3029007329666312E-6</v>
      </c>
      <c r="AJ205">
        <f ca="1">(EXP(-(AH205^2)/2)/SQRT(2*PI())*EXP(0*SQRT(Table1[[#This Row],[T]]))/$A$4*18%*SQRT(SQRT(Table1[[#This Row],[T]])))</f>
        <v>1.5494538138389968E-7</v>
      </c>
      <c r="AK205">
        <f ca="1">Table1[[#This Row],[Call D1]]-Table1[[#This Row],[IV Calc C]]*SQRT(Table1[[#This Row],[T]])</f>
        <v>-2.3359007397086837</v>
      </c>
      <c r="AL205">
        <f ca="1">Table1[[#This Row],[Put D1]]-Table1[[#This Row],[IV Calc P]]*SQRT(Table1[[#This Row],[T]])</f>
        <v>-1.0944774266860053</v>
      </c>
      <c r="AM205">
        <f ca="1">EXP(-0.5*Table1[[#This Row],[Call D1]]^2)/SQRT(2*PI())</f>
        <v>2.6401557931578688E-2</v>
      </c>
      <c r="AN205">
        <f ca="1">EXP(-0.5*Table1[[#This Row],[Put D1]]^2)/SQRT(2*PI())</f>
        <v>0.22200474046585039</v>
      </c>
      <c r="AO205">
        <f ca="1">IFERROR((EXP(0*Table1[[#This Row],[T]])*Table1[[#This Row],[call N(d1)]]*(Table1[[#This Row],[call d2]]/Table1[[#This Row],[IV Calc C]]))*Table1[[#This Row],[Open.Int]]*Table1[[#This Row],[DeltaC]],0)</f>
        <v>-8.7061634367434415</v>
      </c>
      <c r="AP205">
        <f ca="1">IFERROR((EXP(0*Table1[[#This Row],[T]])*Table1[[#This Row],[put N(d1)]]*(Table1[[#This Row],[put d2]]/Table1[[#This Row],[IV Calc P]]))*Table1[[#This Row],[Open.Int8]]*Table1[[#This Row],[DeltaP]]*-1,0)</f>
        <v>-110.67694066886197</v>
      </c>
      <c r="AQ205">
        <f ca="1">((Table1[[#This Row],[call vanna]]+Table1[[#This Row],[put vanna]])*$A$4)</f>
        <v>-825337.18276848726</v>
      </c>
      <c r="AR20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11308.233330951012</v>
      </c>
      <c r="AS20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-7472.5643405761966</v>
      </c>
      <c r="AT205" s="9" t="str" cm="1">
        <f t="array" ref="AT205">_xlfn.IFS(     $M$1="SPX","SPXW",     $M$1="RUT","RUTW",  $M$1="NDX","NDXP",   TRUE,$M$1 )</f>
        <v>SPXW</v>
      </c>
      <c r="AU205" s="2">
        <f t="shared" si="22"/>
        <v>6915</v>
      </c>
      <c r="AV205" t="str">
        <f t="shared" si="23"/>
        <v>260123</v>
      </c>
      <c r="AW205">
        <f ca="1">IFERROR((EXP(0*Table1[[#This Row],[T]])*Table1[[#This Row],[put N(d1)]]*(Table1[[#This Row],[put d2]]/Table1[[#This Row],[IV Calc P]]))*Table1[[#This Row],[Open.Int8]]*Table1[[#This Row],[DeltaP]]*-1,0)</f>
        <v>-110.67694066886197</v>
      </c>
      <c r="AX205">
        <f ca="1">IFERROR((EXP(0*Table1[[#This Row],[T]])*Table1[[#This Row],[call N(d1)]]*(Table1[[#This Row],[call d2]]/Table1[[#This Row],[IV Calc C]]))*Table1[[#This Row],[Open.Int]]*Table1[[#This Row],[DeltaC]],0)</f>
        <v>-8.7061634367434415</v>
      </c>
      <c r="AY205">
        <f>IF(
    ISNUMBER(Table1[[#This Row],[Strike]]),RTD("tos.rtd", , "high", "."&amp;Table1[[#This Row],[Ticker]]&amp;Table1[[#This Row],[Expiry]]&amp;""&amp;"C"&amp;Table1[[#This Row],[Spot]]+Table1[[#This Row],[step]]))</f>
        <v>1.17</v>
      </c>
      <c r="AZ205">
        <f>IF(
    ISNUMBER(Table1[[#This Row],[Strike]]),RTD("tos.rtd", , "low", "."&amp;Table1[[#This Row],[Ticker]]&amp;Table1[[#This Row],[Expiry]]&amp;""&amp;"C"&amp;Table1[[#This Row],[Spot]]+Table1[[#This Row],[step]]))</f>
        <v>0.05</v>
      </c>
      <c r="BA205">
        <f>IF(
    ISNUMBER(Table1[[#This Row],[Strike]]),RTD("tos.rtd", , "high", "."&amp;Table1[[#This Row],[Ticker]]&amp;Table1[[#This Row],[Expiry]]&amp;""&amp;"P"&amp;Table1[[#This Row],[Spot]]+Table1[[#This Row],[step]]))</f>
        <v>112.57</v>
      </c>
      <c r="BB205">
        <f>IF(
    ISNUMBER(Table1[[#This Row],[Strike]]),RTD("tos.rtd", , "low", "."&amp;Table1[[#This Row],[Ticker]]&amp;Table1[[#This Row],[Expiry]]&amp;""&amp;"P"&amp;Table1[[#This Row],[Spot]]+Table1[[#This Row],[step]]))</f>
        <v>76.459999999999994</v>
      </c>
      <c r="BC205">
        <f>((Table1[[#This Row],[High C]]+Table1[[#This Row],[Low C]])/2)*Table1[[#This Row],[gammac]]*Table1[[#This Row],[Volume]]</f>
        <v>0</v>
      </c>
      <c r="BD205">
        <f>((Table1[[#This Row],[High P]]+Table1[[#This Row],[Low P]])/2)*Table1[[#This Row],[gammap]]*Table1[[#This Row],[Volume9]]*-1</f>
        <v>0</v>
      </c>
      <c r="BE205">
        <f>(Table1[[#This Row],[SgammaC]]+Table1[[#This Row],[SgammaP]])*$A$4*-100</f>
        <v>0</v>
      </c>
      <c r="BF205">
        <f>Table1[[#This Row],[DEXc]]+Table1[[#This Row],[DEXp]]</f>
        <v>-624482.90549999999</v>
      </c>
      <c r="BG205">
        <f>IFERROR(Table1[[#This Row],[DeltaC]]*Table1[[#This Row],[Open.Int]]*$A$4,0)</f>
        <v>105566.8545</v>
      </c>
      <c r="BH205">
        <f>IFERROR(Table1[[#This Row],[DeltaP]]*Table1[[#This Row],[Open.Int8]]*$A$4,0)</f>
        <v>-730049.76</v>
      </c>
      <c r="BI20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-637357.83678870741</v>
      </c>
      <c r="BJ20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-621551.67528139206</v>
      </c>
      <c r="BK205">
        <f ca="1">Table1[[#This Row],[Charmc]]+Table1[[#This Row],[Charmp]]</f>
        <v>-1258909.5120700994</v>
      </c>
      <c r="BL205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5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5" s="78">
        <f ca="1">Table1[[#This Row],[call helper]]+Table1[[#This Row],[put helper]]</f>
        <v>3835.6689903748156</v>
      </c>
      <c r="BP205">
        <f>RTD("tos.rtd", , "STRIKE", "."&amp;Table1[[#This Row],[Ticker]]&amp;Table1[[#This Row],[Expiry]]&amp;""&amp;"C"&amp;Table1[[#This Row],[Spot]]+Table1[[#This Row],[step]])</f>
        <v>7010</v>
      </c>
    </row>
    <row r="206" spans="1:68" x14ac:dyDescent="0.25">
      <c r="A206">
        <f t="shared" ca="1" si="19"/>
        <v>2.5814307458086375E-3</v>
      </c>
      <c r="C206" s="17"/>
      <c r="D206" t="b">
        <f>IF(
    ISNUMBER(Table1[[#This Row],[Strike]]),RTD("tos.rtd", , "OPEN_INT", "."&amp;Table1[[#This Row],[Ticker]]&amp;Table1[[#This Row],[Expiry]]&amp;""&amp;"C"&amp;Table1[[#This Row],[Strike]]))</f>
        <v>0</v>
      </c>
      <c r="E20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6" t="b">
        <f>IF(
    ISNUMBER(Table1[[#This Row],[Strike]]),RTD("tos.rtd", , "DELTA", "."&amp;Table1[[#This Row],[Ticker]]&amp;Table1[[#This Row],[Expiry]]&amp;""&amp;"C"&amp;Table1[[#This Row],[Strike]]))</f>
        <v>0</v>
      </c>
      <c r="H206" s="17" t="b" cm="1">
        <f t="array" ref="H206">IF(
    ISNUMBER(Table1[[#This Row],[Strike]]),IndividualLegIVCore($A$4, Table1[[#This Row],[Strike]], 0.0411, Table1[[#This Row],[T]], ((Table1[[#This Row],[BIDC]]+Table1[[#This Row],[ASKC]])/2), TRUE))</f>
        <v>0</v>
      </c>
      <c r="I206" t="b">
        <f>IF(
    ISNUMBER(Table1[[#This Row],[Strike]]),RTD("tos.rtd", , "BID", "."&amp;Table1[[#This Row],[Ticker]]&amp;Table1[[#This Row],[Expiry]]&amp;""&amp;"C"&amp;Table1[[#This Row],[Strike]]))</f>
        <v>0</v>
      </c>
      <c r="J206" t="b">
        <f>IF(
    ISNUMBER(Table1[[#This Row],[Strike]]),RTD("tos.rtd", , "ASK", "."&amp;Table1[[#This Row],[Ticker]]&amp;Table1[[#This Row],[Expiry]]&amp;""&amp;"C"&amp;Table1[[#This Row],[Strike]]))</f>
        <v>0</v>
      </c>
      <c r="K206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6" s="17" cm="1">
        <f t="array" aca="1" ref="L20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6" s="1">
        <f t="shared" si="20"/>
        <v>46045</v>
      </c>
      <c r="N206" t="b">
        <f t="shared" si="21"/>
        <v>0</v>
      </c>
      <c r="P206" s="17" t="b" cm="1">
        <f t="array" ref="P206">IF(
    ISNUMBER(Table1[[#This Row],[Strike]]),IndividualLegIVCore($A$4, Table1[[#This Row],[Strike]], 0.0411, Table1[[#This Row],[T]], ((Table1[[#This Row],[BIDP]]+Table1[[#This Row],[ASKP]])/2), FALSE))</f>
        <v>0</v>
      </c>
      <c r="Q206" t="b">
        <f>IF(
    ISNUMBER(Table1[[#This Row],[Strike]]),RTD("tos.rtd", , "BID", "."&amp;Table1[[#This Row],[Ticker]]&amp;Table1[[#This Row],[Expiry]]&amp;""&amp;"P"&amp;Table1[[#This Row],[Strike]]))</f>
        <v>0</v>
      </c>
      <c r="R206" t="b">
        <f>IF(
    ISNUMBER(Table1[[#This Row],[Strike]]),RTD("tos.rtd", , "ASK", "."&amp;Table1[[#This Row],[Ticker]]&amp;Table1[[#This Row],[Expiry]]&amp;""&amp;"P"&amp;Table1[[#This Row],[Strike]]))</f>
        <v>0</v>
      </c>
      <c r="S206" s="17"/>
      <c r="T206" t="b">
        <f>IF(
    ISNUMBER(Table1[[#This Row],[Strike]]),RTD("tos.rtd", , "OPEN_INT", "."&amp;Table1[[#This Row],[Ticker]]&amp;Table1[[#This Row],[Expiry]]&amp;""&amp;"P"&amp;Table1[[#This Row],[Strike]]))</f>
        <v>0</v>
      </c>
      <c r="U20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6" t="b">
        <f>IF(
    ISNUMBER(Table1[[#This Row],[Strike]]),RTD("tos.rtd", , "DELTA", "."&amp;Table1[[#This Row],[Ticker]]&amp;Table1[[#This Row],[Expiry]]&amp;""&amp;"P"&amp;Table1[[#This Row],[Strike]]))</f>
        <v>0</v>
      </c>
      <c r="Y206">
        <f>48* IF($M$1="NDX", 10, IF(OR($M$1="SPX", $M$1="RUT"), 2, 1))</f>
        <v>96</v>
      </c>
      <c r="Z206">
        <f ca="1">IFERROR(Table1[[#This Row],[call gamma]]*(Table1[[#This Row],[Open.Int]])*$A$4^2,0)</f>
        <v>0</v>
      </c>
      <c r="AA206">
        <f ca="1">IFERROR(((Table1[[#This Row],[Open.Int8]])*Table1[[#This Row],[Put gamma]])*-1*$A$4^2,0)</f>
        <v>0</v>
      </c>
      <c r="AB206">
        <f ca="1">(Table1[[#This Row],[Call Gex]]+Table1[[#This Row],[Put Gex]])</f>
        <v>0</v>
      </c>
      <c r="AC206">
        <f ca="1">Table1[[#This Row],[call delta adj]]+Table1[[#This Row],[put delta adj]]</f>
        <v>0</v>
      </c>
      <c r="AD206">
        <f ca="1">Table1[[#This Row],[Put Gex]]*Table1[[#This Row],[DeltaP]]*-1</f>
        <v>0</v>
      </c>
      <c r="AE206">
        <f ca="1">Table1[[#This Row],[Call Gex]]*Table1[[#This Row],[DeltaC]]</f>
        <v>0</v>
      </c>
      <c r="AF206">
        <f>IF(Table1[[#This Row],[DeltaC]]-ABS(Table1[[#This Row],[DeltaP]])="0","0.01",Table1[[#This Row],[DeltaC]]-ABS(Table1[[#This Row],[DeltaP]]))</f>
        <v>0</v>
      </c>
      <c r="AG206" t="e">
        <f ca="1">((LN($A$4/Table1[[#This Row],[Strike]]) + (0.411 + 0.5 * Table1[[#This Row],[IV Calc P]]^2) *Table1[[#This Row],[T]])) / (Table1[[#This Row],[IV Calc P]] * SQRT(Table1[[#This Row],[T]]))</f>
        <v>#DIV/0!</v>
      </c>
      <c r="AH206" t="e">
        <f ca="1">(LN($A$4/Table1[[#This Row],[Strike]]) + (0.411-0 + 0.5 * Table1[[#This Row],[IV Calc C]]^2) *Table1[[#This Row],[T]]) / (Table1[[#This Row],[IV Calc C]] * SQRT(Table1[[#This Row],[T]]))</f>
        <v>#DIV/0!</v>
      </c>
      <c r="AI206" t="e">
        <f ca="1">(EXP(-(AG206^2)/2)/SQRT(2*PI())*EXP(0*SQRT(Table1[[#This Row],[T]]))/$A$4*18%*SQRT(SQRT(Table1[[#This Row],[T]])))</f>
        <v>#DIV/0!</v>
      </c>
      <c r="AJ206" t="e">
        <f ca="1">(EXP(-(AH206^2)/2)/SQRT(2*PI())*EXP(0*SQRT(Table1[[#This Row],[T]]))/$A$4*18%*SQRT(SQRT(Table1[[#This Row],[T]])))</f>
        <v>#DIV/0!</v>
      </c>
      <c r="AK206" t="e">
        <f ca="1">Table1[[#This Row],[Call D1]]-Table1[[#This Row],[IV Calc C]]*SQRT(Table1[[#This Row],[T]])</f>
        <v>#DIV/0!</v>
      </c>
      <c r="AL206" t="e">
        <f ca="1">Table1[[#This Row],[Put D1]]-Table1[[#This Row],[IV Calc P]]*SQRT(Table1[[#This Row],[T]])</f>
        <v>#DIV/0!</v>
      </c>
      <c r="AM206" t="e">
        <f ca="1">EXP(-0.5*Table1[[#This Row],[Call D1]]^2)/SQRT(2*PI())</f>
        <v>#DIV/0!</v>
      </c>
      <c r="AN206" t="e">
        <f ca="1">EXP(-0.5*Table1[[#This Row],[Put D1]]^2)/SQRT(2*PI())</f>
        <v>#DIV/0!</v>
      </c>
      <c r="AO206">
        <f ca="1">IFERROR((EXP(0*Table1[[#This Row],[T]])*Table1[[#This Row],[call N(d1)]]*(Table1[[#This Row],[call d2]]/Table1[[#This Row],[IV Calc C]]))*Table1[[#This Row],[Open.Int]]*Table1[[#This Row],[DeltaC]],0)</f>
        <v>0</v>
      </c>
      <c r="AP206">
        <f ca="1">IFERROR((EXP(0*Table1[[#This Row],[T]])*Table1[[#This Row],[put N(d1)]]*(Table1[[#This Row],[put d2]]/Table1[[#This Row],[IV Calc P]]))*Table1[[#This Row],[Open.Int8]]*Table1[[#This Row],[DeltaP]]*-1,0)</f>
        <v>0</v>
      </c>
      <c r="AQ206">
        <f ca="1">((Table1[[#This Row],[call vanna]]+Table1[[#This Row],[put vanna]])*$A$4)</f>
        <v>0</v>
      </c>
      <c r="AR20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6" s="9" t="str" cm="1">
        <f t="array" ref="AT206">_xlfn.IFS(     $M$1="SPX","SPXW",     $M$1="RUT","RUTW",  $M$1="NDX","NDXP",   TRUE,$M$1 )</f>
        <v>SPXW</v>
      </c>
      <c r="AU206" s="2">
        <f t="shared" si="22"/>
        <v>6915</v>
      </c>
      <c r="AV206" t="str">
        <f t="shared" si="23"/>
        <v>260123</v>
      </c>
      <c r="AW206">
        <f ca="1">IFERROR((EXP(0*Table1[[#This Row],[T]])*Table1[[#This Row],[put N(d1)]]*(Table1[[#This Row],[put d2]]/Table1[[#This Row],[IV Calc P]]))*Table1[[#This Row],[Open.Int8]]*Table1[[#This Row],[DeltaP]]*-1,0)</f>
        <v>0</v>
      </c>
      <c r="AX206">
        <f ca="1">IFERROR((EXP(0*Table1[[#This Row],[T]])*Table1[[#This Row],[call N(d1)]]*(Table1[[#This Row],[call d2]]/Table1[[#This Row],[IV Calc C]]))*Table1[[#This Row],[Open.Int]]*Table1[[#This Row],[DeltaC]],0)</f>
        <v>0</v>
      </c>
      <c r="AY20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6">
        <f>((Table1[[#This Row],[High C]]+Table1[[#This Row],[Low C]])/2)*Table1[[#This Row],[gammac]]*Table1[[#This Row],[Volume]]</f>
        <v>0</v>
      </c>
      <c r="BD206">
        <f>((Table1[[#This Row],[High P]]+Table1[[#This Row],[Low P]])/2)*Table1[[#This Row],[gammap]]*Table1[[#This Row],[Volume9]]*-1</f>
        <v>0</v>
      </c>
      <c r="BE206">
        <f>(Table1[[#This Row],[SgammaC]]+Table1[[#This Row],[SgammaP]])*$A$4*-100</f>
        <v>0</v>
      </c>
      <c r="BF206">
        <f>Table1[[#This Row],[DEXc]]+Table1[[#This Row],[DEXp]]</f>
        <v>0</v>
      </c>
      <c r="BG206">
        <f>IFERROR(Table1[[#This Row],[DeltaC]]*Table1[[#This Row],[Open.Int]]*$A$4,0)</f>
        <v>0</v>
      </c>
      <c r="BH206">
        <f>IFERROR(Table1[[#This Row],[DeltaP]]*Table1[[#This Row],[Open.Int8]]*$A$4,0)</f>
        <v>0</v>
      </c>
      <c r="BI20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6">
        <f ca="1">Table1[[#This Row],[Charmc]]+Table1[[#This Row],[Charmp]]</f>
        <v>0</v>
      </c>
      <c r="BL206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6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6" s="78">
        <f ca="1">Table1[[#This Row],[call helper]]+Table1[[#This Row],[put helper]]</f>
        <v>0</v>
      </c>
      <c r="BP206" t="str">
        <f>RTD("tos.rtd", , "STRIKE", "."&amp;Table1[[#This Row],[Ticker]]&amp;Table1[[#This Row],[Expiry]]&amp;""&amp;"C"&amp;Table1[[#This Row],[Spot]]+Table1[[#This Row],[step]])</f>
        <v>N/A</v>
      </c>
    </row>
    <row r="207" spans="1:68" x14ac:dyDescent="0.25">
      <c r="A207">
        <f t="shared" ca="1" si="19"/>
        <v>2.5814307458086375E-3</v>
      </c>
      <c r="C207" s="17"/>
      <c r="D207" t="b">
        <f>IF(
    ISNUMBER(Table1[[#This Row],[Strike]]),RTD("tos.rtd", , "OPEN_INT", "."&amp;Table1[[#This Row],[Ticker]]&amp;Table1[[#This Row],[Expiry]]&amp;""&amp;"C"&amp;Table1[[#This Row],[Strike]]))</f>
        <v>0</v>
      </c>
      <c r="E20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7" t="b">
        <f>IF(
    ISNUMBER(Table1[[#This Row],[Strike]]),RTD("tos.rtd", , "DELTA", "."&amp;Table1[[#This Row],[Ticker]]&amp;Table1[[#This Row],[Expiry]]&amp;""&amp;"C"&amp;Table1[[#This Row],[Strike]]))</f>
        <v>0</v>
      </c>
      <c r="H207" s="17" t="b" cm="1">
        <f t="array" ref="H207">IF(
    ISNUMBER(Table1[[#This Row],[Strike]]),IndividualLegIVCore($A$4, Table1[[#This Row],[Strike]], 0.0411, Table1[[#This Row],[T]], ((Table1[[#This Row],[BIDC]]+Table1[[#This Row],[ASKC]])/2), TRUE))</f>
        <v>0</v>
      </c>
      <c r="I207" t="b">
        <f>IF(
    ISNUMBER(Table1[[#This Row],[Strike]]),RTD("tos.rtd", , "BID", "."&amp;Table1[[#This Row],[Ticker]]&amp;Table1[[#This Row],[Expiry]]&amp;""&amp;"C"&amp;Table1[[#This Row],[Strike]]))</f>
        <v>0</v>
      </c>
      <c r="J207" t="b">
        <f>IF(
    ISNUMBER(Table1[[#This Row],[Strike]]),RTD("tos.rtd", , "ASK", "."&amp;Table1[[#This Row],[Ticker]]&amp;Table1[[#This Row],[Expiry]]&amp;""&amp;"C"&amp;Table1[[#This Row],[Strike]]))</f>
        <v>0</v>
      </c>
      <c r="K207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7" s="17" cm="1">
        <f t="array" aca="1" ref="L20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7" s="1">
        <f t="shared" si="20"/>
        <v>46045</v>
      </c>
      <c r="N207" t="b">
        <f t="shared" si="21"/>
        <v>0</v>
      </c>
      <c r="P207" s="17" t="b" cm="1">
        <f t="array" ref="P207">IF(
    ISNUMBER(Table1[[#This Row],[Strike]]),IndividualLegIVCore($A$4, Table1[[#This Row],[Strike]], 0.0411, Table1[[#This Row],[T]], ((Table1[[#This Row],[BIDP]]+Table1[[#This Row],[ASKP]])/2), FALSE))</f>
        <v>0</v>
      </c>
      <c r="Q207" t="b">
        <f>IF(
    ISNUMBER(Table1[[#This Row],[Strike]]),RTD("tos.rtd", , "BID", "."&amp;Table1[[#This Row],[Ticker]]&amp;Table1[[#This Row],[Expiry]]&amp;""&amp;"P"&amp;Table1[[#This Row],[Strike]]))</f>
        <v>0</v>
      </c>
      <c r="R207" t="b">
        <f>IF(
    ISNUMBER(Table1[[#This Row],[Strike]]),RTD("tos.rtd", , "ASK", "."&amp;Table1[[#This Row],[Ticker]]&amp;Table1[[#This Row],[Expiry]]&amp;""&amp;"P"&amp;Table1[[#This Row],[Strike]]))</f>
        <v>0</v>
      </c>
      <c r="S207" s="17"/>
      <c r="T207" t="b">
        <f>IF(
    ISNUMBER(Table1[[#This Row],[Strike]]),RTD("tos.rtd", , "OPEN_INT", "."&amp;Table1[[#This Row],[Ticker]]&amp;Table1[[#This Row],[Expiry]]&amp;""&amp;"P"&amp;Table1[[#This Row],[Strike]]))</f>
        <v>0</v>
      </c>
      <c r="U20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7" t="b">
        <f>IF(
    ISNUMBER(Table1[[#This Row],[Strike]]),RTD("tos.rtd", , "DELTA", "."&amp;Table1[[#This Row],[Ticker]]&amp;Table1[[#This Row],[Expiry]]&amp;""&amp;"P"&amp;Table1[[#This Row],[Strike]]))</f>
        <v>0</v>
      </c>
      <c r="Y207">
        <f>48.5* IF($M$1="NDX", 10, IF(OR($M$1="SPX", $M$1="RUT"), 2, 1))</f>
        <v>97</v>
      </c>
      <c r="Z207">
        <f ca="1">IFERROR(Table1[[#This Row],[call gamma]]*(Table1[[#This Row],[Open.Int]])*$A$4^2,0)</f>
        <v>0</v>
      </c>
      <c r="AA207">
        <f ca="1">IFERROR(((Table1[[#This Row],[Open.Int8]])*Table1[[#This Row],[Put gamma]])*-1*$A$4^2,0)</f>
        <v>0</v>
      </c>
      <c r="AB207">
        <f ca="1">(Table1[[#This Row],[Call Gex]]+Table1[[#This Row],[Put Gex]])</f>
        <v>0</v>
      </c>
      <c r="AC207">
        <f ca="1">Table1[[#This Row],[call delta adj]]+Table1[[#This Row],[put delta adj]]</f>
        <v>0</v>
      </c>
      <c r="AD207">
        <f ca="1">Table1[[#This Row],[Put Gex]]*Table1[[#This Row],[DeltaP]]*-1</f>
        <v>0</v>
      </c>
      <c r="AE207">
        <f ca="1">Table1[[#This Row],[Call Gex]]*Table1[[#This Row],[DeltaC]]</f>
        <v>0</v>
      </c>
      <c r="AF207">
        <f>IF(Table1[[#This Row],[DeltaC]]-ABS(Table1[[#This Row],[DeltaP]])="0","0.01",Table1[[#This Row],[DeltaC]]-ABS(Table1[[#This Row],[DeltaP]]))</f>
        <v>0</v>
      </c>
      <c r="AG207" t="e">
        <f ca="1">((LN($A$4/Table1[[#This Row],[Strike]]) + (0.411 + 0.5 * Table1[[#This Row],[IV Calc P]]^2) *Table1[[#This Row],[T]])) / (Table1[[#This Row],[IV Calc P]] * SQRT(Table1[[#This Row],[T]]))</f>
        <v>#DIV/0!</v>
      </c>
      <c r="AH207" t="e">
        <f ca="1">(LN($A$4/Table1[[#This Row],[Strike]]) + (0.411-0 + 0.5 * Table1[[#This Row],[IV Calc C]]^2) *Table1[[#This Row],[T]]) / (Table1[[#This Row],[IV Calc C]] * SQRT(Table1[[#This Row],[T]]))</f>
        <v>#DIV/0!</v>
      </c>
      <c r="AI207" t="e">
        <f ca="1">(EXP(-(AG207^2)/2)/SQRT(2*PI())*EXP(0*SQRT(Table1[[#This Row],[T]]))/$A$4*18%*SQRT(SQRT(Table1[[#This Row],[T]])))</f>
        <v>#DIV/0!</v>
      </c>
      <c r="AJ207" t="e">
        <f ca="1">(EXP(-(AH207^2)/2)/SQRT(2*PI())*EXP(0*SQRT(Table1[[#This Row],[T]]))/$A$4*18%*SQRT(SQRT(Table1[[#This Row],[T]])))</f>
        <v>#DIV/0!</v>
      </c>
      <c r="AK207" t="e">
        <f ca="1">Table1[[#This Row],[Call D1]]-Table1[[#This Row],[IV Calc C]]*SQRT(Table1[[#This Row],[T]])</f>
        <v>#DIV/0!</v>
      </c>
      <c r="AL207" t="e">
        <f ca="1">Table1[[#This Row],[Put D1]]-Table1[[#This Row],[IV Calc P]]*SQRT(Table1[[#This Row],[T]])</f>
        <v>#DIV/0!</v>
      </c>
      <c r="AM207" t="e">
        <f ca="1">EXP(-0.5*Table1[[#This Row],[Call D1]]^2)/SQRT(2*PI())</f>
        <v>#DIV/0!</v>
      </c>
      <c r="AN207" t="e">
        <f ca="1">EXP(-0.5*Table1[[#This Row],[Put D1]]^2)/SQRT(2*PI())</f>
        <v>#DIV/0!</v>
      </c>
      <c r="AO207">
        <f ca="1">IFERROR((EXP(0*Table1[[#This Row],[T]])*Table1[[#This Row],[call N(d1)]]*(Table1[[#This Row],[call d2]]/Table1[[#This Row],[IV Calc C]]))*Table1[[#This Row],[Open.Int]]*Table1[[#This Row],[DeltaC]],0)</f>
        <v>0</v>
      </c>
      <c r="AP207">
        <f ca="1">IFERROR((EXP(0*Table1[[#This Row],[T]])*Table1[[#This Row],[put N(d1)]]*(Table1[[#This Row],[put d2]]/Table1[[#This Row],[IV Calc P]]))*Table1[[#This Row],[Open.Int8]]*Table1[[#This Row],[DeltaP]]*-1,0)</f>
        <v>0</v>
      </c>
      <c r="AQ207">
        <f ca="1">((Table1[[#This Row],[call vanna]]+Table1[[#This Row],[put vanna]])*$A$4)</f>
        <v>0</v>
      </c>
      <c r="AR20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7" s="9" t="str" cm="1">
        <f t="array" ref="AT207">_xlfn.IFS(     $M$1="SPX","SPXW",     $M$1="RUT","RUTW",  $M$1="NDX","NDXP",   TRUE,$M$1 )</f>
        <v>SPXW</v>
      </c>
      <c r="AU207" s="2">
        <f t="shared" si="22"/>
        <v>6915</v>
      </c>
      <c r="AV207" t="str">
        <f t="shared" si="23"/>
        <v>260123</v>
      </c>
      <c r="AW207">
        <f ca="1">IFERROR((EXP(0*Table1[[#This Row],[T]])*Table1[[#This Row],[put N(d1)]]*(Table1[[#This Row],[put d2]]/Table1[[#This Row],[IV Calc P]]))*Table1[[#This Row],[Open.Int8]]*Table1[[#This Row],[DeltaP]]*-1,0)</f>
        <v>0</v>
      </c>
      <c r="AX207">
        <f ca="1">IFERROR((EXP(0*Table1[[#This Row],[T]])*Table1[[#This Row],[call N(d1)]]*(Table1[[#This Row],[call d2]]/Table1[[#This Row],[IV Calc C]]))*Table1[[#This Row],[Open.Int]]*Table1[[#This Row],[DeltaC]],0)</f>
        <v>0</v>
      </c>
      <c r="AY20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7">
        <f>((Table1[[#This Row],[High C]]+Table1[[#This Row],[Low C]])/2)*Table1[[#This Row],[gammac]]*Table1[[#This Row],[Volume]]</f>
        <v>0</v>
      </c>
      <c r="BD207">
        <f>((Table1[[#This Row],[High P]]+Table1[[#This Row],[Low P]])/2)*Table1[[#This Row],[gammap]]*Table1[[#This Row],[Volume9]]*-1</f>
        <v>0</v>
      </c>
      <c r="BE207">
        <f>(Table1[[#This Row],[SgammaC]]+Table1[[#This Row],[SgammaP]])*$A$4*-100</f>
        <v>0</v>
      </c>
      <c r="BF207">
        <f>Table1[[#This Row],[DEXc]]+Table1[[#This Row],[DEXp]]</f>
        <v>0</v>
      </c>
      <c r="BG207">
        <f>IFERROR(Table1[[#This Row],[DeltaC]]*Table1[[#This Row],[Open.Int]]*$A$4,0)</f>
        <v>0</v>
      </c>
      <c r="BH207">
        <f>IFERROR(Table1[[#This Row],[DeltaP]]*Table1[[#This Row],[Open.Int8]]*$A$4,0)</f>
        <v>0</v>
      </c>
      <c r="BI20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7">
        <f ca="1">Table1[[#This Row],[Charmc]]+Table1[[#This Row],[Charmp]]</f>
        <v>0</v>
      </c>
      <c r="BL207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7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7" s="78">
        <f ca="1">Table1[[#This Row],[call helper]]+Table1[[#This Row],[put helper]]</f>
        <v>0</v>
      </c>
      <c r="BP207" t="str">
        <f>RTD("tos.rtd", , "STRIKE", "."&amp;Table1[[#This Row],[Ticker]]&amp;Table1[[#This Row],[Expiry]]&amp;""&amp;"C"&amp;Table1[[#This Row],[Spot]]+Table1[[#This Row],[step]])</f>
        <v>N/A</v>
      </c>
    </row>
    <row r="208" spans="1:68" x14ac:dyDescent="0.25">
      <c r="A208">
        <f t="shared" ca="1" si="19"/>
        <v>2.5814307458086375E-3</v>
      </c>
      <c r="C208" s="17"/>
      <c r="D208" t="b">
        <f>IF(
    ISNUMBER(Table1[[#This Row],[Strike]]),RTD("tos.rtd", , "OPEN_INT", "."&amp;Table1[[#This Row],[Ticker]]&amp;Table1[[#This Row],[Expiry]]&amp;""&amp;"C"&amp;Table1[[#This Row],[Strike]]))</f>
        <v>0</v>
      </c>
      <c r="E20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8" t="b">
        <f>IF(
    ISNUMBER(Table1[[#This Row],[Strike]]),RTD("tos.rtd", , "DELTA", "."&amp;Table1[[#This Row],[Ticker]]&amp;Table1[[#This Row],[Expiry]]&amp;""&amp;"C"&amp;Table1[[#This Row],[Strike]]))</f>
        <v>0</v>
      </c>
      <c r="H208" s="17" t="b" cm="1">
        <f t="array" ref="H208">IF(
    ISNUMBER(Table1[[#This Row],[Strike]]),IndividualLegIVCore($A$4, Table1[[#This Row],[Strike]], 0.0411, Table1[[#This Row],[T]], ((Table1[[#This Row],[BIDC]]+Table1[[#This Row],[ASKC]])/2), TRUE))</f>
        <v>0</v>
      </c>
      <c r="I208" t="b">
        <f>IF(
    ISNUMBER(Table1[[#This Row],[Strike]]),RTD("tos.rtd", , "BID", "."&amp;Table1[[#This Row],[Ticker]]&amp;Table1[[#This Row],[Expiry]]&amp;""&amp;"C"&amp;Table1[[#This Row],[Strike]]))</f>
        <v>0</v>
      </c>
      <c r="J208" t="b">
        <f>IF(
    ISNUMBER(Table1[[#This Row],[Strike]]),RTD("tos.rtd", , "ASK", "."&amp;Table1[[#This Row],[Ticker]]&amp;Table1[[#This Row],[Expiry]]&amp;""&amp;"C"&amp;Table1[[#This Row],[Strike]]))</f>
        <v>0</v>
      </c>
      <c r="K208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8" s="17" cm="1">
        <f t="array" aca="1" ref="L20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8" s="1">
        <f t="shared" si="20"/>
        <v>46045</v>
      </c>
      <c r="N208" t="b">
        <f t="shared" si="21"/>
        <v>0</v>
      </c>
      <c r="P208" s="17" t="b" cm="1">
        <f t="array" ref="P208">IF(
    ISNUMBER(Table1[[#This Row],[Strike]]),IndividualLegIVCore($A$4, Table1[[#This Row],[Strike]], 0.0411, Table1[[#This Row],[T]], ((Table1[[#This Row],[BIDP]]+Table1[[#This Row],[ASKP]])/2), FALSE))</f>
        <v>0</v>
      </c>
      <c r="Q208" t="b">
        <f>IF(
    ISNUMBER(Table1[[#This Row],[Strike]]),RTD("tos.rtd", , "BID", "."&amp;Table1[[#This Row],[Ticker]]&amp;Table1[[#This Row],[Expiry]]&amp;""&amp;"P"&amp;Table1[[#This Row],[Strike]]))</f>
        <v>0</v>
      </c>
      <c r="R208" t="b">
        <f>IF(
    ISNUMBER(Table1[[#This Row],[Strike]]),RTD("tos.rtd", , "ASK", "."&amp;Table1[[#This Row],[Ticker]]&amp;Table1[[#This Row],[Expiry]]&amp;""&amp;"P"&amp;Table1[[#This Row],[Strike]]))</f>
        <v>0</v>
      </c>
      <c r="S208" s="17"/>
      <c r="T208" t="b">
        <f>IF(
    ISNUMBER(Table1[[#This Row],[Strike]]),RTD("tos.rtd", , "OPEN_INT", "."&amp;Table1[[#This Row],[Ticker]]&amp;Table1[[#This Row],[Expiry]]&amp;""&amp;"P"&amp;Table1[[#This Row],[Strike]]))</f>
        <v>0</v>
      </c>
      <c r="U20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8" t="b">
        <f>IF(
    ISNUMBER(Table1[[#This Row],[Strike]]),RTD("tos.rtd", , "DELTA", "."&amp;Table1[[#This Row],[Ticker]]&amp;Table1[[#This Row],[Expiry]]&amp;""&amp;"P"&amp;Table1[[#This Row],[Strike]]))</f>
        <v>0</v>
      </c>
      <c r="Y208">
        <f>49* IF($M$1="NDX", 10, IF(OR($M$1="SPX", $M$1="RUT"), 2, 1))</f>
        <v>98</v>
      </c>
      <c r="Z208">
        <f ca="1">IFERROR(Table1[[#This Row],[call gamma]]*(Table1[[#This Row],[Open.Int]])*$A$4^2,0)</f>
        <v>0</v>
      </c>
      <c r="AA208">
        <f ca="1">IFERROR(((Table1[[#This Row],[Open.Int8]])*Table1[[#This Row],[Put gamma]])*-1*$A$4^2,0)</f>
        <v>0</v>
      </c>
      <c r="AB208">
        <f ca="1">(Table1[[#This Row],[Call Gex]]+Table1[[#This Row],[Put Gex]])</f>
        <v>0</v>
      </c>
      <c r="AC208">
        <f ca="1">Table1[[#This Row],[call delta adj]]+Table1[[#This Row],[put delta adj]]</f>
        <v>0</v>
      </c>
      <c r="AD208">
        <f ca="1">Table1[[#This Row],[Put Gex]]*Table1[[#This Row],[DeltaP]]*-1</f>
        <v>0</v>
      </c>
      <c r="AE208">
        <f ca="1">Table1[[#This Row],[Call Gex]]*Table1[[#This Row],[DeltaC]]</f>
        <v>0</v>
      </c>
      <c r="AF208">
        <f>IF(Table1[[#This Row],[DeltaC]]-ABS(Table1[[#This Row],[DeltaP]])="0","0.01",Table1[[#This Row],[DeltaC]]-ABS(Table1[[#This Row],[DeltaP]]))</f>
        <v>0</v>
      </c>
      <c r="AG208" t="e">
        <f ca="1">((LN($A$4/Table1[[#This Row],[Strike]]) + (0.411 + 0.5 * Table1[[#This Row],[IV Calc P]]^2) *Table1[[#This Row],[T]])) / (Table1[[#This Row],[IV Calc P]] * SQRT(Table1[[#This Row],[T]]))</f>
        <v>#DIV/0!</v>
      </c>
      <c r="AH208" t="e">
        <f ca="1">(LN($A$4/Table1[[#This Row],[Strike]]) + (0.411-0 + 0.5 * Table1[[#This Row],[IV Calc C]]^2) *Table1[[#This Row],[T]]) / (Table1[[#This Row],[IV Calc C]] * SQRT(Table1[[#This Row],[T]]))</f>
        <v>#DIV/0!</v>
      </c>
      <c r="AI208" t="e">
        <f ca="1">(EXP(-(AG208^2)/2)/SQRT(2*PI())*EXP(0*SQRT(Table1[[#This Row],[T]]))/$A$4*18%*SQRT(SQRT(Table1[[#This Row],[T]])))</f>
        <v>#DIV/0!</v>
      </c>
      <c r="AJ208" t="e">
        <f ca="1">(EXP(-(AH208^2)/2)/SQRT(2*PI())*EXP(0*SQRT(Table1[[#This Row],[T]]))/$A$4*18%*SQRT(SQRT(Table1[[#This Row],[T]])))</f>
        <v>#DIV/0!</v>
      </c>
      <c r="AK208" t="e">
        <f ca="1">Table1[[#This Row],[Call D1]]-Table1[[#This Row],[IV Calc C]]*SQRT(Table1[[#This Row],[T]])</f>
        <v>#DIV/0!</v>
      </c>
      <c r="AL208" t="e">
        <f ca="1">Table1[[#This Row],[Put D1]]-Table1[[#This Row],[IV Calc P]]*SQRT(Table1[[#This Row],[T]])</f>
        <v>#DIV/0!</v>
      </c>
      <c r="AM208" t="e">
        <f ca="1">EXP(-0.5*Table1[[#This Row],[Call D1]]^2)/SQRT(2*PI())</f>
        <v>#DIV/0!</v>
      </c>
      <c r="AN208" t="e">
        <f ca="1">EXP(-0.5*Table1[[#This Row],[Put D1]]^2)/SQRT(2*PI())</f>
        <v>#DIV/0!</v>
      </c>
      <c r="AO208">
        <f ca="1">IFERROR((EXP(0*Table1[[#This Row],[T]])*Table1[[#This Row],[call N(d1)]]*(Table1[[#This Row],[call d2]]/Table1[[#This Row],[IV Calc C]]))*Table1[[#This Row],[Open.Int]]*Table1[[#This Row],[DeltaC]],0)</f>
        <v>0</v>
      </c>
      <c r="AP208">
        <f ca="1">IFERROR((EXP(0*Table1[[#This Row],[T]])*Table1[[#This Row],[put N(d1)]]*(Table1[[#This Row],[put d2]]/Table1[[#This Row],[IV Calc P]]))*Table1[[#This Row],[Open.Int8]]*Table1[[#This Row],[DeltaP]]*-1,0)</f>
        <v>0</v>
      </c>
      <c r="AQ208">
        <f ca="1">((Table1[[#This Row],[call vanna]]+Table1[[#This Row],[put vanna]])*$A$4)</f>
        <v>0</v>
      </c>
      <c r="AR20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8" s="9" t="str" cm="1">
        <f t="array" ref="AT208">_xlfn.IFS(     $M$1="SPX","SPXW",     $M$1="RUT","RUTW",  $M$1="NDX","NDXP",   TRUE,$M$1 )</f>
        <v>SPXW</v>
      </c>
      <c r="AU208" s="2">
        <f t="shared" si="22"/>
        <v>6915</v>
      </c>
      <c r="AV208" t="str">
        <f t="shared" si="23"/>
        <v>260123</v>
      </c>
      <c r="AW208">
        <f ca="1">IFERROR((EXP(0*Table1[[#This Row],[T]])*Table1[[#This Row],[put N(d1)]]*(Table1[[#This Row],[put d2]]/Table1[[#This Row],[IV Calc P]]))*Table1[[#This Row],[Open.Int8]]*Table1[[#This Row],[DeltaP]]*-1,0)</f>
        <v>0</v>
      </c>
      <c r="AX208">
        <f ca="1">IFERROR((EXP(0*Table1[[#This Row],[T]])*Table1[[#This Row],[call N(d1)]]*(Table1[[#This Row],[call d2]]/Table1[[#This Row],[IV Calc C]]))*Table1[[#This Row],[Open.Int]]*Table1[[#This Row],[DeltaC]],0)</f>
        <v>0</v>
      </c>
      <c r="AY20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8">
        <f>((Table1[[#This Row],[High C]]+Table1[[#This Row],[Low C]])/2)*Table1[[#This Row],[gammac]]*Table1[[#This Row],[Volume]]</f>
        <v>0</v>
      </c>
      <c r="BD208">
        <f>((Table1[[#This Row],[High P]]+Table1[[#This Row],[Low P]])/2)*Table1[[#This Row],[gammap]]*Table1[[#This Row],[Volume9]]*-1</f>
        <v>0</v>
      </c>
      <c r="BE208">
        <f>(Table1[[#This Row],[SgammaC]]+Table1[[#This Row],[SgammaP]])*$A$4*-100</f>
        <v>0</v>
      </c>
      <c r="BF208">
        <f>Table1[[#This Row],[DEXc]]+Table1[[#This Row],[DEXp]]</f>
        <v>0</v>
      </c>
      <c r="BG208">
        <f>IFERROR(Table1[[#This Row],[DeltaC]]*Table1[[#This Row],[Open.Int]]*$A$4,0)</f>
        <v>0</v>
      </c>
      <c r="BH208">
        <f>IFERROR(Table1[[#This Row],[DeltaP]]*Table1[[#This Row],[Open.Int8]]*$A$4,0)</f>
        <v>0</v>
      </c>
      <c r="BI20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8">
        <f ca="1">Table1[[#This Row],[Charmc]]+Table1[[#This Row],[Charmp]]</f>
        <v>0</v>
      </c>
      <c r="BL208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8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8" s="78">
        <f ca="1">Table1[[#This Row],[call helper]]+Table1[[#This Row],[put helper]]</f>
        <v>0</v>
      </c>
      <c r="BP208" t="str">
        <f>RTD("tos.rtd", , "STRIKE", "."&amp;Table1[[#This Row],[Ticker]]&amp;Table1[[#This Row],[Expiry]]&amp;""&amp;"C"&amp;Table1[[#This Row],[Spot]]+Table1[[#This Row],[step]])</f>
        <v>N/A</v>
      </c>
    </row>
    <row r="209" spans="1:78" x14ac:dyDescent="0.25">
      <c r="A209">
        <f t="shared" ca="1" si="19"/>
        <v>2.5814307458086375E-3</v>
      </c>
      <c r="C209" s="17"/>
      <c r="D209" t="b">
        <f>IF(
    ISNUMBER(Table1[[#This Row],[Strike]]),RTD("tos.rtd", , "OPEN_INT", "."&amp;Table1[[#This Row],[Ticker]]&amp;Table1[[#This Row],[Expiry]]&amp;""&amp;"C"&amp;Table1[[#This Row],[Strike]]))</f>
        <v>0</v>
      </c>
      <c r="E20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9" t="b">
        <f>IF(
    ISNUMBER(Table1[[#This Row],[Strike]]),RTD("tos.rtd", , "DELTA", "."&amp;Table1[[#This Row],[Ticker]]&amp;Table1[[#This Row],[Expiry]]&amp;""&amp;"C"&amp;Table1[[#This Row],[Strike]]))</f>
        <v>0</v>
      </c>
      <c r="H209" s="17" t="b" cm="1">
        <f t="array" ref="H209">IF(
    ISNUMBER(Table1[[#This Row],[Strike]]),IndividualLegIVCore($A$4, Table1[[#This Row],[Strike]], 0.0411, Table1[[#This Row],[T]], ((Table1[[#This Row],[BIDC]]+Table1[[#This Row],[ASKC]])/2), TRUE))</f>
        <v>0</v>
      </c>
      <c r="I209" t="b">
        <f>IF(
    ISNUMBER(Table1[[#This Row],[Strike]]),RTD("tos.rtd", , "BID", "."&amp;Table1[[#This Row],[Ticker]]&amp;Table1[[#This Row],[Expiry]]&amp;""&amp;"C"&amp;Table1[[#This Row],[Strike]]))</f>
        <v>0</v>
      </c>
      <c r="J209" t="b">
        <f>IF(
    ISNUMBER(Table1[[#This Row],[Strike]]),RTD("tos.rtd", , "ASK", "."&amp;Table1[[#This Row],[Ticker]]&amp;Table1[[#This Row],[Expiry]]&amp;""&amp;"C"&amp;Table1[[#This Row],[Strike]]))</f>
        <v>0</v>
      </c>
      <c r="K209" s="17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9" s="17" cm="1">
        <f t="array" aca="1" ref="L20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9" s="1">
        <f t="shared" si="20"/>
        <v>46045</v>
      </c>
      <c r="N209" t="b">
        <f t="shared" si="21"/>
        <v>0</v>
      </c>
      <c r="P209" s="17" t="b" cm="1">
        <f t="array" ref="P209">IF(
    ISNUMBER(Table1[[#This Row],[Strike]]),IndividualLegIVCore($A$4, Table1[[#This Row],[Strike]], 0.0411, Table1[[#This Row],[T]], ((Table1[[#This Row],[BIDP]]+Table1[[#This Row],[ASKP]])/2), FALSE))</f>
        <v>0</v>
      </c>
      <c r="Q209" t="b">
        <f>IF(
    ISNUMBER(Table1[[#This Row],[Strike]]),RTD("tos.rtd", , "BID", "."&amp;Table1[[#This Row],[Ticker]]&amp;Table1[[#This Row],[Expiry]]&amp;""&amp;"P"&amp;Table1[[#This Row],[Strike]]))</f>
        <v>0</v>
      </c>
      <c r="R209" t="b">
        <f>IF(
    ISNUMBER(Table1[[#This Row],[Strike]]),RTD("tos.rtd", , "ASK", "."&amp;Table1[[#This Row],[Ticker]]&amp;Table1[[#This Row],[Expiry]]&amp;""&amp;"P"&amp;Table1[[#This Row],[Strike]]))</f>
        <v>0</v>
      </c>
      <c r="S209" s="17"/>
      <c r="T209" t="b">
        <f>IF(
    ISNUMBER(Table1[[#This Row],[Strike]]),RTD("tos.rtd", , "OPEN_INT", "."&amp;Table1[[#This Row],[Ticker]]&amp;Table1[[#This Row],[Expiry]]&amp;""&amp;"P"&amp;Table1[[#This Row],[Strike]]))</f>
        <v>0</v>
      </c>
      <c r="U20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9" t="b">
        <f>IF(
    ISNUMBER(Table1[[#This Row],[Strike]]),RTD("tos.rtd", , "DELTA", "."&amp;Table1[[#This Row],[Ticker]]&amp;Table1[[#This Row],[Expiry]]&amp;""&amp;"P"&amp;Table1[[#This Row],[Strike]]))</f>
        <v>0</v>
      </c>
      <c r="Y209">
        <f>49.5* IF($M$1="NDX", 10, IF(OR($M$1="SPX", $M$1="RUT"), 2, 1))</f>
        <v>99</v>
      </c>
      <c r="Z209">
        <f ca="1">IFERROR(Table1[[#This Row],[call gamma]]*(Table1[[#This Row],[Open.Int]])*$A$4^2,0)</f>
        <v>0</v>
      </c>
      <c r="AA209">
        <f ca="1">IFERROR(((Table1[[#This Row],[Open.Int8]])*Table1[[#This Row],[Put gamma]])*-1*$A$4^2,0)</f>
        <v>0</v>
      </c>
      <c r="AB209">
        <f ca="1">(Table1[[#This Row],[Call Gex]]+Table1[[#This Row],[Put Gex]])</f>
        <v>0</v>
      </c>
      <c r="AC209">
        <f ca="1">Table1[[#This Row],[call delta adj]]+Table1[[#This Row],[put delta adj]]</f>
        <v>0</v>
      </c>
      <c r="AD209">
        <f ca="1">Table1[[#This Row],[Put Gex]]*Table1[[#This Row],[DeltaP]]*-1</f>
        <v>0</v>
      </c>
      <c r="AE209">
        <f ca="1">Table1[[#This Row],[Call Gex]]*Table1[[#This Row],[DeltaC]]</f>
        <v>0</v>
      </c>
      <c r="AF209">
        <f>IF(Table1[[#This Row],[DeltaC]]-ABS(Table1[[#This Row],[DeltaP]])="0","0.01",Table1[[#This Row],[DeltaC]]-ABS(Table1[[#This Row],[DeltaP]]))</f>
        <v>0</v>
      </c>
      <c r="AG209" t="e">
        <f ca="1">((LN($A$4/Table1[[#This Row],[Strike]]) + (0.411 + 0.5 * Table1[[#This Row],[IV Calc P]]^2) *Table1[[#This Row],[T]])) / (Table1[[#This Row],[IV Calc P]] * SQRT(Table1[[#This Row],[T]]))</f>
        <v>#DIV/0!</v>
      </c>
      <c r="AH209" t="e">
        <f ca="1">(LN($A$4/Table1[[#This Row],[Strike]]) + (0.411-0 + 0.5 * Table1[[#This Row],[IV Calc C]]^2) *Table1[[#This Row],[T]]) / (Table1[[#This Row],[IV Calc C]] * SQRT(Table1[[#This Row],[T]]))</f>
        <v>#DIV/0!</v>
      </c>
      <c r="AI209" t="e">
        <f ca="1">(EXP(-(AG209^2)/2)/SQRT(2*PI())*EXP(0*SQRT(Table1[[#This Row],[T]]))/$A$4*18%*SQRT(SQRT(Table1[[#This Row],[T]])))</f>
        <v>#DIV/0!</v>
      </c>
      <c r="AJ209" t="e">
        <f ca="1">(EXP(-(AH209^2)/2)/SQRT(2*PI())*EXP(0*SQRT(Table1[[#This Row],[T]]))/$A$4*18%*SQRT(SQRT(Table1[[#This Row],[T]])))</f>
        <v>#DIV/0!</v>
      </c>
      <c r="AK209" t="e">
        <f ca="1">Table1[[#This Row],[Call D1]]-Table1[[#This Row],[IV Calc C]]*SQRT(Table1[[#This Row],[T]])</f>
        <v>#DIV/0!</v>
      </c>
      <c r="AL209" t="e">
        <f ca="1">Table1[[#This Row],[Put D1]]-Table1[[#This Row],[IV Calc P]]*SQRT(Table1[[#This Row],[T]])</f>
        <v>#DIV/0!</v>
      </c>
      <c r="AM209" t="e">
        <f ca="1">EXP(-0.5*Table1[[#This Row],[Call D1]]^2)/SQRT(2*PI())</f>
        <v>#DIV/0!</v>
      </c>
      <c r="AN209" t="e">
        <f ca="1">EXP(-0.5*Table1[[#This Row],[Put D1]]^2)/SQRT(2*PI())</f>
        <v>#DIV/0!</v>
      </c>
      <c r="AO209">
        <f ca="1">IFERROR((EXP(0*Table1[[#This Row],[T]])*Table1[[#This Row],[call N(d1)]]*(Table1[[#This Row],[call d2]]/Table1[[#This Row],[IV Calc C]]))*Table1[[#This Row],[Open.Int]]*Table1[[#This Row],[DeltaC]],0)</f>
        <v>0</v>
      </c>
      <c r="AP209">
        <f ca="1">IFERROR((EXP(0*Table1[[#This Row],[T]])*Table1[[#This Row],[put N(d1)]]*(Table1[[#This Row],[put d2]]/Table1[[#This Row],[IV Calc P]]))*Table1[[#This Row],[Open.Int8]]*Table1[[#This Row],[DeltaP]]*-1,0)</f>
        <v>0</v>
      </c>
      <c r="AQ209">
        <f ca="1">((Table1[[#This Row],[call vanna]]+Table1[[#This Row],[put vanna]])*$A$4)</f>
        <v>0</v>
      </c>
      <c r="AR20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9" s="9" t="str" cm="1">
        <f t="array" ref="AT209">_xlfn.IFS(     $M$1="SPX","SPXW",     $M$1="RUT","RUTW",  $M$1="NDX","NDXP",   TRUE,$M$1 )</f>
        <v>SPXW</v>
      </c>
      <c r="AU209" s="2">
        <f t="shared" si="22"/>
        <v>6915</v>
      </c>
      <c r="AV209" t="str">
        <f t="shared" si="23"/>
        <v>260123</v>
      </c>
      <c r="AW209">
        <f ca="1">IFERROR((EXP(0*Table1[[#This Row],[T]])*Table1[[#This Row],[put N(d1)]]*(Table1[[#This Row],[put d2]]/Table1[[#This Row],[IV Calc P]]))*Table1[[#This Row],[Open.Int8]]*Table1[[#This Row],[DeltaP]]*-1,0)</f>
        <v>0</v>
      </c>
      <c r="AX209">
        <f ca="1">IFERROR((EXP(0*Table1[[#This Row],[T]])*Table1[[#This Row],[call N(d1)]]*(Table1[[#This Row],[call d2]]/Table1[[#This Row],[IV Calc C]]))*Table1[[#This Row],[Open.Int]]*Table1[[#This Row],[DeltaC]],0)</f>
        <v>0</v>
      </c>
      <c r="AY20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9">
        <f>((Table1[[#This Row],[High C]]+Table1[[#This Row],[Low C]])/2)*Table1[[#This Row],[gammac]]*Table1[[#This Row],[Volume]]</f>
        <v>0</v>
      </c>
      <c r="BD209">
        <f>((Table1[[#This Row],[High P]]+Table1[[#This Row],[Low P]])/2)*Table1[[#This Row],[gammap]]*Table1[[#This Row],[Volume9]]*-1</f>
        <v>0</v>
      </c>
      <c r="BE209">
        <f>(Table1[[#This Row],[SgammaC]]+Table1[[#This Row],[SgammaP]])*$A$4*-100</f>
        <v>0</v>
      </c>
      <c r="BF209">
        <f>Table1[[#This Row],[DEXc]]+Table1[[#This Row],[DEXp]]</f>
        <v>0</v>
      </c>
      <c r="BG209">
        <f>IFERROR(Table1[[#This Row],[DeltaC]]*Table1[[#This Row],[Open.Int]]*$A$4,0)</f>
        <v>0</v>
      </c>
      <c r="BH209">
        <f>IFERROR(Table1[[#This Row],[DeltaP]]*Table1[[#This Row],[Open.Int8]]*$A$4,0)</f>
        <v>0</v>
      </c>
      <c r="BI20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9">
        <f ca="1">Table1[[#This Row],[Charmc]]+Table1[[#This Row],[Charmp]]</f>
        <v>0</v>
      </c>
      <c r="BL209" s="78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9" s="78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9" s="78">
        <f ca="1">Table1[[#This Row],[call helper]]+Table1[[#This Row],[put helper]]</f>
        <v>0</v>
      </c>
      <c r="BP209" t="str">
        <f>RTD("tos.rtd", , "STRIKE", "."&amp;Table1[[#This Row],[Ticker]]&amp;Table1[[#This Row],[Expiry]]&amp;""&amp;"C"&amp;Table1[[#This Row],[Spot]]+Table1[[#This Row],[step]])</f>
        <v>N/A</v>
      </c>
    </row>
    <row r="210" spans="1:78" x14ac:dyDescent="0.25">
      <c r="A210">
        <f t="shared" ca="1" si="19"/>
        <v>2.5814307458086375E-3</v>
      </c>
      <c r="C210" s="17"/>
      <c r="D210">
        <f>IF(
    ISNUMBER(Table1[[#This Row],[Strike]]),RTD("tos.rtd", , "OPEN_INT", "."&amp;Table1[[#This Row],[Ticker]]&amp;Table1[[#This Row],[Expiry]]&amp;""&amp;"C"&amp;Table1[[#This Row],[Strike]]))</f>
        <v>842</v>
      </c>
      <c r="E21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1844</v>
      </c>
      <c r="G210">
        <f>IF(
    ISNUMBER(Table1[[#This Row],[Strike]]),RTD("tos.rtd", , "DELTA", "."&amp;Table1[[#This Row],[Ticker]]&amp;Table1[[#This Row],[Expiry]]&amp;""&amp;"C"&amp;Table1[[#This Row],[Strike]]))</f>
        <v>0.01</v>
      </c>
      <c r="H210" s="17" cm="1">
        <f t="array" aca="1" ref="H210" ca="1">IF(
    ISNUMBER(Table1[[#This Row],[Strike]]),IndividualLegIVCore($A$4, Table1[[#This Row],[Strike]], 0.0411, Table1[[#This Row],[T]], ((Table1[[#This Row],[BIDC]]+Table1[[#This Row],[ASKC]])/2), TRUE))</f>
        <v>0.11311358026309341</v>
      </c>
      <c r="I210">
        <f>IF(
    ISNUMBER(Table1[[#This Row],[Strike]]),RTD("tos.rtd", , "BID", "."&amp;Table1[[#This Row],[Ticker]]&amp;Table1[[#This Row],[Expiry]]&amp;""&amp;"C"&amp;Table1[[#This Row],[Strike]]))</f>
        <v>0.05</v>
      </c>
      <c r="J210">
        <f>IF(
    ISNUMBER(Table1[[#This Row],[Strike]]),RTD("tos.rtd", , "ASK", "."&amp;Table1[[#This Row],[Ticker]]&amp;Table1[[#This Row],[Expiry]]&amp;""&amp;"C"&amp;Table1[[#This Row],[Strike]]))</f>
        <v>0.1</v>
      </c>
      <c r="K210" s="1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0.11311358026309341</v>
      </c>
      <c r="L210" s="17" cm="1">
        <f t="array" aca="1" ref="L210" ca="1">CubicSplineIVSmile($A$4, Table1[[#This Row],[Strike]], 0.0411, Table1[[#This Row],[T]], (Table1[[#This Row],[BIDC]]+Table1[[#This Row],[ASKC]])/2, (Table1[[#This Row],[BIDP]]+Table1[[#This Row],[ASKP]])/2, Table1[Strike], Table1[IV Calc AVG])</f>
        <v>0.23275703617378968</v>
      </c>
      <c r="M210" s="1">
        <f t="shared" si="20"/>
        <v>46045</v>
      </c>
      <c r="N210">
        <f t="shared" si="21"/>
        <v>7015</v>
      </c>
      <c r="P210" s="17" cm="1">
        <f t="array" aca="1" ref="P210" ca="1">IF(
    ISNUMBER(Table1[[#This Row],[Strike]]),IndividualLegIVCore($A$4, Table1[[#This Row],[Strike]], 0.0411, Table1[[#This Row],[T]], ((Table1[[#This Row],[BIDP]]+Table1[[#This Row],[ASKP]])/2), FALSE))</f>
        <v>0.23950063088408075</v>
      </c>
      <c r="Q210">
        <f>IF(
    ISNUMBER(Table1[[#This Row],[Strike]]),RTD("tos.rtd", , "BID", "."&amp;Table1[[#This Row],[Ticker]]&amp;Table1[[#This Row],[Expiry]]&amp;""&amp;"P"&amp;Table1[[#This Row],[Strike]]))</f>
        <v>103.4</v>
      </c>
      <c r="R210">
        <f>IF(
    ISNUMBER(Table1[[#This Row],[Strike]]),RTD("tos.rtd", , "ASK", "."&amp;Table1[[#This Row],[Ticker]]&amp;Table1[[#This Row],[Expiry]]&amp;""&amp;"P"&amp;Table1[[#This Row],[Strike]]))</f>
        <v>108.1</v>
      </c>
      <c r="S210" s="17"/>
      <c r="T210">
        <f>IF(
    ISNUMBER(Table1[[#This Row],[Strike]]),RTD("tos.rtd", , "OPEN_INT", "."&amp;Table1[[#This Row],[Ticker]]&amp;Table1[[#This Row],[Expiry]]&amp;""&amp;"P"&amp;Table1[[#This Row],[Strike]]))</f>
        <v>116</v>
      </c>
      <c r="U21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10</v>
      </c>
      <c r="W210">
        <f>IF(
    ISNUMBER(Table1[[#This Row],[Strike]]),RTD("tos.rtd", , "DELTA", "."&amp;Table1[[#This Row],[Ticker]]&amp;Table1[[#This Row],[Expiry]]&amp;""&amp;"P"&amp;Table1[[#This Row],[Strike]]))</f>
        <v>-0.88</v>
      </c>
      <c r="Y210">
        <f>50* IF($M$1="NDX", 10, IF(OR($M$1="SPX", $M$1="RUT"), 2, 1))</f>
        <v>100</v>
      </c>
      <c r="Z210">
        <f ca="1">IFERROR(Table1[[#This Row],[call gamma]]*(Table1[[#This Row],[Open.Int]])*$A$4^2,0)</f>
        <v>5923.5602847580703</v>
      </c>
      <c r="AA210">
        <f ca="1">IFERROR(((Table1[[#This Row],[Open.Int8]])*Table1[[#This Row],[Put gamma]])*-1*$A$4^2,0)</f>
        <v>-7039.671040012794</v>
      </c>
      <c r="AB210">
        <f ca="1">(Table1[[#This Row],[Call Gex]]+Table1[[#This Row],[Put Gex]])</f>
        <v>-1116.1107552547237</v>
      </c>
      <c r="AC210">
        <f ca="1">Table1[[#This Row],[call delta adj]]+Table1[[#This Row],[put delta adj]]</f>
        <v>-6135.6749123636782</v>
      </c>
      <c r="AD210">
        <f ca="1">Table1[[#This Row],[Put Gex]]*Table1[[#This Row],[DeltaP]]*-1</f>
        <v>-6194.9105152112588</v>
      </c>
      <c r="AE210">
        <f ca="1">Table1[[#This Row],[Call Gex]]*Table1[[#This Row],[DeltaC]]</f>
        <v>59.235602847580708</v>
      </c>
      <c r="AF210">
        <f>IF(Table1[[#This Row],[DeltaC]]-ABS(Table1[[#This Row],[DeltaP]])="0","0.01",Table1[[#This Row],[DeltaC]]-ABS(Table1[[#This Row],[DeltaP]]))</f>
        <v>-0.87</v>
      </c>
      <c r="AG210">
        <f ca="1">((LN($A$4/Table1[[#This Row],[Strike]]) + (0.411 + 0.5 * Table1[[#This Row],[IV Calc P]]^2) *Table1[[#This Row],[T]])) / (Table1[[#This Row],[IV Calc P]] * SQRT(Table1[[#This Row],[T]]))</f>
        <v>-1.1062488351668034</v>
      </c>
      <c r="AH210">
        <f ca="1">(LN($A$4/Table1[[#This Row],[Strike]]) + (0.411-0 + 0.5 * Table1[[#This Row],[IV Calc C]]^2) *Table1[[#This Row],[T]]) / (Table1[[#This Row],[IV Calc C]] * SQRT(Table1[[#This Row],[T]]))</f>
        <v>-2.3523209134882479</v>
      </c>
      <c r="AI210">
        <f ca="1">(EXP(-(AG210^2)/2)/SQRT(2*PI())*EXP(0*SQRT(Table1[[#This Row],[T]]))/$A$4*18%*SQRT(SQRT(Table1[[#This Row],[T]])))</f>
        <v>1.269747268926029E-6</v>
      </c>
      <c r="AJ210">
        <f ca="1">(EXP(-(AH210^2)/2)/SQRT(2*PI())*EXP(0*SQRT(Table1[[#This Row],[T]]))/$A$4*18%*SQRT(SQRT(Table1[[#This Row],[T]])))</f>
        <v>1.4719519475589271E-7</v>
      </c>
      <c r="AK210">
        <f ca="1">Table1[[#This Row],[Call D1]]-Table1[[#This Row],[IV Calc C]]*SQRT(Table1[[#This Row],[T]])</f>
        <v>-2.3580679636533963</v>
      </c>
      <c r="AL210">
        <f ca="1">Table1[[#This Row],[Put D1]]-Table1[[#This Row],[IV Calc P]]*SQRT(Table1[[#This Row],[T]])</f>
        <v>-1.1184173310898755</v>
      </c>
      <c r="AM210">
        <f ca="1">EXP(-0.5*Table1[[#This Row],[Call D1]]^2)/SQRT(2*PI())</f>
        <v>2.5080982904350839E-2</v>
      </c>
      <c r="AN210">
        <f ca="1">EXP(-0.5*Table1[[#This Row],[Put D1]]^2)/SQRT(2*PI())</f>
        <v>0.21635563305985558</v>
      </c>
      <c r="AO210">
        <f ca="1">IFERROR((EXP(0*Table1[[#This Row],[T]])*Table1[[#This Row],[call N(d1)]]*(Table1[[#This Row],[call d2]]/Table1[[#This Row],[IV Calc C]]))*Table1[[#This Row],[Open.Int]]*Table1[[#This Row],[DeltaC]],0)</f>
        <v>-4.4024883243054385</v>
      </c>
      <c r="AP210">
        <f ca="1">IFERROR((EXP(0*Table1[[#This Row],[T]])*Table1[[#This Row],[put N(d1)]]*(Table1[[#This Row],[put d2]]/Table1[[#This Row],[IV Calc P]]))*Table1[[#This Row],[Open.Int8]]*Table1[[#This Row],[DeltaP]]*-1,0)</f>
        <v>-103.1350052343842</v>
      </c>
      <c r="AQ210">
        <f ca="1">((Table1[[#This Row],[call vanna]]+Table1[[#This Row],[put vanna]])*$A$4)</f>
        <v>-743444.33109396696</v>
      </c>
      <c r="AR21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5923.5602847580703</v>
      </c>
      <c r="AS21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-7039.671040012794</v>
      </c>
      <c r="AT210" s="9" t="str" cm="1">
        <f t="array" ref="AT210">_xlfn.IFS(     $M$1="SPX","SPXW",     $M$1="RUT","RUTW",  $M$1="NDX","NDXP",   TRUE,$M$1 )</f>
        <v>SPXW</v>
      </c>
      <c r="AU210" s="2">
        <f t="shared" si="22"/>
        <v>6915</v>
      </c>
      <c r="AV210" t="str">
        <f t="shared" si="23"/>
        <v>260123</v>
      </c>
      <c r="AW210">
        <f ca="1">IFERROR((EXP(0*Table1[[#This Row],[T]])*Table1[[#This Row],[put N(d1)]]*(Table1[[#This Row],[put d2]]/Table1[[#This Row],[IV Calc P]]))*Table1[[#This Row],[Open.Int8]]*Table1[[#This Row],[DeltaP]]*-1,0)</f>
        <v>-103.1350052343842</v>
      </c>
      <c r="AX210">
        <f ca="1">IFERROR((EXP(0*Table1[[#This Row],[T]])*Table1[[#This Row],[call N(d1)]]*(Table1[[#This Row],[call d2]]/Table1[[#This Row],[IV Calc C]]))*Table1[[#This Row],[Open.Int]]*Table1[[#This Row],[DeltaC]],0)</f>
        <v>-4.4024883243054385</v>
      </c>
      <c r="AY210">
        <f>IF(
    ISNUMBER(Table1[[#This Row],[Strike]]),RTD("tos.rtd", , "high", "."&amp;Table1[[#This Row],[Ticker]]&amp;Table1[[#This Row],[Expiry]]&amp;""&amp;"C"&amp;Table1[[#This Row],[Spot]]+Table1[[#This Row],[step]]))</f>
        <v>0.92</v>
      </c>
      <c r="AZ210">
        <f>IF(
    ISNUMBER(Table1[[#This Row],[Strike]]),RTD("tos.rtd", , "low", "."&amp;Table1[[#This Row],[Ticker]]&amp;Table1[[#This Row],[Expiry]]&amp;""&amp;"C"&amp;Table1[[#This Row],[Spot]]+Table1[[#This Row],[step]]))</f>
        <v>0.05</v>
      </c>
      <c r="BA210">
        <f>IF(
    ISNUMBER(Table1[[#This Row],[Strike]]),RTD("tos.rtd", , "high", "."&amp;Table1[[#This Row],[Ticker]]&amp;Table1[[#This Row],[Expiry]]&amp;""&amp;"P"&amp;Table1[[#This Row],[Spot]]+Table1[[#This Row],[step]]))</f>
        <v>99.85</v>
      </c>
      <c r="BB210">
        <f>IF(
    ISNUMBER(Table1[[#This Row],[Strike]]),RTD("tos.rtd", , "low", "."&amp;Table1[[#This Row],[Ticker]]&amp;Table1[[#This Row],[Expiry]]&amp;""&amp;"P"&amp;Table1[[#This Row],[Spot]]+Table1[[#This Row],[step]]))</f>
        <v>81.41</v>
      </c>
      <c r="BC210">
        <f>((Table1[[#This Row],[High C]]+Table1[[#This Row],[Low C]])/2)*Table1[[#This Row],[gammac]]*Table1[[#This Row],[Volume]]</f>
        <v>0</v>
      </c>
      <c r="BD210">
        <f>((Table1[[#This Row],[High P]]+Table1[[#This Row],[Low P]])/2)*Table1[[#This Row],[gammap]]*Table1[[#This Row],[Volume9]]*-1</f>
        <v>0</v>
      </c>
      <c r="BE210">
        <f>(Table1[[#This Row],[SgammaC]]+Table1[[#This Row],[SgammaP]])*$A$4*-100</f>
        <v>0</v>
      </c>
      <c r="BF210">
        <f>Table1[[#This Row],[DEXc]]+Table1[[#This Row],[DEXp]]</f>
        <v>-647504.36100000003</v>
      </c>
      <c r="BG210">
        <f>IFERROR(Table1[[#This Row],[DeltaC]]*Table1[[#This Row],[Open.Int]]*$A$4,0)</f>
        <v>58210.406999999999</v>
      </c>
      <c r="BH210">
        <f>IFERROR(Table1[[#This Row],[DeltaP]]*Table1[[#This Row],[Open.Int8]]*$A$4,0)</f>
        <v>-705714.76800000004</v>
      </c>
      <c r="BI21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-352511.2361149636</v>
      </c>
      <c r="BJ21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-609110.74002210516</v>
      </c>
      <c r="BK210">
        <f ca="1">Table1[[#This Row],[Charmc]]+Table1[[#This Row],[Charmp]]</f>
        <v>-961621.97613706882</v>
      </c>
      <c r="BL210" s="78">
        <f>IF(
    ISNUMBER(Table1[[#This Row],[Strike]]),RTD("tos.rtd", , "GAMMA", "."&amp;Table1[[#This Row],[Ticker]]&amp;Table1[[#This Row],[Expiry]]&amp;""&amp;"P"&amp;Table1[[#This Row],[Spot]]+Table1[[#This Row],[step]]))</f>
        <v>0</v>
      </c>
      <c r="BM210" s="78">
        <f>IF(
    ISNUMBER(Table1[[#This Row],[Strike]]),RTD("tos.rtd", , "GAMMA", "."&amp;Table1[[#This Row],[Ticker]]&amp;Table1[[#This Row],[Expiry]]&amp;""&amp;"C"&amp;Table1[[#This Row],[Spot]]+Table1[[#This Row],[step]]))</f>
        <v>0</v>
      </c>
      <c r="BN210" s="78">
        <f ca="1">Table1[[#This Row],[call helper]]+Table1[[#This Row],[put helper]]</f>
        <v>-1116.1107552547237</v>
      </c>
      <c r="BP210">
        <f>RTD("tos.rtd", , "STRIKE", "."&amp;Table1[[#This Row],[Ticker]]&amp;Table1[[#This Row],[Expiry]]&amp;""&amp;"C"&amp;Table1[[#This Row],[Spot]]+Table1[[#This Row],[step]])</f>
        <v>7015</v>
      </c>
    </row>
    <row r="211" spans="1:78" x14ac:dyDescent="0.25"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</row>
    <row r="212" spans="1:78" ht="30" x14ac:dyDescent="0.25">
      <c r="A212" t="s">
        <v>53</v>
      </c>
      <c r="B212" t="s">
        <v>12</v>
      </c>
      <c r="C212" t="s">
        <v>11</v>
      </c>
      <c r="D212" t="s">
        <v>2</v>
      </c>
      <c r="E212" t="s">
        <v>1</v>
      </c>
      <c r="F212" t="s">
        <v>29</v>
      </c>
      <c r="G212" t="s">
        <v>36</v>
      </c>
      <c r="H212" t="s">
        <v>43</v>
      </c>
      <c r="I212" t="s">
        <v>34</v>
      </c>
      <c r="J212" t="s">
        <v>33</v>
      </c>
      <c r="K212" t="s">
        <v>44</v>
      </c>
      <c r="L212" s="17" t="s">
        <v>77</v>
      </c>
      <c r="M212" t="s">
        <v>3</v>
      </c>
      <c r="N212" t="s">
        <v>4</v>
      </c>
      <c r="O212" t="s">
        <v>26</v>
      </c>
      <c r="P212" t="s">
        <v>42</v>
      </c>
      <c r="Q212" t="s">
        <v>35</v>
      </c>
      <c r="R212" t="s">
        <v>32</v>
      </c>
      <c r="S212" t="s">
        <v>82</v>
      </c>
      <c r="T212" t="s">
        <v>13</v>
      </c>
      <c r="U212" t="s">
        <v>14</v>
      </c>
      <c r="V212" t="s">
        <v>30</v>
      </c>
      <c r="W212" t="s">
        <v>39</v>
      </c>
      <c r="X212" t="s">
        <v>31</v>
      </c>
      <c r="Y212" t="s">
        <v>10</v>
      </c>
      <c r="Z212" t="s">
        <v>5</v>
      </c>
      <c r="AA212" t="s">
        <v>6</v>
      </c>
      <c r="AB212" t="s">
        <v>7</v>
      </c>
      <c r="AC212" t="s">
        <v>40</v>
      </c>
      <c r="AD212" t="s">
        <v>37</v>
      </c>
      <c r="AE212" t="s">
        <v>38</v>
      </c>
      <c r="AF212" t="s">
        <v>8</v>
      </c>
      <c r="AG212" t="s">
        <v>15</v>
      </c>
      <c r="AH212" t="s">
        <v>16</v>
      </c>
      <c r="AI212" t="s">
        <v>17</v>
      </c>
      <c r="AJ212" t="s">
        <v>18</v>
      </c>
      <c r="AK212" t="s">
        <v>19</v>
      </c>
      <c r="AL212" t="s">
        <v>20</v>
      </c>
      <c r="AM212" t="s">
        <v>21</v>
      </c>
      <c r="AN212" t="s">
        <v>22</v>
      </c>
      <c r="AO212" t="s">
        <v>23</v>
      </c>
      <c r="AP212" t="s">
        <v>24</v>
      </c>
      <c r="AQ212" t="s">
        <v>25</v>
      </c>
      <c r="AR212" t="s">
        <v>45</v>
      </c>
      <c r="AS212" t="s">
        <v>46</v>
      </c>
      <c r="AT212" t="s">
        <v>54</v>
      </c>
      <c r="AU212" t="s">
        <v>55</v>
      </c>
      <c r="AV212" t="s">
        <v>56</v>
      </c>
      <c r="AW212" t="s">
        <v>60</v>
      </c>
      <c r="AX212" t="s">
        <v>61</v>
      </c>
      <c r="AY212" s="61" t="s">
        <v>48</v>
      </c>
      <c r="AZ212" s="61" t="s">
        <v>49</v>
      </c>
      <c r="BA212" s="61" t="s">
        <v>50</v>
      </c>
      <c r="BB212" s="61" t="s">
        <v>51</v>
      </c>
      <c r="BC212" s="61" t="s">
        <v>52</v>
      </c>
      <c r="BD212" s="61" t="s">
        <v>59</v>
      </c>
      <c r="BE212" s="61" t="s">
        <v>62</v>
      </c>
      <c r="BF212" s="61" t="s">
        <v>28</v>
      </c>
      <c r="BG212" s="61" t="s">
        <v>68</v>
      </c>
      <c r="BH212" s="61" t="s">
        <v>69</v>
      </c>
      <c r="BI212" s="61" t="s">
        <v>70</v>
      </c>
      <c r="BJ212" s="61" t="s">
        <v>71</v>
      </c>
      <c r="BK212" s="61" t="s">
        <v>72</v>
      </c>
      <c r="BL212" s="89" t="s">
        <v>78</v>
      </c>
      <c r="BM212" s="89" t="s">
        <v>79</v>
      </c>
      <c r="BN212" s="17" t="s">
        <v>84</v>
      </c>
      <c r="BP212" s="61" t="s">
        <v>80</v>
      </c>
      <c r="BV212" t="s">
        <v>63</v>
      </c>
      <c r="BW212" t="s">
        <v>64</v>
      </c>
      <c r="BX212" t="s">
        <v>65</v>
      </c>
      <c r="BY212" s="17" t="s">
        <v>66</v>
      </c>
    </row>
    <row r="213" spans="1:78" x14ac:dyDescent="0.25">
      <c r="A213" s="14">
        <f t="shared" ref="A213:A276" ca="1" si="24">$P$3</f>
        <v>-126.14810350076104</v>
      </c>
      <c r="C213" s="17"/>
      <c r="D213" t="b">
        <f>IF(
    ISNUMBER(Table13[[#This Row],[Strike]]),RTD("tos.rtd", , "OPEN_INT", "."&amp;Table13[[#This Row],[Ticker]]&amp;Table13[[#This Row],[Expiry]]&amp;""&amp;"C"&amp;Table13[[#This Row],[Strike]]))</f>
        <v>0</v>
      </c>
      <c r="E21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3" t="b">
        <f>IF(     ISNUMBER(Table13[[#This Row],[Strike]]),RTD("tos.rtd", , "DELTA", "."&amp;Table13[[#This Row],[Ticker]]&amp;Table13[[#This Row],[Expiry]]&amp;""&amp;"C"&amp;Table13[[#This Row],[Strike]]))</f>
        <v>0</v>
      </c>
      <c r="H213" s="17" t="b" cm="1">
        <f t="array" ref="H213">IF(
    ISNUMBER(Table13[[#This Row],[Strike]]),IndividualLegIVCore($A$4, Table13[[#This Row],[Strike]], 0.0411, Table13[[#This Row],[T]], ((Table13[[#This Row],[BIDC]]+Table13[[#This Row],[ASKC]])/2), TRUE))</f>
        <v>0</v>
      </c>
      <c r="I213" t="b">
        <f>IF(     ISNUMBER(Table13[[#This Row],[Strike]]),RTD("tos.rtd", , "BID", "."&amp;Table13[[#This Row],[Ticker]]&amp;Table13[[#This Row],[Expiry]]&amp;""&amp;"C"&amp;Table13[[#This Row],[Strike]]))</f>
        <v>0</v>
      </c>
      <c r="J213" t="b">
        <f>IF(     ISNUMBER(Table13[[#This Row],[Strike]]),RTD("tos.rtd", , "ASK", "."&amp;Table13[[#This Row],[Ticker]]&amp;Table13[[#This Row],[Expiry]]&amp;""&amp;"C"&amp;Table13[[#This Row],[Strike]]))</f>
        <v>0</v>
      </c>
      <c r="K21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3" s="17" cm="1">
        <f t="array" aca="1" ref="L21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3" s="1">
        <f t="shared" ref="M213:M276" si="25">$P$1</f>
        <v>0</v>
      </c>
      <c r="N213" t="b">
        <f t="shared" ref="N213:N276" si="26">IF(ISNUMBER($BP213), $BP213, FALSE)</f>
        <v>0</v>
      </c>
      <c r="P213" s="17" t="b" cm="1">
        <f t="array" ref="P213">IF(
    ISNUMBER(Table13[[#This Row],[Strike]]),IndividualLegIVCore($A$4, Table13[[#This Row],[Strike]], 0.0411, Table13[[#This Row],[T]], ((Table13[[#This Row],[BIDP]]+Table13[[#This Row],[ASKP]])/2), FALSE))</f>
        <v>0</v>
      </c>
      <c r="Q213" t="b">
        <f>IF(     ISNUMBER(Table13[[#This Row],[Strike]]),RTD("tos.rtd", , "BID", "."&amp;Table13[[#This Row],[Ticker]]&amp;Table13[[#This Row],[Expiry]]&amp;""&amp;"P"&amp;Table13[[#This Row],[Strike]]))</f>
        <v>0</v>
      </c>
      <c r="R213" t="b">
        <f>IF(     ISNUMBER(Table13[[#This Row],[Strike]]),RTD("tos.rtd", , "ASK", "."&amp;Table13[[#This Row],[Ticker]]&amp;Table13[[#This Row],[Expiry]]&amp;""&amp;"P"&amp;Table13[[#This Row],[Strike]]))</f>
        <v>0</v>
      </c>
      <c r="S213" s="17"/>
      <c r="T213" t="b">
        <f>IF(     ISNUMBER(Table13[[#This Row],[Strike]]),RTD("tos.rtd", , "OPEN_INT", "."&amp;Table13[[#This Row],[Ticker]]&amp;Table13[[#This Row],[Expiry]]&amp;""&amp;"P"&amp;Table13[[#This Row],[Strike]]))</f>
        <v>0</v>
      </c>
      <c r="U21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3" t="b">
        <f>IF(     ISNUMBER(Table13[[#This Row],[Strike]]),RTD("tos.rtd", , "DELTA", "."&amp;Table13[[#This Row],[Ticker]]&amp;Table13[[#This Row],[Expiry]]&amp;""&amp;"P"&amp;Table13[[#This Row],[Strike]]))</f>
        <v>0</v>
      </c>
      <c r="Y213" s="19">
        <f>-50* IF($M$1="NDX", 10, IF(OR($M$1="SPX", $M$1="RUT"), 2, 1))</f>
        <v>-100</v>
      </c>
      <c r="Z213">
        <f ca="1">IFERROR(Table13[[#This Row],[call gamma]]*(Table13[[#This Row],[Open.Int]])*$A$4^2,0)</f>
        <v>0</v>
      </c>
      <c r="AA213">
        <f ca="1">IFERROR(((Table13[[#This Row],[Open.Int8]])*Table13[[#This Row],[Put gamma]])*-1*$A$4^2,0)</f>
        <v>0</v>
      </c>
      <c r="AB213">
        <f ca="1">(Table13[[#This Row],[Call Gex]]+Table13[[#This Row],[Put Gex]])</f>
        <v>0</v>
      </c>
      <c r="AC213">
        <f ca="1">Table13[[#This Row],[put delta adj]]+Table13[[#This Row],[call delta adj]]</f>
        <v>0</v>
      </c>
      <c r="AD213">
        <f ca="1">Table13[[#This Row],[Put Gex]]*Table13[[#This Row],[DeltaP]]*-1</f>
        <v>0</v>
      </c>
      <c r="AE213">
        <f ca="1">Table13[[#This Row],[Call Gex]]*Table13[[#This Row],[DeltaC]]</f>
        <v>0</v>
      </c>
      <c r="AF213">
        <f>IF(Table13[[#This Row],[DeltaC]]-ABS(Table13[[#This Row],[DeltaP]])="0","0.01",Table13[[#This Row],[DeltaC]]-ABS(Table13[[#This Row],[DeltaP]]))</f>
        <v>0</v>
      </c>
      <c r="AG213" t="e">
        <f ca="1">((LN($A$4/Table13[[#This Row],[Strike]]) + (0.411 + 0.5 * Table13[[#This Row],[IV Calc P]]^2) *Table13[[#This Row],[T]])) / (Table13[[#This Row],[IV Calc P]] * SQRT(Table13[[#This Row],[T]]))</f>
        <v>#DIV/0!</v>
      </c>
      <c r="AH213" t="e">
        <f ca="1">(LN($A$4/Table13[[#This Row],[Strike]]) + (0.411-0 + 0.5 * Table13[[#This Row],[IV Calc C]]^2) *Table13[[#This Row],[T]]) / (Table13[[#This Row],[IV Calc C]] * SQRT(Table13[[#This Row],[T]]))</f>
        <v>#DIV/0!</v>
      </c>
      <c r="AI213" t="e">
        <f ca="1">(EXP(-(AG213^2)/2)/SQRT(2*PI())*EXP(0*SQRT(Table13[[#This Row],[T]]))/$A$4*18%*SQRT(SQRT(Table13[[#This Row],[T]])))</f>
        <v>#DIV/0!</v>
      </c>
      <c r="AJ213" t="e">
        <f ca="1">(EXP(-(AH213^2)/2)/SQRT(2*PI())*EXP(0*SQRT(Table13[[#This Row],[T]]))/$A$4*18%*SQRT(SQRT(Table13[[#This Row],[T]])))</f>
        <v>#DIV/0!</v>
      </c>
      <c r="AK213" t="e">
        <f ca="1">Table13[[#This Row],[Call D1]]-Table13[[#This Row],[IV Calc C]]*SQRT(Table13[[#This Row],[T]])</f>
        <v>#DIV/0!</v>
      </c>
      <c r="AL213" t="e">
        <f ca="1">Table13[[#This Row],[Put D1]]-Table13[[#This Row],[IV Calc P]]*SQRT(Table13[[#This Row],[T]])</f>
        <v>#DIV/0!</v>
      </c>
      <c r="AM213" t="e">
        <f ca="1">EXP(-0.5*Table13[[#This Row],[Call D1]]^2)/SQRT(2*PI())</f>
        <v>#DIV/0!</v>
      </c>
      <c r="AN213" t="e">
        <f ca="1">EXP(-0.5*Table13[[#This Row],[Put D1]]^2)/SQRT(2*PI())</f>
        <v>#DIV/0!</v>
      </c>
      <c r="AO213">
        <f ca="1">IFERROR((EXP(0*Table13[[#This Row],[T]])*Table13[[#This Row],[call N(d1)]]*(Table13[[#This Row],[call d2]]/Table13[[#This Row],[IV Calc C]]))*Table13[[#This Row],[Open.Int]]*Table13[[#This Row],[DeltaC]],0)</f>
        <v>0</v>
      </c>
      <c r="AP213">
        <f ca="1">IFERROR((EXP(0*Table13[[#This Row],[T]])*Table13[[#This Row],[put N(d1)]]*(Table13[[#This Row],[put d2]]/Table13[[#This Row],[IV Calc P]]))*Table13[[#This Row],[Open.Int8]]*Table13[[#This Row],[DeltaP]]*-1,0)</f>
        <v>0</v>
      </c>
      <c r="AQ213">
        <f ca="1">((Table13[[#This Row],[call vanna]]+Table13[[#This Row],[put vanna]])*$A$4)</f>
        <v>0</v>
      </c>
      <c r="AR21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3" s="9" t="str" cm="1">
        <f t="array" ref="AT213">_xlfn.IFS(     $M$1="SPX","SPXW",     $M$1="RUT","RUTW",  $M$1="NDX","NDXP",   TRUE,$M$1 )</f>
        <v>SPXW</v>
      </c>
      <c r="AU213" s="2">
        <f t="shared" ref="AU213:AU276" si="27">$N$1</f>
        <v>6915</v>
      </c>
      <c r="AV213" t="str">
        <f t="shared" ref="AV213:AV276" si="28">$P$2</f>
        <v>000100</v>
      </c>
      <c r="AY21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3">
        <f>((Table13[[#This Row],[High C]]+Table13[[#This Row],[Low C]])/2)*Table13[[#This Row],[gammac]]*Table13[[#This Row],[Volume]]</f>
        <v>0</v>
      </c>
      <c r="BD213">
        <f>((Table13[[#This Row],[High P]]+Table13[[#This Row],[Low P]])/2)*Table13[[#This Row],[gammap]]*Table13[[#This Row],[Volume9]]*-1</f>
        <v>0</v>
      </c>
      <c r="BE213">
        <f>(Table13[[#This Row],[SgammaC]]+Table13[[#This Row],[SgammaP]])*$A$4*-100</f>
        <v>0</v>
      </c>
      <c r="BF213" s="78">
        <f>Table13[[#This Row],[DEXc]]+Table13[[#This Row],[DEXp]]</f>
        <v>0</v>
      </c>
      <c r="BG213" s="78">
        <f>IFERROR(Table13[[#This Row],[DeltaC]]*Table13[[#This Row],[Open.Int]]*$A$4,0)</f>
        <v>0</v>
      </c>
      <c r="BH213">
        <f>IFERROR(Table13[[#This Row],[DeltaP]]*Table13[[#This Row],[Open.Int8]]*$A$4,0)</f>
        <v>0</v>
      </c>
      <c r="BI213" s="6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3">
        <f ca="1">Table13[[#This Row],[charmc]]+Table13[[#This Row],[charmp]]</f>
        <v>0</v>
      </c>
      <c r="BL21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3" s="78">
        <f ca="1">Table13[[#This Row],[call helper]]+Table13[[#This Row],[put helper]]</f>
        <v>0</v>
      </c>
      <c r="BP213" t="str">
        <f>RTD("tos.rtd", , "STRIKE", "."&amp;Table13[[#This Row],[Ticker]]&amp;Table13[[#This Row],[Expiry]]&amp;""&amp;"C"&amp;Table13[[#This Row],[Spot]]+Table13[[#This Row],[step]])</f>
        <v>N/A</v>
      </c>
      <c r="BQ213" t="e" cm="1" vm="1">
        <f t="array" ref="BQ213">_xlfn._xlws.FILTER(
    BP213:BP413,
    ISNUMBER(BP213:BP413)
)</f>
        <v>#VALUE!</v>
      </c>
      <c r="BV213" cm="1">
        <f t="array" aca="1" ref="BV213:BZ213" ca="1">_xlfn.LET(
    _xlpm.useAlt, N1 &gt; 400,
    _xlpm.strikes, IF(_xlpm.useAlt, N213:N413,  N263:N363),
    _xlpm.calls,   IF(_xlpm.useAlt, AR213:AR413, AR263:AR363),
    _xlpm.puts,    IF(_xlpm.useAlt, AS213:AS413, AS263:AS363),
    _xlpm.IV,      IF(_xlpm.useAlt, L213:L413,   L263:L363),
    _xlpm.idx,     IF(_xlpm.useAlt, Y213:Y413,   Y263:Y363),
    _xlpm.mask, (ISNUMBER(_xlpm.strikes)) *
          (_xlpm.calls &lt;&gt; "N/A") *
          (_xlpm.puts  &lt;&gt; "N/A") *
          ISNUMBER(_xlpm.idx),
    _xlpm.data, _xlfn._xlws.FILTER(
        _xlfn.HSTACK(_xlpm.strikes, _xlpm.calls, _xlpm.puts, _xlpm.IV, _xlpm.idx),
        _xlpm.mask
    ),
    IFERROR(
        _xlfn.SORTBY(_xlpm.data, INDEX(_xlpm.data,,5), 1),
        _xlfn.HSTACK(0,0,0,0,0)
    )
)</f>
        <v>0</v>
      </c>
      <c r="BW213">
        <f ca="1"/>
        <v>0</v>
      </c>
      <c r="BX213">
        <f ca="1"/>
        <v>0</v>
      </c>
      <c r="BY213" s="17">
        <f ca="1"/>
        <v>0</v>
      </c>
      <c r="BZ213">
        <f ca="1"/>
        <v>0</v>
      </c>
    </row>
    <row r="214" spans="1:78" x14ac:dyDescent="0.25">
      <c r="A214" s="14">
        <f t="shared" ca="1" si="24"/>
        <v>-126.14810350076104</v>
      </c>
      <c r="C214" s="17"/>
      <c r="D214" t="b">
        <f>IF(
    ISNUMBER(Table13[[#This Row],[Strike]]),RTD("tos.rtd", , "OPEN_INT", "."&amp;Table13[[#This Row],[Ticker]]&amp;Table13[[#This Row],[Expiry]]&amp;""&amp;"C"&amp;Table13[[#This Row],[Strike]]))</f>
        <v>0</v>
      </c>
      <c r="E21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4" t="b">
        <f>IF(     ISNUMBER(Table13[[#This Row],[Strike]]),RTD("tos.rtd", , "DELTA", "."&amp;Table13[[#This Row],[Ticker]]&amp;Table13[[#This Row],[Expiry]]&amp;""&amp;"C"&amp;Table13[[#This Row],[Strike]]))</f>
        <v>0</v>
      </c>
      <c r="H214" s="17" t="b" cm="1">
        <f t="array" ref="H214">IF(
    ISNUMBER(Table13[[#This Row],[Strike]]),IndividualLegIVCore($A$4, Table13[[#This Row],[Strike]], 0.0411, Table13[[#This Row],[T]], ((Table13[[#This Row],[BIDC]]+Table13[[#This Row],[ASKC]])/2), TRUE))</f>
        <v>0</v>
      </c>
      <c r="I214" t="b">
        <f>IF(     ISNUMBER(Table13[[#This Row],[Strike]]),RTD("tos.rtd", , "BID", "."&amp;Table13[[#This Row],[Ticker]]&amp;Table13[[#This Row],[Expiry]]&amp;""&amp;"C"&amp;Table13[[#This Row],[Strike]]))</f>
        <v>0</v>
      </c>
      <c r="J214" t="b">
        <f>IF(     ISNUMBER(Table13[[#This Row],[Strike]]),RTD("tos.rtd", , "ASK", "."&amp;Table13[[#This Row],[Ticker]]&amp;Table13[[#This Row],[Expiry]]&amp;""&amp;"C"&amp;Table13[[#This Row],[Strike]]))</f>
        <v>0</v>
      </c>
      <c r="K21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4" s="17" cm="1">
        <f t="array" aca="1" ref="L21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4" s="1">
        <f t="shared" si="25"/>
        <v>0</v>
      </c>
      <c r="N214" t="b">
        <f t="shared" si="26"/>
        <v>0</v>
      </c>
      <c r="P214" s="17" t="b" cm="1">
        <f t="array" ref="P214">IF(
    ISNUMBER(Table13[[#This Row],[Strike]]),IndividualLegIVCore($A$4, Table13[[#This Row],[Strike]], 0.0411, Table13[[#This Row],[T]], ((Table13[[#This Row],[BIDP]]+Table13[[#This Row],[ASKP]])/2), FALSE))</f>
        <v>0</v>
      </c>
      <c r="Q214" t="b">
        <f>IF(     ISNUMBER(Table13[[#This Row],[Strike]]),RTD("tos.rtd", , "BID", "."&amp;Table13[[#This Row],[Ticker]]&amp;Table13[[#This Row],[Expiry]]&amp;""&amp;"P"&amp;Table13[[#This Row],[Strike]]))</f>
        <v>0</v>
      </c>
      <c r="R214" t="b">
        <f>IF(     ISNUMBER(Table13[[#This Row],[Strike]]),RTD("tos.rtd", , "ASK", "."&amp;Table13[[#This Row],[Ticker]]&amp;Table13[[#This Row],[Expiry]]&amp;""&amp;"P"&amp;Table13[[#This Row],[Strike]]))</f>
        <v>0</v>
      </c>
      <c r="S214" s="17"/>
      <c r="T214" t="b">
        <f>IF(     ISNUMBER(Table13[[#This Row],[Strike]]),RTD("tos.rtd", , "OPEN_INT", "."&amp;Table13[[#This Row],[Ticker]]&amp;Table13[[#This Row],[Expiry]]&amp;""&amp;"P"&amp;Table13[[#This Row],[Strike]]))</f>
        <v>0</v>
      </c>
      <c r="U21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4" t="b">
        <f>IF(     ISNUMBER(Table13[[#This Row],[Strike]]),RTD("tos.rtd", , "DELTA", "."&amp;Table13[[#This Row],[Ticker]]&amp;Table13[[#This Row],[Expiry]]&amp;""&amp;"P"&amp;Table13[[#This Row],[Strike]]))</f>
        <v>0</v>
      </c>
      <c r="Y214" s="19">
        <f>-49.5* IF($M$1="NDX", 10, IF(OR($M$1="SPX", $M$1="RUT"), 2, 1))</f>
        <v>-99</v>
      </c>
      <c r="Z214">
        <f ca="1">IFERROR(Table13[[#This Row],[call gamma]]*(Table13[[#This Row],[Open.Int]])*$A$4^2,0)</f>
        <v>0</v>
      </c>
      <c r="AA214">
        <f ca="1">IFERROR(((Table13[[#This Row],[Open.Int8]])*Table13[[#This Row],[Put gamma]])*-1*$A$4^2,0)</f>
        <v>0</v>
      </c>
      <c r="AB214">
        <f ca="1">(Table13[[#This Row],[Call Gex]]+Table13[[#This Row],[Put Gex]])</f>
        <v>0</v>
      </c>
      <c r="AC214">
        <f ca="1">Table13[[#This Row],[put delta adj]]+Table13[[#This Row],[call delta adj]]</f>
        <v>0</v>
      </c>
      <c r="AD214">
        <f ca="1">Table13[[#This Row],[Put Gex]]*Table13[[#This Row],[DeltaP]]*-1</f>
        <v>0</v>
      </c>
      <c r="AE214">
        <f ca="1">Table13[[#This Row],[Call Gex]]*Table13[[#This Row],[DeltaC]]</f>
        <v>0</v>
      </c>
      <c r="AF214">
        <f>IF(Table13[[#This Row],[DeltaC]]-ABS(Table13[[#This Row],[DeltaP]])="0","0.01",Table13[[#This Row],[DeltaC]]-ABS(Table13[[#This Row],[DeltaP]]))</f>
        <v>0</v>
      </c>
      <c r="AG214" t="e">
        <f ca="1">((LN($A$4/Table13[[#This Row],[Strike]]) + (0.411 + 0.5 * Table13[[#This Row],[IV Calc P]]^2) *Table13[[#This Row],[T]])) / (Table13[[#This Row],[IV Calc P]] * SQRT(Table13[[#This Row],[T]]))</f>
        <v>#DIV/0!</v>
      </c>
      <c r="AH214" t="e">
        <f ca="1">(LN($A$4/Table13[[#This Row],[Strike]]) + (0.411-0 + 0.5 * Table13[[#This Row],[IV Calc C]]^2) *Table13[[#This Row],[T]]) / (Table13[[#This Row],[IV Calc C]] * SQRT(Table13[[#This Row],[T]]))</f>
        <v>#DIV/0!</v>
      </c>
      <c r="AI214" t="e">
        <f ca="1">(EXP(-(AG214^2)/2)/SQRT(2*PI())*EXP(0*SQRT(Table13[[#This Row],[T]]))/$A$4*18%*SQRT(SQRT(Table13[[#This Row],[T]])))</f>
        <v>#DIV/0!</v>
      </c>
      <c r="AJ214" t="e">
        <f ca="1">(EXP(-(AH214^2)/2)/SQRT(2*PI())*EXP(0*SQRT(Table13[[#This Row],[T]]))/$A$4*18%*SQRT(SQRT(Table13[[#This Row],[T]])))</f>
        <v>#DIV/0!</v>
      </c>
      <c r="AK214" t="e">
        <f ca="1">Table13[[#This Row],[Call D1]]-Table13[[#This Row],[IV Calc C]]*SQRT(Table13[[#This Row],[T]])</f>
        <v>#DIV/0!</v>
      </c>
      <c r="AL214" t="e">
        <f ca="1">Table13[[#This Row],[Put D1]]-Table13[[#This Row],[IV Calc P]]*SQRT(Table13[[#This Row],[T]])</f>
        <v>#DIV/0!</v>
      </c>
      <c r="AM214" t="e">
        <f ca="1">EXP(-0.5*Table13[[#This Row],[Call D1]]^2)/SQRT(2*PI())</f>
        <v>#DIV/0!</v>
      </c>
      <c r="AN214" t="e">
        <f ca="1">EXP(-0.5*Table13[[#This Row],[Put D1]]^2)/SQRT(2*PI())</f>
        <v>#DIV/0!</v>
      </c>
      <c r="AO214">
        <f ca="1">IFERROR((EXP(0*Table13[[#This Row],[T]])*Table13[[#This Row],[call N(d1)]]*(Table13[[#This Row],[call d2]]/Table13[[#This Row],[IV Calc C]]))*Table13[[#This Row],[Open.Int]]*Table13[[#This Row],[DeltaC]],0)</f>
        <v>0</v>
      </c>
      <c r="AP214">
        <f ca="1">IFERROR((EXP(0*Table13[[#This Row],[T]])*Table13[[#This Row],[put N(d1)]]*(Table13[[#This Row],[put d2]]/Table13[[#This Row],[IV Calc P]]))*Table13[[#This Row],[Open.Int8]]*Table13[[#This Row],[DeltaP]]*-1,0)</f>
        <v>0</v>
      </c>
      <c r="AQ214">
        <f ca="1">((Table13[[#This Row],[call vanna]]+Table13[[#This Row],[put vanna]])*$A$4)</f>
        <v>0</v>
      </c>
      <c r="AR21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4" s="9" t="str" cm="1">
        <f t="array" ref="AT214">_xlfn.IFS(     $M$1="SPX","SPXW",     $M$1="RUT","RUTW",  $M$1="NDX","NDXP",   TRUE,$M$1 )</f>
        <v>SPXW</v>
      </c>
      <c r="AU214" s="2">
        <f t="shared" si="27"/>
        <v>6915</v>
      </c>
      <c r="AV214" t="str">
        <f t="shared" si="28"/>
        <v>000100</v>
      </c>
      <c r="AY21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4">
        <f>((Table13[[#This Row],[High C]]+Table13[[#This Row],[Low C]])/2)*Table13[[#This Row],[gammac]]*Table13[[#This Row],[Volume]]</f>
        <v>0</v>
      </c>
      <c r="BD214">
        <f>((Table13[[#This Row],[High P]]+Table13[[#This Row],[Low P]])/2)*Table13[[#This Row],[gammap]]*Table13[[#This Row],[Volume9]]*-1</f>
        <v>0</v>
      </c>
      <c r="BE214">
        <f>(Table13[[#This Row],[SgammaC]]+Table13[[#This Row],[SgammaP]])*$A$4*-100</f>
        <v>0</v>
      </c>
      <c r="BF214">
        <f>Table13[[#This Row],[DEXc]]+Table13[[#This Row],[DEXp]]</f>
        <v>0</v>
      </c>
      <c r="BG214">
        <f>IFERROR(Table13[[#This Row],[DeltaC]]*Table13[[#This Row],[Open.Int]]*$A$4,0)</f>
        <v>0</v>
      </c>
      <c r="BH214">
        <f>IFERROR(Table13[[#This Row],[DeltaP]]*Table13[[#This Row],[Open.Int8]]*$A$4,0)</f>
        <v>0</v>
      </c>
      <c r="BI21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4">
        <f ca="1">Table13[[#This Row],[charmc]]+Table13[[#This Row],[charmp]]</f>
        <v>0</v>
      </c>
      <c r="BL21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4" s="78">
        <f ca="1">Table13[[#This Row],[call helper]]+Table13[[#This Row],[put helper]]</f>
        <v>0</v>
      </c>
      <c r="BP214" t="str">
        <f>RTD("tos.rtd", , "STRIKE", "."&amp;Table13[[#This Row],[Ticker]]&amp;Table13[[#This Row],[Expiry]]&amp;""&amp;"C"&amp;Table13[[#This Row],[Spot]]+Table13[[#This Row],[step]])</f>
        <v>N/A</v>
      </c>
    </row>
    <row r="215" spans="1:78" x14ac:dyDescent="0.25">
      <c r="A215" s="14">
        <f t="shared" ca="1" si="24"/>
        <v>-126.14810350076104</v>
      </c>
      <c r="C215" s="17"/>
      <c r="D215" t="b">
        <f>IF(
    ISNUMBER(Table13[[#This Row],[Strike]]),RTD("tos.rtd", , "OPEN_INT", "."&amp;Table13[[#This Row],[Ticker]]&amp;Table13[[#This Row],[Expiry]]&amp;""&amp;"C"&amp;Table13[[#This Row],[Strike]]))</f>
        <v>0</v>
      </c>
      <c r="E21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5" t="b">
        <f>IF(     ISNUMBER(Table13[[#This Row],[Strike]]),RTD("tos.rtd", , "DELTA", "."&amp;Table13[[#This Row],[Ticker]]&amp;Table13[[#This Row],[Expiry]]&amp;""&amp;"C"&amp;Table13[[#This Row],[Strike]]))</f>
        <v>0</v>
      </c>
      <c r="H215" s="17" t="b" cm="1">
        <f t="array" ref="H215">IF(
    ISNUMBER(Table13[[#This Row],[Strike]]),IndividualLegIVCore($A$4, Table13[[#This Row],[Strike]], 0.0411, Table13[[#This Row],[T]], ((Table13[[#This Row],[BIDC]]+Table13[[#This Row],[ASKC]])/2), TRUE))</f>
        <v>0</v>
      </c>
      <c r="I215" t="b">
        <f>IF(     ISNUMBER(Table13[[#This Row],[Strike]]),RTD("tos.rtd", , "BID", "."&amp;Table13[[#This Row],[Ticker]]&amp;Table13[[#This Row],[Expiry]]&amp;""&amp;"C"&amp;Table13[[#This Row],[Strike]]))</f>
        <v>0</v>
      </c>
      <c r="J215" t="b">
        <f>IF(     ISNUMBER(Table13[[#This Row],[Strike]]),RTD("tos.rtd", , "ASK", "."&amp;Table13[[#This Row],[Ticker]]&amp;Table13[[#This Row],[Expiry]]&amp;""&amp;"C"&amp;Table13[[#This Row],[Strike]]))</f>
        <v>0</v>
      </c>
      <c r="K21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5" s="17" cm="1">
        <f t="array" aca="1" ref="L21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5" s="1">
        <f t="shared" si="25"/>
        <v>0</v>
      </c>
      <c r="N215" t="b">
        <f t="shared" si="26"/>
        <v>0</v>
      </c>
      <c r="P215" s="17" t="b" cm="1">
        <f t="array" ref="P215">IF(
    ISNUMBER(Table13[[#This Row],[Strike]]),IndividualLegIVCore($A$4, Table13[[#This Row],[Strike]], 0.0411, Table13[[#This Row],[T]], ((Table13[[#This Row],[BIDP]]+Table13[[#This Row],[ASKP]])/2), FALSE))</f>
        <v>0</v>
      </c>
      <c r="Q215" t="b">
        <f>IF(     ISNUMBER(Table13[[#This Row],[Strike]]),RTD("tos.rtd", , "BID", "."&amp;Table13[[#This Row],[Ticker]]&amp;Table13[[#This Row],[Expiry]]&amp;""&amp;"P"&amp;Table13[[#This Row],[Strike]]))</f>
        <v>0</v>
      </c>
      <c r="R215" t="b">
        <f>IF(     ISNUMBER(Table13[[#This Row],[Strike]]),RTD("tos.rtd", , "ASK", "."&amp;Table13[[#This Row],[Ticker]]&amp;Table13[[#This Row],[Expiry]]&amp;""&amp;"P"&amp;Table13[[#This Row],[Strike]]))</f>
        <v>0</v>
      </c>
      <c r="S215" s="17"/>
      <c r="T215" t="b">
        <f>IF(     ISNUMBER(Table13[[#This Row],[Strike]]),RTD("tos.rtd", , "OPEN_INT", "."&amp;Table13[[#This Row],[Ticker]]&amp;Table13[[#This Row],[Expiry]]&amp;""&amp;"P"&amp;Table13[[#This Row],[Strike]]))</f>
        <v>0</v>
      </c>
      <c r="U21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5" t="b">
        <f>IF(     ISNUMBER(Table13[[#This Row],[Strike]]),RTD("tos.rtd", , "DELTA", "."&amp;Table13[[#This Row],[Ticker]]&amp;Table13[[#This Row],[Expiry]]&amp;""&amp;"P"&amp;Table13[[#This Row],[Strike]]))</f>
        <v>0</v>
      </c>
      <c r="Y215" s="19">
        <f>-49* IF($M$1="NDX", 10, IF(OR($M$1="SPX", $M$1="RUT"), 2, 1))</f>
        <v>-98</v>
      </c>
      <c r="Z215">
        <f ca="1">IFERROR(Table13[[#This Row],[call gamma]]*(Table13[[#This Row],[Open.Int]])*$A$4^2,0)</f>
        <v>0</v>
      </c>
      <c r="AA215">
        <f ca="1">IFERROR(((Table13[[#This Row],[Open.Int8]])*Table13[[#This Row],[Put gamma]])*-1*$A$4^2,0)</f>
        <v>0</v>
      </c>
      <c r="AB215">
        <f ca="1">(Table13[[#This Row],[Call Gex]]+Table13[[#This Row],[Put Gex]])</f>
        <v>0</v>
      </c>
      <c r="AC215">
        <f ca="1">Table13[[#This Row],[put delta adj]]+Table13[[#This Row],[call delta adj]]</f>
        <v>0</v>
      </c>
      <c r="AD215">
        <f ca="1">Table13[[#This Row],[Put Gex]]*Table13[[#This Row],[DeltaP]]*-1</f>
        <v>0</v>
      </c>
      <c r="AE215">
        <f ca="1">Table13[[#This Row],[Call Gex]]*Table13[[#This Row],[DeltaC]]</f>
        <v>0</v>
      </c>
      <c r="AF215">
        <f>IF(Table13[[#This Row],[DeltaC]]-ABS(Table13[[#This Row],[DeltaP]])="0","0.01",Table13[[#This Row],[DeltaC]]-ABS(Table13[[#This Row],[DeltaP]]))</f>
        <v>0</v>
      </c>
      <c r="AG215" t="e">
        <f ca="1">((LN($A$4/Table13[[#This Row],[Strike]]) + (0.411 + 0.5 * Table13[[#This Row],[IV Calc P]]^2) *Table13[[#This Row],[T]])) / (Table13[[#This Row],[IV Calc P]] * SQRT(Table13[[#This Row],[T]]))</f>
        <v>#DIV/0!</v>
      </c>
      <c r="AH215" t="e">
        <f ca="1">(LN($A$4/Table13[[#This Row],[Strike]]) + (0.411-0 + 0.5 * Table13[[#This Row],[IV Calc C]]^2) *Table13[[#This Row],[T]]) / (Table13[[#This Row],[IV Calc C]] * SQRT(Table13[[#This Row],[T]]))</f>
        <v>#DIV/0!</v>
      </c>
      <c r="AI215" t="e">
        <f ca="1">(EXP(-(AG215^2)/2)/SQRT(2*PI())*EXP(0*SQRT(Table13[[#This Row],[T]]))/$A$4*18%*SQRT(SQRT(Table13[[#This Row],[T]])))</f>
        <v>#DIV/0!</v>
      </c>
      <c r="AJ215" t="e">
        <f ca="1">(EXP(-(AH215^2)/2)/SQRT(2*PI())*EXP(0*SQRT(Table13[[#This Row],[T]]))/$A$4*18%*SQRT(SQRT(Table13[[#This Row],[T]])))</f>
        <v>#DIV/0!</v>
      </c>
      <c r="AK215" t="e">
        <f ca="1">Table13[[#This Row],[Call D1]]-Table13[[#This Row],[IV Calc C]]*SQRT(Table13[[#This Row],[T]])</f>
        <v>#DIV/0!</v>
      </c>
      <c r="AL215" t="e">
        <f ca="1">Table13[[#This Row],[Put D1]]-Table13[[#This Row],[IV Calc P]]*SQRT(Table13[[#This Row],[T]])</f>
        <v>#DIV/0!</v>
      </c>
      <c r="AM215" t="e">
        <f ca="1">EXP(-0.5*Table13[[#This Row],[Call D1]]^2)/SQRT(2*PI())</f>
        <v>#DIV/0!</v>
      </c>
      <c r="AN215" t="e">
        <f ca="1">EXP(-0.5*Table13[[#This Row],[Put D1]]^2)/SQRT(2*PI())</f>
        <v>#DIV/0!</v>
      </c>
      <c r="AO215">
        <f ca="1">IFERROR((EXP(0*Table13[[#This Row],[T]])*Table13[[#This Row],[call N(d1)]]*(Table13[[#This Row],[call d2]]/Table13[[#This Row],[IV Calc C]]))*Table13[[#This Row],[Open.Int]]*Table13[[#This Row],[DeltaC]],0)</f>
        <v>0</v>
      </c>
      <c r="AP215">
        <f ca="1">IFERROR((EXP(0*Table13[[#This Row],[T]])*Table13[[#This Row],[put N(d1)]]*(Table13[[#This Row],[put d2]]/Table13[[#This Row],[IV Calc P]]))*Table13[[#This Row],[Open.Int8]]*Table13[[#This Row],[DeltaP]]*-1,0)</f>
        <v>0</v>
      </c>
      <c r="AQ215">
        <f ca="1">((Table13[[#This Row],[call vanna]]+Table13[[#This Row],[put vanna]])*$A$4)</f>
        <v>0</v>
      </c>
      <c r="AR21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5" s="9" t="str" cm="1">
        <f t="array" ref="AT215">_xlfn.IFS(     $M$1="SPX","SPXW",     $M$1="RUT","RUTW",  $M$1="NDX","NDXP",   TRUE,$M$1 )</f>
        <v>SPXW</v>
      </c>
      <c r="AU215" s="2">
        <f t="shared" si="27"/>
        <v>6915</v>
      </c>
      <c r="AV215" t="str">
        <f t="shared" si="28"/>
        <v>000100</v>
      </c>
      <c r="AY21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5">
        <f>((Table13[[#This Row],[High C]]+Table13[[#This Row],[Low C]])/2)*Table13[[#This Row],[gammac]]*Table13[[#This Row],[Volume]]</f>
        <v>0</v>
      </c>
      <c r="BD215">
        <f>((Table13[[#This Row],[High P]]+Table13[[#This Row],[Low P]])/2)*Table13[[#This Row],[gammap]]*Table13[[#This Row],[Volume9]]*-1</f>
        <v>0</v>
      </c>
      <c r="BE215">
        <f>(Table13[[#This Row],[SgammaC]]+Table13[[#This Row],[SgammaP]])*$A$4*-100</f>
        <v>0</v>
      </c>
      <c r="BF215">
        <f>Table13[[#This Row],[DEXc]]+Table13[[#This Row],[DEXp]]</f>
        <v>0</v>
      </c>
      <c r="BG215">
        <f>IFERROR(Table13[[#This Row],[DeltaC]]*Table13[[#This Row],[Open.Int]]*$A$4,0)</f>
        <v>0</v>
      </c>
      <c r="BH215">
        <f>IFERROR(Table13[[#This Row],[DeltaP]]*Table13[[#This Row],[Open.Int8]]*$A$4,0)</f>
        <v>0</v>
      </c>
      <c r="BI21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5">
        <f ca="1">Table13[[#This Row],[charmc]]+Table13[[#This Row],[charmp]]</f>
        <v>0</v>
      </c>
      <c r="BL21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5" s="78">
        <f ca="1">Table13[[#This Row],[call helper]]+Table13[[#This Row],[put helper]]</f>
        <v>0</v>
      </c>
      <c r="BP215" t="str">
        <f>RTD("tos.rtd", , "STRIKE", "."&amp;Table13[[#This Row],[Ticker]]&amp;Table13[[#This Row],[Expiry]]&amp;""&amp;"C"&amp;Table13[[#This Row],[Spot]]+Table13[[#This Row],[step]])</f>
        <v>N/A</v>
      </c>
    </row>
    <row r="216" spans="1:78" x14ac:dyDescent="0.25">
      <c r="A216" s="14">
        <f t="shared" ca="1" si="24"/>
        <v>-126.14810350076104</v>
      </c>
      <c r="C216" s="17"/>
      <c r="D216" t="b">
        <f>IF(
    ISNUMBER(Table13[[#This Row],[Strike]]),RTD("tos.rtd", , "OPEN_INT", "."&amp;Table13[[#This Row],[Ticker]]&amp;Table13[[#This Row],[Expiry]]&amp;""&amp;"C"&amp;Table13[[#This Row],[Strike]]))</f>
        <v>0</v>
      </c>
      <c r="E21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6" t="b">
        <f>IF(     ISNUMBER(Table13[[#This Row],[Strike]]),RTD("tos.rtd", , "DELTA", "."&amp;Table13[[#This Row],[Ticker]]&amp;Table13[[#This Row],[Expiry]]&amp;""&amp;"C"&amp;Table13[[#This Row],[Strike]]))</f>
        <v>0</v>
      </c>
      <c r="H216" s="17" t="b" cm="1">
        <f t="array" ref="H216">IF(
    ISNUMBER(Table13[[#This Row],[Strike]]),IndividualLegIVCore($A$4, Table13[[#This Row],[Strike]], 0.0411, Table13[[#This Row],[T]], ((Table13[[#This Row],[BIDC]]+Table13[[#This Row],[ASKC]])/2), TRUE))</f>
        <v>0</v>
      </c>
      <c r="I216" t="b">
        <f>IF(     ISNUMBER(Table13[[#This Row],[Strike]]),RTD("tos.rtd", , "BID", "."&amp;Table13[[#This Row],[Ticker]]&amp;Table13[[#This Row],[Expiry]]&amp;""&amp;"C"&amp;Table13[[#This Row],[Strike]]))</f>
        <v>0</v>
      </c>
      <c r="J216" t="b">
        <f>IF(     ISNUMBER(Table13[[#This Row],[Strike]]),RTD("tos.rtd", , "ASK", "."&amp;Table13[[#This Row],[Ticker]]&amp;Table13[[#This Row],[Expiry]]&amp;""&amp;"C"&amp;Table13[[#This Row],[Strike]]))</f>
        <v>0</v>
      </c>
      <c r="K21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6" s="17" cm="1">
        <f t="array" aca="1" ref="L21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6" s="1">
        <f t="shared" si="25"/>
        <v>0</v>
      </c>
      <c r="N216" t="b">
        <f t="shared" si="26"/>
        <v>0</v>
      </c>
      <c r="P216" s="17" t="b" cm="1">
        <f t="array" ref="P216">IF(
    ISNUMBER(Table13[[#This Row],[Strike]]),IndividualLegIVCore($A$4, Table13[[#This Row],[Strike]], 0.0411, Table13[[#This Row],[T]], ((Table13[[#This Row],[BIDP]]+Table13[[#This Row],[ASKP]])/2), FALSE))</f>
        <v>0</v>
      </c>
      <c r="Q216" t="b">
        <f>IF(     ISNUMBER(Table13[[#This Row],[Strike]]),RTD("tos.rtd", , "BID", "."&amp;Table13[[#This Row],[Ticker]]&amp;Table13[[#This Row],[Expiry]]&amp;""&amp;"P"&amp;Table13[[#This Row],[Strike]]))</f>
        <v>0</v>
      </c>
      <c r="R216" t="b">
        <f>IF(     ISNUMBER(Table13[[#This Row],[Strike]]),RTD("tos.rtd", , "ASK", "."&amp;Table13[[#This Row],[Ticker]]&amp;Table13[[#This Row],[Expiry]]&amp;""&amp;"P"&amp;Table13[[#This Row],[Strike]]))</f>
        <v>0</v>
      </c>
      <c r="S216" s="17"/>
      <c r="T216" t="b">
        <f>IF(     ISNUMBER(Table13[[#This Row],[Strike]]),RTD("tos.rtd", , "OPEN_INT", "."&amp;Table13[[#This Row],[Ticker]]&amp;Table13[[#This Row],[Expiry]]&amp;""&amp;"P"&amp;Table13[[#This Row],[Strike]]))</f>
        <v>0</v>
      </c>
      <c r="U21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6" t="b">
        <f>IF(     ISNUMBER(Table13[[#This Row],[Strike]]),RTD("tos.rtd", , "DELTA", "."&amp;Table13[[#This Row],[Ticker]]&amp;Table13[[#This Row],[Expiry]]&amp;""&amp;"P"&amp;Table13[[#This Row],[Strike]]))</f>
        <v>0</v>
      </c>
      <c r="Y216" s="19">
        <f>-48.5* IF($M$1="NDX", 10, IF(OR($M$1="SPX", $M$1="RUT"), 2, 1))</f>
        <v>-97</v>
      </c>
      <c r="Z216">
        <f ca="1">IFERROR(Table13[[#This Row],[call gamma]]*(Table13[[#This Row],[Open.Int]])*$A$4^2,0)</f>
        <v>0</v>
      </c>
      <c r="AA216">
        <f ca="1">IFERROR(((Table13[[#This Row],[Open.Int8]])*Table13[[#This Row],[Put gamma]])*-1*$A$4^2,0)</f>
        <v>0</v>
      </c>
      <c r="AB216">
        <f ca="1">(Table13[[#This Row],[Call Gex]]+Table13[[#This Row],[Put Gex]])</f>
        <v>0</v>
      </c>
      <c r="AC216">
        <f ca="1">Table13[[#This Row],[put delta adj]]+Table13[[#This Row],[call delta adj]]</f>
        <v>0</v>
      </c>
      <c r="AD216">
        <f ca="1">Table13[[#This Row],[Put Gex]]*Table13[[#This Row],[DeltaP]]*-1</f>
        <v>0</v>
      </c>
      <c r="AE216">
        <f ca="1">Table13[[#This Row],[Call Gex]]*Table13[[#This Row],[DeltaC]]</f>
        <v>0</v>
      </c>
      <c r="AF216">
        <f>IF(Table13[[#This Row],[DeltaC]]-ABS(Table13[[#This Row],[DeltaP]])="0","0.01",Table13[[#This Row],[DeltaC]]-ABS(Table13[[#This Row],[DeltaP]]))</f>
        <v>0</v>
      </c>
      <c r="AG216" t="e">
        <f ca="1">((LN($A$4/Table13[[#This Row],[Strike]]) + (0.411 + 0.5 * Table13[[#This Row],[IV Calc P]]^2) *Table13[[#This Row],[T]])) / (Table13[[#This Row],[IV Calc P]] * SQRT(Table13[[#This Row],[T]]))</f>
        <v>#DIV/0!</v>
      </c>
      <c r="AH216" t="e">
        <f ca="1">(LN($A$4/Table13[[#This Row],[Strike]]) + (0.411-0 + 0.5 * Table13[[#This Row],[IV Calc C]]^2) *Table13[[#This Row],[T]]) / (Table13[[#This Row],[IV Calc C]] * SQRT(Table13[[#This Row],[T]]))</f>
        <v>#DIV/0!</v>
      </c>
      <c r="AI216" t="e">
        <f ca="1">(EXP(-(AG216^2)/2)/SQRT(2*PI())*EXP(0*SQRT(Table13[[#This Row],[T]]))/$A$4*18%*SQRT(SQRT(Table13[[#This Row],[T]])))</f>
        <v>#DIV/0!</v>
      </c>
      <c r="AJ216" t="e">
        <f ca="1">(EXP(-(AH216^2)/2)/SQRT(2*PI())*EXP(0*SQRT(Table13[[#This Row],[T]]))/$A$4*18%*SQRT(SQRT(Table13[[#This Row],[T]])))</f>
        <v>#DIV/0!</v>
      </c>
      <c r="AK216" t="e">
        <f ca="1">Table13[[#This Row],[Call D1]]-Table13[[#This Row],[IV Calc C]]*SQRT(Table13[[#This Row],[T]])</f>
        <v>#DIV/0!</v>
      </c>
      <c r="AL216" t="e">
        <f ca="1">Table13[[#This Row],[Put D1]]-Table13[[#This Row],[IV Calc P]]*SQRT(Table13[[#This Row],[T]])</f>
        <v>#DIV/0!</v>
      </c>
      <c r="AM216" t="e">
        <f ca="1">EXP(-0.5*Table13[[#This Row],[Call D1]]^2)/SQRT(2*PI())</f>
        <v>#DIV/0!</v>
      </c>
      <c r="AN216" t="e">
        <f ca="1">EXP(-0.5*Table13[[#This Row],[Put D1]]^2)/SQRT(2*PI())</f>
        <v>#DIV/0!</v>
      </c>
      <c r="AO216">
        <f ca="1">IFERROR((EXP(0*Table13[[#This Row],[T]])*Table13[[#This Row],[call N(d1)]]*(Table13[[#This Row],[call d2]]/Table13[[#This Row],[IV Calc C]]))*Table13[[#This Row],[Open.Int]]*Table13[[#This Row],[DeltaC]],0)</f>
        <v>0</v>
      </c>
      <c r="AP216">
        <f ca="1">IFERROR((EXP(0*Table13[[#This Row],[T]])*Table13[[#This Row],[put N(d1)]]*(Table13[[#This Row],[put d2]]/Table13[[#This Row],[IV Calc P]]))*Table13[[#This Row],[Open.Int8]]*Table13[[#This Row],[DeltaP]]*-1,0)</f>
        <v>0</v>
      </c>
      <c r="AQ216">
        <f ca="1">((Table13[[#This Row],[call vanna]]+Table13[[#This Row],[put vanna]])*$A$4)</f>
        <v>0</v>
      </c>
      <c r="AR21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6" s="9" t="str" cm="1">
        <f t="array" ref="AT216">_xlfn.IFS(     $M$1="SPX","SPXW",     $M$1="RUT","RUTW",  $M$1="NDX","NDXP",   TRUE,$M$1 )</f>
        <v>SPXW</v>
      </c>
      <c r="AU216" s="2">
        <f t="shared" si="27"/>
        <v>6915</v>
      </c>
      <c r="AV216" t="str">
        <f t="shared" si="28"/>
        <v>000100</v>
      </c>
      <c r="AY21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6">
        <f>((Table13[[#This Row],[High C]]+Table13[[#This Row],[Low C]])/2)*Table13[[#This Row],[gammac]]*Table13[[#This Row],[Volume]]</f>
        <v>0</v>
      </c>
      <c r="BD216">
        <f>((Table13[[#This Row],[High P]]+Table13[[#This Row],[Low P]])/2)*Table13[[#This Row],[gammap]]*Table13[[#This Row],[Volume9]]*-1</f>
        <v>0</v>
      </c>
      <c r="BE216">
        <f>(Table13[[#This Row],[SgammaC]]+Table13[[#This Row],[SgammaP]])*$A$4*-100</f>
        <v>0</v>
      </c>
      <c r="BF216">
        <f>Table13[[#This Row],[DEXc]]+Table13[[#This Row],[DEXp]]</f>
        <v>0</v>
      </c>
      <c r="BG216">
        <f>IFERROR(Table13[[#This Row],[DeltaC]]*Table13[[#This Row],[Open.Int]]*$A$4,0)</f>
        <v>0</v>
      </c>
      <c r="BH216">
        <f>IFERROR(Table13[[#This Row],[DeltaP]]*Table13[[#This Row],[Open.Int8]]*$A$4,0)</f>
        <v>0</v>
      </c>
      <c r="BI21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6">
        <f ca="1">Table13[[#This Row],[charmc]]+Table13[[#This Row],[charmp]]</f>
        <v>0</v>
      </c>
      <c r="BL21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6" s="78">
        <f ca="1">Table13[[#This Row],[call helper]]+Table13[[#This Row],[put helper]]</f>
        <v>0</v>
      </c>
      <c r="BP216" t="str">
        <f>RTD("tos.rtd", , "STRIKE", "."&amp;Table13[[#This Row],[Ticker]]&amp;Table13[[#This Row],[Expiry]]&amp;""&amp;"C"&amp;Table13[[#This Row],[Spot]]+Table13[[#This Row],[step]])</f>
        <v>N/A</v>
      </c>
    </row>
    <row r="217" spans="1:78" x14ac:dyDescent="0.25">
      <c r="A217" s="14">
        <f t="shared" ca="1" si="24"/>
        <v>-126.14810350076104</v>
      </c>
      <c r="C217" s="17"/>
      <c r="D217" t="b">
        <f>IF(
    ISNUMBER(Table13[[#This Row],[Strike]]),RTD("tos.rtd", , "OPEN_INT", "."&amp;Table13[[#This Row],[Ticker]]&amp;Table13[[#This Row],[Expiry]]&amp;""&amp;"C"&amp;Table13[[#This Row],[Strike]]))</f>
        <v>0</v>
      </c>
      <c r="E21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7" t="b">
        <f>IF(     ISNUMBER(Table13[[#This Row],[Strike]]),RTD("tos.rtd", , "DELTA", "."&amp;Table13[[#This Row],[Ticker]]&amp;Table13[[#This Row],[Expiry]]&amp;""&amp;"C"&amp;Table13[[#This Row],[Strike]]))</f>
        <v>0</v>
      </c>
      <c r="H217" s="17" t="b" cm="1">
        <f t="array" ref="H217">IF(
    ISNUMBER(Table13[[#This Row],[Strike]]),IndividualLegIVCore($A$4, Table13[[#This Row],[Strike]], 0.0411, Table13[[#This Row],[T]], ((Table13[[#This Row],[BIDC]]+Table13[[#This Row],[ASKC]])/2), TRUE))</f>
        <v>0</v>
      </c>
      <c r="I217" t="b">
        <f>IF(     ISNUMBER(Table13[[#This Row],[Strike]]),RTD("tos.rtd", , "BID", "."&amp;Table13[[#This Row],[Ticker]]&amp;Table13[[#This Row],[Expiry]]&amp;""&amp;"C"&amp;Table13[[#This Row],[Strike]]))</f>
        <v>0</v>
      </c>
      <c r="J217" t="b">
        <f>IF(     ISNUMBER(Table13[[#This Row],[Strike]]),RTD("tos.rtd", , "ASK", "."&amp;Table13[[#This Row],[Ticker]]&amp;Table13[[#This Row],[Expiry]]&amp;""&amp;"C"&amp;Table13[[#This Row],[Strike]]))</f>
        <v>0</v>
      </c>
      <c r="K21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7" s="17" cm="1">
        <f t="array" aca="1" ref="L21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7" s="1">
        <f t="shared" si="25"/>
        <v>0</v>
      </c>
      <c r="N217" t="b">
        <f t="shared" si="26"/>
        <v>0</v>
      </c>
      <c r="P217" s="17" t="b" cm="1">
        <f t="array" ref="P217">IF(
    ISNUMBER(Table13[[#This Row],[Strike]]),IndividualLegIVCore($A$4, Table13[[#This Row],[Strike]], 0.0411, Table13[[#This Row],[T]], ((Table13[[#This Row],[BIDP]]+Table13[[#This Row],[ASKP]])/2), FALSE))</f>
        <v>0</v>
      </c>
      <c r="Q217" t="b">
        <f>IF(     ISNUMBER(Table13[[#This Row],[Strike]]),RTD("tos.rtd", , "BID", "."&amp;Table13[[#This Row],[Ticker]]&amp;Table13[[#This Row],[Expiry]]&amp;""&amp;"P"&amp;Table13[[#This Row],[Strike]]))</f>
        <v>0</v>
      </c>
      <c r="R217" t="b">
        <f>IF(     ISNUMBER(Table13[[#This Row],[Strike]]),RTD("tos.rtd", , "ASK", "."&amp;Table13[[#This Row],[Ticker]]&amp;Table13[[#This Row],[Expiry]]&amp;""&amp;"P"&amp;Table13[[#This Row],[Strike]]))</f>
        <v>0</v>
      </c>
      <c r="S217" s="17"/>
      <c r="T217" t="b">
        <f>IF(     ISNUMBER(Table13[[#This Row],[Strike]]),RTD("tos.rtd", , "OPEN_INT", "."&amp;Table13[[#This Row],[Ticker]]&amp;Table13[[#This Row],[Expiry]]&amp;""&amp;"P"&amp;Table13[[#This Row],[Strike]]))</f>
        <v>0</v>
      </c>
      <c r="U21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7" t="b">
        <f>IF(     ISNUMBER(Table13[[#This Row],[Strike]]),RTD("tos.rtd", , "DELTA", "."&amp;Table13[[#This Row],[Ticker]]&amp;Table13[[#This Row],[Expiry]]&amp;""&amp;"P"&amp;Table13[[#This Row],[Strike]]))</f>
        <v>0</v>
      </c>
      <c r="Y217" s="19">
        <f>-48* IF($M$1="NDX", 10, IF(OR($M$1="SPX", $M$1="RUT"), 2, 1))</f>
        <v>-96</v>
      </c>
      <c r="Z217">
        <f ca="1">IFERROR(Table13[[#This Row],[call gamma]]*(Table13[[#This Row],[Open.Int]])*$A$4^2,0)</f>
        <v>0</v>
      </c>
      <c r="AA217">
        <f ca="1">IFERROR(((Table13[[#This Row],[Open.Int8]])*Table13[[#This Row],[Put gamma]])*-1*$A$4^2,0)</f>
        <v>0</v>
      </c>
      <c r="AB217">
        <f ca="1">(Table13[[#This Row],[Call Gex]]+Table13[[#This Row],[Put Gex]])</f>
        <v>0</v>
      </c>
      <c r="AC217">
        <f ca="1">Table13[[#This Row],[put delta adj]]+Table13[[#This Row],[call delta adj]]</f>
        <v>0</v>
      </c>
      <c r="AD217">
        <f ca="1">Table13[[#This Row],[Put Gex]]*Table13[[#This Row],[DeltaP]]*-1</f>
        <v>0</v>
      </c>
      <c r="AE217">
        <f ca="1">Table13[[#This Row],[Call Gex]]*Table13[[#This Row],[DeltaC]]</f>
        <v>0</v>
      </c>
      <c r="AF217">
        <f>IF(Table13[[#This Row],[DeltaC]]-ABS(Table13[[#This Row],[DeltaP]])="0","0.01",Table13[[#This Row],[DeltaC]]-ABS(Table13[[#This Row],[DeltaP]]))</f>
        <v>0</v>
      </c>
      <c r="AG217" t="e">
        <f ca="1">((LN($A$4/Table13[[#This Row],[Strike]]) + (0.411 + 0.5 * Table13[[#This Row],[IV Calc P]]^2) *Table13[[#This Row],[T]])) / (Table13[[#This Row],[IV Calc P]] * SQRT(Table13[[#This Row],[T]]))</f>
        <v>#DIV/0!</v>
      </c>
      <c r="AH217" t="e">
        <f ca="1">(LN($A$4/Table13[[#This Row],[Strike]]) + (0.411-0 + 0.5 * Table13[[#This Row],[IV Calc C]]^2) *Table13[[#This Row],[T]]) / (Table13[[#This Row],[IV Calc C]] * SQRT(Table13[[#This Row],[T]]))</f>
        <v>#DIV/0!</v>
      </c>
      <c r="AI217" t="e">
        <f ca="1">(EXP(-(AG217^2)/2)/SQRT(2*PI())*EXP(0*SQRT(Table13[[#This Row],[T]]))/$A$4*18%*SQRT(SQRT(Table13[[#This Row],[T]])))</f>
        <v>#DIV/0!</v>
      </c>
      <c r="AJ217" t="e">
        <f ca="1">(EXP(-(AH217^2)/2)/SQRT(2*PI())*EXP(0*SQRT(Table13[[#This Row],[T]]))/$A$4*18%*SQRT(SQRT(Table13[[#This Row],[T]])))</f>
        <v>#DIV/0!</v>
      </c>
      <c r="AK217" t="e">
        <f ca="1">Table13[[#This Row],[Call D1]]-Table13[[#This Row],[IV Calc C]]*SQRT(Table13[[#This Row],[T]])</f>
        <v>#DIV/0!</v>
      </c>
      <c r="AL217" t="e">
        <f ca="1">Table13[[#This Row],[Put D1]]-Table13[[#This Row],[IV Calc P]]*SQRT(Table13[[#This Row],[T]])</f>
        <v>#DIV/0!</v>
      </c>
      <c r="AM217" t="e">
        <f ca="1">EXP(-0.5*Table13[[#This Row],[Call D1]]^2)/SQRT(2*PI())</f>
        <v>#DIV/0!</v>
      </c>
      <c r="AN217" t="e">
        <f ca="1">EXP(-0.5*Table13[[#This Row],[Put D1]]^2)/SQRT(2*PI())</f>
        <v>#DIV/0!</v>
      </c>
      <c r="AO217">
        <f ca="1">IFERROR((EXP(0*Table13[[#This Row],[T]])*Table13[[#This Row],[call N(d1)]]*(Table13[[#This Row],[call d2]]/Table13[[#This Row],[IV Calc C]]))*Table13[[#This Row],[Open.Int]]*Table13[[#This Row],[DeltaC]],0)</f>
        <v>0</v>
      </c>
      <c r="AP217">
        <f ca="1">IFERROR((EXP(0*Table13[[#This Row],[T]])*Table13[[#This Row],[put N(d1)]]*(Table13[[#This Row],[put d2]]/Table13[[#This Row],[IV Calc P]]))*Table13[[#This Row],[Open.Int8]]*Table13[[#This Row],[DeltaP]]*-1,0)</f>
        <v>0</v>
      </c>
      <c r="AQ217">
        <f ca="1">((Table13[[#This Row],[call vanna]]+Table13[[#This Row],[put vanna]])*$A$4)</f>
        <v>0</v>
      </c>
      <c r="AR21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7" s="9" t="str" cm="1">
        <f t="array" ref="AT217">_xlfn.IFS(     $M$1="SPX","SPXW",     $M$1="RUT","RUTW",  $M$1="NDX","NDXP",   TRUE,$M$1 )</f>
        <v>SPXW</v>
      </c>
      <c r="AU217" s="2">
        <f t="shared" si="27"/>
        <v>6915</v>
      </c>
      <c r="AV217" t="str">
        <f t="shared" si="28"/>
        <v>000100</v>
      </c>
      <c r="AY21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7">
        <f>((Table13[[#This Row],[High C]]+Table13[[#This Row],[Low C]])/2)*Table13[[#This Row],[gammac]]*Table13[[#This Row],[Volume]]</f>
        <v>0</v>
      </c>
      <c r="BD217">
        <f>((Table13[[#This Row],[High P]]+Table13[[#This Row],[Low P]])/2)*Table13[[#This Row],[gammap]]*Table13[[#This Row],[Volume9]]*-1</f>
        <v>0</v>
      </c>
      <c r="BE217">
        <f>(Table13[[#This Row],[SgammaC]]+Table13[[#This Row],[SgammaP]])*$A$4*-100</f>
        <v>0</v>
      </c>
      <c r="BF217">
        <f>Table13[[#This Row],[DEXc]]+Table13[[#This Row],[DEXp]]</f>
        <v>0</v>
      </c>
      <c r="BG217">
        <f>IFERROR(Table13[[#This Row],[DeltaC]]*Table13[[#This Row],[Open.Int]]*$A$4,0)</f>
        <v>0</v>
      </c>
      <c r="BH217">
        <f>IFERROR(Table13[[#This Row],[DeltaP]]*Table13[[#This Row],[Open.Int8]]*$A$4,0)</f>
        <v>0</v>
      </c>
      <c r="BI21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7">
        <f ca="1">Table13[[#This Row],[charmc]]+Table13[[#This Row],[charmp]]</f>
        <v>0</v>
      </c>
      <c r="BL21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7" s="78">
        <f ca="1">Table13[[#This Row],[call helper]]+Table13[[#This Row],[put helper]]</f>
        <v>0</v>
      </c>
      <c r="BP217" t="str">
        <f>RTD("tos.rtd", , "STRIKE", "."&amp;Table13[[#This Row],[Ticker]]&amp;Table13[[#This Row],[Expiry]]&amp;""&amp;"C"&amp;Table13[[#This Row],[Spot]]+Table13[[#This Row],[step]])</f>
        <v>N/A</v>
      </c>
    </row>
    <row r="218" spans="1:78" x14ac:dyDescent="0.25">
      <c r="A218" s="14">
        <f t="shared" ca="1" si="24"/>
        <v>-126.14810350076104</v>
      </c>
      <c r="C218" s="17"/>
      <c r="D218" t="b">
        <f>IF(
    ISNUMBER(Table13[[#This Row],[Strike]]),RTD("tos.rtd", , "OPEN_INT", "."&amp;Table13[[#This Row],[Ticker]]&amp;Table13[[#This Row],[Expiry]]&amp;""&amp;"C"&amp;Table13[[#This Row],[Strike]]))</f>
        <v>0</v>
      </c>
      <c r="E21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8" t="b">
        <f>IF(     ISNUMBER(Table13[[#This Row],[Strike]]),RTD("tos.rtd", , "DELTA", "."&amp;Table13[[#This Row],[Ticker]]&amp;Table13[[#This Row],[Expiry]]&amp;""&amp;"C"&amp;Table13[[#This Row],[Strike]]))</f>
        <v>0</v>
      </c>
      <c r="H218" s="17" t="b" cm="1">
        <f t="array" ref="H218">IF(
    ISNUMBER(Table13[[#This Row],[Strike]]),IndividualLegIVCore($A$4, Table13[[#This Row],[Strike]], 0.0411, Table13[[#This Row],[T]], ((Table13[[#This Row],[BIDC]]+Table13[[#This Row],[ASKC]])/2), TRUE))</f>
        <v>0</v>
      </c>
      <c r="I218" t="b">
        <f>IF(     ISNUMBER(Table13[[#This Row],[Strike]]),RTD("tos.rtd", , "BID", "."&amp;Table13[[#This Row],[Ticker]]&amp;Table13[[#This Row],[Expiry]]&amp;""&amp;"C"&amp;Table13[[#This Row],[Strike]]))</f>
        <v>0</v>
      </c>
      <c r="J218" t="b">
        <f>IF(     ISNUMBER(Table13[[#This Row],[Strike]]),RTD("tos.rtd", , "ASK", "."&amp;Table13[[#This Row],[Ticker]]&amp;Table13[[#This Row],[Expiry]]&amp;""&amp;"C"&amp;Table13[[#This Row],[Strike]]))</f>
        <v>0</v>
      </c>
      <c r="K21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8" s="17" cm="1">
        <f t="array" aca="1" ref="L21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8" s="1">
        <f t="shared" si="25"/>
        <v>0</v>
      </c>
      <c r="N218" t="b">
        <f t="shared" si="26"/>
        <v>0</v>
      </c>
      <c r="P218" s="17" t="b" cm="1">
        <f t="array" ref="P218">IF(
    ISNUMBER(Table13[[#This Row],[Strike]]),IndividualLegIVCore($A$4, Table13[[#This Row],[Strike]], 0.0411, Table13[[#This Row],[T]], ((Table13[[#This Row],[BIDP]]+Table13[[#This Row],[ASKP]])/2), FALSE))</f>
        <v>0</v>
      </c>
      <c r="Q218" t="b">
        <f>IF(     ISNUMBER(Table13[[#This Row],[Strike]]),RTD("tos.rtd", , "BID", "."&amp;Table13[[#This Row],[Ticker]]&amp;Table13[[#This Row],[Expiry]]&amp;""&amp;"P"&amp;Table13[[#This Row],[Strike]]))</f>
        <v>0</v>
      </c>
      <c r="R218" t="b">
        <f>IF(     ISNUMBER(Table13[[#This Row],[Strike]]),RTD("tos.rtd", , "ASK", "."&amp;Table13[[#This Row],[Ticker]]&amp;Table13[[#This Row],[Expiry]]&amp;""&amp;"P"&amp;Table13[[#This Row],[Strike]]))</f>
        <v>0</v>
      </c>
      <c r="S218" s="17"/>
      <c r="T218" t="b">
        <f>IF(     ISNUMBER(Table13[[#This Row],[Strike]]),RTD("tos.rtd", , "OPEN_INT", "."&amp;Table13[[#This Row],[Ticker]]&amp;Table13[[#This Row],[Expiry]]&amp;""&amp;"P"&amp;Table13[[#This Row],[Strike]]))</f>
        <v>0</v>
      </c>
      <c r="U21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8" t="b">
        <f>IF(     ISNUMBER(Table13[[#This Row],[Strike]]),RTD("tos.rtd", , "DELTA", "."&amp;Table13[[#This Row],[Ticker]]&amp;Table13[[#This Row],[Expiry]]&amp;""&amp;"P"&amp;Table13[[#This Row],[Strike]]))</f>
        <v>0</v>
      </c>
      <c r="Y218" s="19">
        <f>-47.5* IF($M$1="NDX", 10, IF(OR($M$1="SPX", $M$1="RUT"), 2, 1))</f>
        <v>-95</v>
      </c>
      <c r="Z218">
        <f ca="1">IFERROR(Table13[[#This Row],[call gamma]]*(Table13[[#This Row],[Open.Int]])*$A$4^2,0)</f>
        <v>0</v>
      </c>
      <c r="AA218">
        <f ca="1">IFERROR(((Table13[[#This Row],[Open.Int8]])*Table13[[#This Row],[Put gamma]])*-1*$A$4^2,0)</f>
        <v>0</v>
      </c>
      <c r="AB218">
        <f ca="1">(Table13[[#This Row],[Call Gex]]+Table13[[#This Row],[Put Gex]])</f>
        <v>0</v>
      </c>
      <c r="AC218">
        <f ca="1">Table13[[#This Row],[put delta adj]]+Table13[[#This Row],[call delta adj]]</f>
        <v>0</v>
      </c>
      <c r="AD218">
        <f ca="1">Table13[[#This Row],[Put Gex]]*Table13[[#This Row],[DeltaP]]*-1</f>
        <v>0</v>
      </c>
      <c r="AE218">
        <f ca="1">Table13[[#This Row],[Call Gex]]*Table13[[#This Row],[DeltaC]]</f>
        <v>0</v>
      </c>
      <c r="AF218">
        <f>IF(Table13[[#This Row],[DeltaC]]-ABS(Table13[[#This Row],[DeltaP]])="0","0.01",Table13[[#This Row],[DeltaC]]-ABS(Table13[[#This Row],[DeltaP]]))</f>
        <v>0</v>
      </c>
      <c r="AG218" t="e">
        <f ca="1">((LN($A$4/Table13[[#This Row],[Strike]]) + (0.411 + 0.5 * Table13[[#This Row],[IV Calc P]]^2) *Table13[[#This Row],[T]])) / (Table13[[#This Row],[IV Calc P]] * SQRT(Table13[[#This Row],[T]]))</f>
        <v>#DIV/0!</v>
      </c>
      <c r="AH218" t="e">
        <f ca="1">(LN($A$4/Table13[[#This Row],[Strike]]) + (0.411-0 + 0.5 * Table13[[#This Row],[IV Calc C]]^2) *Table13[[#This Row],[T]]) / (Table13[[#This Row],[IV Calc C]] * SQRT(Table13[[#This Row],[T]]))</f>
        <v>#DIV/0!</v>
      </c>
      <c r="AI218" t="e">
        <f ca="1">(EXP(-(AG218^2)/2)/SQRT(2*PI())*EXP(0*SQRT(Table13[[#This Row],[T]]))/$A$4*18%*SQRT(SQRT(Table13[[#This Row],[T]])))</f>
        <v>#DIV/0!</v>
      </c>
      <c r="AJ218" t="e">
        <f ca="1">(EXP(-(AH218^2)/2)/SQRT(2*PI())*EXP(0*SQRT(Table13[[#This Row],[T]]))/$A$4*18%*SQRT(SQRT(Table13[[#This Row],[T]])))</f>
        <v>#DIV/0!</v>
      </c>
      <c r="AK218" t="e">
        <f ca="1">Table13[[#This Row],[Call D1]]-Table13[[#This Row],[IV Calc C]]*SQRT(Table13[[#This Row],[T]])</f>
        <v>#DIV/0!</v>
      </c>
      <c r="AL218" t="e">
        <f ca="1">Table13[[#This Row],[Put D1]]-Table13[[#This Row],[IV Calc P]]*SQRT(Table13[[#This Row],[T]])</f>
        <v>#DIV/0!</v>
      </c>
      <c r="AM218" t="e">
        <f ca="1">EXP(-0.5*Table13[[#This Row],[Call D1]]^2)/SQRT(2*PI())</f>
        <v>#DIV/0!</v>
      </c>
      <c r="AN218" t="e">
        <f ca="1">EXP(-0.5*Table13[[#This Row],[Put D1]]^2)/SQRT(2*PI())</f>
        <v>#DIV/0!</v>
      </c>
      <c r="AO218">
        <f ca="1">IFERROR((EXP(0*Table13[[#This Row],[T]])*Table13[[#This Row],[call N(d1)]]*(Table13[[#This Row],[call d2]]/Table13[[#This Row],[IV Calc C]]))*Table13[[#This Row],[Open.Int]]*Table13[[#This Row],[DeltaC]],0)</f>
        <v>0</v>
      </c>
      <c r="AP218">
        <f ca="1">IFERROR((EXP(0*Table13[[#This Row],[T]])*Table13[[#This Row],[put N(d1)]]*(Table13[[#This Row],[put d2]]/Table13[[#This Row],[IV Calc P]]))*Table13[[#This Row],[Open.Int8]]*Table13[[#This Row],[DeltaP]]*-1,0)</f>
        <v>0</v>
      </c>
      <c r="AQ218">
        <f ca="1">((Table13[[#This Row],[call vanna]]+Table13[[#This Row],[put vanna]])*$A$4)</f>
        <v>0</v>
      </c>
      <c r="AR21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8" s="9" t="str" cm="1">
        <f t="array" ref="AT218">_xlfn.IFS(     $M$1="SPX","SPXW",     $M$1="RUT","RUTW",  $M$1="NDX","NDXP",   TRUE,$M$1 )</f>
        <v>SPXW</v>
      </c>
      <c r="AU218" s="2">
        <f t="shared" si="27"/>
        <v>6915</v>
      </c>
      <c r="AV218" t="str">
        <f t="shared" si="28"/>
        <v>000100</v>
      </c>
      <c r="AY21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8">
        <f>((Table13[[#This Row],[High C]]+Table13[[#This Row],[Low C]])/2)*Table13[[#This Row],[gammac]]*Table13[[#This Row],[Volume]]</f>
        <v>0</v>
      </c>
      <c r="BD218">
        <f>((Table13[[#This Row],[High P]]+Table13[[#This Row],[Low P]])/2)*Table13[[#This Row],[gammap]]*Table13[[#This Row],[Volume9]]*-1</f>
        <v>0</v>
      </c>
      <c r="BE218">
        <f>(Table13[[#This Row],[SgammaC]]+Table13[[#This Row],[SgammaP]])*$A$4*-100</f>
        <v>0</v>
      </c>
      <c r="BF218">
        <f>Table13[[#This Row],[DEXc]]+Table13[[#This Row],[DEXp]]</f>
        <v>0</v>
      </c>
      <c r="BG218">
        <f>IFERROR(Table13[[#This Row],[DeltaC]]*Table13[[#This Row],[Open.Int]]*$A$4,0)</f>
        <v>0</v>
      </c>
      <c r="BH218">
        <f>IFERROR(Table13[[#This Row],[DeltaP]]*Table13[[#This Row],[Open.Int8]]*$A$4,0)</f>
        <v>0</v>
      </c>
      <c r="BI21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8">
        <f ca="1">Table13[[#This Row],[charmc]]+Table13[[#This Row],[charmp]]</f>
        <v>0</v>
      </c>
      <c r="BL21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8" s="78">
        <f ca="1">Table13[[#This Row],[call helper]]+Table13[[#This Row],[put helper]]</f>
        <v>0</v>
      </c>
      <c r="BP218" t="str">
        <f>RTD("tos.rtd", , "STRIKE", "."&amp;Table13[[#This Row],[Ticker]]&amp;Table13[[#This Row],[Expiry]]&amp;""&amp;"C"&amp;Table13[[#This Row],[Spot]]+Table13[[#This Row],[step]])</f>
        <v>N/A</v>
      </c>
    </row>
    <row r="219" spans="1:78" x14ac:dyDescent="0.25">
      <c r="A219" s="14">
        <f t="shared" ca="1" si="24"/>
        <v>-126.14810350076104</v>
      </c>
      <c r="C219" s="17"/>
      <c r="D219" t="b">
        <f>IF(
    ISNUMBER(Table13[[#This Row],[Strike]]),RTD("tos.rtd", , "OPEN_INT", "."&amp;Table13[[#This Row],[Ticker]]&amp;Table13[[#This Row],[Expiry]]&amp;""&amp;"C"&amp;Table13[[#This Row],[Strike]]))</f>
        <v>0</v>
      </c>
      <c r="E21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9" t="b">
        <f>IF(     ISNUMBER(Table13[[#This Row],[Strike]]),RTD("tos.rtd", , "DELTA", "."&amp;Table13[[#This Row],[Ticker]]&amp;Table13[[#This Row],[Expiry]]&amp;""&amp;"C"&amp;Table13[[#This Row],[Strike]]))</f>
        <v>0</v>
      </c>
      <c r="H219" s="17" t="b" cm="1">
        <f t="array" ref="H219">IF(
    ISNUMBER(Table13[[#This Row],[Strike]]),IndividualLegIVCore($A$4, Table13[[#This Row],[Strike]], 0.0411, Table13[[#This Row],[T]], ((Table13[[#This Row],[BIDC]]+Table13[[#This Row],[ASKC]])/2), TRUE))</f>
        <v>0</v>
      </c>
      <c r="I219" t="b">
        <f>IF(     ISNUMBER(Table13[[#This Row],[Strike]]),RTD("tos.rtd", , "BID", "."&amp;Table13[[#This Row],[Ticker]]&amp;Table13[[#This Row],[Expiry]]&amp;""&amp;"C"&amp;Table13[[#This Row],[Strike]]))</f>
        <v>0</v>
      </c>
      <c r="J219" t="b">
        <f>IF(     ISNUMBER(Table13[[#This Row],[Strike]]),RTD("tos.rtd", , "ASK", "."&amp;Table13[[#This Row],[Ticker]]&amp;Table13[[#This Row],[Expiry]]&amp;""&amp;"C"&amp;Table13[[#This Row],[Strike]]))</f>
        <v>0</v>
      </c>
      <c r="K21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9" s="17" cm="1">
        <f t="array" aca="1" ref="L21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19" s="1">
        <f t="shared" si="25"/>
        <v>0</v>
      </c>
      <c r="N219" t="b">
        <f t="shared" si="26"/>
        <v>0</v>
      </c>
      <c r="P219" s="17" t="b" cm="1">
        <f t="array" ref="P219">IF(
    ISNUMBER(Table13[[#This Row],[Strike]]),IndividualLegIVCore($A$4, Table13[[#This Row],[Strike]], 0.0411, Table13[[#This Row],[T]], ((Table13[[#This Row],[BIDP]]+Table13[[#This Row],[ASKP]])/2), FALSE))</f>
        <v>0</v>
      </c>
      <c r="Q219" t="b">
        <f>IF(     ISNUMBER(Table13[[#This Row],[Strike]]),RTD("tos.rtd", , "BID", "."&amp;Table13[[#This Row],[Ticker]]&amp;Table13[[#This Row],[Expiry]]&amp;""&amp;"P"&amp;Table13[[#This Row],[Strike]]))</f>
        <v>0</v>
      </c>
      <c r="R219" t="b">
        <f>IF(     ISNUMBER(Table13[[#This Row],[Strike]]),RTD("tos.rtd", , "ASK", "."&amp;Table13[[#This Row],[Ticker]]&amp;Table13[[#This Row],[Expiry]]&amp;""&amp;"P"&amp;Table13[[#This Row],[Strike]]))</f>
        <v>0</v>
      </c>
      <c r="S219" s="17"/>
      <c r="T219" t="b">
        <f>IF(     ISNUMBER(Table13[[#This Row],[Strike]]),RTD("tos.rtd", , "OPEN_INT", "."&amp;Table13[[#This Row],[Ticker]]&amp;Table13[[#This Row],[Expiry]]&amp;""&amp;"P"&amp;Table13[[#This Row],[Strike]]))</f>
        <v>0</v>
      </c>
      <c r="U21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9" t="b">
        <f>IF(     ISNUMBER(Table13[[#This Row],[Strike]]),RTD("tos.rtd", , "DELTA", "."&amp;Table13[[#This Row],[Ticker]]&amp;Table13[[#This Row],[Expiry]]&amp;""&amp;"P"&amp;Table13[[#This Row],[Strike]]))</f>
        <v>0</v>
      </c>
      <c r="Y219" s="19">
        <f>-47* IF($M$1="NDX", 10, IF(OR($M$1="SPX", $M$1="RUT"), 2, 1))</f>
        <v>-94</v>
      </c>
      <c r="Z219">
        <f ca="1">IFERROR(Table13[[#This Row],[call gamma]]*(Table13[[#This Row],[Open.Int]])*$A$4^2,0)</f>
        <v>0</v>
      </c>
      <c r="AA219">
        <f ca="1">IFERROR(((Table13[[#This Row],[Open.Int8]])*Table13[[#This Row],[Put gamma]])*-1*$A$4^2,0)</f>
        <v>0</v>
      </c>
      <c r="AB219">
        <f ca="1">(Table13[[#This Row],[Call Gex]]+Table13[[#This Row],[Put Gex]])</f>
        <v>0</v>
      </c>
      <c r="AC219">
        <f ca="1">Table13[[#This Row],[put delta adj]]+Table13[[#This Row],[call delta adj]]</f>
        <v>0</v>
      </c>
      <c r="AD219">
        <f ca="1">Table13[[#This Row],[Put Gex]]*Table13[[#This Row],[DeltaP]]*-1</f>
        <v>0</v>
      </c>
      <c r="AE219">
        <f ca="1">Table13[[#This Row],[Call Gex]]*Table13[[#This Row],[DeltaC]]</f>
        <v>0</v>
      </c>
      <c r="AF219">
        <f>IF(Table13[[#This Row],[DeltaC]]-ABS(Table13[[#This Row],[DeltaP]])="0","0.01",Table13[[#This Row],[DeltaC]]-ABS(Table13[[#This Row],[DeltaP]]))</f>
        <v>0</v>
      </c>
      <c r="AG219" t="e">
        <f ca="1">((LN($A$4/Table13[[#This Row],[Strike]]) + (0.411 + 0.5 * Table13[[#This Row],[IV Calc P]]^2) *Table13[[#This Row],[T]])) / (Table13[[#This Row],[IV Calc P]] * SQRT(Table13[[#This Row],[T]]))</f>
        <v>#DIV/0!</v>
      </c>
      <c r="AH219" t="e">
        <f ca="1">(LN($A$4/Table13[[#This Row],[Strike]]) + (0.411-0 + 0.5 * Table13[[#This Row],[IV Calc C]]^2) *Table13[[#This Row],[T]]) / (Table13[[#This Row],[IV Calc C]] * SQRT(Table13[[#This Row],[T]]))</f>
        <v>#DIV/0!</v>
      </c>
      <c r="AI219" t="e">
        <f ca="1">(EXP(-(AG219^2)/2)/SQRT(2*PI())*EXP(0*SQRT(Table13[[#This Row],[T]]))/$A$4*18%*SQRT(SQRT(Table13[[#This Row],[T]])))</f>
        <v>#DIV/0!</v>
      </c>
      <c r="AJ219" t="e">
        <f ca="1">(EXP(-(AH219^2)/2)/SQRT(2*PI())*EXP(0*SQRT(Table13[[#This Row],[T]]))/$A$4*18%*SQRT(SQRT(Table13[[#This Row],[T]])))</f>
        <v>#DIV/0!</v>
      </c>
      <c r="AK219" t="e">
        <f ca="1">Table13[[#This Row],[Call D1]]-Table13[[#This Row],[IV Calc C]]*SQRT(Table13[[#This Row],[T]])</f>
        <v>#DIV/0!</v>
      </c>
      <c r="AL219" t="e">
        <f ca="1">Table13[[#This Row],[Put D1]]-Table13[[#This Row],[IV Calc P]]*SQRT(Table13[[#This Row],[T]])</f>
        <v>#DIV/0!</v>
      </c>
      <c r="AM219" t="e">
        <f ca="1">EXP(-0.5*Table13[[#This Row],[Call D1]]^2)/SQRT(2*PI())</f>
        <v>#DIV/0!</v>
      </c>
      <c r="AN219" t="e">
        <f ca="1">EXP(-0.5*Table13[[#This Row],[Put D1]]^2)/SQRT(2*PI())</f>
        <v>#DIV/0!</v>
      </c>
      <c r="AO219">
        <f ca="1">IFERROR((EXP(0*Table13[[#This Row],[T]])*Table13[[#This Row],[call N(d1)]]*(Table13[[#This Row],[call d2]]/Table13[[#This Row],[IV Calc C]]))*Table13[[#This Row],[Open.Int]]*Table13[[#This Row],[DeltaC]],0)</f>
        <v>0</v>
      </c>
      <c r="AP219">
        <f ca="1">IFERROR((EXP(0*Table13[[#This Row],[T]])*Table13[[#This Row],[put N(d1)]]*(Table13[[#This Row],[put d2]]/Table13[[#This Row],[IV Calc P]]))*Table13[[#This Row],[Open.Int8]]*Table13[[#This Row],[DeltaP]]*-1,0)</f>
        <v>0</v>
      </c>
      <c r="AQ219">
        <f ca="1">((Table13[[#This Row],[call vanna]]+Table13[[#This Row],[put vanna]])*$A$4)</f>
        <v>0</v>
      </c>
      <c r="AR21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9" s="9" t="str" cm="1">
        <f t="array" ref="AT219">_xlfn.IFS(     $M$1="SPX","SPXW",     $M$1="RUT","RUTW",  $M$1="NDX","NDXP",   TRUE,$M$1 )</f>
        <v>SPXW</v>
      </c>
      <c r="AU219" s="2">
        <f t="shared" si="27"/>
        <v>6915</v>
      </c>
      <c r="AV219" t="str">
        <f t="shared" si="28"/>
        <v>000100</v>
      </c>
      <c r="AY21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9">
        <f>((Table13[[#This Row],[High C]]+Table13[[#This Row],[Low C]])/2)*Table13[[#This Row],[gammac]]*Table13[[#This Row],[Volume]]</f>
        <v>0</v>
      </c>
      <c r="BD219">
        <f>((Table13[[#This Row],[High P]]+Table13[[#This Row],[Low P]])/2)*Table13[[#This Row],[gammap]]*Table13[[#This Row],[Volume9]]*-1</f>
        <v>0</v>
      </c>
      <c r="BE219">
        <f>(Table13[[#This Row],[SgammaC]]+Table13[[#This Row],[SgammaP]])*$A$4*-100</f>
        <v>0</v>
      </c>
      <c r="BF219">
        <f>Table13[[#This Row],[DEXc]]+Table13[[#This Row],[DEXp]]</f>
        <v>0</v>
      </c>
      <c r="BG219">
        <f>IFERROR(Table13[[#This Row],[DeltaC]]*Table13[[#This Row],[Open.Int]]*$A$4,0)</f>
        <v>0</v>
      </c>
      <c r="BH219">
        <f>IFERROR(Table13[[#This Row],[DeltaP]]*Table13[[#This Row],[Open.Int8]]*$A$4,0)</f>
        <v>0</v>
      </c>
      <c r="BI21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9">
        <f ca="1">Table13[[#This Row],[charmc]]+Table13[[#This Row],[charmp]]</f>
        <v>0</v>
      </c>
      <c r="BL21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9" s="78">
        <f ca="1">Table13[[#This Row],[call helper]]+Table13[[#This Row],[put helper]]</f>
        <v>0</v>
      </c>
      <c r="BP219" t="str">
        <f>RTD("tos.rtd", , "STRIKE", "."&amp;Table13[[#This Row],[Ticker]]&amp;Table13[[#This Row],[Expiry]]&amp;""&amp;"C"&amp;Table13[[#This Row],[Spot]]+Table13[[#This Row],[step]])</f>
        <v>N/A</v>
      </c>
    </row>
    <row r="220" spans="1:78" x14ac:dyDescent="0.25">
      <c r="A220" s="14">
        <f t="shared" ca="1" si="24"/>
        <v>-126.14810350076104</v>
      </c>
      <c r="C220" s="17"/>
      <c r="D220" t="b">
        <f>IF(
    ISNUMBER(Table13[[#This Row],[Strike]]),RTD("tos.rtd", , "OPEN_INT", "."&amp;Table13[[#This Row],[Ticker]]&amp;Table13[[#This Row],[Expiry]]&amp;""&amp;"C"&amp;Table13[[#This Row],[Strike]]))</f>
        <v>0</v>
      </c>
      <c r="E22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0" t="b">
        <f>IF(     ISNUMBER(Table13[[#This Row],[Strike]]),RTD("tos.rtd", , "DELTA", "."&amp;Table13[[#This Row],[Ticker]]&amp;Table13[[#This Row],[Expiry]]&amp;""&amp;"C"&amp;Table13[[#This Row],[Strike]]))</f>
        <v>0</v>
      </c>
      <c r="H220" s="17" t="b" cm="1">
        <f t="array" ref="H220">IF(
    ISNUMBER(Table13[[#This Row],[Strike]]),IndividualLegIVCore($A$4, Table13[[#This Row],[Strike]], 0.0411, Table13[[#This Row],[T]], ((Table13[[#This Row],[BIDC]]+Table13[[#This Row],[ASKC]])/2), TRUE))</f>
        <v>0</v>
      </c>
      <c r="I220" t="b">
        <f>IF(     ISNUMBER(Table13[[#This Row],[Strike]]),RTD("tos.rtd", , "BID", "."&amp;Table13[[#This Row],[Ticker]]&amp;Table13[[#This Row],[Expiry]]&amp;""&amp;"C"&amp;Table13[[#This Row],[Strike]]))</f>
        <v>0</v>
      </c>
      <c r="J220" t="b">
        <f>IF(     ISNUMBER(Table13[[#This Row],[Strike]]),RTD("tos.rtd", , "ASK", "."&amp;Table13[[#This Row],[Ticker]]&amp;Table13[[#This Row],[Expiry]]&amp;""&amp;"C"&amp;Table13[[#This Row],[Strike]]))</f>
        <v>0</v>
      </c>
      <c r="K22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0" s="17" cm="1">
        <f t="array" aca="1" ref="L22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0" s="1">
        <f t="shared" si="25"/>
        <v>0</v>
      </c>
      <c r="N220" t="b">
        <f t="shared" si="26"/>
        <v>0</v>
      </c>
      <c r="P220" s="17" t="b" cm="1">
        <f t="array" ref="P220">IF(
    ISNUMBER(Table13[[#This Row],[Strike]]),IndividualLegIVCore($A$4, Table13[[#This Row],[Strike]], 0.0411, Table13[[#This Row],[T]], ((Table13[[#This Row],[BIDP]]+Table13[[#This Row],[ASKP]])/2), FALSE))</f>
        <v>0</v>
      </c>
      <c r="Q220" t="b">
        <f>IF(     ISNUMBER(Table13[[#This Row],[Strike]]),RTD("tos.rtd", , "BID", "."&amp;Table13[[#This Row],[Ticker]]&amp;Table13[[#This Row],[Expiry]]&amp;""&amp;"P"&amp;Table13[[#This Row],[Strike]]))</f>
        <v>0</v>
      </c>
      <c r="R220" t="b">
        <f>IF(     ISNUMBER(Table13[[#This Row],[Strike]]),RTD("tos.rtd", , "ASK", "."&amp;Table13[[#This Row],[Ticker]]&amp;Table13[[#This Row],[Expiry]]&amp;""&amp;"P"&amp;Table13[[#This Row],[Strike]]))</f>
        <v>0</v>
      </c>
      <c r="S220" s="17"/>
      <c r="T220" t="b">
        <f>IF(     ISNUMBER(Table13[[#This Row],[Strike]]),RTD("tos.rtd", , "OPEN_INT", "."&amp;Table13[[#This Row],[Ticker]]&amp;Table13[[#This Row],[Expiry]]&amp;""&amp;"P"&amp;Table13[[#This Row],[Strike]]))</f>
        <v>0</v>
      </c>
      <c r="U22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0" t="b">
        <f>IF(     ISNUMBER(Table13[[#This Row],[Strike]]),RTD("tos.rtd", , "DELTA", "."&amp;Table13[[#This Row],[Ticker]]&amp;Table13[[#This Row],[Expiry]]&amp;""&amp;"P"&amp;Table13[[#This Row],[Strike]]))</f>
        <v>0</v>
      </c>
      <c r="Y220" s="19">
        <f>-46.5* IF($M$1="NDX", 10, IF(OR($M$1="SPX", $M$1="RUT"), 2, 1))</f>
        <v>-93</v>
      </c>
      <c r="Z220">
        <f ca="1">IFERROR(Table13[[#This Row],[call gamma]]*(Table13[[#This Row],[Open.Int]])*$A$4^2,0)</f>
        <v>0</v>
      </c>
      <c r="AA220">
        <f ca="1">IFERROR(((Table13[[#This Row],[Open.Int8]])*Table13[[#This Row],[Put gamma]])*-1*$A$4^2,0)</f>
        <v>0</v>
      </c>
      <c r="AB220">
        <f ca="1">(Table13[[#This Row],[Call Gex]]+Table13[[#This Row],[Put Gex]])</f>
        <v>0</v>
      </c>
      <c r="AC220">
        <f ca="1">Table13[[#This Row],[put delta adj]]+Table13[[#This Row],[call delta adj]]</f>
        <v>0</v>
      </c>
      <c r="AD220">
        <f ca="1">Table13[[#This Row],[Put Gex]]*Table13[[#This Row],[DeltaP]]*-1</f>
        <v>0</v>
      </c>
      <c r="AE220">
        <f ca="1">Table13[[#This Row],[Call Gex]]*Table13[[#This Row],[DeltaC]]</f>
        <v>0</v>
      </c>
      <c r="AF220">
        <f>IF(Table13[[#This Row],[DeltaC]]-ABS(Table13[[#This Row],[DeltaP]])="0","0.01",Table13[[#This Row],[DeltaC]]-ABS(Table13[[#This Row],[DeltaP]]))</f>
        <v>0</v>
      </c>
      <c r="AG220" t="e">
        <f ca="1">((LN($A$4/Table13[[#This Row],[Strike]]) + (0.411 + 0.5 * Table13[[#This Row],[IV Calc P]]^2) *Table13[[#This Row],[T]])) / (Table13[[#This Row],[IV Calc P]] * SQRT(Table13[[#This Row],[T]]))</f>
        <v>#DIV/0!</v>
      </c>
      <c r="AH220" t="e">
        <f ca="1">(LN($A$4/Table13[[#This Row],[Strike]]) + (0.411-0 + 0.5 * Table13[[#This Row],[IV Calc C]]^2) *Table13[[#This Row],[T]]) / (Table13[[#This Row],[IV Calc C]] * SQRT(Table13[[#This Row],[T]]))</f>
        <v>#DIV/0!</v>
      </c>
      <c r="AI220" t="e">
        <f ca="1">(EXP(-(AG220^2)/2)/SQRT(2*PI())*EXP(0*SQRT(Table13[[#This Row],[T]]))/$A$4*18%*SQRT(SQRT(Table13[[#This Row],[T]])))</f>
        <v>#DIV/0!</v>
      </c>
      <c r="AJ220" t="e">
        <f ca="1">(EXP(-(AH220^2)/2)/SQRT(2*PI())*EXP(0*SQRT(Table13[[#This Row],[T]]))/$A$4*18%*SQRT(SQRT(Table13[[#This Row],[T]])))</f>
        <v>#DIV/0!</v>
      </c>
      <c r="AK220" t="e">
        <f ca="1">Table13[[#This Row],[Call D1]]-Table13[[#This Row],[IV Calc C]]*SQRT(Table13[[#This Row],[T]])</f>
        <v>#DIV/0!</v>
      </c>
      <c r="AL220" t="e">
        <f ca="1">Table13[[#This Row],[Put D1]]-Table13[[#This Row],[IV Calc P]]*SQRT(Table13[[#This Row],[T]])</f>
        <v>#DIV/0!</v>
      </c>
      <c r="AM220" t="e">
        <f ca="1">EXP(-0.5*Table13[[#This Row],[Call D1]]^2)/SQRT(2*PI())</f>
        <v>#DIV/0!</v>
      </c>
      <c r="AN220" t="e">
        <f ca="1">EXP(-0.5*Table13[[#This Row],[Put D1]]^2)/SQRT(2*PI())</f>
        <v>#DIV/0!</v>
      </c>
      <c r="AO220">
        <f ca="1">IFERROR((EXP(0*Table13[[#This Row],[T]])*Table13[[#This Row],[call N(d1)]]*(Table13[[#This Row],[call d2]]/Table13[[#This Row],[IV Calc C]]))*Table13[[#This Row],[Open.Int]]*Table13[[#This Row],[DeltaC]],0)</f>
        <v>0</v>
      </c>
      <c r="AP220">
        <f ca="1">IFERROR((EXP(0*Table13[[#This Row],[T]])*Table13[[#This Row],[put N(d1)]]*(Table13[[#This Row],[put d2]]/Table13[[#This Row],[IV Calc P]]))*Table13[[#This Row],[Open.Int8]]*Table13[[#This Row],[DeltaP]]*-1,0)</f>
        <v>0</v>
      </c>
      <c r="AQ220">
        <f ca="1">((Table13[[#This Row],[call vanna]]+Table13[[#This Row],[put vanna]])*$A$4)</f>
        <v>0</v>
      </c>
      <c r="AR22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0" s="9" t="str" cm="1">
        <f t="array" ref="AT220">_xlfn.IFS(     $M$1="SPX","SPXW",     $M$1="RUT","RUTW",  $M$1="NDX","NDXP",   TRUE,$M$1 )</f>
        <v>SPXW</v>
      </c>
      <c r="AU220" s="2">
        <f t="shared" si="27"/>
        <v>6915</v>
      </c>
      <c r="AV220" t="str">
        <f t="shared" si="28"/>
        <v>000100</v>
      </c>
      <c r="AY22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0">
        <f>((Table13[[#This Row],[High C]]+Table13[[#This Row],[Low C]])/2)*Table13[[#This Row],[gammac]]*Table13[[#This Row],[Volume]]</f>
        <v>0</v>
      </c>
      <c r="BD220">
        <f>((Table13[[#This Row],[High P]]+Table13[[#This Row],[Low P]])/2)*Table13[[#This Row],[gammap]]*Table13[[#This Row],[Volume9]]*-1</f>
        <v>0</v>
      </c>
      <c r="BE220">
        <f>(Table13[[#This Row],[SgammaC]]+Table13[[#This Row],[SgammaP]])*$A$4*-100</f>
        <v>0</v>
      </c>
      <c r="BF220">
        <f>Table13[[#This Row],[DEXc]]+Table13[[#This Row],[DEXp]]</f>
        <v>0</v>
      </c>
      <c r="BG220">
        <f>IFERROR(Table13[[#This Row],[DeltaC]]*Table13[[#This Row],[Open.Int]]*$A$4,0)</f>
        <v>0</v>
      </c>
      <c r="BH220">
        <f>IFERROR(Table13[[#This Row],[DeltaP]]*Table13[[#This Row],[Open.Int8]]*$A$4,0)</f>
        <v>0</v>
      </c>
      <c r="BI22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0">
        <f ca="1">Table13[[#This Row],[charmc]]+Table13[[#This Row],[charmp]]</f>
        <v>0</v>
      </c>
      <c r="BL22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0" s="78">
        <f ca="1">Table13[[#This Row],[call helper]]+Table13[[#This Row],[put helper]]</f>
        <v>0</v>
      </c>
      <c r="BP220" t="str">
        <f>RTD("tos.rtd", , "STRIKE", "."&amp;Table13[[#This Row],[Ticker]]&amp;Table13[[#This Row],[Expiry]]&amp;""&amp;"C"&amp;Table13[[#This Row],[Spot]]+Table13[[#This Row],[step]])</f>
        <v>N/A</v>
      </c>
    </row>
    <row r="221" spans="1:78" x14ac:dyDescent="0.25">
      <c r="A221" s="14">
        <f t="shared" ca="1" si="24"/>
        <v>-126.14810350076104</v>
      </c>
      <c r="C221" s="17"/>
      <c r="D221" t="b">
        <f>IF(
    ISNUMBER(Table13[[#This Row],[Strike]]),RTD("tos.rtd", , "OPEN_INT", "."&amp;Table13[[#This Row],[Ticker]]&amp;Table13[[#This Row],[Expiry]]&amp;""&amp;"C"&amp;Table13[[#This Row],[Strike]]))</f>
        <v>0</v>
      </c>
      <c r="E22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1" t="b">
        <f>IF(     ISNUMBER(Table13[[#This Row],[Strike]]),RTD("tos.rtd", , "DELTA", "."&amp;Table13[[#This Row],[Ticker]]&amp;Table13[[#This Row],[Expiry]]&amp;""&amp;"C"&amp;Table13[[#This Row],[Strike]]))</f>
        <v>0</v>
      </c>
      <c r="H221" s="17" t="b" cm="1">
        <f t="array" ref="H221">IF(
    ISNUMBER(Table13[[#This Row],[Strike]]),IndividualLegIVCore($A$4, Table13[[#This Row],[Strike]], 0.0411, Table13[[#This Row],[T]], ((Table13[[#This Row],[BIDC]]+Table13[[#This Row],[ASKC]])/2), TRUE))</f>
        <v>0</v>
      </c>
      <c r="I221" t="b">
        <f>IF(     ISNUMBER(Table13[[#This Row],[Strike]]),RTD("tos.rtd", , "BID", "."&amp;Table13[[#This Row],[Ticker]]&amp;Table13[[#This Row],[Expiry]]&amp;""&amp;"C"&amp;Table13[[#This Row],[Strike]]))</f>
        <v>0</v>
      </c>
      <c r="J221" t="b">
        <f>IF(     ISNUMBER(Table13[[#This Row],[Strike]]),RTD("tos.rtd", , "ASK", "."&amp;Table13[[#This Row],[Ticker]]&amp;Table13[[#This Row],[Expiry]]&amp;""&amp;"C"&amp;Table13[[#This Row],[Strike]]))</f>
        <v>0</v>
      </c>
      <c r="K22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1" s="17" cm="1">
        <f t="array" aca="1" ref="L22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1" s="1">
        <f t="shared" si="25"/>
        <v>0</v>
      </c>
      <c r="N221" t="b">
        <f t="shared" si="26"/>
        <v>0</v>
      </c>
      <c r="P221" s="17" t="b" cm="1">
        <f t="array" ref="P221">IF(
    ISNUMBER(Table13[[#This Row],[Strike]]),IndividualLegIVCore($A$4, Table13[[#This Row],[Strike]], 0.0411, Table13[[#This Row],[T]], ((Table13[[#This Row],[BIDP]]+Table13[[#This Row],[ASKP]])/2), FALSE))</f>
        <v>0</v>
      </c>
      <c r="Q221" t="b">
        <f>IF(     ISNUMBER(Table13[[#This Row],[Strike]]),RTD("tos.rtd", , "BID", "."&amp;Table13[[#This Row],[Ticker]]&amp;Table13[[#This Row],[Expiry]]&amp;""&amp;"P"&amp;Table13[[#This Row],[Strike]]))</f>
        <v>0</v>
      </c>
      <c r="R221" t="b">
        <f>IF(     ISNUMBER(Table13[[#This Row],[Strike]]),RTD("tos.rtd", , "ASK", "."&amp;Table13[[#This Row],[Ticker]]&amp;Table13[[#This Row],[Expiry]]&amp;""&amp;"P"&amp;Table13[[#This Row],[Strike]]))</f>
        <v>0</v>
      </c>
      <c r="S221" s="17"/>
      <c r="T221" t="b">
        <f>IF(     ISNUMBER(Table13[[#This Row],[Strike]]),RTD("tos.rtd", , "OPEN_INT", "."&amp;Table13[[#This Row],[Ticker]]&amp;Table13[[#This Row],[Expiry]]&amp;""&amp;"P"&amp;Table13[[#This Row],[Strike]]))</f>
        <v>0</v>
      </c>
      <c r="U22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1" t="b">
        <f>IF(     ISNUMBER(Table13[[#This Row],[Strike]]),RTD("tos.rtd", , "DELTA", "."&amp;Table13[[#This Row],[Ticker]]&amp;Table13[[#This Row],[Expiry]]&amp;""&amp;"P"&amp;Table13[[#This Row],[Strike]]))</f>
        <v>0</v>
      </c>
      <c r="Y221" s="19">
        <f>-46* IF($M$1="NDX", 10, IF(OR($M$1="SPX", $M$1="RUT"), 2, 1))</f>
        <v>-92</v>
      </c>
      <c r="Z221">
        <f ca="1">IFERROR(Table13[[#This Row],[call gamma]]*(Table13[[#This Row],[Open.Int]])*$A$4^2,0)</f>
        <v>0</v>
      </c>
      <c r="AA221">
        <f ca="1">IFERROR(((Table13[[#This Row],[Open.Int8]])*Table13[[#This Row],[Put gamma]])*-1*$A$4^2,0)</f>
        <v>0</v>
      </c>
      <c r="AB221">
        <f ca="1">(Table13[[#This Row],[Call Gex]]+Table13[[#This Row],[Put Gex]])</f>
        <v>0</v>
      </c>
      <c r="AC221">
        <f ca="1">Table13[[#This Row],[put delta adj]]+Table13[[#This Row],[call delta adj]]</f>
        <v>0</v>
      </c>
      <c r="AD221">
        <f ca="1">Table13[[#This Row],[Put Gex]]*Table13[[#This Row],[DeltaP]]*-1</f>
        <v>0</v>
      </c>
      <c r="AE221">
        <f ca="1">Table13[[#This Row],[Call Gex]]*Table13[[#This Row],[DeltaC]]</f>
        <v>0</v>
      </c>
      <c r="AF221">
        <f>IF(Table13[[#This Row],[DeltaC]]-ABS(Table13[[#This Row],[DeltaP]])="0","0.01",Table13[[#This Row],[DeltaC]]-ABS(Table13[[#This Row],[DeltaP]]))</f>
        <v>0</v>
      </c>
      <c r="AG221" t="e">
        <f ca="1">((LN($A$4/Table13[[#This Row],[Strike]]) + (0.411 + 0.5 * Table13[[#This Row],[IV Calc P]]^2) *Table13[[#This Row],[T]])) / (Table13[[#This Row],[IV Calc P]] * SQRT(Table13[[#This Row],[T]]))</f>
        <v>#DIV/0!</v>
      </c>
      <c r="AH221" t="e">
        <f ca="1">(LN($A$4/Table13[[#This Row],[Strike]]) + (0.411-0 + 0.5 * Table13[[#This Row],[IV Calc C]]^2) *Table13[[#This Row],[T]]) / (Table13[[#This Row],[IV Calc C]] * SQRT(Table13[[#This Row],[T]]))</f>
        <v>#DIV/0!</v>
      </c>
      <c r="AI221" t="e">
        <f ca="1">(EXP(-(AG221^2)/2)/SQRT(2*PI())*EXP(0*SQRT(Table13[[#This Row],[T]]))/$A$4*18%*SQRT(SQRT(Table13[[#This Row],[T]])))</f>
        <v>#DIV/0!</v>
      </c>
      <c r="AJ221" t="e">
        <f ca="1">(EXP(-(AH221^2)/2)/SQRT(2*PI())*EXP(0*SQRT(Table13[[#This Row],[T]]))/$A$4*18%*SQRT(SQRT(Table13[[#This Row],[T]])))</f>
        <v>#DIV/0!</v>
      </c>
      <c r="AK221" t="e">
        <f ca="1">Table13[[#This Row],[Call D1]]-Table13[[#This Row],[IV Calc C]]*SQRT(Table13[[#This Row],[T]])</f>
        <v>#DIV/0!</v>
      </c>
      <c r="AL221" t="e">
        <f ca="1">Table13[[#This Row],[Put D1]]-Table13[[#This Row],[IV Calc P]]*SQRT(Table13[[#This Row],[T]])</f>
        <v>#DIV/0!</v>
      </c>
      <c r="AM221" t="e">
        <f ca="1">EXP(-0.5*Table13[[#This Row],[Call D1]]^2)/SQRT(2*PI())</f>
        <v>#DIV/0!</v>
      </c>
      <c r="AN221" t="e">
        <f ca="1">EXP(-0.5*Table13[[#This Row],[Put D1]]^2)/SQRT(2*PI())</f>
        <v>#DIV/0!</v>
      </c>
      <c r="AO221">
        <f ca="1">IFERROR((EXP(0*Table13[[#This Row],[T]])*Table13[[#This Row],[call N(d1)]]*(Table13[[#This Row],[call d2]]/Table13[[#This Row],[IV Calc C]]))*Table13[[#This Row],[Open.Int]]*Table13[[#This Row],[DeltaC]],0)</f>
        <v>0</v>
      </c>
      <c r="AP221">
        <f ca="1">IFERROR((EXP(0*Table13[[#This Row],[T]])*Table13[[#This Row],[put N(d1)]]*(Table13[[#This Row],[put d2]]/Table13[[#This Row],[IV Calc P]]))*Table13[[#This Row],[Open.Int8]]*Table13[[#This Row],[DeltaP]]*-1,0)</f>
        <v>0</v>
      </c>
      <c r="AQ221">
        <f ca="1">((Table13[[#This Row],[call vanna]]+Table13[[#This Row],[put vanna]])*$A$4)</f>
        <v>0</v>
      </c>
      <c r="AR22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1" s="9" t="str" cm="1">
        <f t="array" ref="AT221">_xlfn.IFS(     $M$1="SPX","SPXW",     $M$1="RUT","RUTW",  $M$1="NDX","NDXP",   TRUE,$M$1 )</f>
        <v>SPXW</v>
      </c>
      <c r="AU221" s="2">
        <f t="shared" si="27"/>
        <v>6915</v>
      </c>
      <c r="AV221" t="str">
        <f t="shared" si="28"/>
        <v>000100</v>
      </c>
      <c r="AY22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1">
        <f>((Table13[[#This Row],[High C]]+Table13[[#This Row],[Low C]])/2)*Table13[[#This Row],[gammac]]*Table13[[#This Row],[Volume]]</f>
        <v>0</v>
      </c>
      <c r="BD221">
        <f>((Table13[[#This Row],[High P]]+Table13[[#This Row],[Low P]])/2)*Table13[[#This Row],[gammap]]*Table13[[#This Row],[Volume9]]*-1</f>
        <v>0</v>
      </c>
      <c r="BE221">
        <f>(Table13[[#This Row],[SgammaC]]+Table13[[#This Row],[SgammaP]])*$A$4*-100</f>
        <v>0</v>
      </c>
      <c r="BF221">
        <f>Table13[[#This Row],[DEXc]]+Table13[[#This Row],[DEXp]]</f>
        <v>0</v>
      </c>
      <c r="BG221">
        <f>IFERROR(Table13[[#This Row],[DeltaC]]*Table13[[#This Row],[Open.Int]]*$A$4,0)</f>
        <v>0</v>
      </c>
      <c r="BH221">
        <f>IFERROR(Table13[[#This Row],[DeltaP]]*Table13[[#This Row],[Open.Int8]]*$A$4,0)</f>
        <v>0</v>
      </c>
      <c r="BI22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1">
        <f ca="1">Table13[[#This Row],[charmc]]+Table13[[#This Row],[charmp]]</f>
        <v>0</v>
      </c>
      <c r="BL22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1" s="78">
        <f ca="1">Table13[[#This Row],[call helper]]+Table13[[#This Row],[put helper]]</f>
        <v>0</v>
      </c>
      <c r="BP221" t="str">
        <f>RTD("tos.rtd", , "STRIKE", "."&amp;Table13[[#This Row],[Ticker]]&amp;Table13[[#This Row],[Expiry]]&amp;""&amp;"C"&amp;Table13[[#This Row],[Spot]]+Table13[[#This Row],[step]])</f>
        <v>N/A</v>
      </c>
    </row>
    <row r="222" spans="1:78" x14ac:dyDescent="0.25">
      <c r="A222" s="14">
        <f t="shared" ca="1" si="24"/>
        <v>-126.14810350076104</v>
      </c>
      <c r="C222" s="17"/>
      <c r="D222" t="b">
        <f>IF(
    ISNUMBER(Table13[[#This Row],[Strike]]),RTD("tos.rtd", , "OPEN_INT", "."&amp;Table13[[#This Row],[Ticker]]&amp;Table13[[#This Row],[Expiry]]&amp;""&amp;"C"&amp;Table13[[#This Row],[Strike]]))</f>
        <v>0</v>
      </c>
      <c r="E22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2" t="b">
        <f>IF(     ISNUMBER(Table13[[#This Row],[Strike]]),RTD("tos.rtd", , "DELTA", "."&amp;Table13[[#This Row],[Ticker]]&amp;Table13[[#This Row],[Expiry]]&amp;""&amp;"C"&amp;Table13[[#This Row],[Strike]]))</f>
        <v>0</v>
      </c>
      <c r="H222" s="17" t="b" cm="1">
        <f t="array" ref="H222">IF(
    ISNUMBER(Table13[[#This Row],[Strike]]),IndividualLegIVCore($A$4, Table13[[#This Row],[Strike]], 0.0411, Table13[[#This Row],[T]], ((Table13[[#This Row],[BIDC]]+Table13[[#This Row],[ASKC]])/2), TRUE))</f>
        <v>0</v>
      </c>
      <c r="I222" t="b">
        <f>IF(     ISNUMBER(Table13[[#This Row],[Strike]]),RTD("tos.rtd", , "BID", "."&amp;Table13[[#This Row],[Ticker]]&amp;Table13[[#This Row],[Expiry]]&amp;""&amp;"C"&amp;Table13[[#This Row],[Strike]]))</f>
        <v>0</v>
      </c>
      <c r="J222" t="b">
        <f>IF(     ISNUMBER(Table13[[#This Row],[Strike]]),RTD("tos.rtd", , "ASK", "."&amp;Table13[[#This Row],[Ticker]]&amp;Table13[[#This Row],[Expiry]]&amp;""&amp;"C"&amp;Table13[[#This Row],[Strike]]))</f>
        <v>0</v>
      </c>
      <c r="K22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2" s="17" cm="1">
        <f t="array" aca="1" ref="L22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2" s="1">
        <f t="shared" si="25"/>
        <v>0</v>
      </c>
      <c r="N222" t="b">
        <f t="shared" si="26"/>
        <v>0</v>
      </c>
      <c r="P222" s="17" t="b" cm="1">
        <f t="array" ref="P222">IF(
    ISNUMBER(Table13[[#This Row],[Strike]]),IndividualLegIVCore($A$4, Table13[[#This Row],[Strike]], 0.0411, Table13[[#This Row],[T]], ((Table13[[#This Row],[BIDP]]+Table13[[#This Row],[ASKP]])/2), FALSE))</f>
        <v>0</v>
      </c>
      <c r="Q222" t="b">
        <f>IF(     ISNUMBER(Table13[[#This Row],[Strike]]),RTD("tos.rtd", , "BID", "."&amp;Table13[[#This Row],[Ticker]]&amp;Table13[[#This Row],[Expiry]]&amp;""&amp;"P"&amp;Table13[[#This Row],[Strike]]))</f>
        <v>0</v>
      </c>
      <c r="R222" t="b">
        <f>IF(     ISNUMBER(Table13[[#This Row],[Strike]]),RTD("tos.rtd", , "ASK", "."&amp;Table13[[#This Row],[Ticker]]&amp;Table13[[#This Row],[Expiry]]&amp;""&amp;"P"&amp;Table13[[#This Row],[Strike]]))</f>
        <v>0</v>
      </c>
      <c r="S222" s="17"/>
      <c r="T222" t="b">
        <f>IF(     ISNUMBER(Table13[[#This Row],[Strike]]),RTD("tos.rtd", , "OPEN_INT", "."&amp;Table13[[#This Row],[Ticker]]&amp;Table13[[#This Row],[Expiry]]&amp;""&amp;"P"&amp;Table13[[#This Row],[Strike]]))</f>
        <v>0</v>
      </c>
      <c r="U22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2" t="b">
        <f>IF(     ISNUMBER(Table13[[#This Row],[Strike]]),RTD("tos.rtd", , "DELTA", "."&amp;Table13[[#This Row],[Ticker]]&amp;Table13[[#This Row],[Expiry]]&amp;""&amp;"P"&amp;Table13[[#This Row],[Strike]]))</f>
        <v>0</v>
      </c>
      <c r="Y222" s="19">
        <f>-45.5* IF($M$1="NDX", 10, IF(OR($M$1="SPX", $M$1="RUT"), 2, 1))</f>
        <v>-91</v>
      </c>
      <c r="Z222">
        <f ca="1">IFERROR(Table13[[#This Row],[call gamma]]*(Table13[[#This Row],[Open.Int]])*$A$4^2,0)</f>
        <v>0</v>
      </c>
      <c r="AA222">
        <f ca="1">IFERROR(((Table13[[#This Row],[Open.Int8]])*Table13[[#This Row],[Put gamma]])*-1*$A$4^2,0)</f>
        <v>0</v>
      </c>
      <c r="AB222">
        <f ca="1">(Table13[[#This Row],[Call Gex]]+Table13[[#This Row],[Put Gex]])</f>
        <v>0</v>
      </c>
      <c r="AC222">
        <f ca="1">Table13[[#This Row],[put delta adj]]+Table13[[#This Row],[call delta adj]]</f>
        <v>0</v>
      </c>
      <c r="AD222">
        <f ca="1">Table13[[#This Row],[Put Gex]]*Table13[[#This Row],[DeltaP]]*-1</f>
        <v>0</v>
      </c>
      <c r="AE222">
        <f ca="1">Table13[[#This Row],[Call Gex]]*Table13[[#This Row],[DeltaC]]</f>
        <v>0</v>
      </c>
      <c r="AF222">
        <f>IF(Table13[[#This Row],[DeltaC]]-ABS(Table13[[#This Row],[DeltaP]])="0","0.01",Table13[[#This Row],[DeltaC]]-ABS(Table13[[#This Row],[DeltaP]]))</f>
        <v>0</v>
      </c>
      <c r="AG222" t="e">
        <f ca="1">((LN($A$4/Table13[[#This Row],[Strike]]) + (0.411 + 0.5 * Table13[[#This Row],[IV Calc P]]^2) *Table13[[#This Row],[T]])) / (Table13[[#This Row],[IV Calc P]] * SQRT(Table13[[#This Row],[T]]))</f>
        <v>#DIV/0!</v>
      </c>
      <c r="AH222" t="e">
        <f ca="1">(LN($A$4/Table13[[#This Row],[Strike]]) + (0.411-0 + 0.5 * Table13[[#This Row],[IV Calc C]]^2) *Table13[[#This Row],[T]]) / (Table13[[#This Row],[IV Calc C]] * SQRT(Table13[[#This Row],[T]]))</f>
        <v>#DIV/0!</v>
      </c>
      <c r="AI222" t="e">
        <f ca="1">(EXP(-(AG222^2)/2)/SQRT(2*PI())*EXP(0*SQRT(Table13[[#This Row],[T]]))/$A$4*18%*SQRT(SQRT(Table13[[#This Row],[T]])))</f>
        <v>#DIV/0!</v>
      </c>
      <c r="AJ222" t="e">
        <f ca="1">(EXP(-(AH222^2)/2)/SQRT(2*PI())*EXP(0*SQRT(Table13[[#This Row],[T]]))/$A$4*18%*SQRT(SQRT(Table13[[#This Row],[T]])))</f>
        <v>#DIV/0!</v>
      </c>
      <c r="AK222" t="e">
        <f ca="1">Table13[[#This Row],[Call D1]]-Table13[[#This Row],[IV Calc C]]*SQRT(Table13[[#This Row],[T]])</f>
        <v>#DIV/0!</v>
      </c>
      <c r="AL222" t="e">
        <f ca="1">Table13[[#This Row],[Put D1]]-Table13[[#This Row],[IV Calc P]]*SQRT(Table13[[#This Row],[T]])</f>
        <v>#DIV/0!</v>
      </c>
      <c r="AM222" t="e">
        <f ca="1">EXP(-0.5*Table13[[#This Row],[Call D1]]^2)/SQRT(2*PI())</f>
        <v>#DIV/0!</v>
      </c>
      <c r="AN222" t="e">
        <f ca="1">EXP(-0.5*Table13[[#This Row],[Put D1]]^2)/SQRT(2*PI())</f>
        <v>#DIV/0!</v>
      </c>
      <c r="AO222">
        <f ca="1">IFERROR((EXP(0*Table13[[#This Row],[T]])*Table13[[#This Row],[call N(d1)]]*(Table13[[#This Row],[call d2]]/Table13[[#This Row],[IV Calc C]]))*Table13[[#This Row],[Open.Int]]*Table13[[#This Row],[DeltaC]],0)</f>
        <v>0</v>
      </c>
      <c r="AP222">
        <f ca="1">IFERROR((EXP(0*Table13[[#This Row],[T]])*Table13[[#This Row],[put N(d1)]]*(Table13[[#This Row],[put d2]]/Table13[[#This Row],[IV Calc P]]))*Table13[[#This Row],[Open.Int8]]*Table13[[#This Row],[DeltaP]]*-1,0)</f>
        <v>0</v>
      </c>
      <c r="AQ222">
        <f ca="1">((Table13[[#This Row],[call vanna]]+Table13[[#This Row],[put vanna]])*$A$4)</f>
        <v>0</v>
      </c>
      <c r="AR22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2" s="9" t="str" cm="1">
        <f t="array" ref="AT222">_xlfn.IFS(     $M$1="SPX","SPXW",     $M$1="RUT","RUTW",  $M$1="NDX","NDXP",   TRUE,$M$1 )</f>
        <v>SPXW</v>
      </c>
      <c r="AU222" s="2">
        <f t="shared" si="27"/>
        <v>6915</v>
      </c>
      <c r="AV222" t="str">
        <f t="shared" si="28"/>
        <v>000100</v>
      </c>
      <c r="AY22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2">
        <f>((Table13[[#This Row],[High C]]+Table13[[#This Row],[Low C]])/2)*Table13[[#This Row],[gammac]]*Table13[[#This Row],[Volume]]</f>
        <v>0</v>
      </c>
      <c r="BD222">
        <f>((Table13[[#This Row],[High P]]+Table13[[#This Row],[Low P]])/2)*Table13[[#This Row],[gammap]]*Table13[[#This Row],[Volume9]]*-1</f>
        <v>0</v>
      </c>
      <c r="BE222">
        <f>(Table13[[#This Row],[SgammaC]]+Table13[[#This Row],[SgammaP]])*$A$4*-100</f>
        <v>0</v>
      </c>
      <c r="BF222">
        <f>Table13[[#This Row],[DEXc]]+Table13[[#This Row],[DEXp]]</f>
        <v>0</v>
      </c>
      <c r="BG222">
        <f>IFERROR(Table13[[#This Row],[DeltaC]]*Table13[[#This Row],[Open.Int]]*$A$4,0)</f>
        <v>0</v>
      </c>
      <c r="BH222">
        <f>IFERROR(Table13[[#This Row],[DeltaP]]*Table13[[#This Row],[Open.Int8]]*$A$4,0)</f>
        <v>0</v>
      </c>
      <c r="BI22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2">
        <f ca="1">Table13[[#This Row],[charmc]]+Table13[[#This Row],[charmp]]</f>
        <v>0</v>
      </c>
      <c r="BL22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2" s="78">
        <f ca="1">Table13[[#This Row],[call helper]]+Table13[[#This Row],[put helper]]</f>
        <v>0</v>
      </c>
      <c r="BP222" t="str">
        <f>RTD("tos.rtd", , "STRIKE", "."&amp;Table13[[#This Row],[Ticker]]&amp;Table13[[#This Row],[Expiry]]&amp;""&amp;"C"&amp;Table13[[#This Row],[Spot]]+Table13[[#This Row],[step]])</f>
        <v>N/A</v>
      </c>
    </row>
    <row r="223" spans="1:78" x14ac:dyDescent="0.25">
      <c r="A223" s="14">
        <f t="shared" ca="1" si="24"/>
        <v>-126.14810350076104</v>
      </c>
      <c r="C223" s="17"/>
      <c r="D223" t="b">
        <f>IF(
    ISNUMBER(Table13[[#This Row],[Strike]]),RTD("tos.rtd", , "OPEN_INT", "."&amp;Table13[[#This Row],[Ticker]]&amp;Table13[[#This Row],[Expiry]]&amp;""&amp;"C"&amp;Table13[[#This Row],[Strike]]))</f>
        <v>0</v>
      </c>
      <c r="E22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3" t="b">
        <f>IF(     ISNUMBER(Table13[[#This Row],[Strike]]),RTD("tos.rtd", , "DELTA", "."&amp;Table13[[#This Row],[Ticker]]&amp;Table13[[#This Row],[Expiry]]&amp;""&amp;"C"&amp;Table13[[#This Row],[Strike]]))</f>
        <v>0</v>
      </c>
      <c r="H223" s="17" t="b" cm="1">
        <f t="array" ref="H223">IF(
    ISNUMBER(Table13[[#This Row],[Strike]]),IndividualLegIVCore($A$4, Table13[[#This Row],[Strike]], 0.0411, Table13[[#This Row],[T]], ((Table13[[#This Row],[BIDC]]+Table13[[#This Row],[ASKC]])/2), TRUE))</f>
        <v>0</v>
      </c>
      <c r="I223" t="b">
        <f>IF(     ISNUMBER(Table13[[#This Row],[Strike]]),RTD("tos.rtd", , "BID", "."&amp;Table13[[#This Row],[Ticker]]&amp;Table13[[#This Row],[Expiry]]&amp;""&amp;"C"&amp;Table13[[#This Row],[Strike]]))</f>
        <v>0</v>
      </c>
      <c r="J223" t="b">
        <f>IF(     ISNUMBER(Table13[[#This Row],[Strike]]),RTD("tos.rtd", , "ASK", "."&amp;Table13[[#This Row],[Ticker]]&amp;Table13[[#This Row],[Expiry]]&amp;""&amp;"C"&amp;Table13[[#This Row],[Strike]]))</f>
        <v>0</v>
      </c>
      <c r="K22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3" s="17" cm="1">
        <f t="array" aca="1" ref="L22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3" s="1">
        <f t="shared" si="25"/>
        <v>0</v>
      </c>
      <c r="N223" t="b">
        <f t="shared" si="26"/>
        <v>0</v>
      </c>
      <c r="P223" s="17" t="b" cm="1">
        <f t="array" ref="P223">IF(
    ISNUMBER(Table13[[#This Row],[Strike]]),IndividualLegIVCore($A$4, Table13[[#This Row],[Strike]], 0.0411, Table13[[#This Row],[T]], ((Table13[[#This Row],[BIDP]]+Table13[[#This Row],[ASKP]])/2), FALSE))</f>
        <v>0</v>
      </c>
      <c r="Q223" t="b">
        <f>IF(     ISNUMBER(Table13[[#This Row],[Strike]]),RTD("tos.rtd", , "BID", "."&amp;Table13[[#This Row],[Ticker]]&amp;Table13[[#This Row],[Expiry]]&amp;""&amp;"P"&amp;Table13[[#This Row],[Strike]]))</f>
        <v>0</v>
      </c>
      <c r="R223" t="b">
        <f>IF(     ISNUMBER(Table13[[#This Row],[Strike]]),RTD("tos.rtd", , "ASK", "."&amp;Table13[[#This Row],[Ticker]]&amp;Table13[[#This Row],[Expiry]]&amp;""&amp;"P"&amp;Table13[[#This Row],[Strike]]))</f>
        <v>0</v>
      </c>
      <c r="S223" s="17"/>
      <c r="T223" t="b">
        <f>IF(     ISNUMBER(Table13[[#This Row],[Strike]]),RTD("tos.rtd", , "OPEN_INT", "."&amp;Table13[[#This Row],[Ticker]]&amp;Table13[[#This Row],[Expiry]]&amp;""&amp;"P"&amp;Table13[[#This Row],[Strike]]))</f>
        <v>0</v>
      </c>
      <c r="U22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3" t="b">
        <f>IF(     ISNUMBER(Table13[[#This Row],[Strike]]),RTD("tos.rtd", , "DELTA", "."&amp;Table13[[#This Row],[Ticker]]&amp;Table13[[#This Row],[Expiry]]&amp;""&amp;"P"&amp;Table13[[#This Row],[Strike]]))</f>
        <v>0</v>
      </c>
      <c r="Y223" s="19">
        <f>-45* IF($M$1="NDX", 10, IF(OR($M$1="SPX", $M$1="RUT"), 2, 1))</f>
        <v>-90</v>
      </c>
      <c r="Z223">
        <f ca="1">IFERROR(Table13[[#This Row],[call gamma]]*(Table13[[#This Row],[Open.Int]])*$A$4^2,0)</f>
        <v>0</v>
      </c>
      <c r="AA223">
        <f ca="1">IFERROR(((Table13[[#This Row],[Open.Int8]])*Table13[[#This Row],[Put gamma]])*-1*$A$4^2,0)</f>
        <v>0</v>
      </c>
      <c r="AB223">
        <f ca="1">(Table13[[#This Row],[Call Gex]]+Table13[[#This Row],[Put Gex]])</f>
        <v>0</v>
      </c>
      <c r="AC223">
        <f ca="1">Table13[[#This Row],[put delta adj]]+Table13[[#This Row],[call delta adj]]</f>
        <v>0</v>
      </c>
      <c r="AD223">
        <f ca="1">Table13[[#This Row],[Put Gex]]*Table13[[#This Row],[DeltaP]]*-1</f>
        <v>0</v>
      </c>
      <c r="AE223">
        <f ca="1">Table13[[#This Row],[Call Gex]]*Table13[[#This Row],[DeltaC]]</f>
        <v>0</v>
      </c>
      <c r="AF223">
        <f>IF(Table13[[#This Row],[DeltaC]]-ABS(Table13[[#This Row],[DeltaP]])="0","0.01",Table13[[#This Row],[DeltaC]]-ABS(Table13[[#This Row],[DeltaP]]))</f>
        <v>0</v>
      </c>
      <c r="AG223" t="e">
        <f ca="1">((LN($A$4/Table13[[#This Row],[Strike]]) + (0.411 + 0.5 * Table13[[#This Row],[IV Calc P]]^2) *Table13[[#This Row],[T]])) / (Table13[[#This Row],[IV Calc P]] * SQRT(Table13[[#This Row],[T]]))</f>
        <v>#DIV/0!</v>
      </c>
      <c r="AH223" t="e">
        <f ca="1">(LN($A$4/Table13[[#This Row],[Strike]]) + (0.411-0 + 0.5 * Table13[[#This Row],[IV Calc C]]^2) *Table13[[#This Row],[T]]) / (Table13[[#This Row],[IV Calc C]] * SQRT(Table13[[#This Row],[T]]))</f>
        <v>#DIV/0!</v>
      </c>
      <c r="AI223" t="e">
        <f ca="1">(EXP(-(AG223^2)/2)/SQRT(2*PI())*EXP(0*SQRT(Table13[[#This Row],[T]]))/$A$4*18%*SQRT(SQRT(Table13[[#This Row],[T]])))</f>
        <v>#DIV/0!</v>
      </c>
      <c r="AJ223" t="e">
        <f ca="1">(EXP(-(AH223^2)/2)/SQRT(2*PI())*EXP(0*SQRT(Table13[[#This Row],[T]]))/$A$4*18%*SQRT(SQRT(Table13[[#This Row],[T]])))</f>
        <v>#DIV/0!</v>
      </c>
      <c r="AK223" t="e">
        <f ca="1">Table13[[#This Row],[Call D1]]-Table13[[#This Row],[IV Calc C]]*SQRT(Table13[[#This Row],[T]])</f>
        <v>#DIV/0!</v>
      </c>
      <c r="AL223" t="e">
        <f ca="1">Table13[[#This Row],[Put D1]]-Table13[[#This Row],[IV Calc P]]*SQRT(Table13[[#This Row],[T]])</f>
        <v>#DIV/0!</v>
      </c>
      <c r="AM223" t="e">
        <f ca="1">EXP(-0.5*Table13[[#This Row],[Call D1]]^2)/SQRT(2*PI())</f>
        <v>#DIV/0!</v>
      </c>
      <c r="AN223" t="e">
        <f ca="1">EXP(-0.5*Table13[[#This Row],[Put D1]]^2)/SQRT(2*PI())</f>
        <v>#DIV/0!</v>
      </c>
      <c r="AO223">
        <f ca="1">IFERROR((EXP(0*Table13[[#This Row],[T]])*Table13[[#This Row],[call N(d1)]]*(Table13[[#This Row],[call d2]]/Table13[[#This Row],[IV Calc C]]))*Table13[[#This Row],[Open.Int]]*Table13[[#This Row],[DeltaC]],0)</f>
        <v>0</v>
      </c>
      <c r="AP223">
        <f ca="1">IFERROR((EXP(0*Table13[[#This Row],[T]])*Table13[[#This Row],[put N(d1)]]*(Table13[[#This Row],[put d2]]/Table13[[#This Row],[IV Calc P]]))*Table13[[#This Row],[Open.Int8]]*Table13[[#This Row],[DeltaP]]*-1,0)</f>
        <v>0</v>
      </c>
      <c r="AQ223">
        <f ca="1">((Table13[[#This Row],[call vanna]]+Table13[[#This Row],[put vanna]])*$A$4)</f>
        <v>0</v>
      </c>
      <c r="AR22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3" s="9" t="str" cm="1">
        <f t="array" ref="AT223">_xlfn.IFS(     $M$1="SPX","SPXW",     $M$1="RUT","RUTW",  $M$1="NDX","NDXP",   TRUE,$M$1 )</f>
        <v>SPXW</v>
      </c>
      <c r="AU223" s="2">
        <f t="shared" si="27"/>
        <v>6915</v>
      </c>
      <c r="AV223" t="str">
        <f t="shared" si="28"/>
        <v>000100</v>
      </c>
      <c r="AY22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3">
        <f>((Table13[[#This Row],[High C]]+Table13[[#This Row],[Low C]])/2)*Table13[[#This Row],[gammac]]*Table13[[#This Row],[Volume]]</f>
        <v>0</v>
      </c>
      <c r="BD223">
        <f>((Table13[[#This Row],[High P]]+Table13[[#This Row],[Low P]])/2)*Table13[[#This Row],[gammap]]*Table13[[#This Row],[Volume9]]*-1</f>
        <v>0</v>
      </c>
      <c r="BE223">
        <f>(Table13[[#This Row],[SgammaC]]+Table13[[#This Row],[SgammaP]])*$A$4*-100</f>
        <v>0</v>
      </c>
      <c r="BF223">
        <f>Table13[[#This Row],[DEXc]]+Table13[[#This Row],[DEXp]]</f>
        <v>0</v>
      </c>
      <c r="BG223">
        <f>IFERROR(Table13[[#This Row],[DeltaC]]*Table13[[#This Row],[Open.Int]]*$A$4,0)</f>
        <v>0</v>
      </c>
      <c r="BH223">
        <f>IFERROR(Table13[[#This Row],[DeltaP]]*Table13[[#This Row],[Open.Int8]]*$A$4,0)</f>
        <v>0</v>
      </c>
      <c r="BI22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3">
        <f ca="1">Table13[[#This Row],[charmc]]+Table13[[#This Row],[charmp]]</f>
        <v>0</v>
      </c>
      <c r="BL22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3" s="78">
        <f ca="1">Table13[[#This Row],[call helper]]+Table13[[#This Row],[put helper]]</f>
        <v>0</v>
      </c>
      <c r="BP223" t="str">
        <f>RTD("tos.rtd", , "STRIKE", "."&amp;Table13[[#This Row],[Ticker]]&amp;Table13[[#This Row],[Expiry]]&amp;""&amp;"C"&amp;Table13[[#This Row],[Spot]]+Table13[[#This Row],[step]])</f>
        <v>N/A</v>
      </c>
    </row>
    <row r="224" spans="1:78" x14ac:dyDescent="0.25">
      <c r="A224" s="14">
        <f t="shared" ca="1" si="24"/>
        <v>-126.14810350076104</v>
      </c>
      <c r="C224" s="17"/>
      <c r="D224" t="b">
        <f>IF(
    ISNUMBER(Table13[[#This Row],[Strike]]),RTD("tos.rtd", , "OPEN_INT", "."&amp;Table13[[#This Row],[Ticker]]&amp;Table13[[#This Row],[Expiry]]&amp;""&amp;"C"&amp;Table13[[#This Row],[Strike]]))</f>
        <v>0</v>
      </c>
      <c r="E22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4" t="b">
        <f>IF(     ISNUMBER(Table13[[#This Row],[Strike]]),RTD("tos.rtd", , "DELTA", "."&amp;Table13[[#This Row],[Ticker]]&amp;Table13[[#This Row],[Expiry]]&amp;""&amp;"C"&amp;Table13[[#This Row],[Strike]]))</f>
        <v>0</v>
      </c>
      <c r="H224" s="17" t="b" cm="1">
        <f t="array" ref="H224">IF(
    ISNUMBER(Table13[[#This Row],[Strike]]),IndividualLegIVCore($A$4, Table13[[#This Row],[Strike]], 0.0411, Table13[[#This Row],[T]], ((Table13[[#This Row],[BIDC]]+Table13[[#This Row],[ASKC]])/2), TRUE))</f>
        <v>0</v>
      </c>
      <c r="I224" t="b">
        <f>IF(     ISNUMBER(Table13[[#This Row],[Strike]]),RTD("tos.rtd", , "BID", "."&amp;Table13[[#This Row],[Ticker]]&amp;Table13[[#This Row],[Expiry]]&amp;""&amp;"C"&amp;Table13[[#This Row],[Strike]]))</f>
        <v>0</v>
      </c>
      <c r="J224" t="b">
        <f>IF(     ISNUMBER(Table13[[#This Row],[Strike]]),RTD("tos.rtd", , "ASK", "."&amp;Table13[[#This Row],[Ticker]]&amp;Table13[[#This Row],[Expiry]]&amp;""&amp;"C"&amp;Table13[[#This Row],[Strike]]))</f>
        <v>0</v>
      </c>
      <c r="K22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4" s="17" cm="1">
        <f t="array" aca="1" ref="L22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4" s="1">
        <f t="shared" si="25"/>
        <v>0</v>
      </c>
      <c r="N224" t="b">
        <f t="shared" si="26"/>
        <v>0</v>
      </c>
      <c r="P224" s="17" t="b" cm="1">
        <f t="array" ref="P224">IF(
    ISNUMBER(Table13[[#This Row],[Strike]]),IndividualLegIVCore($A$4, Table13[[#This Row],[Strike]], 0.0411, Table13[[#This Row],[T]], ((Table13[[#This Row],[BIDP]]+Table13[[#This Row],[ASKP]])/2), FALSE))</f>
        <v>0</v>
      </c>
      <c r="Q224" t="b">
        <f>IF(     ISNUMBER(Table13[[#This Row],[Strike]]),RTD("tos.rtd", , "BID", "."&amp;Table13[[#This Row],[Ticker]]&amp;Table13[[#This Row],[Expiry]]&amp;""&amp;"P"&amp;Table13[[#This Row],[Strike]]))</f>
        <v>0</v>
      </c>
      <c r="R224" t="b">
        <f>IF(     ISNUMBER(Table13[[#This Row],[Strike]]),RTD("tos.rtd", , "ASK", "."&amp;Table13[[#This Row],[Ticker]]&amp;Table13[[#This Row],[Expiry]]&amp;""&amp;"P"&amp;Table13[[#This Row],[Strike]]))</f>
        <v>0</v>
      </c>
      <c r="S224" s="17"/>
      <c r="T224" t="b">
        <f>IF(     ISNUMBER(Table13[[#This Row],[Strike]]),RTD("tos.rtd", , "OPEN_INT", "."&amp;Table13[[#This Row],[Ticker]]&amp;Table13[[#This Row],[Expiry]]&amp;""&amp;"P"&amp;Table13[[#This Row],[Strike]]))</f>
        <v>0</v>
      </c>
      <c r="U22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4" t="b">
        <f>IF(     ISNUMBER(Table13[[#This Row],[Strike]]),RTD("tos.rtd", , "DELTA", "."&amp;Table13[[#This Row],[Ticker]]&amp;Table13[[#This Row],[Expiry]]&amp;""&amp;"P"&amp;Table13[[#This Row],[Strike]]))</f>
        <v>0</v>
      </c>
      <c r="Y224" s="19">
        <f>-44.5* IF($M$1="NDX", 10, IF(OR($M$1="SPX", $M$1="RUT"), 2, 1))</f>
        <v>-89</v>
      </c>
      <c r="Z224">
        <f ca="1">IFERROR(Table13[[#This Row],[call gamma]]*(Table13[[#This Row],[Open.Int]])*$A$4^2,0)</f>
        <v>0</v>
      </c>
      <c r="AA224">
        <f ca="1">IFERROR(((Table13[[#This Row],[Open.Int8]])*Table13[[#This Row],[Put gamma]])*-1*$A$4^2,0)</f>
        <v>0</v>
      </c>
      <c r="AB224">
        <f ca="1">(Table13[[#This Row],[Call Gex]]+Table13[[#This Row],[Put Gex]])</f>
        <v>0</v>
      </c>
      <c r="AC224">
        <f ca="1">Table13[[#This Row],[put delta adj]]+Table13[[#This Row],[call delta adj]]</f>
        <v>0</v>
      </c>
      <c r="AD224">
        <f ca="1">Table13[[#This Row],[Put Gex]]*Table13[[#This Row],[DeltaP]]*-1</f>
        <v>0</v>
      </c>
      <c r="AE224">
        <f ca="1">Table13[[#This Row],[Call Gex]]*Table13[[#This Row],[DeltaC]]</f>
        <v>0</v>
      </c>
      <c r="AF224">
        <f>IF(Table13[[#This Row],[DeltaC]]-ABS(Table13[[#This Row],[DeltaP]])="0","0.01",Table13[[#This Row],[DeltaC]]-ABS(Table13[[#This Row],[DeltaP]]))</f>
        <v>0</v>
      </c>
      <c r="AG224" t="e">
        <f ca="1">((LN($A$4/Table13[[#This Row],[Strike]]) + (0.411 + 0.5 * Table13[[#This Row],[IV Calc P]]^2) *Table13[[#This Row],[T]])) / (Table13[[#This Row],[IV Calc P]] * SQRT(Table13[[#This Row],[T]]))</f>
        <v>#DIV/0!</v>
      </c>
      <c r="AH224" t="e">
        <f ca="1">(LN($A$4/Table13[[#This Row],[Strike]]) + (0.411-0 + 0.5 * Table13[[#This Row],[IV Calc C]]^2) *Table13[[#This Row],[T]]) / (Table13[[#This Row],[IV Calc C]] * SQRT(Table13[[#This Row],[T]]))</f>
        <v>#DIV/0!</v>
      </c>
      <c r="AI224" t="e">
        <f ca="1">(EXP(-(AG224^2)/2)/SQRT(2*PI())*EXP(0*SQRT(Table13[[#This Row],[T]]))/$A$4*18%*SQRT(SQRT(Table13[[#This Row],[T]])))</f>
        <v>#DIV/0!</v>
      </c>
      <c r="AJ224" t="e">
        <f ca="1">(EXP(-(AH224^2)/2)/SQRT(2*PI())*EXP(0*SQRT(Table13[[#This Row],[T]]))/$A$4*18%*SQRT(SQRT(Table13[[#This Row],[T]])))</f>
        <v>#DIV/0!</v>
      </c>
      <c r="AK224" t="e">
        <f ca="1">Table13[[#This Row],[Call D1]]-Table13[[#This Row],[IV Calc C]]*SQRT(Table13[[#This Row],[T]])</f>
        <v>#DIV/0!</v>
      </c>
      <c r="AL224" t="e">
        <f ca="1">Table13[[#This Row],[Put D1]]-Table13[[#This Row],[IV Calc P]]*SQRT(Table13[[#This Row],[T]])</f>
        <v>#DIV/0!</v>
      </c>
      <c r="AM224" t="e">
        <f ca="1">EXP(-0.5*Table13[[#This Row],[Call D1]]^2)/SQRT(2*PI())</f>
        <v>#DIV/0!</v>
      </c>
      <c r="AN224" t="e">
        <f ca="1">EXP(-0.5*Table13[[#This Row],[Put D1]]^2)/SQRT(2*PI())</f>
        <v>#DIV/0!</v>
      </c>
      <c r="AO224">
        <f ca="1">IFERROR((EXP(0*Table13[[#This Row],[T]])*Table13[[#This Row],[call N(d1)]]*(Table13[[#This Row],[call d2]]/Table13[[#This Row],[IV Calc C]]))*Table13[[#This Row],[Open.Int]]*Table13[[#This Row],[DeltaC]],0)</f>
        <v>0</v>
      </c>
      <c r="AP224">
        <f ca="1">IFERROR((EXP(0*Table13[[#This Row],[T]])*Table13[[#This Row],[put N(d1)]]*(Table13[[#This Row],[put d2]]/Table13[[#This Row],[IV Calc P]]))*Table13[[#This Row],[Open.Int8]]*Table13[[#This Row],[DeltaP]]*-1,0)</f>
        <v>0</v>
      </c>
      <c r="AQ224">
        <f ca="1">((Table13[[#This Row],[call vanna]]+Table13[[#This Row],[put vanna]])*$A$4)</f>
        <v>0</v>
      </c>
      <c r="AR22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4" s="9" t="str" cm="1">
        <f t="array" ref="AT224">_xlfn.IFS(     $M$1="SPX","SPXW",     $M$1="RUT","RUTW",  $M$1="NDX","NDXP",   TRUE,$M$1 )</f>
        <v>SPXW</v>
      </c>
      <c r="AU224" s="2">
        <f t="shared" si="27"/>
        <v>6915</v>
      </c>
      <c r="AV224" t="str">
        <f t="shared" si="28"/>
        <v>000100</v>
      </c>
      <c r="AY22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4">
        <f>((Table13[[#This Row],[High C]]+Table13[[#This Row],[Low C]])/2)*Table13[[#This Row],[gammac]]*Table13[[#This Row],[Volume]]</f>
        <v>0</v>
      </c>
      <c r="BD224">
        <f>((Table13[[#This Row],[High P]]+Table13[[#This Row],[Low P]])/2)*Table13[[#This Row],[gammap]]*Table13[[#This Row],[Volume9]]*-1</f>
        <v>0</v>
      </c>
      <c r="BE224">
        <f>(Table13[[#This Row],[SgammaC]]+Table13[[#This Row],[SgammaP]])*$A$4*-100</f>
        <v>0</v>
      </c>
      <c r="BF224">
        <f>Table13[[#This Row],[DEXc]]+Table13[[#This Row],[DEXp]]</f>
        <v>0</v>
      </c>
      <c r="BG224">
        <f>IFERROR(Table13[[#This Row],[DeltaC]]*Table13[[#This Row],[Open.Int]]*$A$4,0)</f>
        <v>0</v>
      </c>
      <c r="BH224">
        <f>IFERROR(Table13[[#This Row],[DeltaP]]*Table13[[#This Row],[Open.Int8]]*$A$4,0)</f>
        <v>0</v>
      </c>
      <c r="BI22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4">
        <f ca="1">Table13[[#This Row],[charmc]]+Table13[[#This Row],[charmp]]</f>
        <v>0</v>
      </c>
      <c r="BL22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4" s="78">
        <f ca="1">Table13[[#This Row],[call helper]]+Table13[[#This Row],[put helper]]</f>
        <v>0</v>
      </c>
      <c r="BP224" t="str">
        <f>RTD("tos.rtd", , "STRIKE", "."&amp;Table13[[#This Row],[Ticker]]&amp;Table13[[#This Row],[Expiry]]&amp;""&amp;"C"&amp;Table13[[#This Row],[Spot]]+Table13[[#This Row],[step]])</f>
        <v>N/A</v>
      </c>
    </row>
    <row r="225" spans="1:68" x14ac:dyDescent="0.25">
      <c r="A225" s="14">
        <f t="shared" ca="1" si="24"/>
        <v>-126.14810350076104</v>
      </c>
      <c r="C225" s="17"/>
      <c r="D225" t="b">
        <f>IF(
    ISNUMBER(Table13[[#This Row],[Strike]]),RTD("tos.rtd", , "OPEN_INT", "."&amp;Table13[[#This Row],[Ticker]]&amp;Table13[[#This Row],[Expiry]]&amp;""&amp;"C"&amp;Table13[[#This Row],[Strike]]))</f>
        <v>0</v>
      </c>
      <c r="E22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5" t="b">
        <f>IF(     ISNUMBER(Table13[[#This Row],[Strike]]),RTD("tos.rtd", , "DELTA", "."&amp;Table13[[#This Row],[Ticker]]&amp;Table13[[#This Row],[Expiry]]&amp;""&amp;"C"&amp;Table13[[#This Row],[Strike]]))</f>
        <v>0</v>
      </c>
      <c r="H225" s="17" t="b" cm="1">
        <f t="array" ref="H225">IF(
    ISNUMBER(Table13[[#This Row],[Strike]]),IndividualLegIVCore($A$4, Table13[[#This Row],[Strike]], 0.0411, Table13[[#This Row],[T]], ((Table13[[#This Row],[BIDC]]+Table13[[#This Row],[ASKC]])/2), TRUE))</f>
        <v>0</v>
      </c>
      <c r="I225" t="b">
        <f>IF(     ISNUMBER(Table13[[#This Row],[Strike]]),RTD("tos.rtd", , "BID", "."&amp;Table13[[#This Row],[Ticker]]&amp;Table13[[#This Row],[Expiry]]&amp;""&amp;"C"&amp;Table13[[#This Row],[Strike]]))</f>
        <v>0</v>
      </c>
      <c r="J225" t="b">
        <f>IF(     ISNUMBER(Table13[[#This Row],[Strike]]),RTD("tos.rtd", , "ASK", "."&amp;Table13[[#This Row],[Ticker]]&amp;Table13[[#This Row],[Expiry]]&amp;""&amp;"C"&amp;Table13[[#This Row],[Strike]]))</f>
        <v>0</v>
      </c>
      <c r="K22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5" s="17" cm="1">
        <f t="array" aca="1" ref="L22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5" s="1">
        <f t="shared" si="25"/>
        <v>0</v>
      </c>
      <c r="N225" t="b">
        <f t="shared" si="26"/>
        <v>0</v>
      </c>
      <c r="P225" s="17" t="b" cm="1">
        <f t="array" ref="P225">IF(
    ISNUMBER(Table13[[#This Row],[Strike]]),IndividualLegIVCore($A$4, Table13[[#This Row],[Strike]], 0.0411, Table13[[#This Row],[T]], ((Table13[[#This Row],[BIDP]]+Table13[[#This Row],[ASKP]])/2), FALSE))</f>
        <v>0</v>
      </c>
      <c r="Q225" t="b">
        <f>IF(     ISNUMBER(Table13[[#This Row],[Strike]]),RTD("tos.rtd", , "BID", "."&amp;Table13[[#This Row],[Ticker]]&amp;Table13[[#This Row],[Expiry]]&amp;""&amp;"P"&amp;Table13[[#This Row],[Strike]]))</f>
        <v>0</v>
      </c>
      <c r="R225" t="b">
        <f>IF(     ISNUMBER(Table13[[#This Row],[Strike]]),RTD("tos.rtd", , "ASK", "."&amp;Table13[[#This Row],[Ticker]]&amp;Table13[[#This Row],[Expiry]]&amp;""&amp;"P"&amp;Table13[[#This Row],[Strike]]))</f>
        <v>0</v>
      </c>
      <c r="S225" s="17"/>
      <c r="T225" t="b">
        <f>IF(     ISNUMBER(Table13[[#This Row],[Strike]]),RTD("tos.rtd", , "OPEN_INT", "."&amp;Table13[[#This Row],[Ticker]]&amp;Table13[[#This Row],[Expiry]]&amp;""&amp;"P"&amp;Table13[[#This Row],[Strike]]))</f>
        <v>0</v>
      </c>
      <c r="U22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5" t="b">
        <f>IF(     ISNUMBER(Table13[[#This Row],[Strike]]),RTD("tos.rtd", , "DELTA", "."&amp;Table13[[#This Row],[Ticker]]&amp;Table13[[#This Row],[Expiry]]&amp;""&amp;"P"&amp;Table13[[#This Row],[Strike]]))</f>
        <v>0</v>
      </c>
      <c r="Y225" s="19">
        <f>-44* IF($M$1="NDX", 10, IF(OR($M$1="SPX", $M$1="RUT"), 2, 1))</f>
        <v>-88</v>
      </c>
      <c r="Z225">
        <f ca="1">IFERROR(Table13[[#This Row],[call gamma]]*(Table13[[#This Row],[Open.Int]])*$A$4^2,0)</f>
        <v>0</v>
      </c>
      <c r="AA225">
        <f ca="1">IFERROR(((Table13[[#This Row],[Open.Int8]])*Table13[[#This Row],[Put gamma]])*-1*$A$4^2,0)</f>
        <v>0</v>
      </c>
      <c r="AB225">
        <f ca="1">(Table13[[#This Row],[Call Gex]]+Table13[[#This Row],[Put Gex]])</f>
        <v>0</v>
      </c>
      <c r="AC225">
        <f ca="1">Table13[[#This Row],[put delta adj]]+Table13[[#This Row],[call delta adj]]</f>
        <v>0</v>
      </c>
      <c r="AD225">
        <f ca="1">Table13[[#This Row],[Put Gex]]*Table13[[#This Row],[DeltaP]]*-1</f>
        <v>0</v>
      </c>
      <c r="AE225">
        <f ca="1">Table13[[#This Row],[Call Gex]]*Table13[[#This Row],[DeltaC]]</f>
        <v>0</v>
      </c>
      <c r="AF225">
        <f>IF(Table13[[#This Row],[DeltaC]]-ABS(Table13[[#This Row],[DeltaP]])="0","0.01",Table13[[#This Row],[DeltaC]]-ABS(Table13[[#This Row],[DeltaP]]))</f>
        <v>0</v>
      </c>
      <c r="AG225" t="e">
        <f ca="1">((LN($A$4/Table13[[#This Row],[Strike]]) + (0.411 + 0.5 * Table13[[#This Row],[IV Calc P]]^2) *Table13[[#This Row],[T]])) / (Table13[[#This Row],[IV Calc P]] * SQRT(Table13[[#This Row],[T]]))</f>
        <v>#DIV/0!</v>
      </c>
      <c r="AH225" t="e">
        <f ca="1">(LN($A$4/Table13[[#This Row],[Strike]]) + (0.411-0 + 0.5 * Table13[[#This Row],[IV Calc C]]^2) *Table13[[#This Row],[T]]) / (Table13[[#This Row],[IV Calc C]] * SQRT(Table13[[#This Row],[T]]))</f>
        <v>#DIV/0!</v>
      </c>
      <c r="AI225" t="e">
        <f ca="1">(EXP(-(AG225^2)/2)/SQRT(2*PI())*EXP(0*SQRT(Table13[[#This Row],[T]]))/$A$4*18%*SQRT(SQRT(Table13[[#This Row],[T]])))</f>
        <v>#DIV/0!</v>
      </c>
      <c r="AJ225" t="e">
        <f ca="1">(EXP(-(AH225^2)/2)/SQRT(2*PI())*EXP(0*SQRT(Table13[[#This Row],[T]]))/$A$4*18%*SQRT(SQRT(Table13[[#This Row],[T]])))</f>
        <v>#DIV/0!</v>
      </c>
      <c r="AK225" t="e">
        <f ca="1">Table13[[#This Row],[Call D1]]-Table13[[#This Row],[IV Calc C]]*SQRT(Table13[[#This Row],[T]])</f>
        <v>#DIV/0!</v>
      </c>
      <c r="AL225" t="e">
        <f ca="1">Table13[[#This Row],[Put D1]]-Table13[[#This Row],[IV Calc P]]*SQRT(Table13[[#This Row],[T]])</f>
        <v>#DIV/0!</v>
      </c>
      <c r="AM225" t="e">
        <f ca="1">EXP(-0.5*Table13[[#This Row],[Call D1]]^2)/SQRT(2*PI())</f>
        <v>#DIV/0!</v>
      </c>
      <c r="AN225" t="e">
        <f ca="1">EXP(-0.5*Table13[[#This Row],[Put D1]]^2)/SQRT(2*PI())</f>
        <v>#DIV/0!</v>
      </c>
      <c r="AO225">
        <f ca="1">IFERROR((EXP(0*Table13[[#This Row],[T]])*Table13[[#This Row],[call N(d1)]]*(Table13[[#This Row],[call d2]]/Table13[[#This Row],[IV Calc C]]))*Table13[[#This Row],[Open.Int]]*Table13[[#This Row],[DeltaC]],0)</f>
        <v>0</v>
      </c>
      <c r="AP225">
        <f ca="1">IFERROR((EXP(0*Table13[[#This Row],[T]])*Table13[[#This Row],[put N(d1)]]*(Table13[[#This Row],[put d2]]/Table13[[#This Row],[IV Calc P]]))*Table13[[#This Row],[Open.Int8]]*Table13[[#This Row],[DeltaP]]*-1,0)</f>
        <v>0</v>
      </c>
      <c r="AQ225">
        <f ca="1">((Table13[[#This Row],[call vanna]]+Table13[[#This Row],[put vanna]])*$A$4)</f>
        <v>0</v>
      </c>
      <c r="AR22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5" s="9" t="str" cm="1">
        <f t="array" ref="AT225">_xlfn.IFS(     $M$1="SPX","SPXW",     $M$1="RUT","RUTW",  $M$1="NDX","NDXP",   TRUE,$M$1 )</f>
        <v>SPXW</v>
      </c>
      <c r="AU225" s="2">
        <f t="shared" si="27"/>
        <v>6915</v>
      </c>
      <c r="AV225" t="str">
        <f t="shared" si="28"/>
        <v>000100</v>
      </c>
      <c r="AY22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5">
        <f>((Table13[[#This Row],[High C]]+Table13[[#This Row],[Low C]])/2)*Table13[[#This Row],[gammac]]*Table13[[#This Row],[Volume]]</f>
        <v>0</v>
      </c>
      <c r="BD225">
        <f>((Table13[[#This Row],[High P]]+Table13[[#This Row],[Low P]])/2)*Table13[[#This Row],[gammap]]*Table13[[#This Row],[Volume9]]*-1</f>
        <v>0</v>
      </c>
      <c r="BE225">
        <f>(Table13[[#This Row],[SgammaC]]+Table13[[#This Row],[SgammaP]])*$A$4*-100</f>
        <v>0</v>
      </c>
      <c r="BF225">
        <f>Table13[[#This Row],[DEXc]]+Table13[[#This Row],[DEXp]]</f>
        <v>0</v>
      </c>
      <c r="BG225">
        <f>IFERROR(Table13[[#This Row],[DeltaC]]*Table13[[#This Row],[Open.Int]]*$A$4,0)</f>
        <v>0</v>
      </c>
      <c r="BH225">
        <f>IFERROR(Table13[[#This Row],[DeltaP]]*Table13[[#This Row],[Open.Int8]]*$A$4,0)</f>
        <v>0</v>
      </c>
      <c r="BI22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5">
        <f ca="1">Table13[[#This Row],[charmc]]+Table13[[#This Row],[charmp]]</f>
        <v>0</v>
      </c>
      <c r="BL22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5" s="78">
        <f ca="1">Table13[[#This Row],[call helper]]+Table13[[#This Row],[put helper]]</f>
        <v>0</v>
      </c>
      <c r="BP225" t="str">
        <f>RTD("tos.rtd", , "STRIKE", "."&amp;Table13[[#This Row],[Ticker]]&amp;Table13[[#This Row],[Expiry]]&amp;""&amp;"C"&amp;Table13[[#This Row],[Spot]]+Table13[[#This Row],[step]])</f>
        <v>N/A</v>
      </c>
    </row>
    <row r="226" spans="1:68" x14ac:dyDescent="0.25">
      <c r="A226" s="14">
        <f t="shared" ca="1" si="24"/>
        <v>-126.14810350076104</v>
      </c>
      <c r="C226" s="17"/>
      <c r="D226" t="b">
        <f>IF(
    ISNUMBER(Table13[[#This Row],[Strike]]),RTD("tos.rtd", , "OPEN_INT", "."&amp;Table13[[#This Row],[Ticker]]&amp;Table13[[#This Row],[Expiry]]&amp;""&amp;"C"&amp;Table13[[#This Row],[Strike]]))</f>
        <v>0</v>
      </c>
      <c r="E22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6" t="b">
        <f>IF(     ISNUMBER(Table13[[#This Row],[Strike]]),RTD("tos.rtd", , "DELTA", "."&amp;Table13[[#This Row],[Ticker]]&amp;Table13[[#This Row],[Expiry]]&amp;""&amp;"C"&amp;Table13[[#This Row],[Strike]]))</f>
        <v>0</v>
      </c>
      <c r="H226" s="17" t="b" cm="1">
        <f t="array" ref="H226">IF(
    ISNUMBER(Table13[[#This Row],[Strike]]),IndividualLegIVCore($A$4, Table13[[#This Row],[Strike]], 0.0411, Table13[[#This Row],[T]], ((Table13[[#This Row],[BIDC]]+Table13[[#This Row],[ASKC]])/2), TRUE))</f>
        <v>0</v>
      </c>
      <c r="I226" t="b">
        <f>IF(     ISNUMBER(Table13[[#This Row],[Strike]]),RTD("tos.rtd", , "BID", "."&amp;Table13[[#This Row],[Ticker]]&amp;Table13[[#This Row],[Expiry]]&amp;""&amp;"C"&amp;Table13[[#This Row],[Strike]]))</f>
        <v>0</v>
      </c>
      <c r="J226" t="b">
        <f>IF(     ISNUMBER(Table13[[#This Row],[Strike]]),RTD("tos.rtd", , "ASK", "."&amp;Table13[[#This Row],[Ticker]]&amp;Table13[[#This Row],[Expiry]]&amp;""&amp;"C"&amp;Table13[[#This Row],[Strike]]))</f>
        <v>0</v>
      </c>
      <c r="K22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6" s="17" cm="1">
        <f t="array" aca="1" ref="L22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6" s="1">
        <f t="shared" si="25"/>
        <v>0</v>
      </c>
      <c r="N226" t="b">
        <f t="shared" si="26"/>
        <v>0</v>
      </c>
      <c r="P226" s="17" t="b" cm="1">
        <f t="array" ref="P226">IF(
    ISNUMBER(Table13[[#This Row],[Strike]]),IndividualLegIVCore($A$4, Table13[[#This Row],[Strike]], 0.0411, Table13[[#This Row],[T]], ((Table13[[#This Row],[BIDP]]+Table13[[#This Row],[ASKP]])/2), FALSE))</f>
        <v>0</v>
      </c>
      <c r="Q226" t="b">
        <f>IF(     ISNUMBER(Table13[[#This Row],[Strike]]),RTD("tos.rtd", , "BID", "."&amp;Table13[[#This Row],[Ticker]]&amp;Table13[[#This Row],[Expiry]]&amp;""&amp;"P"&amp;Table13[[#This Row],[Strike]]))</f>
        <v>0</v>
      </c>
      <c r="R226" t="b">
        <f>IF(     ISNUMBER(Table13[[#This Row],[Strike]]),RTD("tos.rtd", , "ASK", "."&amp;Table13[[#This Row],[Ticker]]&amp;Table13[[#This Row],[Expiry]]&amp;""&amp;"P"&amp;Table13[[#This Row],[Strike]]))</f>
        <v>0</v>
      </c>
      <c r="S226" s="17"/>
      <c r="T226" t="b">
        <f>IF(     ISNUMBER(Table13[[#This Row],[Strike]]),RTD("tos.rtd", , "OPEN_INT", "."&amp;Table13[[#This Row],[Ticker]]&amp;Table13[[#This Row],[Expiry]]&amp;""&amp;"P"&amp;Table13[[#This Row],[Strike]]))</f>
        <v>0</v>
      </c>
      <c r="U22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6" t="b">
        <f>IF(     ISNUMBER(Table13[[#This Row],[Strike]]),RTD("tos.rtd", , "DELTA", "."&amp;Table13[[#This Row],[Ticker]]&amp;Table13[[#This Row],[Expiry]]&amp;""&amp;"P"&amp;Table13[[#This Row],[Strike]]))</f>
        <v>0</v>
      </c>
      <c r="Y226" s="19">
        <f>-43.5* IF($M$1="NDX", 10, IF(OR($M$1="SPX", $M$1="RUT"), 2, 1))</f>
        <v>-87</v>
      </c>
      <c r="Z226">
        <f ca="1">IFERROR(Table13[[#This Row],[call gamma]]*(Table13[[#This Row],[Open.Int]])*$A$4^2,0)</f>
        <v>0</v>
      </c>
      <c r="AA226">
        <f ca="1">IFERROR(((Table13[[#This Row],[Open.Int8]])*Table13[[#This Row],[Put gamma]])*-1*$A$4^2,0)</f>
        <v>0</v>
      </c>
      <c r="AB226">
        <f ca="1">(Table13[[#This Row],[Call Gex]]+Table13[[#This Row],[Put Gex]])</f>
        <v>0</v>
      </c>
      <c r="AC226">
        <f ca="1">Table13[[#This Row],[put delta adj]]+Table13[[#This Row],[call delta adj]]</f>
        <v>0</v>
      </c>
      <c r="AD226">
        <f ca="1">Table13[[#This Row],[Put Gex]]*Table13[[#This Row],[DeltaP]]*-1</f>
        <v>0</v>
      </c>
      <c r="AE226">
        <f ca="1">Table13[[#This Row],[Call Gex]]*Table13[[#This Row],[DeltaC]]</f>
        <v>0</v>
      </c>
      <c r="AF226">
        <f>IF(Table13[[#This Row],[DeltaC]]-ABS(Table13[[#This Row],[DeltaP]])="0","0.01",Table13[[#This Row],[DeltaC]]-ABS(Table13[[#This Row],[DeltaP]]))</f>
        <v>0</v>
      </c>
      <c r="AG226" t="e">
        <f ca="1">((LN($A$4/Table13[[#This Row],[Strike]]) + (0.411 + 0.5 * Table13[[#This Row],[IV Calc P]]^2) *Table13[[#This Row],[T]])) / (Table13[[#This Row],[IV Calc P]] * SQRT(Table13[[#This Row],[T]]))</f>
        <v>#DIV/0!</v>
      </c>
      <c r="AH226" t="e">
        <f ca="1">(LN($A$4/Table13[[#This Row],[Strike]]) + (0.411-0 + 0.5 * Table13[[#This Row],[IV Calc C]]^2) *Table13[[#This Row],[T]]) / (Table13[[#This Row],[IV Calc C]] * SQRT(Table13[[#This Row],[T]]))</f>
        <v>#DIV/0!</v>
      </c>
      <c r="AI226" t="e">
        <f ca="1">(EXP(-(AG226^2)/2)/SQRT(2*PI())*EXP(0*SQRT(Table13[[#This Row],[T]]))/$A$4*18%*SQRT(SQRT(Table13[[#This Row],[T]])))</f>
        <v>#DIV/0!</v>
      </c>
      <c r="AJ226" t="e">
        <f ca="1">(EXP(-(AH226^2)/2)/SQRT(2*PI())*EXP(0*SQRT(Table13[[#This Row],[T]]))/$A$4*18%*SQRT(SQRT(Table13[[#This Row],[T]])))</f>
        <v>#DIV/0!</v>
      </c>
      <c r="AK226" t="e">
        <f ca="1">Table13[[#This Row],[Call D1]]-Table13[[#This Row],[IV Calc C]]*SQRT(Table13[[#This Row],[T]])</f>
        <v>#DIV/0!</v>
      </c>
      <c r="AL226" t="e">
        <f ca="1">Table13[[#This Row],[Put D1]]-Table13[[#This Row],[IV Calc P]]*SQRT(Table13[[#This Row],[T]])</f>
        <v>#DIV/0!</v>
      </c>
      <c r="AM226" t="e">
        <f ca="1">EXP(-0.5*Table13[[#This Row],[Call D1]]^2)/SQRT(2*PI())</f>
        <v>#DIV/0!</v>
      </c>
      <c r="AN226" t="e">
        <f ca="1">EXP(-0.5*Table13[[#This Row],[Put D1]]^2)/SQRT(2*PI())</f>
        <v>#DIV/0!</v>
      </c>
      <c r="AO226">
        <f ca="1">IFERROR((EXP(0*Table13[[#This Row],[T]])*Table13[[#This Row],[call N(d1)]]*(Table13[[#This Row],[call d2]]/Table13[[#This Row],[IV Calc C]]))*Table13[[#This Row],[Open.Int]]*Table13[[#This Row],[DeltaC]],0)</f>
        <v>0</v>
      </c>
      <c r="AP226">
        <f ca="1">IFERROR((EXP(0*Table13[[#This Row],[T]])*Table13[[#This Row],[put N(d1)]]*(Table13[[#This Row],[put d2]]/Table13[[#This Row],[IV Calc P]]))*Table13[[#This Row],[Open.Int8]]*Table13[[#This Row],[DeltaP]]*-1,0)</f>
        <v>0</v>
      </c>
      <c r="AQ226">
        <f ca="1">((Table13[[#This Row],[call vanna]]+Table13[[#This Row],[put vanna]])*$A$4)</f>
        <v>0</v>
      </c>
      <c r="AR22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6" s="9" t="str" cm="1">
        <f t="array" ref="AT226">_xlfn.IFS(     $M$1="SPX","SPXW",     $M$1="RUT","RUTW",  $M$1="NDX","NDXP",   TRUE,$M$1 )</f>
        <v>SPXW</v>
      </c>
      <c r="AU226" s="2">
        <f t="shared" si="27"/>
        <v>6915</v>
      </c>
      <c r="AV226" t="str">
        <f t="shared" si="28"/>
        <v>000100</v>
      </c>
      <c r="AY22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6">
        <f>((Table13[[#This Row],[High C]]+Table13[[#This Row],[Low C]])/2)*Table13[[#This Row],[gammac]]*Table13[[#This Row],[Volume]]</f>
        <v>0</v>
      </c>
      <c r="BD226">
        <f>((Table13[[#This Row],[High P]]+Table13[[#This Row],[Low P]])/2)*Table13[[#This Row],[gammap]]*Table13[[#This Row],[Volume9]]*-1</f>
        <v>0</v>
      </c>
      <c r="BE226">
        <f>(Table13[[#This Row],[SgammaC]]+Table13[[#This Row],[SgammaP]])*$A$4*-100</f>
        <v>0</v>
      </c>
      <c r="BF226">
        <f>Table13[[#This Row],[DEXc]]+Table13[[#This Row],[DEXp]]</f>
        <v>0</v>
      </c>
      <c r="BG226">
        <f>IFERROR(Table13[[#This Row],[DeltaC]]*Table13[[#This Row],[Open.Int]]*$A$4,0)</f>
        <v>0</v>
      </c>
      <c r="BH226">
        <f>IFERROR(Table13[[#This Row],[DeltaP]]*Table13[[#This Row],[Open.Int8]]*$A$4,0)</f>
        <v>0</v>
      </c>
      <c r="BI22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6">
        <f ca="1">Table13[[#This Row],[charmc]]+Table13[[#This Row],[charmp]]</f>
        <v>0</v>
      </c>
      <c r="BL22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6" s="78">
        <f ca="1">Table13[[#This Row],[call helper]]+Table13[[#This Row],[put helper]]</f>
        <v>0</v>
      </c>
      <c r="BP226" t="str">
        <f>RTD("tos.rtd", , "STRIKE", "."&amp;Table13[[#This Row],[Ticker]]&amp;Table13[[#This Row],[Expiry]]&amp;""&amp;"C"&amp;Table13[[#This Row],[Spot]]+Table13[[#This Row],[step]])</f>
        <v>N/A</v>
      </c>
    </row>
    <row r="227" spans="1:68" x14ac:dyDescent="0.25">
      <c r="A227" s="14">
        <f t="shared" ca="1" si="24"/>
        <v>-126.14810350076104</v>
      </c>
      <c r="C227" s="17"/>
      <c r="D227" t="b">
        <f>IF(
    ISNUMBER(Table13[[#This Row],[Strike]]),RTD("tos.rtd", , "OPEN_INT", "."&amp;Table13[[#This Row],[Ticker]]&amp;Table13[[#This Row],[Expiry]]&amp;""&amp;"C"&amp;Table13[[#This Row],[Strike]]))</f>
        <v>0</v>
      </c>
      <c r="E22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7" t="b">
        <f>IF(     ISNUMBER(Table13[[#This Row],[Strike]]),RTD("tos.rtd", , "DELTA", "."&amp;Table13[[#This Row],[Ticker]]&amp;Table13[[#This Row],[Expiry]]&amp;""&amp;"C"&amp;Table13[[#This Row],[Strike]]))</f>
        <v>0</v>
      </c>
      <c r="H227" s="17" t="b" cm="1">
        <f t="array" ref="H227">IF(
    ISNUMBER(Table13[[#This Row],[Strike]]),IndividualLegIVCore($A$4, Table13[[#This Row],[Strike]], 0.0411, Table13[[#This Row],[T]], ((Table13[[#This Row],[BIDC]]+Table13[[#This Row],[ASKC]])/2), TRUE))</f>
        <v>0</v>
      </c>
      <c r="I227" t="b">
        <f>IF(     ISNUMBER(Table13[[#This Row],[Strike]]),RTD("tos.rtd", , "BID", "."&amp;Table13[[#This Row],[Ticker]]&amp;Table13[[#This Row],[Expiry]]&amp;""&amp;"C"&amp;Table13[[#This Row],[Strike]]))</f>
        <v>0</v>
      </c>
      <c r="J227" t="b">
        <f>IF(     ISNUMBER(Table13[[#This Row],[Strike]]),RTD("tos.rtd", , "ASK", "."&amp;Table13[[#This Row],[Ticker]]&amp;Table13[[#This Row],[Expiry]]&amp;""&amp;"C"&amp;Table13[[#This Row],[Strike]]))</f>
        <v>0</v>
      </c>
      <c r="K22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7" s="17" cm="1">
        <f t="array" aca="1" ref="L22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7" s="1">
        <f t="shared" si="25"/>
        <v>0</v>
      </c>
      <c r="N227" t="b">
        <f t="shared" si="26"/>
        <v>0</v>
      </c>
      <c r="P227" s="17" t="b" cm="1">
        <f t="array" ref="P227">IF(
    ISNUMBER(Table13[[#This Row],[Strike]]),IndividualLegIVCore($A$4, Table13[[#This Row],[Strike]], 0.0411, Table13[[#This Row],[T]], ((Table13[[#This Row],[BIDP]]+Table13[[#This Row],[ASKP]])/2), FALSE))</f>
        <v>0</v>
      </c>
      <c r="Q227" t="b">
        <f>IF(     ISNUMBER(Table13[[#This Row],[Strike]]),RTD("tos.rtd", , "BID", "."&amp;Table13[[#This Row],[Ticker]]&amp;Table13[[#This Row],[Expiry]]&amp;""&amp;"P"&amp;Table13[[#This Row],[Strike]]))</f>
        <v>0</v>
      </c>
      <c r="R227" t="b">
        <f>IF(     ISNUMBER(Table13[[#This Row],[Strike]]),RTD("tos.rtd", , "ASK", "."&amp;Table13[[#This Row],[Ticker]]&amp;Table13[[#This Row],[Expiry]]&amp;""&amp;"P"&amp;Table13[[#This Row],[Strike]]))</f>
        <v>0</v>
      </c>
      <c r="S227" s="17"/>
      <c r="T227" t="b">
        <f>IF(     ISNUMBER(Table13[[#This Row],[Strike]]),RTD("tos.rtd", , "OPEN_INT", "."&amp;Table13[[#This Row],[Ticker]]&amp;Table13[[#This Row],[Expiry]]&amp;""&amp;"P"&amp;Table13[[#This Row],[Strike]]))</f>
        <v>0</v>
      </c>
      <c r="U22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7" t="b">
        <f>IF(     ISNUMBER(Table13[[#This Row],[Strike]]),RTD("tos.rtd", , "DELTA", "."&amp;Table13[[#This Row],[Ticker]]&amp;Table13[[#This Row],[Expiry]]&amp;""&amp;"P"&amp;Table13[[#This Row],[Strike]]))</f>
        <v>0</v>
      </c>
      <c r="Y227" s="19">
        <f>-43* IF($M$1="NDX", 10, IF(OR($M$1="SPX", $M$1="RUT"), 2, 1))</f>
        <v>-86</v>
      </c>
      <c r="Z227">
        <f ca="1">IFERROR(Table13[[#This Row],[call gamma]]*(Table13[[#This Row],[Open.Int]])*$A$4^2,0)</f>
        <v>0</v>
      </c>
      <c r="AA227">
        <f ca="1">IFERROR(((Table13[[#This Row],[Open.Int8]])*Table13[[#This Row],[Put gamma]])*-1*$A$4^2,0)</f>
        <v>0</v>
      </c>
      <c r="AB227">
        <f ca="1">(Table13[[#This Row],[Call Gex]]+Table13[[#This Row],[Put Gex]])</f>
        <v>0</v>
      </c>
      <c r="AC227">
        <f ca="1">Table13[[#This Row],[put delta adj]]+Table13[[#This Row],[call delta adj]]</f>
        <v>0</v>
      </c>
      <c r="AD227">
        <f ca="1">Table13[[#This Row],[Put Gex]]*Table13[[#This Row],[DeltaP]]*-1</f>
        <v>0</v>
      </c>
      <c r="AE227">
        <f ca="1">Table13[[#This Row],[Call Gex]]*Table13[[#This Row],[DeltaC]]</f>
        <v>0</v>
      </c>
      <c r="AF227">
        <f>IF(Table13[[#This Row],[DeltaC]]-ABS(Table13[[#This Row],[DeltaP]])="0","0.01",Table13[[#This Row],[DeltaC]]-ABS(Table13[[#This Row],[DeltaP]]))</f>
        <v>0</v>
      </c>
      <c r="AG227" t="e">
        <f ca="1">((LN($A$4/Table13[[#This Row],[Strike]]) + (0.411 + 0.5 * Table13[[#This Row],[IV Calc P]]^2) *Table13[[#This Row],[T]])) / (Table13[[#This Row],[IV Calc P]] * SQRT(Table13[[#This Row],[T]]))</f>
        <v>#DIV/0!</v>
      </c>
      <c r="AH227" t="e">
        <f ca="1">(LN($A$4/Table13[[#This Row],[Strike]]) + (0.411-0 + 0.5 * Table13[[#This Row],[IV Calc C]]^2) *Table13[[#This Row],[T]]) / (Table13[[#This Row],[IV Calc C]] * SQRT(Table13[[#This Row],[T]]))</f>
        <v>#DIV/0!</v>
      </c>
      <c r="AI227" t="e">
        <f ca="1">(EXP(-(AG227^2)/2)/SQRT(2*PI())*EXP(0*SQRT(Table13[[#This Row],[T]]))/$A$4*18%*SQRT(SQRT(Table13[[#This Row],[T]])))</f>
        <v>#DIV/0!</v>
      </c>
      <c r="AJ227" t="e">
        <f ca="1">(EXP(-(AH227^2)/2)/SQRT(2*PI())*EXP(0*SQRT(Table13[[#This Row],[T]]))/$A$4*18%*SQRT(SQRT(Table13[[#This Row],[T]])))</f>
        <v>#DIV/0!</v>
      </c>
      <c r="AK227" t="e">
        <f ca="1">Table13[[#This Row],[Call D1]]-Table13[[#This Row],[IV Calc C]]*SQRT(Table13[[#This Row],[T]])</f>
        <v>#DIV/0!</v>
      </c>
      <c r="AL227" t="e">
        <f ca="1">Table13[[#This Row],[Put D1]]-Table13[[#This Row],[IV Calc P]]*SQRT(Table13[[#This Row],[T]])</f>
        <v>#DIV/0!</v>
      </c>
      <c r="AM227" t="e">
        <f ca="1">EXP(-0.5*Table13[[#This Row],[Call D1]]^2)/SQRT(2*PI())</f>
        <v>#DIV/0!</v>
      </c>
      <c r="AN227" t="e">
        <f ca="1">EXP(-0.5*Table13[[#This Row],[Put D1]]^2)/SQRT(2*PI())</f>
        <v>#DIV/0!</v>
      </c>
      <c r="AO227">
        <f ca="1">IFERROR((EXP(0*Table13[[#This Row],[T]])*Table13[[#This Row],[call N(d1)]]*(Table13[[#This Row],[call d2]]/Table13[[#This Row],[IV Calc C]]))*Table13[[#This Row],[Open.Int]]*Table13[[#This Row],[DeltaC]],0)</f>
        <v>0</v>
      </c>
      <c r="AP227">
        <f ca="1">IFERROR((EXP(0*Table13[[#This Row],[T]])*Table13[[#This Row],[put N(d1)]]*(Table13[[#This Row],[put d2]]/Table13[[#This Row],[IV Calc P]]))*Table13[[#This Row],[Open.Int8]]*Table13[[#This Row],[DeltaP]]*-1,0)</f>
        <v>0</v>
      </c>
      <c r="AQ227">
        <f ca="1">((Table13[[#This Row],[call vanna]]+Table13[[#This Row],[put vanna]])*$A$4)</f>
        <v>0</v>
      </c>
      <c r="AR22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7" s="9" t="str" cm="1">
        <f t="array" ref="AT227">_xlfn.IFS(     $M$1="SPX","SPXW",     $M$1="RUT","RUTW",  $M$1="NDX","NDXP",   TRUE,$M$1 )</f>
        <v>SPXW</v>
      </c>
      <c r="AU227" s="2">
        <f t="shared" si="27"/>
        <v>6915</v>
      </c>
      <c r="AV227" t="str">
        <f t="shared" si="28"/>
        <v>000100</v>
      </c>
      <c r="AY22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7">
        <f>((Table13[[#This Row],[High C]]+Table13[[#This Row],[Low C]])/2)*Table13[[#This Row],[gammac]]*Table13[[#This Row],[Volume]]</f>
        <v>0</v>
      </c>
      <c r="BD227">
        <f>((Table13[[#This Row],[High P]]+Table13[[#This Row],[Low P]])/2)*Table13[[#This Row],[gammap]]*Table13[[#This Row],[Volume9]]*-1</f>
        <v>0</v>
      </c>
      <c r="BE227">
        <f>(Table13[[#This Row],[SgammaC]]+Table13[[#This Row],[SgammaP]])*$A$4*-100</f>
        <v>0</v>
      </c>
      <c r="BF227">
        <f>Table13[[#This Row],[DEXc]]+Table13[[#This Row],[DEXp]]</f>
        <v>0</v>
      </c>
      <c r="BG227">
        <f>IFERROR(Table13[[#This Row],[DeltaC]]*Table13[[#This Row],[Open.Int]]*$A$4,0)</f>
        <v>0</v>
      </c>
      <c r="BH227">
        <f>IFERROR(Table13[[#This Row],[DeltaP]]*Table13[[#This Row],[Open.Int8]]*$A$4,0)</f>
        <v>0</v>
      </c>
      <c r="BI22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7">
        <f ca="1">Table13[[#This Row],[charmc]]+Table13[[#This Row],[charmp]]</f>
        <v>0</v>
      </c>
      <c r="BL22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7" s="78">
        <f ca="1">Table13[[#This Row],[call helper]]+Table13[[#This Row],[put helper]]</f>
        <v>0</v>
      </c>
      <c r="BP227" t="str">
        <f>RTD("tos.rtd", , "STRIKE", "."&amp;Table13[[#This Row],[Ticker]]&amp;Table13[[#This Row],[Expiry]]&amp;""&amp;"C"&amp;Table13[[#This Row],[Spot]]+Table13[[#This Row],[step]])</f>
        <v>N/A</v>
      </c>
    </row>
    <row r="228" spans="1:68" x14ac:dyDescent="0.25">
      <c r="A228" s="14">
        <f t="shared" ca="1" si="24"/>
        <v>-126.14810350076104</v>
      </c>
      <c r="C228" s="17"/>
      <c r="D228" t="b">
        <f>IF(
    ISNUMBER(Table13[[#This Row],[Strike]]),RTD("tos.rtd", , "OPEN_INT", "."&amp;Table13[[#This Row],[Ticker]]&amp;Table13[[#This Row],[Expiry]]&amp;""&amp;"C"&amp;Table13[[#This Row],[Strike]]))</f>
        <v>0</v>
      </c>
      <c r="E22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8" t="b">
        <f>IF(     ISNUMBER(Table13[[#This Row],[Strike]]),RTD("tos.rtd", , "DELTA", "."&amp;Table13[[#This Row],[Ticker]]&amp;Table13[[#This Row],[Expiry]]&amp;""&amp;"C"&amp;Table13[[#This Row],[Strike]]))</f>
        <v>0</v>
      </c>
      <c r="H228" s="17" t="b" cm="1">
        <f t="array" ref="H228">IF(
    ISNUMBER(Table13[[#This Row],[Strike]]),IndividualLegIVCore($A$4, Table13[[#This Row],[Strike]], 0.0411, Table13[[#This Row],[T]], ((Table13[[#This Row],[BIDC]]+Table13[[#This Row],[ASKC]])/2), TRUE))</f>
        <v>0</v>
      </c>
      <c r="I228" t="b">
        <f>IF(     ISNUMBER(Table13[[#This Row],[Strike]]),RTD("tos.rtd", , "BID", "."&amp;Table13[[#This Row],[Ticker]]&amp;Table13[[#This Row],[Expiry]]&amp;""&amp;"C"&amp;Table13[[#This Row],[Strike]]))</f>
        <v>0</v>
      </c>
      <c r="J228" t="b">
        <f>IF(     ISNUMBER(Table13[[#This Row],[Strike]]),RTD("tos.rtd", , "ASK", "."&amp;Table13[[#This Row],[Ticker]]&amp;Table13[[#This Row],[Expiry]]&amp;""&amp;"C"&amp;Table13[[#This Row],[Strike]]))</f>
        <v>0</v>
      </c>
      <c r="K22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8" s="17" cm="1">
        <f t="array" aca="1" ref="L22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8" s="1">
        <f t="shared" si="25"/>
        <v>0</v>
      </c>
      <c r="N228" t="b">
        <f t="shared" si="26"/>
        <v>0</v>
      </c>
      <c r="P228" s="17" t="b" cm="1">
        <f t="array" ref="P228">IF(
    ISNUMBER(Table13[[#This Row],[Strike]]),IndividualLegIVCore($A$4, Table13[[#This Row],[Strike]], 0.0411, Table13[[#This Row],[T]], ((Table13[[#This Row],[BIDP]]+Table13[[#This Row],[ASKP]])/2), FALSE))</f>
        <v>0</v>
      </c>
      <c r="Q228" t="b">
        <f>IF(     ISNUMBER(Table13[[#This Row],[Strike]]),RTD("tos.rtd", , "BID", "."&amp;Table13[[#This Row],[Ticker]]&amp;Table13[[#This Row],[Expiry]]&amp;""&amp;"P"&amp;Table13[[#This Row],[Strike]]))</f>
        <v>0</v>
      </c>
      <c r="R228" t="b">
        <f>IF(     ISNUMBER(Table13[[#This Row],[Strike]]),RTD("tos.rtd", , "ASK", "."&amp;Table13[[#This Row],[Ticker]]&amp;Table13[[#This Row],[Expiry]]&amp;""&amp;"P"&amp;Table13[[#This Row],[Strike]]))</f>
        <v>0</v>
      </c>
      <c r="S228" s="17"/>
      <c r="T228" t="b">
        <f>IF(     ISNUMBER(Table13[[#This Row],[Strike]]),RTD("tos.rtd", , "OPEN_INT", "."&amp;Table13[[#This Row],[Ticker]]&amp;Table13[[#This Row],[Expiry]]&amp;""&amp;"P"&amp;Table13[[#This Row],[Strike]]))</f>
        <v>0</v>
      </c>
      <c r="U22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8" t="b">
        <f>IF(     ISNUMBER(Table13[[#This Row],[Strike]]),RTD("tos.rtd", , "DELTA", "."&amp;Table13[[#This Row],[Ticker]]&amp;Table13[[#This Row],[Expiry]]&amp;""&amp;"P"&amp;Table13[[#This Row],[Strike]]))</f>
        <v>0</v>
      </c>
      <c r="Y228" s="19">
        <f>-42.5* IF($M$1="NDX", 10, IF(OR($M$1="SPX", $M$1="RUT"), 2, 1))</f>
        <v>-85</v>
      </c>
      <c r="Z228">
        <f ca="1">IFERROR(Table13[[#This Row],[call gamma]]*(Table13[[#This Row],[Open.Int]])*$A$4^2,0)</f>
        <v>0</v>
      </c>
      <c r="AA228">
        <f ca="1">IFERROR(((Table13[[#This Row],[Open.Int8]])*Table13[[#This Row],[Put gamma]])*-1*$A$4^2,0)</f>
        <v>0</v>
      </c>
      <c r="AB228">
        <f ca="1">(Table13[[#This Row],[Call Gex]]+Table13[[#This Row],[Put Gex]])</f>
        <v>0</v>
      </c>
      <c r="AC228">
        <f ca="1">Table13[[#This Row],[put delta adj]]+Table13[[#This Row],[call delta adj]]</f>
        <v>0</v>
      </c>
      <c r="AD228">
        <f ca="1">Table13[[#This Row],[Put Gex]]*Table13[[#This Row],[DeltaP]]*-1</f>
        <v>0</v>
      </c>
      <c r="AE228">
        <f ca="1">Table13[[#This Row],[Call Gex]]*Table13[[#This Row],[DeltaC]]</f>
        <v>0</v>
      </c>
      <c r="AF228">
        <f>IF(Table13[[#This Row],[DeltaC]]-ABS(Table13[[#This Row],[DeltaP]])="0","0.01",Table13[[#This Row],[DeltaC]]-ABS(Table13[[#This Row],[DeltaP]]))</f>
        <v>0</v>
      </c>
      <c r="AG228" t="e">
        <f ca="1">((LN($A$4/Table13[[#This Row],[Strike]]) + (0.411 + 0.5 * Table13[[#This Row],[IV Calc P]]^2) *Table13[[#This Row],[T]])) / (Table13[[#This Row],[IV Calc P]] * SQRT(Table13[[#This Row],[T]]))</f>
        <v>#DIV/0!</v>
      </c>
      <c r="AH228" t="e">
        <f ca="1">(LN($A$4/Table13[[#This Row],[Strike]]) + (0.411-0 + 0.5 * Table13[[#This Row],[IV Calc C]]^2) *Table13[[#This Row],[T]]) / (Table13[[#This Row],[IV Calc C]] * SQRT(Table13[[#This Row],[T]]))</f>
        <v>#DIV/0!</v>
      </c>
      <c r="AI228" t="e">
        <f ca="1">(EXP(-(AG228^2)/2)/SQRT(2*PI())*EXP(0*SQRT(Table13[[#This Row],[T]]))/$A$4*18%*SQRT(SQRT(Table13[[#This Row],[T]])))</f>
        <v>#DIV/0!</v>
      </c>
      <c r="AJ228" t="e">
        <f ca="1">(EXP(-(AH228^2)/2)/SQRT(2*PI())*EXP(0*SQRT(Table13[[#This Row],[T]]))/$A$4*18%*SQRT(SQRT(Table13[[#This Row],[T]])))</f>
        <v>#DIV/0!</v>
      </c>
      <c r="AK228" t="e">
        <f ca="1">Table13[[#This Row],[Call D1]]-Table13[[#This Row],[IV Calc C]]*SQRT(Table13[[#This Row],[T]])</f>
        <v>#DIV/0!</v>
      </c>
      <c r="AL228" t="e">
        <f ca="1">Table13[[#This Row],[Put D1]]-Table13[[#This Row],[IV Calc P]]*SQRT(Table13[[#This Row],[T]])</f>
        <v>#DIV/0!</v>
      </c>
      <c r="AM228" t="e">
        <f ca="1">EXP(-0.5*Table13[[#This Row],[Call D1]]^2)/SQRT(2*PI())</f>
        <v>#DIV/0!</v>
      </c>
      <c r="AN228" t="e">
        <f ca="1">EXP(-0.5*Table13[[#This Row],[Put D1]]^2)/SQRT(2*PI())</f>
        <v>#DIV/0!</v>
      </c>
      <c r="AO228">
        <f ca="1">IFERROR((EXP(0*Table13[[#This Row],[T]])*Table13[[#This Row],[call N(d1)]]*(Table13[[#This Row],[call d2]]/Table13[[#This Row],[IV Calc C]]))*Table13[[#This Row],[Open.Int]]*Table13[[#This Row],[DeltaC]],0)</f>
        <v>0</v>
      </c>
      <c r="AP228">
        <f ca="1">IFERROR((EXP(0*Table13[[#This Row],[T]])*Table13[[#This Row],[put N(d1)]]*(Table13[[#This Row],[put d2]]/Table13[[#This Row],[IV Calc P]]))*Table13[[#This Row],[Open.Int8]]*Table13[[#This Row],[DeltaP]]*-1,0)</f>
        <v>0</v>
      </c>
      <c r="AQ228">
        <f ca="1">((Table13[[#This Row],[call vanna]]+Table13[[#This Row],[put vanna]])*$A$4)</f>
        <v>0</v>
      </c>
      <c r="AR22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8" s="9" t="str" cm="1">
        <f t="array" ref="AT228">_xlfn.IFS(     $M$1="SPX","SPXW",     $M$1="RUT","RUTW",  $M$1="NDX","NDXP",   TRUE,$M$1 )</f>
        <v>SPXW</v>
      </c>
      <c r="AU228" s="2">
        <f t="shared" si="27"/>
        <v>6915</v>
      </c>
      <c r="AV228" t="str">
        <f t="shared" si="28"/>
        <v>000100</v>
      </c>
      <c r="AY22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8">
        <f>((Table13[[#This Row],[High C]]+Table13[[#This Row],[Low C]])/2)*Table13[[#This Row],[gammac]]*Table13[[#This Row],[Volume]]</f>
        <v>0</v>
      </c>
      <c r="BD228">
        <f>((Table13[[#This Row],[High P]]+Table13[[#This Row],[Low P]])/2)*Table13[[#This Row],[gammap]]*Table13[[#This Row],[Volume9]]*-1</f>
        <v>0</v>
      </c>
      <c r="BE228">
        <f>(Table13[[#This Row],[SgammaC]]+Table13[[#This Row],[SgammaP]])*$A$4*-100</f>
        <v>0</v>
      </c>
      <c r="BF228">
        <f>Table13[[#This Row],[DEXc]]+Table13[[#This Row],[DEXp]]</f>
        <v>0</v>
      </c>
      <c r="BG228">
        <f>IFERROR(Table13[[#This Row],[DeltaC]]*Table13[[#This Row],[Open.Int]]*$A$4,0)</f>
        <v>0</v>
      </c>
      <c r="BH228">
        <f>IFERROR(Table13[[#This Row],[DeltaP]]*Table13[[#This Row],[Open.Int8]]*$A$4,0)</f>
        <v>0</v>
      </c>
      <c r="BI22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8">
        <f ca="1">Table13[[#This Row],[charmc]]+Table13[[#This Row],[charmp]]</f>
        <v>0</v>
      </c>
      <c r="BL22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8" s="78">
        <f ca="1">Table13[[#This Row],[call helper]]+Table13[[#This Row],[put helper]]</f>
        <v>0</v>
      </c>
      <c r="BP228" t="str">
        <f>RTD("tos.rtd", , "STRIKE", "."&amp;Table13[[#This Row],[Ticker]]&amp;Table13[[#This Row],[Expiry]]&amp;""&amp;"C"&amp;Table13[[#This Row],[Spot]]+Table13[[#This Row],[step]])</f>
        <v>N/A</v>
      </c>
    </row>
    <row r="229" spans="1:68" x14ac:dyDescent="0.25">
      <c r="A229" s="14">
        <f t="shared" ca="1" si="24"/>
        <v>-126.14810350076104</v>
      </c>
      <c r="C229" s="17"/>
      <c r="D229" t="b">
        <f>IF(
    ISNUMBER(Table13[[#This Row],[Strike]]),RTD("tos.rtd", , "OPEN_INT", "."&amp;Table13[[#This Row],[Ticker]]&amp;Table13[[#This Row],[Expiry]]&amp;""&amp;"C"&amp;Table13[[#This Row],[Strike]]))</f>
        <v>0</v>
      </c>
      <c r="E22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9" t="b">
        <f>IF(     ISNUMBER(Table13[[#This Row],[Strike]]),RTD("tos.rtd", , "DELTA", "."&amp;Table13[[#This Row],[Ticker]]&amp;Table13[[#This Row],[Expiry]]&amp;""&amp;"C"&amp;Table13[[#This Row],[Strike]]))</f>
        <v>0</v>
      </c>
      <c r="H229" s="17" t="b" cm="1">
        <f t="array" ref="H229">IF(
    ISNUMBER(Table13[[#This Row],[Strike]]),IndividualLegIVCore($A$4, Table13[[#This Row],[Strike]], 0.0411, Table13[[#This Row],[T]], ((Table13[[#This Row],[BIDC]]+Table13[[#This Row],[ASKC]])/2), TRUE))</f>
        <v>0</v>
      </c>
      <c r="I229" t="b">
        <f>IF(     ISNUMBER(Table13[[#This Row],[Strike]]),RTD("tos.rtd", , "BID", "."&amp;Table13[[#This Row],[Ticker]]&amp;Table13[[#This Row],[Expiry]]&amp;""&amp;"C"&amp;Table13[[#This Row],[Strike]]))</f>
        <v>0</v>
      </c>
      <c r="J229" t="b">
        <f>IF(     ISNUMBER(Table13[[#This Row],[Strike]]),RTD("tos.rtd", , "ASK", "."&amp;Table13[[#This Row],[Ticker]]&amp;Table13[[#This Row],[Expiry]]&amp;""&amp;"C"&amp;Table13[[#This Row],[Strike]]))</f>
        <v>0</v>
      </c>
      <c r="K22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9" s="17" cm="1">
        <f t="array" aca="1" ref="L22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29" s="1">
        <f t="shared" si="25"/>
        <v>0</v>
      </c>
      <c r="N229" t="b">
        <f t="shared" si="26"/>
        <v>0</v>
      </c>
      <c r="P229" s="17" t="b" cm="1">
        <f t="array" ref="P229">IF(
    ISNUMBER(Table13[[#This Row],[Strike]]),IndividualLegIVCore($A$4, Table13[[#This Row],[Strike]], 0.0411, Table13[[#This Row],[T]], ((Table13[[#This Row],[BIDP]]+Table13[[#This Row],[ASKP]])/2), FALSE))</f>
        <v>0</v>
      </c>
      <c r="Q229" t="b">
        <f>IF(     ISNUMBER(Table13[[#This Row],[Strike]]),RTD("tos.rtd", , "BID", "."&amp;Table13[[#This Row],[Ticker]]&amp;Table13[[#This Row],[Expiry]]&amp;""&amp;"P"&amp;Table13[[#This Row],[Strike]]))</f>
        <v>0</v>
      </c>
      <c r="R229" t="b">
        <f>IF(     ISNUMBER(Table13[[#This Row],[Strike]]),RTD("tos.rtd", , "ASK", "."&amp;Table13[[#This Row],[Ticker]]&amp;Table13[[#This Row],[Expiry]]&amp;""&amp;"P"&amp;Table13[[#This Row],[Strike]]))</f>
        <v>0</v>
      </c>
      <c r="S229" s="17"/>
      <c r="T229" t="b">
        <f>IF(     ISNUMBER(Table13[[#This Row],[Strike]]),RTD("tos.rtd", , "OPEN_INT", "."&amp;Table13[[#This Row],[Ticker]]&amp;Table13[[#This Row],[Expiry]]&amp;""&amp;"P"&amp;Table13[[#This Row],[Strike]]))</f>
        <v>0</v>
      </c>
      <c r="U22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9" t="b">
        <f>IF(     ISNUMBER(Table13[[#This Row],[Strike]]),RTD("tos.rtd", , "DELTA", "."&amp;Table13[[#This Row],[Ticker]]&amp;Table13[[#This Row],[Expiry]]&amp;""&amp;"P"&amp;Table13[[#This Row],[Strike]]))</f>
        <v>0</v>
      </c>
      <c r="Y229" s="19">
        <f>-42* IF($M$1="NDX", 10, IF(OR($M$1="SPX", $M$1="RUT"), 2, 1))</f>
        <v>-84</v>
      </c>
      <c r="Z229">
        <f ca="1">IFERROR(Table13[[#This Row],[call gamma]]*(Table13[[#This Row],[Open.Int]])*$A$4^2,0)</f>
        <v>0</v>
      </c>
      <c r="AA229">
        <f ca="1">IFERROR(((Table13[[#This Row],[Open.Int8]])*Table13[[#This Row],[Put gamma]])*-1*$A$4^2,0)</f>
        <v>0</v>
      </c>
      <c r="AB229">
        <f ca="1">(Table13[[#This Row],[Call Gex]]+Table13[[#This Row],[Put Gex]])</f>
        <v>0</v>
      </c>
      <c r="AC229">
        <f ca="1">Table13[[#This Row],[put delta adj]]+Table13[[#This Row],[call delta adj]]</f>
        <v>0</v>
      </c>
      <c r="AD229">
        <f ca="1">Table13[[#This Row],[Put Gex]]*Table13[[#This Row],[DeltaP]]*-1</f>
        <v>0</v>
      </c>
      <c r="AE229">
        <f ca="1">Table13[[#This Row],[Call Gex]]*Table13[[#This Row],[DeltaC]]</f>
        <v>0</v>
      </c>
      <c r="AF229">
        <f>IF(Table13[[#This Row],[DeltaC]]-ABS(Table13[[#This Row],[DeltaP]])="0","0.01",Table13[[#This Row],[DeltaC]]-ABS(Table13[[#This Row],[DeltaP]]))</f>
        <v>0</v>
      </c>
      <c r="AG229" t="e">
        <f ca="1">((LN($A$4/Table13[[#This Row],[Strike]]) + (0.411 + 0.5 * Table13[[#This Row],[IV Calc P]]^2) *Table13[[#This Row],[T]])) / (Table13[[#This Row],[IV Calc P]] * SQRT(Table13[[#This Row],[T]]))</f>
        <v>#DIV/0!</v>
      </c>
      <c r="AH229" t="e">
        <f ca="1">(LN($A$4/Table13[[#This Row],[Strike]]) + (0.411-0 + 0.5 * Table13[[#This Row],[IV Calc C]]^2) *Table13[[#This Row],[T]]) / (Table13[[#This Row],[IV Calc C]] * SQRT(Table13[[#This Row],[T]]))</f>
        <v>#DIV/0!</v>
      </c>
      <c r="AI229" t="e">
        <f ca="1">(EXP(-(AG229^2)/2)/SQRT(2*PI())*EXP(0*SQRT(Table13[[#This Row],[T]]))/$A$4*18%*SQRT(SQRT(Table13[[#This Row],[T]])))</f>
        <v>#DIV/0!</v>
      </c>
      <c r="AJ229" t="e">
        <f ca="1">(EXP(-(AH229^2)/2)/SQRT(2*PI())*EXP(0*SQRT(Table13[[#This Row],[T]]))/$A$4*18%*SQRT(SQRT(Table13[[#This Row],[T]])))</f>
        <v>#DIV/0!</v>
      </c>
      <c r="AK229" t="e">
        <f ca="1">Table13[[#This Row],[Call D1]]-Table13[[#This Row],[IV Calc C]]*SQRT(Table13[[#This Row],[T]])</f>
        <v>#DIV/0!</v>
      </c>
      <c r="AL229" t="e">
        <f ca="1">Table13[[#This Row],[Put D1]]-Table13[[#This Row],[IV Calc P]]*SQRT(Table13[[#This Row],[T]])</f>
        <v>#DIV/0!</v>
      </c>
      <c r="AM229" t="e">
        <f ca="1">EXP(-0.5*Table13[[#This Row],[Call D1]]^2)/SQRT(2*PI())</f>
        <v>#DIV/0!</v>
      </c>
      <c r="AN229" t="e">
        <f ca="1">EXP(-0.5*Table13[[#This Row],[Put D1]]^2)/SQRT(2*PI())</f>
        <v>#DIV/0!</v>
      </c>
      <c r="AO229">
        <f ca="1">IFERROR((EXP(0*Table13[[#This Row],[T]])*Table13[[#This Row],[call N(d1)]]*(Table13[[#This Row],[call d2]]/Table13[[#This Row],[IV Calc C]]))*Table13[[#This Row],[Open.Int]]*Table13[[#This Row],[DeltaC]],0)</f>
        <v>0</v>
      </c>
      <c r="AP229">
        <f ca="1">IFERROR((EXP(0*Table13[[#This Row],[T]])*Table13[[#This Row],[put N(d1)]]*(Table13[[#This Row],[put d2]]/Table13[[#This Row],[IV Calc P]]))*Table13[[#This Row],[Open.Int8]]*Table13[[#This Row],[DeltaP]]*-1,0)</f>
        <v>0</v>
      </c>
      <c r="AQ229">
        <f ca="1">((Table13[[#This Row],[call vanna]]+Table13[[#This Row],[put vanna]])*$A$4)</f>
        <v>0</v>
      </c>
      <c r="AR22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9" s="9" t="str" cm="1">
        <f t="array" ref="AT229">_xlfn.IFS(     $M$1="SPX","SPXW",     $M$1="RUT","RUTW",  $M$1="NDX","NDXP",   TRUE,$M$1 )</f>
        <v>SPXW</v>
      </c>
      <c r="AU229" s="2">
        <f t="shared" si="27"/>
        <v>6915</v>
      </c>
      <c r="AV229" t="str">
        <f t="shared" si="28"/>
        <v>000100</v>
      </c>
      <c r="AY22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9">
        <f>((Table13[[#This Row],[High C]]+Table13[[#This Row],[Low C]])/2)*Table13[[#This Row],[gammac]]*Table13[[#This Row],[Volume]]</f>
        <v>0</v>
      </c>
      <c r="BD229">
        <f>((Table13[[#This Row],[High P]]+Table13[[#This Row],[Low P]])/2)*Table13[[#This Row],[gammap]]*Table13[[#This Row],[Volume9]]*-1</f>
        <v>0</v>
      </c>
      <c r="BE229">
        <f>(Table13[[#This Row],[SgammaC]]+Table13[[#This Row],[SgammaP]])*$A$4*-100</f>
        <v>0</v>
      </c>
      <c r="BF229">
        <f>Table13[[#This Row],[DEXc]]+Table13[[#This Row],[DEXp]]</f>
        <v>0</v>
      </c>
      <c r="BG229">
        <f>IFERROR(Table13[[#This Row],[DeltaC]]*Table13[[#This Row],[Open.Int]]*$A$4,0)</f>
        <v>0</v>
      </c>
      <c r="BH229">
        <f>IFERROR(Table13[[#This Row],[DeltaP]]*Table13[[#This Row],[Open.Int8]]*$A$4,0)</f>
        <v>0</v>
      </c>
      <c r="BI22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9">
        <f ca="1">Table13[[#This Row],[charmc]]+Table13[[#This Row],[charmp]]</f>
        <v>0</v>
      </c>
      <c r="BL22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9" s="78">
        <f ca="1">Table13[[#This Row],[call helper]]+Table13[[#This Row],[put helper]]</f>
        <v>0</v>
      </c>
      <c r="BP229" t="str">
        <f>RTD("tos.rtd", , "STRIKE", "."&amp;Table13[[#This Row],[Ticker]]&amp;Table13[[#This Row],[Expiry]]&amp;""&amp;"C"&amp;Table13[[#This Row],[Spot]]+Table13[[#This Row],[step]])</f>
        <v>N/A</v>
      </c>
    </row>
    <row r="230" spans="1:68" x14ac:dyDescent="0.25">
      <c r="A230" s="14">
        <f t="shared" ca="1" si="24"/>
        <v>-126.14810350076104</v>
      </c>
      <c r="C230" s="17"/>
      <c r="D230" t="b">
        <f>IF(
    ISNUMBER(Table13[[#This Row],[Strike]]),RTD("tos.rtd", , "OPEN_INT", "."&amp;Table13[[#This Row],[Ticker]]&amp;Table13[[#This Row],[Expiry]]&amp;""&amp;"C"&amp;Table13[[#This Row],[Strike]]))</f>
        <v>0</v>
      </c>
      <c r="E23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0" t="b">
        <f>IF(     ISNUMBER(Table13[[#This Row],[Strike]]),RTD("tos.rtd", , "DELTA", "."&amp;Table13[[#This Row],[Ticker]]&amp;Table13[[#This Row],[Expiry]]&amp;""&amp;"C"&amp;Table13[[#This Row],[Strike]]))</f>
        <v>0</v>
      </c>
      <c r="H230" s="17" t="b" cm="1">
        <f t="array" ref="H230">IF(
    ISNUMBER(Table13[[#This Row],[Strike]]),IndividualLegIVCore($A$4, Table13[[#This Row],[Strike]], 0.0411, Table13[[#This Row],[T]], ((Table13[[#This Row],[BIDC]]+Table13[[#This Row],[ASKC]])/2), TRUE))</f>
        <v>0</v>
      </c>
      <c r="I230" t="b">
        <f>IF(     ISNUMBER(Table13[[#This Row],[Strike]]),RTD("tos.rtd", , "BID", "."&amp;Table13[[#This Row],[Ticker]]&amp;Table13[[#This Row],[Expiry]]&amp;""&amp;"C"&amp;Table13[[#This Row],[Strike]]))</f>
        <v>0</v>
      </c>
      <c r="J230" t="b">
        <f>IF(     ISNUMBER(Table13[[#This Row],[Strike]]),RTD("tos.rtd", , "ASK", "."&amp;Table13[[#This Row],[Ticker]]&amp;Table13[[#This Row],[Expiry]]&amp;""&amp;"C"&amp;Table13[[#This Row],[Strike]]))</f>
        <v>0</v>
      </c>
      <c r="K23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0" s="17" cm="1">
        <f t="array" aca="1" ref="L23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0" s="1">
        <f t="shared" si="25"/>
        <v>0</v>
      </c>
      <c r="N230" t="b">
        <f t="shared" si="26"/>
        <v>0</v>
      </c>
      <c r="P230" s="17" t="b" cm="1">
        <f t="array" ref="P230">IF(
    ISNUMBER(Table13[[#This Row],[Strike]]),IndividualLegIVCore($A$4, Table13[[#This Row],[Strike]], 0.0411, Table13[[#This Row],[T]], ((Table13[[#This Row],[BIDP]]+Table13[[#This Row],[ASKP]])/2), FALSE))</f>
        <v>0</v>
      </c>
      <c r="Q230" t="b">
        <f>IF(     ISNUMBER(Table13[[#This Row],[Strike]]),RTD("tos.rtd", , "BID", "."&amp;Table13[[#This Row],[Ticker]]&amp;Table13[[#This Row],[Expiry]]&amp;""&amp;"P"&amp;Table13[[#This Row],[Strike]]))</f>
        <v>0</v>
      </c>
      <c r="R230" t="b">
        <f>IF(     ISNUMBER(Table13[[#This Row],[Strike]]),RTD("tos.rtd", , "ASK", "."&amp;Table13[[#This Row],[Ticker]]&amp;Table13[[#This Row],[Expiry]]&amp;""&amp;"P"&amp;Table13[[#This Row],[Strike]]))</f>
        <v>0</v>
      </c>
      <c r="S230" s="17"/>
      <c r="T230" t="b">
        <f>IF(     ISNUMBER(Table13[[#This Row],[Strike]]),RTD("tos.rtd", , "OPEN_INT", "."&amp;Table13[[#This Row],[Ticker]]&amp;Table13[[#This Row],[Expiry]]&amp;""&amp;"P"&amp;Table13[[#This Row],[Strike]]))</f>
        <v>0</v>
      </c>
      <c r="U23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0" t="b">
        <f>IF(     ISNUMBER(Table13[[#This Row],[Strike]]),RTD("tos.rtd", , "DELTA", "."&amp;Table13[[#This Row],[Ticker]]&amp;Table13[[#This Row],[Expiry]]&amp;""&amp;"P"&amp;Table13[[#This Row],[Strike]]))</f>
        <v>0</v>
      </c>
      <c r="Y230" s="19">
        <f>-41.5* IF($M$1="NDX", 10, IF(OR($M$1="SPX", $M$1="RUT"), 2, 1))</f>
        <v>-83</v>
      </c>
      <c r="Z230">
        <f ca="1">IFERROR(Table13[[#This Row],[call gamma]]*(Table13[[#This Row],[Open.Int]])*$A$4^2,0)</f>
        <v>0</v>
      </c>
      <c r="AA230">
        <f ca="1">IFERROR(((Table13[[#This Row],[Open.Int8]])*Table13[[#This Row],[Put gamma]])*-1*$A$4^2,0)</f>
        <v>0</v>
      </c>
      <c r="AB230">
        <f ca="1">(Table13[[#This Row],[Call Gex]]+Table13[[#This Row],[Put Gex]])</f>
        <v>0</v>
      </c>
      <c r="AC230">
        <f ca="1">Table13[[#This Row],[put delta adj]]+Table13[[#This Row],[call delta adj]]</f>
        <v>0</v>
      </c>
      <c r="AD230">
        <f ca="1">Table13[[#This Row],[Put Gex]]*Table13[[#This Row],[DeltaP]]*-1</f>
        <v>0</v>
      </c>
      <c r="AE230">
        <f ca="1">Table13[[#This Row],[Call Gex]]*Table13[[#This Row],[DeltaC]]</f>
        <v>0</v>
      </c>
      <c r="AF230">
        <f>IF(Table13[[#This Row],[DeltaC]]-ABS(Table13[[#This Row],[DeltaP]])="0","0.01",Table13[[#This Row],[DeltaC]]-ABS(Table13[[#This Row],[DeltaP]]))</f>
        <v>0</v>
      </c>
      <c r="AG230" t="e">
        <f ca="1">((LN($A$4/Table13[[#This Row],[Strike]]) + (0.411 + 0.5 * Table13[[#This Row],[IV Calc P]]^2) *Table13[[#This Row],[T]])) / (Table13[[#This Row],[IV Calc P]] * SQRT(Table13[[#This Row],[T]]))</f>
        <v>#DIV/0!</v>
      </c>
      <c r="AH230" t="e">
        <f ca="1">(LN($A$4/Table13[[#This Row],[Strike]]) + (0.411-0 + 0.5 * Table13[[#This Row],[IV Calc C]]^2) *Table13[[#This Row],[T]]) / (Table13[[#This Row],[IV Calc C]] * SQRT(Table13[[#This Row],[T]]))</f>
        <v>#DIV/0!</v>
      </c>
      <c r="AI230" t="e">
        <f ca="1">(EXP(-(AG230^2)/2)/SQRT(2*PI())*EXP(0*SQRT(Table13[[#This Row],[T]]))/$A$4*18%*SQRT(SQRT(Table13[[#This Row],[T]])))</f>
        <v>#DIV/0!</v>
      </c>
      <c r="AJ230" t="e">
        <f ca="1">(EXP(-(AH230^2)/2)/SQRT(2*PI())*EXP(0*SQRT(Table13[[#This Row],[T]]))/$A$4*18%*SQRT(SQRT(Table13[[#This Row],[T]])))</f>
        <v>#DIV/0!</v>
      </c>
      <c r="AK230" t="e">
        <f ca="1">Table13[[#This Row],[Call D1]]-Table13[[#This Row],[IV Calc C]]*SQRT(Table13[[#This Row],[T]])</f>
        <v>#DIV/0!</v>
      </c>
      <c r="AL230" t="e">
        <f ca="1">Table13[[#This Row],[Put D1]]-Table13[[#This Row],[IV Calc P]]*SQRT(Table13[[#This Row],[T]])</f>
        <v>#DIV/0!</v>
      </c>
      <c r="AM230" t="e">
        <f ca="1">EXP(-0.5*Table13[[#This Row],[Call D1]]^2)/SQRT(2*PI())</f>
        <v>#DIV/0!</v>
      </c>
      <c r="AN230" t="e">
        <f ca="1">EXP(-0.5*Table13[[#This Row],[Put D1]]^2)/SQRT(2*PI())</f>
        <v>#DIV/0!</v>
      </c>
      <c r="AO230">
        <f ca="1">IFERROR((EXP(0*Table13[[#This Row],[T]])*Table13[[#This Row],[call N(d1)]]*(Table13[[#This Row],[call d2]]/Table13[[#This Row],[IV Calc C]]))*Table13[[#This Row],[Open.Int]]*Table13[[#This Row],[DeltaC]],0)</f>
        <v>0</v>
      </c>
      <c r="AP230">
        <f ca="1">IFERROR((EXP(0*Table13[[#This Row],[T]])*Table13[[#This Row],[put N(d1)]]*(Table13[[#This Row],[put d2]]/Table13[[#This Row],[IV Calc P]]))*Table13[[#This Row],[Open.Int8]]*Table13[[#This Row],[DeltaP]]*-1,0)</f>
        <v>0</v>
      </c>
      <c r="AQ230">
        <f ca="1">((Table13[[#This Row],[call vanna]]+Table13[[#This Row],[put vanna]])*$A$4)</f>
        <v>0</v>
      </c>
      <c r="AR23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0" s="9" t="str" cm="1">
        <f t="array" ref="AT230">_xlfn.IFS(     $M$1="SPX","SPXW",     $M$1="RUT","RUTW",  $M$1="NDX","NDXP",   TRUE,$M$1 )</f>
        <v>SPXW</v>
      </c>
      <c r="AU230" s="2">
        <f t="shared" si="27"/>
        <v>6915</v>
      </c>
      <c r="AV230" t="str">
        <f t="shared" si="28"/>
        <v>000100</v>
      </c>
      <c r="AY23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0">
        <f>((Table13[[#This Row],[High C]]+Table13[[#This Row],[Low C]])/2)*Table13[[#This Row],[gammac]]*Table13[[#This Row],[Volume]]</f>
        <v>0</v>
      </c>
      <c r="BD230">
        <f>((Table13[[#This Row],[High P]]+Table13[[#This Row],[Low P]])/2)*Table13[[#This Row],[gammap]]*Table13[[#This Row],[Volume9]]*-1</f>
        <v>0</v>
      </c>
      <c r="BE230">
        <f>(Table13[[#This Row],[SgammaC]]+Table13[[#This Row],[SgammaP]])*$A$4*-100</f>
        <v>0</v>
      </c>
      <c r="BF230">
        <f>Table13[[#This Row],[DEXc]]+Table13[[#This Row],[DEXp]]</f>
        <v>0</v>
      </c>
      <c r="BG230">
        <f>IFERROR(Table13[[#This Row],[DeltaC]]*Table13[[#This Row],[Open.Int]]*$A$4,0)</f>
        <v>0</v>
      </c>
      <c r="BH230">
        <f>IFERROR(Table13[[#This Row],[DeltaP]]*Table13[[#This Row],[Open.Int8]]*$A$4,0)</f>
        <v>0</v>
      </c>
      <c r="BI23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0">
        <f ca="1">Table13[[#This Row],[charmc]]+Table13[[#This Row],[charmp]]</f>
        <v>0</v>
      </c>
      <c r="BL23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0" s="78">
        <f ca="1">Table13[[#This Row],[call helper]]+Table13[[#This Row],[put helper]]</f>
        <v>0</v>
      </c>
      <c r="BP230" t="str">
        <f>RTD("tos.rtd", , "STRIKE", "."&amp;Table13[[#This Row],[Ticker]]&amp;Table13[[#This Row],[Expiry]]&amp;""&amp;"C"&amp;Table13[[#This Row],[Spot]]+Table13[[#This Row],[step]])</f>
        <v>N/A</v>
      </c>
    </row>
    <row r="231" spans="1:68" x14ac:dyDescent="0.25">
      <c r="A231" s="14">
        <f t="shared" ca="1" si="24"/>
        <v>-126.14810350076104</v>
      </c>
      <c r="C231" s="17"/>
      <c r="D231" t="b">
        <f>IF(
    ISNUMBER(Table13[[#This Row],[Strike]]),RTD("tos.rtd", , "OPEN_INT", "."&amp;Table13[[#This Row],[Ticker]]&amp;Table13[[#This Row],[Expiry]]&amp;""&amp;"C"&amp;Table13[[#This Row],[Strike]]))</f>
        <v>0</v>
      </c>
      <c r="E23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1" t="b">
        <f>IF(     ISNUMBER(Table13[[#This Row],[Strike]]),RTD("tos.rtd", , "DELTA", "."&amp;Table13[[#This Row],[Ticker]]&amp;Table13[[#This Row],[Expiry]]&amp;""&amp;"C"&amp;Table13[[#This Row],[Strike]]))</f>
        <v>0</v>
      </c>
      <c r="H231" s="17" t="b" cm="1">
        <f t="array" ref="H231">IF(
    ISNUMBER(Table13[[#This Row],[Strike]]),IndividualLegIVCore($A$4, Table13[[#This Row],[Strike]], 0.0411, Table13[[#This Row],[T]], ((Table13[[#This Row],[BIDC]]+Table13[[#This Row],[ASKC]])/2), TRUE))</f>
        <v>0</v>
      </c>
      <c r="I231" t="b">
        <f>IF(     ISNUMBER(Table13[[#This Row],[Strike]]),RTD("tos.rtd", , "BID", "."&amp;Table13[[#This Row],[Ticker]]&amp;Table13[[#This Row],[Expiry]]&amp;""&amp;"C"&amp;Table13[[#This Row],[Strike]]))</f>
        <v>0</v>
      </c>
      <c r="J231" t="b">
        <f>IF(     ISNUMBER(Table13[[#This Row],[Strike]]),RTD("tos.rtd", , "ASK", "."&amp;Table13[[#This Row],[Ticker]]&amp;Table13[[#This Row],[Expiry]]&amp;""&amp;"C"&amp;Table13[[#This Row],[Strike]]))</f>
        <v>0</v>
      </c>
      <c r="K23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1" s="17" cm="1">
        <f t="array" aca="1" ref="L23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1" s="1">
        <f t="shared" si="25"/>
        <v>0</v>
      </c>
      <c r="N231" t="b">
        <f t="shared" si="26"/>
        <v>0</v>
      </c>
      <c r="P231" s="17" t="b" cm="1">
        <f t="array" ref="P231">IF(
    ISNUMBER(Table13[[#This Row],[Strike]]),IndividualLegIVCore($A$4, Table13[[#This Row],[Strike]], 0.0411, Table13[[#This Row],[T]], ((Table13[[#This Row],[BIDP]]+Table13[[#This Row],[ASKP]])/2), FALSE))</f>
        <v>0</v>
      </c>
      <c r="Q231" t="b">
        <f>IF(     ISNUMBER(Table13[[#This Row],[Strike]]),RTD("tos.rtd", , "BID", "."&amp;Table13[[#This Row],[Ticker]]&amp;Table13[[#This Row],[Expiry]]&amp;""&amp;"P"&amp;Table13[[#This Row],[Strike]]))</f>
        <v>0</v>
      </c>
      <c r="R231" t="b">
        <f>IF(     ISNUMBER(Table13[[#This Row],[Strike]]),RTD("tos.rtd", , "ASK", "."&amp;Table13[[#This Row],[Ticker]]&amp;Table13[[#This Row],[Expiry]]&amp;""&amp;"P"&amp;Table13[[#This Row],[Strike]]))</f>
        <v>0</v>
      </c>
      <c r="S231" s="17"/>
      <c r="T231" t="b">
        <f>IF(     ISNUMBER(Table13[[#This Row],[Strike]]),RTD("tos.rtd", , "OPEN_INT", "."&amp;Table13[[#This Row],[Ticker]]&amp;Table13[[#This Row],[Expiry]]&amp;""&amp;"P"&amp;Table13[[#This Row],[Strike]]))</f>
        <v>0</v>
      </c>
      <c r="U23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1" t="b">
        <f>IF(     ISNUMBER(Table13[[#This Row],[Strike]]),RTD("tos.rtd", , "DELTA", "."&amp;Table13[[#This Row],[Ticker]]&amp;Table13[[#This Row],[Expiry]]&amp;""&amp;"P"&amp;Table13[[#This Row],[Strike]]))</f>
        <v>0</v>
      </c>
      <c r="Y231" s="19">
        <f>-41* IF($M$1="NDX", 10, IF(OR($M$1="SPX", $M$1="RUT"), 2, 1))</f>
        <v>-82</v>
      </c>
      <c r="Z231">
        <f ca="1">IFERROR(Table13[[#This Row],[call gamma]]*(Table13[[#This Row],[Open.Int]])*$A$4^2,0)</f>
        <v>0</v>
      </c>
      <c r="AA231">
        <f ca="1">IFERROR(((Table13[[#This Row],[Open.Int8]])*Table13[[#This Row],[Put gamma]])*-1*$A$4^2,0)</f>
        <v>0</v>
      </c>
      <c r="AB231">
        <f ca="1">(Table13[[#This Row],[Call Gex]]+Table13[[#This Row],[Put Gex]])</f>
        <v>0</v>
      </c>
      <c r="AC231">
        <f ca="1">Table13[[#This Row],[put delta adj]]+Table13[[#This Row],[call delta adj]]</f>
        <v>0</v>
      </c>
      <c r="AD231">
        <f ca="1">Table13[[#This Row],[Put Gex]]*Table13[[#This Row],[DeltaP]]*-1</f>
        <v>0</v>
      </c>
      <c r="AE231">
        <f ca="1">Table13[[#This Row],[Call Gex]]*Table13[[#This Row],[DeltaC]]</f>
        <v>0</v>
      </c>
      <c r="AF231">
        <f>IF(Table13[[#This Row],[DeltaC]]-ABS(Table13[[#This Row],[DeltaP]])="0","0.01",Table13[[#This Row],[DeltaC]]-ABS(Table13[[#This Row],[DeltaP]]))</f>
        <v>0</v>
      </c>
      <c r="AG231" t="e">
        <f ca="1">((LN($A$4/Table13[[#This Row],[Strike]]) + (0.411 + 0.5 * Table13[[#This Row],[IV Calc P]]^2) *Table13[[#This Row],[T]])) / (Table13[[#This Row],[IV Calc P]] * SQRT(Table13[[#This Row],[T]]))</f>
        <v>#DIV/0!</v>
      </c>
      <c r="AH231" t="e">
        <f ca="1">(LN($A$4/Table13[[#This Row],[Strike]]) + (0.411-0 + 0.5 * Table13[[#This Row],[IV Calc C]]^2) *Table13[[#This Row],[T]]) / (Table13[[#This Row],[IV Calc C]] * SQRT(Table13[[#This Row],[T]]))</f>
        <v>#DIV/0!</v>
      </c>
      <c r="AI231" t="e">
        <f ca="1">(EXP(-(AG231^2)/2)/SQRT(2*PI())*EXP(0*SQRT(Table13[[#This Row],[T]]))/$A$4*18%*SQRT(SQRT(Table13[[#This Row],[T]])))</f>
        <v>#DIV/0!</v>
      </c>
      <c r="AJ231" t="e">
        <f ca="1">(EXP(-(AH231^2)/2)/SQRT(2*PI())*EXP(0*SQRT(Table13[[#This Row],[T]]))/$A$4*18%*SQRT(SQRT(Table13[[#This Row],[T]])))</f>
        <v>#DIV/0!</v>
      </c>
      <c r="AK231" t="e">
        <f ca="1">Table13[[#This Row],[Call D1]]-Table13[[#This Row],[IV Calc C]]*SQRT(Table13[[#This Row],[T]])</f>
        <v>#DIV/0!</v>
      </c>
      <c r="AL231" t="e">
        <f ca="1">Table13[[#This Row],[Put D1]]-Table13[[#This Row],[IV Calc P]]*SQRT(Table13[[#This Row],[T]])</f>
        <v>#DIV/0!</v>
      </c>
      <c r="AM231" t="e">
        <f ca="1">EXP(-0.5*Table13[[#This Row],[Call D1]]^2)/SQRT(2*PI())</f>
        <v>#DIV/0!</v>
      </c>
      <c r="AN231" t="e">
        <f ca="1">EXP(-0.5*Table13[[#This Row],[Put D1]]^2)/SQRT(2*PI())</f>
        <v>#DIV/0!</v>
      </c>
      <c r="AO231">
        <f ca="1">IFERROR((EXP(0*Table13[[#This Row],[T]])*Table13[[#This Row],[call N(d1)]]*(Table13[[#This Row],[call d2]]/Table13[[#This Row],[IV Calc C]]))*Table13[[#This Row],[Open.Int]]*Table13[[#This Row],[DeltaC]],0)</f>
        <v>0</v>
      </c>
      <c r="AP231">
        <f ca="1">IFERROR((EXP(0*Table13[[#This Row],[T]])*Table13[[#This Row],[put N(d1)]]*(Table13[[#This Row],[put d2]]/Table13[[#This Row],[IV Calc P]]))*Table13[[#This Row],[Open.Int8]]*Table13[[#This Row],[DeltaP]]*-1,0)</f>
        <v>0</v>
      </c>
      <c r="AQ231">
        <f ca="1">((Table13[[#This Row],[call vanna]]+Table13[[#This Row],[put vanna]])*$A$4)</f>
        <v>0</v>
      </c>
      <c r="AR23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1" s="9" t="str" cm="1">
        <f t="array" ref="AT231">_xlfn.IFS(     $M$1="SPX","SPXW",     $M$1="RUT","RUTW",  $M$1="NDX","NDXP",   TRUE,$M$1 )</f>
        <v>SPXW</v>
      </c>
      <c r="AU231" s="2">
        <f t="shared" si="27"/>
        <v>6915</v>
      </c>
      <c r="AV231" t="str">
        <f t="shared" si="28"/>
        <v>000100</v>
      </c>
      <c r="AY23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1">
        <f>((Table13[[#This Row],[High C]]+Table13[[#This Row],[Low C]])/2)*Table13[[#This Row],[gammac]]*Table13[[#This Row],[Volume]]</f>
        <v>0</v>
      </c>
      <c r="BD231">
        <f>((Table13[[#This Row],[High P]]+Table13[[#This Row],[Low P]])/2)*Table13[[#This Row],[gammap]]*Table13[[#This Row],[Volume9]]*-1</f>
        <v>0</v>
      </c>
      <c r="BE231">
        <f>(Table13[[#This Row],[SgammaC]]+Table13[[#This Row],[SgammaP]])*$A$4*-100</f>
        <v>0</v>
      </c>
      <c r="BF231">
        <f>Table13[[#This Row],[DEXc]]+Table13[[#This Row],[DEXp]]</f>
        <v>0</v>
      </c>
      <c r="BG231">
        <f>IFERROR(Table13[[#This Row],[DeltaC]]*Table13[[#This Row],[Open.Int]]*$A$4,0)</f>
        <v>0</v>
      </c>
      <c r="BH231">
        <f>IFERROR(Table13[[#This Row],[DeltaP]]*Table13[[#This Row],[Open.Int8]]*$A$4,0)</f>
        <v>0</v>
      </c>
      <c r="BI23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1">
        <f ca="1">Table13[[#This Row],[charmc]]+Table13[[#This Row],[charmp]]</f>
        <v>0</v>
      </c>
      <c r="BL23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1" s="78">
        <f ca="1">Table13[[#This Row],[call helper]]+Table13[[#This Row],[put helper]]</f>
        <v>0</v>
      </c>
      <c r="BP231" t="str">
        <f>RTD("tos.rtd", , "STRIKE", "."&amp;Table13[[#This Row],[Ticker]]&amp;Table13[[#This Row],[Expiry]]&amp;""&amp;"C"&amp;Table13[[#This Row],[Spot]]+Table13[[#This Row],[step]])</f>
        <v>N/A</v>
      </c>
    </row>
    <row r="232" spans="1:68" x14ac:dyDescent="0.25">
      <c r="A232" s="14">
        <f t="shared" ca="1" si="24"/>
        <v>-126.14810350076104</v>
      </c>
      <c r="C232" s="17"/>
      <c r="D232" t="b">
        <f>IF(
    ISNUMBER(Table13[[#This Row],[Strike]]),RTD("tos.rtd", , "OPEN_INT", "."&amp;Table13[[#This Row],[Ticker]]&amp;Table13[[#This Row],[Expiry]]&amp;""&amp;"C"&amp;Table13[[#This Row],[Strike]]))</f>
        <v>0</v>
      </c>
      <c r="E23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2" t="b">
        <f>IF(     ISNUMBER(Table13[[#This Row],[Strike]]),RTD("tos.rtd", , "DELTA", "."&amp;Table13[[#This Row],[Ticker]]&amp;Table13[[#This Row],[Expiry]]&amp;""&amp;"C"&amp;Table13[[#This Row],[Strike]]))</f>
        <v>0</v>
      </c>
      <c r="H232" s="17" t="b" cm="1">
        <f t="array" ref="H232">IF(
    ISNUMBER(Table13[[#This Row],[Strike]]),IndividualLegIVCore($A$4, Table13[[#This Row],[Strike]], 0.0411, Table13[[#This Row],[T]], ((Table13[[#This Row],[BIDC]]+Table13[[#This Row],[ASKC]])/2), TRUE))</f>
        <v>0</v>
      </c>
      <c r="I232" t="b">
        <f>IF(     ISNUMBER(Table13[[#This Row],[Strike]]),RTD("tos.rtd", , "BID", "."&amp;Table13[[#This Row],[Ticker]]&amp;Table13[[#This Row],[Expiry]]&amp;""&amp;"C"&amp;Table13[[#This Row],[Strike]]))</f>
        <v>0</v>
      </c>
      <c r="J232" t="b">
        <f>IF(     ISNUMBER(Table13[[#This Row],[Strike]]),RTD("tos.rtd", , "ASK", "."&amp;Table13[[#This Row],[Ticker]]&amp;Table13[[#This Row],[Expiry]]&amp;""&amp;"C"&amp;Table13[[#This Row],[Strike]]))</f>
        <v>0</v>
      </c>
      <c r="K23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2" s="17" cm="1">
        <f t="array" aca="1" ref="L23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2" s="1">
        <f t="shared" si="25"/>
        <v>0</v>
      </c>
      <c r="N232" t="b">
        <f t="shared" si="26"/>
        <v>0</v>
      </c>
      <c r="P232" s="17" t="b" cm="1">
        <f t="array" ref="P232">IF(
    ISNUMBER(Table13[[#This Row],[Strike]]),IndividualLegIVCore($A$4, Table13[[#This Row],[Strike]], 0.0411, Table13[[#This Row],[T]], ((Table13[[#This Row],[BIDP]]+Table13[[#This Row],[ASKP]])/2), FALSE))</f>
        <v>0</v>
      </c>
      <c r="Q232" t="b">
        <f>IF(     ISNUMBER(Table13[[#This Row],[Strike]]),RTD("tos.rtd", , "BID", "."&amp;Table13[[#This Row],[Ticker]]&amp;Table13[[#This Row],[Expiry]]&amp;""&amp;"P"&amp;Table13[[#This Row],[Strike]]))</f>
        <v>0</v>
      </c>
      <c r="R232" t="b">
        <f>IF(     ISNUMBER(Table13[[#This Row],[Strike]]),RTD("tos.rtd", , "ASK", "."&amp;Table13[[#This Row],[Ticker]]&amp;Table13[[#This Row],[Expiry]]&amp;""&amp;"P"&amp;Table13[[#This Row],[Strike]]))</f>
        <v>0</v>
      </c>
      <c r="S232" s="17"/>
      <c r="T232" t="b">
        <f>IF(     ISNUMBER(Table13[[#This Row],[Strike]]),RTD("tos.rtd", , "OPEN_INT", "."&amp;Table13[[#This Row],[Ticker]]&amp;Table13[[#This Row],[Expiry]]&amp;""&amp;"P"&amp;Table13[[#This Row],[Strike]]))</f>
        <v>0</v>
      </c>
      <c r="U23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2" t="b">
        <f>IF(     ISNUMBER(Table13[[#This Row],[Strike]]),RTD("tos.rtd", , "DELTA", "."&amp;Table13[[#This Row],[Ticker]]&amp;Table13[[#This Row],[Expiry]]&amp;""&amp;"P"&amp;Table13[[#This Row],[Strike]]))</f>
        <v>0</v>
      </c>
      <c r="Y232" s="19">
        <f>-40.5* IF($M$1="NDX", 10, IF(OR($M$1="SPX", $M$1="RUT"), 2, 1))</f>
        <v>-81</v>
      </c>
      <c r="Z232">
        <f ca="1">IFERROR(Table13[[#This Row],[call gamma]]*(Table13[[#This Row],[Open.Int]])*$A$4^2,0)</f>
        <v>0</v>
      </c>
      <c r="AA232">
        <f ca="1">IFERROR(((Table13[[#This Row],[Open.Int8]])*Table13[[#This Row],[Put gamma]])*-1*$A$4^2,0)</f>
        <v>0</v>
      </c>
      <c r="AB232">
        <f ca="1">(Table13[[#This Row],[Call Gex]]+Table13[[#This Row],[Put Gex]])</f>
        <v>0</v>
      </c>
      <c r="AC232">
        <f ca="1">Table13[[#This Row],[put delta adj]]+Table13[[#This Row],[call delta adj]]</f>
        <v>0</v>
      </c>
      <c r="AD232">
        <f ca="1">Table13[[#This Row],[Put Gex]]*Table13[[#This Row],[DeltaP]]*-1</f>
        <v>0</v>
      </c>
      <c r="AE232">
        <f ca="1">Table13[[#This Row],[Call Gex]]*Table13[[#This Row],[DeltaC]]</f>
        <v>0</v>
      </c>
      <c r="AF232">
        <f>IF(Table13[[#This Row],[DeltaC]]-ABS(Table13[[#This Row],[DeltaP]])="0","0.01",Table13[[#This Row],[DeltaC]]-ABS(Table13[[#This Row],[DeltaP]]))</f>
        <v>0</v>
      </c>
      <c r="AG232" t="e">
        <f ca="1">((LN($A$4/Table13[[#This Row],[Strike]]) + (0.411 + 0.5 * Table13[[#This Row],[IV Calc P]]^2) *Table13[[#This Row],[T]])) / (Table13[[#This Row],[IV Calc P]] * SQRT(Table13[[#This Row],[T]]))</f>
        <v>#DIV/0!</v>
      </c>
      <c r="AH232" t="e">
        <f ca="1">(LN($A$4/Table13[[#This Row],[Strike]]) + (0.411-0 + 0.5 * Table13[[#This Row],[IV Calc C]]^2) *Table13[[#This Row],[T]]) / (Table13[[#This Row],[IV Calc C]] * SQRT(Table13[[#This Row],[T]]))</f>
        <v>#DIV/0!</v>
      </c>
      <c r="AI232" t="e">
        <f ca="1">(EXP(-(AG232^2)/2)/SQRT(2*PI())*EXP(0*SQRT(Table13[[#This Row],[T]]))/$A$4*18%*SQRT(SQRT(Table13[[#This Row],[T]])))</f>
        <v>#DIV/0!</v>
      </c>
      <c r="AJ232" t="e">
        <f ca="1">(EXP(-(AH232^2)/2)/SQRT(2*PI())*EXP(0*SQRT(Table13[[#This Row],[T]]))/$A$4*18%*SQRT(SQRT(Table13[[#This Row],[T]])))</f>
        <v>#DIV/0!</v>
      </c>
      <c r="AK232" t="e">
        <f ca="1">Table13[[#This Row],[Call D1]]-Table13[[#This Row],[IV Calc C]]*SQRT(Table13[[#This Row],[T]])</f>
        <v>#DIV/0!</v>
      </c>
      <c r="AL232" t="e">
        <f ca="1">Table13[[#This Row],[Put D1]]-Table13[[#This Row],[IV Calc P]]*SQRT(Table13[[#This Row],[T]])</f>
        <v>#DIV/0!</v>
      </c>
      <c r="AM232" t="e">
        <f ca="1">EXP(-0.5*Table13[[#This Row],[Call D1]]^2)/SQRT(2*PI())</f>
        <v>#DIV/0!</v>
      </c>
      <c r="AN232" t="e">
        <f ca="1">EXP(-0.5*Table13[[#This Row],[Put D1]]^2)/SQRT(2*PI())</f>
        <v>#DIV/0!</v>
      </c>
      <c r="AO232">
        <f ca="1">IFERROR((EXP(0*Table13[[#This Row],[T]])*Table13[[#This Row],[call N(d1)]]*(Table13[[#This Row],[call d2]]/Table13[[#This Row],[IV Calc C]]))*Table13[[#This Row],[Open.Int]]*Table13[[#This Row],[DeltaC]],0)</f>
        <v>0</v>
      </c>
      <c r="AP232">
        <f ca="1">IFERROR((EXP(0*Table13[[#This Row],[T]])*Table13[[#This Row],[put N(d1)]]*(Table13[[#This Row],[put d2]]/Table13[[#This Row],[IV Calc P]]))*Table13[[#This Row],[Open.Int8]]*Table13[[#This Row],[DeltaP]]*-1,0)</f>
        <v>0</v>
      </c>
      <c r="AQ232">
        <f ca="1">((Table13[[#This Row],[call vanna]]+Table13[[#This Row],[put vanna]])*$A$4)</f>
        <v>0</v>
      </c>
      <c r="AR23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2" s="9" t="str" cm="1">
        <f t="array" ref="AT232">_xlfn.IFS(     $M$1="SPX","SPXW",     $M$1="RUT","RUTW",  $M$1="NDX","NDXP",   TRUE,$M$1 )</f>
        <v>SPXW</v>
      </c>
      <c r="AU232" s="2">
        <f t="shared" si="27"/>
        <v>6915</v>
      </c>
      <c r="AV232" t="str">
        <f t="shared" si="28"/>
        <v>000100</v>
      </c>
      <c r="AY23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2">
        <f>((Table13[[#This Row],[High C]]+Table13[[#This Row],[Low C]])/2)*Table13[[#This Row],[gammac]]*Table13[[#This Row],[Volume]]</f>
        <v>0</v>
      </c>
      <c r="BD232">
        <f>((Table13[[#This Row],[High P]]+Table13[[#This Row],[Low P]])/2)*Table13[[#This Row],[gammap]]*Table13[[#This Row],[Volume9]]*-1</f>
        <v>0</v>
      </c>
      <c r="BE232">
        <f>(Table13[[#This Row],[SgammaC]]+Table13[[#This Row],[SgammaP]])*$A$4*-100</f>
        <v>0</v>
      </c>
      <c r="BF232">
        <f>Table13[[#This Row],[DEXc]]+Table13[[#This Row],[DEXp]]</f>
        <v>0</v>
      </c>
      <c r="BG232">
        <f>IFERROR(Table13[[#This Row],[DeltaC]]*Table13[[#This Row],[Open.Int]]*$A$4,0)</f>
        <v>0</v>
      </c>
      <c r="BH232">
        <f>IFERROR(Table13[[#This Row],[DeltaP]]*Table13[[#This Row],[Open.Int8]]*$A$4,0)</f>
        <v>0</v>
      </c>
      <c r="BI23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2">
        <f ca="1">Table13[[#This Row],[charmc]]+Table13[[#This Row],[charmp]]</f>
        <v>0</v>
      </c>
      <c r="BL23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2" s="78">
        <f ca="1">Table13[[#This Row],[call helper]]+Table13[[#This Row],[put helper]]</f>
        <v>0</v>
      </c>
      <c r="BP232" t="str">
        <f>RTD("tos.rtd", , "STRIKE", "."&amp;Table13[[#This Row],[Ticker]]&amp;Table13[[#This Row],[Expiry]]&amp;""&amp;"C"&amp;Table13[[#This Row],[Spot]]+Table13[[#This Row],[step]])</f>
        <v>N/A</v>
      </c>
    </row>
    <row r="233" spans="1:68" x14ac:dyDescent="0.25">
      <c r="A233" s="14">
        <f t="shared" ca="1" si="24"/>
        <v>-126.14810350076104</v>
      </c>
      <c r="C233" s="17"/>
      <c r="D233" t="b">
        <f>IF(
    ISNUMBER(Table13[[#This Row],[Strike]]),RTD("tos.rtd", , "OPEN_INT", "."&amp;Table13[[#This Row],[Ticker]]&amp;Table13[[#This Row],[Expiry]]&amp;""&amp;"C"&amp;Table13[[#This Row],[Strike]]))</f>
        <v>0</v>
      </c>
      <c r="E23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3" t="b">
        <f>IF(     ISNUMBER(Table13[[#This Row],[Strike]]),RTD("tos.rtd", , "DELTA", "."&amp;Table13[[#This Row],[Ticker]]&amp;Table13[[#This Row],[Expiry]]&amp;""&amp;"C"&amp;Table13[[#This Row],[Strike]]))</f>
        <v>0</v>
      </c>
      <c r="H233" s="17" t="b" cm="1">
        <f t="array" ref="H233">IF(
    ISNUMBER(Table13[[#This Row],[Strike]]),IndividualLegIVCore($A$4, Table13[[#This Row],[Strike]], 0.0411, Table13[[#This Row],[T]], ((Table13[[#This Row],[BIDC]]+Table13[[#This Row],[ASKC]])/2), TRUE))</f>
        <v>0</v>
      </c>
      <c r="I233" t="b">
        <f>IF(     ISNUMBER(Table13[[#This Row],[Strike]]),RTD("tos.rtd", , "BID", "."&amp;Table13[[#This Row],[Ticker]]&amp;Table13[[#This Row],[Expiry]]&amp;""&amp;"C"&amp;Table13[[#This Row],[Strike]]))</f>
        <v>0</v>
      </c>
      <c r="J233" t="b">
        <f>IF(     ISNUMBER(Table13[[#This Row],[Strike]]),RTD("tos.rtd", , "ASK", "."&amp;Table13[[#This Row],[Ticker]]&amp;Table13[[#This Row],[Expiry]]&amp;""&amp;"C"&amp;Table13[[#This Row],[Strike]]))</f>
        <v>0</v>
      </c>
      <c r="K23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3" s="17" cm="1">
        <f t="array" aca="1" ref="L23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3" s="1">
        <f t="shared" si="25"/>
        <v>0</v>
      </c>
      <c r="N233" t="b">
        <f t="shared" si="26"/>
        <v>0</v>
      </c>
      <c r="P233" s="17" t="b" cm="1">
        <f t="array" ref="P233">IF(
    ISNUMBER(Table13[[#This Row],[Strike]]),IndividualLegIVCore($A$4, Table13[[#This Row],[Strike]], 0.0411, Table13[[#This Row],[T]], ((Table13[[#This Row],[BIDP]]+Table13[[#This Row],[ASKP]])/2), FALSE))</f>
        <v>0</v>
      </c>
      <c r="Q233" t="b">
        <f>IF(     ISNUMBER(Table13[[#This Row],[Strike]]),RTD("tos.rtd", , "BID", "."&amp;Table13[[#This Row],[Ticker]]&amp;Table13[[#This Row],[Expiry]]&amp;""&amp;"P"&amp;Table13[[#This Row],[Strike]]))</f>
        <v>0</v>
      </c>
      <c r="R233" t="b">
        <f>IF(     ISNUMBER(Table13[[#This Row],[Strike]]),RTD("tos.rtd", , "ASK", "."&amp;Table13[[#This Row],[Ticker]]&amp;Table13[[#This Row],[Expiry]]&amp;""&amp;"P"&amp;Table13[[#This Row],[Strike]]))</f>
        <v>0</v>
      </c>
      <c r="S233" s="17"/>
      <c r="T233" t="b">
        <f>IF(     ISNUMBER(Table13[[#This Row],[Strike]]),RTD("tos.rtd", , "OPEN_INT", "."&amp;Table13[[#This Row],[Ticker]]&amp;Table13[[#This Row],[Expiry]]&amp;""&amp;"P"&amp;Table13[[#This Row],[Strike]]))</f>
        <v>0</v>
      </c>
      <c r="U23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3" t="b">
        <f>IF(     ISNUMBER(Table13[[#This Row],[Strike]]),RTD("tos.rtd", , "DELTA", "."&amp;Table13[[#This Row],[Ticker]]&amp;Table13[[#This Row],[Expiry]]&amp;""&amp;"P"&amp;Table13[[#This Row],[Strike]]))</f>
        <v>0</v>
      </c>
      <c r="Y233" s="19">
        <f>-40* IF($M$1="NDX", 10, IF(OR($M$1="SPX", $M$1="RUT"), 2, 1))</f>
        <v>-80</v>
      </c>
      <c r="Z233">
        <f ca="1">IFERROR(Table13[[#This Row],[call gamma]]*(Table13[[#This Row],[Open.Int]])*$A$4^2,0)</f>
        <v>0</v>
      </c>
      <c r="AA233">
        <f ca="1">IFERROR(((Table13[[#This Row],[Open.Int8]])*Table13[[#This Row],[Put gamma]])*-1*$A$4^2,0)</f>
        <v>0</v>
      </c>
      <c r="AB233">
        <f ca="1">(Table13[[#This Row],[Call Gex]]+Table13[[#This Row],[Put Gex]])</f>
        <v>0</v>
      </c>
      <c r="AC233">
        <f ca="1">Table13[[#This Row],[put delta adj]]+Table13[[#This Row],[call delta adj]]</f>
        <v>0</v>
      </c>
      <c r="AD233">
        <f ca="1">Table13[[#This Row],[Put Gex]]*Table13[[#This Row],[DeltaP]]*-1</f>
        <v>0</v>
      </c>
      <c r="AE233">
        <f ca="1">Table13[[#This Row],[Call Gex]]*Table13[[#This Row],[DeltaC]]</f>
        <v>0</v>
      </c>
      <c r="AF233">
        <f>IF(Table13[[#This Row],[DeltaC]]-ABS(Table13[[#This Row],[DeltaP]])="0","0.01",Table13[[#This Row],[DeltaC]]-ABS(Table13[[#This Row],[DeltaP]]))</f>
        <v>0</v>
      </c>
      <c r="AG233" t="e">
        <f ca="1">((LN($A$4/Table13[[#This Row],[Strike]]) + (0.411 + 0.5 * Table13[[#This Row],[IV Calc P]]^2) *Table13[[#This Row],[T]])) / (Table13[[#This Row],[IV Calc P]] * SQRT(Table13[[#This Row],[T]]))</f>
        <v>#DIV/0!</v>
      </c>
      <c r="AH233" t="e">
        <f ca="1">(LN($A$4/Table13[[#This Row],[Strike]]) + (0.411-0 + 0.5 * Table13[[#This Row],[IV Calc C]]^2) *Table13[[#This Row],[T]]) / (Table13[[#This Row],[IV Calc C]] * SQRT(Table13[[#This Row],[T]]))</f>
        <v>#DIV/0!</v>
      </c>
      <c r="AI233" t="e">
        <f ca="1">(EXP(-(AG233^2)/2)/SQRT(2*PI())*EXP(0*SQRT(Table13[[#This Row],[T]]))/$A$4*18%*SQRT(SQRT(Table13[[#This Row],[T]])))</f>
        <v>#DIV/0!</v>
      </c>
      <c r="AJ233" t="e">
        <f ca="1">(EXP(-(AH233^2)/2)/SQRT(2*PI())*EXP(0*SQRT(Table13[[#This Row],[T]]))/$A$4*18%*SQRT(SQRT(Table13[[#This Row],[T]])))</f>
        <v>#DIV/0!</v>
      </c>
      <c r="AK233" t="e">
        <f ca="1">Table13[[#This Row],[Call D1]]-Table13[[#This Row],[IV Calc C]]*SQRT(Table13[[#This Row],[T]])</f>
        <v>#DIV/0!</v>
      </c>
      <c r="AL233" t="e">
        <f ca="1">Table13[[#This Row],[Put D1]]-Table13[[#This Row],[IV Calc P]]*SQRT(Table13[[#This Row],[T]])</f>
        <v>#DIV/0!</v>
      </c>
      <c r="AM233" t="e">
        <f ca="1">EXP(-0.5*Table13[[#This Row],[Call D1]]^2)/SQRT(2*PI())</f>
        <v>#DIV/0!</v>
      </c>
      <c r="AN233" t="e">
        <f ca="1">EXP(-0.5*Table13[[#This Row],[Put D1]]^2)/SQRT(2*PI())</f>
        <v>#DIV/0!</v>
      </c>
      <c r="AO233">
        <f ca="1">IFERROR((EXP(0*Table13[[#This Row],[T]])*Table13[[#This Row],[call N(d1)]]*(Table13[[#This Row],[call d2]]/Table13[[#This Row],[IV Calc C]]))*Table13[[#This Row],[Open.Int]]*Table13[[#This Row],[DeltaC]],0)</f>
        <v>0</v>
      </c>
      <c r="AP233">
        <f ca="1">IFERROR((EXP(0*Table13[[#This Row],[T]])*Table13[[#This Row],[put N(d1)]]*(Table13[[#This Row],[put d2]]/Table13[[#This Row],[IV Calc P]]))*Table13[[#This Row],[Open.Int8]]*Table13[[#This Row],[DeltaP]]*-1,0)</f>
        <v>0</v>
      </c>
      <c r="AQ233">
        <f ca="1">((Table13[[#This Row],[call vanna]]+Table13[[#This Row],[put vanna]])*$A$4)</f>
        <v>0</v>
      </c>
      <c r="AR23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3" s="9" t="str" cm="1">
        <f t="array" ref="AT233">_xlfn.IFS(     $M$1="SPX","SPXW",     $M$1="RUT","RUTW",  $M$1="NDX","NDXP",   TRUE,$M$1 )</f>
        <v>SPXW</v>
      </c>
      <c r="AU233" s="2">
        <f t="shared" si="27"/>
        <v>6915</v>
      </c>
      <c r="AV233" t="str">
        <f t="shared" si="28"/>
        <v>000100</v>
      </c>
      <c r="AY23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3">
        <f>((Table13[[#This Row],[High C]]+Table13[[#This Row],[Low C]])/2)*Table13[[#This Row],[gammac]]*Table13[[#This Row],[Volume]]</f>
        <v>0</v>
      </c>
      <c r="BD233">
        <f>((Table13[[#This Row],[High P]]+Table13[[#This Row],[Low P]])/2)*Table13[[#This Row],[gammap]]*Table13[[#This Row],[Volume9]]*-1</f>
        <v>0</v>
      </c>
      <c r="BE233">
        <f>(Table13[[#This Row],[SgammaC]]+Table13[[#This Row],[SgammaP]])*$A$4*-100</f>
        <v>0</v>
      </c>
      <c r="BF233">
        <f>Table13[[#This Row],[DEXc]]+Table13[[#This Row],[DEXp]]</f>
        <v>0</v>
      </c>
      <c r="BG233">
        <f>IFERROR(Table13[[#This Row],[DeltaC]]*Table13[[#This Row],[Open.Int]]*$A$4,0)</f>
        <v>0</v>
      </c>
      <c r="BH233">
        <f>IFERROR(Table13[[#This Row],[DeltaP]]*Table13[[#This Row],[Open.Int8]]*$A$4,0)</f>
        <v>0</v>
      </c>
      <c r="BI23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3">
        <f ca="1">Table13[[#This Row],[charmc]]+Table13[[#This Row],[charmp]]</f>
        <v>0</v>
      </c>
      <c r="BL23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3" s="78">
        <f ca="1">Table13[[#This Row],[call helper]]+Table13[[#This Row],[put helper]]</f>
        <v>0</v>
      </c>
      <c r="BP233" t="str">
        <f>RTD("tos.rtd", , "STRIKE", "."&amp;Table13[[#This Row],[Ticker]]&amp;Table13[[#This Row],[Expiry]]&amp;""&amp;"C"&amp;Table13[[#This Row],[Spot]]+Table13[[#This Row],[step]])</f>
        <v>N/A</v>
      </c>
    </row>
    <row r="234" spans="1:68" x14ac:dyDescent="0.25">
      <c r="A234" s="14">
        <f t="shared" ca="1" si="24"/>
        <v>-126.14810350076104</v>
      </c>
      <c r="C234" s="17"/>
      <c r="D234" t="b">
        <f>IF(
    ISNUMBER(Table13[[#This Row],[Strike]]),RTD("tos.rtd", , "OPEN_INT", "."&amp;Table13[[#This Row],[Ticker]]&amp;Table13[[#This Row],[Expiry]]&amp;""&amp;"C"&amp;Table13[[#This Row],[Strike]]))</f>
        <v>0</v>
      </c>
      <c r="E23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4" t="b">
        <f>IF(     ISNUMBER(Table13[[#This Row],[Strike]]),RTD("tos.rtd", , "DELTA", "."&amp;Table13[[#This Row],[Ticker]]&amp;Table13[[#This Row],[Expiry]]&amp;""&amp;"C"&amp;Table13[[#This Row],[Strike]]))</f>
        <v>0</v>
      </c>
      <c r="H234" s="17" t="b" cm="1">
        <f t="array" ref="H234">IF(
    ISNUMBER(Table13[[#This Row],[Strike]]),IndividualLegIVCore($A$4, Table13[[#This Row],[Strike]], 0.0411, Table13[[#This Row],[T]], ((Table13[[#This Row],[BIDC]]+Table13[[#This Row],[ASKC]])/2), TRUE))</f>
        <v>0</v>
      </c>
      <c r="I234" t="b">
        <f>IF(     ISNUMBER(Table13[[#This Row],[Strike]]),RTD("tos.rtd", , "BID", "."&amp;Table13[[#This Row],[Ticker]]&amp;Table13[[#This Row],[Expiry]]&amp;""&amp;"C"&amp;Table13[[#This Row],[Strike]]))</f>
        <v>0</v>
      </c>
      <c r="J234" t="b">
        <f>IF(     ISNUMBER(Table13[[#This Row],[Strike]]),RTD("tos.rtd", , "ASK", "."&amp;Table13[[#This Row],[Ticker]]&amp;Table13[[#This Row],[Expiry]]&amp;""&amp;"C"&amp;Table13[[#This Row],[Strike]]))</f>
        <v>0</v>
      </c>
      <c r="K23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4" s="17" cm="1">
        <f t="array" aca="1" ref="L23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4" s="1">
        <f t="shared" si="25"/>
        <v>0</v>
      </c>
      <c r="N234" t="b">
        <f t="shared" si="26"/>
        <v>0</v>
      </c>
      <c r="P234" s="17" t="b" cm="1">
        <f t="array" ref="P234">IF(
    ISNUMBER(Table13[[#This Row],[Strike]]),IndividualLegIVCore($A$4, Table13[[#This Row],[Strike]], 0.0411, Table13[[#This Row],[T]], ((Table13[[#This Row],[BIDP]]+Table13[[#This Row],[ASKP]])/2), FALSE))</f>
        <v>0</v>
      </c>
      <c r="Q234" t="b">
        <f>IF(     ISNUMBER(Table13[[#This Row],[Strike]]),RTD("tos.rtd", , "BID", "."&amp;Table13[[#This Row],[Ticker]]&amp;Table13[[#This Row],[Expiry]]&amp;""&amp;"P"&amp;Table13[[#This Row],[Strike]]))</f>
        <v>0</v>
      </c>
      <c r="R234" t="b">
        <f>IF(     ISNUMBER(Table13[[#This Row],[Strike]]),RTD("tos.rtd", , "ASK", "."&amp;Table13[[#This Row],[Ticker]]&amp;Table13[[#This Row],[Expiry]]&amp;""&amp;"P"&amp;Table13[[#This Row],[Strike]]))</f>
        <v>0</v>
      </c>
      <c r="S234" s="17"/>
      <c r="T234" t="b">
        <f>IF(     ISNUMBER(Table13[[#This Row],[Strike]]),RTD("tos.rtd", , "OPEN_INT", "."&amp;Table13[[#This Row],[Ticker]]&amp;Table13[[#This Row],[Expiry]]&amp;""&amp;"P"&amp;Table13[[#This Row],[Strike]]))</f>
        <v>0</v>
      </c>
      <c r="U23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4" t="b">
        <f>IF(     ISNUMBER(Table13[[#This Row],[Strike]]),RTD("tos.rtd", , "DELTA", "."&amp;Table13[[#This Row],[Ticker]]&amp;Table13[[#This Row],[Expiry]]&amp;""&amp;"P"&amp;Table13[[#This Row],[Strike]]))</f>
        <v>0</v>
      </c>
      <c r="Y234" s="19">
        <f>-39.5* IF($M$1="NDX", 10, IF(OR($M$1="SPX", $M$1="RUT"), 2, 1))</f>
        <v>-79</v>
      </c>
      <c r="Z234">
        <f ca="1">IFERROR(Table13[[#This Row],[call gamma]]*(Table13[[#This Row],[Open.Int]])*$A$4^2,0)</f>
        <v>0</v>
      </c>
      <c r="AA234">
        <f ca="1">IFERROR(((Table13[[#This Row],[Open.Int8]])*Table13[[#This Row],[Put gamma]])*-1*$A$4^2,0)</f>
        <v>0</v>
      </c>
      <c r="AB234">
        <f ca="1">(Table13[[#This Row],[Call Gex]]+Table13[[#This Row],[Put Gex]])</f>
        <v>0</v>
      </c>
      <c r="AC234">
        <f ca="1">Table13[[#This Row],[put delta adj]]+Table13[[#This Row],[call delta adj]]</f>
        <v>0</v>
      </c>
      <c r="AD234">
        <f ca="1">Table13[[#This Row],[Put Gex]]*Table13[[#This Row],[DeltaP]]*-1</f>
        <v>0</v>
      </c>
      <c r="AE234">
        <f ca="1">Table13[[#This Row],[Call Gex]]*Table13[[#This Row],[DeltaC]]</f>
        <v>0</v>
      </c>
      <c r="AF234">
        <f>IF(Table13[[#This Row],[DeltaC]]-ABS(Table13[[#This Row],[DeltaP]])="0","0.01",Table13[[#This Row],[DeltaC]]-ABS(Table13[[#This Row],[DeltaP]]))</f>
        <v>0</v>
      </c>
      <c r="AG234" t="e">
        <f ca="1">((LN($A$4/Table13[[#This Row],[Strike]]) + (0.411 + 0.5 * Table13[[#This Row],[IV Calc P]]^2) *Table13[[#This Row],[T]])) / (Table13[[#This Row],[IV Calc P]] * SQRT(Table13[[#This Row],[T]]))</f>
        <v>#DIV/0!</v>
      </c>
      <c r="AH234" t="e">
        <f ca="1">(LN($A$4/Table13[[#This Row],[Strike]]) + (0.411-0 + 0.5 * Table13[[#This Row],[IV Calc C]]^2) *Table13[[#This Row],[T]]) / (Table13[[#This Row],[IV Calc C]] * SQRT(Table13[[#This Row],[T]]))</f>
        <v>#DIV/0!</v>
      </c>
      <c r="AI234" t="e">
        <f ca="1">(EXP(-(AG234^2)/2)/SQRT(2*PI())*EXP(0*SQRT(Table13[[#This Row],[T]]))/$A$4*18%*SQRT(SQRT(Table13[[#This Row],[T]])))</f>
        <v>#DIV/0!</v>
      </c>
      <c r="AJ234" t="e">
        <f ca="1">(EXP(-(AH234^2)/2)/SQRT(2*PI())*EXP(0*SQRT(Table13[[#This Row],[T]]))/$A$4*18%*SQRT(SQRT(Table13[[#This Row],[T]])))</f>
        <v>#DIV/0!</v>
      </c>
      <c r="AK234" t="e">
        <f ca="1">Table13[[#This Row],[Call D1]]-Table13[[#This Row],[IV Calc C]]*SQRT(Table13[[#This Row],[T]])</f>
        <v>#DIV/0!</v>
      </c>
      <c r="AL234" t="e">
        <f ca="1">Table13[[#This Row],[Put D1]]-Table13[[#This Row],[IV Calc P]]*SQRT(Table13[[#This Row],[T]])</f>
        <v>#DIV/0!</v>
      </c>
      <c r="AM234" t="e">
        <f ca="1">EXP(-0.5*Table13[[#This Row],[Call D1]]^2)/SQRT(2*PI())</f>
        <v>#DIV/0!</v>
      </c>
      <c r="AN234" t="e">
        <f ca="1">EXP(-0.5*Table13[[#This Row],[Put D1]]^2)/SQRT(2*PI())</f>
        <v>#DIV/0!</v>
      </c>
      <c r="AO234">
        <f ca="1">IFERROR((EXP(0*Table13[[#This Row],[T]])*Table13[[#This Row],[call N(d1)]]*(Table13[[#This Row],[call d2]]/Table13[[#This Row],[IV Calc C]]))*Table13[[#This Row],[Open.Int]]*Table13[[#This Row],[DeltaC]],0)</f>
        <v>0</v>
      </c>
      <c r="AP234">
        <f ca="1">IFERROR((EXP(0*Table13[[#This Row],[T]])*Table13[[#This Row],[put N(d1)]]*(Table13[[#This Row],[put d2]]/Table13[[#This Row],[IV Calc P]]))*Table13[[#This Row],[Open.Int8]]*Table13[[#This Row],[DeltaP]]*-1,0)</f>
        <v>0</v>
      </c>
      <c r="AQ234">
        <f ca="1">((Table13[[#This Row],[call vanna]]+Table13[[#This Row],[put vanna]])*$A$4)</f>
        <v>0</v>
      </c>
      <c r="AR23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4" s="9" t="str" cm="1">
        <f t="array" ref="AT234">_xlfn.IFS(     $M$1="SPX","SPXW",     $M$1="RUT","RUTW",  $M$1="NDX","NDXP",   TRUE,$M$1 )</f>
        <v>SPXW</v>
      </c>
      <c r="AU234" s="2">
        <f t="shared" si="27"/>
        <v>6915</v>
      </c>
      <c r="AV234" t="str">
        <f t="shared" si="28"/>
        <v>000100</v>
      </c>
      <c r="AY23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4">
        <f>((Table13[[#This Row],[High C]]+Table13[[#This Row],[Low C]])/2)*Table13[[#This Row],[gammac]]*Table13[[#This Row],[Volume]]</f>
        <v>0</v>
      </c>
      <c r="BD234">
        <f>((Table13[[#This Row],[High P]]+Table13[[#This Row],[Low P]])/2)*Table13[[#This Row],[gammap]]*Table13[[#This Row],[Volume9]]*-1</f>
        <v>0</v>
      </c>
      <c r="BE234">
        <f>(Table13[[#This Row],[SgammaC]]+Table13[[#This Row],[SgammaP]])*$A$4*-100</f>
        <v>0</v>
      </c>
      <c r="BF234">
        <f>Table13[[#This Row],[DEXc]]+Table13[[#This Row],[DEXp]]</f>
        <v>0</v>
      </c>
      <c r="BG234">
        <f>IFERROR(Table13[[#This Row],[DeltaC]]*Table13[[#This Row],[Open.Int]]*$A$4,0)</f>
        <v>0</v>
      </c>
      <c r="BH234">
        <f>IFERROR(Table13[[#This Row],[DeltaP]]*Table13[[#This Row],[Open.Int8]]*$A$4,0)</f>
        <v>0</v>
      </c>
      <c r="BI23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4">
        <f ca="1">Table13[[#This Row],[charmc]]+Table13[[#This Row],[charmp]]</f>
        <v>0</v>
      </c>
      <c r="BL23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4" s="78">
        <f ca="1">Table13[[#This Row],[call helper]]+Table13[[#This Row],[put helper]]</f>
        <v>0</v>
      </c>
      <c r="BP234" t="str">
        <f>RTD("tos.rtd", , "STRIKE", "."&amp;Table13[[#This Row],[Ticker]]&amp;Table13[[#This Row],[Expiry]]&amp;""&amp;"C"&amp;Table13[[#This Row],[Spot]]+Table13[[#This Row],[step]])</f>
        <v>N/A</v>
      </c>
    </row>
    <row r="235" spans="1:68" x14ac:dyDescent="0.25">
      <c r="A235" s="14">
        <f t="shared" ca="1" si="24"/>
        <v>-126.14810350076104</v>
      </c>
      <c r="C235" s="17"/>
      <c r="D235" t="b">
        <f>IF(
    ISNUMBER(Table13[[#This Row],[Strike]]),RTD("tos.rtd", , "OPEN_INT", "."&amp;Table13[[#This Row],[Ticker]]&amp;Table13[[#This Row],[Expiry]]&amp;""&amp;"C"&amp;Table13[[#This Row],[Strike]]))</f>
        <v>0</v>
      </c>
      <c r="E23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5" t="b">
        <f>IF(     ISNUMBER(Table13[[#This Row],[Strike]]),RTD("tos.rtd", , "DELTA", "."&amp;Table13[[#This Row],[Ticker]]&amp;Table13[[#This Row],[Expiry]]&amp;""&amp;"C"&amp;Table13[[#This Row],[Strike]]))</f>
        <v>0</v>
      </c>
      <c r="H235" s="17" t="b" cm="1">
        <f t="array" ref="H235">IF(
    ISNUMBER(Table13[[#This Row],[Strike]]),IndividualLegIVCore($A$4, Table13[[#This Row],[Strike]], 0.0411, Table13[[#This Row],[T]], ((Table13[[#This Row],[BIDC]]+Table13[[#This Row],[ASKC]])/2), TRUE))</f>
        <v>0</v>
      </c>
      <c r="I235" t="b">
        <f>IF(     ISNUMBER(Table13[[#This Row],[Strike]]),RTD("tos.rtd", , "BID", "."&amp;Table13[[#This Row],[Ticker]]&amp;Table13[[#This Row],[Expiry]]&amp;""&amp;"C"&amp;Table13[[#This Row],[Strike]]))</f>
        <v>0</v>
      </c>
      <c r="J235" t="b">
        <f>IF(     ISNUMBER(Table13[[#This Row],[Strike]]),RTD("tos.rtd", , "ASK", "."&amp;Table13[[#This Row],[Ticker]]&amp;Table13[[#This Row],[Expiry]]&amp;""&amp;"C"&amp;Table13[[#This Row],[Strike]]))</f>
        <v>0</v>
      </c>
      <c r="K23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5" s="17" cm="1">
        <f t="array" aca="1" ref="L23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5" s="1">
        <f t="shared" si="25"/>
        <v>0</v>
      </c>
      <c r="N235" t="b">
        <f t="shared" si="26"/>
        <v>0</v>
      </c>
      <c r="P235" s="17" t="b" cm="1">
        <f t="array" ref="P235">IF(
    ISNUMBER(Table13[[#This Row],[Strike]]),IndividualLegIVCore($A$4, Table13[[#This Row],[Strike]], 0.0411, Table13[[#This Row],[T]], ((Table13[[#This Row],[BIDP]]+Table13[[#This Row],[ASKP]])/2), FALSE))</f>
        <v>0</v>
      </c>
      <c r="Q235" t="b">
        <f>IF(     ISNUMBER(Table13[[#This Row],[Strike]]),RTD("tos.rtd", , "BID", "."&amp;Table13[[#This Row],[Ticker]]&amp;Table13[[#This Row],[Expiry]]&amp;""&amp;"P"&amp;Table13[[#This Row],[Strike]]))</f>
        <v>0</v>
      </c>
      <c r="R235" t="b">
        <f>IF(     ISNUMBER(Table13[[#This Row],[Strike]]),RTD("tos.rtd", , "ASK", "."&amp;Table13[[#This Row],[Ticker]]&amp;Table13[[#This Row],[Expiry]]&amp;""&amp;"P"&amp;Table13[[#This Row],[Strike]]))</f>
        <v>0</v>
      </c>
      <c r="S235" s="17"/>
      <c r="T235" t="b">
        <f>IF(     ISNUMBER(Table13[[#This Row],[Strike]]),RTD("tos.rtd", , "OPEN_INT", "."&amp;Table13[[#This Row],[Ticker]]&amp;Table13[[#This Row],[Expiry]]&amp;""&amp;"P"&amp;Table13[[#This Row],[Strike]]))</f>
        <v>0</v>
      </c>
      <c r="U23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5" t="b">
        <f>IF(     ISNUMBER(Table13[[#This Row],[Strike]]),RTD("tos.rtd", , "DELTA", "."&amp;Table13[[#This Row],[Ticker]]&amp;Table13[[#This Row],[Expiry]]&amp;""&amp;"P"&amp;Table13[[#This Row],[Strike]]))</f>
        <v>0</v>
      </c>
      <c r="Y235" s="19">
        <f>-39* IF($M$1="NDX", 10, IF(OR($M$1="SPX", $M$1="RUT"), 2, 1))</f>
        <v>-78</v>
      </c>
      <c r="Z235">
        <f ca="1">IFERROR(Table13[[#This Row],[call gamma]]*(Table13[[#This Row],[Open.Int]])*$A$4^2,0)</f>
        <v>0</v>
      </c>
      <c r="AA235">
        <f ca="1">IFERROR(((Table13[[#This Row],[Open.Int8]])*Table13[[#This Row],[Put gamma]])*-1*$A$4^2,0)</f>
        <v>0</v>
      </c>
      <c r="AB235">
        <f ca="1">(Table13[[#This Row],[Call Gex]]+Table13[[#This Row],[Put Gex]])</f>
        <v>0</v>
      </c>
      <c r="AC235">
        <f ca="1">Table13[[#This Row],[put delta adj]]+Table13[[#This Row],[call delta adj]]</f>
        <v>0</v>
      </c>
      <c r="AD235">
        <f ca="1">Table13[[#This Row],[Put Gex]]*Table13[[#This Row],[DeltaP]]*-1</f>
        <v>0</v>
      </c>
      <c r="AE235">
        <f ca="1">Table13[[#This Row],[Call Gex]]*Table13[[#This Row],[DeltaC]]</f>
        <v>0</v>
      </c>
      <c r="AF235">
        <f>IF(Table13[[#This Row],[DeltaC]]-ABS(Table13[[#This Row],[DeltaP]])="0","0.01",Table13[[#This Row],[DeltaC]]-ABS(Table13[[#This Row],[DeltaP]]))</f>
        <v>0</v>
      </c>
      <c r="AG235" t="e">
        <f ca="1">((LN($A$4/Table13[[#This Row],[Strike]]) + (0.411 + 0.5 * Table13[[#This Row],[IV Calc P]]^2) *Table13[[#This Row],[T]])) / (Table13[[#This Row],[IV Calc P]] * SQRT(Table13[[#This Row],[T]]))</f>
        <v>#DIV/0!</v>
      </c>
      <c r="AH235" t="e">
        <f ca="1">(LN($A$4/Table13[[#This Row],[Strike]]) + (0.411-0 + 0.5 * Table13[[#This Row],[IV Calc C]]^2) *Table13[[#This Row],[T]]) / (Table13[[#This Row],[IV Calc C]] * SQRT(Table13[[#This Row],[T]]))</f>
        <v>#DIV/0!</v>
      </c>
      <c r="AI235" t="e">
        <f ca="1">(EXP(-(AG235^2)/2)/SQRT(2*PI())*EXP(0*SQRT(Table13[[#This Row],[T]]))/$A$4*18%*SQRT(SQRT(Table13[[#This Row],[T]])))</f>
        <v>#DIV/0!</v>
      </c>
      <c r="AJ235" t="e">
        <f ca="1">(EXP(-(AH235^2)/2)/SQRT(2*PI())*EXP(0*SQRT(Table13[[#This Row],[T]]))/$A$4*18%*SQRT(SQRT(Table13[[#This Row],[T]])))</f>
        <v>#DIV/0!</v>
      </c>
      <c r="AK235" t="e">
        <f ca="1">Table13[[#This Row],[Call D1]]-Table13[[#This Row],[IV Calc C]]*SQRT(Table13[[#This Row],[T]])</f>
        <v>#DIV/0!</v>
      </c>
      <c r="AL235" t="e">
        <f ca="1">Table13[[#This Row],[Put D1]]-Table13[[#This Row],[IV Calc P]]*SQRT(Table13[[#This Row],[T]])</f>
        <v>#DIV/0!</v>
      </c>
      <c r="AM235" t="e">
        <f ca="1">EXP(-0.5*Table13[[#This Row],[Call D1]]^2)/SQRT(2*PI())</f>
        <v>#DIV/0!</v>
      </c>
      <c r="AN235" t="e">
        <f ca="1">EXP(-0.5*Table13[[#This Row],[Put D1]]^2)/SQRT(2*PI())</f>
        <v>#DIV/0!</v>
      </c>
      <c r="AO235">
        <f ca="1">IFERROR((EXP(0*Table13[[#This Row],[T]])*Table13[[#This Row],[call N(d1)]]*(Table13[[#This Row],[call d2]]/Table13[[#This Row],[IV Calc C]]))*Table13[[#This Row],[Open.Int]]*Table13[[#This Row],[DeltaC]],0)</f>
        <v>0</v>
      </c>
      <c r="AP235">
        <f ca="1">IFERROR((EXP(0*Table13[[#This Row],[T]])*Table13[[#This Row],[put N(d1)]]*(Table13[[#This Row],[put d2]]/Table13[[#This Row],[IV Calc P]]))*Table13[[#This Row],[Open.Int8]]*Table13[[#This Row],[DeltaP]]*-1,0)</f>
        <v>0</v>
      </c>
      <c r="AQ235">
        <f ca="1">((Table13[[#This Row],[call vanna]]+Table13[[#This Row],[put vanna]])*$A$4)</f>
        <v>0</v>
      </c>
      <c r="AR23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5" s="9" t="str" cm="1">
        <f t="array" ref="AT235">_xlfn.IFS(     $M$1="SPX","SPXW",     $M$1="RUT","RUTW",  $M$1="NDX","NDXP",   TRUE,$M$1 )</f>
        <v>SPXW</v>
      </c>
      <c r="AU235" s="2">
        <f t="shared" si="27"/>
        <v>6915</v>
      </c>
      <c r="AV235" t="str">
        <f t="shared" si="28"/>
        <v>000100</v>
      </c>
      <c r="AY23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5">
        <f>((Table13[[#This Row],[High C]]+Table13[[#This Row],[Low C]])/2)*Table13[[#This Row],[gammac]]*Table13[[#This Row],[Volume]]</f>
        <v>0</v>
      </c>
      <c r="BD235">
        <f>((Table13[[#This Row],[High P]]+Table13[[#This Row],[Low P]])/2)*Table13[[#This Row],[gammap]]*Table13[[#This Row],[Volume9]]*-1</f>
        <v>0</v>
      </c>
      <c r="BE235">
        <f>(Table13[[#This Row],[SgammaC]]+Table13[[#This Row],[SgammaP]])*$A$4*-100</f>
        <v>0</v>
      </c>
      <c r="BF235">
        <f>Table13[[#This Row],[DEXc]]+Table13[[#This Row],[DEXp]]</f>
        <v>0</v>
      </c>
      <c r="BG235">
        <f>IFERROR(Table13[[#This Row],[DeltaC]]*Table13[[#This Row],[Open.Int]]*$A$4,0)</f>
        <v>0</v>
      </c>
      <c r="BH235">
        <f>IFERROR(Table13[[#This Row],[DeltaP]]*Table13[[#This Row],[Open.Int8]]*$A$4,0)</f>
        <v>0</v>
      </c>
      <c r="BI23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5">
        <f ca="1">Table13[[#This Row],[charmc]]+Table13[[#This Row],[charmp]]</f>
        <v>0</v>
      </c>
      <c r="BL23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5" s="78">
        <f ca="1">Table13[[#This Row],[call helper]]+Table13[[#This Row],[put helper]]</f>
        <v>0</v>
      </c>
      <c r="BP235" t="str">
        <f>RTD("tos.rtd", , "STRIKE", "."&amp;Table13[[#This Row],[Ticker]]&amp;Table13[[#This Row],[Expiry]]&amp;""&amp;"C"&amp;Table13[[#This Row],[Spot]]+Table13[[#This Row],[step]])</f>
        <v>N/A</v>
      </c>
    </row>
    <row r="236" spans="1:68" x14ac:dyDescent="0.25">
      <c r="A236" s="14">
        <f t="shared" ca="1" si="24"/>
        <v>-126.14810350076104</v>
      </c>
      <c r="C236" s="17"/>
      <c r="D236" t="b">
        <f>IF(
    ISNUMBER(Table13[[#This Row],[Strike]]),RTD("tos.rtd", , "OPEN_INT", "."&amp;Table13[[#This Row],[Ticker]]&amp;Table13[[#This Row],[Expiry]]&amp;""&amp;"C"&amp;Table13[[#This Row],[Strike]]))</f>
        <v>0</v>
      </c>
      <c r="E23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6" t="b">
        <f>IF(     ISNUMBER(Table13[[#This Row],[Strike]]),RTD("tos.rtd", , "DELTA", "."&amp;Table13[[#This Row],[Ticker]]&amp;Table13[[#This Row],[Expiry]]&amp;""&amp;"C"&amp;Table13[[#This Row],[Strike]]))</f>
        <v>0</v>
      </c>
      <c r="H236" s="17" t="b" cm="1">
        <f t="array" ref="H236">IF(
    ISNUMBER(Table13[[#This Row],[Strike]]),IndividualLegIVCore($A$4, Table13[[#This Row],[Strike]], 0.0411, Table13[[#This Row],[T]], ((Table13[[#This Row],[BIDC]]+Table13[[#This Row],[ASKC]])/2), TRUE))</f>
        <v>0</v>
      </c>
      <c r="I236" t="b">
        <f>IF(     ISNUMBER(Table13[[#This Row],[Strike]]),RTD("tos.rtd", , "BID", "."&amp;Table13[[#This Row],[Ticker]]&amp;Table13[[#This Row],[Expiry]]&amp;""&amp;"C"&amp;Table13[[#This Row],[Strike]]))</f>
        <v>0</v>
      </c>
      <c r="J236" t="b">
        <f>IF(     ISNUMBER(Table13[[#This Row],[Strike]]),RTD("tos.rtd", , "ASK", "."&amp;Table13[[#This Row],[Ticker]]&amp;Table13[[#This Row],[Expiry]]&amp;""&amp;"C"&amp;Table13[[#This Row],[Strike]]))</f>
        <v>0</v>
      </c>
      <c r="K23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6" s="17" cm="1">
        <f t="array" aca="1" ref="L23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6" s="1">
        <f t="shared" si="25"/>
        <v>0</v>
      </c>
      <c r="N236" t="b">
        <f t="shared" si="26"/>
        <v>0</v>
      </c>
      <c r="P236" s="17" t="b" cm="1">
        <f t="array" ref="P236">IF(
    ISNUMBER(Table13[[#This Row],[Strike]]),IndividualLegIVCore($A$4, Table13[[#This Row],[Strike]], 0.0411, Table13[[#This Row],[T]], ((Table13[[#This Row],[BIDP]]+Table13[[#This Row],[ASKP]])/2), FALSE))</f>
        <v>0</v>
      </c>
      <c r="Q236" t="b">
        <f>IF(     ISNUMBER(Table13[[#This Row],[Strike]]),RTD("tos.rtd", , "BID", "."&amp;Table13[[#This Row],[Ticker]]&amp;Table13[[#This Row],[Expiry]]&amp;""&amp;"P"&amp;Table13[[#This Row],[Strike]]))</f>
        <v>0</v>
      </c>
      <c r="R236" t="b">
        <f>IF(     ISNUMBER(Table13[[#This Row],[Strike]]),RTD("tos.rtd", , "ASK", "."&amp;Table13[[#This Row],[Ticker]]&amp;Table13[[#This Row],[Expiry]]&amp;""&amp;"P"&amp;Table13[[#This Row],[Strike]]))</f>
        <v>0</v>
      </c>
      <c r="S236" s="17"/>
      <c r="T236" t="b">
        <f>IF(     ISNUMBER(Table13[[#This Row],[Strike]]),RTD("tos.rtd", , "OPEN_INT", "."&amp;Table13[[#This Row],[Ticker]]&amp;Table13[[#This Row],[Expiry]]&amp;""&amp;"P"&amp;Table13[[#This Row],[Strike]]))</f>
        <v>0</v>
      </c>
      <c r="U23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6" t="b">
        <f>IF(     ISNUMBER(Table13[[#This Row],[Strike]]),RTD("tos.rtd", , "DELTA", "."&amp;Table13[[#This Row],[Ticker]]&amp;Table13[[#This Row],[Expiry]]&amp;""&amp;"P"&amp;Table13[[#This Row],[Strike]]))</f>
        <v>0</v>
      </c>
      <c r="Y236" s="19">
        <f>-38.5* IF($M$1="NDX", 10, IF(OR($M$1="SPX", $M$1="RUT"), 2, 1))</f>
        <v>-77</v>
      </c>
      <c r="Z236">
        <f ca="1">IFERROR(Table13[[#This Row],[call gamma]]*(Table13[[#This Row],[Open.Int]])*$A$4^2,0)</f>
        <v>0</v>
      </c>
      <c r="AA236">
        <f ca="1">IFERROR(((Table13[[#This Row],[Open.Int8]])*Table13[[#This Row],[Put gamma]])*-1*$A$4^2,0)</f>
        <v>0</v>
      </c>
      <c r="AB236">
        <f ca="1">(Table13[[#This Row],[Call Gex]]+Table13[[#This Row],[Put Gex]])</f>
        <v>0</v>
      </c>
      <c r="AC236">
        <f ca="1">Table13[[#This Row],[put delta adj]]+Table13[[#This Row],[call delta adj]]</f>
        <v>0</v>
      </c>
      <c r="AD236">
        <f ca="1">Table13[[#This Row],[Put Gex]]*Table13[[#This Row],[DeltaP]]*-1</f>
        <v>0</v>
      </c>
      <c r="AE236">
        <f ca="1">Table13[[#This Row],[Call Gex]]*Table13[[#This Row],[DeltaC]]</f>
        <v>0</v>
      </c>
      <c r="AF236">
        <f>IF(Table13[[#This Row],[DeltaC]]-ABS(Table13[[#This Row],[DeltaP]])="0","0.01",Table13[[#This Row],[DeltaC]]-ABS(Table13[[#This Row],[DeltaP]]))</f>
        <v>0</v>
      </c>
      <c r="AG236" t="e">
        <f ca="1">((LN($A$4/Table13[[#This Row],[Strike]]) + (0.411 + 0.5 * Table13[[#This Row],[IV Calc P]]^2) *Table13[[#This Row],[T]])) / (Table13[[#This Row],[IV Calc P]] * SQRT(Table13[[#This Row],[T]]))</f>
        <v>#DIV/0!</v>
      </c>
      <c r="AH236" t="e">
        <f ca="1">(LN($A$4/Table13[[#This Row],[Strike]]) + (0.411-0 + 0.5 * Table13[[#This Row],[IV Calc C]]^2) *Table13[[#This Row],[T]]) / (Table13[[#This Row],[IV Calc C]] * SQRT(Table13[[#This Row],[T]]))</f>
        <v>#DIV/0!</v>
      </c>
      <c r="AI236" t="e">
        <f ca="1">(EXP(-(AG236^2)/2)/SQRT(2*PI())*EXP(0*SQRT(Table13[[#This Row],[T]]))/$A$4*18%*SQRT(SQRT(Table13[[#This Row],[T]])))</f>
        <v>#DIV/0!</v>
      </c>
      <c r="AJ236" t="e">
        <f ca="1">(EXP(-(AH236^2)/2)/SQRT(2*PI())*EXP(0*SQRT(Table13[[#This Row],[T]]))/$A$4*18%*SQRT(SQRT(Table13[[#This Row],[T]])))</f>
        <v>#DIV/0!</v>
      </c>
      <c r="AK236" t="e">
        <f ca="1">Table13[[#This Row],[Call D1]]-Table13[[#This Row],[IV Calc C]]*SQRT(Table13[[#This Row],[T]])</f>
        <v>#DIV/0!</v>
      </c>
      <c r="AL236" t="e">
        <f ca="1">Table13[[#This Row],[Put D1]]-Table13[[#This Row],[IV Calc P]]*SQRT(Table13[[#This Row],[T]])</f>
        <v>#DIV/0!</v>
      </c>
      <c r="AM236" t="e">
        <f ca="1">EXP(-0.5*Table13[[#This Row],[Call D1]]^2)/SQRT(2*PI())</f>
        <v>#DIV/0!</v>
      </c>
      <c r="AN236" t="e">
        <f ca="1">EXP(-0.5*Table13[[#This Row],[Put D1]]^2)/SQRT(2*PI())</f>
        <v>#DIV/0!</v>
      </c>
      <c r="AO236">
        <f ca="1">IFERROR((EXP(0*Table13[[#This Row],[T]])*Table13[[#This Row],[call N(d1)]]*(Table13[[#This Row],[call d2]]/Table13[[#This Row],[IV Calc C]]))*Table13[[#This Row],[Open.Int]]*Table13[[#This Row],[DeltaC]],0)</f>
        <v>0</v>
      </c>
      <c r="AP236">
        <f ca="1">IFERROR((EXP(0*Table13[[#This Row],[T]])*Table13[[#This Row],[put N(d1)]]*(Table13[[#This Row],[put d2]]/Table13[[#This Row],[IV Calc P]]))*Table13[[#This Row],[Open.Int8]]*Table13[[#This Row],[DeltaP]]*-1,0)</f>
        <v>0</v>
      </c>
      <c r="AQ236">
        <f ca="1">((Table13[[#This Row],[call vanna]]+Table13[[#This Row],[put vanna]])*$A$4)</f>
        <v>0</v>
      </c>
      <c r="AR23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6" s="9" t="str" cm="1">
        <f t="array" ref="AT236">_xlfn.IFS(     $M$1="SPX","SPXW",     $M$1="RUT","RUTW",  $M$1="NDX","NDXP",   TRUE,$M$1 )</f>
        <v>SPXW</v>
      </c>
      <c r="AU236" s="2">
        <f t="shared" si="27"/>
        <v>6915</v>
      </c>
      <c r="AV236" t="str">
        <f t="shared" si="28"/>
        <v>000100</v>
      </c>
      <c r="AY23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6">
        <f>((Table13[[#This Row],[High C]]+Table13[[#This Row],[Low C]])/2)*Table13[[#This Row],[gammac]]*Table13[[#This Row],[Volume]]</f>
        <v>0</v>
      </c>
      <c r="BD236">
        <f>((Table13[[#This Row],[High P]]+Table13[[#This Row],[Low P]])/2)*Table13[[#This Row],[gammap]]*Table13[[#This Row],[Volume9]]*-1</f>
        <v>0</v>
      </c>
      <c r="BE236">
        <f>(Table13[[#This Row],[SgammaC]]+Table13[[#This Row],[SgammaP]])*$A$4*-100</f>
        <v>0</v>
      </c>
      <c r="BF236">
        <f>Table13[[#This Row],[DEXc]]+Table13[[#This Row],[DEXp]]</f>
        <v>0</v>
      </c>
      <c r="BG236">
        <f>IFERROR(Table13[[#This Row],[DeltaC]]*Table13[[#This Row],[Open.Int]]*$A$4,0)</f>
        <v>0</v>
      </c>
      <c r="BH236">
        <f>IFERROR(Table13[[#This Row],[DeltaP]]*Table13[[#This Row],[Open.Int8]]*$A$4,0)</f>
        <v>0</v>
      </c>
      <c r="BI23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6">
        <f ca="1">Table13[[#This Row],[charmc]]+Table13[[#This Row],[charmp]]</f>
        <v>0</v>
      </c>
      <c r="BL23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6" s="78">
        <f ca="1">Table13[[#This Row],[call helper]]+Table13[[#This Row],[put helper]]</f>
        <v>0</v>
      </c>
      <c r="BP236" t="str">
        <f>RTD("tos.rtd", , "STRIKE", "."&amp;Table13[[#This Row],[Ticker]]&amp;Table13[[#This Row],[Expiry]]&amp;""&amp;"C"&amp;Table13[[#This Row],[Spot]]+Table13[[#This Row],[step]])</f>
        <v>N/A</v>
      </c>
    </row>
    <row r="237" spans="1:68" x14ac:dyDescent="0.25">
      <c r="A237" s="14">
        <f t="shared" ca="1" si="24"/>
        <v>-126.14810350076104</v>
      </c>
      <c r="C237" s="17"/>
      <c r="D237" t="b">
        <f>IF(
    ISNUMBER(Table13[[#This Row],[Strike]]),RTD("tos.rtd", , "OPEN_INT", "."&amp;Table13[[#This Row],[Ticker]]&amp;Table13[[#This Row],[Expiry]]&amp;""&amp;"C"&amp;Table13[[#This Row],[Strike]]))</f>
        <v>0</v>
      </c>
      <c r="E23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7" t="b">
        <f>IF(     ISNUMBER(Table13[[#This Row],[Strike]]),RTD("tos.rtd", , "DELTA", "."&amp;Table13[[#This Row],[Ticker]]&amp;Table13[[#This Row],[Expiry]]&amp;""&amp;"C"&amp;Table13[[#This Row],[Strike]]))</f>
        <v>0</v>
      </c>
      <c r="H237" s="17" t="b" cm="1">
        <f t="array" ref="H237">IF(
    ISNUMBER(Table13[[#This Row],[Strike]]),IndividualLegIVCore($A$4, Table13[[#This Row],[Strike]], 0.0411, Table13[[#This Row],[T]], ((Table13[[#This Row],[BIDC]]+Table13[[#This Row],[ASKC]])/2), TRUE))</f>
        <v>0</v>
      </c>
      <c r="I237" t="b">
        <f>IF(     ISNUMBER(Table13[[#This Row],[Strike]]),RTD("tos.rtd", , "BID", "."&amp;Table13[[#This Row],[Ticker]]&amp;Table13[[#This Row],[Expiry]]&amp;""&amp;"C"&amp;Table13[[#This Row],[Strike]]))</f>
        <v>0</v>
      </c>
      <c r="J237" t="b">
        <f>IF(     ISNUMBER(Table13[[#This Row],[Strike]]),RTD("tos.rtd", , "ASK", "."&amp;Table13[[#This Row],[Ticker]]&amp;Table13[[#This Row],[Expiry]]&amp;""&amp;"C"&amp;Table13[[#This Row],[Strike]]))</f>
        <v>0</v>
      </c>
      <c r="K23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7" s="17" cm="1">
        <f t="array" aca="1" ref="L23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7" s="1">
        <f t="shared" si="25"/>
        <v>0</v>
      </c>
      <c r="N237" t="b">
        <f t="shared" si="26"/>
        <v>0</v>
      </c>
      <c r="P237" s="17" t="b" cm="1">
        <f t="array" ref="P237">IF(
    ISNUMBER(Table13[[#This Row],[Strike]]),IndividualLegIVCore($A$4, Table13[[#This Row],[Strike]], 0.0411, Table13[[#This Row],[T]], ((Table13[[#This Row],[BIDP]]+Table13[[#This Row],[ASKP]])/2), FALSE))</f>
        <v>0</v>
      </c>
      <c r="Q237" t="b">
        <f>IF(     ISNUMBER(Table13[[#This Row],[Strike]]),RTD("tos.rtd", , "BID", "."&amp;Table13[[#This Row],[Ticker]]&amp;Table13[[#This Row],[Expiry]]&amp;""&amp;"P"&amp;Table13[[#This Row],[Strike]]))</f>
        <v>0</v>
      </c>
      <c r="R237" t="b">
        <f>IF(     ISNUMBER(Table13[[#This Row],[Strike]]),RTD("tos.rtd", , "ASK", "."&amp;Table13[[#This Row],[Ticker]]&amp;Table13[[#This Row],[Expiry]]&amp;""&amp;"P"&amp;Table13[[#This Row],[Strike]]))</f>
        <v>0</v>
      </c>
      <c r="S237" s="17"/>
      <c r="T237" t="b">
        <f>IF(     ISNUMBER(Table13[[#This Row],[Strike]]),RTD("tos.rtd", , "OPEN_INT", "."&amp;Table13[[#This Row],[Ticker]]&amp;Table13[[#This Row],[Expiry]]&amp;""&amp;"P"&amp;Table13[[#This Row],[Strike]]))</f>
        <v>0</v>
      </c>
      <c r="U23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7" t="b">
        <f>IF(     ISNUMBER(Table13[[#This Row],[Strike]]),RTD("tos.rtd", , "DELTA", "."&amp;Table13[[#This Row],[Ticker]]&amp;Table13[[#This Row],[Expiry]]&amp;""&amp;"P"&amp;Table13[[#This Row],[Strike]]))</f>
        <v>0</v>
      </c>
      <c r="Y237" s="19">
        <f>-38* IF($M$1="NDX", 10, IF(OR($M$1="SPX", $M$1="RUT"), 2, 1))</f>
        <v>-76</v>
      </c>
      <c r="Z237">
        <f ca="1">IFERROR(Table13[[#This Row],[call gamma]]*(Table13[[#This Row],[Open.Int]])*$A$4^2,0)</f>
        <v>0</v>
      </c>
      <c r="AA237">
        <f ca="1">IFERROR(((Table13[[#This Row],[Open.Int8]])*Table13[[#This Row],[Put gamma]])*-1*$A$4^2,0)</f>
        <v>0</v>
      </c>
      <c r="AB237">
        <f ca="1">(Table13[[#This Row],[Call Gex]]+Table13[[#This Row],[Put Gex]])</f>
        <v>0</v>
      </c>
      <c r="AC237">
        <f ca="1">Table13[[#This Row],[put delta adj]]+Table13[[#This Row],[call delta adj]]</f>
        <v>0</v>
      </c>
      <c r="AD237">
        <f ca="1">Table13[[#This Row],[Put Gex]]*Table13[[#This Row],[DeltaP]]*-1</f>
        <v>0</v>
      </c>
      <c r="AE237">
        <f ca="1">Table13[[#This Row],[Call Gex]]*Table13[[#This Row],[DeltaC]]</f>
        <v>0</v>
      </c>
      <c r="AF237">
        <f>IF(Table13[[#This Row],[DeltaC]]-ABS(Table13[[#This Row],[DeltaP]])="0","0.01",Table13[[#This Row],[DeltaC]]-ABS(Table13[[#This Row],[DeltaP]]))</f>
        <v>0</v>
      </c>
      <c r="AG237" t="e">
        <f ca="1">((LN($A$4/Table13[[#This Row],[Strike]]) + (0.411 + 0.5 * Table13[[#This Row],[IV Calc P]]^2) *Table13[[#This Row],[T]])) / (Table13[[#This Row],[IV Calc P]] * SQRT(Table13[[#This Row],[T]]))</f>
        <v>#DIV/0!</v>
      </c>
      <c r="AH237" t="e">
        <f ca="1">(LN($A$4/Table13[[#This Row],[Strike]]) + (0.411-0 + 0.5 * Table13[[#This Row],[IV Calc C]]^2) *Table13[[#This Row],[T]]) / (Table13[[#This Row],[IV Calc C]] * SQRT(Table13[[#This Row],[T]]))</f>
        <v>#DIV/0!</v>
      </c>
      <c r="AI237" t="e">
        <f ca="1">(EXP(-(AG237^2)/2)/SQRT(2*PI())*EXP(0*SQRT(Table13[[#This Row],[T]]))/$A$4*18%*SQRT(SQRT(Table13[[#This Row],[T]])))</f>
        <v>#DIV/0!</v>
      </c>
      <c r="AJ237" t="e">
        <f ca="1">(EXP(-(AH237^2)/2)/SQRT(2*PI())*EXP(0*SQRT(Table13[[#This Row],[T]]))/$A$4*18%*SQRT(SQRT(Table13[[#This Row],[T]])))</f>
        <v>#DIV/0!</v>
      </c>
      <c r="AK237" t="e">
        <f ca="1">Table13[[#This Row],[Call D1]]-Table13[[#This Row],[IV Calc C]]*SQRT(Table13[[#This Row],[T]])</f>
        <v>#DIV/0!</v>
      </c>
      <c r="AL237" t="e">
        <f ca="1">Table13[[#This Row],[Put D1]]-Table13[[#This Row],[IV Calc P]]*SQRT(Table13[[#This Row],[T]])</f>
        <v>#DIV/0!</v>
      </c>
      <c r="AM237" t="e">
        <f ca="1">EXP(-0.5*Table13[[#This Row],[Call D1]]^2)/SQRT(2*PI())</f>
        <v>#DIV/0!</v>
      </c>
      <c r="AN237" t="e">
        <f ca="1">EXP(-0.5*Table13[[#This Row],[Put D1]]^2)/SQRT(2*PI())</f>
        <v>#DIV/0!</v>
      </c>
      <c r="AO237">
        <f ca="1">IFERROR((EXP(0*Table13[[#This Row],[T]])*Table13[[#This Row],[call N(d1)]]*(Table13[[#This Row],[call d2]]/Table13[[#This Row],[IV Calc C]]))*Table13[[#This Row],[Open.Int]]*Table13[[#This Row],[DeltaC]],0)</f>
        <v>0</v>
      </c>
      <c r="AP237">
        <f ca="1">IFERROR((EXP(0*Table13[[#This Row],[T]])*Table13[[#This Row],[put N(d1)]]*(Table13[[#This Row],[put d2]]/Table13[[#This Row],[IV Calc P]]))*Table13[[#This Row],[Open.Int8]]*Table13[[#This Row],[DeltaP]]*-1,0)</f>
        <v>0</v>
      </c>
      <c r="AQ237">
        <f ca="1">((Table13[[#This Row],[call vanna]]+Table13[[#This Row],[put vanna]])*$A$4)</f>
        <v>0</v>
      </c>
      <c r="AR23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7" s="9" t="str" cm="1">
        <f t="array" ref="AT237">_xlfn.IFS(     $M$1="SPX","SPXW",     $M$1="RUT","RUTW",  $M$1="NDX","NDXP",   TRUE,$M$1 )</f>
        <v>SPXW</v>
      </c>
      <c r="AU237" s="2">
        <f t="shared" si="27"/>
        <v>6915</v>
      </c>
      <c r="AV237" t="str">
        <f t="shared" si="28"/>
        <v>000100</v>
      </c>
      <c r="AY23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7">
        <f>((Table13[[#This Row],[High C]]+Table13[[#This Row],[Low C]])/2)*Table13[[#This Row],[gammac]]*Table13[[#This Row],[Volume]]</f>
        <v>0</v>
      </c>
      <c r="BD237">
        <f>((Table13[[#This Row],[High P]]+Table13[[#This Row],[Low P]])/2)*Table13[[#This Row],[gammap]]*Table13[[#This Row],[Volume9]]*-1</f>
        <v>0</v>
      </c>
      <c r="BE237">
        <f>(Table13[[#This Row],[SgammaC]]+Table13[[#This Row],[SgammaP]])*$A$4*-100</f>
        <v>0</v>
      </c>
      <c r="BF237">
        <f>Table13[[#This Row],[DEXc]]+Table13[[#This Row],[DEXp]]</f>
        <v>0</v>
      </c>
      <c r="BG237">
        <f>IFERROR(Table13[[#This Row],[DeltaC]]*Table13[[#This Row],[Open.Int]]*$A$4,0)</f>
        <v>0</v>
      </c>
      <c r="BH237">
        <f>IFERROR(Table13[[#This Row],[DeltaP]]*Table13[[#This Row],[Open.Int8]]*$A$4,0)</f>
        <v>0</v>
      </c>
      <c r="BI23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7">
        <f ca="1">Table13[[#This Row],[charmc]]+Table13[[#This Row],[charmp]]</f>
        <v>0</v>
      </c>
      <c r="BL23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7" s="78">
        <f ca="1">Table13[[#This Row],[call helper]]+Table13[[#This Row],[put helper]]</f>
        <v>0</v>
      </c>
      <c r="BP237" t="str">
        <f>RTD("tos.rtd", , "STRIKE", "."&amp;Table13[[#This Row],[Ticker]]&amp;Table13[[#This Row],[Expiry]]&amp;""&amp;"C"&amp;Table13[[#This Row],[Spot]]+Table13[[#This Row],[step]])</f>
        <v>N/A</v>
      </c>
    </row>
    <row r="238" spans="1:68" x14ac:dyDescent="0.25">
      <c r="A238" s="14">
        <f t="shared" ca="1" si="24"/>
        <v>-126.14810350076104</v>
      </c>
      <c r="C238" s="17"/>
      <c r="D238" t="b">
        <f>IF(
    ISNUMBER(Table13[[#This Row],[Strike]]),RTD("tos.rtd", , "OPEN_INT", "."&amp;Table13[[#This Row],[Ticker]]&amp;Table13[[#This Row],[Expiry]]&amp;""&amp;"C"&amp;Table13[[#This Row],[Strike]]))</f>
        <v>0</v>
      </c>
      <c r="E23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8" t="b">
        <f>IF(     ISNUMBER(Table13[[#This Row],[Strike]]),RTD("tos.rtd", , "DELTA", "."&amp;Table13[[#This Row],[Ticker]]&amp;Table13[[#This Row],[Expiry]]&amp;""&amp;"C"&amp;Table13[[#This Row],[Strike]]))</f>
        <v>0</v>
      </c>
      <c r="H238" s="17" t="b" cm="1">
        <f t="array" ref="H238">IF(
    ISNUMBER(Table13[[#This Row],[Strike]]),IndividualLegIVCore($A$4, Table13[[#This Row],[Strike]], 0.0411, Table13[[#This Row],[T]], ((Table13[[#This Row],[BIDC]]+Table13[[#This Row],[ASKC]])/2), TRUE))</f>
        <v>0</v>
      </c>
      <c r="I238" t="b">
        <f>IF(     ISNUMBER(Table13[[#This Row],[Strike]]),RTD("tos.rtd", , "BID", "."&amp;Table13[[#This Row],[Ticker]]&amp;Table13[[#This Row],[Expiry]]&amp;""&amp;"C"&amp;Table13[[#This Row],[Strike]]))</f>
        <v>0</v>
      </c>
      <c r="J238" t="b">
        <f>IF(     ISNUMBER(Table13[[#This Row],[Strike]]),RTD("tos.rtd", , "ASK", "."&amp;Table13[[#This Row],[Ticker]]&amp;Table13[[#This Row],[Expiry]]&amp;""&amp;"C"&amp;Table13[[#This Row],[Strike]]))</f>
        <v>0</v>
      </c>
      <c r="K23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8" s="17" cm="1">
        <f t="array" aca="1" ref="L23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8" s="1">
        <f t="shared" si="25"/>
        <v>0</v>
      </c>
      <c r="N238" t="b">
        <f t="shared" si="26"/>
        <v>0</v>
      </c>
      <c r="P238" s="17" t="b" cm="1">
        <f t="array" ref="P238">IF(
    ISNUMBER(Table13[[#This Row],[Strike]]),IndividualLegIVCore($A$4, Table13[[#This Row],[Strike]], 0.0411, Table13[[#This Row],[T]], ((Table13[[#This Row],[BIDP]]+Table13[[#This Row],[ASKP]])/2), FALSE))</f>
        <v>0</v>
      </c>
      <c r="Q238" t="b">
        <f>IF(     ISNUMBER(Table13[[#This Row],[Strike]]),RTD("tos.rtd", , "BID", "."&amp;Table13[[#This Row],[Ticker]]&amp;Table13[[#This Row],[Expiry]]&amp;""&amp;"P"&amp;Table13[[#This Row],[Strike]]))</f>
        <v>0</v>
      </c>
      <c r="R238" t="b">
        <f>IF(     ISNUMBER(Table13[[#This Row],[Strike]]),RTD("tos.rtd", , "ASK", "."&amp;Table13[[#This Row],[Ticker]]&amp;Table13[[#This Row],[Expiry]]&amp;""&amp;"P"&amp;Table13[[#This Row],[Strike]]))</f>
        <v>0</v>
      </c>
      <c r="S238" s="17"/>
      <c r="T238" t="b">
        <f>IF(     ISNUMBER(Table13[[#This Row],[Strike]]),RTD("tos.rtd", , "OPEN_INT", "."&amp;Table13[[#This Row],[Ticker]]&amp;Table13[[#This Row],[Expiry]]&amp;""&amp;"P"&amp;Table13[[#This Row],[Strike]]))</f>
        <v>0</v>
      </c>
      <c r="U23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8" t="b">
        <f>IF(     ISNUMBER(Table13[[#This Row],[Strike]]),RTD("tos.rtd", , "DELTA", "."&amp;Table13[[#This Row],[Ticker]]&amp;Table13[[#This Row],[Expiry]]&amp;""&amp;"P"&amp;Table13[[#This Row],[Strike]]))</f>
        <v>0</v>
      </c>
      <c r="Y238" s="19">
        <f>-37.5* IF($M$1="NDX", 10, IF(OR($M$1="SPX", $M$1="RUT"), 2, 1))</f>
        <v>-75</v>
      </c>
      <c r="Z238">
        <f ca="1">IFERROR(Table13[[#This Row],[call gamma]]*(Table13[[#This Row],[Open.Int]])*$A$4^2,0)</f>
        <v>0</v>
      </c>
      <c r="AA238">
        <f ca="1">IFERROR(((Table13[[#This Row],[Open.Int8]])*Table13[[#This Row],[Put gamma]])*-1*$A$4^2,0)</f>
        <v>0</v>
      </c>
      <c r="AB238">
        <f ca="1">(Table13[[#This Row],[Call Gex]]+Table13[[#This Row],[Put Gex]])</f>
        <v>0</v>
      </c>
      <c r="AC238">
        <f ca="1">Table13[[#This Row],[put delta adj]]+Table13[[#This Row],[call delta adj]]</f>
        <v>0</v>
      </c>
      <c r="AD238">
        <f ca="1">Table13[[#This Row],[Put Gex]]*Table13[[#This Row],[DeltaP]]*-1</f>
        <v>0</v>
      </c>
      <c r="AE238">
        <f ca="1">Table13[[#This Row],[Call Gex]]*Table13[[#This Row],[DeltaC]]</f>
        <v>0</v>
      </c>
      <c r="AF238">
        <f>IF(Table13[[#This Row],[DeltaC]]-ABS(Table13[[#This Row],[DeltaP]])="0","0.01",Table13[[#This Row],[DeltaC]]-ABS(Table13[[#This Row],[DeltaP]]))</f>
        <v>0</v>
      </c>
      <c r="AG238" t="e">
        <f ca="1">((LN($A$4/Table13[[#This Row],[Strike]]) + (0.411 + 0.5 * Table13[[#This Row],[IV Calc P]]^2) *Table13[[#This Row],[T]])) / (Table13[[#This Row],[IV Calc P]] * SQRT(Table13[[#This Row],[T]]))</f>
        <v>#DIV/0!</v>
      </c>
      <c r="AH238" t="e">
        <f ca="1">(LN($A$4/Table13[[#This Row],[Strike]]) + (0.411-0 + 0.5 * Table13[[#This Row],[IV Calc C]]^2) *Table13[[#This Row],[T]]) / (Table13[[#This Row],[IV Calc C]] * SQRT(Table13[[#This Row],[T]]))</f>
        <v>#DIV/0!</v>
      </c>
      <c r="AI238" t="e">
        <f ca="1">(EXP(-(AG238^2)/2)/SQRT(2*PI())*EXP(0*SQRT(Table13[[#This Row],[T]]))/$A$4*18%*SQRT(SQRT(Table13[[#This Row],[T]])))</f>
        <v>#DIV/0!</v>
      </c>
      <c r="AJ238" t="e">
        <f ca="1">(EXP(-(AH238^2)/2)/SQRT(2*PI())*EXP(0*SQRT(Table13[[#This Row],[T]]))/$A$4*18%*SQRT(SQRT(Table13[[#This Row],[T]])))</f>
        <v>#DIV/0!</v>
      </c>
      <c r="AK238" t="e">
        <f ca="1">Table13[[#This Row],[Call D1]]-Table13[[#This Row],[IV Calc C]]*SQRT(Table13[[#This Row],[T]])</f>
        <v>#DIV/0!</v>
      </c>
      <c r="AL238" t="e">
        <f ca="1">Table13[[#This Row],[Put D1]]-Table13[[#This Row],[IV Calc P]]*SQRT(Table13[[#This Row],[T]])</f>
        <v>#DIV/0!</v>
      </c>
      <c r="AM238" t="e">
        <f ca="1">EXP(-0.5*Table13[[#This Row],[Call D1]]^2)/SQRT(2*PI())</f>
        <v>#DIV/0!</v>
      </c>
      <c r="AN238" t="e">
        <f ca="1">EXP(-0.5*Table13[[#This Row],[Put D1]]^2)/SQRT(2*PI())</f>
        <v>#DIV/0!</v>
      </c>
      <c r="AO238">
        <f ca="1">IFERROR((EXP(0*Table13[[#This Row],[T]])*Table13[[#This Row],[call N(d1)]]*(Table13[[#This Row],[call d2]]/Table13[[#This Row],[IV Calc C]]))*Table13[[#This Row],[Open.Int]]*Table13[[#This Row],[DeltaC]],0)</f>
        <v>0</v>
      </c>
      <c r="AP238">
        <f ca="1">IFERROR((EXP(0*Table13[[#This Row],[T]])*Table13[[#This Row],[put N(d1)]]*(Table13[[#This Row],[put d2]]/Table13[[#This Row],[IV Calc P]]))*Table13[[#This Row],[Open.Int8]]*Table13[[#This Row],[DeltaP]]*-1,0)</f>
        <v>0</v>
      </c>
      <c r="AQ238">
        <f ca="1">((Table13[[#This Row],[call vanna]]+Table13[[#This Row],[put vanna]])*$A$4)</f>
        <v>0</v>
      </c>
      <c r="AR23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8" s="9" t="str" cm="1">
        <f t="array" ref="AT238">_xlfn.IFS(     $M$1="SPX","SPXW",     $M$1="RUT","RUTW",  $M$1="NDX","NDXP",   TRUE,$M$1 )</f>
        <v>SPXW</v>
      </c>
      <c r="AU238" s="2">
        <f t="shared" si="27"/>
        <v>6915</v>
      </c>
      <c r="AV238" t="str">
        <f t="shared" si="28"/>
        <v>000100</v>
      </c>
      <c r="AY23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8">
        <f>((Table13[[#This Row],[High C]]+Table13[[#This Row],[Low C]])/2)*Table13[[#This Row],[gammac]]*Table13[[#This Row],[Volume]]</f>
        <v>0</v>
      </c>
      <c r="BD238">
        <f>((Table13[[#This Row],[High P]]+Table13[[#This Row],[Low P]])/2)*Table13[[#This Row],[gammap]]*Table13[[#This Row],[Volume9]]*-1</f>
        <v>0</v>
      </c>
      <c r="BE238">
        <f>(Table13[[#This Row],[SgammaC]]+Table13[[#This Row],[SgammaP]])*$A$4*-100</f>
        <v>0</v>
      </c>
      <c r="BF238">
        <f>Table13[[#This Row],[DEXc]]+Table13[[#This Row],[DEXp]]</f>
        <v>0</v>
      </c>
      <c r="BG238">
        <f>IFERROR(Table13[[#This Row],[DeltaC]]*Table13[[#This Row],[Open.Int]]*$A$4,0)</f>
        <v>0</v>
      </c>
      <c r="BH238">
        <f>IFERROR(Table13[[#This Row],[DeltaP]]*Table13[[#This Row],[Open.Int8]]*$A$4,0)</f>
        <v>0</v>
      </c>
      <c r="BI23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8">
        <f ca="1">Table13[[#This Row],[charmc]]+Table13[[#This Row],[charmp]]</f>
        <v>0</v>
      </c>
      <c r="BL23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8" s="78">
        <f ca="1">Table13[[#This Row],[call helper]]+Table13[[#This Row],[put helper]]</f>
        <v>0</v>
      </c>
      <c r="BP238" t="str">
        <f>RTD("tos.rtd", , "STRIKE", "."&amp;Table13[[#This Row],[Ticker]]&amp;Table13[[#This Row],[Expiry]]&amp;""&amp;"C"&amp;Table13[[#This Row],[Spot]]+Table13[[#This Row],[step]])</f>
        <v>N/A</v>
      </c>
    </row>
    <row r="239" spans="1:68" x14ac:dyDescent="0.25">
      <c r="A239" s="14">
        <f t="shared" ca="1" si="24"/>
        <v>-126.14810350076104</v>
      </c>
      <c r="C239" s="17"/>
      <c r="D239" t="b">
        <f>IF(
    ISNUMBER(Table13[[#This Row],[Strike]]),RTD("tos.rtd", , "OPEN_INT", "."&amp;Table13[[#This Row],[Ticker]]&amp;Table13[[#This Row],[Expiry]]&amp;""&amp;"C"&amp;Table13[[#This Row],[Strike]]))</f>
        <v>0</v>
      </c>
      <c r="E23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9" t="b">
        <f>IF(     ISNUMBER(Table13[[#This Row],[Strike]]),RTD("tos.rtd", , "DELTA", "."&amp;Table13[[#This Row],[Ticker]]&amp;Table13[[#This Row],[Expiry]]&amp;""&amp;"C"&amp;Table13[[#This Row],[Strike]]))</f>
        <v>0</v>
      </c>
      <c r="H239" s="17" t="b" cm="1">
        <f t="array" ref="H239">IF(
    ISNUMBER(Table13[[#This Row],[Strike]]),IndividualLegIVCore($A$4, Table13[[#This Row],[Strike]], 0.0411, Table13[[#This Row],[T]], ((Table13[[#This Row],[BIDC]]+Table13[[#This Row],[ASKC]])/2), TRUE))</f>
        <v>0</v>
      </c>
      <c r="I239" t="b">
        <f>IF(     ISNUMBER(Table13[[#This Row],[Strike]]),RTD("tos.rtd", , "BID", "."&amp;Table13[[#This Row],[Ticker]]&amp;Table13[[#This Row],[Expiry]]&amp;""&amp;"C"&amp;Table13[[#This Row],[Strike]]))</f>
        <v>0</v>
      </c>
      <c r="J239" t="b">
        <f>IF(     ISNUMBER(Table13[[#This Row],[Strike]]),RTD("tos.rtd", , "ASK", "."&amp;Table13[[#This Row],[Ticker]]&amp;Table13[[#This Row],[Expiry]]&amp;""&amp;"C"&amp;Table13[[#This Row],[Strike]]))</f>
        <v>0</v>
      </c>
      <c r="K23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9" s="17" cm="1">
        <f t="array" aca="1" ref="L23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39" s="1">
        <f t="shared" si="25"/>
        <v>0</v>
      </c>
      <c r="N239" t="b">
        <f t="shared" si="26"/>
        <v>0</v>
      </c>
      <c r="P239" s="17" t="b" cm="1">
        <f t="array" ref="P239">IF(
    ISNUMBER(Table13[[#This Row],[Strike]]),IndividualLegIVCore($A$4, Table13[[#This Row],[Strike]], 0.0411, Table13[[#This Row],[T]], ((Table13[[#This Row],[BIDP]]+Table13[[#This Row],[ASKP]])/2), FALSE))</f>
        <v>0</v>
      </c>
      <c r="Q239" t="b">
        <f>IF(     ISNUMBER(Table13[[#This Row],[Strike]]),RTD("tos.rtd", , "BID", "."&amp;Table13[[#This Row],[Ticker]]&amp;Table13[[#This Row],[Expiry]]&amp;""&amp;"P"&amp;Table13[[#This Row],[Strike]]))</f>
        <v>0</v>
      </c>
      <c r="R239" t="b">
        <f>IF(     ISNUMBER(Table13[[#This Row],[Strike]]),RTD("tos.rtd", , "ASK", "."&amp;Table13[[#This Row],[Ticker]]&amp;Table13[[#This Row],[Expiry]]&amp;""&amp;"P"&amp;Table13[[#This Row],[Strike]]))</f>
        <v>0</v>
      </c>
      <c r="S239" s="17"/>
      <c r="T239" t="b">
        <f>IF(     ISNUMBER(Table13[[#This Row],[Strike]]),RTD("tos.rtd", , "OPEN_INT", "."&amp;Table13[[#This Row],[Ticker]]&amp;Table13[[#This Row],[Expiry]]&amp;""&amp;"P"&amp;Table13[[#This Row],[Strike]]))</f>
        <v>0</v>
      </c>
      <c r="U23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9" t="b">
        <f>IF(     ISNUMBER(Table13[[#This Row],[Strike]]),RTD("tos.rtd", , "DELTA", "."&amp;Table13[[#This Row],[Ticker]]&amp;Table13[[#This Row],[Expiry]]&amp;""&amp;"P"&amp;Table13[[#This Row],[Strike]]))</f>
        <v>0</v>
      </c>
      <c r="Y239" s="19">
        <f xml:space="preserve"> -37 * IF($M$1="NDX", 10, IF(OR($M$1="SPX", $M$1="RUT"), 2, 1))</f>
        <v>-74</v>
      </c>
      <c r="Z239">
        <f ca="1">IFERROR(Table13[[#This Row],[call gamma]]*(Table13[[#This Row],[Open.Int]])*$A$4^2,0)</f>
        <v>0</v>
      </c>
      <c r="AA239">
        <f ca="1">IFERROR(((Table13[[#This Row],[Open.Int8]])*Table13[[#This Row],[Put gamma]])*-1*$A$4^2,0)</f>
        <v>0</v>
      </c>
      <c r="AB239">
        <f ca="1">(Table13[[#This Row],[Call Gex]]+Table13[[#This Row],[Put Gex]])</f>
        <v>0</v>
      </c>
      <c r="AC239">
        <f ca="1">Table13[[#This Row],[put delta adj]]+Table13[[#This Row],[call delta adj]]</f>
        <v>0</v>
      </c>
      <c r="AD239">
        <f ca="1">Table13[[#This Row],[Put Gex]]*Table13[[#This Row],[DeltaP]]*-1</f>
        <v>0</v>
      </c>
      <c r="AE239">
        <f ca="1">Table13[[#This Row],[Call Gex]]*Table13[[#This Row],[DeltaC]]</f>
        <v>0</v>
      </c>
      <c r="AF239">
        <f>IF(Table13[[#This Row],[DeltaC]]-ABS(Table13[[#This Row],[DeltaP]])="0","0.01",Table13[[#This Row],[DeltaC]]-ABS(Table13[[#This Row],[DeltaP]]))</f>
        <v>0</v>
      </c>
      <c r="AG239" t="e">
        <f ca="1">((LN($A$4/Table13[[#This Row],[Strike]]) + (0.411 + 0.5 * Table13[[#This Row],[IV Calc P]]^2) *Table13[[#This Row],[T]])) / (Table13[[#This Row],[IV Calc P]] * SQRT(Table13[[#This Row],[T]]))</f>
        <v>#DIV/0!</v>
      </c>
      <c r="AH239" t="e">
        <f ca="1">(LN($A$4/Table13[[#This Row],[Strike]]) + (0.411-0 + 0.5 * Table13[[#This Row],[IV Calc C]]^2) *Table13[[#This Row],[T]]) / (Table13[[#This Row],[IV Calc C]] * SQRT(Table13[[#This Row],[T]]))</f>
        <v>#DIV/0!</v>
      </c>
      <c r="AI239" t="e">
        <f ca="1">(EXP(-(AG239^2)/2)/SQRT(2*PI())*EXP(0*SQRT(Table13[[#This Row],[T]]))/$A$4*18%*SQRT(SQRT(Table13[[#This Row],[T]])))</f>
        <v>#DIV/0!</v>
      </c>
      <c r="AJ239" t="e">
        <f ca="1">(EXP(-(AH239^2)/2)/SQRT(2*PI())*EXP(0*SQRT(Table13[[#This Row],[T]]))/$A$4*18%*SQRT(SQRT(Table13[[#This Row],[T]])))</f>
        <v>#DIV/0!</v>
      </c>
      <c r="AK239" t="e">
        <f ca="1">Table13[[#This Row],[Call D1]]-Table13[[#This Row],[IV Calc C]]*SQRT(Table13[[#This Row],[T]])</f>
        <v>#DIV/0!</v>
      </c>
      <c r="AL239" t="e">
        <f ca="1">Table13[[#This Row],[Put D1]]-Table13[[#This Row],[IV Calc P]]*SQRT(Table13[[#This Row],[T]])</f>
        <v>#DIV/0!</v>
      </c>
      <c r="AM239" t="e">
        <f ca="1">EXP(-0.5*Table13[[#This Row],[Call D1]]^2)/SQRT(2*PI())</f>
        <v>#DIV/0!</v>
      </c>
      <c r="AN239" t="e">
        <f ca="1">EXP(-0.5*Table13[[#This Row],[Put D1]]^2)/SQRT(2*PI())</f>
        <v>#DIV/0!</v>
      </c>
      <c r="AO239">
        <f ca="1">IFERROR((EXP(0*Table13[[#This Row],[T]])*Table13[[#This Row],[call N(d1)]]*(Table13[[#This Row],[call d2]]/Table13[[#This Row],[IV Calc C]]))*Table13[[#This Row],[Open.Int]]*Table13[[#This Row],[DeltaC]],0)</f>
        <v>0</v>
      </c>
      <c r="AP239">
        <f ca="1">IFERROR((EXP(0*Table13[[#This Row],[T]])*Table13[[#This Row],[put N(d1)]]*(Table13[[#This Row],[put d2]]/Table13[[#This Row],[IV Calc P]]))*Table13[[#This Row],[Open.Int8]]*Table13[[#This Row],[DeltaP]]*-1,0)</f>
        <v>0</v>
      </c>
      <c r="AQ239">
        <f ca="1">((Table13[[#This Row],[call vanna]]+Table13[[#This Row],[put vanna]])*$A$4)</f>
        <v>0</v>
      </c>
      <c r="AR23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9" s="9" t="str" cm="1">
        <f t="array" ref="AT239">_xlfn.IFS(     $M$1="SPX","SPXW",     $M$1="RUT","RUTW",  $M$1="NDX","NDXP",   TRUE,$M$1 )</f>
        <v>SPXW</v>
      </c>
      <c r="AU239" s="2">
        <f t="shared" si="27"/>
        <v>6915</v>
      </c>
      <c r="AV239" t="str">
        <f t="shared" si="28"/>
        <v>000100</v>
      </c>
      <c r="AY23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9">
        <f>((Table13[[#This Row],[High C]]+Table13[[#This Row],[Low C]])/2)*Table13[[#This Row],[gammac]]*Table13[[#This Row],[Volume]]</f>
        <v>0</v>
      </c>
      <c r="BD239">
        <f>((Table13[[#This Row],[High P]]+Table13[[#This Row],[Low P]])/2)*Table13[[#This Row],[gammap]]*Table13[[#This Row],[Volume9]]*-1</f>
        <v>0</v>
      </c>
      <c r="BE239">
        <f>(Table13[[#This Row],[SgammaC]]+Table13[[#This Row],[SgammaP]])*$A$4*-100</f>
        <v>0</v>
      </c>
      <c r="BF239">
        <f>Table13[[#This Row],[DEXc]]+Table13[[#This Row],[DEXp]]</f>
        <v>0</v>
      </c>
      <c r="BG239">
        <f>IFERROR(Table13[[#This Row],[DeltaC]]*Table13[[#This Row],[Open.Int]]*$A$4,0)</f>
        <v>0</v>
      </c>
      <c r="BH239">
        <f>IFERROR(Table13[[#This Row],[DeltaP]]*Table13[[#This Row],[Open.Int8]]*$A$4,0)</f>
        <v>0</v>
      </c>
      <c r="BI23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9">
        <f ca="1">Table13[[#This Row],[charmc]]+Table13[[#This Row],[charmp]]</f>
        <v>0</v>
      </c>
      <c r="BL23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9" s="78">
        <f ca="1">Table13[[#This Row],[call helper]]+Table13[[#This Row],[put helper]]</f>
        <v>0</v>
      </c>
      <c r="BP239" t="str">
        <f>RTD("tos.rtd", , "STRIKE", "."&amp;Table13[[#This Row],[Ticker]]&amp;Table13[[#This Row],[Expiry]]&amp;""&amp;"C"&amp;Table13[[#This Row],[Spot]]+Table13[[#This Row],[step]])</f>
        <v>N/A</v>
      </c>
    </row>
    <row r="240" spans="1:68" x14ac:dyDescent="0.25">
      <c r="A240" s="14">
        <f t="shared" ca="1" si="24"/>
        <v>-126.14810350076104</v>
      </c>
      <c r="C240" s="17"/>
      <c r="D240" t="b">
        <f>IF(
    ISNUMBER(Table13[[#This Row],[Strike]]),RTD("tos.rtd", , "OPEN_INT", "."&amp;Table13[[#This Row],[Ticker]]&amp;Table13[[#This Row],[Expiry]]&amp;""&amp;"C"&amp;Table13[[#This Row],[Strike]]))</f>
        <v>0</v>
      </c>
      <c r="E24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0" t="b">
        <f>IF(     ISNUMBER(Table13[[#This Row],[Strike]]),RTD("tos.rtd", , "DELTA", "."&amp;Table13[[#This Row],[Ticker]]&amp;Table13[[#This Row],[Expiry]]&amp;""&amp;"C"&amp;Table13[[#This Row],[Strike]]))</f>
        <v>0</v>
      </c>
      <c r="H240" s="17" t="b" cm="1">
        <f t="array" ref="H240">IF(
    ISNUMBER(Table13[[#This Row],[Strike]]),IndividualLegIVCore($A$4, Table13[[#This Row],[Strike]], 0.0411, Table13[[#This Row],[T]], ((Table13[[#This Row],[BIDC]]+Table13[[#This Row],[ASKC]])/2), TRUE))</f>
        <v>0</v>
      </c>
      <c r="I240" t="b">
        <f>IF(     ISNUMBER(Table13[[#This Row],[Strike]]),RTD("tos.rtd", , "BID", "."&amp;Table13[[#This Row],[Ticker]]&amp;Table13[[#This Row],[Expiry]]&amp;""&amp;"C"&amp;Table13[[#This Row],[Strike]]))</f>
        <v>0</v>
      </c>
      <c r="J240" t="b">
        <f>IF(     ISNUMBER(Table13[[#This Row],[Strike]]),RTD("tos.rtd", , "ASK", "."&amp;Table13[[#This Row],[Ticker]]&amp;Table13[[#This Row],[Expiry]]&amp;""&amp;"C"&amp;Table13[[#This Row],[Strike]]))</f>
        <v>0</v>
      </c>
      <c r="K24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0" s="17" cm="1">
        <f t="array" aca="1" ref="L24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0" s="1">
        <f t="shared" si="25"/>
        <v>0</v>
      </c>
      <c r="N240" t="b">
        <f t="shared" si="26"/>
        <v>0</v>
      </c>
      <c r="P240" s="17" t="b" cm="1">
        <f t="array" ref="P240">IF(
    ISNUMBER(Table13[[#This Row],[Strike]]),IndividualLegIVCore($A$4, Table13[[#This Row],[Strike]], 0.0411, Table13[[#This Row],[T]], ((Table13[[#This Row],[BIDP]]+Table13[[#This Row],[ASKP]])/2), FALSE))</f>
        <v>0</v>
      </c>
      <c r="Q240" t="b">
        <f>IF(     ISNUMBER(Table13[[#This Row],[Strike]]),RTD("tos.rtd", , "BID", "."&amp;Table13[[#This Row],[Ticker]]&amp;Table13[[#This Row],[Expiry]]&amp;""&amp;"P"&amp;Table13[[#This Row],[Strike]]))</f>
        <v>0</v>
      </c>
      <c r="R240" t="b">
        <f>IF(     ISNUMBER(Table13[[#This Row],[Strike]]),RTD("tos.rtd", , "ASK", "."&amp;Table13[[#This Row],[Ticker]]&amp;Table13[[#This Row],[Expiry]]&amp;""&amp;"P"&amp;Table13[[#This Row],[Strike]]))</f>
        <v>0</v>
      </c>
      <c r="S240" s="17"/>
      <c r="T240" t="b">
        <f>IF(     ISNUMBER(Table13[[#This Row],[Strike]]),RTD("tos.rtd", , "OPEN_INT", "."&amp;Table13[[#This Row],[Ticker]]&amp;Table13[[#This Row],[Expiry]]&amp;""&amp;"P"&amp;Table13[[#This Row],[Strike]]))</f>
        <v>0</v>
      </c>
      <c r="U24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0" t="b">
        <f>IF(     ISNUMBER(Table13[[#This Row],[Strike]]),RTD("tos.rtd", , "DELTA", "."&amp;Table13[[#This Row],[Ticker]]&amp;Table13[[#This Row],[Expiry]]&amp;""&amp;"P"&amp;Table13[[#This Row],[Strike]]))</f>
        <v>0</v>
      </c>
      <c r="Y240" s="19">
        <f>-36.5 * IF($M$1="NDX", 10, IF(OR($M$1="SPX", $M$1="RUT"), 2, 1))</f>
        <v>-73</v>
      </c>
      <c r="Z240">
        <f ca="1">IFERROR(Table13[[#This Row],[call gamma]]*(Table13[[#This Row],[Open.Int]])*$A$4^2,0)</f>
        <v>0</v>
      </c>
      <c r="AA240">
        <f ca="1">IFERROR(((Table13[[#This Row],[Open.Int8]])*Table13[[#This Row],[Put gamma]])*-1*$A$4^2,0)</f>
        <v>0</v>
      </c>
      <c r="AB240">
        <f ca="1">(Table13[[#This Row],[Call Gex]]+Table13[[#This Row],[Put Gex]])</f>
        <v>0</v>
      </c>
      <c r="AC240">
        <f ca="1">Table13[[#This Row],[put delta adj]]+Table13[[#This Row],[call delta adj]]</f>
        <v>0</v>
      </c>
      <c r="AD240">
        <f ca="1">Table13[[#This Row],[Put Gex]]*Table13[[#This Row],[DeltaP]]*-1</f>
        <v>0</v>
      </c>
      <c r="AE240">
        <f ca="1">Table13[[#This Row],[Call Gex]]*Table13[[#This Row],[DeltaC]]</f>
        <v>0</v>
      </c>
      <c r="AF240">
        <f>IF(Table13[[#This Row],[DeltaC]]-ABS(Table13[[#This Row],[DeltaP]])="0","0.01",Table13[[#This Row],[DeltaC]]-ABS(Table13[[#This Row],[DeltaP]]))</f>
        <v>0</v>
      </c>
      <c r="AG240" t="e">
        <f ca="1">((LN($A$4/Table13[[#This Row],[Strike]]) + (0.411 + 0.5 * Table13[[#This Row],[IV Calc P]]^2) *Table13[[#This Row],[T]])) / (Table13[[#This Row],[IV Calc P]] * SQRT(Table13[[#This Row],[T]]))</f>
        <v>#DIV/0!</v>
      </c>
      <c r="AH240" t="e">
        <f ca="1">(LN($A$4/Table13[[#This Row],[Strike]]) + (0.411-0 + 0.5 * Table13[[#This Row],[IV Calc C]]^2) *Table13[[#This Row],[T]]) / (Table13[[#This Row],[IV Calc C]] * SQRT(Table13[[#This Row],[T]]))</f>
        <v>#DIV/0!</v>
      </c>
      <c r="AI240" t="e">
        <f ca="1">(EXP(-(AG240^2)/2)/SQRT(2*PI())*EXP(0*SQRT(Table13[[#This Row],[T]]))/$A$4*18%*SQRT(SQRT(Table13[[#This Row],[T]])))</f>
        <v>#DIV/0!</v>
      </c>
      <c r="AJ240" t="e">
        <f ca="1">(EXP(-(AH240^2)/2)/SQRT(2*PI())*EXP(0*SQRT(Table13[[#This Row],[T]]))/$A$4*18%*SQRT(SQRT(Table13[[#This Row],[T]])))</f>
        <v>#DIV/0!</v>
      </c>
      <c r="AK240" t="e">
        <f ca="1">Table13[[#This Row],[Call D1]]-Table13[[#This Row],[IV Calc C]]*SQRT(Table13[[#This Row],[T]])</f>
        <v>#DIV/0!</v>
      </c>
      <c r="AL240" t="e">
        <f ca="1">Table13[[#This Row],[Put D1]]-Table13[[#This Row],[IV Calc P]]*SQRT(Table13[[#This Row],[T]])</f>
        <v>#DIV/0!</v>
      </c>
      <c r="AM240" t="e">
        <f ca="1">EXP(-0.5*Table13[[#This Row],[Call D1]]^2)/SQRT(2*PI())</f>
        <v>#DIV/0!</v>
      </c>
      <c r="AN240" t="e">
        <f ca="1">EXP(-0.5*Table13[[#This Row],[Put D1]]^2)/SQRT(2*PI())</f>
        <v>#DIV/0!</v>
      </c>
      <c r="AO240">
        <f ca="1">IFERROR((EXP(0*Table13[[#This Row],[T]])*Table13[[#This Row],[call N(d1)]]*(Table13[[#This Row],[call d2]]/Table13[[#This Row],[IV Calc C]]))*Table13[[#This Row],[Open.Int]]*Table13[[#This Row],[DeltaC]],0)</f>
        <v>0</v>
      </c>
      <c r="AP240">
        <f ca="1">IFERROR((EXP(0*Table13[[#This Row],[T]])*Table13[[#This Row],[put N(d1)]]*(Table13[[#This Row],[put d2]]/Table13[[#This Row],[IV Calc P]]))*Table13[[#This Row],[Open.Int8]]*Table13[[#This Row],[DeltaP]]*-1,0)</f>
        <v>0</v>
      </c>
      <c r="AQ240">
        <f ca="1">((Table13[[#This Row],[call vanna]]+Table13[[#This Row],[put vanna]])*$A$4)</f>
        <v>0</v>
      </c>
      <c r="AR24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0" s="9" t="str" cm="1">
        <f t="array" ref="AT240">_xlfn.IFS(     $M$1="SPX","SPXW",     $M$1="RUT","RUTW",  $M$1="NDX","NDXP",   TRUE,$M$1 )</f>
        <v>SPXW</v>
      </c>
      <c r="AU240" s="2">
        <f t="shared" si="27"/>
        <v>6915</v>
      </c>
      <c r="AV240" t="str">
        <f t="shared" si="28"/>
        <v>000100</v>
      </c>
      <c r="AY24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0">
        <f>((Table13[[#This Row],[High C]]+Table13[[#This Row],[Low C]])/2)*Table13[[#This Row],[gammac]]*Table13[[#This Row],[Volume]]</f>
        <v>0</v>
      </c>
      <c r="BD240">
        <f>((Table13[[#This Row],[High P]]+Table13[[#This Row],[Low P]])/2)*Table13[[#This Row],[gammap]]*Table13[[#This Row],[Volume9]]*-1</f>
        <v>0</v>
      </c>
      <c r="BE240">
        <f>(Table13[[#This Row],[SgammaC]]+Table13[[#This Row],[SgammaP]])*$A$4*-100</f>
        <v>0</v>
      </c>
      <c r="BF240">
        <f>Table13[[#This Row],[DEXc]]+Table13[[#This Row],[DEXp]]</f>
        <v>0</v>
      </c>
      <c r="BG240">
        <f>IFERROR(Table13[[#This Row],[DeltaC]]*Table13[[#This Row],[Open.Int]]*$A$4,0)</f>
        <v>0</v>
      </c>
      <c r="BH240">
        <f>IFERROR(Table13[[#This Row],[DeltaP]]*Table13[[#This Row],[Open.Int8]]*$A$4,0)</f>
        <v>0</v>
      </c>
      <c r="BI24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0">
        <f ca="1">Table13[[#This Row],[charmc]]+Table13[[#This Row],[charmp]]</f>
        <v>0</v>
      </c>
      <c r="BL24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0" s="78">
        <f ca="1">Table13[[#This Row],[call helper]]+Table13[[#This Row],[put helper]]</f>
        <v>0</v>
      </c>
      <c r="BP240" t="str">
        <f>RTD("tos.rtd", , "STRIKE", "."&amp;Table13[[#This Row],[Ticker]]&amp;Table13[[#This Row],[Expiry]]&amp;""&amp;"C"&amp;Table13[[#This Row],[Spot]]+Table13[[#This Row],[step]])</f>
        <v>N/A</v>
      </c>
    </row>
    <row r="241" spans="1:68" x14ac:dyDescent="0.25">
      <c r="A241" s="14">
        <f t="shared" ca="1" si="24"/>
        <v>-126.14810350076104</v>
      </c>
      <c r="C241" s="17"/>
      <c r="D241" t="b">
        <f>IF(
    ISNUMBER(Table13[[#This Row],[Strike]]),RTD("tos.rtd", , "OPEN_INT", "."&amp;Table13[[#This Row],[Ticker]]&amp;Table13[[#This Row],[Expiry]]&amp;""&amp;"C"&amp;Table13[[#This Row],[Strike]]))</f>
        <v>0</v>
      </c>
      <c r="E24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1" t="b">
        <f>IF(     ISNUMBER(Table13[[#This Row],[Strike]]),RTD("tos.rtd", , "DELTA", "."&amp;Table13[[#This Row],[Ticker]]&amp;Table13[[#This Row],[Expiry]]&amp;""&amp;"C"&amp;Table13[[#This Row],[Strike]]))</f>
        <v>0</v>
      </c>
      <c r="H241" s="17" t="b" cm="1">
        <f t="array" ref="H241">IF(
    ISNUMBER(Table13[[#This Row],[Strike]]),IndividualLegIVCore($A$4, Table13[[#This Row],[Strike]], 0.0411, Table13[[#This Row],[T]], ((Table13[[#This Row],[BIDC]]+Table13[[#This Row],[ASKC]])/2), TRUE))</f>
        <v>0</v>
      </c>
      <c r="I241" t="b">
        <f>IF(     ISNUMBER(Table13[[#This Row],[Strike]]),RTD("tos.rtd", , "BID", "."&amp;Table13[[#This Row],[Ticker]]&amp;Table13[[#This Row],[Expiry]]&amp;""&amp;"C"&amp;Table13[[#This Row],[Strike]]))</f>
        <v>0</v>
      </c>
      <c r="J241" t="b">
        <f>IF(     ISNUMBER(Table13[[#This Row],[Strike]]),RTD("tos.rtd", , "ASK", "."&amp;Table13[[#This Row],[Ticker]]&amp;Table13[[#This Row],[Expiry]]&amp;""&amp;"C"&amp;Table13[[#This Row],[Strike]]))</f>
        <v>0</v>
      </c>
      <c r="K24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1" s="17" cm="1">
        <f t="array" aca="1" ref="L24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1" s="1">
        <f t="shared" si="25"/>
        <v>0</v>
      </c>
      <c r="N241" t="b">
        <f t="shared" si="26"/>
        <v>0</v>
      </c>
      <c r="P241" s="17" t="b" cm="1">
        <f t="array" ref="P241">IF(
    ISNUMBER(Table13[[#This Row],[Strike]]),IndividualLegIVCore($A$4, Table13[[#This Row],[Strike]], 0.0411, Table13[[#This Row],[T]], ((Table13[[#This Row],[BIDP]]+Table13[[#This Row],[ASKP]])/2), FALSE))</f>
        <v>0</v>
      </c>
      <c r="Q241" t="b">
        <f>IF(     ISNUMBER(Table13[[#This Row],[Strike]]),RTD("tos.rtd", , "BID", "."&amp;Table13[[#This Row],[Ticker]]&amp;Table13[[#This Row],[Expiry]]&amp;""&amp;"P"&amp;Table13[[#This Row],[Strike]]))</f>
        <v>0</v>
      </c>
      <c r="R241" t="b">
        <f>IF(     ISNUMBER(Table13[[#This Row],[Strike]]),RTD("tos.rtd", , "ASK", "."&amp;Table13[[#This Row],[Ticker]]&amp;Table13[[#This Row],[Expiry]]&amp;""&amp;"P"&amp;Table13[[#This Row],[Strike]]))</f>
        <v>0</v>
      </c>
      <c r="S241" s="17"/>
      <c r="T241" t="b">
        <f>IF(     ISNUMBER(Table13[[#This Row],[Strike]]),RTD("tos.rtd", , "OPEN_INT", "."&amp;Table13[[#This Row],[Ticker]]&amp;Table13[[#This Row],[Expiry]]&amp;""&amp;"P"&amp;Table13[[#This Row],[Strike]]))</f>
        <v>0</v>
      </c>
      <c r="U24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1" t="b">
        <f>IF(     ISNUMBER(Table13[[#This Row],[Strike]]),RTD("tos.rtd", , "DELTA", "."&amp;Table13[[#This Row],[Ticker]]&amp;Table13[[#This Row],[Expiry]]&amp;""&amp;"P"&amp;Table13[[#This Row],[Strike]]))</f>
        <v>0</v>
      </c>
      <c r="Y241" s="19">
        <f>-36 * IF($M$1="NDX", 10, IF(OR($M$1="SPX", $M$1="RUT"), 2, 1))</f>
        <v>-72</v>
      </c>
      <c r="Z241">
        <f ca="1">IFERROR(Table13[[#This Row],[call gamma]]*(Table13[[#This Row],[Open.Int]])*$A$4^2,0)</f>
        <v>0</v>
      </c>
      <c r="AA241">
        <f ca="1">IFERROR(((Table13[[#This Row],[Open.Int8]])*Table13[[#This Row],[Put gamma]])*-1*$A$4^2,0)</f>
        <v>0</v>
      </c>
      <c r="AB241">
        <f ca="1">(Table13[[#This Row],[Call Gex]]+Table13[[#This Row],[Put Gex]])</f>
        <v>0</v>
      </c>
      <c r="AC241">
        <f ca="1">Table13[[#This Row],[put delta adj]]+Table13[[#This Row],[call delta adj]]</f>
        <v>0</v>
      </c>
      <c r="AD241">
        <f ca="1">Table13[[#This Row],[Put Gex]]*Table13[[#This Row],[DeltaP]]*-1</f>
        <v>0</v>
      </c>
      <c r="AE241">
        <f ca="1">Table13[[#This Row],[Call Gex]]*Table13[[#This Row],[DeltaC]]</f>
        <v>0</v>
      </c>
      <c r="AF241">
        <f>IF(Table13[[#This Row],[DeltaC]]-ABS(Table13[[#This Row],[DeltaP]])="0","0.01",Table13[[#This Row],[DeltaC]]-ABS(Table13[[#This Row],[DeltaP]]))</f>
        <v>0</v>
      </c>
      <c r="AG241" t="e">
        <f ca="1">((LN($A$4/Table13[[#This Row],[Strike]]) + (0.411 + 0.5 * Table13[[#This Row],[IV Calc P]]^2) *Table13[[#This Row],[T]])) / (Table13[[#This Row],[IV Calc P]] * SQRT(Table13[[#This Row],[T]]))</f>
        <v>#DIV/0!</v>
      </c>
      <c r="AH241" t="e">
        <f ca="1">(LN($A$4/Table13[[#This Row],[Strike]]) + (0.411-0 + 0.5 * Table13[[#This Row],[IV Calc C]]^2) *Table13[[#This Row],[T]]) / (Table13[[#This Row],[IV Calc C]] * SQRT(Table13[[#This Row],[T]]))</f>
        <v>#DIV/0!</v>
      </c>
      <c r="AI241" t="e">
        <f ca="1">(EXP(-(AG241^2)/2)/SQRT(2*PI())*EXP(0*SQRT(Table13[[#This Row],[T]]))/$A$4*18%*SQRT(SQRT(Table13[[#This Row],[T]])))</f>
        <v>#DIV/0!</v>
      </c>
      <c r="AJ241" t="e">
        <f ca="1">(EXP(-(AH241^2)/2)/SQRT(2*PI())*EXP(0*SQRT(Table13[[#This Row],[T]]))/$A$4*18%*SQRT(SQRT(Table13[[#This Row],[T]])))</f>
        <v>#DIV/0!</v>
      </c>
      <c r="AK241" t="e">
        <f ca="1">Table13[[#This Row],[Call D1]]-Table13[[#This Row],[IV Calc C]]*SQRT(Table13[[#This Row],[T]])</f>
        <v>#DIV/0!</v>
      </c>
      <c r="AL241" t="e">
        <f ca="1">Table13[[#This Row],[Put D1]]-Table13[[#This Row],[IV Calc P]]*SQRT(Table13[[#This Row],[T]])</f>
        <v>#DIV/0!</v>
      </c>
      <c r="AM241" t="e">
        <f ca="1">EXP(-0.5*Table13[[#This Row],[Call D1]]^2)/SQRT(2*PI())</f>
        <v>#DIV/0!</v>
      </c>
      <c r="AN241" t="e">
        <f ca="1">EXP(-0.5*Table13[[#This Row],[Put D1]]^2)/SQRT(2*PI())</f>
        <v>#DIV/0!</v>
      </c>
      <c r="AO241">
        <f ca="1">IFERROR((EXP(0*Table13[[#This Row],[T]])*Table13[[#This Row],[call N(d1)]]*(Table13[[#This Row],[call d2]]/Table13[[#This Row],[IV Calc C]]))*Table13[[#This Row],[Open.Int]]*Table13[[#This Row],[DeltaC]],0)</f>
        <v>0</v>
      </c>
      <c r="AP241">
        <f ca="1">IFERROR((EXP(0*Table13[[#This Row],[T]])*Table13[[#This Row],[put N(d1)]]*(Table13[[#This Row],[put d2]]/Table13[[#This Row],[IV Calc P]]))*Table13[[#This Row],[Open.Int8]]*Table13[[#This Row],[DeltaP]]*-1,0)</f>
        <v>0</v>
      </c>
      <c r="AQ241">
        <f ca="1">((Table13[[#This Row],[call vanna]]+Table13[[#This Row],[put vanna]])*$A$4)</f>
        <v>0</v>
      </c>
      <c r="AR24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1" s="9" t="str" cm="1">
        <f t="array" ref="AT241">_xlfn.IFS(     $M$1="SPX","SPXW",     $M$1="RUT","RUTW",  $M$1="NDX","NDXP",   TRUE,$M$1 )</f>
        <v>SPXW</v>
      </c>
      <c r="AU241" s="2">
        <f t="shared" si="27"/>
        <v>6915</v>
      </c>
      <c r="AV241" t="str">
        <f t="shared" si="28"/>
        <v>000100</v>
      </c>
      <c r="AY24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1">
        <f>((Table13[[#This Row],[High C]]+Table13[[#This Row],[Low C]])/2)*Table13[[#This Row],[gammac]]*Table13[[#This Row],[Volume]]</f>
        <v>0</v>
      </c>
      <c r="BD241">
        <f>((Table13[[#This Row],[High P]]+Table13[[#This Row],[Low P]])/2)*Table13[[#This Row],[gammap]]*Table13[[#This Row],[Volume9]]*-1</f>
        <v>0</v>
      </c>
      <c r="BE241">
        <f>(Table13[[#This Row],[SgammaC]]+Table13[[#This Row],[SgammaP]])*$A$4*-100</f>
        <v>0</v>
      </c>
      <c r="BF241">
        <f>Table13[[#This Row],[DEXc]]+Table13[[#This Row],[DEXp]]</f>
        <v>0</v>
      </c>
      <c r="BG241">
        <f>IFERROR(Table13[[#This Row],[DeltaC]]*Table13[[#This Row],[Open.Int]]*$A$4,0)</f>
        <v>0</v>
      </c>
      <c r="BH241">
        <f>IFERROR(Table13[[#This Row],[DeltaP]]*Table13[[#This Row],[Open.Int8]]*$A$4,0)</f>
        <v>0</v>
      </c>
      <c r="BI24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1">
        <f ca="1">Table13[[#This Row],[charmc]]+Table13[[#This Row],[charmp]]</f>
        <v>0</v>
      </c>
      <c r="BL24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1" s="78">
        <f ca="1">Table13[[#This Row],[call helper]]+Table13[[#This Row],[put helper]]</f>
        <v>0</v>
      </c>
      <c r="BP241" t="str">
        <f>RTD("tos.rtd", , "STRIKE", "."&amp;Table13[[#This Row],[Ticker]]&amp;Table13[[#This Row],[Expiry]]&amp;""&amp;"C"&amp;Table13[[#This Row],[Spot]]+Table13[[#This Row],[step]])</f>
        <v>N/A</v>
      </c>
    </row>
    <row r="242" spans="1:68" x14ac:dyDescent="0.25">
      <c r="A242" s="14">
        <f t="shared" ca="1" si="24"/>
        <v>-126.14810350076104</v>
      </c>
      <c r="C242" s="17"/>
      <c r="D242" t="b">
        <f>IF(
    ISNUMBER(Table13[[#This Row],[Strike]]),RTD("tos.rtd", , "OPEN_INT", "."&amp;Table13[[#This Row],[Ticker]]&amp;Table13[[#This Row],[Expiry]]&amp;""&amp;"C"&amp;Table13[[#This Row],[Strike]]))</f>
        <v>0</v>
      </c>
      <c r="E24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2" t="b">
        <f>IF(     ISNUMBER(Table13[[#This Row],[Strike]]),RTD("tos.rtd", , "DELTA", "."&amp;Table13[[#This Row],[Ticker]]&amp;Table13[[#This Row],[Expiry]]&amp;""&amp;"C"&amp;Table13[[#This Row],[Strike]]))</f>
        <v>0</v>
      </c>
      <c r="H242" s="17" t="b" cm="1">
        <f t="array" ref="H242">IF(
    ISNUMBER(Table13[[#This Row],[Strike]]),IndividualLegIVCore($A$4, Table13[[#This Row],[Strike]], 0.0411, Table13[[#This Row],[T]], ((Table13[[#This Row],[BIDC]]+Table13[[#This Row],[ASKC]])/2), TRUE))</f>
        <v>0</v>
      </c>
      <c r="I242" t="b">
        <f>IF(     ISNUMBER(Table13[[#This Row],[Strike]]),RTD("tos.rtd", , "BID", "."&amp;Table13[[#This Row],[Ticker]]&amp;Table13[[#This Row],[Expiry]]&amp;""&amp;"C"&amp;Table13[[#This Row],[Strike]]))</f>
        <v>0</v>
      </c>
      <c r="J242" t="b">
        <f>IF(     ISNUMBER(Table13[[#This Row],[Strike]]),RTD("tos.rtd", , "ASK", "."&amp;Table13[[#This Row],[Ticker]]&amp;Table13[[#This Row],[Expiry]]&amp;""&amp;"C"&amp;Table13[[#This Row],[Strike]]))</f>
        <v>0</v>
      </c>
      <c r="K24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2" s="17" cm="1">
        <f t="array" aca="1" ref="L24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2" s="1">
        <f t="shared" si="25"/>
        <v>0</v>
      </c>
      <c r="N242" t="b">
        <f t="shared" si="26"/>
        <v>0</v>
      </c>
      <c r="P242" s="17" t="b" cm="1">
        <f t="array" ref="P242">IF(
    ISNUMBER(Table13[[#This Row],[Strike]]),IndividualLegIVCore($A$4, Table13[[#This Row],[Strike]], 0.0411, Table13[[#This Row],[T]], ((Table13[[#This Row],[BIDP]]+Table13[[#This Row],[ASKP]])/2), FALSE))</f>
        <v>0</v>
      </c>
      <c r="Q242" t="b">
        <f>IF(     ISNUMBER(Table13[[#This Row],[Strike]]),RTD("tos.rtd", , "BID", "."&amp;Table13[[#This Row],[Ticker]]&amp;Table13[[#This Row],[Expiry]]&amp;""&amp;"P"&amp;Table13[[#This Row],[Strike]]))</f>
        <v>0</v>
      </c>
      <c r="R242" t="b">
        <f>IF(     ISNUMBER(Table13[[#This Row],[Strike]]),RTD("tos.rtd", , "ASK", "."&amp;Table13[[#This Row],[Ticker]]&amp;Table13[[#This Row],[Expiry]]&amp;""&amp;"P"&amp;Table13[[#This Row],[Strike]]))</f>
        <v>0</v>
      </c>
      <c r="S242" s="17"/>
      <c r="T242" t="b">
        <f>IF(     ISNUMBER(Table13[[#This Row],[Strike]]),RTD("tos.rtd", , "OPEN_INT", "."&amp;Table13[[#This Row],[Ticker]]&amp;Table13[[#This Row],[Expiry]]&amp;""&amp;"P"&amp;Table13[[#This Row],[Strike]]))</f>
        <v>0</v>
      </c>
      <c r="U24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2" t="b">
        <f>IF(     ISNUMBER(Table13[[#This Row],[Strike]]),RTD("tos.rtd", , "DELTA", "."&amp;Table13[[#This Row],[Ticker]]&amp;Table13[[#This Row],[Expiry]]&amp;""&amp;"P"&amp;Table13[[#This Row],[Strike]]))</f>
        <v>0</v>
      </c>
      <c r="Y242" s="19">
        <f>-35.5 * IF($M$1="NDX", 10, IF(OR($M$1="SPX", $M$1="RUT"), 2, 1))</f>
        <v>-71</v>
      </c>
      <c r="Z242">
        <f ca="1">IFERROR(Table13[[#This Row],[call gamma]]*(Table13[[#This Row],[Open.Int]])*$A$4^2,0)</f>
        <v>0</v>
      </c>
      <c r="AA242">
        <f ca="1">IFERROR(((Table13[[#This Row],[Open.Int8]])*Table13[[#This Row],[Put gamma]])*-1*$A$4^2,0)</f>
        <v>0</v>
      </c>
      <c r="AB242">
        <f ca="1">(Table13[[#This Row],[Call Gex]]+Table13[[#This Row],[Put Gex]])</f>
        <v>0</v>
      </c>
      <c r="AC242">
        <f ca="1">Table13[[#This Row],[put delta adj]]+Table13[[#This Row],[call delta adj]]</f>
        <v>0</v>
      </c>
      <c r="AD242">
        <f ca="1">Table13[[#This Row],[Put Gex]]*Table13[[#This Row],[DeltaP]]*-1</f>
        <v>0</v>
      </c>
      <c r="AE242">
        <f ca="1">Table13[[#This Row],[Call Gex]]*Table13[[#This Row],[DeltaC]]</f>
        <v>0</v>
      </c>
      <c r="AF242">
        <f>IF(Table13[[#This Row],[DeltaC]]-ABS(Table13[[#This Row],[DeltaP]])="0","0.01",Table13[[#This Row],[DeltaC]]-ABS(Table13[[#This Row],[DeltaP]]))</f>
        <v>0</v>
      </c>
      <c r="AG242" t="e">
        <f ca="1">((LN($A$4/Table13[[#This Row],[Strike]]) + (0.411 + 0.5 * Table13[[#This Row],[IV Calc P]]^2) *Table13[[#This Row],[T]])) / (Table13[[#This Row],[IV Calc P]] * SQRT(Table13[[#This Row],[T]]))</f>
        <v>#DIV/0!</v>
      </c>
      <c r="AH242" t="e">
        <f ca="1">(LN($A$4/Table13[[#This Row],[Strike]]) + (0.411-0 + 0.5 * Table13[[#This Row],[IV Calc C]]^2) *Table13[[#This Row],[T]]) / (Table13[[#This Row],[IV Calc C]] * SQRT(Table13[[#This Row],[T]]))</f>
        <v>#DIV/0!</v>
      </c>
      <c r="AI242" t="e">
        <f ca="1">(EXP(-(AG242^2)/2)/SQRT(2*PI())*EXP(0*SQRT(Table13[[#This Row],[T]]))/$A$4*18%*SQRT(SQRT(Table13[[#This Row],[T]])))</f>
        <v>#DIV/0!</v>
      </c>
      <c r="AJ242" t="e">
        <f ca="1">(EXP(-(AH242^2)/2)/SQRT(2*PI())*EXP(0*SQRT(Table13[[#This Row],[T]]))/$A$4*18%*SQRT(SQRT(Table13[[#This Row],[T]])))</f>
        <v>#DIV/0!</v>
      </c>
      <c r="AK242" t="e">
        <f ca="1">Table13[[#This Row],[Call D1]]-Table13[[#This Row],[IV Calc C]]*SQRT(Table13[[#This Row],[T]])</f>
        <v>#DIV/0!</v>
      </c>
      <c r="AL242" t="e">
        <f ca="1">Table13[[#This Row],[Put D1]]-Table13[[#This Row],[IV Calc P]]*SQRT(Table13[[#This Row],[T]])</f>
        <v>#DIV/0!</v>
      </c>
      <c r="AM242" t="e">
        <f ca="1">EXP(-0.5*Table13[[#This Row],[Call D1]]^2)/SQRT(2*PI())</f>
        <v>#DIV/0!</v>
      </c>
      <c r="AN242" t="e">
        <f ca="1">EXP(-0.5*Table13[[#This Row],[Put D1]]^2)/SQRT(2*PI())</f>
        <v>#DIV/0!</v>
      </c>
      <c r="AO242">
        <f ca="1">IFERROR((EXP(0*Table13[[#This Row],[T]])*Table13[[#This Row],[call N(d1)]]*(Table13[[#This Row],[call d2]]/Table13[[#This Row],[IV Calc C]]))*Table13[[#This Row],[Open.Int]]*Table13[[#This Row],[DeltaC]],0)</f>
        <v>0</v>
      </c>
      <c r="AP242">
        <f ca="1">IFERROR((EXP(0*Table13[[#This Row],[T]])*Table13[[#This Row],[put N(d1)]]*(Table13[[#This Row],[put d2]]/Table13[[#This Row],[IV Calc P]]))*Table13[[#This Row],[Open.Int8]]*Table13[[#This Row],[DeltaP]]*-1,0)</f>
        <v>0</v>
      </c>
      <c r="AQ242">
        <f ca="1">((Table13[[#This Row],[call vanna]]+Table13[[#This Row],[put vanna]])*$A$4)</f>
        <v>0</v>
      </c>
      <c r="AR24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2" s="9" t="str" cm="1">
        <f t="array" ref="AT242">_xlfn.IFS(     $M$1="SPX","SPXW",     $M$1="RUT","RUTW",  $M$1="NDX","NDXP",   TRUE,$M$1 )</f>
        <v>SPXW</v>
      </c>
      <c r="AU242" s="2">
        <f t="shared" si="27"/>
        <v>6915</v>
      </c>
      <c r="AV242" t="str">
        <f t="shared" si="28"/>
        <v>000100</v>
      </c>
      <c r="AY24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2">
        <f>((Table13[[#This Row],[High C]]+Table13[[#This Row],[Low C]])/2)*Table13[[#This Row],[gammac]]*Table13[[#This Row],[Volume]]</f>
        <v>0</v>
      </c>
      <c r="BD242">
        <f>((Table13[[#This Row],[High P]]+Table13[[#This Row],[Low P]])/2)*Table13[[#This Row],[gammap]]*Table13[[#This Row],[Volume9]]*-1</f>
        <v>0</v>
      </c>
      <c r="BE242">
        <f>(Table13[[#This Row],[SgammaC]]+Table13[[#This Row],[SgammaP]])*$A$4*-100</f>
        <v>0</v>
      </c>
      <c r="BF242">
        <f>Table13[[#This Row],[DEXc]]+Table13[[#This Row],[DEXp]]</f>
        <v>0</v>
      </c>
      <c r="BG242">
        <f>IFERROR(Table13[[#This Row],[DeltaC]]*Table13[[#This Row],[Open.Int]]*$A$4,0)</f>
        <v>0</v>
      </c>
      <c r="BH242">
        <f>IFERROR(Table13[[#This Row],[DeltaP]]*Table13[[#This Row],[Open.Int8]]*$A$4,0)</f>
        <v>0</v>
      </c>
      <c r="BI24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2">
        <f ca="1">Table13[[#This Row],[charmc]]+Table13[[#This Row],[charmp]]</f>
        <v>0</v>
      </c>
      <c r="BL24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2" s="78">
        <f ca="1">Table13[[#This Row],[call helper]]+Table13[[#This Row],[put helper]]</f>
        <v>0</v>
      </c>
      <c r="BP242" t="str">
        <f>RTD("tos.rtd", , "STRIKE", "."&amp;Table13[[#This Row],[Ticker]]&amp;Table13[[#This Row],[Expiry]]&amp;""&amp;"C"&amp;Table13[[#This Row],[Spot]]+Table13[[#This Row],[step]])</f>
        <v>N/A</v>
      </c>
    </row>
    <row r="243" spans="1:68" x14ac:dyDescent="0.25">
      <c r="A243" s="14">
        <f t="shared" ca="1" si="24"/>
        <v>-126.14810350076104</v>
      </c>
      <c r="C243" s="17"/>
      <c r="D243" t="b">
        <f>IF(
    ISNUMBER(Table13[[#This Row],[Strike]]),RTD("tos.rtd", , "OPEN_INT", "."&amp;Table13[[#This Row],[Ticker]]&amp;Table13[[#This Row],[Expiry]]&amp;""&amp;"C"&amp;Table13[[#This Row],[Strike]]))</f>
        <v>0</v>
      </c>
      <c r="E24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3" t="b">
        <f>IF(     ISNUMBER(Table13[[#This Row],[Strike]]),RTD("tos.rtd", , "DELTA", "."&amp;Table13[[#This Row],[Ticker]]&amp;Table13[[#This Row],[Expiry]]&amp;""&amp;"C"&amp;Table13[[#This Row],[Strike]]))</f>
        <v>0</v>
      </c>
      <c r="H243" s="17" t="b" cm="1">
        <f t="array" ref="H243">IF(
    ISNUMBER(Table13[[#This Row],[Strike]]),IndividualLegIVCore($A$4, Table13[[#This Row],[Strike]], 0.0411, Table13[[#This Row],[T]], ((Table13[[#This Row],[BIDC]]+Table13[[#This Row],[ASKC]])/2), TRUE))</f>
        <v>0</v>
      </c>
      <c r="I243" t="b">
        <f>IF(     ISNUMBER(Table13[[#This Row],[Strike]]),RTD("tos.rtd", , "BID", "."&amp;Table13[[#This Row],[Ticker]]&amp;Table13[[#This Row],[Expiry]]&amp;""&amp;"C"&amp;Table13[[#This Row],[Strike]]))</f>
        <v>0</v>
      </c>
      <c r="J243" t="b">
        <f>IF(     ISNUMBER(Table13[[#This Row],[Strike]]),RTD("tos.rtd", , "ASK", "."&amp;Table13[[#This Row],[Ticker]]&amp;Table13[[#This Row],[Expiry]]&amp;""&amp;"C"&amp;Table13[[#This Row],[Strike]]))</f>
        <v>0</v>
      </c>
      <c r="K24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3" s="17" cm="1">
        <f t="array" aca="1" ref="L24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3" s="1">
        <f t="shared" si="25"/>
        <v>0</v>
      </c>
      <c r="N243" t="b">
        <f t="shared" si="26"/>
        <v>0</v>
      </c>
      <c r="P243" s="17" t="b" cm="1">
        <f t="array" ref="P243">IF(
    ISNUMBER(Table13[[#This Row],[Strike]]),IndividualLegIVCore($A$4, Table13[[#This Row],[Strike]], 0.0411, Table13[[#This Row],[T]], ((Table13[[#This Row],[BIDP]]+Table13[[#This Row],[ASKP]])/2), FALSE))</f>
        <v>0</v>
      </c>
      <c r="Q243" t="b">
        <f>IF(     ISNUMBER(Table13[[#This Row],[Strike]]),RTD("tos.rtd", , "BID", "."&amp;Table13[[#This Row],[Ticker]]&amp;Table13[[#This Row],[Expiry]]&amp;""&amp;"P"&amp;Table13[[#This Row],[Strike]]))</f>
        <v>0</v>
      </c>
      <c r="R243" t="b">
        <f>IF(     ISNUMBER(Table13[[#This Row],[Strike]]),RTD("tos.rtd", , "ASK", "."&amp;Table13[[#This Row],[Ticker]]&amp;Table13[[#This Row],[Expiry]]&amp;""&amp;"P"&amp;Table13[[#This Row],[Strike]]))</f>
        <v>0</v>
      </c>
      <c r="S243" s="17"/>
      <c r="T243" t="b">
        <f>IF(     ISNUMBER(Table13[[#This Row],[Strike]]),RTD("tos.rtd", , "OPEN_INT", "."&amp;Table13[[#This Row],[Ticker]]&amp;Table13[[#This Row],[Expiry]]&amp;""&amp;"P"&amp;Table13[[#This Row],[Strike]]))</f>
        <v>0</v>
      </c>
      <c r="U24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3" t="b">
        <f>IF(     ISNUMBER(Table13[[#This Row],[Strike]]),RTD("tos.rtd", , "DELTA", "."&amp;Table13[[#This Row],[Ticker]]&amp;Table13[[#This Row],[Expiry]]&amp;""&amp;"P"&amp;Table13[[#This Row],[Strike]]))</f>
        <v>0</v>
      </c>
      <c r="Y243" s="19">
        <f>-35 * IF($M$1="NDX", 10, IF(OR($M$1="SPX", $M$1="RUT"), 2, 1))</f>
        <v>-70</v>
      </c>
      <c r="Z243">
        <f ca="1">IFERROR(Table13[[#This Row],[call gamma]]*(Table13[[#This Row],[Open.Int]])*$A$4^2,0)</f>
        <v>0</v>
      </c>
      <c r="AA243">
        <f ca="1">IFERROR(((Table13[[#This Row],[Open.Int8]])*Table13[[#This Row],[Put gamma]])*-1*$A$4^2,0)</f>
        <v>0</v>
      </c>
      <c r="AB243">
        <f ca="1">(Table13[[#This Row],[Call Gex]]+Table13[[#This Row],[Put Gex]])</f>
        <v>0</v>
      </c>
      <c r="AC243">
        <f ca="1">Table13[[#This Row],[put delta adj]]+Table13[[#This Row],[call delta adj]]</f>
        <v>0</v>
      </c>
      <c r="AD243">
        <f ca="1">Table13[[#This Row],[Put Gex]]*Table13[[#This Row],[DeltaP]]*-1</f>
        <v>0</v>
      </c>
      <c r="AE243">
        <f ca="1">Table13[[#This Row],[Call Gex]]*Table13[[#This Row],[DeltaC]]</f>
        <v>0</v>
      </c>
      <c r="AF243">
        <f>IF(Table13[[#This Row],[DeltaC]]-ABS(Table13[[#This Row],[DeltaP]])="0","0.01",Table13[[#This Row],[DeltaC]]-ABS(Table13[[#This Row],[DeltaP]]))</f>
        <v>0</v>
      </c>
      <c r="AG243" t="e">
        <f ca="1">((LN($A$4/Table13[[#This Row],[Strike]]) + (0.411 + 0.5 * Table13[[#This Row],[IV Calc P]]^2) *Table13[[#This Row],[T]])) / (Table13[[#This Row],[IV Calc P]] * SQRT(Table13[[#This Row],[T]]))</f>
        <v>#DIV/0!</v>
      </c>
      <c r="AH243" t="e">
        <f ca="1">(LN($A$4/Table13[[#This Row],[Strike]]) + (0.411-0 + 0.5 * Table13[[#This Row],[IV Calc C]]^2) *Table13[[#This Row],[T]]) / (Table13[[#This Row],[IV Calc C]] * SQRT(Table13[[#This Row],[T]]))</f>
        <v>#DIV/0!</v>
      </c>
      <c r="AI243" t="e">
        <f ca="1">(EXP(-(AG243^2)/2)/SQRT(2*PI())*EXP(0*SQRT(Table13[[#This Row],[T]]))/$A$4*18%*SQRT(SQRT(Table13[[#This Row],[T]])))</f>
        <v>#DIV/0!</v>
      </c>
      <c r="AJ243" t="e">
        <f ca="1">(EXP(-(AH243^2)/2)/SQRT(2*PI())*EXP(0*SQRT(Table13[[#This Row],[T]]))/$A$4*18%*SQRT(SQRT(Table13[[#This Row],[T]])))</f>
        <v>#DIV/0!</v>
      </c>
      <c r="AK243" t="e">
        <f ca="1">Table13[[#This Row],[Call D1]]-Table13[[#This Row],[IV Calc C]]*SQRT(Table13[[#This Row],[T]])</f>
        <v>#DIV/0!</v>
      </c>
      <c r="AL243" t="e">
        <f ca="1">Table13[[#This Row],[Put D1]]-Table13[[#This Row],[IV Calc P]]*SQRT(Table13[[#This Row],[T]])</f>
        <v>#DIV/0!</v>
      </c>
      <c r="AM243" t="e">
        <f ca="1">EXP(-0.5*Table13[[#This Row],[Call D1]]^2)/SQRT(2*PI())</f>
        <v>#DIV/0!</v>
      </c>
      <c r="AN243" t="e">
        <f ca="1">EXP(-0.5*Table13[[#This Row],[Put D1]]^2)/SQRT(2*PI())</f>
        <v>#DIV/0!</v>
      </c>
      <c r="AO243">
        <f ca="1">IFERROR((EXP(0*Table13[[#This Row],[T]])*Table13[[#This Row],[call N(d1)]]*(Table13[[#This Row],[call d2]]/Table13[[#This Row],[IV Calc C]]))*Table13[[#This Row],[Open.Int]]*Table13[[#This Row],[DeltaC]],0)</f>
        <v>0</v>
      </c>
      <c r="AP243">
        <f ca="1">IFERROR((EXP(0*Table13[[#This Row],[T]])*Table13[[#This Row],[put N(d1)]]*(Table13[[#This Row],[put d2]]/Table13[[#This Row],[IV Calc P]]))*Table13[[#This Row],[Open.Int8]]*Table13[[#This Row],[DeltaP]]*-1,0)</f>
        <v>0</v>
      </c>
      <c r="AQ243">
        <f ca="1">((Table13[[#This Row],[call vanna]]+Table13[[#This Row],[put vanna]])*$A$4)</f>
        <v>0</v>
      </c>
      <c r="AR24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3" s="9" t="str" cm="1">
        <f t="array" ref="AT243">_xlfn.IFS(     $M$1="SPX","SPXW",     $M$1="RUT","RUTW",  $M$1="NDX","NDXP",   TRUE,$M$1 )</f>
        <v>SPXW</v>
      </c>
      <c r="AU243" s="2">
        <f t="shared" si="27"/>
        <v>6915</v>
      </c>
      <c r="AV243" t="str">
        <f t="shared" si="28"/>
        <v>000100</v>
      </c>
      <c r="AY24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3">
        <f>((Table13[[#This Row],[High C]]+Table13[[#This Row],[Low C]])/2)*Table13[[#This Row],[gammac]]*Table13[[#This Row],[Volume]]</f>
        <v>0</v>
      </c>
      <c r="BD243">
        <f>((Table13[[#This Row],[High P]]+Table13[[#This Row],[Low P]])/2)*Table13[[#This Row],[gammap]]*Table13[[#This Row],[Volume9]]*-1</f>
        <v>0</v>
      </c>
      <c r="BE243">
        <f>(Table13[[#This Row],[SgammaC]]+Table13[[#This Row],[SgammaP]])*$A$4*-100</f>
        <v>0</v>
      </c>
      <c r="BF243">
        <f>Table13[[#This Row],[DEXc]]+Table13[[#This Row],[DEXp]]</f>
        <v>0</v>
      </c>
      <c r="BG243">
        <f>IFERROR(Table13[[#This Row],[DeltaC]]*Table13[[#This Row],[Open.Int]]*$A$4,0)</f>
        <v>0</v>
      </c>
      <c r="BH243">
        <f>IFERROR(Table13[[#This Row],[DeltaP]]*Table13[[#This Row],[Open.Int8]]*$A$4,0)</f>
        <v>0</v>
      </c>
      <c r="BI24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3">
        <f ca="1">Table13[[#This Row],[charmc]]+Table13[[#This Row],[charmp]]</f>
        <v>0</v>
      </c>
      <c r="BL24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3" s="78">
        <f ca="1">Table13[[#This Row],[call helper]]+Table13[[#This Row],[put helper]]</f>
        <v>0</v>
      </c>
      <c r="BP243" t="str">
        <f>RTD("tos.rtd", , "STRIKE", "."&amp;Table13[[#This Row],[Ticker]]&amp;Table13[[#This Row],[Expiry]]&amp;""&amp;"C"&amp;Table13[[#This Row],[Spot]]+Table13[[#This Row],[step]])</f>
        <v>N/A</v>
      </c>
    </row>
    <row r="244" spans="1:68" x14ac:dyDescent="0.25">
      <c r="A244" s="14">
        <f t="shared" ca="1" si="24"/>
        <v>-126.14810350076104</v>
      </c>
      <c r="C244" s="17"/>
      <c r="D244" t="b">
        <f>IF(
    ISNUMBER(Table13[[#This Row],[Strike]]),RTD("tos.rtd", , "OPEN_INT", "."&amp;Table13[[#This Row],[Ticker]]&amp;Table13[[#This Row],[Expiry]]&amp;""&amp;"C"&amp;Table13[[#This Row],[Strike]]))</f>
        <v>0</v>
      </c>
      <c r="E24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4" t="b">
        <f>IF(     ISNUMBER(Table13[[#This Row],[Strike]]),RTD("tos.rtd", , "DELTA", "."&amp;Table13[[#This Row],[Ticker]]&amp;Table13[[#This Row],[Expiry]]&amp;""&amp;"C"&amp;Table13[[#This Row],[Strike]]))</f>
        <v>0</v>
      </c>
      <c r="H244" s="17" t="b" cm="1">
        <f t="array" ref="H244">IF(
    ISNUMBER(Table13[[#This Row],[Strike]]),IndividualLegIVCore($A$4, Table13[[#This Row],[Strike]], 0.0411, Table13[[#This Row],[T]], ((Table13[[#This Row],[BIDC]]+Table13[[#This Row],[ASKC]])/2), TRUE))</f>
        <v>0</v>
      </c>
      <c r="I244" t="b">
        <f>IF(     ISNUMBER(Table13[[#This Row],[Strike]]),RTD("tos.rtd", , "BID", "."&amp;Table13[[#This Row],[Ticker]]&amp;Table13[[#This Row],[Expiry]]&amp;""&amp;"C"&amp;Table13[[#This Row],[Strike]]))</f>
        <v>0</v>
      </c>
      <c r="J244" t="b">
        <f>IF(     ISNUMBER(Table13[[#This Row],[Strike]]),RTD("tos.rtd", , "ASK", "."&amp;Table13[[#This Row],[Ticker]]&amp;Table13[[#This Row],[Expiry]]&amp;""&amp;"C"&amp;Table13[[#This Row],[Strike]]))</f>
        <v>0</v>
      </c>
      <c r="K24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4" s="17" cm="1">
        <f t="array" aca="1" ref="L24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4" s="1">
        <f t="shared" si="25"/>
        <v>0</v>
      </c>
      <c r="N244" t="b">
        <f t="shared" si="26"/>
        <v>0</v>
      </c>
      <c r="P244" s="17" t="b" cm="1">
        <f t="array" ref="P244">IF(
    ISNUMBER(Table13[[#This Row],[Strike]]),IndividualLegIVCore($A$4, Table13[[#This Row],[Strike]], 0.0411, Table13[[#This Row],[T]], ((Table13[[#This Row],[BIDP]]+Table13[[#This Row],[ASKP]])/2), FALSE))</f>
        <v>0</v>
      </c>
      <c r="Q244" t="b">
        <f>IF(     ISNUMBER(Table13[[#This Row],[Strike]]),RTD("tos.rtd", , "BID", "."&amp;Table13[[#This Row],[Ticker]]&amp;Table13[[#This Row],[Expiry]]&amp;""&amp;"P"&amp;Table13[[#This Row],[Strike]]))</f>
        <v>0</v>
      </c>
      <c r="R244" t="b">
        <f>IF(     ISNUMBER(Table13[[#This Row],[Strike]]),RTD("tos.rtd", , "ASK", "."&amp;Table13[[#This Row],[Ticker]]&amp;Table13[[#This Row],[Expiry]]&amp;""&amp;"P"&amp;Table13[[#This Row],[Strike]]))</f>
        <v>0</v>
      </c>
      <c r="S244" s="17"/>
      <c r="T244" t="b">
        <f>IF(     ISNUMBER(Table13[[#This Row],[Strike]]),RTD("tos.rtd", , "OPEN_INT", "."&amp;Table13[[#This Row],[Ticker]]&amp;Table13[[#This Row],[Expiry]]&amp;""&amp;"P"&amp;Table13[[#This Row],[Strike]]))</f>
        <v>0</v>
      </c>
      <c r="U24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4" t="b">
        <f>IF(     ISNUMBER(Table13[[#This Row],[Strike]]),RTD("tos.rtd", , "DELTA", "."&amp;Table13[[#This Row],[Ticker]]&amp;Table13[[#This Row],[Expiry]]&amp;""&amp;"P"&amp;Table13[[#This Row],[Strike]]))</f>
        <v>0</v>
      </c>
      <c r="Y244" s="19">
        <f>-34.5 * IF($M$1="NDX", 10, IF(OR($M$1="SPX", $M$1="RUT"), 2, 1))</f>
        <v>-69</v>
      </c>
      <c r="Z244">
        <f ca="1">IFERROR(Table13[[#This Row],[call gamma]]*(Table13[[#This Row],[Open.Int]])*$A$4^2,0)</f>
        <v>0</v>
      </c>
      <c r="AA244">
        <f ca="1">IFERROR(((Table13[[#This Row],[Open.Int8]])*Table13[[#This Row],[Put gamma]])*-1*$A$4^2,0)</f>
        <v>0</v>
      </c>
      <c r="AB244">
        <f ca="1">(Table13[[#This Row],[Call Gex]]+Table13[[#This Row],[Put Gex]])</f>
        <v>0</v>
      </c>
      <c r="AC244">
        <f ca="1">Table13[[#This Row],[put delta adj]]+Table13[[#This Row],[call delta adj]]</f>
        <v>0</v>
      </c>
      <c r="AD244">
        <f ca="1">Table13[[#This Row],[Put Gex]]*Table13[[#This Row],[DeltaP]]*-1</f>
        <v>0</v>
      </c>
      <c r="AE244">
        <f ca="1">Table13[[#This Row],[Call Gex]]*Table13[[#This Row],[DeltaC]]</f>
        <v>0</v>
      </c>
      <c r="AF244">
        <f>IF(Table13[[#This Row],[DeltaC]]-ABS(Table13[[#This Row],[DeltaP]])="0","0.01",Table13[[#This Row],[DeltaC]]-ABS(Table13[[#This Row],[DeltaP]]))</f>
        <v>0</v>
      </c>
      <c r="AG244" t="e">
        <f ca="1">((LN($A$4/Table13[[#This Row],[Strike]]) + (0.411 + 0.5 * Table13[[#This Row],[IV Calc P]]^2) *Table13[[#This Row],[T]])) / (Table13[[#This Row],[IV Calc P]] * SQRT(Table13[[#This Row],[T]]))</f>
        <v>#DIV/0!</v>
      </c>
      <c r="AH244" t="e">
        <f ca="1">(LN($A$4/Table13[[#This Row],[Strike]]) + (0.411-0 + 0.5 * Table13[[#This Row],[IV Calc C]]^2) *Table13[[#This Row],[T]]) / (Table13[[#This Row],[IV Calc C]] * SQRT(Table13[[#This Row],[T]]))</f>
        <v>#DIV/0!</v>
      </c>
      <c r="AI244" t="e">
        <f ca="1">(EXP(-(AG244^2)/2)/SQRT(2*PI())*EXP(0*SQRT(Table13[[#This Row],[T]]))/$A$4*18%*SQRT(SQRT(Table13[[#This Row],[T]])))</f>
        <v>#DIV/0!</v>
      </c>
      <c r="AJ244" t="e">
        <f ca="1">(EXP(-(AH244^2)/2)/SQRT(2*PI())*EXP(0*SQRT(Table13[[#This Row],[T]]))/$A$4*18%*SQRT(SQRT(Table13[[#This Row],[T]])))</f>
        <v>#DIV/0!</v>
      </c>
      <c r="AK244" t="e">
        <f ca="1">Table13[[#This Row],[Call D1]]-Table13[[#This Row],[IV Calc C]]*SQRT(Table13[[#This Row],[T]])</f>
        <v>#DIV/0!</v>
      </c>
      <c r="AL244" t="e">
        <f ca="1">Table13[[#This Row],[Put D1]]-Table13[[#This Row],[IV Calc P]]*SQRT(Table13[[#This Row],[T]])</f>
        <v>#DIV/0!</v>
      </c>
      <c r="AM244" t="e">
        <f ca="1">EXP(-0.5*Table13[[#This Row],[Call D1]]^2)/SQRT(2*PI())</f>
        <v>#DIV/0!</v>
      </c>
      <c r="AN244" t="e">
        <f ca="1">EXP(-0.5*Table13[[#This Row],[Put D1]]^2)/SQRT(2*PI())</f>
        <v>#DIV/0!</v>
      </c>
      <c r="AO244">
        <f ca="1">IFERROR((EXP(0*Table13[[#This Row],[T]])*Table13[[#This Row],[call N(d1)]]*(Table13[[#This Row],[call d2]]/Table13[[#This Row],[IV Calc C]]))*Table13[[#This Row],[Open.Int]]*Table13[[#This Row],[DeltaC]],0)</f>
        <v>0</v>
      </c>
      <c r="AP244">
        <f ca="1">IFERROR((EXP(0*Table13[[#This Row],[T]])*Table13[[#This Row],[put N(d1)]]*(Table13[[#This Row],[put d2]]/Table13[[#This Row],[IV Calc P]]))*Table13[[#This Row],[Open.Int8]]*Table13[[#This Row],[DeltaP]]*-1,0)</f>
        <v>0</v>
      </c>
      <c r="AQ244">
        <f ca="1">((Table13[[#This Row],[call vanna]]+Table13[[#This Row],[put vanna]])*$A$4)</f>
        <v>0</v>
      </c>
      <c r="AR24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4" s="9" t="str" cm="1">
        <f t="array" ref="AT244">_xlfn.IFS(     $M$1="SPX","SPXW",     $M$1="RUT","RUTW",  $M$1="NDX","NDXP",   TRUE,$M$1 )</f>
        <v>SPXW</v>
      </c>
      <c r="AU244" s="2">
        <f t="shared" si="27"/>
        <v>6915</v>
      </c>
      <c r="AV244" t="str">
        <f t="shared" si="28"/>
        <v>000100</v>
      </c>
      <c r="AY24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4">
        <f>((Table13[[#This Row],[High C]]+Table13[[#This Row],[Low C]])/2)*Table13[[#This Row],[gammac]]*Table13[[#This Row],[Volume]]</f>
        <v>0</v>
      </c>
      <c r="BD244">
        <f>((Table13[[#This Row],[High P]]+Table13[[#This Row],[Low P]])/2)*Table13[[#This Row],[gammap]]*Table13[[#This Row],[Volume9]]*-1</f>
        <v>0</v>
      </c>
      <c r="BE244">
        <f>(Table13[[#This Row],[SgammaC]]+Table13[[#This Row],[SgammaP]])*$A$4*-100</f>
        <v>0</v>
      </c>
      <c r="BF244">
        <f>Table13[[#This Row],[DEXc]]+Table13[[#This Row],[DEXp]]</f>
        <v>0</v>
      </c>
      <c r="BG244">
        <f>IFERROR(Table13[[#This Row],[DeltaC]]*Table13[[#This Row],[Open.Int]]*$A$4,0)</f>
        <v>0</v>
      </c>
      <c r="BH244">
        <f>IFERROR(Table13[[#This Row],[DeltaP]]*Table13[[#This Row],[Open.Int8]]*$A$4,0)</f>
        <v>0</v>
      </c>
      <c r="BI24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4">
        <f ca="1">Table13[[#This Row],[charmc]]+Table13[[#This Row],[charmp]]</f>
        <v>0</v>
      </c>
      <c r="BL24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4" s="78">
        <f ca="1">Table13[[#This Row],[call helper]]+Table13[[#This Row],[put helper]]</f>
        <v>0</v>
      </c>
      <c r="BP244" t="str">
        <f>RTD("tos.rtd", , "STRIKE", "."&amp;Table13[[#This Row],[Ticker]]&amp;Table13[[#This Row],[Expiry]]&amp;""&amp;"C"&amp;Table13[[#This Row],[Spot]]+Table13[[#This Row],[step]])</f>
        <v>N/A</v>
      </c>
    </row>
    <row r="245" spans="1:68" x14ac:dyDescent="0.25">
      <c r="A245" s="14">
        <f t="shared" ca="1" si="24"/>
        <v>-126.14810350076104</v>
      </c>
      <c r="C245" s="17"/>
      <c r="D245" t="b">
        <f>IF(
    ISNUMBER(Table13[[#This Row],[Strike]]),RTD("tos.rtd", , "OPEN_INT", "."&amp;Table13[[#This Row],[Ticker]]&amp;Table13[[#This Row],[Expiry]]&amp;""&amp;"C"&amp;Table13[[#This Row],[Strike]]))</f>
        <v>0</v>
      </c>
      <c r="E24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5" t="b">
        <f>IF(     ISNUMBER(Table13[[#This Row],[Strike]]),RTD("tos.rtd", , "DELTA", "."&amp;Table13[[#This Row],[Ticker]]&amp;Table13[[#This Row],[Expiry]]&amp;""&amp;"C"&amp;Table13[[#This Row],[Strike]]))</f>
        <v>0</v>
      </c>
      <c r="H245" s="17" t="b" cm="1">
        <f t="array" ref="H245">IF(
    ISNUMBER(Table13[[#This Row],[Strike]]),IndividualLegIVCore($A$4, Table13[[#This Row],[Strike]], 0.0411, Table13[[#This Row],[T]], ((Table13[[#This Row],[BIDC]]+Table13[[#This Row],[ASKC]])/2), TRUE))</f>
        <v>0</v>
      </c>
      <c r="I245" t="b">
        <f>IF(     ISNUMBER(Table13[[#This Row],[Strike]]),RTD("tos.rtd", , "BID", "."&amp;Table13[[#This Row],[Ticker]]&amp;Table13[[#This Row],[Expiry]]&amp;""&amp;"C"&amp;Table13[[#This Row],[Strike]]))</f>
        <v>0</v>
      </c>
      <c r="J245" t="b">
        <f>IF(     ISNUMBER(Table13[[#This Row],[Strike]]),RTD("tos.rtd", , "ASK", "."&amp;Table13[[#This Row],[Ticker]]&amp;Table13[[#This Row],[Expiry]]&amp;""&amp;"C"&amp;Table13[[#This Row],[Strike]]))</f>
        <v>0</v>
      </c>
      <c r="K24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5" s="17" cm="1">
        <f t="array" aca="1" ref="L24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5" s="1">
        <f t="shared" si="25"/>
        <v>0</v>
      </c>
      <c r="N245" t="b">
        <f t="shared" si="26"/>
        <v>0</v>
      </c>
      <c r="P245" s="17" t="b" cm="1">
        <f t="array" ref="P245">IF(
    ISNUMBER(Table13[[#This Row],[Strike]]),IndividualLegIVCore($A$4, Table13[[#This Row],[Strike]], 0.0411, Table13[[#This Row],[T]], ((Table13[[#This Row],[BIDP]]+Table13[[#This Row],[ASKP]])/2), FALSE))</f>
        <v>0</v>
      </c>
      <c r="Q245" t="b">
        <f>IF(     ISNUMBER(Table13[[#This Row],[Strike]]),RTD("tos.rtd", , "BID", "."&amp;Table13[[#This Row],[Ticker]]&amp;Table13[[#This Row],[Expiry]]&amp;""&amp;"P"&amp;Table13[[#This Row],[Strike]]))</f>
        <v>0</v>
      </c>
      <c r="R245" t="b">
        <f>IF(     ISNUMBER(Table13[[#This Row],[Strike]]),RTD("tos.rtd", , "ASK", "."&amp;Table13[[#This Row],[Ticker]]&amp;Table13[[#This Row],[Expiry]]&amp;""&amp;"P"&amp;Table13[[#This Row],[Strike]]))</f>
        <v>0</v>
      </c>
      <c r="S245" s="17"/>
      <c r="T245" t="b">
        <f>IF(     ISNUMBER(Table13[[#This Row],[Strike]]),RTD("tos.rtd", , "OPEN_INT", "."&amp;Table13[[#This Row],[Ticker]]&amp;Table13[[#This Row],[Expiry]]&amp;""&amp;"P"&amp;Table13[[#This Row],[Strike]]))</f>
        <v>0</v>
      </c>
      <c r="U24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5" t="b">
        <f>IF(     ISNUMBER(Table13[[#This Row],[Strike]]),RTD("tos.rtd", , "DELTA", "."&amp;Table13[[#This Row],[Ticker]]&amp;Table13[[#This Row],[Expiry]]&amp;""&amp;"P"&amp;Table13[[#This Row],[Strike]]))</f>
        <v>0</v>
      </c>
      <c r="Y245" s="19">
        <f>-34 * IF($M$1="NDX", 10, IF(OR($M$1="SPX", $M$1="RUT"), 2, 1))</f>
        <v>-68</v>
      </c>
      <c r="Z245">
        <f ca="1">IFERROR(Table13[[#This Row],[call gamma]]*(Table13[[#This Row],[Open.Int]])*$A$4^2,0)</f>
        <v>0</v>
      </c>
      <c r="AA245">
        <f ca="1">IFERROR(((Table13[[#This Row],[Open.Int8]])*Table13[[#This Row],[Put gamma]])*-1*$A$4^2,0)</f>
        <v>0</v>
      </c>
      <c r="AB245">
        <f ca="1">(Table13[[#This Row],[Call Gex]]+Table13[[#This Row],[Put Gex]])</f>
        <v>0</v>
      </c>
      <c r="AC245">
        <f ca="1">Table13[[#This Row],[put delta adj]]+Table13[[#This Row],[call delta adj]]</f>
        <v>0</v>
      </c>
      <c r="AD245">
        <f ca="1">Table13[[#This Row],[Put Gex]]*Table13[[#This Row],[DeltaP]]*-1</f>
        <v>0</v>
      </c>
      <c r="AE245">
        <f ca="1">Table13[[#This Row],[Call Gex]]*Table13[[#This Row],[DeltaC]]</f>
        <v>0</v>
      </c>
      <c r="AF245">
        <f>IF(Table13[[#This Row],[DeltaC]]-ABS(Table13[[#This Row],[DeltaP]])="0","0.01",Table13[[#This Row],[DeltaC]]-ABS(Table13[[#This Row],[DeltaP]]))</f>
        <v>0</v>
      </c>
      <c r="AG245" t="e">
        <f ca="1">((LN($A$4/Table13[[#This Row],[Strike]]) + (0.411 + 0.5 * Table13[[#This Row],[IV Calc P]]^2) *Table13[[#This Row],[T]])) / (Table13[[#This Row],[IV Calc P]] * SQRT(Table13[[#This Row],[T]]))</f>
        <v>#DIV/0!</v>
      </c>
      <c r="AH245" t="e">
        <f ca="1">(LN($A$4/Table13[[#This Row],[Strike]]) + (0.411-0 + 0.5 * Table13[[#This Row],[IV Calc C]]^2) *Table13[[#This Row],[T]]) / (Table13[[#This Row],[IV Calc C]] * SQRT(Table13[[#This Row],[T]]))</f>
        <v>#DIV/0!</v>
      </c>
      <c r="AI245" t="e">
        <f ca="1">(EXP(-(AG245^2)/2)/SQRT(2*PI())*EXP(0*SQRT(Table13[[#This Row],[T]]))/$A$4*18%*SQRT(SQRT(Table13[[#This Row],[T]])))</f>
        <v>#DIV/0!</v>
      </c>
      <c r="AJ245" t="e">
        <f ca="1">(EXP(-(AH245^2)/2)/SQRT(2*PI())*EXP(0*SQRT(Table13[[#This Row],[T]]))/$A$4*18%*SQRT(SQRT(Table13[[#This Row],[T]])))</f>
        <v>#DIV/0!</v>
      </c>
      <c r="AK245" t="e">
        <f ca="1">Table13[[#This Row],[Call D1]]-Table13[[#This Row],[IV Calc C]]*SQRT(Table13[[#This Row],[T]])</f>
        <v>#DIV/0!</v>
      </c>
      <c r="AL245" t="e">
        <f ca="1">Table13[[#This Row],[Put D1]]-Table13[[#This Row],[IV Calc P]]*SQRT(Table13[[#This Row],[T]])</f>
        <v>#DIV/0!</v>
      </c>
      <c r="AM245" t="e">
        <f ca="1">EXP(-0.5*Table13[[#This Row],[Call D1]]^2)/SQRT(2*PI())</f>
        <v>#DIV/0!</v>
      </c>
      <c r="AN245" t="e">
        <f ca="1">EXP(-0.5*Table13[[#This Row],[Put D1]]^2)/SQRT(2*PI())</f>
        <v>#DIV/0!</v>
      </c>
      <c r="AO245">
        <f ca="1">IFERROR((EXP(0*Table13[[#This Row],[T]])*Table13[[#This Row],[call N(d1)]]*(Table13[[#This Row],[call d2]]/Table13[[#This Row],[IV Calc C]]))*Table13[[#This Row],[Open.Int]]*Table13[[#This Row],[DeltaC]],0)</f>
        <v>0</v>
      </c>
      <c r="AP245">
        <f ca="1">IFERROR((EXP(0*Table13[[#This Row],[T]])*Table13[[#This Row],[put N(d1)]]*(Table13[[#This Row],[put d2]]/Table13[[#This Row],[IV Calc P]]))*Table13[[#This Row],[Open.Int8]]*Table13[[#This Row],[DeltaP]]*-1,0)</f>
        <v>0</v>
      </c>
      <c r="AQ245">
        <f ca="1">((Table13[[#This Row],[call vanna]]+Table13[[#This Row],[put vanna]])*$A$4)</f>
        <v>0</v>
      </c>
      <c r="AR24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5" s="9" t="str" cm="1">
        <f t="array" ref="AT245">_xlfn.IFS(     $M$1="SPX","SPXW",     $M$1="RUT","RUTW",  $M$1="NDX","NDXP",   TRUE,$M$1 )</f>
        <v>SPXW</v>
      </c>
      <c r="AU245" s="2">
        <f t="shared" si="27"/>
        <v>6915</v>
      </c>
      <c r="AV245" t="str">
        <f t="shared" si="28"/>
        <v>000100</v>
      </c>
      <c r="AY24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5">
        <f>((Table13[[#This Row],[High C]]+Table13[[#This Row],[Low C]])/2)*Table13[[#This Row],[gammac]]*Table13[[#This Row],[Volume]]</f>
        <v>0</v>
      </c>
      <c r="BD245">
        <f>((Table13[[#This Row],[High P]]+Table13[[#This Row],[Low P]])/2)*Table13[[#This Row],[gammap]]*Table13[[#This Row],[Volume9]]*-1</f>
        <v>0</v>
      </c>
      <c r="BE245">
        <f>(Table13[[#This Row],[SgammaC]]+Table13[[#This Row],[SgammaP]])*$A$4*-100</f>
        <v>0</v>
      </c>
      <c r="BF245">
        <f>Table13[[#This Row],[DEXc]]+Table13[[#This Row],[DEXp]]</f>
        <v>0</v>
      </c>
      <c r="BG245">
        <f>IFERROR(Table13[[#This Row],[DeltaC]]*Table13[[#This Row],[Open.Int]]*$A$4,0)</f>
        <v>0</v>
      </c>
      <c r="BH245">
        <f>IFERROR(Table13[[#This Row],[DeltaP]]*Table13[[#This Row],[Open.Int8]]*$A$4,0)</f>
        <v>0</v>
      </c>
      <c r="BI24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5">
        <f ca="1">Table13[[#This Row],[charmc]]+Table13[[#This Row],[charmp]]</f>
        <v>0</v>
      </c>
      <c r="BL24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5" s="78">
        <f ca="1">Table13[[#This Row],[call helper]]+Table13[[#This Row],[put helper]]</f>
        <v>0</v>
      </c>
      <c r="BP245" t="str">
        <f>RTD("tos.rtd", , "STRIKE", "."&amp;Table13[[#This Row],[Ticker]]&amp;Table13[[#This Row],[Expiry]]&amp;""&amp;"C"&amp;Table13[[#This Row],[Spot]]+Table13[[#This Row],[step]])</f>
        <v>N/A</v>
      </c>
    </row>
    <row r="246" spans="1:68" x14ac:dyDescent="0.25">
      <c r="A246" s="14">
        <f t="shared" ca="1" si="24"/>
        <v>-126.14810350076104</v>
      </c>
      <c r="C246" s="17"/>
      <c r="D246" t="b">
        <f>IF(
    ISNUMBER(Table13[[#This Row],[Strike]]),RTD("tos.rtd", , "OPEN_INT", "."&amp;Table13[[#This Row],[Ticker]]&amp;Table13[[#This Row],[Expiry]]&amp;""&amp;"C"&amp;Table13[[#This Row],[Strike]]))</f>
        <v>0</v>
      </c>
      <c r="E24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6" t="b">
        <f>IF(     ISNUMBER(Table13[[#This Row],[Strike]]),RTD("tos.rtd", , "DELTA", "."&amp;Table13[[#This Row],[Ticker]]&amp;Table13[[#This Row],[Expiry]]&amp;""&amp;"C"&amp;Table13[[#This Row],[Strike]]))</f>
        <v>0</v>
      </c>
      <c r="H246" s="17" t="b" cm="1">
        <f t="array" ref="H246">IF(
    ISNUMBER(Table13[[#This Row],[Strike]]),IndividualLegIVCore($A$4, Table13[[#This Row],[Strike]], 0.0411, Table13[[#This Row],[T]], ((Table13[[#This Row],[BIDC]]+Table13[[#This Row],[ASKC]])/2), TRUE))</f>
        <v>0</v>
      </c>
      <c r="I246" t="b">
        <f>IF(     ISNUMBER(Table13[[#This Row],[Strike]]),RTD("tos.rtd", , "BID", "."&amp;Table13[[#This Row],[Ticker]]&amp;Table13[[#This Row],[Expiry]]&amp;""&amp;"C"&amp;Table13[[#This Row],[Strike]]))</f>
        <v>0</v>
      </c>
      <c r="J246" t="b">
        <f>IF(     ISNUMBER(Table13[[#This Row],[Strike]]),RTD("tos.rtd", , "ASK", "."&amp;Table13[[#This Row],[Ticker]]&amp;Table13[[#This Row],[Expiry]]&amp;""&amp;"C"&amp;Table13[[#This Row],[Strike]]))</f>
        <v>0</v>
      </c>
      <c r="K24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6" s="17" cm="1">
        <f t="array" aca="1" ref="L24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6" s="1">
        <f t="shared" si="25"/>
        <v>0</v>
      </c>
      <c r="N246" t="b">
        <f t="shared" si="26"/>
        <v>0</v>
      </c>
      <c r="P246" s="17" t="b" cm="1">
        <f t="array" ref="P246">IF(
    ISNUMBER(Table13[[#This Row],[Strike]]),IndividualLegIVCore($A$4, Table13[[#This Row],[Strike]], 0.0411, Table13[[#This Row],[T]], ((Table13[[#This Row],[BIDP]]+Table13[[#This Row],[ASKP]])/2), FALSE))</f>
        <v>0</v>
      </c>
      <c r="Q246" t="b">
        <f>IF(     ISNUMBER(Table13[[#This Row],[Strike]]),RTD("tos.rtd", , "BID", "."&amp;Table13[[#This Row],[Ticker]]&amp;Table13[[#This Row],[Expiry]]&amp;""&amp;"P"&amp;Table13[[#This Row],[Strike]]))</f>
        <v>0</v>
      </c>
      <c r="R246" t="b">
        <f>IF(     ISNUMBER(Table13[[#This Row],[Strike]]),RTD("tos.rtd", , "ASK", "."&amp;Table13[[#This Row],[Ticker]]&amp;Table13[[#This Row],[Expiry]]&amp;""&amp;"P"&amp;Table13[[#This Row],[Strike]]))</f>
        <v>0</v>
      </c>
      <c r="S246" s="17"/>
      <c r="T246" t="b">
        <f>IF(     ISNUMBER(Table13[[#This Row],[Strike]]),RTD("tos.rtd", , "OPEN_INT", "."&amp;Table13[[#This Row],[Ticker]]&amp;Table13[[#This Row],[Expiry]]&amp;""&amp;"P"&amp;Table13[[#This Row],[Strike]]))</f>
        <v>0</v>
      </c>
      <c r="U24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6" t="b">
        <f>IF(     ISNUMBER(Table13[[#This Row],[Strike]]),RTD("tos.rtd", , "DELTA", "."&amp;Table13[[#This Row],[Ticker]]&amp;Table13[[#This Row],[Expiry]]&amp;""&amp;"P"&amp;Table13[[#This Row],[Strike]]))</f>
        <v>0</v>
      </c>
      <c r="Y246" s="19">
        <f>-33.5 * IF($M$1="NDX", 10, IF(OR($M$1="SPX", $M$1="RUT"), 2, 1))</f>
        <v>-67</v>
      </c>
      <c r="Z246">
        <f ca="1">IFERROR(Table13[[#This Row],[call gamma]]*(Table13[[#This Row],[Open.Int]])*$A$4^2,0)</f>
        <v>0</v>
      </c>
      <c r="AA246">
        <f ca="1">IFERROR(((Table13[[#This Row],[Open.Int8]])*Table13[[#This Row],[Put gamma]])*-1*$A$4^2,0)</f>
        <v>0</v>
      </c>
      <c r="AB246">
        <f ca="1">(Table13[[#This Row],[Call Gex]]+Table13[[#This Row],[Put Gex]])</f>
        <v>0</v>
      </c>
      <c r="AC246">
        <f ca="1">Table13[[#This Row],[put delta adj]]+Table13[[#This Row],[call delta adj]]</f>
        <v>0</v>
      </c>
      <c r="AD246">
        <f ca="1">Table13[[#This Row],[Put Gex]]*Table13[[#This Row],[DeltaP]]*-1</f>
        <v>0</v>
      </c>
      <c r="AE246">
        <f ca="1">Table13[[#This Row],[Call Gex]]*Table13[[#This Row],[DeltaC]]</f>
        <v>0</v>
      </c>
      <c r="AF246">
        <f>IF(Table13[[#This Row],[DeltaC]]-ABS(Table13[[#This Row],[DeltaP]])="0","0.01",Table13[[#This Row],[DeltaC]]-ABS(Table13[[#This Row],[DeltaP]]))</f>
        <v>0</v>
      </c>
      <c r="AG246" t="e">
        <f ca="1">((LN($A$4/Table13[[#This Row],[Strike]]) + (0.411 + 0.5 * Table13[[#This Row],[IV Calc P]]^2) *Table13[[#This Row],[T]])) / (Table13[[#This Row],[IV Calc P]] * SQRT(Table13[[#This Row],[T]]))</f>
        <v>#DIV/0!</v>
      </c>
      <c r="AH246" t="e">
        <f ca="1">(LN($A$4/Table13[[#This Row],[Strike]]) + (0.411-0 + 0.5 * Table13[[#This Row],[IV Calc C]]^2) *Table13[[#This Row],[T]]) / (Table13[[#This Row],[IV Calc C]] * SQRT(Table13[[#This Row],[T]]))</f>
        <v>#DIV/0!</v>
      </c>
      <c r="AI246" t="e">
        <f ca="1">(EXP(-(AG246^2)/2)/SQRT(2*PI())*EXP(0*SQRT(Table13[[#This Row],[T]]))/$A$4*18%*SQRT(SQRT(Table13[[#This Row],[T]])))</f>
        <v>#DIV/0!</v>
      </c>
      <c r="AJ246" t="e">
        <f ca="1">(EXP(-(AH246^2)/2)/SQRT(2*PI())*EXP(0*SQRT(Table13[[#This Row],[T]]))/$A$4*18%*SQRT(SQRT(Table13[[#This Row],[T]])))</f>
        <v>#DIV/0!</v>
      </c>
      <c r="AK246" t="e">
        <f ca="1">Table13[[#This Row],[Call D1]]-Table13[[#This Row],[IV Calc C]]*SQRT(Table13[[#This Row],[T]])</f>
        <v>#DIV/0!</v>
      </c>
      <c r="AL246" t="e">
        <f ca="1">Table13[[#This Row],[Put D1]]-Table13[[#This Row],[IV Calc P]]*SQRT(Table13[[#This Row],[T]])</f>
        <v>#DIV/0!</v>
      </c>
      <c r="AM246" t="e">
        <f ca="1">EXP(-0.5*Table13[[#This Row],[Call D1]]^2)/SQRT(2*PI())</f>
        <v>#DIV/0!</v>
      </c>
      <c r="AN246" t="e">
        <f ca="1">EXP(-0.5*Table13[[#This Row],[Put D1]]^2)/SQRT(2*PI())</f>
        <v>#DIV/0!</v>
      </c>
      <c r="AO246">
        <f ca="1">IFERROR((EXP(0*Table13[[#This Row],[T]])*Table13[[#This Row],[call N(d1)]]*(Table13[[#This Row],[call d2]]/Table13[[#This Row],[IV Calc C]]))*Table13[[#This Row],[Open.Int]]*Table13[[#This Row],[DeltaC]],0)</f>
        <v>0</v>
      </c>
      <c r="AP246">
        <f ca="1">IFERROR((EXP(0*Table13[[#This Row],[T]])*Table13[[#This Row],[put N(d1)]]*(Table13[[#This Row],[put d2]]/Table13[[#This Row],[IV Calc P]]))*Table13[[#This Row],[Open.Int8]]*Table13[[#This Row],[DeltaP]]*-1,0)</f>
        <v>0</v>
      </c>
      <c r="AQ246">
        <f ca="1">((Table13[[#This Row],[call vanna]]+Table13[[#This Row],[put vanna]])*$A$4)</f>
        <v>0</v>
      </c>
      <c r="AR24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6" s="9" t="str" cm="1">
        <f t="array" ref="AT246">_xlfn.IFS(     $M$1="SPX","SPXW",     $M$1="RUT","RUTW",  $M$1="NDX","NDXP",   TRUE,$M$1 )</f>
        <v>SPXW</v>
      </c>
      <c r="AU246" s="2">
        <f t="shared" si="27"/>
        <v>6915</v>
      </c>
      <c r="AV246" t="str">
        <f t="shared" si="28"/>
        <v>000100</v>
      </c>
      <c r="AY24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6">
        <f>((Table13[[#This Row],[High C]]+Table13[[#This Row],[Low C]])/2)*Table13[[#This Row],[gammac]]*Table13[[#This Row],[Volume]]</f>
        <v>0</v>
      </c>
      <c r="BD246">
        <f>((Table13[[#This Row],[High P]]+Table13[[#This Row],[Low P]])/2)*Table13[[#This Row],[gammap]]*Table13[[#This Row],[Volume9]]*-1</f>
        <v>0</v>
      </c>
      <c r="BE246">
        <f>(Table13[[#This Row],[SgammaC]]+Table13[[#This Row],[SgammaP]])*$A$4*-100</f>
        <v>0</v>
      </c>
      <c r="BF246">
        <f>Table13[[#This Row],[DEXc]]+Table13[[#This Row],[DEXp]]</f>
        <v>0</v>
      </c>
      <c r="BG246">
        <f>IFERROR(Table13[[#This Row],[DeltaC]]*Table13[[#This Row],[Open.Int]]*$A$4,0)</f>
        <v>0</v>
      </c>
      <c r="BH246">
        <f>IFERROR(Table13[[#This Row],[DeltaP]]*Table13[[#This Row],[Open.Int8]]*$A$4,0)</f>
        <v>0</v>
      </c>
      <c r="BI24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6">
        <f ca="1">Table13[[#This Row],[charmc]]+Table13[[#This Row],[charmp]]</f>
        <v>0</v>
      </c>
      <c r="BL24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6" s="78">
        <f ca="1">Table13[[#This Row],[call helper]]+Table13[[#This Row],[put helper]]</f>
        <v>0</v>
      </c>
      <c r="BP246" t="str">
        <f>RTD("tos.rtd", , "STRIKE", "."&amp;Table13[[#This Row],[Ticker]]&amp;Table13[[#This Row],[Expiry]]&amp;""&amp;"C"&amp;Table13[[#This Row],[Spot]]+Table13[[#This Row],[step]])</f>
        <v>N/A</v>
      </c>
    </row>
    <row r="247" spans="1:68" x14ac:dyDescent="0.25">
      <c r="A247" s="14">
        <f t="shared" ca="1" si="24"/>
        <v>-126.14810350076104</v>
      </c>
      <c r="C247" s="17"/>
      <c r="D247" t="b">
        <f>IF(
    ISNUMBER(Table13[[#This Row],[Strike]]),RTD("tos.rtd", , "OPEN_INT", "."&amp;Table13[[#This Row],[Ticker]]&amp;Table13[[#This Row],[Expiry]]&amp;""&amp;"C"&amp;Table13[[#This Row],[Strike]]))</f>
        <v>0</v>
      </c>
      <c r="E24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7" t="b">
        <f>IF(     ISNUMBER(Table13[[#This Row],[Strike]]),RTD("tos.rtd", , "DELTA", "."&amp;Table13[[#This Row],[Ticker]]&amp;Table13[[#This Row],[Expiry]]&amp;""&amp;"C"&amp;Table13[[#This Row],[Strike]]))</f>
        <v>0</v>
      </c>
      <c r="H247" s="17" t="b" cm="1">
        <f t="array" ref="H247">IF(
    ISNUMBER(Table13[[#This Row],[Strike]]),IndividualLegIVCore($A$4, Table13[[#This Row],[Strike]], 0.0411, Table13[[#This Row],[T]], ((Table13[[#This Row],[BIDC]]+Table13[[#This Row],[ASKC]])/2), TRUE))</f>
        <v>0</v>
      </c>
      <c r="I247" t="b">
        <f>IF(     ISNUMBER(Table13[[#This Row],[Strike]]),RTD("tos.rtd", , "BID", "."&amp;Table13[[#This Row],[Ticker]]&amp;Table13[[#This Row],[Expiry]]&amp;""&amp;"C"&amp;Table13[[#This Row],[Strike]]))</f>
        <v>0</v>
      </c>
      <c r="J247" t="b">
        <f>IF(     ISNUMBER(Table13[[#This Row],[Strike]]),RTD("tos.rtd", , "ASK", "."&amp;Table13[[#This Row],[Ticker]]&amp;Table13[[#This Row],[Expiry]]&amp;""&amp;"C"&amp;Table13[[#This Row],[Strike]]))</f>
        <v>0</v>
      </c>
      <c r="K24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7" s="17" cm="1">
        <f t="array" aca="1" ref="L24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7" s="1">
        <f t="shared" si="25"/>
        <v>0</v>
      </c>
      <c r="N247" t="b">
        <f t="shared" si="26"/>
        <v>0</v>
      </c>
      <c r="P247" s="17" t="b" cm="1">
        <f t="array" ref="P247">IF(
    ISNUMBER(Table13[[#This Row],[Strike]]),IndividualLegIVCore($A$4, Table13[[#This Row],[Strike]], 0.0411, Table13[[#This Row],[T]], ((Table13[[#This Row],[BIDP]]+Table13[[#This Row],[ASKP]])/2), FALSE))</f>
        <v>0</v>
      </c>
      <c r="Q247" t="b">
        <f>IF(     ISNUMBER(Table13[[#This Row],[Strike]]),RTD("tos.rtd", , "BID", "."&amp;Table13[[#This Row],[Ticker]]&amp;Table13[[#This Row],[Expiry]]&amp;""&amp;"P"&amp;Table13[[#This Row],[Strike]]))</f>
        <v>0</v>
      </c>
      <c r="R247" t="b">
        <f>IF(     ISNUMBER(Table13[[#This Row],[Strike]]),RTD("tos.rtd", , "ASK", "."&amp;Table13[[#This Row],[Ticker]]&amp;Table13[[#This Row],[Expiry]]&amp;""&amp;"P"&amp;Table13[[#This Row],[Strike]]))</f>
        <v>0</v>
      </c>
      <c r="S247" s="17"/>
      <c r="T247" t="b">
        <f>IF(     ISNUMBER(Table13[[#This Row],[Strike]]),RTD("tos.rtd", , "OPEN_INT", "."&amp;Table13[[#This Row],[Ticker]]&amp;Table13[[#This Row],[Expiry]]&amp;""&amp;"P"&amp;Table13[[#This Row],[Strike]]))</f>
        <v>0</v>
      </c>
      <c r="U24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7" t="b">
        <f>IF(     ISNUMBER(Table13[[#This Row],[Strike]]),RTD("tos.rtd", , "DELTA", "."&amp;Table13[[#This Row],[Ticker]]&amp;Table13[[#This Row],[Expiry]]&amp;""&amp;"P"&amp;Table13[[#This Row],[Strike]]))</f>
        <v>0</v>
      </c>
      <c r="Y247" s="19">
        <f>-33 * IF($M$1="NDX", 10, IF(OR($M$1="SPX", $M$1="RUT"), 2, 1))</f>
        <v>-66</v>
      </c>
      <c r="Z247">
        <f ca="1">IFERROR(Table13[[#This Row],[call gamma]]*(Table13[[#This Row],[Open.Int]])*$A$4^2,0)</f>
        <v>0</v>
      </c>
      <c r="AA247">
        <f ca="1">IFERROR(((Table13[[#This Row],[Open.Int8]])*Table13[[#This Row],[Put gamma]])*-1*$A$4^2,0)</f>
        <v>0</v>
      </c>
      <c r="AB247">
        <f ca="1">(Table13[[#This Row],[Call Gex]]+Table13[[#This Row],[Put Gex]])</f>
        <v>0</v>
      </c>
      <c r="AC247">
        <f ca="1">Table13[[#This Row],[put delta adj]]+Table13[[#This Row],[call delta adj]]</f>
        <v>0</v>
      </c>
      <c r="AD247">
        <f ca="1">Table13[[#This Row],[Put Gex]]*Table13[[#This Row],[DeltaP]]*-1</f>
        <v>0</v>
      </c>
      <c r="AE247">
        <f ca="1">Table13[[#This Row],[Call Gex]]*Table13[[#This Row],[DeltaC]]</f>
        <v>0</v>
      </c>
      <c r="AF247">
        <f>IF(Table13[[#This Row],[DeltaC]]-ABS(Table13[[#This Row],[DeltaP]])="0","0.01",Table13[[#This Row],[DeltaC]]-ABS(Table13[[#This Row],[DeltaP]]))</f>
        <v>0</v>
      </c>
      <c r="AG247" t="e">
        <f ca="1">((LN($A$4/Table13[[#This Row],[Strike]]) + (0.411 + 0.5 * Table13[[#This Row],[IV Calc P]]^2) *Table13[[#This Row],[T]])) / (Table13[[#This Row],[IV Calc P]] * SQRT(Table13[[#This Row],[T]]))</f>
        <v>#DIV/0!</v>
      </c>
      <c r="AH247" t="e">
        <f ca="1">(LN($A$4/Table13[[#This Row],[Strike]]) + (0.411-0 + 0.5 * Table13[[#This Row],[IV Calc C]]^2) *Table13[[#This Row],[T]]) / (Table13[[#This Row],[IV Calc C]] * SQRT(Table13[[#This Row],[T]]))</f>
        <v>#DIV/0!</v>
      </c>
      <c r="AI247" t="e">
        <f ca="1">(EXP(-(AG247^2)/2)/SQRT(2*PI())*EXP(0*SQRT(Table13[[#This Row],[T]]))/$A$4*18%*SQRT(SQRT(Table13[[#This Row],[T]])))</f>
        <v>#DIV/0!</v>
      </c>
      <c r="AJ247" t="e">
        <f ca="1">(EXP(-(AH247^2)/2)/SQRT(2*PI())*EXP(0*SQRT(Table13[[#This Row],[T]]))/$A$4*18%*SQRT(SQRT(Table13[[#This Row],[T]])))</f>
        <v>#DIV/0!</v>
      </c>
      <c r="AK247" t="e">
        <f ca="1">Table13[[#This Row],[Call D1]]-Table13[[#This Row],[IV Calc C]]*SQRT(Table13[[#This Row],[T]])</f>
        <v>#DIV/0!</v>
      </c>
      <c r="AL247" t="e">
        <f ca="1">Table13[[#This Row],[Put D1]]-Table13[[#This Row],[IV Calc P]]*SQRT(Table13[[#This Row],[T]])</f>
        <v>#DIV/0!</v>
      </c>
      <c r="AM247" t="e">
        <f ca="1">EXP(-0.5*Table13[[#This Row],[Call D1]]^2)/SQRT(2*PI())</f>
        <v>#DIV/0!</v>
      </c>
      <c r="AN247" t="e">
        <f ca="1">EXP(-0.5*Table13[[#This Row],[Put D1]]^2)/SQRT(2*PI())</f>
        <v>#DIV/0!</v>
      </c>
      <c r="AO247">
        <f ca="1">IFERROR((EXP(0*Table13[[#This Row],[T]])*Table13[[#This Row],[call N(d1)]]*(Table13[[#This Row],[call d2]]/Table13[[#This Row],[IV Calc C]]))*Table13[[#This Row],[Open.Int]]*Table13[[#This Row],[DeltaC]],0)</f>
        <v>0</v>
      </c>
      <c r="AP247">
        <f ca="1">IFERROR((EXP(0*Table13[[#This Row],[T]])*Table13[[#This Row],[put N(d1)]]*(Table13[[#This Row],[put d2]]/Table13[[#This Row],[IV Calc P]]))*Table13[[#This Row],[Open.Int8]]*Table13[[#This Row],[DeltaP]]*-1,0)</f>
        <v>0</v>
      </c>
      <c r="AQ247">
        <f ca="1">((Table13[[#This Row],[call vanna]]+Table13[[#This Row],[put vanna]])*$A$4)</f>
        <v>0</v>
      </c>
      <c r="AR24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7" s="9" t="str" cm="1">
        <f t="array" ref="AT247">_xlfn.IFS(     $M$1="SPX","SPXW",     $M$1="RUT","RUTW",  $M$1="NDX","NDXP",   TRUE,$M$1 )</f>
        <v>SPXW</v>
      </c>
      <c r="AU247" s="2">
        <f t="shared" si="27"/>
        <v>6915</v>
      </c>
      <c r="AV247" t="str">
        <f t="shared" si="28"/>
        <v>000100</v>
      </c>
      <c r="AY24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7">
        <f>((Table13[[#This Row],[High C]]+Table13[[#This Row],[Low C]])/2)*Table13[[#This Row],[gammac]]*Table13[[#This Row],[Volume]]</f>
        <v>0</v>
      </c>
      <c r="BD247">
        <f>((Table13[[#This Row],[High P]]+Table13[[#This Row],[Low P]])/2)*Table13[[#This Row],[gammap]]*Table13[[#This Row],[Volume9]]*-1</f>
        <v>0</v>
      </c>
      <c r="BE247">
        <f>(Table13[[#This Row],[SgammaC]]+Table13[[#This Row],[SgammaP]])*$A$4*-100</f>
        <v>0</v>
      </c>
      <c r="BF247">
        <f>Table13[[#This Row],[DEXc]]+Table13[[#This Row],[DEXp]]</f>
        <v>0</v>
      </c>
      <c r="BG247">
        <f>IFERROR(Table13[[#This Row],[DeltaC]]*Table13[[#This Row],[Open.Int]]*$A$4,0)</f>
        <v>0</v>
      </c>
      <c r="BH247">
        <f>IFERROR(Table13[[#This Row],[DeltaP]]*Table13[[#This Row],[Open.Int8]]*$A$4,0)</f>
        <v>0</v>
      </c>
      <c r="BI24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7">
        <f ca="1">Table13[[#This Row],[charmc]]+Table13[[#This Row],[charmp]]</f>
        <v>0</v>
      </c>
      <c r="BL24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7" s="78">
        <f ca="1">Table13[[#This Row],[call helper]]+Table13[[#This Row],[put helper]]</f>
        <v>0</v>
      </c>
      <c r="BP247" t="str">
        <f>RTD("tos.rtd", , "STRIKE", "."&amp;Table13[[#This Row],[Ticker]]&amp;Table13[[#This Row],[Expiry]]&amp;""&amp;"C"&amp;Table13[[#This Row],[Spot]]+Table13[[#This Row],[step]])</f>
        <v>N/A</v>
      </c>
    </row>
    <row r="248" spans="1:68" x14ac:dyDescent="0.25">
      <c r="A248" s="14">
        <f t="shared" ca="1" si="24"/>
        <v>-126.14810350076104</v>
      </c>
      <c r="C248" s="17"/>
      <c r="D248" t="b">
        <f>IF(
    ISNUMBER(Table13[[#This Row],[Strike]]),RTD("tos.rtd", , "OPEN_INT", "."&amp;Table13[[#This Row],[Ticker]]&amp;Table13[[#This Row],[Expiry]]&amp;""&amp;"C"&amp;Table13[[#This Row],[Strike]]))</f>
        <v>0</v>
      </c>
      <c r="E24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8" t="b">
        <f>IF(     ISNUMBER(Table13[[#This Row],[Strike]]),RTD("tos.rtd", , "DELTA", "."&amp;Table13[[#This Row],[Ticker]]&amp;Table13[[#This Row],[Expiry]]&amp;""&amp;"C"&amp;Table13[[#This Row],[Strike]]))</f>
        <v>0</v>
      </c>
      <c r="H248" s="17" t="b" cm="1">
        <f t="array" ref="H248">IF(
    ISNUMBER(Table13[[#This Row],[Strike]]),IndividualLegIVCore($A$4, Table13[[#This Row],[Strike]], 0.0411, Table13[[#This Row],[T]], ((Table13[[#This Row],[BIDC]]+Table13[[#This Row],[ASKC]])/2), TRUE))</f>
        <v>0</v>
      </c>
      <c r="I248" t="b">
        <f>IF(     ISNUMBER(Table13[[#This Row],[Strike]]),RTD("tos.rtd", , "BID", "."&amp;Table13[[#This Row],[Ticker]]&amp;Table13[[#This Row],[Expiry]]&amp;""&amp;"C"&amp;Table13[[#This Row],[Strike]]))</f>
        <v>0</v>
      </c>
      <c r="J248" t="b">
        <f>IF(     ISNUMBER(Table13[[#This Row],[Strike]]),RTD("tos.rtd", , "ASK", "."&amp;Table13[[#This Row],[Ticker]]&amp;Table13[[#This Row],[Expiry]]&amp;""&amp;"C"&amp;Table13[[#This Row],[Strike]]))</f>
        <v>0</v>
      </c>
      <c r="K24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8" s="17" cm="1">
        <f t="array" aca="1" ref="L24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8" s="1">
        <f t="shared" si="25"/>
        <v>0</v>
      </c>
      <c r="N248" t="b">
        <f t="shared" si="26"/>
        <v>0</v>
      </c>
      <c r="P248" s="17" t="b" cm="1">
        <f t="array" ref="P248">IF(
    ISNUMBER(Table13[[#This Row],[Strike]]),IndividualLegIVCore($A$4, Table13[[#This Row],[Strike]], 0.0411, Table13[[#This Row],[T]], ((Table13[[#This Row],[BIDP]]+Table13[[#This Row],[ASKP]])/2), FALSE))</f>
        <v>0</v>
      </c>
      <c r="Q248" t="b">
        <f>IF(     ISNUMBER(Table13[[#This Row],[Strike]]),RTD("tos.rtd", , "BID", "."&amp;Table13[[#This Row],[Ticker]]&amp;Table13[[#This Row],[Expiry]]&amp;""&amp;"P"&amp;Table13[[#This Row],[Strike]]))</f>
        <v>0</v>
      </c>
      <c r="R248" t="b">
        <f>IF(     ISNUMBER(Table13[[#This Row],[Strike]]),RTD("tos.rtd", , "ASK", "."&amp;Table13[[#This Row],[Ticker]]&amp;Table13[[#This Row],[Expiry]]&amp;""&amp;"P"&amp;Table13[[#This Row],[Strike]]))</f>
        <v>0</v>
      </c>
      <c r="S248" s="17"/>
      <c r="T248" t="b">
        <f>IF(     ISNUMBER(Table13[[#This Row],[Strike]]),RTD("tos.rtd", , "OPEN_INT", "."&amp;Table13[[#This Row],[Ticker]]&amp;Table13[[#This Row],[Expiry]]&amp;""&amp;"P"&amp;Table13[[#This Row],[Strike]]))</f>
        <v>0</v>
      </c>
      <c r="U24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8" t="b">
        <f>IF(     ISNUMBER(Table13[[#This Row],[Strike]]),RTD("tos.rtd", , "DELTA", "."&amp;Table13[[#This Row],[Ticker]]&amp;Table13[[#This Row],[Expiry]]&amp;""&amp;"P"&amp;Table13[[#This Row],[Strike]]))</f>
        <v>0</v>
      </c>
      <c r="Y248" s="19">
        <f>-32.5 * IF($M$1="NDX", 10, IF(OR($M$1="SPX", $M$1="RUT"), 2, 1))</f>
        <v>-65</v>
      </c>
      <c r="Z248">
        <f ca="1">IFERROR(Table13[[#This Row],[call gamma]]*(Table13[[#This Row],[Open.Int]])*$A$4^2,0)</f>
        <v>0</v>
      </c>
      <c r="AA248">
        <f ca="1">IFERROR(((Table13[[#This Row],[Open.Int8]])*Table13[[#This Row],[Put gamma]])*-1*$A$4^2,0)</f>
        <v>0</v>
      </c>
      <c r="AB248">
        <f ca="1">(Table13[[#This Row],[Call Gex]]+Table13[[#This Row],[Put Gex]])</f>
        <v>0</v>
      </c>
      <c r="AC248">
        <f ca="1">Table13[[#This Row],[put delta adj]]+Table13[[#This Row],[call delta adj]]</f>
        <v>0</v>
      </c>
      <c r="AD248">
        <f ca="1">Table13[[#This Row],[Put Gex]]*Table13[[#This Row],[DeltaP]]*-1</f>
        <v>0</v>
      </c>
      <c r="AE248">
        <f ca="1">Table13[[#This Row],[Call Gex]]*Table13[[#This Row],[DeltaC]]</f>
        <v>0</v>
      </c>
      <c r="AF248">
        <f>IF(Table13[[#This Row],[DeltaC]]-ABS(Table13[[#This Row],[DeltaP]])="0","0.01",Table13[[#This Row],[DeltaC]]-ABS(Table13[[#This Row],[DeltaP]]))</f>
        <v>0</v>
      </c>
      <c r="AG248" t="e">
        <f ca="1">((LN($A$4/Table13[[#This Row],[Strike]]) + (0.411 + 0.5 * Table13[[#This Row],[IV Calc P]]^2) *Table13[[#This Row],[T]])) / (Table13[[#This Row],[IV Calc P]] * SQRT(Table13[[#This Row],[T]]))</f>
        <v>#DIV/0!</v>
      </c>
      <c r="AH248" t="e">
        <f ca="1">(LN($A$4/Table13[[#This Row],[Strike]]) + (0.411-0 + 0.5 * Table13[[#This Row],[IV Calc C]]^2) *Table13[[#This Row],[T]]) / (Table13[[#This Row],[IV Calc C]] * SQRT(Table13[[#This Row],[T]]))</f>
        <v>#DIV/0!</v>
      </c>
      <c r="AI248" t="e">
        <f ca="1">(EXP(-(AG248^2)/2)/SQRT(2*PI())*EXP(0*SQRT(Table13[[#This Row],[T]]))/$A$4*18%*SQRT(SQRT(Table13[[#This Row],[T]])))</f>
        <v>#DIV/0!</v>
      </c>
      <c r="AJ248" t="e">
        <f ca="1">(EXP(-(AH248^2)/2)/SQRT(2*PI())*EXP(0*SQRT(Table13[[#This Row],[T]]))/$A$4*18%*SQRT(SQRT(Table13[[#This Row],[T]])))</f>
        <v>#DIV/0!</v>
      </c>
      <c r="AK248" t="e">
        <f ca="1">Table13[[#This Row],[Call D1]]-Table13[[#This Row],[IV Calc C]]*SQRT(Table13[[#This Row],[T]])</f>
        <v>#DIV/0!</v>
      </c>
      <c r="AL248" t="e">
        <f ca="1">Table13[[#This Row],[Put D1]]-Table13[[#This Row],[IV Calc P]]*SQRT(Table13[[#This Row],[T]])</f>
        <v>#DIV/0!</v>
      </c>
      <c r="AM248" t="e">
        <f ca="1">EXP(-0.5*Table13[[#This Row],[Call D1]]^2)/SQRT(2*PI())</f>
        <v>#DIV/0!</v>
      </c>
      <c r="AN248" t="e">
        <f ca="1">EXP(-0.5*Table13[[#This Row],[Put D1]]^2)/SQRT(2*PI())</f>
        <v>#DIV/0!</v>
      </c>
      <c r="AO248">
        <f ca="1">IFERROR((EXP(0*Table13[[#This Row],[T]])*Table13[[#This Row],[call N(d1)]]*(Table13[[#This Row],[call d2]]/Table13[[#This Row],[IV Calc C]]))*Table13[[#This Row],[Open.Int]]*Table13[[#This Row],[DeltaC]],0)</f>
        <v>0</v>
      </c>
      <c r="AP248">
        <f ca="1">IFERROR((EXP(0*Table13[[#This Row],[T]])*Table13[[#This Row],[put N(d1)]]*(Table13[[#This Row],[put d2]]/Table13[[#This Row],[IV Calc P]]))*Table13[[#This Row],[Open.Int8]]*Table13[[#This Row],[DeltaP]]*-1,0)</f>
        <v>0</v>
      </c>
      <c r="AQ248">
        <f ca="1">((Table13[[#This Row],[call vanna]]+Table13[[#This Row],[put vanna]])*$A$4)</f>
        <v>0</v>
      </c>
      <c r="AR24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8" s="9" t="str" cm="1">
        <f t="array" ref="AT248">_xlfn.IFS(     $M$1="SPX","SPXW",     $M$1="RUT","RUTW",  $M$1="NDX","NDXP",   TRUE,$M$1 )</f>
        <v>SPXW</v>
      </c>
      <c r="AU248" s="2">
        <f t="shared" si="27"/>
        <v>6915</v>
      </c>
      <c r="AV248" t="str">
        <f t="shared" si="28"/>
        <v>000100</v>
      </c>
      <c r="AY24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8">
        <f>((Table13[[#This Row],[High C]]+Table13[[#This Row],[Low C]])/2)*Table13[[#This Row],[gammac]]*Table13[[#This Row],[Volume]]</f>
        <v>0</v>
      </c>
      <c r="BD248">
        <f>((Table13[[#This Row],[High P]]+Table13[[#This Row],[Low P]])/2)*Table13[[#This Row],[gammap]]*Table13[[#This Row],[Volume9]]*-1</f>
        <v>0</v>
      </c>
      <c r="BE248">
        <f>(Table13[[#This Row],[SgammaC]]+Table13[[#This Row],[SgammaP]])*$A$4*-100</f>
        <v>0</v>
      </c>
      <c r="BF248">
        <f>Table13[[#This Row],[DEXc]]+Table13[[#This Row],[DEXp]]</f>
        <v>0</v>
      </c>
      <c r="BG248">
        <f>IFERROR(Table13[[#This Row],[DeltaC]]*Table13[[#This Row],[Open.Int]]*$A$4,0)</f>
        <v>0</v>
      </c>
      <c r="BH248">
        <f>IFERROR(Table13[[#This Row],[DeltaP]]*Table13[[#This Row],[Open.Int8]]*$A$4,0)</f>
        <v>0</v>
      </c>
      <c r="BI24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8">
        <f ca="1">Table13[[#This Row],[charmc]]+Table13[[#This Row],[charmp]]</f>
        <v>0</v>
      </c>
      <c r="BL24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8" s="78">
        <f ca="1">Table13[[#This Row],[call helper]]+Table13[[#This Row],[put helper]]</f>
        <v>0</v>
      </c>
      <c r="BP248" t="str">
        <f>RTD("tos.rtd", , "STRIKE", "."&amp;Table13[[#This Row],[Ticker]]&amp;Table13[[#This Row],[Expiry]]&amp;""&amp;"C"&amp;Table13[[#This Row],[Spot]]+Table13[[#This Row],[step]])</f>
        <v>N/A</v>
      </c>
    </row>
    <row r="249" spans="1:68" x14ac:dyDescent="0.25">
      <c r="A249" s="14">
        <f t="shared" ca="1" si="24"/>
        <v>-126.14810350076104</v>
      </c>
      <c r="C249" s="17"/>
      <c r="D249" t="b">
        <f>IF(
    ISNUMBER(Table13[[#This Row],[Strike]]),RTD("tos.rtd", , "OPEN_INT", "."&amp;Table13[[#This Row],[Ticker]]&amp;Table13[[#This Row],[Expiry]]&amp;""&amp;"C"&amp;Table13[[#This Row],[Strike]]))</f>
        <v>0</v>
      </c>
      <c r="E24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9" t="b">
        <f>IF(     ISNUMBER(Table13[[#This Row],[Strike]]),RTD("tos.rtd", , "DELTA", "."&amp;Table13[[#This Row],[Ticker]]&amp;Table13[[#This Row],[Expiry]]&amp;""&amp;"C"&amp;Table13[[#This Row],[Strike]]))</f>
        <v>0</v>
      </c>
      <c r="H249" s="17" t="b" cm="1">
        <f t="array" ref="H249">IF(
    ISNUMBER(Table13[[#This Row],[Strike]]),IndividualLegIVCore($A$4, Table13[[#This Row],[Strike]], 0.0411, Table13[[#This Row],[T]], ((Table13[[#This Row],[BIDC]]+Table13[[#This Row],[ASKC]])/2), TRUE))</f>
        <v>0</v>
      </c>
      <c r="I249" t="b">
        <f>IF(     ISNUMBER(Table13[[#This Row],[Strike]]),RTD("tos.rtd", , "BID", "."&amp;Table13[[#This Row],[Ticker]]&amp;Table13[[#This Row],[Expiry]]&amp;""&amp;"C"&amp;Table13[[#This Row],[Strike]]))</f>
        <v>0</v>
      </c>
      <c r="J249" t="b">
        <f>IF(     ISNUMBER(Table13[[#This Row],[Strike]]),RTD("tos.rtd", , "ASK", "."&amp;Table13[[#This Row],[Ticker]]&amp;Table13[[#This Row],[Expiry]]&amp;""&amp;"C"&amp;Table13[[#This Row],[Strike]]))</f>
        <v>0</v>
      </c>
      <c r="K24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9" s="17" cm="1">
        <f t="array" aca="1" ref="L24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49" s="1">
        <f t="shared" si="25"/>
        <v>0</v>
      </c>
      <c r="N249" t="b">
        <f t="shared" si="26"/>
        <v>0</v>
      </c>
      <c r="P249" s="17" t="b" cm="1">
        <f t="array" ref="P249">IF(
    ISNUMBER(Table13[[#This Row],[Strike]]),IndividualLegIVCore($A$4, Table13[[#This Row],[Strike]], 0.0411, Table13[[#This Row],[T]], ((Table13[[#This Row],[BIDP]]+Table13[[#This Row],[ASKP]])/2), FALSE))</f>
        <v>0</v>
      </c>
      <c r="Q249" t="b">
        <f>IF(     ISNUMBER(Table13[[#This Row],[Strike]]),RTD("tos.rtd", , "BID", "."&amp;Table13[[#This Row],[Ticker]]&amp;Table13[[#This Row],[Expiry]]&amp;""&amp;"P"&amp;Table13[[#This Row],[Strike]]))</f>
        <v>0</v>
      </c>
      <c r="R249" t="b">
        <f>IF(     ISNUMBER(Table13[[#This Row],[Strike]]),RTD("tos.rtd", , "ASK", "."&amp;Table13[[#This Row],[Ticker]]&amp;Table13[[#This Row],[Expiry]]&amp;""&amp;"P"&amp;Table13[[#This Row],[Strike]]))</f>
        <v>0</v>
      </c>
      <c r="S249" s="17"/>
      <c r="T249" t="b">
        <f>IF(     ISNUMBER(Table13[[#This Row],[Strike]]),RTD("tos.rtd", , "OPEN_INT", "."&amp;Table13[[#This Row],[Ticker]]&amp;Table13[[#This Row],[Expiry]]&amp;""&amp;"P"&amp;Table13[[#This Row],[Strike]]))</f>
        <v>0</v>
      </c>
      <c r="U24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9" t="b">
        <f>IF(     ISNUMBER(Table13[[#This Row],[Strike]]),RTD("tos.rtd", , "DELTA", "."&amp;Table13[[#This Row],[Ticker]]&amp;Table13[[#This Row],[Expiry]]&amp;""&amp;"P"&amp;Table13[[#This Row],[Strike]]))</f>
        <v>0</v>
      </c>
      <c r="Y249" s="19">
        <f>-32 * IF($M$1="NDX", 10, IF(OR($M$1="SPX", $M$1="RUT"), 2, 1))</f>
        <v>-64</v>
      </c>
      <c r="Z249">
        <f ca="1">IFERROR(Table13[[#This Row],[call gamma]]*(Table13[[#This Row],[Open.Int]])*$A$4^2,0)</f>
        <v>0</v>
      </c>
      <c r="AA249">
        <f ca="1">IFERROR(((Table13[[#This Row],[Open.Int8]])*Table13[[#This Row],[Put gamma]])*-1*$A$4^2,0)</f>
        <v>0</v>
      </c>
      <c r="AB249">
        <f ca="1">(Table13[[#This Row],[Call Gex]]+Table13[[#This Row],[Put Gex]])</f>
        <v>0</v>
      </c>
      <c r="AC249">
        <f ca="1">Table13[[#This Row],[put delta adj]]+Table13[[#This Row],[call delta adj]]</f>
        <v>0</v>
      </c>
      <c r="AD249">
        <f ca="1">Table13[[#This Row],[Put Gex]]*Table13[[#This Row],[DeltaP]]*-1</f>
        <v>0</v>
      </c>
      <c r="AE249">
        <f ca="1">Table13[[#This Row],[Call Gex]]*Table13[[#This Row],[DeltaC]]</f>
        <v>0</v>
      </c>
      <c r="AF249">
        <f>IF(Table13[[#This Row],[DeltaC]]-ABS(Table13[[#This Row],[DeltaP]])="0","0.01",Table13[[#This Row],[DeltaC]]-ABS(Table13[[#This Row],[DeltaP]]))</f>
        <v>0</v>
      </c>
      <c r="AG249" t="e">
        <f ca="1">((LN($A$4/Table13[[#This Row],[Strike]]) + (0.411 + 0.5 * Table13[[#This Row],[IV Calc P]]^2) *Table13[[#This Row],[T]])) / (Table13[[#This Row],[IV Calc P]] * SQRT(Table13[[#This Row],[T]]))</f>
        <v>#DIV/0!</v>
      </c>
      <c r="AH249" t="e">
        <f ca="1">(LN($A$4/Table13[[#This Row],[Strike]]) + (0.411-0 + 0.5 * Table13[[#This Row],[IV Calc C]]^2) *Table13[[#This Row],[T]]) / (Table13[[#This Row],[IV Calc C]] * SQRT(Table13[[#This Row],[T]]))</f>
        <v>#DIV/0!</v>
      </c>
      <c r="AI249" t="e">
        <f ca="1">(EXP(-(AG249^2)/2)/SQRT(2*PI())*EXP(0*SQRT(Table13[[#This Row],[T]]))/$A$4*18%*SQRT(SQRT(Table13[[#This Row],[T]])))</f>
        <v>#DIV/0!</v>
      </c>
      <c r="AJ249" t="e">
        <f ca="1">(EXP(-(AH249^2)/2)/SQRT(2*PI())*EXP(0*SQRT(Table13[[#This Row],[T]]))/$A$4*18%*SQRT(SQRT(Table13[[#This Row],[T]])))</f>
        <v>#DIV/0!</v>
      </c>
      <c r="AK249" t="e">
        <f ca="1">Table13[[#This Row],[Call D1]]-Table13[[#This Row],[IV Calc C]]*SQRT(Table13[[#This Row],[T]])</f>
        <v>#DIV/0!</v>
      </c>
      <c r="AL249" t="e">
        <f ca="1">Table13[[#This Row],[Put D1]]-Table13[[#This Row],[IV Calc P]]*SQRT(Table13[[#This Row],[T]])</f>
        <v>#DIV/0!</v>
      </c>
      <c r="AM249" t="e">
        <f ca="1">EXP(-0.5*Table13[[#This Row],[Call D1]]^2)/SQRT(2*PI())</f>
        <v>#DIV/0!</v>
      </c>
      <c r="AN249" t="e">
        <f ca="1">EXP(-0.5*Table13[[#This Row],[Put D1]]^2)/SQRT(2*PI())</f>
        <v>#DIV/0!</v>
      </c>
      <c r="AO249">
        <f ca="1">IFERROR((EXP(0*Table13[[#This Row],[T]])*Table13[[#This Row],[call N(d1)]]*(Table13[[#This Row],[call d2]]/Table13[[#This Row],[IV Calc C]]))*Table13[[#This Row],[Open.Int]]*Table13[[#This Row],[DeltaC]],0)</f>
        <v>0</v>
      </c>
      <c r="AP249">
        <f ca="1">IFERROR((EXP(0*Table13[[#This Row],[T]])*Table13[[#This Row],[put N(d1)]]*(Table13[[#This Row],[put d2]]/Table13[[#This Row],[IV Calc P]]))*Table13[[#This Row],[Open.Int8]]*Table13[[#This Row],[DeltaP]]*-1,0)</f>
        <v>0</v>
      </c>
      <c r="AQ249">
        <f ca="1">((Table13[[#This Row],[call vanna]]+Table13[[#This Row],[put vanna]])*$A$4)</f>
        <v>0</v>
      </c>
      <c r="AR24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9" s="9" t="str" cm="1">
        <f t="array" ref="AT249">_xlfn.IFS(     $M$1="SPX","SPXW",     $M$1="RUT","RUTW",  $M$1="NDX","NDXP",   TRUE,$M$1 )</f>
        <v>SPXW</v>
      </c>
      <c r="AU249" s="2">
        <f t="shared" si="27"/>
        <v>6915</v>
      </c>
      <c r="AV249" t="str">
        <f t="shared" si="28"/>
        <v>000100</v>
      </c>
      <c r="AY24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9">
        <f>((Table13[[#This Row],[High C]]+Table13[[#This Row],[Low C]])/2)*Table13[[#This Row],[gammac]]*Table13[[#This Row],[Volume]]</f>
        <v>0</v>
      </c>
      <c r="BD249">
        <f>((Table13[[#This Row],[High P]]+Table13[[#This Row],[Low P]])/2)*Table13[[#This Row],[gammap]]*Table13[[#This Row],[Volume9]]*-1</f>
        <v>0</v>
      </c>
      <c r="BE249">
        <f>(Table13[[#This Row],[SgammaC]]+Table13[[#This Row],[SgammaP]])*$A$4*-100</f>
        <v>0</v>
      </c>
      <c r="BF249">
        <f>Table13[[#This Row],[DEXc]]+Table13[[#This Row],[DEXp]]</f>
        <v>0</v>
      </c>
      <c r="BG249">
        <f>IFERROR(Table13[[#This Row],[DeltaC]]*Table13[[#This Row],[Open.Int]]*$A$4,0)</f>
        <v>0</v>
      </c>
      <c r="BH249">
        <f>IFERROR(Table13[[#This Row],[DeltaP]]*Table13[[#This Row],[Open.Int8]]*$A$4,0)</f>
        <v>0</v>
      </c>
      <c r="BI24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9">
        <f ca="1">Table13[[#This Row],[charmc]]+Table13[[#This Row],[charmp]]</f>
        <v>0</v>
      </c>
      <c r="BL24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9" s="78">
        <f ca="1">Table13[[#This Row],[call helper]]+Table13[[#This Row],[put helper]]</f>
        <v>0</v>
      </c>
      <c r="BP249" t="str">
        <f>RTD("tos.rtd", , "STRIKE", "."&amp;Table13[[#This Row],[Ticker]]&amp;Table13[[#This Row],[Expiry]]&amp;""&amp;"C"&amp;Table13[[#This Row],[Spot]]+Table13[[#This Row],[step]])</f>
        <v>N/A</v>
      </c>
    </row>
    <row r="250" spans="1:68" x14ac:dyDescent="0.25">
      <c r="A250" s="14">
        <f t="shared" ca="1" si="24"/>
        <v>-126.14810350076104</v>
      </c>
      <c r="C250" s="17"/>
      <c r="D250" t="b">
        <f>IF(
    ISNUMBER(Table13[[#This Row],[Strike]]),RTD("tos.rtd", , "OPEN_INT", "."&amp;Table13[[#This Row],[Ticker]]&amp;Table13[[#This Row],[Expiry]]&amp;""&amp;"C"&amp;Table13[[#This Row],[Strike]]))</f>
        <v>0</v>
      </c>
      <c r="E25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0" t="b">
        <f>IF(     ISNUMBER(Table13[[#This Row],[Strike]]),RTD("tos.rtd", , "DELTA", "."&amp;Table13[[#This Row],[Ticker]]&amp;Table13[[#This Row],[Expiry]]&amp;""&amp;"C"&amp;Table13[[#This Row],[Strike]]))</f>
        <v>0</v>
      </c>
      <c r="H250" s="17" t="b" cm="1">
        <f t="array" ref="H250">IF(
    ISNUMBER(Table13[[#This Row],[Strike]]),IndividualLegIVCore($A$4, Table13[[#This Row],[Strike]], 0.0411, Table13[[#This Row],[T]], ((Table13[[#This Row],[BIDC]]+Table13[[#This Row],[ASKC]])/2), TRUE))</f>
        <v>0</v>
      </c>
      <c r="I250" t="b">
        <f>IF(     ISNUMBER(Table13[[#This Row],[Strike]]),RTD("tos.rtd", , "BID", "."&amp;Table13[[#This Row],[Ticker]]&amp;Table13[[#This Row],[Expiry]]&amp;""&amp;"C"&amp;Table13[[#This Row],[Strike]]))</f>
        <v>0</v>
      </c>
      <c r="J250" t="b">
        <f>IF(     ISNUMBER(Table13[[#This Row],[Strike]]),RTD("tos.rtd", , "ASK", "."&amp;Table13[[#This Row],[Ticker]]&amp;Table13[[#This Row],[Expiry]]&amp;""&amp;"C"&amp;Table13[[#This Row],[Strike]]))</f>
        <v>0</v>
      </c>
      <c r="K25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0" s="17" cm="1">
        <f t="array" aca="1" ref="L25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0" s="1">
        <f t="shared" si="25"/>
        <v>0</v>
      </c>
      <c r="N250" t="b">
        <f t="shared" si="26"/>
        <v>0</v>
      </c>
      <c r="P250" s="17" t="b" cm="1">
        <f t="array" ref="P250">IF(
    ISNUMBER(Table13[[#This Row],[Strike]]),IndividualLegIVCore($A$4, Table13[[#This Row],[Strike]], 0.0411, Table13[[#This Row],[T]], ((Table13[[#This Row],[BIDP]]+Table13[[#This Row],[ASKP]])/2), FALSE))</f>
        <v>0</v>
      </c>
      <c r="Q250" t="b">
        <f>IF(     ISNUMBER(Table13[[#This Row],[Strike]]),RTD("tos.rtd", , "BID", "."&amp;Table13[[#This Row],[Ticker]]&amp;Table13[[#This Row],[Expiry]]&amp;""&amp;"P"&amp;Table13[[#This Row],[Strike]]))</f>
        <v>0</v>
      </c>
      <c r="R250" t="b">
        <f>IF(     ISNUMBER(Table13[[#This Row],[Strike]]),RTD("tos.rtd", , "ASK", "."&amp;Table13[[#This Row],[Ticker]]&amp;Table13[[#This Row],[Expiry]]&amp;""&amp;"P"&amp;Table13[[#This Row],[Strike]]))</f>
        <v>0</v>
      </c>
      <c r="S250" s="17"/>
      <c r="T250" t="b">
        <f>IF(     ISNUMBER(Table13[[#This Row],[Strike]]),RTD("tos.rtd", , "OPEN_INT", "."&amp;Table13[[#This Row],[Ticker]]&amp;Table13[[#This Row],[Expiry]]&amp;""&amp;"P"&amp;Table13[[#This Row],[Strike]]))</f>
        <v>0</v>
      </c>
      <c r="U25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0" t="b">
        <f>IF(     ISNUMBER(Table13[[#This Row],[Strike]]),RTD("tos.rtd", , "DELTA", "."&amp;Table13[[#This Row],[Ticker]]&amp;Table13[[#This Row],[Expiry]]&amp;""&amp;"P"&amp;Table13[[#This Row],[Strike]]))</f>
        <v>0</v>
      </c>
      <c r="Y250" s="19">
        <f>-31.5 * IF($M$1="NDX", 10, IF(OR($M$1="SPX", $M$1="RUT"), 2, 1))</f>
        <v>-63</v>
      </c>
      <c r="Z250">
        <f ca="1">IFERROR(Table13[[#This Row],[call gamma]]*(Table13[[#This Row],[Open.Int]])*$A$4^2,0)</f>
        <v>0</v>
      </c>
      <c r="AA250">
        <f ca="1">IFERROR(((Table13[[#This Row],[Open.Int8]])*Table13[[#This Row],[Put gamma]])*-1*$A$4^2,0)</f>
        <v>0</v>
      </c>
      <c r="AB250">
        <f ca="1">(Table13[[#This Row],[Call Gex]]+Table13[[#This Row],[Put Gex]])</f>
        <v>0</v>
      </c>
      <c r="AC250">
        <f ca="1">Table13[[#This Row],[put delta adj]]+Table13[[#This Row],[call delta adj]]</f>
        <v>0</v>
      </c>
      <c r="AD250">
        <f ca="1">Table13[[#This Row],[Put Gex]]*Table13[[#This Row],[DeltaP]]*-1</f>
        <v>0</v>
      </c>
      <c r="AE250">
        <f ca="1">Table13[[#This Row],[Call Gex]]*Table13[[#This Row],[DeltaC]]</f>
        <v>0</v>
      </c>
      <c r="AF250">
        <f>IF(Table13[[#This Row],[DeltaC]]-ABS(Table13[[#This Row],[DeltaP]])="0","0.01",Table13[[#This Row],[DeltaC]]-ABS(Table13[[#This Row],[DeltaP]]))</f>
        <v>0</v>
      </c>
      <c r="AG250" t="e">
        <f ca="1">((LN($A$4/Table13[[#This Row],[Strike]]) + (0.411 + 0.5 * Table13[[#This Row],[IV Calc P]]^2) *Table13[[#This Row],[T]])) / (Table13[[#This Row],[IV Calc P]] * SQRT(Table13[[#This Row],[T]]))</f>
        <v>#DIV/0!</v>
      </c>
      <c r="AH250" t="e">
        <f ca="1">(LN($A$4/Table13[[#This Row],[Strike]]) + (0.411-0 + 0.5 * Table13[[#This Row],[IV Calc C]]^2) *Table13[[#This Row],[T]]) / (Table13[[#This Row],[IV Calc C]] * SQRT(Table13[[#This Row],[T]]))</f>
        <v>#DIV/0!</v>
      </c>
      <c r="AI250" t="e">
        <f ca="1">(EXP(-(AG250^2)/2)/SQRT(2*PI())*EXP(0*SQRT(Table13[[#This Row],[T]]))/$A$4*18%*SQRT(SQRT(Table13[[#This Row],[T]])))</f>
        <v>#DIV/0!</v>
      </c>
      <c r="AJ250" t="e">
        <f ca="1">(EXP(-(AH250^2)/2)/SQRT(2*PI())*EXP(0*SQRT(Table13[[#This Row],[T]]))/$A$4*18%*SQRT(SQRT(Table13[[#This Row],[T]])))</f>
        <v>#DIV/0!</v>
      </c>
      <c r="AK250" t="e">
        <f ca="1">Table13[[#This Row],[Call D1]]-Table13[[#This Row],[IV Calc C]]*SQRT(Table13[[#This Row],[T]])</f>
        <v>#DIV/0!</v>
      </c>
      <c r="AL250" t="e">
        <f ca="1">Table13[[#This Row],[Put D1]]-Table13[[#This Row],[IV Calc P]]*SQRT(Table13[[#This Row],[T]])</f>
        <v>#DIV/0!</v>
      </c>
      <c r="AM250" t="e">
        <f ca="1">EXP(-0.5*Table13[[#This Row],[Call D1]]^2)/SQRT(2*PI())</f>
        <v>#DIV/0!</v>
      </c>
      <c r="AN250" t="e">
        <f ca="1">EXP(-0.5*Table13[[#This Row],[Put D1]]^2)/SQRT(2*PI())</f>
        <v>#DIV/0!</v>
      </c>
      <c r="AO250">
        <f ca="1">IFERROR((EXP(0*Table13[[#This Row],[T]])*Table13[[#This Row],[call N(d1)]]*(Table13[[#This Row],[call d2]]/Table13[[#This Row],[IV Calc C]]))*Table13[[#This Row],[Open.Int]]*Table13[[#This Row],[DeltaC]],0)</f>
        <v>0</v>
      </c>
      <c r="AP250">
        <f ca="1">IFERROR((EXP(0*Table13[[#This Row],[T]])*Table13[[#This Row],[put N(d1)]]*(Table13[[#This Row],[put d2]]/Table13[[#This Row],[IV Calc P]]))*Table13[[#This Row],[Open.Int8]]*Table13[[#This Row],[DeltaP]]*-1,0)</f>
        <v>0</v>
      </c>
      <c r="AQ250">
        <f ca="1">((Table13[[#This Row],[call vanna]]+Table13[[#This Row],[put vanna]])*$A$4)</f>
        <v>0</v>
      </c>
      <c r="AR25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0" s="9" t="str" cm="1">
        <f t="array" ref="AT250">_xlfn.IFS(     $M$1="SPX","SPXW",     $M$1="RUT","RUTW",  $M$1="NDX","NDXP",   TRUE,$M$1 )</f>
        <v>SPXW</v>
      </c>
      <c r="AU250" s="2">
        <f t="shared" si="27"/>
        <v>6915</v>
      </c>
      <c r="AV250" t="str">
        <f t="shared" si="28"/>
        <v>000100</v>
      </c>
      <c r="AY25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0">
        <f>((Table13[[#This Row],[High C]]+Table13[[#This Row],[Low C]])/2)*Table13[[#This Row],[gammac]]*Table13[[#This Row],[Volume]]</f>
        <v>0</v>
      </c>
      <c r="BD250">
        <f>((Table13[[#This Row],[High P]]+Table13[[#This Row],[Low P]])/2)*Table13[[#This Row],[gammap]]*Table13[[#This Row],[Volume9]]*-1</f>
        <v>0</v>
      </c>
      <c r="BE250">
        <f>(Table13[[#This Row],[SgammaC]]+Table13[[#This Row],[SgammaP]])*$A$4*-100</f>
        <v>0</v>
      </c>
      <c r="BF250">
        <f>Table13[[#This Row],[DEXc]]+Table13[[#This Row],[DEXp]]</f>
        <v>0</v>
      </c>
      <c r="BG250">
        <f>IFERROR(Table13[[#This Row],[DeltaC]]*Table13[[#This Row],[Open.Int]]*$A$4,0)</f>
        <v>0</v>
      </c>
      <c r="BH250">
        <f>IFERROR(Table13[[#This Row],[DeltaP]]*Table13[[#This Row],[Open.Int8]]*$A$4,0)</f>
        <v>0</v>
      </c>
      <c r="BI25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0">
        <f ca="1">Table13[[#This Row],[charmc]]+Table13[[#This Row],[charmp]]</f>
        <v>0</v>
      </c>
      <c r="BL25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0" s="78">
        <f ca="1">Table13[[#This Row],[call helper]]+Table13[[#This Row],[put helper]]</f>
        <v>0</v>
      </c>
      <c r="BP250" t="str">
        <f>RTD("tos.rtd", , "STRIKE", "."&amp;Table13[[#This Row],[Ticker]]&amp;Table13[[#This Row],[Expiry]]&amp;""&amp;"C"&amp;Table13[[#This Row],[Spot]]+Table13[[#This Row],[step]])</f>
        <v>N/A</v>
      </c>
    </row>
    <row r="251" spans="1:68" x14ac:dyDescent="0.25">
      <c r="A251" s="14">
        <f t="shared" ca="1" si="24"/>
        <v>-126.14810350076104</v>
      </c>
      <c r="C251" s="17"/>
      <c r="D251" t="b">
        <f>IF(
    ISNUMBER(Table13[[#This Row],[Strike]]),RTD("tos.rtd", , "OPEN_INT", "."&amp;Table13[[#This Row],[Ticker]]&amp;Table13[[#This Row],[Expiry]]&amp;""&amp;"C"&amp;Table13[[#This Row],[Strike]]))</f>
        <v>0</v>
      </c>
      <c r="E25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1" t="b">
        <f>IF(     ISNUMBER(Table13[[#This Row],[Strike]]),RTD("tos.rtd", , "DELTA", "."&amp;Table13[[#This Row],[Ticker]]&amp;Table13[[#This Row],[Expiry]]&amp;""&amp;"C"&amp;Table13[[#This Row],[Strike]]))</f>
        <v>0</v>
      </c>
      <c r="H251" s="17" t="b" cm="1">
        <f t="array" ref="H251">IF(
    ISNUMBER(Table13[[#This Row],[Strike]]),IndividualLegIVCore($A$4, Table13[[#This Row],[Strike]], 0.0411, Table13[[#This Row],[T]], ((Table13[[#This Row],[BIDC]]+Table13[[#This Row],[ASKC]])/2), TRUE))</f>
        <v>0</v>
      </c>
      <c r="I251" t="b">
        <f>IF(     ISNUMBER(Table13[[#This Row],[Strike]]),RTD("tos.rtd", , "BID", "."&amp;Table13[[#This Row],[Ticker]]&amp;Table13[[#This Row],[Expiry]]&amp;""&amp;"C"&amp;Table13[[#This Row],[Strike]]))</f>
        <v>0</v>
      </c>
      <c r="J251" t="b">
        <f>IF(     ISNUMBER(Table13[[#This Row],[Strike]]),RTD("tos.rtd", , "ASK", "."&amp;Table13[[#This Row],[Ticker]]&amp;Table13[[#This Row],[Expiry]]&amp;""&amp;"C"&amp;Table13[[#This Row],[Strike]]))</f>
        <v>0</v>
      </c>
      <c r="K25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1" s="17" cm="1">
        <f t="array" aca="1" ref="L25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1" s="1">
        <f t="shared" si="25"/>
        <v>0</v>
      </c>
      <c r="N251" t="b">
        <f t="shared" si="26"/>
        <v>0</v>
      </c>
      <c r="P251" s="17" t="b" cm="1">
        <f t="array" ref="P251">IF(
    ISNUMBER(Table13[[#This Row],[Strike]]),IndividualLegIVCore($A$4, Table13[[#This Row],[Strike]], 0.0411, Table13[[#This Row],[T]], ((Table13[[#This Row],[BIDP]]+Table13[[#This Row],[ASKP]])/2), FALSE))</f>
        <v>0</v>
      </c>
      <c r="Q251" t="b">
        <f>IF(     ISNUMBER(Table13[[#This Row],[Strike]]),RTD("tos.rtd", , "BID", "."&amp;Table13[[#This Row],[Ticker]]&amp;Table13[[#This Row],[Expiry]]&amp;""&amp;"P"&amp;Table13[[#This Row],[Strike]]))</f>
        <v>0</v>
      </c>
      <c r="R251" t="b">
        <f>IF(     ISNUMBER(Table13[[#This Row],[Strike]]),RTD("tos.rtd", , "ASK", "."&amp;Table13[[#This Row],[Ticker]]&amp;Table13[[#This Row],[Expiry]]&amp;""&amp;"P"&amp;Table13[[#This Row],[Strike]]))</f>
        <v>0</v>
      </c>
      <c r="S251" s="17"/>
      <c r="T251" t="b">
        <f>IF(     ISNUMBER(Table13[[#This Row],[Strike]]),RTD("tos.rtd", , "OPEN_INT", "."&amp;Table13[[#This Row],[Ticker]]&amp;Table13[[#This Row],[Expiry]]&amp;""&amp;"P"&amp;Table13[[#This Row],[Strike]]))</f>
        <v>0</v>
      </c>
      <c r="U25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1" t="b">
        <f>IF(     ISNUMBER(Table13[[#This Row],[Strike]]),RTD("tos.rtd", , "DELTA", "."&amp;Table13[[#This Row],[Ticker]]&amp;Table13[[#This Row],[Expiry]]&amp;""&amp;"P"&amp;Table13[[#This Row],[Strike]]))</f>
        <v>0</v>
      </c>
      <c r="Y251" s="19">
        <f>-31 * IF($M$1="NDX", 10, IF(OR($M$1="SPX", $M$1="RUT"), 2, 1))</f>
        <v>-62</v>
      </c>
      <c r="Z251">
        <f ca="1">IFERROR(Table13[[#This Row],[call gamma]]*(Table13[[#This Row],[Open.Int]])*$A$4^2,0)</f>
        <v>0</v>
      </c>
      <c r="AA251">
        <f ca="1">IFERROR(((Table13[[#This Row],[Open.Int8]])*Table13[[#This Row],[Put gamma]])*-1*$A$4^2,0)</f>
        <v>0</v>
      </c>
      <c r="AB251">
        <f ca="1">(Table13[[#This Row],[Call Gex]]+Table13[[#This Row],[Put Gex]])</f>
        <v>0</v>
      </c>
      <c r="AC251">
        <f ca="1">Table13[[#This Row],[put delta adj]]+Table13[[#This Row],[call delta adj]]</f>
        <v>0</v>
      </c>
      <c r="AD251">
        <f ca="1">Table13[[#This Row],[Put Gex]]*Table13[[#This Row],[DeltaP]]*-1</f>
        <v>0</v>
      </c>
      <c r="AE251">
        <f ca="1">Table13[[#This Row],[Call Gex]]*Table13[[#This Row],[DeltaC]]</f>
        <v>0</v>
      </c>
      <c r="AF251">
        <f>IF(Table13[[#This Row],[DeltaC]]-ABS(Table13[[#This Row],[DeltaP]])="0","0.01",Table13[[#This Row],[DeltaC]]-ABS(Table13[[#This Row],[DeltaP]]))</f>
        <v>0</v>
      </c>
      <c r="AG251" t="e">
        <f ca="1">((LN($A$4/Table13[[#This Row],[Strike]]) + (0.411 + 0.5 * Table13[[#This Row],[IV Calc P]]^2) *Table13[[#This Row],[T]])) / (Table13[[#This Row],[IV Calc P]] * SQRT(Table13[[#This Row],[T]]))</f>
        <v>#DIV/0!</v>
      </c>
      <c r="AH251" t="e">
        <f ca="1">(LN($A$4/Table13[[#This Row],[Strike]]) + (0.411-0 + 0.5 * Table13[[#This Row],[IV Calc C]]^2) *Table13[[#This Row],[T]]) / (Table13[[#This Row],[IV Calc C]] * SQRT(Table13[[#This Row],[T]]))</f>
        <v>#DIV/0!</v>
      </c>
      <c r="AI251" t="e">
        <f ca="1">(EXP(-(AG251^2)/2)/SQRT(2*PI())*EXP(0*SQRT(Table13[[#This Row],[T]]))/$A$4*18%*SQRT(SQRT(Table13[[#This Row],[T]])))</f>
        <v>#DIV/0!</v>
      </c>
      <c r="AJ251" t="e">
        <f ca="1">(EXP(-(AH251^2)/2)/SQRT(2*PI())*EXP(0*SQRT(Table13[[#This Row],[T]]))/$A$4*18%*SQRT(SQRT(Table13[[#This Row],[T]])))</f>
        <v>#DIV/0!</v>
      </c>
      <c r="AK251" t="e">
        <f ca="1">Table13[[#This Row],[Call D1]]-Table13[[#This Row],[IV Calc C]]*SQRT(Table13[[#This Row],[T]])</f>
        <v>#DIV/0!</v>
      </c>
      <c r="AL251" t="e">
        <f ca="1">Table13[[#This Row],[Put D1]]-Table13[[#This Row],[IV Calc P]]*SQRT(Table13[[#This Row],[T]])</f>
        <v>#DIV/0!</v>
      </c>
      <c r="AM251" t="e">
        <f ca="1">EXP(-0.5*Table13[[#This Row],[Call D1]]^2)/SQRT(2*PI())</f>
        <v>#DIV/0!</v>
      </c>
      <c r="AN251" t="e">
        <f ca="1">EXP(-0.5*Table13[[#This Row],[Put D1]]^2)/SQRT(2*PI())</f>
        <v>#DIV/0!</v>
      </c>
      <c r="AO251">
        <f ca="1">IFERROR((EXP(0*Table13[[#This Row],[T]])*Table13[[#This Row],[call N(d1)]]*(Table13[[#This Row],[call d2]]/Table13[[#This Row],[IV Calc C]]))*Table13[[#This Row],[Open.Int]]*Table13[[#This Row],[DeltaC]],0)</f>
        <v>0</v>
      </c>
      <c r="AP251">
        <f ca="1">IFERROR((EXP(0*Table13[[#This Row],[T]])*Table13[[#This Row],[put N(d1)]]*(Table13[[#This Row],[put d2]]/Table13[[#This Row],[IV Calc P]]))*Table13[[#This Row],[Open.Int8]]*Table13[[#This Row],[DeltaP]]*-1,0)</f>
        <v>0</v>
      </c>
      <c r="AQ251">
        <f ca="1">((Table13[[#This Row],[call vanna]]+Table13[[#This Row],[put vanna]])*$A$4)</f>
        <v>0</v>
      </c>
      <c r="AR25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1" s="9" t="str" cm="1">
        <f t="array" ref="AT251">_xlfn.IFS(     $M$1="SPX","SPXW",     $M$1="RUT","RUTW",  $M$1="NDX","NDXP",   TRUE,$M$1 )</f>
        <v>SPXW</v>
      </c>
      <c r="AU251" s="2">
        <f t="shared" si="27"/>
        <v>6915</v>
      </c>
      <c r="AV251" t="str">
        <f t="shared" si="28"/>
        <v>000100</v>
      </c>
      <c r="AY25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1">
        <f>((Table13[[#This Row],[High C]]+Table13[[#This Row],[Low C]])/2)*Table13[[#This Row],[gammac]]*Table13[[#This Row],[Volume]]</f>
        <v>0</v>
      </c>
      <c r="BD251">
        <f>((Table13[[#This Row],[High P]]+Table13[[#This Row],[Low P]])/2)*Table13[[#This Row],[gammap]]*Table13[[#This Row],[Volume9]]*-1</f>
        <v>0</v>
      </c>
      <c r="BE251">
        <f>(Table13[[#This Row],[SgammaC]]+Table13[[#This Row],[SgammaP]])*$A$4*-100</f>
        <v>0</v>
      </c>
      <c r="BF251">
        <f>Table13[[#This Row],[DEXc]]+Table13[[#This Row],[DEXp]]</f>
        <v>0</v>
      </c>
      <c r="BG251">
        <f>IFERROR(Table13[[#This Row],[DeltaC]]*Table13[[#This Row],[Open.Int]]*$A$4,0)</f>
        <v>0</v>
      </c>
      <c r="BH251">
        <f>IFERROR(Table13[[#This Row],[DeltaP]]*Table13[[#This Row],[Open.Int8]]*$A$4,0)</f>
        <v>0</v>
      </c>
      <c r="BI25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1">
        <f ca="1">Table13[[#This Row],[charmc]]+Table13[[#This Row],[charmp]]</f>
        <v>0</v>
      </c>
      <c r="BL25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1" s="78">
        <f ca="1">Table13[[#This Row],[call helper]]+Table13[[#This Row],[put helper]]</f>
        <v>0</v>
      </c>
      <c r="BP251" t="str">
        <f>RTD("tos.rtd", , "STRIKE", "."&amp;Table13[[#This Row],[Ticker]]&amp;Table13[[#This Row],[Expiry]]&amp;""&amp;"C"&amp;Table13[[#This Row],[Spot]]+Table13[[#This Row],[step]])</f>
        <v>N/A</v>
      </c>
    </row>
    <row r="252" spans="1:68" x14ac:dyDescent="0.25">
      <c r="A252" s="14">
        <f t="shared" ca="1" si="24"/>
        <v>-126.14810350076104</v>
      </c>
      <c r="C252" s="17"/>
      <c r="D252" t="b">
        <f>IF(
    ISNUMBER(Table13[[#This Row],[Strike]]),RTD("tos.rtd", , "OPEN_INT", "."&amp;Table13[[#This Row],[Ticker]]&amp;Table13[[#This Row],[Expiry]]&amp;""&amp;"C"&amp;Table13[[#This Row],[Strike]]))</f>
        <v>0</v>
      </c>
      <c r="E25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2" t="b">
        <f>IF(     ISNUMBER(Table13[[#This Row],[Strike]]),RTD("tos.rtd", , "DELTA", "."&amp;Table13[[#This Row],[Ticker]]&amp;Table13[[#This Row],[Expiry]]&amp;""&amp;"C"&amp;Table13[[#This Row],[Strike]]))</f>
        <v>0</v>
      </c>
      <c r="H252" s="17" t="b" cm="1">
        <f t="array" ref="H252">IF(
    ISNUMBER(Table13[[#This Row],[Strike]]),IndividualLegIVCore($A$4, Table13[[#This Row],[Strike]], 0.0411, Table13[[#This Row],[T]], ((Table13[[#This Row],[BIDC]]+Table13[[#This Row],[ASKC]])/2), TRUE))</f>
        <v>0</v>
      </c>
      <c r="I252" t="b">
        <f>IF(     ISNUMBER(Table13[[#This Row],[Strike]]),RTD("tos.rtd", , "BID", "."&amp;Table13[[#This Row],[Ticker]]&amp;Table13[[#This Row],[Expiry]]&amp;""&amp;"C"&amp;Table13[[#This Row],[Strike]]))</f>
        <v>0</v>
      </c>
      <c r="J252" t="b">
        <f>IF(     ISNUMBER(Table13[[#This Row],[Strike]]),RTD("tos.rtd", , "ASK", "."&amp;Table13[[#This Row],[Ticker]]&amp;Table13[[#This Row],[Expiry]]&amp;""&amp;"C"&amp;Table13[[#This Row],[Strike]]))</f>
        <v>0</v>
      </c>
      <c r="K25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2" s="17" cm="1">
        <f t="array" aca="1" ref="L25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2" s="1">
        <f t="shared" si="25"/>
        <v>0</v>
      </c>
      <c r="N252" t="b">
        <f t="shared" si="26"/>
        <v>0</v>
      </c>
      <c r="P252" s="17" t="b" cm="1">
        <f t="array" ref="P252">IF(
    ISNUMBER(Table13[[#This Row],[Strike]]),IndividualLegIVCore($A$4, Table13[[#This Row],[Strike]], 0.0411, Table13[[#This Row],[T]], ((Table13[[#This Row],[BIDP]]+Table13[[#This Row],[ASKP]])/2), FALSE))</f>
        <v>0</v>
      </c>
      <c r="Q252" t="b">
        <f>IF(     ISNUMBER(Table13[[#This Row],[Strike]]),RTD("tos.rtd", , "BID", "."&amp;Table13[[#This Row],[Ticker]]&amp;Table13[[#This Row],[Expiry]]&amp;""&amp;"P"&amp;Table13[[#This Row],[Strike]]))</f>
        <v>0</v>
      </c>
      <c r="R252" t="b">
        <f>IF(     ISNUMBER(Table13[[#This Row],[Strike]]),RTD("tos.rtd", , "ASK", "."&amp;Table13[[#This Row],[Ticker]]&amp;Table13[[#This Row],[Expiry]]&amp;""&amp;"P"&amp;Table13[[#This Row],[Strike]]))</f>
        <v>0</v>
      </c>
      <c r="S252" s="17"/>
      <c r="T252" t="b">
        <f>IF(     ISNUMBER(Table13[[#This Row],[Strike]]),RTD("tos.rtd", , "OPEN_INT", "."&amp;Table13[[#This Row],[Ticker]]&amp;Table13[[#This Row],[Expiry]]&amp;""&amp;"P"&amp;Table13[[#This Row],[Strike]]))</f>
        <v>0</v>
      </c>
      <c r="U25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2" t="b">
        <f>IF(     ISNUMBER(Table13[[#This Row],[Strike]]),RTD("tos.rtd", , "DELTA", "."&amp;Table13[[#This Row],[Ticker]]&amp;Table13[[#This Row],[Expiry]]&amp;""&amp;"P"&amp;Table13[[#This Row],[Strike]]))</f>
        <v>0</v>
      </c>
      <c r="Y252" s="19">
        <f>-30.5* IF($M$1="NDX", 10, IF(OR($M$1="SPX", $M$1="RUT"), 2, 1))</f>
        <v>-61</v>
      </c>
      <c r="Z252">
        <f ca="1">IFERROR(Table13[[#This Row],[call gamma]]*(Table13[[#This Row],[Open.Int]])*$A$4^2,0)</f>
        <v>0</v>
      </c>
      <c r="AA252">
        <f ca="1">IFERROR(((Table13[[#This Row],[Open.Int8]])*Table13[[#This Row],[Put gamma]])*-1*$A$4^2,0)</f>
        <v>0</v>
      </c>
      <c r="AB252">
        <f ca="1">(Table13[[#This Row],[Call Gex]]+Table13[[#This Row],[Put Gex]])</f>
        <v>0</v>
      </c>
      <c r="AC252">
        <f ca="1">Table13[[#This Row],[put delta adj]]+Table13[[#This Row],[call delta adj]]</f>
        <v>0</v>
      </c>
      <c r="AD252">
        <f ca="1">Table13[[#This Row],[Put Gex]]*Table13[[#This Row],[DeltaP]]*-1</f>
        <v>0</v>
      </c>
      <c r="AE252">
        <f ca="1">Table13[[#This Row],[Call Gex]]*Table13[[#This Row],[DeltaC]]</f>
        <v>0</v>
      </c>
      <c r="AF252">
        <f>IF(Table13[[#This Row],[DeltaC]]-ABS(Table13[[#This Row],[DeltaP]])="0","0.01",Table13[[#This Row],[DeltaC]]-ABS(Table13[[#This Row],[DeltaP]]))</f>
        <v>0</v>
      </c>
      <c r="AG252" t="e">
        <f ca="1">((LN($A$4/Table13[[#This Row],[Strike]]) + (0.411 + 0.5 * Table13[[#This Row],[IV Calc P]]^2) *Table13[[#This Row],[T]])) / (Table13[[#This Row],[IV Calc P]] * SQRT(Table13[[#This Row],[T]]))</f>
        <v>#DIV/0!</v>
      </c>
      <c r="AH252" t="e">
        <f ca="1">(LN($A$4/Table13[[#This Row],[Strike]]) + (0.411-0 + 0.5 * Table13[[#This Row],[IV Calc C]]^2) *Table13[[#This Row],[T]]) / (Table13[[#This Row],[IV Calc C]] * SQRT(Table13[[#This Row],[T]]))</f>
        <v>#DIV/0!</v>
      </c>
      <c r="AI252" t="e">
        <f ca="1">(EXP(-(AG252^2)/2)/SQRT(2*PI())*EXP(0*SQRT(Table13[[#This Row],[T]]))/$A$4*18%*SQRT(SQRT(Table13[[#This Row],[T]])))</f>
        <v>#DIV/0!</v>
      </c>
      <c r="AJ252" t="e">
        <f ca="1">(EXP(-(AH252^2)/2)/SQRT(2*PI())*EXP(0*SQRT(Table13[[#This Row],[T]]))/$A$4*18%*SQRT(SQRT(Table13[[#This Row],[T]])))</f>
        <v>#DIV/0!</v>
      </c>
      <c r="AK252" t="e">
        <f ca="1">Table13[[#This Row],[Call D1]]-Table13[[#This Row],[IV Calc C]]*SQRT(Table13[[#This Row],[T]])</f>
        <v>#DIV/0!</v>
      </c>
      <c r="AL252" t="e">
        <f ca="1">Table13[[#This Row],[Put D1]]-Table13[[#This Row],[IV Calc P]]*SQRT(Table13[[#This Row],[T]])</f>
        <v>#DIV/0!</v>
      </c>
      <c r="AM252" t="e">
        <f ca="1">EXP(-0.5*Table13[[#This Row],[Call D1]]^2)/SQRT(2*PI())</f>
        <v>#DIV/0!</v>
      </c>
      <c r="AN252" t="e">
        <f ca="1">EXP(-0.5*Table13[[#This Row],[Put D1]]^2)/SQRT(2*PI())</f>
        <v>#DIV/0!</v>
      </c>
      <c r="AO252">
        <f ca="1">IFERROR((EXP(0*Table13[[#This Row],[T]])*Table13[[#This Row],[call N(d1)]]*(Table13[[#This Row],[call d2]]/Table13[[#This Row],[IV Calc C]]))*Table13[[#This Row],[Open.Int]]*Table13[[#This Row],[DeltaC]],0)</f>
        <v>0</v>
      </c>
      <c r="AP252">
        <f ca="1">IFERROR((EXP(0*Table13[[#This Row],[T]])*Table13[[#This Row],[put N(d1)]]*(Table13[[#This Row],[put d2]]/Table13[[#This Row],[IV Calc P]]))*Table13[[#This Row],[Open.Int8]]*Table13[[#This Row],[DeltaP]]*-1,0)</f>
        <v>0</v>
      </c>
      <c r="AQ252">
        <f ca="1">((Table13[[#This Row],[call vanna]]+Table13[[#This Row],[put vanna]])*$A$4)</f>
        <v>0</v>
      </c>
      <c r="AR25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2" s="9" t="str" cm="1">
        <f t="array" ref="AT252">_xlfn.IFS(     $M$1="SPX","SPXW",     $M$1="RUT","RUTW",  $M$1="NDX","NDXP",   TRUE,$M$1 )</f>
        <v>SPXW</v>
      </c>
      <c r="AU252" s="2">
        <f t="shared" si="27"/>
        <v>6915</v>
      </c>
      <c r="AV252" t="str">
        <f t="shared" si="28"/>
        <v>000100</v>
      </c>
      <c r="AY25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2">
        <f>((Table13[[#This Row],[High C]]+Table13[[#This Row],[Low C]])/2)*Table13[[#This Row],[gammac]]*Table13[[#This Row],[Volume]]</f>
        <v>0</v>
      </c>
      <c r="BD252">
        <f>((Table13[[#This Row],[High P]]+Table13[[#This Row],[Low P]])/2)*Table13[[#This Row],[gammap]]*Table13[[#This Row],[Volume9]]*-1</f>
        <v>0</v>
      </c>
      <c r="BE252">
        <f>(Table13[[#This Row],[SgammaC]]+Table13[[#This Row],[SgammaP]])*$A$4*-100</f>
        <v>0</v>
      </c>
      <c r="BF252">
        <f>Table13[[#This Row],[DEXc]]+Table13[[#This Row],[DEXp]]</f>
        <v>0</v>
      </c>
      <c r="BG252">
        <f>IFERROR(Table13[[#This Row],[DeltaC]]*Table13[[#This Row],[Open.Int]]*$A$4,0)</f>
        <v>0</v>
      </c>
      <c r="BH252">
        <f>IFERROR(Table13[[#This Row],[DeltaP]]*Table13[[#This Row],[Open.Int8]]*$A$4,0)</f>
        <v>0</v>
      </c>
      <c r="BI25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2">
        <f ca="1">Table13[[#This Row],[charmc]]+Table13[[#This Row],[charmp]]</f>
        <v>0</v>
      </c>
      <c r="BL25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2" s="78">
        <f ca="1">Table13[[#This Row],[call helper]]+Table13[[#This Row],[put helper]]</f>
        <v>0</v>
      </c>
      <c r="BP252" t="str">
        <f>RTD("tos.rtd", , "STRIKE", "."&amp;Table13[[#This Row],[Ticker]]&amp;Table13[[#This Row],[Expiry]]&amp;""&amp;"C"&amp;Table13[[#This Row],[Spot]]+Table13[[#This Row],[step]])</f>
        <v>N/A</v>
      </c>
    </row>
    <row r="253" spans="1:68" x14ac:dyDescent="0.25">
      <c r="A253" s="14">
        <f t="shared" ca="1" si="24"/>
        <v>-126.14810350076104</v>
      </c>
      <c r="C253" s="17"/>
      <c r="D253" t="b">
        <f>IF(
    ISNUMBER(Table13[[#This Row],[Strike]]),RTD("tos.rtd", , "OPEN_INT", "."&amp;Table13[[#This Row],[Ticker]]&amp;Table13[[#This Row],[Expiry]]&amp;""&amp;"C"&amp;Table13[[#This Row],[Strike]]))</f>
        <v>0</v>
      </c>
      <c r="E25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3" t="b">
        <f>IF(     ISNUMBER(Table13[[#This Row],[Strike]]),RTD("tos.rtd", , "DELTA", "."&amp;Table13[[#This Row],[Ticker]]&amp;Table13[[#This Row],[Expiry]]&amp;""&amp;"C"&amp;Table13[[#This Row],[Strike]]))</f>
        <v>0</v>
      </c>
      <c r="H253" s="17" t="b" cm="1">
        <f t="array" ref="H253">IF(
    ISNUMBER(Table13[[#This Row],[Strike]]),IndividualLegIVCore($A$4, Table13[[#This Row],[Strike]], 0.0411, Table13[[#This Row],[T]], ((Table13[[#This Row],[BIDC]]+Table13[[#This Row],[ASKC]])/2), TRUE))</f>
        <v>0</v>
      </c>
      <c r="I253" t="b">
        <f>IF(     ISNUMBER(Table13[[#This Row],[Strike]]),RTD("tos.rtd", , "BID", "."&amp;Table13[[#This Row],[Ticker]]&amp;Table13[[#This Row],[Expiry]]&amp;""&amp;"C"&amp;Table13[[#This Row],[Strike]]))</f>
        <v>0</v>
      </c>
      <c r="J253" t="b">
        <f>IF(     ISNUMBER(Table13[[#This Row],[Strike]]),RTD("tos.rtd", , "ASK", "."&amp;Table13[[#This Row],[Ticker]]&amp;Table13[[#This Row],[Expiry]]&amp;""&amp;"C"&amp;Table13[[#This Row],[Strike]]))</f>
        <v>0</v>
      </c>
      <c r="K25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3" s="17" cm="1">
        <f t="array" aca="1" ref="L25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3" s="1">
        <f t="shared" si="25"/>
        <v>0</v>
      </c>
      <c r="N253" t="b">
        <f t="shared" si="26"/>
        <v>0</v>
      </c>
      <c r="P253" s="17" t="b" cm="1">
        <f t="array" ref="P253">IF(
    ISNUMBER(Table13[[#This Row],[Strike]]),IndividualLegIVCore($A$4, Table13[[#This Row],[Strike]], 0.0411, Table13[[#This Row],[T]], ((Table13[[#This Row],[BIDP]]+Table13[[#This Row],[ASKP]])/2), FALSE))</f>
        <v>0</v>
      </c>
      <c r="Q253" t="b">
        <f>IF(     ISNUMBER(Table13[[#This Row],[Strike]]),RTD("tos.rtd", , "BID", "."&amp;Table13[[#This Row],[Ticker]]&amp;Table13[[#This Row],[Expiry]]&amp;""&amp;"P"&amp;Table13[[#This Row],[Strike]]))</f>
        <v>0</v>
      </c>
      <c r="R253" t="b">
        <f>IF(     ISNUMBER(Table13[[#This Row],[Strike]]),RTD("tos.rtd", , "ASK", "."&amp;Table13[[#This Row],[Ticker]]&amp;Table13[[#This Row],[Expiry]]&amp;""&amp;"P"&amp;Table13[[#This Row],[Strike]]))</f>
        <v>0</v>
      </c>
      <c r="S253" s="17"/>
      <c r="T253" t="b">
        <f>IF(     ISNUMBER(Table13[[#This Row],[Strike]]),RTD("tos.rtd", , "OPEN_INT", "."&amp;Table13[[#This Row],[Ticker]]&amp;Table13[[#This Row],[Expiry]]&amp;""&amp;"P"&amp;Table13[[#This Row],[Strike]]))</f>
        <v>0</v>
      </c>
      <c r="U25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3" t="b">
        <f>IF(     ISNUMBER(Table13[[#This Row],[Strike]]),RTD("tos.rtd", , "DELTA", "."&amp;Table13[[#This Row],[Ticker]]&amp;Table13[[#This Row],[Expiry]]&amp;""&amp;"P"&amp;Table13[[#This Row],[Strike]]))</f>
        <v>0</v>
      </c>
      <c r="Y253" s="19">
        <f>-30* IF($M$1="NDX", 10, IF(OR($M$1="SPX", $M$1="RUT"), 2, 1))</f>
        <v>-60</v>
      </c>
      <c r="Z253">
        <f ca="1">IFERROR(Table13[[#This Row],[call gamma]]*(Table13[[#This Row],[Open.Int]])*$A$4^2,0)</f>
        <v>0</v>
      </c>
      <c r="AA253">
        <f ca="1">IFERROR(((Table13[[#This Row],[Open.Int8]])*Table13[[#This Row],[Put gamma]])*-1*$A$4^2,0)</f>
        <v>0</v>
      </c>
      <c r="AB253">
        <f ca="1">(Table13[[#This Row],[Call Gex]]+Table13[[#This Row],[Put Gex]])</f>
        <v>0</v>
      </c>
      <c r="AC253">
        <f ca="1">Table13[[#This Row],[put delta adj]]+Table13[[#This Row],[call delta adj]]</f>
        <v>0</v>
      </c>
      <c r="AD253">
        <f ca="1">Table13[[#This Row],[Put Gex]]*Table13[[#This Row],[DeltaP]]*-1</f>
        <v>0</v>
      </c>
      <c r="AE253">
        <f ca="1">Table13[[#This Row],[Call Gex]]*Table13[[#This Row],[DeltaC]]</f>
        <v>0</v>
      </c>
      <c r="AF253">
        <f>IF(Table13[[#This Row],[DeltaC]]-ABS(Table13[[#This Row],[DeltaP]])="0","0.01",Table13[[#This Row],[DeltaC]]-ABS(Table13[[#This Row],[DeltaP]]))</f>
        <v>0</v>
      </c>
      <c r="AG253" t="e">
        <f ca="1">((LN($A$4/Table13[[#This Row],[Strike]]) + (0.411 + 0.5 * Table13[[#This Row],[IV Calc P]]^2) *Table13[[#This Row],[T]])) / (Table13[[#This Row],[IV Calc P]] * SQRT(Table13[[#This Row],[T]]))</f>
        <v>#DIV/0!</v>
      </c>
      <c r="AH253" t="e">
        <f ca="1">(LN($A$4/Table13[[#This Row],[Strike]]) + (0.411-0 + 0.5 * Table13[[#This Row],[IV Calc C]]^2) *Table13[[#This Row],[T]]) / (Table13[[#This Row],[IV Calc C]] * SQRT(Table13[[#This Row],[T]]))</f>
        <v>#DIV/0!</v>
      </c>
      <c r="AI253" t="e">
        <f ca="1">(EXP(-(AG253^2)/2)/SQRT(2*PI())*EXP(0*SQRT(Table13[[#This Row],[T]]))/$A$4*18%*SQRT(SQRT(Table13[[#This Row],[T]])))</f>
        <v>#DIV/0!</v>
      </c>
      <c r="AJ253" t="e">
        <f ca="1">(EXP(-(AH253^2)/2)/SQRT(2*PI())*EXP(0*SQRT(Table13[[#This Row],[T]]))/$A$4*18%*SQRT(SQRT(Table13[[#This Row],[T]])))</f>
        <v>#DIV/0!</v>
      </c>
      <c r="AK253" t="e">
        <f ca="1">Table13[[#This Row],[Call D1]]-Table13[[#This Row],[IV Calc C]]*SQRT(Table13[[#This Row],[T]])</f>
        <v>#DIV/0!</v>
      </c>
      <c r="AL253" t="e">
        <f ca="1">Table13[[#This Row],[Put D1]]-Table13[[#This Row],[IV Calc P]]*SQRT(Table13[[#This Row],[T]])</f>
        <v>#DIV/0!</v>
      </c>
      <c r="AM253" t="e">
        <f ca="1">EXP(-0.5*Table13[[#This Row],[Call D1]]^2)/SQRT(2*PI())</f>
        <v>#DIV/0!</v>
      </c>
      <c r="AN253" t="e">
        <f ca="1">EXP(-0.5*Table13[[#This Row],[Put D1]]^2)/SQRT(2*PI())</f>
        <v>#DIV/0!</v>
      </c>
      <c r="AO253">
        <f ca="1">IFERROR((EXP(0*Table13[[#This Row],[T]])*Table13[[#This Row],[call N(d1)]]*(Table13[[#This Row],[call d2]]/Table13[[#This Row],[IV Calc C]]))*Table13[[#This Row],[Open.Int]]*Table13[[#This Row],[DeltaC]],0)</f>
        <v>0</v>
      </c>
      <c r="AP253">
        <f ca="1">IFERROR((EXP(0*Table13[[#This Row],[T]])*Table13[[#This Row],[put N(d1)]]*(Table13[[#This Row],[put d2]]/Table13[[#This Row],[IV Calc P]]))*Table13[[#This Row],[Open.Int8]]*Table13[[#This Row],[DeltaP]]*-1,0)</f>
        <v>0</v>
      </c>
      <c r="AQ253">
        <f ca="1">((Table13[[#This Row],[call vanna]]+Table13[[#This Row],[put vanna]])*$A$4)</f>
        <v>0</v>
      </c>
      <c r="AR25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3" s="9" t="str" cm="1">
        <f t="array" ref="AT253">_xlfn.IFS(     $M$1="SPX","SPXW",     $M$1="RUT","RUTW",  $M$1="NDX","NDXP",   TRUE,$M$1 )</f>
        <v>SPXW</v>
      </c>
      <c r="AU253" s="2">
        <f t="shared" si="27"/>
        <v>6915</v>
      </c>
      <c r="AV253" t="str">
        <f t="shared" si="28"/>
        <v>000100</v>
      </c>
      <c r="AY25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3">
        <f>((Table13[[#This Row],[High C]]+Table13[[#This Row],[Low C]])/2)*Table13[[#This Row],[gammac]]*Table13[[#This Row],[Volume]]</f>
        <v>0</v>
      </c>
      <c r="BD253">
        <f>((Table13[[#This Row],[High P]]+Table13[[#This Row],[Low P]])/2)*Table13[[#This Row],[gammap]]*Table13[[#This Row],[Volume9]]*-1</f>
        <v>0</v>
      </c>
      <c r="BE253">
        <f>(Table13[[#This Row],[SgammaC]]+Table13[[#This Row],[SgammaP]])*$A$4*-100</f>
        <v>0</v>
      </c>
      <c r="BF253">
        <f>Table13[[#This Row],[DEXc]]+Table13[[#This Row],[DEXp]]</f>
        <v>0</v>
      </c>
      <c r="BG253">
        <f>IFERROR(Table13[[#This Row],[DeltaC]]*Table13[[#This Row],[Open.Int]]*$A$4,0)</f>
        <v>0</v>
      </c>
      <c r="BH253">
        <f>IFERROR(Table13[[#This Row],[DeltaP]]*Table13[[#This Row],[Open.Int8]]*$A$4,0)</f>
        <v>0</v>
      </c>
      <c r="BI25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3">
        <f ca="1">Table13[[#This Row],[charmc]]+Table13[[#This Row],[charmp]]</f>
        <v>0</v>
      </c>
      <c r="BL25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3" s="78">
        <f ca="1">Table13[[#This Row],[call helper]]+Table13[[#This Row],[put helper]]</f>
        <v>0</v>
      </c>
      <c r="BP253" t="str">
        <f>RTD("tos.rtd", , "STRIKE", "."&amp;Table13[[#This Row],[Ticker]]&amp;Table13[[#This Row],[Expiry]]&amp;""&amp;"C"&amp;Table13[[#This Row],[Spot]]+Table13[[#This Row],[step]])</f>
        <v>N/A</v>
      </c>
    </row>
    <row r="254" spans="1:68" x14ac:dyDescent="0.25">
      <c r="A254" s="14">
        <f t="shared" ca="1" si="24"/>
        <v>-126.14810350076104</v>
      </c>
      <c r="C254" s="17"/>
      <c r="D254" t="b">
        <f>IF(
    ISNUMBER(Table13[[#This Row],[Strike]]),RTD("tos.rtd", , "OPEN_INT", "."&amp;Table13[[#This Row],[Ticker]]&amp;Table13[[#This Row],[Expiry]]&amp;""&amp;"C"&amp;Table13[[#This Row],[Strike]]))</f>
        <v>0</v>
      </c>
      <c r="E25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4" t="b">
        <f>IF(     ISNUMBER(Table13[[#This Row],[Strike]]),RTD("tos.rtd", , "DELTA", "."&amp;Table13[[#This Row],[Ticker]]&amp;Table13[[#This Row],[Expiry]]&amp;""&amp;"C"&amp;Table13[[#This Row],[Strike]]))</f>
        <v>0</v>
      </c>
      <c r="H254" s="17" t="b" cm="1">
        <f t="array" ref="H254">IF(
    ISNUMBER(Table13[[#This Row],[Strike]]),IndividualLegIVCore($A$4, Table13[[#This Row],[Strike]], 0.0411, Table13[[#This Row],[T]], ((Table13[[#This Row],[BIDC]]+Table13[[#This Row],[ASKC]])/2), TRUE))</f>
        <v>0</v>
      </c>
      <c r="I254" t="b">
        <f>IF(     ISNUMBER(Table13[[#This Row],[Strike]]),RTD("tos.rtd", , "BID", "."&amp;Table13[[#This Row],[Ticker]]&amp;Table13[[#This Row],[Expiry]]&amp;""&amp;"C"&amp;Table13[[#This Row],[Strike]]))</f>
        <v>0</v>
      </c>
      <c r="J254" t="b">
        <f>IF(     ISNUMBER(Table13[[#This Row],[Strike]]),RTD("tos.rtd", , "ASK", "."&amp;Table13[[#This Row],[Ticker]]&amp;Table13[[#This Row],[Expiry]]&amp;""&amp;"C"&amp;Table13[[#This Row],[Strike]]))</f>
        <v>0</v>
      </c>
      <c r="K25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4" s="17" cm="1">
        <f t="array" aca="1" ref="L25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4" s="1">
        <f t="shared" si="25"/>
        <v>0</v>
      </c>
      <c r="N254" t="b">
        <f t="shared" si="26"/>
        <v>0</v>
      </c>
      <c r="P254" s="17" t="b" cm="1">
        <f t="array" ref="P254">IF(
    ISNUMBER(Table13[[#This Row],[Strike]]),IndividualLegIVCore($A$4, Table13[[#This Row],[Strike]], 0.0411, Table13[[#This Row],[T]], ((Table13[[#This Row],[BIDP]]+Table13[[#This Row],[ASKP]])/2), FALSE))</f>
        <v>0</v>
      </c>
      <c r="Q254" t="b">
        <f>IF(     ISNUMBER(Table13[[#This Row],[Strike]]),RTD("tos.rtd", , "BID", "."&amp;Table13[[#This Row],[Ticker]]&amp;Table13[[#This Row],[Expiry]]&amp;""&amp;"P"&amp;Table13[[#This Row],[Strike]]))</f>
        <v>0</v>
      </c>
      <c r="R254" t="b">
        <f>IF(     ISNUMBER(Table13[[#This Row],[Strike]]),RTD("tos.rtd", , "ASK", "."&amp;Table13[[#This Row],[Ticker]]&amp;Table13[[#This Row],[Expiry]]&amp;""&amp;"P"&amp;Table13[[#This Row],[Strike]]))</f>
        <v>0</v>
      </c>
      <c r="S254" s="17"/>
      <c r="T254" t="b">
        <f>IF(     ISNUMBER(Table13[[#This Row],[Strike]]),RTD("tos.rtd", , "OPEN_INT", "."&amp;Table13[[#This Row],[Ticker]]&amp;Table13[[#This Row],[Expiry]]&amp;""&amp;"P"&amp;Table13[[#This Row],[Strike]]))</f>
        <v>0</v>
      </c>
      <c r="U25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4" t="b">
        <f>IF(     ISNUMBER(Table13[[#This Row],[Strike]]),RTD("tos.rtd", , "DELTA", "."&amp;Table13[[#This Row],[Ticker]]&amp;Table13[[#This Row],[Expiry]]&amp;""&amp;"P"&amp;Table13[[#This Row],[Strike]]))</f>
        <v>0</v>
      </c>
      <c r="Y254" s="19">
        <f>-29.5* IF($M$1="NDX", 10, IF(OR($M$1="SPX", $M$1="RUT"), 2, 1))</f>
        <v>-59</v>
      </c>
      <c r="Z254">
        <f ca="1">IFERROR(Table13[[#This Row],[call gamma]]*(Table13[[#This Row],[Open.Int]])*$A$4^2,0)</f>
        <v>0</v>
      </c>
      <c r="AA254">
        <f ca="1">IFERROR(((Table13[[#This Row],[Open.Int8]])*Table13[[#This Row],[Put gamma]])*-1*$A$4^2,0)</f>
        <v>0</v>
      </c>
      <c r="AB254">
        <f ca="1">(Table13[[#This Row],[Call Gex]]+Table13[[#This Row],[Put Gex]])</f>
        <v>0</v>
      </c>
      <c r="AC254">
        <f ca="1">Table13[[#This Row],[put delta adj]]+Table13[[#This Row],[call delta adj]]</f>
        <v>0</v>
      </c>
      <c r="AD254">
        <f ca="1">Table13[[#This Row],[Put Gex]]*Table13[[#This Row],[DeltaP]]*-1</f>
        <v>0</v>
      </c>
      <c r="AE254">
        <f ca="1">Table13[[#This Row],[Call Gex]]*Table13[[#This Row],[DeltaC]]</f>
        <v>0</v>
      </c>
      <c r="AF254">
        <f>IF(Table13[[#This Row],[DeltaC]]-ABS(Table13[[#This Row],[DeltaP]])="0","0.01",Table13[[#This Row],[DeltaC]]-ABS(Table13[[#This Row],[DeltaP]]))</f>
        <v>0</v>
      </c>
      <c r="AG254" t="e">
        <f ca="1">((LN($A$4/Table13[[#This Row],[Strike]]) + (0.411 + 0.5 * Table13[[#This Row],[IV Calc P]]^2) *Table13[[#This Row],[T]])) / (Table13[[#This Row],[IV Calc P]] * SQRT(Table13[[#This Row],[T]]))</f>
        <v>#DIV/0!</v>
      </c>
      <c r="AH254" t="e">
        <f ca="1">(LN($A$4/Table13[[#This Row],[Strike]]) + (0.411-0 + 0.5 * Table13[[#This Row],[IV Calc C]]^2) *Table13[[#This Row],[T]]) / (Table13[[#This Row],[IV Calc C]] * SQRT(Table13[[#This Row],[T]]))</f>
        <v>#DIV/0!</v>
      </c>
      <c r="AI254" t="e">
        <f ca="1">(EXP(-(AG254^2)/2)/SQRT(2*PI())*EXP(0*SQRT(Table13[[#This Row],[T]]))/$A$4*18%*SQRT(SQRT(Table13[[#This Row],[T]])))</f>
        <v>#DIV/0!</v>
      </c>
      <c r="AJ254" t="e">
        <f ca="1">(EXP(-(AH254^2)/2)/SQRT(2*PI())*EXP(0*SQRT(Table13[[#This Row],[T]]))/$A$4*18%*SQRT(SQRT(Table13[[#This Row],[T]])))</f>
        <v>#DIV/0!</v>
      </c>
      <c r="AK254" t="e">
        <f ca="1">Table13[[#This Row],[Call D1]]-Table13[[#This Row],[IV Calc C]]*SQRT(Table13[[#This Row],[T]])</f>
        <v>#DIV/0!</v>
      </c>
      <c r="AL254" t="e">
        <f ca="1">Table13[[#This Row],[Put D1]]-Table13[[#This Row],[IV Calc P]]*SQRT(Table13[[#This Row],[T]])</f>
        <v>#DIV/0!</v>
      </c>
      <c r="AM254" t="e">
        <f ca="1">EXP(-0.5*Table13[[#This Row],[Call D1]]^2)/SQRT(2*PI())</f>
        <v>#DIV/0!</v>
      </c>
      <c r="AN254" t="e">
        <f ca="1">EXP(-0.5*Table13[[#This Row],[Put D1]]^2)/SQRT(2*PI())</f>
        <v>#DIV/0!</v>
      </c>
      <c r="AO254">
        <f ca="1">IFERROR((EXP(0*Table13[[#This Row],[T]])*Table13[[#This Row],[call N(d1)]]*(Table13[[#This Row],[call d2]]/Table13[[#This Row],[IV Calc C]]))*Table13[[#This Row],[Open.Int]]*Table13[[#This Row],[DeltaC]],0)</f>
        <v>0</v>
      </c>
      <c r="AP254">
        <f ca="1">IFERROR((EXP(0*Table13[[#This Row],[T]])*Table13[[#This Row],[put N(d1)]]*(Table13[[#This Row],[put d2]]/Table13[[#This Row],[IV Calc P]]))*Table13[[#This Row],[Open.Int8]]*Table13[[#This Row],[DeltaP]]*-1,0)</f>
        <v>0</v>
      </c>
      <c r="AQ254">
        <f ca="1">((Table13[[#This Row],[call vanna]]+Table13[[#This Row],[put vanna]])*$A$4)</f>
        <v>0</v>
      </c>
      <c r="AR25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4" s="9" t="str" cm="1">
        <f t="array" ref="AT254">_xlfn.IFS(     $M$1="SPX","SPXW",     $M$1="RUT","RUTW",  $M$1="NDX","NDXP",   TRUE,$M$1 )</f>
        <v>SPXW</v>
      </c>
      <c r="AU254" s="2">
        <f t="shared" si="27"/>
        <v>6915</v>
      </c>
      <c r="AV254" t="str">
        <f t="shared" si="28"/>
        <v>000100</v>
      </c>
      <c r="AY25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4">
        <f>((Table13[[#This Row],[High C]]+Table13[[#This Row],[Low C]])/2)*Table13[[#This Row],[gammac]]*Table13[[#This Row],[Volume]]</f>
        <v>0</v>
      </c>
      <c r="BD254">
        <f>((Table13[[#This Row],[High P]]+Table13[[#This Row],[Low P]])/2)*Table13[[#This Row],[gammap]]*Table13[[#This Row],[Volume9]]*-1</f>
        <v>0</v>
      </c>
      <c r="BE254">
        <f>(Table13[[#This Row],[SgammaC]]+Table13[[#This Row],[SgammaP]])*$A$4*-100</f>
        <v>0</v>
      </c>
      <c r="BF254">
        <f>Table13[[#This Row],[DEXc]]+Table13[[#This Row],[DEXp]]</f>
        <v>0</v>
      </c>
      <c r="BG254">
        <f>IFERROR(Table13[[#This Row],[DeltaC]]*Table13[[#This Row],[Open.Int]]*$A$4,0)</f>
        <v>0</v>
      </c>
      <c r="BH254">
        <f>IFERROR(Table13[[#This Row],[DeltaP]]*Table13[[#This Row],[Open.Int8]]*$A$4,0)</f>
        <v>0</v>
      </c>
      <c r="BI25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4">
        <f ca="1">Table13[[#This Row],[charmc]]+Table13[[#This Row],[charmp]]</f>
        <v>0</v>
      </c>
      <c r="BL25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4" s="78">
        <f ca="1">Table13[[#This Row],[call helper]]+Table13[[#This Row],[put helper]]</f>
        <v>0</v>
      </c>
      <c r="BP254" t="str">
        <f>RTD("tos.rtd", , "STRIKE", "."&amp;Table13[[#This Row],[Ticker]]&amp;Table13[[#This Row],[Expiry]]&amp;""&amp;"C"&amp;Table13[[#This Row],[Spot]]+Table13[[#This Row],[step]])</f>
        <v>N/A</v>
      </c>
    </row>
    <row r="255" spans="1:68" x14ac:dyDescent="0.25">
      <c r="A255" s="14">
        <f t="shared" ca="1" si="24"/>
        <v>-126.14810350076104</v>
      </c>
      <c r="C255" s="17"/>
      <c r="D255" t="b">
        <f>IF(
    ISNUMBER(Table13[[#This Row],[Strike]]),RTD("tos.rtd", , "OPEN_INT", "."&amp;Table13[[#This Row],[Ticker]]&amp;Table13[[#This Row],[Expiry]]&amp;""&amp;"C"&amp;Table13[[#This Row],[Strike]]))</f>
        <v>0</v>
      </c>
      <c r="E25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5" t="b">
        <f>IF(     ISNUMBER(Table13[[#This Row],[Strike]]),RTD("tos.rtd", , "DELTA", "."&amp;Table13[[#This Row],[Ticker]]&amp;Table13[[#This Row],[Expiry]]&amp;""&amp;"C"&amp;Table13[[#This Row],[Strike]]))</f>
        <v>0</v>
      </c>
      <c r="H255" s="17" t="b" cm="1">
        <f t="array" ref="H255">IF(
    ISNUMBER(Table13[[#This Row],[Strike]]),IndividualLegIVCore($A$4, Table13[[#This Row],[Strike]], 0.0411, Table13[[#This Row],[T]], ((Table13[[#This Row],[BIDC]]+Table13[[#This Row],[ASKC]])/2), TRUE))</f>
        <v>0</v>
      </c>
      <c r="I255" t="b">
        <f>IF(     ISNUMBER(Table13[[#This Row],[Strike]]),RTD("tos.rtd", , "BID", "."&amp;Table13[[#This Row],[Ticker]]&amp;Table13[[#This Row],[Expiry]]&amp;""&amp;"C"&amp;Table13[[#This Row],[Strike]]))</f>
        <v>0</v>
      </c>
      <c r="J255" t="b">
        <f>IF(     ISNUMBER(Table13[[#This Row],[Strike]]),RTD("tos.rtd", , "ASK", "."&amp;Table13[[#This Row],[Ticker]]&amp;Table13[[#This Row],[Expiry]]&amp;""&amp;"C"&amp;Table13[[#This Row],[Strike]]))</f>
        <v>0</v>
      </c>
      <c r="K25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5" s="17" cm="1">
        <f t="array" aca="1" ref="L25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5" s="1">
        <f t="shared" si="25"/>
        <v>0</v>
      </c>
      <c r="N255" t="b">
        <f t="shared" si="26"/>
        <v>0</v>
      </c>
      <c r="P255" s="17" t="b" cm="1">
        <f t="array" ref="P255">IF(
    ISNUMBER(Table13[[#This Row],[Strike]]),IndividualLegIVCore($A$4, Table13[[#This Row],[Strike]], 0.0411, Table13[[#This Row],[T]], ((Table13[[#This Row],[BIDP]]+Table13[[#This Row],[ASKP]])/2), FALSE))</f>
        <v>0</v>
      </c>
      <c r="Q255" t="b">
        <f>IF(     ISNUMBER(Table13[[#This Row],[Strike]]),RTD("tos.rtd", , "BID", "."&amp;Table13[[#This Row],[Ticker]]&amp;Table13[[#This Row],[Expiry]]&amp;""&amp;"P"&amp;Table13[[#This Row],[Strike]]))</f>
        <v>0</v>
      </c>
      <c r="R255" t="b">
        <f>IF(     ISNUMBER(Table13[[#This Row],[Strike]]),RTD("tos.rtd", , "ASK", "."&amp;Table13[[#This Row],[Ticker]]&amp;Table13[[#This Row],[Expiry]]&amp;""&amp;"P"&amp;Table13[[#This Row],[Strike]]))</f>
        <v>0</v>
      </c>
      <c r="S255" s="17"/>
      <c r="T255" t="b">
        <f>IF(     ISNUMBER(Table13[[#This Row],[Strike]]),RTD("tos.rtd", , "OPEN_INT", "."&amp;Table13[[#This Row],[Ticker]]&amp;Table13[[#This Row],[Expiry]]&amp;""&amp;"P"&amp;Table13[[#This Row],[Strike]]))</f>
        <v>0</v>
      </c>
      <c r="U25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5" t="b">
        <f>IF(     ISNUMBER(Table13[[#This Row],[Strike]]),RTD("tos.rtd", , "DELTA", "."&amp;Table13[[#This Row],[Ticker]]&amp;Table13[[#This Row],[Expiry]]&amp;""&amp;"P"&amp;Table13[[#This Row],[Strike]]))</f>
        <v>0</v>
      </c>
      <c r="Y255" s="19">
        <f>-29* IF($M$1="NDX", 10, IF(OR($M$1="SPX", $M$1="RUT"), 2, 1))</f>
        <v>-58</v>
      </c>
      <c r="Z255">
        <f ca="1">IFERROR(Table13[[#This Row],[call gamma]]*(Table13[[#This Row],[Open.Int]])*$A$4^2,0)</f>
        <v>0</v>
      </c>
      <c r="AA255">
        <f ca="1">IFERROR(((Table13[[#This Row],[Open.Int8]])*Table13[[#This Row],[Put gamma]])*-1*$A$4^2,0)</f>
        <v>0</v>
      </c>
      <c r="AB255">
        <f ca="1">(Table13[[#This Row],[Call Gex]]+Table13[[#This Row],[Put Gex]])</f>
        <v>0</v>
      </c>
      <c r="AC255">
        <f ca="1">Table13[[#This Row],[put delta adj]]+Table13[[#This Row],[call delta adj]]</f>
        <v>0</v>
      </c>
      <c r="AD255">
        <f ca="1">Table13[[#This Row],[Put Gex]]*Table13[[#This Row],[DeltaP]]*-1</f>
        <v>0</v>
      </c>
      <c r="AE255">
        <f ca="1">Table13[[#This Row],[Call Gex]]*Table13[[#This Row],[DeltaC]]</f>
        <v>0</v>
      </c>
      <c r="AF255">
        <f>IF(Table13[[#This Row],[DeltaC]]-ABS(Table13[[#This Row],[DeltaP]])="0","0.01",Table13[[#This Row],[DeltaC]]-ABS(Table13[[#This Row],[DeltaP]]))</f>
        <v>0</v>
      </c>
      <c r="AG255" t="e">
        <f ca="1">((LN($A$4/Table13[[#This Row],[Strike]]) + (0.411 + 0.5 * Table13[[#This Row],[IV Calc P]]^2) *Table13[[#This Row],[T]])) / (Table13[[#This Row],[IV Calc P]] * SQRT(Table13[[#This Row],[T]]))</f>
        <v>#DIV/0!</v>
      </c>
      <c r="AH255" t="e">
        <f ca="1">(LN($A$4/Table13[[#This Row],[Strike]]) + (0.411-0 + 0.5 * Table13[[#This Row],[IV Calc C]]^2) *Table13[[#This Row],[T]]) / (Table13[[#This Row],[IV Calc C]] * SQRT(Table13[[#This Row],[T]]))</f>
        <v>#DIV/0!</v>
      </c>
      <c r="AI255" t="e">
        <f ca="1">(EXP(-(AG255^2)/2)/SQRT(2*PI())*EXP(0*SQRT(Table13[[#This Row],[T]]))/$A$4*18%*SQRT(SQRT(Table13[[#This Row],[T]])))</f>
        <v>#DIV/0!</v>
      </c>
      <c r="AJ255" t="e">
        <f ca="1">(EXP(-(AH255^2)/2)/SQRT(2*PI())*EXP(0*SQRT(Table13[[#This Row],[T]]))/$A$4*18%*SQRT(SQRT(Table13[[#This Row],[T]])))</f>
        <v>#DIV/0!</v>
      </c>
      <c r="AK255" t="e">
        <f ca="1">Table13[[#This Row],[Call D1]]-Table13[[#This Row],[IV Calc C]]*SQRT(Table13[[#This Row],[T]])</f>
        <v>#DIV/0!</v>
      </c>
      <c r="AL255" t="e">
        <f ca="1">Table13[[#This Row],[Put D1]]-Table13[[#This Row],[IV Calc P]]*SQRT(Table13[[#This Row],[T]])</f>
        <v>#DIV/0!</v>
      </c>
      <c r="AM255" t="e">
        <f ca="1">EXP(-0.5*Table13[[#This Row],[Call D1]]^2)/SQRT(2*PI())</f>
        <v>#DIV/0!</v>
      </c>
      <c r="AN255" t="e">
        <f ca="1">EXP(-0.5*Table13[[#This Row],[Put D1]]^2)/SQRT(2*PI())</f>
        <v>#DIV/0!</v>
      </c>
      <c r="AO255">
        <f ca="1">IFERROR((EXP(0*Table13[[#This Row],[T]])*Table13[[#This Row],[call N(d1)]]*(Table13[[#This Row],[call d2]]/Table13[[#This Row],[IV Calc C]]))*Table13[[#This Row],[Open.Int]]*Table13[[#This Row],[DeltaC]],0)</f>
        <v>0</v>
      </c>
      <c r="AP255">
        <f ca="1">IFERROR((EXP(0*Table13[[#This Row],[T]])*Table13[[#This Row],[put N(d1)]]*(Table13[[#This Row],[put d2]]/Table13[[#This Row],[IV Calc P]]))*Table13[[#This Row],[Open.Int8]]*Table13[[#This Row],[DeltaP]]*-1,0)</f>
        <v>0</v>
      </c>
      <c r="AQ255">
        <f ca="1">((Table13[[#This Row],[call vanna]]+Table13[[#This Row],[put vanna]])*$A$4)</f>
        <v>0</v>
      </c>
      <c r="AR25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5" s="9" t="str" cm="1">
        <f t="array" ref="AT255">_xlfn.IFS(     $M$1="SPX","SPXW",     $M$1="RUT","RUTW",  $M$1="NDX","NDXP",   TRUE,$M$1 )</f>
        <v>SPXW</v>
      </c>
      <c r="AU255" s="2">
        <f t="shared" si="27"/>
        <v>6915</v>
      </c>
      <c r="AV255" t="str">
        <f t="shared" si="28"/>
        <v>000100</v>
      </c>
      <c r="AY25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5">
        <f>((Table13[[#This Row],[High C]]+Table13[[#This Row],[Low C]])/2)*Table13[[#This Row],[gammac]]*Table13[[#This Row],[Volume]]</f>
        <v>0</v>
      </c>
      <c r="BD255">
        <f>((Table13[[#This Row],[High P]]+Table13[[#This Row],[Low P]])/2)*Table13[[#This Row],[gammap]]*Table13[[#This Row],[Volume9]]*-1</f>
        <v>0</v>
      </c>
      <c r="BE255">
        <f>(Table13[[#This Row],[SgammaC]]+Table13[[#This Row],[SgammaP]])*$A$4*-100</f>
        <v>0</v>
      </c>
      <c r="BF255">
        <f>Table13[[#This Row],[DEXc]]+Table13[[#This Row],[DEXp]]</f>
        <v>0</v>
      </c>
      <c r="BG255">
        <f>IFERROR(Table13[[#This Row],[DeltaC]]*Table13[[#This Row],[Open.Int]]*$A$4,0)</f>
        <v>0</v>
      </c>
      <c r="BH255">
        <f>IFERROR(Table13[[#This Row],[DeltaP]]*Table13[[#This Row],[Open.Int8]]*$A$4,0)</f>
        <v>0</v>
      </c>
      <c r="BI25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5">
        <f ca="1">Table13[[#This Row],[charmc]]+Table13[[#This Row],[charmp]]</f>
        <v>0</v>
      </c>
      <c r="BL25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5" s="78">
        <f ca="1">Table13[[#This Row],[call helper]]+Table13[[#This Row],[put helper]]</f>
        <v>0</v>
      </c>
      <c r="BP255" t="str">
        <f>RTD("tos.rtd", , "STRIKE", "."&amp;Table13[[#This Row],[Ticker]]&amp;Table13[[#This Row],[Expiry]]&amp;""&amp;"C"&amp;Table13[[#This Row],[Spot]]+Table13[[#This Row],[step]])</f>
        <v>N/A</v>
      </c>
    </row>
    <row r="256" spans="1:68" x14ac:dyDescent="0.25">
      <c r="A256" s="14">
        <f t="shared" ca="1" si="24"/>
        <v>-126.14810350076104</v>
      </c>
      <c r="C256" s="17"/>
      <c r="D256" t="b">
        <f>IF(
    ISNUMBER(Table13[[#This Row],[Strike]]),RTD("tos.rtd", , "OPEN_INT", "."&amp;Table13[[#This Row],[Ticker]]&amp;Table13[[#This Row],[Expiry]]&amp;""&amp;"C"&amp;Table13[[#This Row],[Strike]]))</f>
        <v>0</v>
      </c>
      <c r="E25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6" t="b">
        <f>IF(     ISNUMBER(Table13[[#This Row],[Strike]]),RTD("tos.rtd", , "DELTA", "."&amp;Table13[[#This Row],[Ticker]]&amp;Table13[[#This Row],[Expiry]]&amp;""&amp;"C"&amp;Table13[[#This Row],[Strike]]))</f>
        <v>0</v>
      </c>
      <c r="H256" s="17" t="b" cm="1">
        <f t="array" ref="H256">IF(
    ISNUMBER(Table13[[#This Row],[Strike]]),IndividualLegIVCore($A$4, Table13[[#This Row],[Strike]], 0.0411, Table13[[#This Row],[T]], ((Table13[[#This Row],[BIDC]]+Table13[[#This Row],[ASKC]])/2), TRUE))</f>
        <v>0</v>
      </c>
      <c r="I256" t="b">
        <f>IF(     ISNUMBER(Table13[[#This Row],[Strike]]),RTD("tos.rtd", , "BID", "."&amp;Table13[[#This Row],[Ticker]]&amp;Table13[[#This Row],[Expiry]]&amp;""&amp;"C"&amp;Table13[[#This Row],[Strike]]))</f>
        <v>0</v>
      </c>
      <c r="J256" t="b">
        <f>IF(     ISNUMBER(Table13[[#This Row],[Strike]]),RTD("tos.rtd", , "ASK", "."&amp;Table13[[#This Row],[Ticker]]&amp;Table13[[#This Row],[Expiry]]&amp;""&amp;"C"&amp;Table13[[#This Row],[Strike]]))</f>
        <v>0</v>
      </c>
      <c r="K25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6" s="17" cm="1">
        <f t="array" aca="1" ref="L25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6" s="1">
        <f t="shared" si="25"/>
        <v>0</v>
      </c>
      <c r="N256" t="b">
        <f t="shared" si="26"/>
        <v>0</v>
      </c>
      <c r="P256" s="17" t="b" cm="1">
        <f t="array" ref="P256">IF(
    ISNUMBER(Table13[[#This Row],[Strike]]),IndividualLegIVCore($A$4, Table13[[#This Row],[Strike]], 0.0411, Table13[[#This Row],[T]], ((Table13[[#This Row],[BIDP]]+Table13[[#This Row],[ASKP]])/2), FALSE))</f>
        <v>0</v>
      </c>
      <c r="Q256" t="b">
        <f>IF(     ISNUMBER(Table13[[#This Row],[Strike]]),RTD("tos.rtd", , "BID", "."&amp;Table13[[#This Row],[Ticker]]&amp;Table13[[#This Row],[Expiry]]&amp;""&amp;"P"&amp;Table13[[#This Row],[Strike]]))</f>
        <v>0</v>
      </c>
      <c r="R256" t="b">
        <f>IF(     ISNUMBER(Table13[[#This Row],[Strike]]),RTD("tos.rtd", , "ASK", "."&amp;Table13[[#This Row],[Ticker]]&amp;Table13[[#This Row],[Expiry]]&amp;""&amp;"P"&amp;Table13[[#This Row],[Strike]]))</f>
        <v>0</v>
      </c>
      <c r="S256" s="17"/>
      <c r="T256" t="b">
        <f>IF(     ISNUMBER(Table13[[#This Row],[Strike]]),RTD("tos.rtd", , "OPEN_INT", "."&amp;Table13[[#This Row],[Ticker]]&amp;Table13[[#This Row],[Expiry]]&amp;""&amp;"P"&amp;Table13[[#This Row],[Strike]]))</f>
        <v>0</v>
      </c>
      <c r="U25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6" t="b">
        <f>IF(     ISNUMBER(Table13[[#This Row],[Strike]]),RTD("tos.rtd", , "DELTA", "."&amp;Table13[[#This Row],[Ticker]]&amp;Table13[[#This Row],[Expiry]]&amp;""&amp;"P"&amp;Table13[[#This Row],[Strike]]))</f>
        <v>0</v>
      </c>
      <c r="Y256" s="19">
        <f>-28.5* IF($M$1="NDX", 10, IF(OR($M$1="SPX", $M$1="RUT"), 2, 1))</f>
        <v>-57</v>
      </c>
      <c r="Z256">
        <f ca="1">IFERROR(Table13[[#This Row],[call gamma]]*(Table13[[#This Row],[Open.Int]])*$A$4^2,0)</f>
        <v>0</v>
      </c>
      <c r="AA256">
        <f ca="1">IFERROR(((Table13[[#This Row],[Open.Int8]])*Table13[[#This Row],[Put gamma]])*-1*$A$4^2,0)</f>
        <v>0</v>
      </c>
      <c r="AB256">
        <f ca="1">(Table13[[#This Row],[Call Gex]]+Table13[[#This Row],[Put Gex]])</f>
        <v>0</v>
      </c>
      <c r="AC256">
        <f ca="1">Table13[[#This Row],[put delta adj]]+Table13[[#This Row],[call delta adj]]</f>
        <v>0</v>
      </c>
      <c r="AD256">
        <f ca="1">Table13[[#This Row],[Put Gex]]*Table13[[#This Row],[DeltaP]]*-1</f>
        <v>0</v>
      </c>
      <c r="AE256">
        <f ca="1">Table13[[#This Row],[Call Gex]]*Table13[[#This Row],[DeltaC]]</f>
        <v>0</v>
      </c>
      <c r="AF256">
        <f>IF(Table13[[#This Row],[DeltaC]]-ABS(Table13[[#This Row],[DeltaP]])="0","0.01",Table13[[#This Row],[DeltaC]]-ABS(Table13[[#This Row],[DeltaP]]))</f>
        <v>0</v>
      </c>
      <c r="AG256" t="e">
        <f ca="1">((LN($A$4/Table13[[#This Row],[Strike]]) + (0.411 + 0.5 * Table13[[#This Row],[IV Calc P]]^2) *Table13[[#This Row],[T]])) / (Table13[[#This Row],[IV Calc P]] * SQRT(Table13[[#This Row],[T]]))</f>
        <v>#DIV/0!</v>
      </c>
      <c r="AH256" t="e">
        <f ca="1">(LN($A$4/Table13[[#This Row],[Strike]]) + (0.411-0 + 0.5 * Table13[[#This Row],[IV Calc C]]^2) *Table13[[#This Row],[T]]) / (Table13[[#This Row],[IV Calc C]] * SQRT(Table13[[#This Row],[T]]))</f>
        <v>#DIV/0!</v>
      </c>
      <c r="AI256" t="e">
        <f ca="1">(EXP(-(AG256^2)/2)/SQRT(2*PI())*EXP(0*SQRT(Table13[[#This Row],[T]]))/$A$4*18%*SQRT(SQRT(Table13[[#This Row],[T]])))</f>
        <v>#DIV/0!</v>
      </c>
      <c r="AJ256" t="e">
        <f ca="1">(EXP(-(AH256^2)/2)/SQRT(2*PI())*EXP(0*SQRT(Table13[[#This Row],[T]]))/$A$4*18%*SQRT(SQRT(Table13[[#This Row],[T]])))</f>
        <v>#DIV/0!</v>
      </c>
      <c r="AK256" t="e">
        <f ca="1">Table13[[#This Row],[Call D1]]-Table13[[#This Row],[IV Calc C]]*SQRT(Table13[[#This Row],[T]])</f>
        <v>#DIV/0!</v>
      </c>
      <c r="AL256" t="e">
        <f ca="1">Table13[[#This Row],[Put D1]]-Table13[[#This Row],[IV Calc P]]*SQRT(Table13[[#This Row],[T]])</f>
        <v>#DIV/0!</v>
      </c>
      <c r="AM256" t="e">
        <f ca="1">EXP(-0.5*Table13[[#This Row],[Call D1]]^2)/SQRT(2*PI())</f>
        <v>#DIV/0!</v>
      </c>
      <c r="AN256" t="e">
        <f ca="1">EXP(-0.5*Table13[[#This Row],[Put D1]]^2)/SQRT(2*PI())</f>
        <v>#DIV/0!</v>
      </c>
      <c r="AO256">
        <f ca="1">IFERROR((EXP(0*Table13[[#This Row],[T]])*Table13[[#This Row],[call N(d1)]]*(Table13[[#This Row],[call d2]]/Table13[[#This Row],[IV Calc C]]))*Table13[[#This Row],[Open.Int]]*Table13[[#This Row],[DeltaC]],0)</f>
        <v>0</v>
      </c>
      <c r="AP256">
        <f ca="1">IFERROR((EXP(0*Table13[[#This Row],[T]])*Table13[[#This Row],[put N(d1)]]*(Table13[[#This Row],[put d2]]/Table13[[#This Row],[IV Calc P]]))*Table13[[#This Row],[Open.Int8]]*Table13[[#This Row],[DeltaP]]*-1,0)</f>
        <v>0</v>
      </c>
      <c r="AQ256">
        <f ca="1">((Table13[[#This Row],[call vanna]]+Table13[[#This Row],[put vanna]])*$A$4)</f>
        <v>0</v>
      </c>
      <c r="AR25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6" s="9" t="str" cm="1">
        <f t="array" ref="AT256">_xlfn.IFS(     $M$1="SPX","SPXW",     $M$1="RUT","RUTW",  $M$1="NDX","NDXP",   TRUE,$M$1 )</f>
        <v>SPXW</v>
      </c>
      <c r="AU256" s="2">
        <f t="shared" si="27"/>
        <v>6915</v>
      </c>
      <c r="AV256" t="str">
        <f t="shared" si="28"/>
        <v>000100</v>
      </c>
      <c r="AY25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6">
        <f>((Table13[[#This Row],[High C]]+Table13[[#This Row],[Low C]])/2)*Table13[[#This Row],[gammac]]*Table13[[#This Row],[Volume]]</f>
        <v>0</v>
      </c>
      <c r="BD256">
        <f>((Table13[[#This Row],[High P]]+Table13[[#This Row],[Low P]])/2)*Table13[[#This Row],[gammap]]*Table13[[#This Row],[Volume9]]*-1</f>
        <v>0</v>
      </c>
      <c r="BE256">
        <f>(Table13[[#This Row],[SgammaC]]+Table13[[#This Row],[SgammaP]])*$A$4*-100</f>
        <v>0</v>
      </c>
      <c r="BF256">
        <f>Table13[[#This Row],[DEXc]]+Table13[[#This Row],[DEXp]]</f>
        <v>0</v>
      </c>
      <c r="BG256">
        <f>IFERROR(Table13[[#This Row],[DeltaC]]*Table13[[#This Row],[Open.Int]]*$A$4,0)</f>
        <v>0</v>
      </c>
      <c r="BH256">
        <f>IFERROR(Table13[[#This Row],[DeltaP]]*Table13[[#This Row],[Open.Int8]]*$A$4,0)</f>
        <v>0</v>
      </c>
      <c r="BI25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6">
        <f ca="1">Table13[[#This Row],[charmc]]+Table13[[#This Row],[charmp]]</f>
        <v>0</v>
      </c>
      <c r="BL25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6" s="78">
        <f ca="1">Table13[[#This Row],[call helper]]+Table13[[#This Row],[put helper]]</f>
        <v>0</v>
      </c>
      <c r="BP256" t="str">
        <f>RTD("tos.rtd", , "STRIKE", "."&amp;Table13[[#This Row],[Ticker]]&amp;Table13[[#This Row],[Expiry]]&amp;""&amp;"C"&amp;Table13[[#This Row],[Spot]]+Table13[[#This Row],[step]])</f>
        <v>N/A</v>
      </c>
    </row>
    <row r="257" spans="1:68" x14ac:dyDescent="0.25">
      <c r="A257" s="14">
        <f t="shared" ca="1" si="24"/>
        <v>-126.14810350076104</v>
      </c>
      <c r="C257" s="17"/>
      <c r="D257" t="b">
        <f>IF(
    ISNUMBER(Table13[[#This Row],[Strike]]),RTD("tos.rtd", , "OPEN_INT", "."&amp;Table13[[#This Row],[Ticker]]&amp;Table13[[#This Row],[Expiry]]&amp;""&amp;"C"&amp;Table13[[#This Row],[Strike]]))</f>
        <v>0</v>
      </c>
      <c r="E25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7" t="b">
        <f>IF(     ISNUMBER(Table13[[#This Row],[Strike]]),RTD("tos.rtd", , "DELTA", "."&amp;Table13[[#This Row],[Ticker]]&amp;Table13[[#This Row],[Expiry]]&amp;""&amp;"C"&amp;Table13[[#This Row],[Strike]]))</f>
        <v>0</v>
      </c>
      <c r="H257" s="17" t="b" cm="1">
        <f t="array" ref="H257">IF(
    ISNUMBER(Table13[[#This Row],[Strike]]),IndividualLegIVCore($A$4, Table13[[#This Row],[Strike]], 0.0411, Table13[[#This Row],[T]], ((Table13[[#This Row],[BIDC]]+Table13[[#This Row],[ASKC]])/2), TRUE))</f>
        <v>0</v>
      </c>
      <c r="I257" t="b">
        <f>IF(     ISNUMBER(Table13[[#This Row],[Strike]]),RTD("tos.rtd", , "BID", "."&amp;Table13[[#This Row],[Ticker]]&amp;Table13[[#This Row],[Expiry]]&amp;""&amp;"C"&amp;Table13[[#This Row],[Strike]]))</f>
        <v>0</v>
      </c>
      <c r="J257" t="b">
        <f>IF(     ISNUMBER(Table13[[#This Row],[Strike]]),RTD("tos.rtd", , "ASK", "."&amp;Table13[[#This Row],[Ticker]]&amp;Table13[[#This Row],[Expiry]]&amp;""&amp;"C"&amp;Table13[[#This Row],[Strike]]))</f>
        <v>0</v>
      </c>
      <c r="K25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7" s="17" cm="1">
        <f t="array" aca="1" ref="L25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7" s="1">
        <f t="shared" si="25"/>
        <v>0</v>
      </c>
      <c r="N257" t="b">
        <f t="shared" si="26"/>
        <v>0</v>
      </c>
      <c r="P257" s="17" t="b" cm="1">
        <f t="array" ref="P257">IF(
    ISNUMBER(Table13[[#This Row],[Strike]]),IndividualLegIVCore($A$4, Table13[[#This Row],[Strike]], 0.0411, Table13[[#This Row],[T]], ((Table13[[#This Row],[BIDP]]+Table13[[#This Row],[ASKP]])/2), FALSE))</f>
        <v>0</v>
      </c>
      <c r="Q257" t="b">
        <f>IF(     ISNUMBER(Table13[[#This Row],[Strike]]),RTD("tos.rtd", , "BID", "."&amp;Table13[[#This Row],[Ticker]]&amp;Table13[[#This Row],[Expiry]]&amp;""&amp;"P"&amp;Table13[[#This Row],[Strike]]))</f>
        <v>0</v>
      </c>
      <c r="R257" t="b">
        <f>IF(     ISNUMBER(Table13[[#This Row],[Strike]]),RTD("tos.rtd", , "ASK", "."&amp;Table13[[#This Row],[Ticker]]&amp;Table13[[#This Row],[Expiry]]&amp;""&amp;"P"&amp;Table13[[#This Row],[Strike]]))</f>
        <v>0</v>
      </c>
      <c r="S257" s="17"/>
      <c r="T257" t="b">
        <f>IF(     ISNUMBER(Table13[[#This Row],[Strike]]),RTD("tos.rtd", , "OPEN_INT", "."&amp;Table13[[#This Row],[Ticker]]&amp;Table13[[#This Row],[Expiry]]&amp;""&amp;"P"&amp;Table13[[#This Row],[Strike]]))</f>
        <v>0</v>
      </c>
      <c r="U25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7" t="b">
        <f>IF(     ISNUMBER(Table13[[#This Row],[Strike]]),RTD("tos.rtd", , "DELTA", "."&amp;Table13[[#This Row],[Ticker]]&amp;Table13[[#This Row],[Expiry]]&amp;""&amp;"P"&amp;Table13[[#This Row],[Strike]]))</f>
        <v>0</v>
      </c>
      <c r="Y257" s="19">
        <f>-28* IF($M$1="NDX", 10, IF(OR($M$1="SPX", $M$1="RUT"), 2, 1))</f>
        <v>-56</v>
      </c>
      <c r="Z257">
        <f ca="1">IFERROR(Table13[[#This Row],[call gamma]]*(Table13[[#This Row],[Open.Int]])*$A$4^2,0)</f>
        <v>0</v>
      </c>
      <c r="AA257">
        <f ca="1">IFERROR(((Table13[[#This Row],[Open.Int8]])*Table13[[#This Row],[Put gamma]])*-1*$A$4^2,0)</f>
        <v>0</v>
      </c>
      <c r="AB257">
        <f ca="1">(Table13[[#This Row],[Call Gex]]+Table13[[#This Row],[Put Gex]])</f>
        <v>0</v>
      </c>
      <c r="AC257">
        <f ca="1">Table13[[#This Row],[put delta adj]]+Table13[[#This Row],[call delta adj]]</f>
        <v>0</v>
      </c>
      <c r="AD257">
        <f ca="1">Table13[[#This Row],[Put Gex]]*Table13[[#This Row],[DeltaP]]*-1</f>
        <v>0</v>
      </c>
      <c r="AE257">
        <f ca="1">Table13[[#This Row],[Call Gex]]*Table13[[#This Row],[DeltaC]]</f>
        <v>0</v>
      </c>
      <c r="AF257">
        <f>IF(Table13[[#This Row],[DeltaC]]-ABS(Table13[[#This Row],[DeltaP]])="0","0.01",Table13[[#This Row],[DeltaC]]-ABS(Table13[[#This Row],[DeltaP]]))</f>
        <v>0</v>
      </c>
      <c r="AG257" t="e">
        <f ca="1">((LN($A$4/Table13[[#This Row],[Strike]]) + (0.411 + 0.5 * Table13[[#This Row],[IV Calc P]]^2) *Table13[[#This Row],[T]])) / (Table13[[#This Row],[IV Calc P]] * SQRT(Table13[[#This Row],[T]]))</f>
        <v>#DIV/0!</v>
      </c>
      <c r="AH257" t="e">
        <f ca="1">(LN($A$4/Table13[[#This Row],[Strike]]) + (0.411-0 + 0.5 * Table13[[#This Row],[IV Calc C]]^2) *Table13[[#This Row],[T]]) / (Table13[[#This Row],[IV Calc C]] * SQRT(Table13[[#This Row],[T]]))</f>
        <v>#DIV/0!</v>
      </c>
      <c r="AI257" t="e">
        <f ca="1">(EXP(-(AG257^2)/2)/SQRT(2*PI())*EXP(0*SQRT(Table13[[#This Row],[T]]))/$A$4*18%*SQRT(SQRT(Table13[[#This Row],[T]])))</f>
        <v>#DIV/0!</v>
      </c>
      <c r="AJ257" t="e">
        <f ca="1">(EXP(-(AH257^2)/2)/SQRT(2*PI())*EXP(0*SQRT(Table13[[#This Row],[T]]))/$A$4*18%*SQRT(SQRT(Table13[[#This Row],[T]])))</f>
        <v>#DIV/0!</v>
      </c>
      <c r="AK257" t="e">
        <f ca="1">Table13[[#This Row],[Call D1]]-Table13[[#This Row],[IV Calc C]]*SQRT(Table13[[#This Row],[T]])</f>
        <v>#DIV/0!</v>
      </c>
      <c r="AL257" t="e">
        <f ca="1">Table13[[#This Row],[Put D1]]-Table13[[#This Row],[IV Calc P]]*SQRT(Table13[[#This Row],[T]])</f>
        <v>#DIV/0!</v>
      </c>
      <c r="AM257" t="e">
        <f ca="1">EXP(-0.5*Table13[[#This Row],[Call D1]]^2)/SQRT(2*PI())</f>
        <v>#DIV/0!</v>
      </c>
      <c r="AN257" t="e">
        <f ca="1">EXP(-0.5*Table13[[#This Row],[Put D1]]^2)/SQRT(2*PI())</f>
        <v>#DIV/0!</v>
      </c>
      <c r="AO257">
        <f ca="1">IFERROR((EXP(0*Table13[[#This Row],[T]])*Table13[[#This Row],[call N(d1)]]*(Table13[[#This Row],[call d2]]/Table13[[#This Row],[IV Calc C]]))*Table13[[#This Row],[Open.Int]]*Table13[[#This Row],[DeltaC]],0)</f>
        <v>0</v>
      </c>
      <c r="AP257">
        <f ca="1">IFERROR((EXP(0*Table13[[#This Row],[T]])*Table13[[#This Row],[put N(d1)]]*(Table13[[#This Row],[put d2]]/Table13[[#This Row],[IV Calc P]]))*Table13[[#This Row],[Open.Int8]]*Table13[[#This Row],[DeltaP]]*-1,0)</f>
        <v>0</v>
      </c>
      <c r="AQ257">
        <f ca="1">((Table13[[#This Row],[call vanna]]+Table13[[#This Row],[put vanna]])*$A$4)</f>
        <v>0</v>
      </c>
      <c r="AR25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7" s="9" t="str" cm="1">
        <f t="array" ref="AT257">_xlfn.IFS(     $M$1="SPX","SPXW",     $M$1="RUT","RUTW",  $M$1="NDX","NDXP",   TRUE,$M$1 )</f>
        <v>SPXW</v>
      </c>
      <c r="AU257" s="2">
        <f t="shared" si="27"/>
        <v>6915</v>
      </c>
      <c r="AV257" t="str">
        <f t="shared" si="28"/>
        <v>000100</v>
      </c>
      <c r="AY25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7">
        <f>((Table13[[#This Row],[High C]]+Table13[[#This Row],[Low C]])/2)*Table13[[#This Row],[gammac]]*Table13[[#This Row],[Volume]]</f>
        <v>0</v>
      </c>
      <c r="BD257">
        <f>((Table13[[#This Row],[High P]]+Table13[[#This Row],[Low P]])/2)*Table13[[#This Row],[gammap]]*Table13[[#This Row],[Volume9]]*-1</f>
        <v>0</v>
      </c>
      <c r="BE257">
        <f>(Table13[[#This Row],[SgammaC]]+Table13[[#This Row],[SgammaP]])*$A$4*-100</f>
        <v>0</v>
      </c>
      <c r="BF257">
        <f>Table13[[#This Row],[DEXc]]+Table13[[#This Row],[DEXp]]</f>
        <v>0</v>
      </c>
      <c r="BG257">
        <f>IFERROR(Table13[[#This Row],[DeltaC]]*Table13[[#This Row],[Open.Int]]*$A$4,0)</f>
        <v>0</v>
      </c>
      <c r="BH257">
        <f>IFERROR(Table13[[#This Row],[DeltaP]]*Table13[[#This Row],[Open.Int8]]*$A$4,0)</f>
        <v>0</v>
      </c>
      <c r="BI25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7">
        <f ca="1">Table13[[#This Row],[charmc]]+Table13[[#This Row],[charmp]]</f>
        <v>0</v>
      </c>
      <c r="BL25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7" s="78">
        <f ca="1">Table13[[#This Row],[call helper]]+Table13[[#This Row],[put helper]]</f>
        <v>0</v>
      </c>
      <c r="BP257" t="str">
        <f>RTD("tos.rtd", , "STRIKE", "."&amp;Table13[[#This Row],[Ticker]]&amp;Table13[[#This Row],[Expiry]]&amp;""&amp;"C"&amp;Table13[[#This Row],[Spot]]+Table13[[#This Row],[step]])</f>
        <v>N/A</v>
      </c>
    </row>
    <row r="258" spans="1:68" x14ac:dyDescent="0.25">
      <c r="A258" s="14">
        <f t="shared" ca="1" si="24"/>
        <v>-126.14810350076104</v>
      </c>
      <c r="C258" s="17"/>
      <c r="D258" t="b">
        <f>IF(
    ISNUMBER(Table13[[#This Row],[Strike]]),RTD("tos.rtd", , "OPEN_INT", "."&amp;Table13[[#This Row],[Ticker]]&amp;Table13[[#This Row],[Expiry]]&amp;""&amp;"C"&amp;Table13[[#This Row],[Strike]]))</f>
        <v>0</v>
      </c>
      <c r="E25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8" t="b">
        <f>IF(     ISNUMBER(Table13[[#This Row],[Strike]]),RTD("tos.rtd", , "DELTA", "."&amp;Table13[[#This Row],[Ticker]]&amp;Table13[[#This Row],[Expiry]]&amp;""&amp;"C"&amp;Table13[[#This Row],[Strike]]))</f>
        <v>0</v>
      </c>
      <c r="H258" s="17" t="b" cm="1">
        <f t="array" ref="H258">IF(
    ISNUMBER(Table13[[#This Row],[Strike]]),IndividualLegIVCore($A$4, Table13[[#This Row],[Strike]], 0.0411, Table13[[#This Row],[T]], ((Table13[[#This Row],[BIDC]]+Table13[[#This Row],[ASKC]])/2), TRUE))</f>
        <v>0</v>
      </c>
      <c r="I258" t="b">
        <f>IF(     ISNUMBER(Table13[[#This Row],[Strike]]),RTD("tos.rtd", , "BID", "."&amp;Table13[[#This Row],[Ticker]]&amp;Table13[[#This Row],[Expiry]]&amp;""&amp;"C"&amp;Table13[[#This Row],[Strike]]))</f>
        <v>0</v>
      </c>
      <c r="J258" t="b">
        <f>IF(     ISNUMBER(Table13[[#This Row],[Strike]]),RTD("tos.rtd", , "ASK", "."&amp;Table13[[#This Row],[Ticker]]&amp;Table13[[#This Row],[Expiry]]&amp;""&amp;"C"&amp;Table13[[#This Row],[Strike]]))</f>
        <v>0</v>
      </c>
      <c r="K25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8" s="17" cm="1">
        <f t="array" aca="1" ref="L25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8" s="1">
        <f t="shared" si="25"/>
        <v>0</v>
      </c>
      <c r="N258" t="b">
        <f t="shared" si="26"/>
        <v>0</v>
      </c>
      <c r="P258" s="17" t="b" cm="1">
        <f t="array" ref="P258">IF(
    ISNUMBER(Table13[[#This Row],[Strike]]),IndividualLegIVCore($A$4, Table13[[#This Row],[Strike]], 0.0411, Table13[[#This Row],[T]], ((Table13[[#This Row],[BIDP]]+Table13[[#This Row],[ASKP]])/2), FALSE))</f>
        <v>0</v>
      </c>
      <c r="Q258" t="b">
        <f>IF(     ISNUMBER(Table13[[#This Row],[Strike]]),RTD("tos.rtd", , "BID", "."&amp;Table13[[#This Row],[Ticker]]&amp;Table13[[#This Row],[Expiry]]&amp;""&amp;"P"&amp;Table13[[#This Row],[Strike]]))</f>
        <v>0</v>
      </c>
      <c r="R258" t="b">
        <f>IF(     ISNUMBER(Table13[[#This Row],[Strike]]),RTD("tos.rtd", , "ASK", "."&amp;Table13[[#This Row],[Ticker]]&amp;Table13[[#This Row],[Expiry]]&amp;""&amp;"P"&amp;Table13[[#This Row],[Strike]]))</f>
        <v>0</v>
      </c>
      <c r="S258" s="17"/>
      <c r="T258" t="b">
        <f>IF(     ISNUMBER(Table13[[#This Row],[Strike]]),RTD("tos.rtd", , "OPEN_INT", "."&amp;Table13[[#This Row],[Ticker]]&amp;Table13[[#This Row],[Expiry]]&amp;""&amp;"P"&amp;Table13[[#This Row],[Strike]]))</f>
        <v>0</v>
      </c>
      <c r="U25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8" t="b">
        <f>IF(     ISNUMBER(Table13[[#This Row],[Strike]]),RTD("tos.rtd", , "DELTA", "."&amp;Table13[[#This Row],[Ticker]]&amp;Table13[[#This Row],[Expiry]]&amp;""&amp;"P"&amp;Table13[[#This Row],[Strike]]))</f>
        <v>0</v>
      </c>
      <c r="Y258" s="19">
        <f>-27.5* IF($M$1="NDX", 10, IF(OR($M$1="SPX", $M$1="RUT"), 2, 1))</f>
        <v>-55</v>
      </c>
      <c r="Z258">
        <f ca="1">IFERROR(Table13[[#This Row],[call gamma]]*(Table13[[#This Row],[Open.Int]])*$A$4^2,0)</f>
        <v>0</v>
      </c>
      <c r="AA258">
        <f ca="1">IFERROR(((Table13[[#This Row],[Open.Int8]])*Table13[[#This Row],[Put gamma]])*-1*$A$4^2,0)</f>
        <v>0</v>
      </c>
      <c r="AB258">
        <f ca="1">(Table13[[#This Row],[Call Gex]]+Table13[[#This Row],[Put Gex]])</f>
        <v>0</v>
      </c>
      <c r="AC258">
        <f ca="1">Table13[[#This Row],[put delta adj]]+Table13[[#This Row],[call delta adj]]</f>
        <v>0</v>
      </c>
      <c r="AD258">
        <f ca="1">Table13[[#This Row],[Put Gex]]*Table13[[#This Row],[DeltaP]]*-1</f>
        <v>0</v>
      </c>
      <c r="AE258">
        <f ca="1">Table13[[#This Row],[Call Gex]]*Table13[[#This Row],[DeltaC]]</f>
        <v>0</v>
      </c>
      <c r="AF258">
        <f>IF(Table13[[#This Row],[DeltaC]]-ABS(Table13[[#This Row],[DeltaP]])="0","0.01",Table13[[#This Row],[DeltaC]]-ABS(Table13[[#This Row],[DeltaP]]))</f>
        <v>0</v>
      </c>
      <c r="AG258" t="e">
        <f ca="1">((LN($A$4/Table13[[#This Row],[Strike]]) + (0.411 + 0.5 * Table13[[#This Row],[IV Calc P]]^2) *Table13[[#This Row],[T]])) / (Table13[[#This Row],[IV Calc P]] * SQRT(Table13[[#This Row],[T]]))</f>
        <v>#DIV/0!</v>
      </c>
      <c r="AH258" t="e">
        <f ca="1">(LN($A$4/Table13[[#This Row],[Strike]]) + (0.411-0 + 0.5 * Table13[[#This Row],[IV Calc C]]^2) *Table13[[#This Row],[T]]) / (Table13[[#This Row],[IV Calc C]] * SQRT(Table13[[#This Row],[T]]))</f>
        <v>#DIV/0!</v>
      </c>
      <c r="AI258" t="e">
        <f ca="1">(EXP(-(AG258^2)/2)/SQRT(2*PI())*EXP(0*SQRT(Table13[[#This Row],[T]]))/$A$4*18%*SQRT(SQRT(Table13[[#This Row],[T]])))</f>
        <v>#DIV/0!</v>
      </c>
      <c r="AJ258" t="e">
        <f ca="1">(EXP(-(AH258^2)/2)/SQRT(2*PI())*EXP(0*SQRT(Table13[[#This Row],[T]]))/$A$4*18%*SQRT(SQRT(Table13[[#This Row],[T]])))</f>
        <v>#DIV/0!</v>
      </c>
      <c r="AK258" t="e">
        <f ca="1">Table13[[#This Row],[Call D1]]-Table13[[#This Row],[IV Calc C]]*SQRT(Table13[[#This Row],[T]])</f>
        <v>#DIV/0!</v>
      </c>
      <c r="AL258" t="e">
        <f ca="1">Table13[[#This Row],[Put D1]]-Table13[[#This Row],[IV Calc P]]*SQRT(Table13[[#This Row],[T]])</f>
        <v>#DIV/0!</v>
      </c>
      <c r="AM258" t="e">
        <f ca="1">EXP(-0.5*Table13[[#This Row],[Call D1]]^2)/SQRT(2*PI())</f>
        <v>#DIV/0!</v>
      </c>
      <c r="AN258" t="e">
        <f ca="1">EXP(-0.5*Table13[[#This Row],[Put D1]]^2)/SQRT(2*PI())</f>
        <v>#DIV/0!</v>
      </c>
      <c r="AO258">
        <f ca="1">IFERROR((EXP(0*Table13[[#This Row],[T]])*Table13[[#This Row],[call N(d1)]]*(Table13[[#This Row],[call d2]]/Table13[[#This Row],[IV Calc C]]))*Table13[[#This Row],[Open.Int]]*Table13[[#This Row],[DeltaC]],0)</f>
        <v>0</v>
      </c>
      <c r="AP258">
        <f ca="1">IFERROR((EXP(0*Table13[[#This Row],[T]])*Table13[[#This Row],[put N(d1)]]*(Table13[[#This Row],[put d2]]/Table13[[#This Row],[IV Calc P]]))*Table13[[#This Row],[Open.Int8]]*Table13[[#This Row],[DeltaP]]*-1,0)</f>
        <v>0</v>
      </c>
      <c r="AQ258">
        <f ca="1">((Table13[[#This Row],[call vanna]]+Table13[[#This Row],[put vanna]])*$A$4)</f>
        <v>0</v>
      </c>
      <c r="AR25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8" s="9" t="str" cm="1">
        <f t="array" ref="AT258">_xlfn.IFS(     $M$1="SPX","SPXW",     $M$1="RUT","RUTW",  $M$1="NDX","NDXP",   TRUE,$M$1 )</f>
        <v>SPXW</v>
      </c>
      <c r="AU258" s="2">
        <f t="shared" si="27"/>
        <v>6915</v>
      </c>
      <c r="AV258" t="str">
        <f t="shared" si="28"/>
        <v>000100</v>
      </c>
      <c r="AY25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8">
        <f>((Table13[[#This Row],[High C]]+Table13[[#This Row],[Low C]])/2)*Table13[[#This Row],[gammac]]*Table13[[#This Row],[Volume]]</f>
        <v>0</v>
      </c>
      <c r="BD258">
        <f>((Table13[[#This Row],[High P]]+Table13[[#This Row],[Low P]])/2)*Table13[[#This Row],[gammap]]*Table13[[#This Row],[Volume9]]*-1</f>
        <v>0</v>
      </c>
      <c r="BE258">
        <f>(Table13[[#This Row],[SgammaC]]+Table13[[#This Row],[SgammaP]])*$A$4*-100</f>
        <v>0</v>
      </c>
      <c r="BF258">
        <f>Table13[[#This Row],[DEXc]]+Table13[[#This Row],[DEXp]]</f>
        <v>0</v>
      </c>
      <c r="BG258">
        <f>IFERROR(Table13[[#This Row],[DeltaC]]*Table13[[#This Row],[Open.Int]]*$A$4,0)</f>
        <v>0</v>
      </c>
      <c r="BH258">
        <f>IFERROR(Table13[[#This Row],[DeltaP]]*Table13[[#This Row],[Open.Int8]]*$A$4,0)</f>
        <v>0</v>
      </c>
      <c r="BI25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8">
        <f ca="1">Table13[[#This Row],[charmc]]+Table13[[#This Row],[charmp]]</f>
        <v>0</v>
      </c>
      <c r="BL25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8" s="78">
        <f ca="1">Table13[[#This Row],[call helper]]+Table13[[#This Row],[put helper]]</f>
        <v>0</v>
      </c>
      <c r="BP258" t="str">
        <f>RTD("tos.rtd", , "STRIKE", "."&amp;Table13[[#This Row],[Ticker]]&amp;Table13[[#This Row],[Expiry]]&amp;""&amp;"C"&amp;Table13[[#This Row],[Spot]]+Table13[[#This Row],[step]])</f>
        <v>N/A</v>
      </c>
    </row>
    <row r="259" spans="1:68" x14ac:dyDescent="0.25">
      <c r="A259" s="14">
        <f t="shared" ca="1" si="24"/>
        <v>-126.14810350076104</v>
      </c>
      <c r="C259" s="17"/>
      <c r="D259" t="b">
        <f>IF(
    ISNUMBER(Table13[[#This Row],[Strike]]),RTD("tos.rtd", , "OPEN_INT", "."&amp;Table13[[#This Row],[Ticker]]&amp;Table13[[#This Row],[Expiry]]&amp;""&amp;"C"&amp;Table13[[#This Row],[Strike]]))</f>
        <v>0</v>
      </c>
      <c r="E25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9" t="b">
        <f>IF(     ISNUMBER(Table13[[#This Row],[Strike]]),RTD("tos.rtd", , "DELTA", "."&amp;Table13[[#This Row],[Ticker]]&amp;Table13[[#This Row],[Expiry]]&amp;""&amp;"C"&amp;Table13[[#This Row],[Strike]]))</f>
        <v>0</v>
      </c>
      <c r="H259" s="17" t="b" cm="1">
        <f t="array" ref="H259">IF(
    ISNUMBER(Table13[[#This Row],[Strike]]),IndividualLegIVCore($A$4, Table13[[#This Row],[Strike]], 0.0411, Table13[[#This Row],[T]], ((Table13[[#This Row],[BIDC]]+Table13[[#This Row],[ASKC]])/2), TRUE))</f>
        <v>0</v>
      </c>
      <c r="I259" t="b">
        <f>IF(     ISNUMBER(Table13[[#This Row],[Strike]]),RTD("tos.rtd", , "BID", "."&amp;Table13[[#This Row],[Ticker]]&amp;Table13[[#This Row],[Expiry]]&amp;""&amp;"C"&amp;Table13[[#This Row],[Strike]]))</f>
        <v>0</v>
      </c>
      <c r="J259" t="b">
        <f>IF(     ISNUMBER(Table13[[#This Row],[Strike]]),RTD("tos.rtd", , "ASK", "."&amp;Table13[[#This Row],[Ticker]]&amp;Table13[[#This Row],[Expiry]]&amp;""&amp;"C"&amp;Table13[[#This Row],[Strike]]))</f>
        <v>0</v>
      </c>
      <c r="K25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9" s="17" cm="1">
        <f t="array" aca="1" ref="L25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59" s="1">
        <f t="shared" si="25"/>
        <v>0</v>
      </c>
      <c r="N259" t="b">
        <f t="shared" si="26"/>
        <v>0</v>
      </c>
      <c r="P259" s="17" t="b" cm="1">
        <f t="array" ref="P259">IF(
    ISNUMBER(Table13[[#This Row],[Strike]]),IndividualLegIVCore($A$4, Table13[[#This Row],[Strike]], 0.0411, Table13[[#This Row],[T]], ((Table13[[#This Row],[BIDP]]+Table13[[#This Row],[ASKP]])/2), FALSE))</f>
        <v>0</v>
      </c>
      <c r="Q259" t="b">
        <f>IF(     ISNUMBER(Table13[[#This Row],[Strike]]),RTD("tos.rtd", , "BID", "."&amp;Table13[[#This Row],[Ticker]]&amp;Table13[[#This Row],[Expiry]]&amp;""&amp;"P"&amp;Table13[[#This Row],[Strike]]))</f>
        <v>0</v>
      </c>
      <c r="R259" t="b">
        <f>IF(     ISNUMBER(Table13[[#This Row],[Strike]]),RTD("tos.rtd", , "ASK", "."&amp;Table13[[#This Row],[Ticker]]&amp;Table13[[#This Row],[Expiry]]&amp;""&amp;"P"&amp;Table13[[#This Row],[Strike]]))</f>
        <v>0</v>
      </c>
      <c r="S259" s="17"/>
      <c r="T259" t="b">
        <f>IF(     ISNUMBER(Table13[[#This Row],[Strike]]),RTD("tos.rtd", , "OPEN_INT", "."&amp;Table13[[#This Row],[Ticker]]&amp;Table13[[#This Row],[Expiry]]&amp;""&amp;"P"&amp;Table13[[#This Row],[Strike]]))</f>
        <v>0</v>
      </c>
      <c r="U25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9" t="b">
        <f>IF(     ISNUMBER(Table13[[#This Row],[Strike]]),RTD("tos.rtd", , "DELTA", "."&amp;Table13[[#This Row],[Ticker]]&amp;Table13[[#This Row],[Expiry]]&amp;""&amp;"P"&amp;Table13[[#This Row],[Strike]]))</f>
        <v>0</v>
      </c>
      <c r="Y259" s="19">
        <f>-27* IF($M$1="NDX", 10, IF(OR($M$1="SPX", $M$1="RUT"), 2, 1))</f>
        <v>-54</v>
      </c>
      <c r="Z259">
        <f ca="1">IFERROR(Table13[[#This Row],[call gamma]]*(Table13[[#This Row],[Open.Int]])*$A$4^2,0)</f>
        <v>0</v>
      </c>
      <c r="AA259">
        <f ca="1">IFERROR(((Table13[[#This Row],[Open.Int8]])*Table13[[#This Row],[Put gamma]])*-1*$A$4^2,0)</f>
        <v>0</v>
      </c>
      <c r="AB259">
        <f ca="1">(Table13[[#This Row],[Call Gex]]+Table13[[#This Row],[Put Gex]])</f>
        <v>0</v>
      </c>
      <c r="AC259">
        <f ca="1">Table13[[#This Row],[put delta adj]]+Table13[[#This Row],[call delta adj]]</f>
        <v>0</v>
      </c>
      <c r="AD259">
        <f ca="1">Table13[[#This Row],[Put Gex]]*Table13[[#This Row],[DeltaP]]*-1</f>
        <v>0</v>
      </c>
      <c r="AE259">
        <f ca="1">Table13[[#This Row],[Call Gex]]*Table13[[#This Row],[DeltaC]]</f>
        <v>0</v>
      </c>
      <c r="AF259">
        <f>IF(Table13[[#This Row],[DeltaC]]-ABS(Table13[[#This Row],[DeltaP]])="0","0.01",Table13[[#This Row],[DeltaC]]-ABS(Table13[[#This Row],[DeltaP]]))</f>
        <v>0</v>
      </c>
      <c r="AG259" t="e">
        <f ca="1">((LN($A$4/Table13[[#This Row],[Strike]]) + (0.411 + 0.5 * Table13[[#This Row],[IV Calc P]]^2) *Table13[[#This Row],[T]])) / (Table13[[#This Row],[IV Calc P]] * SQRT(Table13[[#This Row],[T]]))</f>
        <v>#DIV/0!</v>
      </c>
      <c r="AH259" t="e">
        <f ca="1">(LN($A$4/Table13[[#This Row],[Strike]]) + (0.411-0 + 0.5 * Table13[[#This Row],[IV Calc C]]^2) *Table13[[#This Row],[T]]) / (Table13[[#This Row],[IV Calc C]] * SQRT(Table13[[#This Row],[T]]))</f>
        <v>#DIV/0!</v>
      </c>
      <c r="AI259" t="e">
        <f ca="1">(EXP(-(AG259^2)/2)/SQRT(2*PI())*EXP(0*SQRT(Table13[[#This Row],[T]]))/$A$4*18%*SQRT(SQRT(Table13[[#This Row],[T]])))</f>
        <v>#DIV/0!</v>
      </c>
      <c r="AJ259" t="e">
        <f ca="1">(EXP(-(AH259^2)/2)/SQRT(2*PI())*EXP(0*SQRT(Table13[[#This Row],[T]]))/$A$4*18%*SQRT(SQRT(Table13[[#This Row],[T]])))</f>
        <v>#DIV/0!</v>
      </c>
      <c r="AK259" t="e">
        <f ca="1">Table13[[#This Row],[Call D1]]-Table13[[#This Row],[IV Calc C]]*SQRT(Table13[[#This Row],[T]])</f>
        <v>#DIV/0!</v>
      </c>
      <c r="AL259" t="e">
        <f ca="1">Table13[[#This Row],[Put D1]]-Table13[[#This Row],[IV Calc P]]*SQRT(Table13[[#This Row],[T]])</f>
        <v>#DIV/0!</v>
      </c>
      <c r="AM259" t="e">
        <f ca="1">EXP(-0.5*Table13[[#This Row],[Call D1]]^2)/SQRT(2*PI())</f>
        <v>#DIV/0!</v>
      </c>
      <c r="AN259" t="e">
        <f ca="1">EXP(-0.5*Table13[[#This Row],[Put D1]]^2)/SQRT(2*PI())</f>
        <v>#DIV/0!</v>
      </c>
      <c r="AO259">
        <f ca="1">IFERROR((EXP(0*Table13[[#This Row],[T]])*Table13[[#This Row],[call N(d1)]]*(Table13[[#This Row],[call d2]]/Table13[[#This Row],[IV Calc C]]))*Table13[[#This Row],[Open.Int]]*Table13[[#This Row],[DeltaC]],0)</f>
        <v>0</v>
      </c>
      <c r="AP259">
        <f ca="1">IFERROR((EXP(0*Table13[[#This Row],[T]])*Table13[[#This Row],[put N(d1)]]*(Table13[[#This Row],[put d2]]/Table13[[#This Row],[IV Calc P]]))*Table13[[#This Row],[Open.Int8]]*Table13[[#This Row],[DeltaP]]*-1,0)</f>
        <v>0</v>
      </c>
      <c r="AQ259">
        <f ca="1">((Table13[[#This Row],[call vanna]]+Table13[[#This Row],[put vanna]])*$A$4)</f>
        <v>0</v>
      </c>
      <c r="AR25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9" s="9" t="str" cm="1">
        <f t="array" ref="AT259">_xlfn.IFS(     $M$1="SPX","SPXW",     $M$1="RUT","RUTW",  $M$1="NDX","NDXP",   TRUE,$M$1 )</f>
        <v>SPXW</v>
      </c>
      <c r="AU259" s="2">
        <f t="shared" si="27"/>
        <v>6915</v>
      </c>
      <c r="AV259" t="str">
        <f t="shared" si="28"/>
        <v>000100</v>
      </c>
      <c r="AY25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9">
        <f>((Table13[[#This Row],[High C]]+Table13[[#This Row],[Low C]])/2)*Table13[[#This Row],[gammac]]*Table13[[#This Row],[Volume]]</f>
        <v>0</v>
      </c>
      <c r="BD259">
        <f>((Table13[[#This Row],[High P]]+Table13[[#This Row],[Low P]])/2)*Table13[[#This Row],[gammap]]*Table13[[#This Row],[Volume9]]*-1</f>
        <v>0</v>
      </c>
      <c r="BE259">
        <f>(Table13[[#This Row],[SgammaC]]+Table13[[#This Row],[SgammaP]])*$A$4*-100</f>
        <v>0</v>
      </c>
      <c r="BF259">
        <f>Table13[[#This Row],[DEXc]]+Table13[[#This Row],[DEXp]]</f>
        <v>0</v>
      </c>
      <c r="BG259">
        <f>IFERROR(Table13[[#This Row],[DeltaC]]*Table13[[#This Row],[Open.Int]]*$A$4,0)</f>
        <v>0</v>
      </c>
      <c r="BH259">
        <f>IFERROR(Table13[[#This Row],[DeltaP]]*Table13[[#This Row],[Open.Int8]]*$A$4,0)</f>
        <v>0</v>
      </c>
      <c r="BI25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9">
        <f ca="1">Table13[[#This Row],[charmc]]+Table13[[#This Row],[charmp]]</f>
        <v>0</v>
      </c>
      <c r="BL25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9" s="78">
        <f ca="1">Table13[[#This Row],[call helper]]+Table13[[#This Row],[put helper]]</f>
        <v>0</v>
      </c>
      <c r="BP259" t="str">
        <f>RTD("tos.rtd", , "STRIKE", "."&amp;Table13[[#This Row],[Ticker]]&amp;Table13[[#This Row],[Expiry]]&amp;""&amp;"C"&amp;Table13[[#This Row],[Spot]]+Table13[[#This Row],[step]])</f>
        <v>N/A</v>
      </c>
    </row>
    <row r="260" spans="1:68" x14ac:dyDescent="0.25">
      <c r="A260" s="14">
        <f t="shared" ca="1" si="24"/>
        <v>-126.14810350076104</v>
      </c>
      <c r="C260" s="17"/>
      <c r="D260" t="b">
        <f>IF(
    ISNUMBER(Table13[[#This Row],[Strike]]),RTD("tos.rtd", , "OPEN_INT", "."&amp;Table13[[#This Row],[Ticker]]&amp;Table13[[#This Row],[Expiry]]&amp;""&amp;"C"&amp;Table13[[#This Row],[Strike]]))</f>
        <v>0</v>
      </c>
      <c r="E26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0" t="b">
        <f>IF(     ISNUMBER(Table13[[#This Row],[Strike]]),RTD("tos.rtd", , "DELTA", "."&amp;Table13[[#This Row],[Ticker]]&amp;Table13[[#This Row],[Expiry]]&amp;""&amp;"C"&amp;Table13[[#This Row],[Strike]]))</f>
        <v>0</v>
      </c>
      <c r="H260" s="17" t="b" cm="1">
        <f t="array" ref="H260">IF(
    ISNUMBER(Table13[[#This Row],[Strike]]),IndividualLegIVCore($A$4, Table13[[#This Row],[Strike]], 0.0411, Table13[[#This Row],[T]], ((Table13[[#This Row],[BIDC]]+Table13[[#This Row],[ASKC]])/2), TRUE))</f>
        <v>0</v>
      </c>
      <c r="I260" t="b">
        <f>IF(     ISNUMBER(Table13[[#This Row],[Strike]]),RTD("tos.rtd", , "BID", "."&amp;Table13[[#This Row],[Ticker]]&amp;Table13[[#This Row],[Expiry]]&amp;""&amp;"C"&amp;Table13[[#This Row],[Strike]]))</f>
        <v>0</v>
      </c>
      <c r="J260" t="b">
        <f>IF(     ISNUMBER(Table13[[#This Row],[Strike]]),RTD("tos.rtd", , "ASK", "."&amp;Table13[[#This Row],[Ticker]]&amp;Table13[[#This Row],[Expiry]]&amp;""&amp;"C"&amp;Table13[[#This Row],[Strike]]))</f>
        <v>0</v>
      </c>
      <c r="K26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0" s="17" cm="1">
        <f t="array" aca="1" ref="L26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0" s="1">
        <f t="shared" si="25"/>
        <v>0</v>
      </c>
      <c r="N260" t="b">
        <f t="shared" si="26"/>
        <v>0</v>
      </c>
      <c r="P260" s="17" t="b" cm="1">
        <f t="array" ref="P260">IF(
    ISNUMBER(Table13[[#This Row],[Strike]]),IndividualLegIVCore($A$4, Table13[[#This Row],[Strike]], 0.0411, Table13[[#This Row],[T]], ((Table13[[#This Row],[BIDP]]+Table13[[#This Row],[ASKP]])/2), FALSE))</f>
        <v>0</v>
      </c>
      <c r="Q260" t="b">
        <f>IF(     ISNUMBER(Table13[[#This Row],[Strike]]),RTD("tos.rtd", , "BID", "."&amp;Table13[[#This Row],[Ticker]]&amp;Table13[[#This Row],[Expiry]]&amp;""&amp;"P"&amp;Table13[[#This Row],[Strike]]))</f>
        <v>0</v>
      </c>
      <c r="R260" t="b">
        <f>IF(     ISNUMBER(Table13[[#This Row],[Strike]]),RTD("tos.rtd", , "ASK", "."&amp;Table13[[#This Row],[Ticker]]&amp;Table13[[#This Row],[Expiry]]&amp;""&amp;"P"&amp;Table13[[#This Row],[Strike]]))</f>
        <v>0</v>
      </c>
      <c r="S260" s="17"/>
      <c r="T260" t="b">
        <f>IF(     ISNUMBER(Table13[[#This Row],[Strike]]),RTD("tos.rtd", , "OPEN_INT", "."&amp;Table13[[#This Row],[Ticker]]&amp;Table13[[#This Row],[Expiry]]&amp;""&amp;"P"&amp;Table13[[#This Row],[Strike]]))</f>
        <v>0</v>
      </c>
      <c r="U26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0" t="b">
        <f>IF(     ISNUMBER(Table13[[#This Row],[Strike]]),RTD("tos.rtd", , "DELTA", "."&amp;Table13[[#This Row],[Ticker]]&amp;Table13[[#This Row],[Expiry]]&amp;""&amp;"P"&amp;Table13[[#This Row],[Strike]]))</f>
        <v>0</v>
      </c>
      <c r="Y260" s="19">
        <f>-26.5* IF($M$1="NDX", 10, IF(OR($M$1="SPX", $M$1="RUT"), 2, 1))</f>
        <v>-53</v>
      </c>
      <c r="Z260">
        <f ca="1">IFERROR(Table13[[#This Row],[call gamma]]*(Table13[[#This Row],[Open.Int]])*$A$4^2,0)</f>
        <v>0</v>
      </c>
      <c r="AA260">
        <f ca="1">IFERROR(((Table13[[#This Row],[Open.Int8]])*Table13[[#This Row],[Put gamma]])*-1*$A$4^2,0)</f>
        <v>0</v>
      </c>
      <c r="AB260">
        <f ca="1">(Table13[[#This Row],[Call Gex]]+Table13[[#This Row],[Put Gex]])</f>
        <v>0</v>
      </c>
      <c r="AC260">
        <f ca="1">Table13[[#This Row],[put delta adj]]+Table13[[#This Row],[call delta adj]]</f>
        <v>0</v>
      </c>
      <c r="AD260">
        <f ca="1">Table13[[#This Row],[Put Gex]]*Table13[[#This Row],[DeltaP]]*-1</f>
        <v>0</v>
      </c>
      <c r="AE260">
        <f ca="1">Table13[[#This Row],[Call Gex]]*Table13[[#This Row],[DeltaC]]</f>
        <v>0</v>
      </c>
      <c r="AF260">
        <f>IF(Table13[[#This Row],[DeltaC]]-ABS(Table13[[#This Row],[DeltaP]])="0","0.01",Table13[[#This Row],[DeltaC]]-ABS(Table13[[#This Row],[DeltaP]]))</f>
        <v>0</v>
      </c>
      <c r="AG260" t="e">
        <f ca="1">((LN($A$4/Table13[[#This Row],[Strike]]) + (0.411 + 0.5 * Table13[[#This Row],[IV Calc P]]^2) *Table13[[#This Row],[T]])) / (Table13[[#This Row],[IV Calc P]] * SQRT(Table13[[#This Row],[T]]))</f>
        <v>#DIV/0!</v>
      </c>
      <c r="AH260" t="e">
        <f ca="1">(LN($A$4/Table13[[#This Row],[Strike]]) + (0.411-0 + 0.5 * Table13[[#This Row],[IV Calc C]]^2) *Table13[[#This Row],[T]]) / (Table13[[#This Row],[IV Calc C]] * SQRT(Table13[[#This Row],[T]]))</f>
        <v>#DIV/0!</v>
      </c>
      <c r="AI260" t="e">
        <f ca="1">(EXP(-(AG260^2)/2)/SQRT(2*PI())*EXP(0*SQRT(Table13[[#This Row],[T]]))/$A$4*18%*SQRT(SQRT(Table13[[#This Row],[T]])))</f>
        <v>#DIV/0!</v>
      </c>
      <c r="AJ260" t="e">
        <f ca="1">(EXP(-(AH260^2)/2)/SQRT(2*PI())*EXP(0*SQRT(Table13[[#This Row],[T]]))/$A$4*18%*SQRT(SQRT(Table13[[#This Row],[T]])))</f>
        <v>#DIV/0!</v>
      </c>
      <c r="AK260" t="e">
        <f ca="1">Table13[[#This Row],[Call D1]]-Table13[[#This Row],[IV Calc C]]*SQRT(Table13[[#This Row],[T]])</f>
        <v>#DIV/0!</v>
      </c>
      <c r="AL260" t="e">
        <f ca="1">Table13[[#This Row],[Put D1]]-Table13[[#This Row],[IV Calc P]]*SQRT(Table13[[#This Row],[T]])</f>
        <v>#DIV/0!</v>
      </c>
      <c r="AM260" t="e">
        <f ca="1">EXP(-0.5*Table13[[#This Row],[Call D1]]^2)/SQRT(2*PI())</f>
        <v>#DIV/0!</v>
      </c>
      <c r="AN260" t="e">
        <f ca="1">EXP(-0.5*Table13[[#This Row],[Put D1]]^2)/SQRT(2*PI())</f>
        <v>#DIV/0!</v>
      </c>
      <c r="AO260">
        <f ca="1">IFERROR((EXP(0*Table13[[#This Row],[T]])*Table13[[#This Row],[call N(d1)]]*(Table13[[#This Row],[call d2]]/Table13[[#This Row],[IV Calc C]]))*Table13[[#This Row],[Open.Int]]*Table13[[#This Row],[DeltaC]],0)</f>
        <v>0</v>
      </c>
      <c r="AP260">
        <f ca="1">IFERROR((EXP(0*Table13[[#This Row],[T]])*Table13[[#This Row],[put N(d1)]]*(Table13[[#This Row],[put d2]]/Table13[[#This Row],[IV Calc P]]))*Table13[[#This Row],[Open.Int8]]*Table13[[#This Row],[DeltaP]]*-1,0)</f>
        <v>0</v>
      </c>
      <c r="AQ260">
        <f ca="1">((Table13[[#This Row],[call vanna]]+Table13[[#This Row],[put vanna]])*$A$4)</f>
        <v>0</v>
      </c>
      <c r="AR26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0" s="9" t="str" cm="1">
        <f t="array" ref="AT260">_xlfn.IFS(     $M$1="SPX","SPXW",     $M$1="RUT","RUTW",  $M$1="NDX","NDXP",   TRUE,$M$1 )</f>
        <v>SPXW</v>
      </c>
      <c r="AU260" s="2">
        <f t="shared" si="27"/>
        <v>6915</v>
      </c>
      <c r="AV260" t="str">
        <f t="shared" si="28"/>
        <v>000100</v>
      </c>
      <c r="AY26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0">
        <f>((Table13[[#This Row],[High C]]+Table13[[#This Row],[Low C]])/2)*Table13[[#This Row],[gammac]]*Table13[[#This Row],[Volume]]</f>
        <v>0</v>
      </c>
      <c r="BD260">
        <f>((Table13[[#This Row],[High P]]+Table13[[#This Row],[Low P]])/2)*Table13[[#This Row],[gammap]]*Table13[[#This Row],[Volume9]]*-1</f>
        <v>0</v>
      </c>
      <c r="BE260">
        <f>(Table13[[#This Row],[SgammaC]]+Table13[[#This Row],[SgammaP]])*$A$4*-100</f>
        <v>0</v>
      </c>
      <c r="BF260">
        <f>Table13[[#This Row],[DEXc]]+Table13[[#This Row],[DEXp]]</f>
        <v>0</v>
      </c>
      <c r="BG260">
        <f>IFERROR(Table13[[#This Row],[DeltaC]]*Table13[[#This Row],[Open.Int]]*$A$4,0)</f>
        <v>0</v>
      </c>
      <c r="BH260">
        <f>IFERROR(Table13[[#This Row],[DeltaP]]*Table13[[#This Row],[Open.Int8]]*$A$4,0)</f>
        <v>0</v>
      </c>
      <c r="BI26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0">
        <f ca="1">Table13[[#This Row],[charmc]]+Table13[[#This Row],[charmp]]</f>
        <v>0</v>
      </c>
      <c r="BL26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0" s="78">
        <f ca="1">Table13[[#This Row],[call helper]]+Table13[[#This Row],[put helper]]</f>
        <v>0</v>
      </c>
      <c r="BP260" t="str">
        <f>RTD("tos.rtd", , "STRIKE", "."&amp;Table13[[#This Row],[Ticker]]&amp;Table13[[#This Row],[Expiry]]&amp;""&amp;"C"&amp;Table13[[#This Row],[Spot]]+Table13[[#This Row],[step]])</f>
        <v>N/A</v>
      </c>
    </row>
    <row r="261" spans="1:68" x14ac:dyDescent="0.25">
      <c r="A261" s="14">
        <f t="shared" ca="1" si="24"/>
        <v>-126.14810350076104</v>
      </c>
      <c r="C261" s="17"/>
      <c r="D261" t="b">
        <f>IF(
    ISNUMBER(Table13[[#This Row],[Strike]]),RTD("tos.rtd", , "OPEN_INT", "."&amp;Table13[[#This Row],[Ticker]]&amp;Table13[[#This Row],[Expiry]]&amp;""&amp;"C"&amp;Table13[[#This Row],[Strike]]))</f>
        <v>0</v>
      </c>
      <c r="E26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1" t="b">
        <f>IF(     ISNUMBER(Table13[[#This Row],[Strike]]),RTD("tos.rtd", , "DELTA", "."&amp;Table13[[#This Row],[Ticker]]&amp;Table13[[#This Row],[Expiry]]&amp;""&amp;"C"&amp;Table13[[#This Row],[Strike]]))</f>
        <v>0</v>
      </c>
      <c r="H261" s="17" t="b" cm="1">
        <f t="array" ref="H261">IF(
    ISNUMBER(Table13[[#This Row],[Strike]]),IndividualLegIVCore($A$4, Table13[[#This Row],[Strike]], 0.0411, Table13[[#This Row],[T]], ((Table13[[#This Row],[BIDC]]+Table13[[#This Row],[ASKC]])/2), TRUE))</f>
        <v>0</v>
      </c>
      <c r="I261" t="b">
        <f>IF(     ISNUMBER(Table13[[#This Row],[Strike]]),RTD("tos.rtd", , "BID", "."&amp;Table13[[#This Row],[Ticker]]&amp;Table13[[#This Row],[Expiry]]&amp;""&amp;"C"&amp;Table13[[#This Row],[Strike]]))</f>
        <v>0</v>
      </c>
      <c r="J261" t="b">
        <f>IF(     ISNUMBER(Table13[[#This Row],[Strike]]),RTD("tos.rtd", , "ASK", "."&amp;Table13[[#This Row],[Ticker]]&amp;Table13[[#This Row],[Expiry]]&amp;""&amp;"C"&amp;Table13[[#This Row],[Strike]]))</f>
        <v>0</v>
      </c>
      <c r="K26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1" s="17" cm="1">
        <f t="array" aca="1" ref="L26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1" s="1">
        <f t="shared" si="25"/>
        <v>0</v>
      </c>
      <c r="N261" t="b">
        <f t="shared" si="26"/>
        <v>0</v>
      </c>
      <c r="P261" s="17" t="b" cm="1">
        <f t="array" ref="P261">IF(
    ISNUMBER(Table13[[#This Row],[Strike]]),IndividualLegIVCore($A$4, Table13[[#This Row],[Strike]], 0.0411, Table13[[#This Row],[T]], ((Table13[[#This Row],[BIDP]]+Table13[[#This Row],[ASKP]])/2), FALSE))</f>
        <v>0</v>
      </c>
      <c r="Q261" t="b">
        <f>IF(     ISNUMBER(Table13[[#This Row],[Strike]]),RTD("tos.rtd", , "BID", "."&amp;Table13[[#This Row],[Ticker]]&amp;Table13[[#This Row],[Expiry]]&amp;""&amp;"P"&amp;Table13[[#This Row],[Strike]]))</f>
        <v>0</v>
      </c>
      <c r="R261" t="b">
        <f>IF(     ISNUMBER(Table13[[#This Row],[Strike]]),RTD("tos.rtd", , "ASK", "."&amp;Table13[[#This Row],[Ticker]]&amp;Table13[[#This Row],[Expiry]]&amp;""&amp;"P"&amp;Table13[[#This Row],[Strike]]))</f>
        <v>0</v>
      </c>
      <c r="S261" s="17"/>
      <c r="T261" t="b">
        <f>IF(     ISNUMBER(Table13[[#This Row],[Strike]]),RTD("tos.rtd", , "OPEN_INT", "."&amp;Table13[[#This Row],[Ticker]]&amp;Table13[[#This Row],[Expiry]]&amp;""&amp;"P"&amp;Table13[[#This Row],[Strike]]))</f>
        <v>0</v>
      </c>
      <c r="U26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1" t="b">
        <f>IF(     ISNUMBER(Table13[[#This Row],[Strike]]),RTD("tos.rtd", , "DELTA", "."&amp;Table13[[#This Row],[Ticker]]&amp;Table13[[#This Row],[Expiry]]&amp;""&amp;"P"&amp;Table13[[#This Row],[Strike]]))</f>
        <v>0</v>
      </c>
      <c r="Y261" s="19">
        <f>-26* IF($M$1="NDX", 10, IF(OR($M$1="SPX", $M$1="RUT"), 2, 1))</f>
        <v>-52</v>
      </c>
      <c r="Z261">
        <f ca="1">IFERROR(Table13[[#This Row],[call gamma]]*(Table13[[#This Row],[Open.Int]])*$A$4^2,0)</f>
        <v>0</v>
      </c>
      <c r="AA261">
        <f ca="1">IFERROR(((Table13[[#This Row],[Open.Int8]])*Table13[[#This Row],[Put gamma]])*-1*$A$4^2,0)</f>
        <v>0</v>
      </c>
      <c r="AB261">
        <f ca="1">(Table13[[#This Row],[Call Gex]]+Table13[[#This Row],[Put Gex]])</f>
        <v>0</v>
      </c>
      <c r="AC261">
        <f ca="1">Table13[[#This Row],[put delta adj]]+Table13[[#This Row],[call delta adj]]</f>
        <v>0</v>
      </c>
      <c r="AD261">
        <f ca="1">Table13[[#This Row],[Put Gex]]*Table13[[#This Row],[DeltaP]]*-1</f>
        <v>0</v>
      </c>
      <c r="AE261">
        <f ca="1">Table13[[#This Row],[Call Gex]]*Table13[[#This Row],[DeltaC]]</f>
        <v>0</v>
      </c>
      <c r="AF261">
        <f>IF(Table13[[#This Row],[DeltaC]]-ABS(Table13[[#This Row],[DeltaP]])="0","0.01",Table13[[#This Row],[DeltaC]]-ABS(Table13[[#This Row],[DeltaP]]))</f>
        <v>0</v>
      </c>
      <c r="AG261" t="e">
        <f ca="1">((LN($A$4/Table13[[#This Row],[Strike]]) + (0.411 + 0.5 * Table13[[#This Row],[IV Calc P]]^2) *Table13[[#This Row],[T]])) / (Table13[[#This Row],[IV Calc P]] * SQRT(Table13[[#This Row],[T]]))</f>
        <v>#DIV/0!</v>
      </c>
      <c r="AH261" t="e">
        <f ca="1">(LN($A$4/Table13[[#This Row],[Strike]]) + (0.411-0 + 0.5 * Table13[[#This Row],[IV Calc C]]^2) *Table13[[#This Row],[T]]) / (Table13[[#This Row],[IV Calc C]] * SQRT(Table13[[#This Row],[T]]))</f>
        <v>#DIV/0!</v>
      </c>
      <c r="AI261" t="e">
        <f ca="1">(EXP(-(AG261^2)/2)/SQRT(2*PI())*EXP(0*SQRT(Table13[[#This Row],[T]]))/$A$4*18%*SQRT(SQRT(Table13[[#This Row],[T]])))</f>
        <v>#DIV/0!</v>
      </c>
      <c r="AJ261" t="e">
        <f ca="1">(EXP(-(AH261^2)/2)/SQRT(2*PI())*EXP(0*SQRT(Table13[[#This Row],[T]]))/$A$4*18%*SQRT(SQRT(Table13[[#This Row],[T]])))</f>
        <v>#DIV/0!</v>
      </c>
      <c r="AK261" t="e">
        <f ca="1">Table13[[#This Row],[Call D1]]-Table13[[#This Row],[IV Calc C]]*SQRT(Table13[[#This Row],[T]])</f>
        <v>#DIV/0!</v>
      </c>
      <c r="AL261" t="e">
        <f ca="1">Table13[[#This Row],[Put D1]]-Table13[[#This Row],[IV Calc P]]*SQRT(Table13[[#This Row],[T]])</f>
        <v>#DIV/0!</v>
      </c>
      <c r="AM261" t="e">
        <f ca="1">EXP(-0.5*Table13[[#This Row],[Call D1]]^2)/SQRT(2*PI())</f>
        <v>#DIV/0!</v>
      </c>
      <c r="AN261" t="e">
        <f ca="1">EXP(-0.5*Table13[[#This Row],[Put D1]]^2)/SQRT(2*PI())</f>
        <v>#DIV/0!</v>
      </c>
      <c r="AO261">
        <f ca="1">IFERROR((EXP(0*Table13[[#This Row],[T]])*Table13[[#This Row],[call N(d1)]]*(Table13[[#This Row],[call d2]]/Table13[[#This Row],[IV Calc C]]))*Table13[[#This Row],[Open.Int]]*Table13[[#This Row],[DeltaC]],0)</f>
        <v>0</v>
      </c>
      <c r="AP261">
        <f ca="1">IFERROR((EXP(0*Table13[[#This Row],[T]])*Table13[[#This Row],[put N(d1)]]*(Table13[[#This Row],[put d2]]/Table13[[#This Row],[IV Calc P]]))*Table13[[#This Row],[Open.Int8]]*Table13[[#This Row],[DeltaP]]*-1,0)</f>
        <v>0</v>
      </c>
      <c r="AQ261">
        <f ca="1">((Table13[[#This Row],[call vanna]]+Table13[[#This Row],[put vanna]])*$A$4)</f>
        <v>0</v>
      </c>
      <c r="AR26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1" s="9" t="str" cm="1">
        <f t="array" ref="AT261">_xlfn.IFS(     $M$1="SPX","SPXW",     $M$1="RUT","RUTW",  $M$1="NDX","NDXP",   TRUE,$M$1 )</f>
        <v>SPXW</v>
      </c>
      <c r="AU261" s="2">
        <f t="shared" si="27"/>
        <v>6915</v>
      </c>
      <c r="AV261" t="str">
        <f t="shared" si="28"/>
        <v>000100</v>
      </c>
      <c r="AY26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1">
        <f>((Table13[[#This Row],[High C]]+Table13[[#This Row],[Low C]])/2)*Table13[[#This Row],[gammac]]*Table13[[#This Row],[Volume]]</f>
        <v>0</v>
      </c>
      <c r="BD261">
        <f>((Table13[[#This Row],[High P]]+Table13[[#This Row],[Low P]])/2)*Table13[[#This Row],[gammap]]*Table13[[#This Row],[Volume9]]*-1</f>
        <v>0</v>
      </c>
      <c r="BE261">
        <f>(Table13[[#This Row],[SgammaC]]+Table13[[#This Row],[SgammaP]])*$A$4*-100</f>
        <v>0</v>
      </c>
      <c r="BF261">
        <f>Table13[[#This Row],[DEXc]]+Table13[[#This Row],[DEXp]]</f>
        <v>0</v>
      </c>
      <c r="BG261">
        <f>IFERROR(Table13[[#This Row],[DeltaC]]*Table13[[#This Row],[Open.Int]]*$A$4,0)</f>
        <v>0</v>
      </c>
      <c r="BH261">
        <f>IFERROR(Table13[[#This Row],[DeltaP]]*Table13[[#This Row],[Open.Int8]]*$A$4,0)</f>
        <v>0</v>
      </c>
      <c r="BI26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1">
        <f ca="1">Table13[[#This Row],[charmc]]+Table13[[#This Row],[charmp]]</f>
        <v>0</v>
      </c>
      <c r="BL26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1" s="78">
        <f ca="1">Table13[[#This Row],[call helper]]+Table13[[#This Row],[put helper]]</f>
        <v>0</v>
      </c>
      <c r="BP261" t="str">
        <f>RTD("tos.rtd", , "STRIKE", "."&amp;Table13[[#This Row],[Ticker]]&amp;Table13[[#This Row],[Expiry]]&amp;""&amp;"C"&amp;Table13[[#This Row],[Spot]]+Table13[[#This Row],[step]])</f>
        <v>N/A</v>
      </c>
    </row>
    <row r="262" spans="1:68" x14ac:dyDescent="0.25">
      <c r="A262" s="14">
        <f t="shared" ca="1" si="24"/>
        <v>-126.14810350076104</v>
      </c>
      <c r="C262" s="17"/>
      <c r="D262" t="b">
        <f>IF(
    ISNUMBER(Table13[[#This Row],[Strike]]),RTD("tos.rtd", , "OPEN_INT", "."&amp;Table13[[#This Row],[Ticker]]&amp;Table13[[#This Row],[Expiry]]&amp;""&amp;"C"&amp;Table13[[#This Row],[Strike]]))</f>
        <v>0</v>
      </c>
      <c r="E26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2" t="b">
        <f>IF(     ISNUMBER(Table13[[#This Row],[Strike]]),RTD("tos.rtd", , "DELTA", "."&amp;Table13[[#This Row],[Ticker]]&amp;Table13[[#This Row],[Expiry]]&amp;""&amp;"C"&amp;Table13[[#This Row],[Strike]]))</f>
        <v>0</v>
      </c>
      <c r="H262" s="17" t="b" cm="1">
        <f t="array" ref="H262">IF(
    ISNUMBER(Table13[[#This Row],[Strike]]),IndividualLegIVCore($A$4, Table13[[#This Row],[Strike]], 0.0411, Table13[[#This Row],[T]], ((Table13[[#This Row],[BIDC]]+Table13[[#This Row],[ASKC]])/2), TRUE))</f>
        <v>0</v>
      </c>
      <c r="I262" t="b">
        <f>IF(     ISNUMBER(Table13[[#This Row],[Strike]]),RTD("tos.rtd", , "BID", "."&amp;Table13[[#This Row],[Ticker]]&amp;Table13[[#This Row],[Expiry]]&amp;""&amp;"C"&amp;Table13[[#This Row],[Strike]]))</f>
        <v>0</v>
      </c>
      <c r="J262" t="b">
        <f>IF(     ISNUMBER(Table13[[#This Row],[Strike]]),RTD("tos.rtd", , "ASK", "."&amp;Table13[[#This Row],[Ticker]]&amp;Table13[[#This Row],[Expiry]]&amp;""&amp;"C"&amp;Table13[[#This Row],[Strike]]))</f>
        <v>0</v>
      </c>
      <c r="K26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2" s="17" cm="1">
        <f t="array" aca="1" ref="L26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2" s="1">
        <f t="shared" si="25"/>
        <v>0</v>
      </c>
      <c r="N262" t="b">
        <f t="shared" si="26"/>
        <v>0</v>
      </c>
      <c r="P262" s="17" t="b" cm="1">
        <f t="array" ref="P262">IF(
    ISNUMBER(Table13[[#This Row],[Strike]]),IndividualLegIVCore($A$4, Table13[[#This Row],[Strike]], 0.0411, Table13[[#This Row],[T]], ((Table13[[#This Row],[BIDP]]+Table13[[#This Row],[ASKP]])/2), FALSE))</f>
        <v>0</v>
      </c>
      <c r="Q262" t="b">
        <f>IF(     ISNUMBER(Table13[[#This Row],[Strike]]),RTD("tos.rtd", , "BID", "."&amp;Table13[[#This Row],[Ticker]]&amp;Table13[[#This Row],[Expiry]]&amp;""&amp;"P"&amp;Table13[[#This Row],[Strike]]))</f>
        <v>0</v>
      </c>
      <c r="R262" t="b">
        <f>IF(     ISNUMBER(Table13[[#This Row],[Strike]]),RTD("tos.rtd", , "ASK", "."&amp;Table13[[#This Row],[Ticker]]&amp;Table13[[#This Row],[Expiry]]&amp;""&amp;"P"&amp;Table13[[#This Row],[Strike]]))</f>
        <v>0</v>
      </c>
      <c r="S262" s="17"/>
      <c r="T262" t="b">
        <f>IF(     ISNUMBER(Table13[[#This Row],[Strike]]),RTD("tos.rtd", , "OPEN_INT", "."&amp;Table13[[#This Row],[Ticker]]&amp;Table13[[#This Row],[Expiry]]&amp;""&amp;"P"&amp;Table13[[#This Row],[Strike]]))</f>
        <v>0</v>
      </c>
      <c r="U26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2" t="b">
        <f>IF(     ISNUMBER(Table13[[#This Row],[Strike]]),RTD("tos.rtd", , "DELTA", "."&amp;Table13[[#This Row],[Ticker]]&amp;Table13[[#This Row],[Expiry]]&amp;""&amp;"P"&amp;Table13[[#This Row],[Strike]]))</f>
        <v>0</v>
      </c>
      <c r="Y262" s="19">
        <f>-25.5* IF($M$1="NDX", 10, IF(OR($M$1="SPX", $M$1="RUT"), 2, 1))</f>
        <v>-51</v>
      </c>
      <c r="Z262">
        <f ca="1">IFERROR(Table13[[#This Row],[call gamma]]*(Table13[[#This Row],[Open.Int]])*$A$4^2,0)</f>
        <v>0</v>
      </c>
      <c r="AA262">
        <f ca="1">IFERROR(((Table13[[#This Row],[Open.Int8]])*Table13[[#This Row],[Put gamma]])*-1*$A$4^2,0)</f>
        <v>0</v>
      </c>
      <c r="AB262">
        <f ca="1">(Table13[[#This Row],[Call Gex]]+Table13[[#This Row],[Put Gex]])</f>
        <v>0</v>
      </c>
      <c r="AC262">
        <f ca="1">Table13[[#This Row],[put delta adj]]+Table13[[#This Row],[call delta adj]]</f>
        <v>0</v>
      </c>
      <c r="AD262">
        <f ca="1">Table13[[#This Row],[Put Gex]]*Table13[[#This Row],[DeltaP]]*-1</f>
        <v>0</v>
      </c>
      <c r="AE262">
        <f ca="1">Table13[[#This Row],[Call Gex]]*Table13[[#This Row],[DeltaC]]</f>
        <v>0</v>
      </c>
      <c r="AF262">
        <f>IF(Table13[[#This Row],[DeltaC]]-ABS(Table13[[#This Row],[DeltaP]])="0","0.01",Table13[[#This Row],[DeltaC]]-ABS(Table13[[#This Row],[DeltaP]]))</f>
        <v>0</v>
      </c>
      <c r="AG262" t="e">
        <f ca="1">((LN($A$4/Table13[[#This Row],[Strike]]) + (0.411 + 0.5 * Table13[[#This Row],[IV Calc P]]^2) *Table13[[#This Row],[T]])) / (Table13[[#This Row],[IV Calc P]] * SQRT(Table13[[#This Row],[T]]))</f>
        <v>#DIV/0!</v>
      </c>
      <c r="AH262" t="e">
        <f ca="1">(LN($A$4/Table13[[#This Row],[Strike]]) + (0.411-0 + 0.5 * Table13[[#This Row],[IV Calc C]]^2) *Table13[[#This Row],[T]]) / (Table13[[#This Row],[IV Calc C]] * SQRT(Table13[[#This Row],[T]]))</f>
        <v>#DIV/0!</v>
      </c>
      <c r="AI262" t="e">
        <f ca="1">(EXP(-(AG262^2)/2)/SQRT(2*PI())*EXP(0*SQRT(Table13[[#This Row],[T]]))/$A$4*18%*SQRT(SQRT(Table13[[#This Row],[T]])))</f>
        <v>#DIV/0!</v>
      </c>
      <c r="AJ262" t="e">
        <f ca="1">(EXP(-(AH262^2)/2)/SQRT(2*PI())*EXP(0*SQRT(Table13[[#This Row],[T]]))/$A$4*18%*SQRT(SQRT(Table13[[#This Row],[T]])))</f>
        <v>#DIV/0!</v>
      </c>
      <c r="AK262" t="e">
        <f ca="1">Table13[[#This Row],[Call D1]]-Table13[[#This Row],[IV Calc C]]*SQRT(Table13[[#This Row],[T]])</f>
        <v>#DIV/0!</v>
      </c>
      <c r="AL262" t="e">
        <f ca="1">Table13[[#This Row],[Put D1]]-Table13[[#This Row],[IV Calc P]]*SQRT(Table13[[#This Row],[T]])</f>
        <v>#DIV/0!</v>
      </c>
      <c r="AM262" t="e">
        <f ca="1">EXP(-0.5*Table13[[#This Row],[Call D1]]^2)/SQRT(2*PI())</f>
        <v>#DIV/0!</v>
      </c>
      <c r="AN262" t="e">
        <f ca="1">EXP(-0.5*Table13[[#This Row],[Put D1]]^2)/SQRT(2*PI())</f>
        <v>#DIV/0!</v>
      </c>
      <c r="AO262">
        <f ca="1">IFERROR((EXP(0*Table13[[#This Row],[T]])*Table13[[#This Row],[call N(d1)]]*(Table13[[#This Row],[call d2]]/Table13[[#This Row],[IV Calc C]]))*Table13[[#This Row],[Open.Int]]*Table13[[#This Row],[DeltaC]],0)</f>
        <v>0</v>
      </c>
      <c r="AP262">
        <f ca="1">IFERROR((EXP(0*Table13[[#This Row],[T]])*Table13[[#This Row],[put N(d1)]]*(Table13[[#This Row],[put d2]]/Table13[[#This Row],[IV Calc P]]))*Table13[[#This Row],[Open.Int8]]*Table13[[#This Row],[DeltaP]]*-1,0)</f>
        <v>0</v>
      </c>
      <c r="AQ262">
        <f ca="1">((Table13[[#This Row],[call vanna]]+Table13[[#This Row],[put vanna]])*$A$4)</f>
        <v>0</v>
      </c>
      <c r="AR26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2" s="9" t="str" cm="1">
        <f t="array" ref="AT262">_xlfn.IFS(     $M$1="SPX","SPXW",     $M$1="RUT","RUTW",  $M$1="NDX","NDXP",   TRUE,$M$1 )</f>
        <v>SPXW</v>
      </c>
      <c r="AU262" s="2">
        <f t="shared" si="27"/>
        <v>6915</v>
      </c>
      <c r="AV262" t="str">
        <f t="shared" si="28"/>
        <v>000100</v>
      </c>
      <c r="AY26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2">
        <f>((Table13[[#This Row],[High C]]+Table13[[#This Row],[Low C]])/2)*Table13[[#This Row],[gammac]]*Table13[[#This Row],[Volume]]</f>
        <v>0</v>
      </c>
      <c r="BD262">
        <f>((Table13[[#This Row],[High P]]+Table13[[#This Row],[Low P]])/2)*Table13[[#This Row],[gammap]]*Table13[[#This Row],[Volume9]]*-1</f>
        <v>0</v>
      </c>
      <c r="BE262">
        <f>(Table13[[#This Row],[SgammaC]]+Table13[[#This Row],[SgammaP]])*$A$4*-100</f>
        <v>0</v>
      </c>
      <c r="BF262">
        <f>Table13[[#This Row],[DEXc]]+Table13[[#This Row],[DEXp]]</f>
        <v>0</v>
      </c>
      <c r="BG262">
        <f>IFERROR(Table13[[#This Row],[DeltaC]]*Table13[[#This Row],[Open.Int]]*$A$4,0)</f>
        <v>0</v>
      </c>
      <c r="BH262">
        <f>IFERROR(Table13[[#This Row],[DeltaP]]*Table13[[#This Row],[Open.Int8]]*$A$4,0)</f>
        <v>0</v>
      </c>
      <c r="BI26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2">
        <f ca="1">Table13[[#This Row],[charmc]]+Table13[[#This Row],[charmp]]</f>
        <v>0</v>
      </c>
      <c r="BL26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2" s="78">
        <f ca="1">Table13[[#This Row],[call helper]]+Table13[[#This Row],[put helper]]</f>
        <v>0</v>
      </c>
      <c r="BP262" t="str">
        <f>RTD("tos.rtd", , "STRIKE", "."&amp;Table13[[#This Row],[Ticker]]&amp;Table13[[#This Row],[Expiry]]&amp;""&amp;"C"&amp;Table13[[#This Row],[Spot]]+Table13[[#This Row],[step]])</f>
        <v>N/A</v>
      </c>
    </row>
    <row r="263" spans="1:68" x14ac:dyDescent="0.25">
      <c r="A263" s="14">
        <f t="shared" ca="1" si="24"/>
        <v>-126.14810350076104</v>
      </c>
      <c r="C263" s="17"/>
      <c r="D263" t="b">
        <f>IF(
    ISNUMBER(Table13[[#This Row],[Strike]]),RTD("tos.rtd", , "OPEN_INT", "."&amp;Table13[[#This Row],[Ticker]]&amp;Table13[[#This Row],[Expiry]]&amp;""&amp;"C"&amp;Table13[[#This Row],[Strike]]))</f>
        <v>0</v>
      </c>
      <c r="E26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3" t="b">
        <f>IF(     ISNUMBER(Table13[[#This Row],[Strike]]),RTD("tos.rtd", , "DELTA", "."&amp;Table13[[#This Row],[Ticker]]&amp;Table13[[#This Row],[Expiry]]&amp;""&amp;"C"&amp;Table13[[#This Row],[Strike]]))</f>
        <v>0</v>
      </c>
      <c r="H263" s="17" t="b" cm="1">
        <f t="array" ref="H263">IF(
    ISNUMBER(Table13[[#This Row],[Strike]]),IndividualLegIVCore($A$4, Table13[[#This Row],[Strike]], 0.0411, Table13[[#This Row],[T]], ((Table13[[#This Row],[BIDC]]+Table13[[#This Row],[ASKC]])/2), TRUE))</f>
        <v>0</v>
      </c>
      <c r="I263" t="b">
        <f>IF(     ISNUMBER(Table13[[#This Row],[Strike]]),RTD("tos.rtd", , "BID", "."&amp;Table13[[#This Row],[Ticker]]&amp;Table13[[#This Row],[Expiry]]&amp;""&amp;"C"&amp;Table13[[#This Row],[Strike]]))</f>
        <v>0</v>
      </c>
      <c r="J263" t="b">
        <f>IF(     ISNUMBER(Table13[[#This Row],[Strike]]),RTD("tos.rtd", , "ASK", "."&amp;Table13[[#This Row],[Ticker]]&amp;Table13[[#This Row],[Expiry]]&amp;""&amp;"C"&amp;Table13[[#This Row],[Strike]]))</f>
        <v>0</v>
      </c>
      <c r="K26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3" s="17" cm="1">
        <f t="array" aca="1" ref="L26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3" s="1">
        <f t="shared" si="25"/>
        <v>0</v>
      </c>
      <c r="N263" t="b">
        <f t="shared" si="26"/>
        <v>0</v>
      </c>
      <c r="P263" s="17" t="b" cm="1">
        <f t="array" ref="P263">IF(
    ISNUMBER(Table13[[#This Row],[Strike]]),IndividualLegIVCore($A$4, Table13[[#This Row],[Strike]], 0.0411, Table13[[#This Row],[T]], ((Table13[[#This Row],[BIDP]]+Table13[[#This Row],[ASKP]])/2), FALSE))</f>
        <v>0</v>
      </c>
      <c r="Q263" t="b">
        <f>IF(     ISNUMBER(Table13[[#This Row],[Strike]]),RTD("tos.rtd", , "BID", "."&amp;Table13[[#This Row],[Ticker]]&amp;Table13[[#This Row],[Expiry]]&amp;""&amp;"P"&amp;Table13[[#This Row],[Strike]]))</f>
        <v>0</v>
      </c>
      <c r="R263" t="b">
        <f>IF(     ISNUMBER(Table13[[#This Row],[Strike]]),RTD("tos.rtd", , "ASK", "."&amp;Table13[[#This Row],[Ticker]]&amp;Table13[[#This Row],[Expiry]]&amp;""&amp;"P"&amp;Table13[[#This Row],[Strike]]))</f>
        <v>0</v>
      </c>
      <c r="S263" s="17"/>
      <c r="T263" t="b">
        <f>IF(     ISNUMBER(Table13[[#This Row],[Strike]]),RTD("tos.rtd", , "OPEN_INT", "."&amp;Table13[[#This Row],[Ticker]]&amp;Table13[[#This Row],[Expiry]]&amp;""&amp;"P"&amp;Table13[[#This Row],[Strike]]))</f>
        <v>0</v>
      </c>
      <c r="U26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3" t="b">
        <f>IF(     ISNUMBER(Table13[[#This Row],[Strike]]),RTD("tos.rtd", , "DELTA", "."&amp;Table13[[#This Row],[Ticker]]&amp;Table13[[#This Row],[Expiry]]&amp;""&amp;"P"&amp;Table13[[#This Row],[Strike]]))</f>
        <v>0</v>
      </c>
      <c r="Y263" s="19">
        <f>-25* IF($M$1="NDX", 10, IF(OR($M$1="SPX", $M$1="RUT"), 2, 1))</f>
        <v>-50</v>
      </c>
      <c r="Z263">
        <f ca="1">IFERROR(Table13[[#This Row],[call gamma]]*(Table13[[#This Row],[Open.Int]])*$A$4^2,0)</f>
        <v>0</v>
      </c>
      <c r="AA263">
        <f ca="1">IFERROR(((Table13[[#This Row],[Open.Int8]])*Table13[[#This Row],[Put gamma]])*-1*$A$4^2,0)</f>
        <v>0</v>
      </c>
      <c r="AB263">
        <f ca="1">(Table13[[#This Row],[Call Gex]]+Table13[[#This Row],[Put Gex]])</f>
        <v>0</v>
      </c>
      <c r="AC263">
        <f ca="1">Table13[[#This Row],[put delta adj]]+Table13[[#This Row],[call delta adj]]</f>
        <v>0</v>
      </c>
      <c r="AD263">
        <f ca="1">Table13[[#This Row],[Put Gex]]*Table13[[#This Row],[DeltaP]]*-1</f>
        <v>0</v>
      </c>
      <c r="AE263">
        <f ca="1">Table13[[#This Row],[Call Gex]]*Table13[[#This Row],[DeltaC]]</f>
        <v>0</v>
      </c>
      <c r="AF263">
        <f>IF(Table13[[#This Row],[DeltaC]]-ABS(Table13[[#This Row],[DeltaP]])="0","0.01",Table13[[#This Row],[DeltaC]]-ABS(Table13[[#This Row],[DeltaP]]))</f>
        <v>0</v>
      </c>
      <c r="AG263" t="e">
        <f ca="1">((LN($A$4/Table13[[#This Row],[Strike]]) + (0.411 + 0.5 * Table13[[#This Row],[IV Calc P]]^2) *Table13[[#This Row],[T]])) / (Table13[[#This Row],[IV Calc P]] * SQRT(Table13[[#This Row],[T]]))</f>
        <v>#DIV/0!</v>
      </c>
      <c r="AH263" t="e">
        <f ca="1">(LN($A$4/Table13[[#This Row],[Strike]]) + (0.411-0 + 0.5 * Table13[[#This Row],[IV Calc C]]^2) *Table13[[#This Row],[T]]) / (Table13[[#This Row],[IV Calc C]] * SQRT(Table13[[#This Row],[T]]))</f>
        <v>#DIV/0!</v>
      </c>
      <c r="AI263" t="e">
        <f ca="1">(EXP(-(AG263^2)/2)/SQRT(2*PI())*EXP(0*SQRT(Table13[[#This Row],[T]]))/$A$4*18%*SQRT(SQRT(Table13[[#This Row],[T]])))</f>
        <v>#DIV/0!</v>
      </c>
      <c r="AJ263" t="e">
        <f ca="1">(EXP(-(AH263^2)/2)/SQRT(2*PI())*EXP(0*SQRT(Table13[[#This Row],[T]]))/$A$4*18%*SQRT(SQRT(Table13[[#This Row],[T]])))</f>
        <v>#DIV/0!</v>
      </c>
      <c r="AK263" t="e">
        <f ca="1">Table13[[#This Row],[Call D1]]-Table13[[#This Row],[IV Calc C]]*SQRT(Table13[[#This Row],[T]])</f>
        <v>#DIV/0!</v>
      </c>
      <c r="AL263" t="e">
        <f ca="1">Table13[[#This Row],[Put D1]]-Table13[[#This Row],[IV Calc P]]*SQRT(Table13[[#This Row],[T]])</f>
        <v>#DIV/0!</v>
      </c>
      <c r="AM263" t="e">
        <f ca="1">EXP(-0.5*Table13[[#This Row],[Call D1]]^2)/SQRT(2*PI())</f>
        <v>#DIV/0!</v>
      </c>
      <c r="AN263" t="e">
        <f ca="1">EXP(-0.5*Table13[[#This Row],[Put D1]]^2)/SQRT(2*PI())</f>
        <v>#DIV/0!</v>
      </c>
      <c r="AO263">
        <f ca="1">IFERROR((EXP(0*Table13[[#This Row],[T]])*Table13[[#This Row],[call N(d1)]]*(Table13[[#This Row],[call d2]]/Table13[[#This Row],[IV Calc C]]))*Table13[[#This Row],[Open.Int]]*Table13[[#This Row],[DeltaC]],0)</f>
        <v>0</v>
      </c>
      <c r="AP263">
        <f ca="1">IFERROR((EXP(0*Table13[[#This Row],[T]])*Table13[[#This Row],[put N(d1)]]*(Table13[[#This Row],[put d2]]/Table13[[#This Row],[IV Calc P]]))*Table13[[#This Row],[Open.Int8]]*Table13[[#This Row],[DeltaP]]*-1,0)</f>
        <v>0</v>
      </c>
      <c r="AQ263">
        <f ca="1">((Table13[[#This Row],[call vanna]]+Table13[[#This Row],[put vanna]])*$A$4)</f>
        <v>0</v>
      </c>
      <c r="AR26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3" s="9" t="str" cm="1">
        <f t="array" ref="AT263">_xlfn.IFS(     $M$1="SPX","SPXW",     $M$1="RUT","RUTW",  $M$1="NDX","NDXP",   TRUE,$M$1 )</f>
        <v>SPXW</v>
      </c>
      <c r="AU263" s="2">
        <f t="shared" si="27"/>
        <v>6915</v>
      </c>
      <c r="AV263" t="str">
        <f t="shared" si="28"/>
        <v>000100</v>
      </c>
      <c r="AY26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3">
        <f>((Table13[[#This Row],[High C]]+Table13[[#This Row],[Low C]])/2)*Table13[[#This Row],[gammac]]*Table13[[#This Row],[Volume]]</f>
        <v>0</v>
      </c>
      <c r="BD263">
        <f>((Table13[[#This Row],[High P]]+Table13[[#This Row],[Low P]])/2)*Table13[[#This Row],[gammap]]*Table13[[#This Row],[Volume9]]*-1</f>
        <v>0</v>
      </c>
      <c r="BE263">
        <f>(Table13[[#This Row],[SgammaC]]+Table13[[#This Row],[SgammaP]])*$A$4*-100</f>
        <v>0</v>
      </c>
      <c r="BF263">
        <f>Table13[[#This Row],[DEXc]]+Table13[[#This Row],[DEXp]]</f>
        <v>0</v>
      </c>
      <c r="BG263">
        <f>IFERROR(Table13[[#This Row],[DeltaC]]*Table13[[#This Row],[Open.Int]]*$A$4,0)</f>
        <v>0</v>
      </c>
      <c r="BH263">
        <f>IFERROR(Table13[[#This Row],[DeltaP]]*Table13[[#This Row],[Open.Int8]]*$A$4,0)</f>
        <v>0</v>
      </c>
      <c r="BI26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3">
        <f ca="1">Table13[[#This Row],[charmc]]+Table13[[#This Row],[charmp]]</f>
        <v>0</v>
      </c>
      <c r="BL26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3" s="78">
        <f ca="1">Table13[[#This Row],[call helper]]+Table13[[#This Row],[put helper]]</f>
        <v>0</v>
      </c>
      <c r="BP263" t="str">
        <f>RTD("tos.rtd", , "STRIKE", "."&amp;Table13[[#This Row],[Ticker]]&amp;Table13[[#This Row],[Expiry]]&amp;""&amp;"C"&amp;Table13[[#This Row],[Spot]]+Table13[[#This Row],[step]])</f>
        <v>N/A</v>
      </c>
    </row>
    <row r="264" spans="1:68" x14ac:dyDescent="0.25">
      <c r="A264" s="14">
        <f t="shared" ca="1" si="24"/>
        <v>-126.14810350076104</v>
      </c>
      <c r="C264" s="17"/>
      <c r="D264" t="b">
        <f>IF(
    ISNUMBER(Table13[[#This Row],[Strike]]),RTD("tos.rtd", , "OPEN_INT", "."&amp;Table13[[#This Row],[Ticker]]&amp;Table13[[#This Row],[Expiry]]&amp;""&amp;"C"&amp;Table13[[#This Row],[Strike]]))</f>
        <v>0</v>
      </c>
      <c r="E26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4" t="b">
        <f>IF(     ISNUMBER(Table13[[#This Row],[Strike]]),RTD("tos.rtd", , "DELTA", "."&amp;Table13[[#This Row],[Ticker]]&amp;Table13[[#This Row],[Expiry]]&amp;""&amp;"C"&amp;Table13[[#This Row],[Strike]]))</f>
        <v>0</v>
      </c>
      <c r="H264" s="17" t="b" cm="1">
        <f t="array" ref="H264">IF(
    ISNUMBER(Table13[[#This Row],[Strike]]),IndividualLegIVCore($A$4, Table13[[#This Row],[Strike]], 0.0411, Table13[[#This Row],[T]], ((Table13[[#This Row],[BIDC]]+Table13[[#This Row],[ASKC]])/2), TRUE))</f>
        <v>0</v>
      </c>
      <c r="I264" t="b">
        <f>IF(     ISNUMBER(Table13[[#This Row],[Strike]]),RTD("tos.rtd", , "BID", "."&amp;Table13[[#This Row],[Ticker]]&amp;Table13[[#This Row],[Expiry]]&amp;""&amp;"C"&amp;Table13[[#This Row],[Strike]]))</f>
        <v>0</v>
      </c>
      <c r="J264" t="b">
        <f>IF(     ISNUMBER(Table13[[#This Row],[Strike]]),RTD("tos.rtd", , "ASK", "."&amp;Table13[[#This Row],[Ticker]]&amp;Table13[[#This Row],[Expiry]]&amp;""&amp;"C"&amp;Table13[[#This Row],[Strike]]))</f>
        <v>0</v>
      </c>
      <c r="K26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4" s="17" cm="1">
        <f t="array" aca="1" ref="L26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4" s="1">
        <f t="shared" si="25"/>
        <v>0</v>
      </c>
      <c r="N264" t="b">
        <f t="shared" si="26"/>
        <v>0</v>
      </c>
      <c r="P264" s="17" t="b" cm="1">
        <f t="array" ref="P264">IF(
    ISNUMBER(Table13[[#This Row],[Strike]]),IndividualLegIVCore($A$4, Table13[[#This Row],[Strike]], 0.0411, Table13[[#This Row],[T]], ((Table13[[#This Row],[BIDP]]+Table13[[#This Row],[ASKP]])/2), FALSE))</f>
        <v>0</v>
      </c>
      <c r="Q264" t="b">
        <f>IF(     ISNUMBER(Table13[[#This Row],[Strike]]),RTD("tos.rtd", , "BID", "."&amp;Table13[[#This Row],[Ticker]]&amp;Table13[[#This Row],[Expiry]]&amp;""&amp;"P"&amp;Table13[[#This Row],[Strike]]))</f>
        <v>0</v>
      </c>
      <c r="R264" t="b">
        <f>IF(     ISNUMBER(Table13[[#This Row],[Strike]]),RTD("tos.rtd", , "ASK", "."&amp;Table13[[#This Row],[Ticker]]&amp;Table13[[#This Row],[Expiry]]&amp;""&amp;"P"&amp;Table13[[#This Row],[Strike]]))</f>
        <v>0</v>
      </c>
      <c r="S264" s="17"/>
      <c r="T264" t="b">
        <f>IF(     ISNUMBER(Table13[[#This Row],[Strike]]),RTD("tos.rtd", , "OPEN_INT", "."&amp;Table13[[#This Row],[Ticker]]&amp;Table13[[#This Row],[Expiry]]&amp;""&amp;"P"&amp;Table13[[#This Row],[Strike]]))</f>
        <v>0</v>
      </c>
      <c r="U26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4" t="b">
        <f>IF(     ISNUMBER(Table13[[#This Row],[Strike]]),RTD("tos.rtd", , "DELTA", "."&amp;Table13[[#This Row],[Ticker]]&amp;Table13[[#This Row],[Expiry]]&amp;""&amp;"P"&amp;Table13[[#This Row],[Strike]]))</f>
        <v>0</v>
      </c>
      <c r="Y264" s="19">
        <f>-24.5* IF($M$1="NDX", 10, IF(OR($M$1="SPX", $M$1="RUT"), 2, 1))</f>
        <v>-49</v>
      </c>
      <c r="Z264">
        <f ca="1">IFERROR(Table13[[#This Row],[call gamma]]*(Table13[[#This Row],[Open.Int]])*$A$4^2,0)</f>
        <v>0</v>
      </c>
      <c r="AA264">
        <f ca="1">IFERROR(((Table13[[#This Row],[Open.Int8]])*Table13[[#This Row],[Put gamma]])*-1*$A$4^2,0)</f>
        <v>0</v>
      </c>
      <c r="AB264">
        <f ca="1">(Table13[[#This Row],[Call Gex]]+Table13[[#This Row],[Put Gex]])</f>
        <v>0</v>
      </c>
      <c r="AC264">
        <f ca="1">Table13[[#This Row],[put delta adj]]+Table13[[#This Row],[call delta adj]]</f>
        <v>0</v>
      </c>
      <c r="AD264">
        <f ca="1">Table13[[#This Row],[Put Gex]]*Table13[[#This Row],[DeltaP]]*-1</f>
        <v>0</v>
      </c>
      <c r="AE264">
        <f ca="1">Table13[[#This Row],[Call Gex]]*Table13[[#This Row],[DeltaC]]</f>
        <v>0</v>
      </c>
      <c r="AF264">
        <f>IF(Table13[[#This Row],[DeltaC]]-ABS(Table13[[#This Row],[DeltaP]])="0","0.01",Table13[[#This Row],[DeltaC]]-ABS(Table13[[#This Row],[DeltaP]]))</f>
        <v>0</v>
      </c>
      <c r="AG264" t="e">
        <f ca="1">((LN($A$4/Table13[[#This Row],[Strike]]) + (0.411 + 0.5 * Table13[[#This Row],[IV Calc P]]^2) *Table13[[#This Row],[T]])) / (Table13[[#This Row],[IV Calc P]] * SQRT(Table13[[#This Row],[T]]))</f>
        <v>#DIV/0!</v>
      </c>
      <c r="AH264" t="e">
        <f ca="1">(LN($A$4/Table13[[#This Row],[Strike]]) + (0.411-0 + 0.5 * Table13[[#This Row],[IV Calc C]]^2) *Table13[[#This Row],[T]]) / (Table13[[#This Row],[IV Calc C]] * SQRT(Table13[[#This Row],[T]]))</f>
        <v>#DIV/0!</v>
      </c>
      <c r="AI264" t="e">
        <f ca="1">(EXP(-(AG264^2)/2)/SQRT(2*PI())*EXP(0*SQRT(Table13[[#This Row],[T]]))/$A$4*18%*SQRT(SQRT(Table13[[#This Row],[T]])))</f>
        <v>#DIV/0!</v>
      </c>
      <c r="AJ264" t="e">
        <f ca="1">(EXP(-(AH264^2)/2)/SQRT(2*PI())*EXP(0*SQRT(Table13[[#This Row],[T]]))/$A$4*18%*SQRT(SQRT(Table13[[#This Row],[T]])))</f>
        <v>#DIV/0!</v>
      </c>
      <c r="AK264" t="e">
        <f ca="1">Table13[[#This Row],[Call D1]]-Table13[[#This Row],[IV Calc C]]*SQRT(Table13[[#This Row],[T]])</f>
        <v>#DIV/0!</v>
      </c>
      <c r="AL264" t="e">
        <f ca="1">Table13[[#This Row],[Put D1]]-Table13[[#This Row],[IV Calc P]]*SQRT(Table13[[#This Row],[T]])</f>
        <v>#DIV/0!</v>
      </c>
      <c r="AM264" t="e">
        <f ca="1">EXP(-0.5*Table13[[#This Row],[Call D1]]^2)/SQRT(2*PI())</f>
        <v>#DIV/0!</v>
      </c>
      <c r="AN264" t="e">
        <f ca="1">EXP(-0.5*Table13[[#This Row],[Put D1]]^2)/SQRT(2*PI())</f>
        <v>#DIV/0!</v>
      </c>
      <c r="AO264">
        <f ca="1">IFERROR((EXP(0*Table13[[#This Row],[T]])*Table13[[#This Row],[call N(d1)]]*(Table13[[#This Row],[call d2]]/Table13[[#This Row],[IV Calc C]]))*Table13[[#This Row],[Open.Int]]*Table13[[#This Row],[DeltaC]],0)</f>
        <v>0</v>
      </c>
      <c r="AP264">
        <f ca="1">IFERROR((EXP(0*Table13[[#This Row],[T]])*Table13[[#This Row],[put N(d1)]]*(Table13[[#This Row],[put d2]]/Table13[[#This Row],[IV Calc P]]))*Table13[[#This Row],[Open.Int8]]*Table13[[#This Row],[DeltaP]]*-1,0)</f>
        <v>0</v>
      </c>
      <c r="AQ264">
        <f ca="1">((Table13[[#This Row],[call vanna]]+Table13[[#This Row],[put vanna]])*$A$4)</f>
        <v>0</v>
      </c>
      <c r="AR26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4" s="9" t="str" cm="1">
        <f t="array" ref="AT264">_xlfn.IFS(     $M$1="SPX","SPXW",     $M$1="RUT","RUTW",  $M$1="NDX","NDXP",   TRUE,$M$1 )</f>
        <v>SPXW</v>
      </c>
      <c r="AU264" s="2">
        <f t="shared" si="27"/>
        <v>6915</v>
      </c>
      <c r="AV264" t="str">
        <f t="shared" si="28"/>
        <v>000100</v>
      </c>
      <c r="AY26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4">
        <f>((Table13[[#This Row],[High C]]+Table13[[#This Row],[Low C]])/2)*Table13[[#This Row],[gammac]]*Table13[[#This Row],[Volume]]</f>
        <v>0</v>
      </c>
      <c r="BD264">
        <f>((Table13[[#This Row],[High P]]+Table13[[#This Row],[Low P]])/2)*Table13[[#This Row],[gammap]]*Table13[[#This Row],[Volume9]]*-1</f>
        <v>0</v>
      </c>
      <c r="BE264">
        <f>(Table13[[#This Row],[SgammaC]]+Table13[[#This Row],[SgammaP]])*$A$4*-100</f>
        <v>0</v>
      </c>
      <c r="BF264">
        <f>Table13[[#This Row],[DEXc]]+Table13[[#This Row],[DEXp]]</f>
        <v>0</v>
      </c>
      <c r="BG264">
        <f>IFERROR(Table13[[#This Row],[DeltaC]]*Table13[[#This Row],[Open.Int]]*$A$4,0)</f>
        <v>0</v>
      </c>
      <c r="BH264">
        <f>IFERROR(Table13[[#This Row],[DeltaP]]*Table13[[#This Row],[Open.Int8]]*$A$4,0)</f>
        <v>0</v>
      </c>
      <c r="BI26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4">
        <f ca="1">Table13[[#This Row],[charmc]]+Table13[[#This Row],[charmp]]</f>
        <v>0</v>
      </c>
      <c r="BL26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4" s="78">
        <f ca="1">Table13[[#This Row],[call helper]]+Table13[[#This Row],[put helper]]</f>
        <v>0</v>
      </c>
      <c r="BP264" t="str">
        <f>RTD("tos.rtd", , "STRIKE", "."&amp;Table13[[#This Row],[Ticker]]&amp;Table13[[#This Row],[Expiry]]&amp;""&amp;"C"&amp;Table13[[#This Row],[Spot]]+Table13[[#This Row],[step]])</f>
        <v>N/A</v>
      </c>
    </row>
    <row r="265" spans="1:68" x14ac:dyDescent="0.25">
      <c r="A265" s="14">
        <f t="shared" ca="1" si="24"/>
        <v>-126.14810350076104</v>
      </c>
      <c r="C265" s="17"/>
      <c r="D265" t="b">
        <f>IF(
    ISNUMBER(Table13[[#This Row],[Strike]]),RTD("tos.rtd", , "OPEN_INT", "."&amp;Table13[[#This Row],[Ticker]]&amp;Table13[[#This Row],[Expiry]]&amp;""&amp;"C"&amp;Table13[[#This Row],[Strike]]))</f>
        <v>0</v>
      </c>
      <c r="E26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5" t="b">
        <f>IF(     ISNUMBER(Table13[[#This Row],[Strike]]),RTD("tos.rtd", , "DELTA", "."&amp;Table13[[#This Row],[Ticker]]&amp;Table13[[#This Row],[Expiry]]&amp;""&amp;"C"&amp;Table13[[#This Row],[Strike]]))</f>
        <v>0</v>
      </c>
      <c r="H265" s="17" t="b" cm="1">
        <f t="array" ref="H265">IF(
    ISNUMBER(Table13[[#This Row],[Strike]]),IndividualLegIVCore($A$4, Table13[[#This Row],[Strike]], 0.0411, Table13[[#This Row],[T]], ((Table13[[#This Row],[BIDC]]+Table13[[#This Row],[ASKC]])/2), TRUE))</f>
        <v>0</v>
      </c>
      <c r="I265" t="b">
        <f>IF(     ISNUMBER(Table13[[#This Row],[Strike]]),RTD("tos.rtd", , "BID", "."&amp;Table13[[#This Row],[Ticker]]&amp;Table13[[#This Row],[Expiry]]&amp;""&amp;"C"&amp;Table13[[#This Row],[Strike]]))</f>
        <v>0</v>
      </c>
      <c r="J265" t="b">
        <f>IF(     ISNUMBER(Table13[[#This Row],[Strike]]),RTD("tos.rtd", , "ASK", "."&amp;Table13[[#This Row],[Ticker]]&amp;Table13[[#This Row],[Expiry]]&amp;""&amp;"C"&amp;Table13[[#This Row],[Strike]]))</f>
        <v>0</v>
      </c>
      <c r="K26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5" s="17" cm="1">
        <f t="array" aca="1" ref="L26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5" s="1">
        <f t="shared" si="25"/>
        <v>0</v>
      </c>
      <c r="N265" t="b">
        <f t="shared" si="26"/>
        <v>0</v>
      </c>
      <c r="P265" s="17" t="b" cm="1">
        <f t="array" ref="P265">IF(
    ISNUMBER(Table13[[#This Row],[Strike]]),IndividualLegIVCore($A$4, Table13[[#This Row],[Strike]], 0.0411, Table13[[#This Row],[T]], ((Table13[[#This Row],[BIDP]]+Table13[[#This Row],[ASKP]])/2), FALSE))</f>
        <v>0</v>
      </c>
      <c r="Q265" t="b">
        <f>IF(     ISNUMBER(Table13[[#This Row],[Strike]]),RTD("tos.rtd", , "BID", "."&amp;Table13[[#This Row],[Ticker]]&amp;Table13[[#This Row],[Expiry]]&amp;""&amp;"P"&amp;Table13[[#This Row],[Strike]]))</f>
        <v>0</v>
      </c>
      <c r="R265" t="b">
        <f>IF(     ISNUMBER(Table13[[#This Row],[Strike]]),RTD("tos.rtd", , "ASK", "."&amp;Table13[[#This Row],[Ticker]]&amp;Table13[[#This Row],[Expiry]]&amp;""&amp;"P"&amp;Table13[[#This Row],[Strike]]))</f>
        <v>0</v>
      </c>
      <c r="S265" s="17"/>
      <c r="T265" t="b">
        <f>IF(     ISNUMBER(Table13[[#This Row],[Strike]]),RTD("tos.rtd", , "OPEN_INT", "."&amp;Table13[[#This Row],[Ticker]]&amp;Table13[[#This Row],[Expiry]]&amp;""&amp;"P"&amp;Table13[[#This Row],[Strike]]))</f>
        <v>0</v>
      </c>
      <c r="U26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5" t="b">
        <f>IF(     ISNUMBER(Table13[[#This Row],[Strike]]),RTD("tos.rtd", , "DELTA", "."&amp;Table13[[#This Row],[Ticker]]&amp;Table13[[#This Row],[Expiry]]&amp;""&amp;"P"&amp;Table13[[#This Row],[Strike]]))</f>
        <v>0</v>
      </c>
      <c r="Y265" s="19">
        <f>-24* IF($M$1="NDX", 10, IF(OR($M$1="SPX", $M$1="RUT"), 2, 1))</f>
        <v>-48</v>
      </c>
      <c r="Z265">
        <f ca="1">IFERROR(Table13[[#This Row],[call gamma]]*(Table13[[#This Row],[Open.Int]])*$A$4^2,0)</f>
        <v>0</v>
      </c>
      <c r="AA265">
        <f ca="1">IFERROR(((Table13[[#This Row],[Open.Int8]])*Table13[[#This Row],[Put gamma]])*-1*$A$4^2,0)</f>
        <v>0</v>
      </c>
      <c r="AB265">
        <f ca="1">(Table13[[#This Row],[Call Gex]]+Table13[[#This Row],[Put Gex]])</f>
        <v>0</v>
      </c>
      <c r="AC265">
        <f ca="1">Table13[[#This Row],[put delta adj]]+Table13[[#This Row],[call delta adj]]</f>
        <v>0</v>
      </c>
      <c r="AD265">
        <f ca="1">Table13[[#This Row],[Put Gex]]*Table13[[#This Row],[DeltaP]]*-1</f>
        <v>0</v>
      </c>
      <c r="AE265">
        <f ca="1">Table13[[#This Row],[Call Gex]]*Table13[[#This Row],[DeltaC]]</f>
        <v>0</v>
      </c>
      <c r="AF265">
        <f>IF(Table13[[#This Row],[DeltaC]]-ABS(Table13[[#This Row],[DeltaP]])="0","0.01",Table13[[#This Row],[DeltaC]]-ABS(Table13[[#This Row],[DeltaP]]))</f>
        <v>0</v>
      </c>
      <c r="AG265" t="e">
        <f ca="1">((LN($A$4/Table13[[#This Row],[Strike]]) + (0.411 + 0.5 * Table13[[#This Row],[IV Calc P]]^2) *Table13[[#This Row],[T]])) / (Table13[[#This Row],[IV Calc P]] * SQRT(Table13[[#This Row],[T]]))</f>
        <v>#DIV/0!</v>
      </c>
      <c r="AH265" t="e">
        <f ca="1">(LN($A$4/Table13[[#This Row],[Strike]]) + (0.411-0 + 0.5 * Table13[[#This Row],[IV Calc C]]^2) *Table13[[#This Row],[T]]) / (Table13[[#This Row],[IV Calc C]] * SQRT(Table13[[#This Row],[T]]))</f>
        <v>#DIV/0!</v>
      </c>
      <c r="AI265" t="e">
        <f ca="1">(EXP(-(AG265^2)/2)/SQRT(2*PI())*EXP(0*SQRT(Table13[[#This Row],[T]]))/$A$4*18%*SQRT(SQRT(Table13[[#This Row],[T]])))</f>
        <v>#DIV/0!</v>
      </c>
      <c r="AJ265" t="e">
        <f ca="1">(EXP(-(AH265^2)/2)/SQRT(2*PI())*EXP(0*SQRT(Table13[[#This Row],[T]]))/$A$4*18%*SQRT(SQRT(Table13[[#This Row],[T]])))</f>
        <v>#DIV/0!</v>
      </c>
      <c r="AK265" t="e">
        <f ca="1">Table13[[#This Row],[Call D1]]-Table13[[#This Row],[IV Calc C]]*SQRT(Table13[[#This Row],[T]])</f>
        <v>#DIV/0!</v>
      </c>
      <c r="AL265" t="e">
        <f ca="1">Table13[[#This Row],[Put D1]]-Table13[[#This Row],[IV Calc P]]*SQRT(Table13[[#This Row],[T]])</f>
        <v>#DIV/0!</v>
      </c>
      <c r="AM265" t="e">
        <f ca="1">EXP(-0.5*Table13[[#This Row],[Call D1]]^2)/SQRT(2*PI())</f>
        <v>#DIV/0!</v>
      </c>
      <c r="AN265" t="e">
        <f ca="1">EXP(-0.5*Table13[[#This Row],[Put D1]]^2)/SQRT(2*PI())</f>
        <v>#DIV/0!</v>
      </c>
      <c r="AO265">
        <f ca="1">IFERROR((EXP(0*Table13[[#This Row],[T]])*Table13[[#This Row],[call N(d1)]]*(Table13[[#This Row],[call d2]]/Table13[[#This Row],[IV Calc C]]))*Table13[[#This Row],[Open.Int]]*Table13[[#This Row],[DeltaC]],0)</f>
        <v>0</v>
      </c>
      <c r="AP265">
        <f ca="1">IFERROR((EXP(0*Table13[[#This Row],[T]])*Table13[[#This Row],[put N(d1)]]*(Table13[[#This Row],[put d2]]/Table13[[#This Row],[IV Calc P]]))*Table13[[#This Row],[Open.Int8]]*Table13[[#This Row],[DeltaP]]*-1,0)</f>
        <v>0</v>
      </c>
      <c r="AQ265">
        <f ca="1">((Table13[[#This Row],[call vanna]]+Table13[[#This Row],[put vanna]])*$A$4)</f>
        <v>0</v>
      </c>
      <c r="AR26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5" s="9" t="str" cm="1">
        <f t="array" ref="AT265">_xlfn.IFS(     $M$1="SPX","SPXW",     $M$1="RUT","RUTW",  $M$1="NDX","NDXP",   TRUE,$M$1 )</f>
        <v>SPXW</v>
      </c>
      <c r="AU265" s="2">
        <f t="shared" si="27"/>
        <v>6915</v>
      </c>
      <c r="AV265" t="str">
        <f t="shared" si="28"/>
        <v>000100</v>
      </c>
      <c r="AY26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5">
        <f>((Table13[[#This Row],[High C]]+Table13[[#This Row],[Low C]])/2)*Table13[[#This Row],[gammac]]*Table13[[#This Row],[Volume]]</f>
        <v>0</v>
      </c>
      <c r="BD265">
        <f>((Table13[[#This Row],[High P]]+Table13[[#This Row],[Low P]])/2)*Table13[[#This Row],[gammap]]*Table13[[#This Row],[Volume9]]*-1</f>
        <v>0</v>
      </c>
      <c r="BE265">
        <f>(Table13[[#This Row],[SgammaC]]+Table13[[#This Row],[SgammaP]])*$A$4*-100</f>
        <v>0</v>
      </c>
      <c r="BF265">
        <f>Table13[[#This Row],[DEXc]]+Table13[[#This Row],[DEXp]]</f>
        <v>0</v>
      </c>
      <c r="BG265">
        <f>IFERROR(Table13[[#This Row],[DeltaC]]*Table13[[#This Row],[Open.Int]]*$A$4,0)</f>
        <v>0</v>
      </c>
      <c r="BH265">
        <f>IFERROR(Table13[[#This Row],[DeltaP]]*Table13[[#This Row],[Open.Int8]]*$A$4,0)</f>
        <v>0</v>
      </c>
      <c r="BI26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5">
        <f ca="1">Table13[[#This Row],[charmc]]+Table13[[#This Row],[charmp]]</f>
        <v>0</v>
      </c>
      <c r="BL26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5" s="78">
        <f ca="1">Table13[[#This Row],[call helper]]+Table13[[#This Row],[put helper]]</f>
        <v>0</v>
      </c>
      <c r="BP265" t="str">
        <f>RTD("tos.rtd", , "STRIKE", "."&amp;Table13[[#This Row],[Ticker]]&amp;Table13[[#This Row],[Expiry]]&amp;""&amp;"C"&amp;Table13[[#This Row],[Spot]]+Table13[[#This Row],[step]])</f>
        <v>N/A</v>
      </c>
    </row>
    <row r="266" spans="1:68" x14ac:dyDescent="0.25">
      <c r="A266" s="14">
        <f t="shared" ca="1" si="24"/>
        <v>-126.14810350076104</v>
      </c>
      <c r="C266" s="17"/>
      <c r="D266" t="b">
        <f>IF(
    ISNUMBER(Table13[[#This Row],[Strike]]),RTD("tos.rtd", , "OPEN_INT", "."&amp;Table13[[#This Row],[Ticker]]&amp;Table13[[#This Row],[Expiry]]&amp;""&amp;"C"&amp;Table13[[#This Row],[Strike]]))</f>
        <v>0</v>
      </c>
      <c r="E26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6" t="b">
        <f>IF(     ISNUMBER(Table13[[#This Row],[Strike]]),RTD("tos.rtd", , "DELTA", "."&amp;Table13[[#This Row],[Ticker]]&amp;Table13[[#This Row],[Expiry]]&amp;""&amp;"C"&amp;Table13[[#This Row],[Strike]]))</f>
        <v>0</v>
      </c>
      <c r="H266" s="17" t="b" cm="1">
        <f t="array" ref="H266">IF(
    ISNUMBER(Table13[[#This Row],[Strike]]),IndividualLegIVCore($A$4, Table13[[#This Row],[Strike]], 0.0411, Table13[[#This Row],[T]], ((Table13[[#This Row],[BIDC]]+Table13[[#This Row],[ASKC]])/2), TRUE))</f>
        <v>0</v>
      </c>
      <c r="I266" t="b">
        <f>IF(     ISNUMBER(Table13[[#This Row],[Strike]]),RTD("tos.rtd", , "BID", "."&amp;Table13[[#This Row],[Ticker]]&amp;Table13[[#This Row],[Expiry]]&amp;""&amp;"C"&amp;Table13[[#This Row],[Strike]]))</f>
        <v>0</v>
      </c>
      <c r="J266" t="b">
        <f>IF(     ISNUMBER(Table13[[#This Row],[Strike]]),RTD("tos.rtd", , "ASK", "."&amp;Table13[[#This Row],[Ticker]]&amp;Table13[[#This Row],[Expiry]]&amp;""&amp;"C"&amp;Table13[[#This Row],[Strike]]))</f>
        <v>0</v>
      </c>
      <c r="K26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6" s="17" cm="1">
        <f t="array" aca="1" ref="L26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6" s="1">
        <f t="shared" si="25"/>
        <v>0</v>
      </c>
      <c r="N266" t="b">
        <f t="shared" si="26"/>
        <v>0</v>
      </c>
      <c r="P266" s="17" t="b" cm="1">
        <f t="array" ref="P266">IF(
    ISNUMBER(Table13[[#This Row],[Strike]]),IndividualLegIVCore($A$4, Table13[[#This Row],[Strike]], 0.0411, Table13[[#This Row],[T]], ((Table13[[#This Row],[BIDP]]+Table13[[#This Row],[ASKP]])/2), FALSE))</f>
        <v>0</v>
      </c>
      <c r="Q266" t="b">
        <f>IF(     ISNUMBER(Table13[[#This Row],[Strike]]),RTD("tos.rtd", , "BID", "."&amp;Table13[[#This Row],[Ticker]]&amp;Table13[[#This Row],[Expiry]]&amp;""&amp;"P"&amp;Table13[[#This Row],[Strike]]))</f>
        <v>0</v>
      </c>
      <c r="R266" t="b">
        <f>IF(     ISNUMBER(Table13[[#This Row],[Strike]]),RTD("tos.rtd", , "ASK", "."&amp;Table13[[#This Row],[Ticker]]&amp;Table13[[#This Row],[Expiry]]&amp;""&amp;"P"&amp;Table13[[#This Row],[Strike]]))</f>
        <v>0</v>
      </c>
      <c r="S266" s="17"/>
      <c r="T266" t="b">
        <f>IF(     ISNUMBER(Table13[[#This Row],[Strike]]),RTD("tos.rtd", , "OPEN_INT", "."&amp;Table13[[#This Row],[Ticker]]&amp;Table13[[#This Row],[Expiry]]&amp;""&amp;"P"&amp;Table13[[#This Row],[Strike]]))</f>
        <v>0</v>
      </c>
      <c r="U26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6" t="b">
        <f>IF(     ISNUMBER(Table13[[#This Row],[Strike]]),RTD("tos.rtd", , "DELTA", "."&amp;Table13[[#This Row],[Ticker]]&amp;Table13[[#This Row],[Expiry]]&amp;""&amp;"P"&amp;Table13[[#This Row],[Strike]]))</f>
        <v>0</v>
      </c>
      <c r="Y266" s="19">
        <f>-23.5* IF($M$1="NDX", 10, IF(OR($M$1="SPX", $M$1="RUT"), 2, 1))</f>
        <v>-47</v>
      </c>
      <c r="Z266">
        <f ca="1">IFERROR(Table13[[#This Row],[call gamma]]*(Table13[[#This Row],[Open.Int]])*$A$4^2,0)</f>
        <v>0</v>
      </c>
      <c r="AA266">
        <f ca="1">IFERROR(((Table13[[#This Row],[Open.Int8]])*Table13[[#This Row],[Put gamma]])*-1*$A$4^2,0)</f>
        <v>0</v>
      </c>
      <c r="AB266">
        <f ca="1">(Table13[[#This Row],[Call Gex]]+Table13[[#This Row],[Put Gex]])</f>
        <v>0</v>
      </c>
      <c r="AC266">
        <f ca="1">Table13[[#This Row],[put delta adj]]+Table13[[#This Row],[call delta adj]]</f>
        <v>0</v>
      </c>
      <c r="AD266">
        <f ca="1">Table13[[#This Row],[Put Gex]]*Table13[[#This Row],[DeltaP]]*-1</f>
        <v>0</v>
      </c>
      <c r="AE266">
        <f ca="1">Table13[[#This Row],[Call Gex]]*Table13[[#This Row],[DeltaC]]</f>
        <v>0</v>
      </c>
      <c r="AF266">
        <f>IF(Table13[[#This Row],[DeltaC]]-ABS(Table13[[#This Row],[DeltaP]])="0","0.01",Table13[[#This Row],[DeltaC]]-ABS(Table13[[#This Row],[DeltaP]]))</f>
        <v>0</v>
      </c>
      <c r="AG266" t="e">
        <f ca="1">((LN($A$4/Table13[[#This Row],[Strike]]) + (0.411 + 0.5 * Table13[[#This Row],[IV Calc P]]^2) *Table13[[#This Row],[T]])) / (Table13[[#This Row],[IV Calc P]] * SQRT(Table13[[#This Row],[T]]))</f>
        <v>#DIV/0!</v>
      </c>
      <c r="AH266" t="e">
        <f ca="1">(LN($A$4/Table13[[#This Row],[Strike]]) + (0.411-0 + 0.5 * Table13[[#This Row],[IV Calc C]]^2) *Table13[[#This Row],[T]]) / (Table13[[#This Row],[IV Calc C]] * SQRT(Table13[[#This Row],[T]]))</f>
        <v>#DIV/0!</v>
      </c>
      <c r="AI266" t="e">
        <f ca="1">(EXP(-(AG266^2)/2)/SQRT(2*PI())*EXP(0*SQRT(Table13[[#This Row],[T]]))/$A$4*18%*SQRT(SQRT(Table13[[#This Row],[T]])))</f>
        <v>#DIV/0!</v>
      </c>
      <c r="AJ266" t="e">
        <f ca="1">(EXP(-(AH266^2)/2)/SQRT(2*PI())*EXP(0*SQRT(Table13[[#This Row],[T]]))/$A$4*18%*SQRT(SQRT(Table13[[#This Row],[T]])))</f>
        <v>#DIV/0!</v>
      </c>
      <c r="AK266" t="e">
        <f ca="1">Table13[[#This Row],[Call D1]]-Table13[[#This Row],[IV Calc C]]*SQRT(Table13[[#This Row],[T]])</f>
        <v>#DIV/0!</v>
      </c>
      <c r="AL266" t="e">
        <f ca="1">Table13[[#This Row],[Put D1]]-Table13[[#This Row],[IV Calc P]]*SQRT(Table13[[#This Row],[T]])</f>
        <v>#DIV/0!</v>
      </c>
      <c r="AM266" t="e">
        <f ca="1">EXP(-0.5*Table13[[#This Row],[Call D1]]^2)/SQRT(2*PI())</f>
        <v>#DIV/0!</v>
      </c>
      <c r="AN266" t="e">
        <f ca="1">EXP(-0.5*Table13[[#This Row],[Put D1]]^2)/SQRT(2*PI())</f>
        <v>#DIV/0!</v>
      </c>
      <c r="AO266">
        <f ca="1">IFERROR((EXP(0*Table13[[#This Row],[T]])*Table13[[#This Row],[call N(d1)]]*(Table13[[#This Row],[call d2]]/Table13[[#This Row],[IV Calc C]]))*Table13[[#This Row],[Open.Int]]*Table13[[#This Row],[DeltaC]],0)</f>
        <v>0</v>
      </c>
      <c r="AP266">
        <f ca="1">IFERROR((EXP(0*Table13[[#This Row],[T]])*Table13[[#This Row],[put N(d1)]]*(Table13[[#This Row],[put d2]]/Table13[[#This Row],[IV Calc P]]))*Table13[[#This Row],[Open.Int8]]*Table13[[#This Row],[DeltaP]]*-1,0)</f>
        <v>0</v>
      </c>
      <c r="AQ266">
        <f ca="1">((Table13[[#This Row],[call vanna]]+Table13[[#This Row],[put vanna]])*$A$4)</f>
        <v>0</v>
      </c>
      <c r="AR26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6" s="9" t="str" cm="1">
        <f t="array" ref="AT266">_xlfn.IFS(     $M$1="SPX","SPXW",     $M$1="RUT","RUTW",  $M$1="NDX","NDXP",   TRUE,$M$1 )</f>
        <v>SPXW</v>
      </c>
      <c r="AU266" s="2">
        <f t="shared" si="27"/>
        <v>6915</v>
      </c>
      <c r="AV266" t="str">
        <f t="shared" si="28"/>
        <v>000100</v>
      </c>
      <c r="AY26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6">
        <f>((Table13[[#This Row],[High C]]+Table13[[#This Row],[Low C]])/2)*Table13[[#This Row],[gammac]]*Table13[[#This Row],[Volume]]</f>
        <v>0</v>
      </c>
      <c r="BD266">
        <f>((Table13[[#This Row],[High P]]+Table13[[#This Row],[Low P]])/2)*Table13[[#This Row],[gammap]]*Table13[[#This Row],[Volume9]]*-1</f>
        <v>0</v>
      </c>
      <c r="BE266">
        <f>(Table13[[#This Row],[SgammaC]]+Table13[[#This Row],[SgammaP]])*$A$4*-100</f>
        <v>0</v>
      </c>
      <c r="BF266">
        <f>Table13[[#This Row],[DEXc]]+Table13[[#This Row],[DEXp]]</f>
        <v>0</v>
      </c>
      <c r="BG266">
        <f>IFERROR(Table13[[#This Row],[DeltaC]]*Table13[[#This Row],[Open.Int]]*$A$4,0)</f>
        <v>0</v>
      </c>
      <c r="BH266">
        <f>IFERROR(Table13[[#This Row],[DeltaP]]*Table13[[#This Row],[Open.Int8]]*$A$4,0)</f>
        <v>0</v>
      </c>
      <c r="BI26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6">
        <f ca="1">Table13[[#This Row],[charmc]]+Table13[[#This Row],[charmp]]</f>
        <v>0</v>
      </c>
      <c r="BL26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6" s="78">
        <f ca="1">Table13[[#This Row],[call helper]]+Table13[[#This Row],[put helper]]</f>
        <v>0</v>
      </c>
      <c r="BP266" t="str">
        <f>RTD("tos.rtd", , "STRIKE", "."&amp;Table13[[#This Row],[Ticker]]&amp;Table13[[#This Row],[Expiry]]&amp;""&amp;"C"&amp;Table13[[#This Row],[Spot]]+Table13[[#This Row],[step]])</f>
        <v>N/A</v>
      </c>
    </row>
    <row r="267" spans="1:68" x14ac:dyDescent="0.25">
      <c r="A267" s="14">
        <f t="shared" ca="1" si="24"/>
        <v>-126.14810350076104</v>
      </c>
      <c r="C267" s="17"/>
      <c r="D267" t="b">
        <f>IF(
    ISNUMBER(Table13[[#This Row],[Strike]]),RTD("tos.rtd", , "OPEN_INT", "."&amp;Table13[[#This Row],[Ticker]]&amp;Table13[[#This Row],[Expiry]]&amp;""&amp;"C"&amp;Table13[[#This Row],[Strike]]))</f>
        <v>0</v>
      </c>
      <c r="E26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7" t="b">
        <f>IF(     ISNUMBER(Table13[[#This Row],[Strike]]),RTD("tos.rtd", , "DELTA", "."&amp;Table13[[#This Row],[Ticker]]&amp;Table13[[#This Row],[Expiry]]&amp;""&amp;"C"&amp;Table13[[#This Row],[Strike]]))</f>
        <v>0</v>
      </c>
      <c r="H267" s="17" t="b" cm="1">
        <f t="array" ref="H267">IF(
    ISNUMBER(Table13[[#This Row],[Strike]]),IndividualLegIVCore($A$4, Table13[[#This Row],[Strike]], 0.0411, Table13[[#This Row],[T]], ((Table13[[#This Row],[BIDC]]+Table13[[#This Row],[ASKC]])/2), TRUE))</f>
        <v>0</v>
      </c>
      <c r="I267" t="b">
        <f>IF(     ISNUMBER(Table13[[#This Row],[Strike]]),RTD("tos.rtd", , "BID", "."&amp;Table13[[#This Row],[Ticker]]&amp;Table13[[#This Row],[Expiry]]&amp;""&amp;"C"&amp;Table13[[#This Row],[Strike]]))</f>
        <v>0</v>
      </c>
      <c r="J267" t="b">
        <f>IF(     ISNUMBER(Table13[[#This Row],[Strike]]),RTD("tos.rtd", , "ASK", "."&amp;Table13[[#This Row],[Ticker]]&amp;Table13[[#This Row],[Expiry]]&amp;""&amp;"C"&amp;Table13[[#This Row],[Strike]]))</f>
        <v>0</v>
      </c>
      <c r="K26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7" s="17" cm="1">
        <f t="array" aca="1" ref="L26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7" s="1">
        <f t="shared" si="25"/>
        <v>0</v>
      </c>
      <c r="N267" t="b">
        <f t="shared" si="26"/>
        <v>0</v>
      </c>
      <c r="P267" s="17" t="b" cm="1">
        <f t="array" ref="P267">IF(
    ISNUMBER(Table13[[#This Row],[Strike]]),IndividualLegIVCore($A$4, Table13[[#This Row],[Strike]], 0.0411, Table13[[#This Row],[T]], ((Table13[[#This Row],[BIDP]]+Table13[[#This Row],[ASKP]])/2), FALSE))</f>
        <v>0</v>
      </c>
      <c r="Q267" t="b">
        <f>IF(     ISNUMBER(Table13[[#This Row],[Strike]]),RTD("tos.rtd", , "BID", "."&amp;Table13[[#This Row],[Ticker]]&amp;Table13[[#This Row],[Expiry]]&amp;""&amp;"P"&amp;Table13[[#This Row],[Strike]]))</f>
        <v>0</v>
      </c>
      <c r="R267" t="b">
        <f>IF(     ISNUMBER(Table13[[#This Row],[Strike]]),RTD("tos.rtd", , "ASK", "."&amp;Table13[[#This Row],[Ticker]]&amp;Table13[[#This Row],[Expiry]]&amp;""&amp;"P"&amp;Table13[[#This Row],[Strike]]))</f>
        <v>0</v>
      </c>
      <c r="S267" s="17"/>
      <c r="T267" t="b">
        <f>IF(     ISNUMBER(Table13[[#This Row],[Strike]]),RTD("tos.rtd", , "OPEN_INT", "."&amp;Table13[[#This Row],[Ticker]]&amp;Table13[[#This Row],[Expiry]]&amp;""&amp;"P"&amp;Table13[[#This Row],[Strike]]))</f>
        <v>0</v>
      </c>
      <c r="U26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7" t="b">
        <f>IF(     ISNUMBER(Table13[[#This Row],[Strike]]),RTD("tos.rtd", , "DELTA", "."&amp;Table13[[#This Row],[Ticker]]&amp;Table13[[#This Row],[Expiry]]&amp;""&amp;"P"&amp;Table13[[#This Row],[Strike]]))</f>
        <v>0</v>
      </c>
      <c r="Y267" s="19">
        <f>-23* IF($M$1="NDX", 10, IF(OR($M$1="SPX", $M$1="RUT"), 2, 1))</f>
        <v>-46</v>
      </c>
      <c r="Z267">
        <f ca="1">IFERROR(Table13[[#This Row],[call gamma]]*(Table13[[#This Row],[Open.Int]])*$A$4^2,0)</f>
        <v>0</v>
      </c>
      <c r="AA267">
        <f ca="1">IFERROR(((Table13[[#This Row],[Open.Int8]])*Table13[[#This Row],[Put gamma]])*-1*$A$4^2,0)</f>
        <v>0</v>
      </c>
      <c r="AB267">
        <f ca="1">(Table13[[#This Row],[Call Gex]]+Table13[[#This Row],[Put Gex]])</f>
        <v>0</v>
      </c>
      <c r="AC267">
        <f ca="1">Table13[[#This Row],[put delta adj]]+Table13[[#This Row],[call delta adj]]</f>
        <v>0</v>
      </c>
      <c r="AD267">
        <f ca="1">Table13[[#This Row],[Put Gex]]*Table13[[#This Row],[DeltaP]]*-1</f>
        <v>0</v>
      </c>
      <c r="AE267">
        <f ca="1">Table13[[#This Row],[Call Gex]]*Table13[[#This Row],[DeltaC]]</f>
        <v>0</v>
      </c>
      <c r="AF267">
        <f>IF(Table13[[#This Row],[DeltaC]]-ABS(Table13[[#This Row],[DeltaP]])="0","0.01",Table13[[#This Row],[DeltaC]]-ABS(Table13[[#This Row],[DeltaP]]))</f>
        <v>0</v>
      </c>
      <c r="AG267" t="e">
        <f ca="1">((LN($A$4/Table13[[#This Row],[Strike]]) + (0.411 + 0.5 * Table13[[#This Row],[IV Calc P]]^2) *Table13[[#This Row],[T]])) / (Table13[[#This Row],[IV Calc P]] * SQRT(Table13[[#This Row],[T]]))</f>
        <v>#DIV/0!</v>
      </c>
      <c r="AH267" t="e">
        <f ca="1">(LN($A$4/Table13[[#This Row],[Strike]]) + (0.411-0 + 0.5 * Table13[[#This Row],[IV Calc C]]^2) *Table13[[#This Row],[T]]) / (Table13[[#This Row],[IV Calc C]] * SQRT(Table13[[#This Row],[T]]))</f>
        <v>#DIV/0!</v>
      </c>
      <c r="AI267" t="e">
        <f ca="1">(EXP(-(AG267^2)/2)/SQRT(2*PI())*EXP(0*SQRT(Table13[[#This Row],[T]]))/$A$4*18%*SQRT(SQRT(Table13[[#This Row],[T]])))</f>
        <v>#DIV/0!</v>
      </c>
      <c r="AJ267" t="e">
        <f ca="1">(EXP(-(AH267^2)/2)/SQRT(2*PI())*EXP(0*SQRT(Table13[[#This Row],[T]]))/$A$4*18%*SQRT(SQRT(Table13[[#This Row],[T]])))</f>
        <v>#DIV/0!</v>
      </c>
      <c r="AK267" t="e">
        <f ca="1">Table13[[#This Row],[Call D1]]-Table13[[#This Row],[IV Calc C]]*SQRT(Table13[[#This Row],[T]])</f>
        <v>#DIV/0!</v>
      </c>
      <c r="AL267" t="e">
        <f ca="1">Table13[[#This Row],[Put D1]]-Table13[[#This Row],[IV Calc P]]*SQRT(Table13[[#This Row],[T]])</f>
        <v>#DIV/0!</v>
      </c>
      <c r="AM267" t="e">
        <f ca="1">EXP(-0.5*Table13[[#This Row],[Call D1]]^2)/SQRT(2*PI())</f>
        <v>#DIV/0!</v>
      </c>
      <c r="AN267" t="e">
        <f ca="1">EXP(-0.5*Table13[[#This Row],[Put D1]]^2)/SQRT(2*PI())</f>
        <v>#DIV/0!</v>
      </c>
      <c r="AO267">
        <f ca="1">IFERROR((EXP(0*Table13[[#This Row],[T]])*Table13[[#This Row],[call N(d1)]]*(Table13[[#This Row],[call d2]]/Table13[[#This Row],[IV Calc C]]))*Table13[[#This Row],[Open.Int]]*Table13[[#This Row],[DeltaC]],0)</f>
        <v>0</v>
      </c>
      <c r="AP267">
        <f ca="1">IFERROR((EXP(0*Table13[[#This Row],[T]])*Table13[[#This Row],[put N(d1)]]*(Table13[[#This Row],[put d2]]/Table13[[#This Row],[IV Calc P]]))*Table13[[#This Row],[Open.Int8]]*Table13[[#This Row],[DeltaP]]*-1,0)</f>
        <v>0</v>
      </c>
      <c r="AQ267">
        <f ca="1">((Table13[[#This Row],[call vanna]]+Table13[[#This Row],[put vanna]])*$A$4)</f>
        <v>0</v>
      </c>
      <c r="AR26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7" s="9" t="str" cm="1">
        <f t="array" ref="AT267">_xlfn.IFS(     $M$1="SPX","SPXW",     $M$1="RUT","RUTW",  $M$1="NDX","NDXP",   TRUE,$M$1 )</f>
        <v>SPXW</v>
      </c>
      <c r="AU267" s="2">
        <f t="shared" si="27"/>
        <v>6915</v>
      </c>
      <c r="AV267" t="str">
        <f t="shared" si="28"/>
        <v>000100</v>
      </c>
      <c r="AY26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7">
        <f>((Table13[[#This Row],[High C]]+Table13[[#This Row],[Low C]])/2)*Table13[[#This Row],[gammac]]*Table13[[#This Row],[Volume]]</f>
        <v>0</v>
      </c>
      <c r="BD267">
        <f>((Table13[[#This Row],[High P]]+Table13[[#This Row],[Low P]])/2)*Table13[[#This Row],[gammap]]*Table13[[#This Row],[Volume9]]*-1</f>
        <v>0</v>
      </c>
      <c r="BE267">
        <f>(Table13[[#This Row],[SgammaC]]+Table13[[#This Row],[SgammaP]])*$A$4*-100</f>
        <v>0</v>
      </c>
      <c r="BF267">
        <f>Table13[[#This Row],[DEXc]]+Table13[[#This Row],[DEXp]]</f>
        <v>0</v>
      </c>
      <c r="BG267">
        <f>IFERROR(Table13[[#This Row],[DeltaC]]*Table13[[#This Row],[Open.Int]]*$A$4,0)</f>
        <v>0</v>
      </c>
      <c r="BH267">
        <f>IFERROR(Table13[[#This Row],[DeltaP]]*Table13[[#This Row],[Open.Int8]]*$A$4,0)</f>
        <v>0</v>
      </c>
      <c r="BI26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7">
        <f ca="1">Table13[[#This Row],[charmc]]+Table13[[#This Row],[charmp]]</f>
        <v>0</v>
      </c>
      <c r="BL26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7" s="78">
        <f ca="1">Table13[[#This Row],[call helper]]+Table13[[#This Row],[put helper]]</f>
        <v>0</v>
      </c>
      <c r="BP267" t="str">
        <f>RTD("tos.rtd", , "STRIKE", "."&amp;Table13[[#This Row],[Ticker]]&amp;Table13[[#This Row],[Expiry]]&amp;""&amp;"C"&amp;Table13[[#This Row],[Spot]]+Table13[[#This Row],[step]])</f>
        <v>N/A</v>
      </c>
    </row>
    <row r="268" spans="1:68" x14ac:dyDescent="0.25">
      <c r="A268" s="14">
        <f t="shared" ca="1" si="24"/>
        <v>-126.14810350076104</v>
      </c>
      <c r="C268" s="17"/>
      <c r="D268" t="b">
        <f>IF(
    ISNUMBER(Table13[[#This Row],[Strike]]),RTD("tos.rtd", , "OPEN_INT", "."&amp;Table13[[#This Row],[Ticker]]&amp;Table13[[#This Row],[Expiry]]&amp;""&amp;"C"&amp;Table13[[#This Row],[Strike]]))</f>
        <v>0</v>
      </c>
      <c r="E26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8" t="b">
        <f>IF(     ISNUMBER(Table13[[#This Row],[Strike]]),RTD("tos.rtd", , "DELTA", "."&amp;Table13[[#This Row],[Ticker]]&amp;Table13[[#This Row],[Expiry]]&amp;""&amp;"C"&amp;Table13[[#This Row],[Strike]]))</f>
        <v>0</v>
      </c>
      <c r="H268" s="17" t="b" cm="1">
        <f t="array" ref="H268">IF(
    ISNUMBER(Table13[[#This Row],[Strike]]),IndividualLegIVCore($A$4, Table13[[#This Row],[Strike]], 0.0411, Table13[[#This Row],[T]], ((Table13[[#This Row],[BIDC]]+Table13[[#This Row],[ASKC]])/2), TRUE))</f>
        <v>0</v>
      </c>
      <c r="I268" t="b">
        <f>IF(     ISNUMBER(Table13[[#This Row],[Strike]]),RTD("tos.rtd", , "BID", "."&amp;Table13[[#This Row],[Ticker]]&amp;Table13[[#This Row],[Expiry]]&amp;""&amp;"C"&amp;Table13[[#This Row],[Strike]]))</f>
        <v>0</v>
      </c>
      <c r="J268" t="b">
        <f>IF(     ISNUMBER(Table13[[#This Row],[Strike]]),RTD("tos.rtd", , "ASK", "."&amp;Table13[[#This Row],[Ticker]]&amp;Table13[[#This Row],[Expiry]]&amp;""&amp;"C"&amp;Table13[[#This Row],[Strike]]))</f>
        <v>0</v>
      </c>
      <c r="K26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8" s="17" cm="1">
        <f t="array" aca="1" ref="L26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8" s="1">
        <f t="shared" si="25"/>
        <v>0</v>
      </c>
      <c r="N268" t="b">
        <f t="shared" si="26"/>
        <v>0</v>
      </c>
      <c r="P268" s="17" t="b" cm="1">
        <f t="array" ref="P268">IF(
    ISNUMBER(Table13[[#This Row],[Strike]]),IndividualLegIVCore($A$4, Table13[[#This Row],[Strike]], 0.0411, Table13[[#This Row],[T]], ((Table13[[#This Row],[BIDP]]+Table13[[#This Row],[ASKP]])/2), FALSE))</f>
        <v>0</v>
      </c>
      <c r="Q268" t="b">
        <f>IF(     ISNUMBER(Table13[[#This Row],[Strike]]),RTD("tos.rtd", , "BID", "."&amp;Table13[[#This Row],[Ticker]]&amp;Table13[[#This Row],[Expiry]]&amp;""&amp;"P"&amp;Table13[[#This Row],[Strike]]))</f>
        <v>0</v>
      </c>
      <c r="R268" t="b">
        <f>IF(     ISNUMBER(Table13[[#This Row],[Strike]]),RTD("tos.rtd", , "ASK", "."&amp;Table13[[#This Row],[Ticker]]&amp;Table13[[#This Row],[Expiry]]&amp;""&amp;"P"&amp;Table13[[#This Row],[Strike]]))</f>
        <v>0</v>
      </c>
      <c r="S268" s="17"/>
      <c r="T268" t="b">
        <f>IF(     ISNUMBER(Table13[[#This Row],[Strike]]),RTD("tos.rtd", , "OPEN_INT", "."&amp;Table13[[#This Row],[Ticker]]&amp;Table13[[#This Row],[Expiry]]&amp;""&amp;"P"&amp;Table13[[#This Row],[Strike]]))</f>
        <v>0</v>
      </c>
      <c r="U26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8" t="b">
        <f>IF(     ISNUMBER(Table13[[#This Row],[Strike]]),RTD("tos.rtd", , "DELTA", "."&amp;Table13[[#This Row],[Ticker]]&amp;Table13[[#This Row],[Expiry]]&amp;""&amp;"P"&amp;Table13[[#This Row],[Strike]]))</f>
        <v>0</v>
      </c>
      <c r="Y268" s="19">
        <f>-22.5* IF($M$1="NDX", 10, IF(OR($M$1="SPX", $M$1="RUT"), 2, 1))</f>
        <v>-45</v>
      </c>
      <c r="Z268">
        <f ca="1">IFERROR(Table13[[#This Row],[call gamma]]*(Table13[[#This Row],[Open.Int]])*$A$4^2,0)</f>
        <v>0</v>
      </c>
      <c r="AA268">
        <f ca="1">IFERROR(((Table13[[#This Row],[Open.Int8]])*Table13[[#This Row],[Put gamma]])*-1*$A$4^2,0)</f>
        <v>0</v>
      </c>
      <c r="AB268">
        <f ca="1">(Table13[[#This Row],[Call Gex]]+Table13[[#This Row],[Put Gex]])</f>
        <v>0</v>
      </c>
      <c r="AC268">
        <f ca="1">Table13[[#This Row],[put delta adj]]+Table13[[#This Row],[call delta adj]]</f>
        <v>0</v>
      </c>
      <c r="AD268">
        <f ca="1">Table13[[#This Row],[Put Gex]]*Table13[[#This Row],[DeltaP]]*-1</f>
        <v>0</v>
      </c>
      <c r="AE268">
        <f ca="1">Table13[[#This Row],[Call Gex]]*Table13[[#This Row],[DeltaC]]</f>
        <v>0</v>
      </c>
      <c r="AF268">
        <f>IF(Table13[[#This Row],[DeltaC]]-ABS(Table13[[#This Row],[DeltaP]])="0","0.01",Table13[[#This Row],[DeltaC]]-ABS(Table13[[#This Row],[DeltaP]]))</f>
        <v>0</v>
      </c>
      <c r="AG268" t="e">
        <f ca="1">((LN($A$4/Table13[[#This Row],[Strike]]) + (0.411 + 0.5 * Table13[[#This Row],[IV Calc P]]^2) *Table13[[#This Row],[T]])) / (Table13[[#This Row],[IV Calc P]] * SQRT(Table13[[#This Row],[T]]))</f>
        <v>#DIV/0!</v>
      </c>
      <c r="AH268" t="e">
        <f ca="1">(LN($A$4/Table13[[#This Row],[Strike]]) + (0.411-0 + 0.5 * Table13[[#This Row],[IV Calc C]]^2) *Table13[[#This Row],[T]]) / (Table13[[#This Row],[IV Calc C]] * SQRT(Table13[[#This Row],[T]]))</f>
        <v>#DIV/0!</v>
      </c>
      <c r="AI268" t="e">
        <f ca="1">(EXP(-(AG268^2)/2)/SQRT(2*PI())*EXP(0*SQRT(Table13[[#This Row],[T]]))/$A$4*18%*SQRT(SQRT(Table13[[#This Row],[T]])))</f>
        <v>#DIV/0!</v>
      </c>
      <c r="AJ268" t="e">
        <f ca="1">(EXP(-(AH268^2)/2)/SQRT(2*PI())*EXP(0*SQRT(Table13[[#This Row],[T]]))/$A$4*18%*SQRT(SQRT(Table13[[#This Row],[T]])))</f>
        <v>#DIV/0!</v>
      </c>
      <c r="AK268" t="e">
        <f ca="1">Table13[[#This Row],[Call D1]]-Table13[[#This Row],[IV Calc C]]*SQRT(Table13[[#This Row],[T]])</f>
        <v>#DIV/0!</v>
      </c>
      <c r="AL268" t="e">
        <f ca="1">Table13[[#This Row],[Put D1]]-Table13[[#This Row],[IV Calc P]]*SQRT(Table13[[#This Row],[T]])</f>
        <v>#DIV/0!</v>
      </c>
      <c r="AM268" t="e">
        <f ca="1">EXP(-0.5*Table13[[#This Row],[Call D1]]^2)/SQRT(2*PI())</f>
        <v>#DIV/0!</v>
      </c>
      <c r="AN268" t="e">
        <f ca="1">EXP(-0.5*Table13[[#This Row],[Put D1]]^2)/SQRT(2*PI())</f>
        <v>#DIV/0!</v>
      </c>
      <c r="AO268">
        <f ca="1">IFERROR((EXP(0*Table13[[#This Row],[T]])*Table13[[#This Row],[call N(d1)]]*(Table13[[#This Row],[call d2]]/Table13[[#This Row],[IV Calc C]]))*Table13[[#This Row],[Open.Int]]*Table13[[#This Row],[DeltaC]],0)</f>
        <v>0</v>
      </c>
      <c r="AP268">
        <f ca="1">IFERROR((EXP(0*Table13[[#This Row],[T]])*Table13[[#This Row],[put N(d1)]]*(Table13[[#This Row],[put d2]]/Table13[[#This Row],[IV Calc P]]))*Table13[[#This Row],[Open.Int8]]*Table13[[#This Row],[DeltaP]]*-1,0)</f>
        <v>0</v>
      </c>
      <c r="AQ268">
        <f ca="1">((Table13[[#This Row],[call vanna]]+Table13[[#This Row],[put vanna]])*$A$4)</f>
        <v>0</v>
      </c>
      <c r="AR26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8" s="9" t="str" cm="1">
        <f t="array" ref="AT268">_xlfn.IFS(     $M$1="SPX","SPXW",     $M$1="RUT","RUTW",  $M$1="NDX","NDXP",   TRUE,$M$1 )</f>
        <v>SPXW</v>
      </c>
      <c r="AU268" s="2">
        <f t="shared" si="27"/>
        <v>6915</v>
      </c>
      <c r="AV268" t="str">
        <f t="shared" si="28"/>
        <v>000100</v>
      </c>
      <c r="AY26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8">
        <f>((Table13[[#This Row],[High C]]+Table13[[#This Row],[Low C]])/2)*Table13[[#This Row],[gammac]]*Table13[[#This Row],[Volume]]</f>
        <v>0</v>
      </c>
      <c r="BD268">
        <f>((Table13[[#This Row],[High P]]+Table13[[#This Row],[Low P]])/2)*Table13[[#This Row],[gammap]]*Table13[[#This Row],[Volume9]]*-1</f>
        <v>0</v>
      </c>
      <c r="BE268">
        <f>(Table13[[#This Row],[SgammaC]]+Table13[[#This Row],[SgammaP]])*$A$4*-100</f>
        <v>0</v>
      </c>
      <c r="BF268">
        <f>Table13[[#This Row],[DEXc]]+Table13[[#This Row],[DEXp]]</f>
        <v>0</v>
      </c>
      <c r="BG268">
        <f>IFERROR(Table13[[#This Row],[DeltaC]]*Table13[[#This Row],[Open.Int]]*$A$4,0)</f>
        <v>0</v>
      </c>
      <c r="BH268">
        <f>IFERROR(Table13[[#This Row],[DeltaP]]*Table13[[#This Row],[Open.Int8]]*$A$4,0)</f>
        <v>0</v>
      </c>
      <c r="BI26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8">
        <f ca="1">Table13[[#This Row],[charmc]]+Table13[[#This Row],[charmp]]</f>
        <v>0</v>
      </c>
      <c r="BL26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8" s="78">
        <f ca="1">Table13[[#This Row],[call helper]]+Table13[[#This Row],[put helper]]</f>
        <v>0</v>
      </c>
      <c r="BP268" t="str">
        <f>RTD("tos.rtd", , "STRIKE", "."&amp;Table13[[#This Row],[Ticker]]&amp;Table13[[#This Row],[Expiry]]&amp;""&amp;"C"&amp;Table13[[#This Row],[Spot]]+Table13[[#This Row],[step]])</f>
        <v>N/A</v>
      </c>
    </row>
    <row r="269" spans="1:68" x14ac:dyDescent="0.25">
      <c r="A269" s="14">
        <f t="shared" ca="1" si="24"/>
        <v>-126.14810350076104</v>
      </c>
      <c r="C269" s="17"/>
      <c r="D269" t="b">
        <f>IF(
    ISNUMBER(Table13[[#This Row],[Strike]]),RTD("tos.rtd", , "OPEN_INT", "."&amp;Table13[[#This Row],[Ticker]]&amp;Table13[[#This Row],[Expiry]]&amp;""&amp;"C"&amp;Table13[[#This Row],[Strike]]))</f>
        <v>0</v>
      </c>
      <c r="E26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9" t="b">
        <f>IF(     ISNUMBER(Table13[[#This Row],[Strike]]),RTD("tos.rtd", , "DELTA", "."&amp;Table13[[#This Row],[Ticker]]&amp;Table13[[#This Row],[Expiry]]&amp;""&amp;"C"&amp;Table13[[#This Row],[Strike]]))</f>
        <v>0</v>
      </c>
      <c r="H269" s="17" t="b" cm="1">
        <f t="array" ref="H269">IF(
    ISNUMBER(Table13[[#This Row],[Strike]]),IndividualLegIVCore($A$4, Table13[[#This Row],[Strike]], 0.0411, Table13[[#This Row],[T]], ((Table13[[#This Row],[BIDC]]+Table13[[#This Row],[ASKC]])/2), TRUE))</f>
        <v>0</v>
      </c>
      <c r="I269" t="b">
        <f>IF(     ISNUMBER(Table13[[#This Row],[Strike]]),RTD("tos.rtd", , "BID", "."&amp;Table13[[#This Row],[Ticker]]&amp;Table13[[#This Row],[Expiry]]&amp;""&amp;"C"&amp;Table13[[#This Row],[Strike]]))</f>
        <v>0</v>
      </c>
      <c r="J269" t="b">
        <f>IF(     ISNUMBER(Table13[[#This Row],[Strike]]),RTD("tos.rtd", , "ASK", "."&amp;Table13[[#This Row],[Ticker]]&amp;Table13[[#This Row],[Expiry]]&amp;""&amp;"C"&amp;Table13[[#This Row],[Strike]]))</f>
        <v>0</v>
      </c>
      <c r="K26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9" s="17" cm="1">
        <f t="array" aca="1" ref="L26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69" s="1">
        <f t="shared" si="25"/>
        <v>0</v>
      </c>
      <c r="N269" t="b">
        <f t="shared" si="26"/>
        <v>0</v>
      </c>
      <c r="P269" s="17" t="b" cm="1">
        <f t="array" ref="P269">IF(
    ISNUMBER(Table13[[#This Row],[Strike]]),IndividualLegIVCore($A$4, Table13[[#This Row],[Strike]], 0.0411, Table13[[#This Row],[T]], ((Table13[[#This Row],[BIDP]]+Table13[[#This Row],[ASKP]])/2), FALSE))</f>
        <v>0</v>
      </c>
      <c r="Q269" t="b">
        <f>IF(     ISNUMBER(Table13[[#This Row],[Strike]]),RTD("tos.rtd", , "BID", "."&amp;Table13[[#This Row],[Ticker]]&amp;Table13[[#This Row],[Expiry]]&amp;""&amp;"P"&amp;Table13[[#This Row],[Strike]]))</f>
        <v>0</v>
      </c>
      <c r="R269" t="b">
        <f>IF(     ISNUMBER(Table13[[#This Row],[Strike]]),RTD("tos.rtd", , "ASK", "."&amp;Table13[[#This Row],[Ticker]]&amp;Table13[[#This Row],[Expiry]]&amp;""&amp;"P"&amp;Table13[[#This Row],[Strike]]))</f>
        <v>0</v>
      </c>
      <c r="S269" s="17"/>
      <c r="T269" t="b">
        <f>IF(     ISNUMBER(Table13[[#This Row],[Strike]]),RTD("tos.rtd", , "OPEN_INT", "."&amp;Table13[[#This Row],[Ticker]]&amp;Table13[[#This Row],[Expiry]]&amp;""&amp;"P"&amp;Table13[[#This Row],[Strike]]))</f>
        <v>0</v>
      </c>
      <c r="U26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9" t="b">
        <f>IF(     ISNUMBER(Table13[[#This Row],[Strike]]),RTD("tos.rtd", , "DELTA", "."&amp;Table13[[#This Row],[Ticker]]&amp;Table13[[#This Row],[Expiry]]&amp;""&amp;"P"&amp;Table13[[#This Row],[Strike]]))</f>
        <v>0</v>
      </c>
      <c r="Y269" s="19">
        <f>-22* IF($M$1="NDX", 10, IF(OR($M$1="SPX", $M$1="RUT"), 2, 1))</f>
        <v>-44</v>
      </c>
      <c r="Z269">
        <f ca="1">IFERROR(Table13[[#This Row],[call gamma]]*(Table13[[#This Row],[Open.Int]])*$A$4^2,0)</f>
        <v>0</v>
      </c>
      <c r="AA269">
        <f ca="1">IFERROR(((Table13[[#This Row],[Open.Int8]])*Table13[[#This Row],[Put gamma]])*-1*$A$4^2,0)</f>
        <v>0</v>
      </c>
      <c r="AB269">
        <f ca="1">(Table13[[#This Row],[Call Gex]]+Table13[[#This Row],[Put Gex]])</f>
        <v>0</v>
      </c>
      <c r="AC269">
        <f ca="1">Table13[[#This Row],[put delta adj]]+Table13[[#This Row],[call delta adj]]</f>
        <v>0</v>
      </c>
      <c r="AD269">
        <f ca="1">Table13[[#This Row],[Put Gex]]*Table13[[#This Row],[DeltaP]]*-1</f>
        <v>0</v>
      </c>
      <c r="AE269">
        <f ca="1">Table13[[#This Row],[Call Gex]]*Table13[[#This Row],[DeltaC]]</f>
        <v>0</v>
      </c>
      <c r="AF269">
        <f>IF(Table13[[#This Row],[DeltaC]]-ABS(Table13[[#This Row],[DeltaP]])="0","0.01",Table13[[#This Row],[DeltaC]]-ABS(Table13[[#This Row],[DeltaP]]))</f>
        <v>0</v>
      </c>
      <c r="AG269" t="e">
        <f ca="1">((LN($A$4/Table13[[#This Row],[Strike]]) + (0.411 + 0.5 * Table13[[#This Row],[IV Calc P]]^2) *Table13[[#This Row],[T]])) / (Table13[[#This Row],[IV Calc P]] * SQRT(Table13[[#This Row],[T]]))</f>
        <v>#DIV/0!</v>
      </c>
      <c r="AH269" t="e">
        <f ca="1">(LN($A$4/Table13[[#This Row],[Strike]]) + (0.411-0 + 0.5 * Table13[[#This Row],[IV Calc C]]^2) *Table13[[#This Row],[T]]) / (Table13[[#This Row],[IV Calc C]] * SQRT(Table13[[#This Row],[T]]))</f>
        <v>#DIV/0!</v>
      </c>
      <c r="AI269" t="e">
        <f ca="1">(EXP(-(AG269^2)/2)/SQRT(2*PI())*EXP(0*SQRT(Table13[[#This Row],[T]]))/$A$4*18%*SQRT(SQRT(Table13[[#This Row],[T]])))</f>
        <v>#DIV/0!</v>
      </c>
      <c r="AJ269" t="e">
        <f ca="1">(EXP(-(AH269^2)/2)/SQRT(2*PI())*EXP(0*SQRT(Table13[[#This Row],[T]]))/$A$4*18%*SQRT(SQRT(Table13[[#This Row],[T]])))</f>
        <v>#DIV/0!</v>
      </c>
      <c r="AK269" t="e">
        <f ca="1">Table13[[#This Row],[Call D1]]-Table13[[#This Row],[IV Calc C]]*SQRT(Table13[[#This Row],[T]])</f>
        <v>#DIV/0!</v>
      </c>
      <c r="AL269" t="e">
        <f ca="1">Table13[[#This Row],[Put D1]]-Table13[[#This Row],[IV Calc P]]*SQRT(Table13[[#This Row],[T]])</f>
        <v>#DIV/0!</v>
      </c>
      <c r="AM269" t="e">
        <f ca="1">EXP(-0.5*Table13[[#This Row],[Call D1]]^2)/SQRT(2*PI())</f>
        <v>#DIV/0!</v>
      </c>
      <c r="AN269" t="e">
        <f ca="1">EXP(-0.5*Table13[[#This Row],[Put D1]]^2)/SQRT(2*PI())</f>
        <v>#DIV/0!</v>
      </c>
      <c r="AO269">
        <f ca="1">IFERROR((EXP(0*Table13[[#This Row],[T]])*Table13[[#This Row],[call N(d1)]]*(Table13[[#This Row],[call d2]]/Table13[[#This Row],[IV Calc C]]))*Table13[[#This Row],[Open.Int]]*Table13[[#This Row],[DeltaC]],0)</f>
        <v>0</v>
      </c>
      <c r="AP269">
        <f ca="1">IFERROR((EXP(0*Table13[[#This Row],[T]])*Table13[[#This Row],[put N(d1)]]*(Table13[[#This Row],[put d2]]/Table13[[#This Row],[IV Calc P]]))*Table13[[#This Row],[Open.Int8]]*Table13[[#This Row],[DeltaP]]*-1,0)</f>
        <v>0</v>
      </c>
      <c r="AQ269">
        <f ca="1">((Table13[[#This Row],[call vanna]]+Table13[[#This Row],[put vanna]])*$A$4)</f>
        <v>0</v>
      </c>
      <c r="AR26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9" s="9" t="str" cm="1">
        <f t="array" ref="AT269">_xlfn.IFS(     $M$1="SPX","SPXW",     $M$1="RUT","RUTW",  $M$1="NDX","NDXP",   TRUE,$M$1 )</f>
        <v>SPXW</v>
      </c>
      <c r="AU269" s="2">
        <f t="shared" si="27"/>
        <v>6915</v>
      </c>
      <c r="AV269" t="str">
        <f t="shared" si="28"/>
        <v>000100</v>
      </c>
      <c r="AY26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9">
        <f>((Table13[[#This Row],[High C]]+Table13[[#This Row],[Low C]])/2)*Table13[[#This Row],[gammac]]*Table13[[#This Row],[Volume]]</f>
        <v>0</v>
      </c>
      <c r="BD269">
        <f>((Table13[[#This Row],[High P]]+Table13[[#This Row],[Low P]])/2)*Table13[[#This Row],[gammap]]*Table13[[#This Row],[Volume9]]*-1</f>
        <v>0</v>
      </c>
      <c r="BE269">
        <f>(Table13[[#This Row],[SgammaC]]+Table13[[#This Row],[SgammaP]])*$A$4*-100</f>
        <v>0</v>
      </c>
      <c r="BF269">
        <f>Table13[[#This Row],[DEXc]]+Table13[[#This Row],[DEXp]]</f>
        <v>0</v>
      </c>
      <c r="BG269">
        <f>IFERROR(Table13[[#This Row],[DeltaC]]*Table13[[#This Row],[Open.Int]]*$A$4,0)</f>
        <v>0</v>
      </c>
      <c r="BH269">
        <f>IFERROR(Table13[[#This Row],[DeltaP]]*Table13[[#This Row],[Open.Int8]]*$A$4,0)</f>
        <v>0</v>
      </c>
      <c r="BI26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9">
        <f ca="1">Table13[[#This Row],[charmc]]+Table13[[#This Row],[charmp]]</f>
        <v>0</v>
      </c>
      <c r="BL26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9" s="78">
        <f ca="1">Table13[[#This Row],[call helper]]+Table13[[#This Row],[put helper]]</f>
        <v>0</v>
      </c>
      <c r="BP269" t="str">
        <f>RTD("tos.rtd", , "STRIKE", "."&amp;Table13[[#This Row],[Ticker]]&amp;Table13[[#This Row],[Expiry]]&amp;""&amp;"C"&amp;Table13[[#This Row],[Spot]]+Table13[[#This Row],[step]])</f>
        <v>N/A</v>
      </c>
    </row>
    <row r="270" spans="1:68" x14ac:dyDescent="0.25">
      <c r="A270" s="14">
        <f t="shared" ca="1" si="24"/>
        <v>-126.14810350076104</v>
      </c>
      <c r="C270" s="17"/>
      <c r="D270" t="b">
        <f>IF(
    ISNUMBER(Table13[[#This Row],[Strike]]),RTD("tos.rtd", , "OPEN_INT", "."&amp;Table13[[#This Row],[Ticker]]&amp;Table13[[#This Row],[Expiry]]&amp;""&amp;"C"&amp;Table13[[#This Row],[Strike]]))</f>
        <v>0</v>
      </c>
      <c r="E27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0" t="b">
        <f>IF(     ISNUMBER(Table13[[#This Row],[Strike]]),RTD("tos.rtd", , "DELTA", "."&amp;Table13[[#This Row],[Ticker]]&amp;Table13[[#This Row],[Expiry]]&amp;""&amp;"C"&amp;Table13[[#This Row],[Strike]]))</f>
        <v>0</v>
      </c>
      <c r="H270" s="17" t="b" cm="1">
        <f t="array" ref="H270">IF(
    ISNUMBER(Table13[[#This Row],[Strike]]),IndividualLegIVCore($A$4, Table13[[#This Row],[Strike]], 0.0411, Table13[[#This Row],[T]], ((Table13[[#This Row],[BIDC]]+Table13[[#This Row],[ASKC]])/2), TRUE))</f>
        <v>0</v>
      </c>
      <c r="I270" t="b">
        <f>IF(     ISNUMBER(Table13[[#This Row],[Strike]]),RTD("tos.rtd", , "BID", "."&amp;Table13[[#This Row],[Ticker]]&amp;Table13[[#This Row],[Expiry]]&amp;""&amp;"C"&amp;Table13[[#This Row],[Strike]]))</f>
        <v>0</v>
      </c>
      <c r="J270" t="b">
        <f>IF(     ISNUMBER(Table13[[#This Row],[Strike]]),RTD("tos.rtd", , "ASK", "."&amp;Table13[[#This Row],[Ticker]]&amp;Table13[[#This Row],[Expiry]]&amp;""&amp;"C"&amp;Table13[[#This Row],[Strike]]))</f>
        <v>0</v>
      </c>
      <c r="K27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0" s="17" cm="1">
        <f t="array" aca="1" ref="L27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0" s="1">
        <f t="shared" si="25"/>
        <v>0</v>
      </c>
      <c r="N270" t="b">
        <f t="shared" si="26"/>
        <v>0</v>
      </c>
      <c r="P270" s="17" t="b" cm="1">
        <f t="array" ref="P270">IF(
    ISNUMBER(Table13[[#This Row],[Strike]]),IndividualLegIVCore($A$4, Table13[[#This Row],[Strike]], 0.0411, Table13[[#This Row],[T]], ((Table13[[#This Row],[BIDP]]+Table13[[#This Row],[ASKP]])/2), FALSE))</f>
        <v>0</v>
      </c>
      <c r="Q270" t="b">
        <f>IF(     ISNUMBER(Table13[[#This Row],[Strike]]),RTD("tos.rtd", , "BID", "."&amp;Table13[[#This Row],[Ticker]]&amp;Table13[[#This Row],[Expiry]]&amp;""&amp;"P"&amp;Table13[[#This Row],[Strike]]))</f>
        <v>0</v>
      </c>
      <c r="R270" t="b">
        <f>IF(     ISNUMBER(Table13[[#This Row],[Strike]]),RTD("tos.rtd", , "ASK", "."&amp;Table13[[#This Row],[Ticker]]&amp;Table13[[#This Row],[Expiry]]&amp;""&amp;"P"&amp;Table13[[#This Row],[Strike]]))</f>
        <v>0</v>
      </c>
      <c r="S270" s="17"/>
      <c r="T270" t="b">
        <f>IF(     ISNUMBER(Table13[[#This Row],[Strike]]),RTD("tos.rtd", , "OPEN_INT", "."&amp;Table13[[#This Row],[Ticker]]&amp;Table13[[#This Row],[Expiry]]&amp;""&amp;"P"&amp;Table13[[#This Row],[Strike]]))</f>
        <v>0</v>
      </c>
      <c r="U27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0" t="b">
        <f>IF(     ISNUMBER(Table13[[#This Row],[Strike]]),RTD("tos.rtd", , "DELTA", "."&amp;Table13[[#This Row],[Ticker]]&amp;Table13[[#This Row],[Expiry]]&amp;""&amp;"P"&amp;Table13[[#This Row],[Strike]]))</f>
        <v>0</v>
      </c>
      <c r="Y270" s="19">
        <f>-21.5* IF($M$1="NDX", 10, IF(OR($M$1="SPX", $M$1="RUT"), 2, 1))</f>
        <v>-43</v>
      </c>
      <c r="Z270">
        <f ca="1">IFERROR(Table13[[#This Row],[call gamma]]*(Table13[[#This Row],[Open.Int]])*$A$4^2,0)</f>
        <v>0</v>
      </c>
      <c r="AA270">
        <f ca="1">IFERROR(((Table13[[#This Row],[Open.Int8]])*Table13[[#This Row],[Put gamma]])*-1*$A$4^2,0)</f>
        <v>0</v>
      </c>
      <c r="AB270">
        <f ca="1">(Table13[[#This Row],[Call Gex]]+Table13[[#This Row],[Put Gex]])</f>
        <v>0</v>
      </c>
      <c r="AC270">
        <f ca="1">Table13[[#This Row],[put delta adj]]+Table13[[#This Row],[call delta adj]]</f>
        <v>0</v>
      </c>
      <c r="AD270">
        <f ca="1">Table13[[#This Row],[Put Gex]]*Table13[[#This Row],[DeltaP]]*-1</f>
        <v>0</v>
      </c>
      <c r="AE270">
        <f ca="1">Table13[[#This Row],[Call Gex]]*Table13[[#This Row],[DeltaC]]</f>
        <v>0</v>
      </c>
      <c r="AF270">
        <f>IF(Table13[[#This Row],[DeltaC]]-ABS(Table13[[#This Row],[DeltaP]])="0","0.01",Table13[[#This Row],[DeltaC]]-ABS(Table13[[#This Row],[DeltaP]]))</f>
        <v>0</v>
      </c>
      <c r="AG270" t="e">
        <f ca="1">((LN($A$4/Table13[[#This Row],[Strike]]) + (0.411 + 0.5 * Table13[[#This Row],[IV Calc P]]^2) *Table13[[#This Row],[T]])) / (Table13[[#This Row],[IV Calc P]] * SQRT(Table13[[#This Row],[T]]))</f>
        <v>#DIV/0!</v>
      </c>
      <c r="AH270" t="e">
        <f ca="1">(LN($A$4/Table13[[#This Row],[Strike]]) + (0.411-0 + 0.5 * Table13[[#This Row],[IV Calc C]]^2) *Table13[[#This Row],[T]]) / (Table13[[#This Row],[IV Calc C]] * SQRT(Table13[[#This Row],[T]]))</f>
        <v>#DIV/0!</v>
      </c>
      <c r="AI270" t="e">
        <f ca="1">(EXP(-(AG270^2)/2)/SQRT(2*PI())*EXP(0*SQRT(Table13[[#This Row],[T]]))/$A$4*18%*SQRT(SQRT(Table13[[#This Row],[T]])))</f>
        <v>#DIV/0!</v>
      </c>
      <c r="AJ270" t="e">
        <f ca="1">(EXP(-(AH270^2)/2)/SQRT(2*PI())*EXP(0*SQRT(Table13[[#This Row],[T]]))/$A$4*18%*SQRT(SQRT(Table13[[#This Row],[T]])))</f>
        <v>#DIV/0!</v>
      </c>
      <c r="AK270" t="e">
        <f ca="1">Table13[[#This Row],[Call D1]]-Table13[[#This Row],[IV Calc C]]*SQRT(Table13[[#This Row],[T]])</f>
        <v>#DIV/0!</v>
      </c>
      <c r="AL270" t="e">
        <f ca="1">Table13[[#This Row],[Put D1]]-Table13[[#This Row],[IV Calc P]]*SQRT(Table13[[#This Row],[T]])</f>
        <v>#DIV/0!</v>
      </c>
      <c r="AM270" t="e">
        <f ca="1">EXP(-0.5*Table13[[#This Row],[Call D1]]^2)/SQRT(2*PI())</f>
        <v>#DIV/0!</v>
      </c>
      <c r="AN270" t="e">
        <f ca="1">EXP(-0.5*Table13[[#This Row],[Put D1]]^2)/SQRT(2*PI())</f>
        <v>#DIV/0!</v>
      </c>
      <c r="AO270">
        <f ca="1">IFERROR((EXP(0*Table13[[#This Row],[T]])*Table13[[#This Row],[call N(d1)]]*(Table13[[#This Row],[call d2]]/Table13[[#This Row],[IV Calc C]]))*Table13[[#This Row],[Open.Int]]*Table13[[#This Row],[DeltaC]],0)</f>
        <v>0</v>
      </c>
      <c r="AP270">
        <f ca="1">IFERROR((EXP(0*Table13[[#This Row],[T]])*Table13[[#This Row],[put N(d1)]]*(Table13[[#This Row],[put d2]]/Table13[[#This Row],[IV Calc P]]))*Table13[[#This Row],[Open.Int8]]*Table13[[#This Row],[DeltaP]]*-1,0)</f>
        <v>0</v>
      </c>
      <c r="AQ270">
        <f ca="1">((Table13[[#This Row],[call vanna]]+Table13[[#This Row],[put vanna]])*$A$4)</f>
        <v>0</v>
      </c>
      <c r="AR27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0" s="9" t="str" cm="1">
        <f t="array" ref="AT270">_xlfn.IFS(     $M$1="SPX","SPXW",     $M$1="RUT","RUTW",  $M$1="NDX","NDXP",   TRUE,$M$1 )</f>
        <v>SPXW</v>
      </c>
      <c r="AU270" s="2">
        <f t="shared" si="27"/>
        <v>6915</v>
      </c>
      <c r="AV270" t="str">
        <f t="shared" si="28"/>
        <v>000100</v>
      </c>
      <c r="AY27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0">
        <f>((Table13[[#This Row],[High C]]+Table13[[#This Row],[Low C]])/2)*Table13[[#This Row],[gammac]]*Table13[[#This Row],[Volume]]</f>
        <v>0</v>
      </c>
      <c r="BD270">
        <f>((Table13[[#This Row],[High P]]+Table13[[#This Row],[Low P]])/2)*Table13[[#This Row],[gammap]]*Table13[[#This Row],[Volume9]]*-1</f>
        <v>0</v>
      </c>
      <c r="BE270">
        <f>(Table13[[#This Row],[SgammaC]]+Table13[[#This Row],[SgammaP]])*$A$4*-100</f>
        <v>0</v>
      </c>
      <c r="BF270">
        <f>Table13[[#This Row],[DEXc]]+Table13[[#This Row],[DEXp]]</f>
        <v>0</v>
      </c>
      <c r="BG270">
        <f>IFERROR(Table13[[#This Row],[DeltaC]]*Table13[[#This Row],[Open.Int]]*$A$4,0)</f>
        <v>0</v>
      </c>
      <c r="BH270">
        <f>IFERROR(Table13[[#This Row],[DeltaP]]*Table13[[#This Row],[Open.Int8]]*$A$4,0)</f>
        <v>0</v>
      </c>
      <c r="BI27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0">
        <f ca="1">Table13[[#This Row],[charmc]]+Table13[[#This Row],[charmp]]</f>
        <v>0</v>
      </c>
      <c r="BL27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0" s="78">
        <f ca="1">Table13[[#This Row],[call helper]]+Table13[[#This Row],[put helper]]</f>
        <v>0</v>
      </c>
      <c r="BP270" t="str">
        <f>RTD("tos.rtd", , "STRIKE", "."&amp;Table13[[#This Row],[Ticker]]&amp;Table13[[#This Row],[Expiry]]&amp;""&amp;"C"&amp;Table13[[#This Row],[Spot]]+Table13[[#This Row],[step]])</f>
        <v>N/A</v>
      </c>
    </row>
    <row r="271" spans="1:68" x14ac:dyDescent="0.25">
      <c r="A271" s="14">
        <f t="shared" ca="1" si="24"/>
        <v>-126.14810350076104</v>
      </c>
      <c r="C271" s="17"/>
      <c r="D271" t="b">
        <f>IF(
    ISNUMBER(Table13[[#This Row],[Strike]]),RTD("tos.rtd", , "OPEN_INT", "."&amp;Table13[[#This Row],[Ticker]]&amp;Table13[[#This Row],[Expiry]]&amp;""&amp;"C"&amp;Table13[[#This Row],[Strike]]))</f>
        <v>0</v>
      </c>
      <c r="E27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1" t="b">
        <f>IF(     ISNUMBER(Table13[[#This Row],[Strike]]),RTD("tos.rtd", , "DELTA", "."&amp;Table13[[#This Row],[Ticker]]&amp;Table13[[#This Row],[Expiry]]&amp;""&amp;"C"&amp;Table13[[#This Row],[Strike]]))</f>
        <v>0</v>
      </c>
      <c r="H271" s="17" t="b" cm="1">
        <f t="array" ref="H271">IF(
    ISNUMBER(Table13[[#This Row],[Strike]]),IndividualLegIVCore($A$4, Table13[[#This Row],[Strike]], 0.0411, Table13[[#This Row],[T]], ((Table13[[#This Row],[BIDC]]+Table13[[#This Row],[ASKC]])/2), TRUE))</f>
        <v>0</v>
      </c>
      <c r="I271" t="b">
        <f>IF(     ISNUMBER(Table13[[#This Row],[Strike]]),RTD("tos.rtd", , "BID", "."&amp;Table13[[#This Row],[Ticker]]&amp;Table13[[#This Row],[Expiry]]&amp;""&amp;"C"&amp;Table13[[#This Row],[Strike]]))</f>
        <v>0</v>
      </c>
      <c r="J271" t="b">
        <f>IF(     ISNUMBER(Table13[[#This Row],[Strike]]),RTD("tos.rtd", , "ASK", "."&amp;Table13[[#This Row],[Ticker]]&amp;Table13[[#This Row],[Expiry]]&amp;""&amp;"C"&amp;Table13[[#This Row],[Strike]]))</f>
        <v>0</v>
      </c>
      <c r="K27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1" s="17" cm="1">
        <f t="array" aca="1" ref="L27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1" s="1">
        <f t="shared" si="25"/>
        <v>0</v>
      </c>
      <c r="N271" t="b">
        <f t="shared" si="26"/>
        <v>0</v>
      </c>
      <c r="P271" s="17" t="b" cm="1">
        <f t="array" ref="P271">IF(
    ISNUMBER(Table13[[#This Row],[Strike]]),IndividualLegIVCore($A$4, Table13[[#This Row],[Strike]], 0.0411, Table13[[#This Row],[T]], ((Table13[[#This Row],[BIDP]]+Table13[[#This Row],[ASKP]])/2), FALSE))</f>
        <v>0</v>
      </c>
      <c r="Q271" t="b">
        <f>IF(     ISNUMBER(Table13[[#This Row],[Strike]]),RTD("tos.rtd", , "BID", "."&amp;Table13[[#This Row],[Ticker]]&amp;Table13[[#This Row],[Expiry]]&amp;""&amp;"P"&amp;Table13[[#This Row],[Strike]]))</f>
        <v>0</v>
      </c>
      <c r="R271" t="b">
        <f>IF(     ISNUMBER(Table13[[#This Row],[Strike]]),RTD("tos.rtd", , "ASK", "."&amp;Table13[[#This Row],[Ticker]]&amp;Table13[[#This Row],[Expiry]]&amp;""&amp;"P"&amp;Table13[[#This Row],[Strike]]))</f>
        <v>0</v>
      </c>
      <c r="S271" s="17"/>
      <c r="T271" t="b">
        <f>IF(     ISNUMBER(Table13[[#This Row],[Strike]]),RTD("tos.rtd", , "OPEN_INT", "."&amp;Table13[[#This Row],[Ticker]]&amp;Table13[[#This Row],[Expiry]]&amp;""&amp;"P"&amp;Table13[[#This Row],[Strike]]))</f>
        <v>0</v>
      </c>
      <c r="U27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1" t="b">
        <f>IF(     ISNUMBER(Table13[[#This Row],[Strike]]),RTD("tos.rtd", , "DELTA", "."&amp;Table13[[#This Row],[Ticker]]&amp;Table13[[#This Row],[Expiry]]&amp;""&amp;"P"&amp;Table13[[#This Row],[Strike]]))</f>
        <v>0</v>
      </c>
      <c r="Y271" s="19">
        <f>-21* IF($M$1="NDX", 10, IF(OR($M$1="SPX", $M$1="RUT"), 2, 1))</f>
        <v>-42</v>
      </c>
      <c r="Z271">
        <f ca="1">IFERROR(Table13[[#This Row],[call gamma]]*(Table13[[#This Row],[Open.Int]])*$A$4^2,0)</f>
        <v>0</v>
      </c>
      <c r="AA271">
        <f ca="1">IFERROR(((Table13[[#This Row],[Open.Int8]])*Table13[[#This Row],[Put gamma]])*-1*$A$4^2,0)</f>
        <v>0</v>
      </c>
      <c r="AB271">
        <f ca="1">(Table13[[#This Row],[Call Gex]]+Table13[[#This Row],[Put Gex]])</f>
        <v>0</v>
      </c>
      <c r="AC271">
        <f ca="1">Table13[[#This Row],[put delta adj]]+Table13[[#This Row],[call delta adj]]</f>
        <v>0</v>
      </c>
      <c r="AD271">
        <f ca="1">Table13[[#This Row],[Put Gex]]*Table13[[#This Row],[DeltaP]]*-1</f>
        <v>0</v>
      </c>
      <c r="AE271">
        <f ca="1">Table13[[#This Row],[Call Gex]]*Table13[[#This Row],[DeltaC]]</f>
        <v>0</v>
      </c>
      <c r="AF271">
        <f>IF(Table13[[#This Row],[DeltaC]]-ABS(Table13[[#This Row],[DeltaP]])="0","0.01",Table13[[#This Row],[DeltaC]]-ABS(Table13[[#This Row],[DeltaP]]))</f>
        <v>0</v>
      </c>
      <c r="AG271" t="e">
        <f ca="1">((LN($A$4/Table13[[#This Row],[Strike]]) + (0.411 + 0.5 * Table13[[#This Row],[IV Calc P]]^2) *Table13[[#This Row],[T]])) / (Table13[[#This Row],[IV Calc P]] * SQRT(Table13[[#This Row],[T]]))</f>
        <v>#DIV/0!</v>
      </c>
      <c r="AH271" t="e">
        <f ca="1">(LN($A$4/Table13[[#This Row],[Strike]]) + (0.411-0 + 0.5 * Table13[[#This Row],[IV Calc C]]^2) *Table13[[#This Row],[T]]) / (Table13[[#This Row],[IV Calc C]] * SQRT(Table13[[#This Row],[T]]))</f>
        <v>#DIV/0!</v>
      </c>
      <c r="AI271" t="e">
        <f ca="1">(EXP(-(AG271^2)/2)/SQRT(2*PI())*EXP(0*SQRT(Table13[[#This Row],[T]]))/$A$4*18%*SQRT(SQRT(Table13[[#This Row],[T]])))</f>
        <v>#DIV/0!</v>
      </c>
      <c r="AJ271" t="e">
        <f ca="1">(EXP(-(AH271^2)/2)/SQRT(2*PI())*EXP(0*SQRT(Table13[[#This Row],[T]]))/$A$4*18%*SQRT(SQRT(Table13[[#This Row],[T]])))</f>
        <v>#DIV/0!</v>
      </c>
      <c r="AK271" t="e">
        <f ca="1">Table13[[#This Row],[Call D1]]-Table13[[#This Row],[IV Calc C]]*SQRT(Table13[[#This Row],[T]])</f>
        <v>#DIV/0!</v>
      </c>
      <c r="AL271" t="e">
        <f ca="1">Table13[[#This Row],[Put D1]]-Table13[[#This Row],[IV Calc P]]*SQRT(Table13[[#This Row],[T]])</f>
        <v>#DIV/0!</v>
      </c>
      <c r="AM271" t="e">
        <f ca="1">EXP(-0.5*Table13[[#This Row],[Call D1]]^2)/SQRT(2*PI())</f>
        <v>#DIV/0!</v>
      </c>
      <c r="AN271" t="e">
        <f ca="1">EXP(-0.5*Table13[[#This Row],[Put D1]]^2)/SQRT(2*PI())</f>
        <v>#DIV/0!</v>
      </c>
      <c r="AO271">
        <f ca="1">IFERROR((EXP(0*Table13[[#This Row],[T]])*Table13[[#This Row],[call N(d1)]]*(Table13[[#This Row],[call d2]]/Table13[[#This Row],[IV Calc C]]))*Table13[[#This Row],[Open.Int]]*Table13[[#This Row],[DeltaC]],0)</f>
        <v>0</v>
      </c>
      <c r="AP271">
        <f ca="1">IFERROR((EXP(0*Table13[[#This Row],[T]])*Table13[[#This Row],[put N(d1)]]*(Table13[[#This Row],[put d2]]/Table13[[#This Row],[IV Calc P]]))*Table13[[#This Row],[Open.Int8]]*Table13[[#This Row],[DeltaP]]*-1,0)</f>
        <v>0</v>
      </c>
      <c r="AQ271">
        <f ca="1">((Table13[[#This Row],[call vanna]]+Table13[[#This Row],[put vanna]])*$A$4)</f>
        <v>0</v>
      </c>
      <c r="AR27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1" s="9" t="str" cm="1">
        <f t="array" ref="AT271">_xlfn.IFS(     $M$1="SPX","SPXW",     $M$1="RUT","RUTW",  $M$1="NDX","NDXP",   TRUE,$M$1 )</f>
        <v>SPXW</v>
      </c>
      <c r="AU271" s="2">
        <f t="shared" si="27"/>
        <v>6915</v>
      </c>
      <c r="AV271" t="str">
        <f t="shared" si="28"/>
        <v>000100</v>
      </c>
      <c r="AY27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1">
        <f>((Table13[[#This Row],[High C]]+Table13[[#This Row],[Low C]])/2)*Table13[[#This Row],[gammac]]*Table13[[#This Row],[Volume]]</f>
        <v>0</v>
      </c>
      <c r="BD271">
        <f>((Table13[[#This Row],[High P]]+Table13[[#This Row],[Low P]])/2)*Table13[[#This Row],[gammap]]*Table13[[#This Row],[Volume9]]*-1</f>
        <v>0</v>
      </c>
      <c r="BE271">
        <f>(Table13[[#This Row],[SgammaC]]+Table13[[#This Row],[SgammaP]])*$A$4*-100</f>
        <v>0</v>
      </c>
      <c r="BF271">
        <f>Table13[[#This Row],[DEXc]]+Table13[[#This Row],[DEXp]]</f>
        <v>0</v>
      </c>
      <c r="BG271">
        <f>IFERROR(Table13[[#This Row],[DeltaC]]*Table13[[#This Row],[Open.Int]]*$A$4,0)</f>
        <v>0</v>
      </c>
      <c r="BH271">
        <f>IFERROR(Table13[[#This Row],[DeltaP]]*Table13[[#This Row],[Open.Int8]]*$A$4,0)</f>
        <v>0</v>
      </c>
      <c r="BI27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1">
        <f ca="1">Table13[[#This Row],[charmc]]+Table13[[#This Row],[charmp]]</f>
        <v>0</v>
      </c>
      <c r="BL27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1" s="78">
        <f ca="1">Table13[[#This Row],[call helper]]+Table13[[#This Row],[put helper]]</f>
        <v>0</v>
      </c>
      <c r="BP271" t="str">
        <f>RTD("tos.rtd", , "STRIKE", "."&amp;Table13[[#This Row],[Ticker]]&amp;Table13[[#This Row],[Expiry]]&amp;""&amp;"C"&amp;Table13[[#This Row],[Spot]]+Table13[[#This Row],[step]])</f>
        <v>N/A</v>
      </c>
    </row>
    <row r="272" spans="1:68" x14ac:dyDescent="0.25">
      <c r="A272" s="24">
        <f t="shared" ca="1" si="24"/>
        <v>-126.14810350076104</v>
      </c>
      <c r="B272" s="13"/>
      <c r="C272" s="17"/>
      <c r="D272" t="b">
        <f>IF(
    ISNUMBER(Table13[[#This Row],[Strike]]),RTD("tos.rtd", , "OPEN_INT", "."&amp;Table13[[#This Row],[Ticker]]&amp;Table13[[#This Row],[Expiry]]&amp;""&amp;"C"&amp;Table13[[#This Row],[Strike]]))</f>
        <v>0</v>
      </c>
      <c r="E27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2" t="b">
        <f>IF(     ISNUMBER(Table13[[#This Row],[Strike]]),RTD("tos.rtd", , "DELTA", "."&amp;Table13[[#This Row],[Ticker]]&amp;Table13[[#This Row],[Expiry]]&amp;""&amp;"C"&amp;Table13[[#This Row],[Strike]]))</f>
        <v>0</v>
      </c>
      <c r="H272" s="17" t="b" cm="1">
        <f t="array" ref="H272">IF(
    ISNUMBER(Table13[[#This Row],[Strike]]),IndividualLegIVCore($A$4, Table13[[#This Row],[Strike]], 0.0411, Table13[[#This Row],[T]], ((Table13[[#This Row],[BIDC]]+Table13[[#This Row],[ASKC]])/2), TRUE))</f>
        <v>0</v>
      </c>
      <c r="I272" t="b">
        <f>IF(     ISNUMBER(Table13[[#This Row],[Strike]]),RTD("tos.rtd", , "BID", "."&amp;Table13[[#This Row],[Ticker]]&amp;Table13[[#This Row],[Expiry]]&amp;""&amp;"C"&amp;Table13[[#This Row],[Strike]]))</f>
        <v>0</v>
      </c>
      <c r="J272" t="b">
        <f>IF(     ISNUMBER(Table13[[#This Row],[Strike]]),RTD("tos.rtd", , "ASK", "."&amp;Table13[[#This Row],[Ticker]]&amp;Table13[[#This Row],[Expiry]]&amp;""&amp;"C"&amp;Table13[[#This Row],[Strike]]))</f>
        <v>0</v>
      </c>
      <c r="K27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2" s="17" cm="1">
        <f t="array" aca="1" ref="L27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2" s="1">
        <f t="shared" si="25"/>
        <v>0</v>
      </c>
      <c r="N272" t="b">
        <f t="shared" si="26"/>
        <v>0</v>
      </c>
      <c r="P272" s="17" t="b" cm="1">
        <f t="array" ref="P272">IF(
    ISNUMBER(Table13[[#This Row],[Strike]]),IndividualLegIVCore($A$4, Table13[[#This Row],[Strike]], 0.0411, Table13[[#This Row],[T]], ((Table13[[#This Row],[BIDP]]+Table13[[#This Row],[ASKP]])/2), FALSE))</f>
        <v>0</v>
      </c>
      <c r="Q272" t="b">
        <f>IF(     ISNUMBER(Table13[[#This Row],[Strike]]),RTD("tos.rtd", , "BID", "."&amp;Table13[[#This Row],[Ticker]]&amp;Table13[[#This Row],[Expiry]]&amp;""&amp;"P"&amp;Table13[[#This Row],[Strike]]))</f>
        <v>0</v>
      </c>
      <c r="R272" t="b">
        <f>IF(     ISNUMBER(Table13[[#This Row],[Strike]]),RTD("tos.rtd", , "ASK", "."&amp;Table13[[#This Row],[Ticker]]&amp;Table13[[#This Row],[Expiry]]&amp;""&amp;"P"&amp;Table13[[#This Row],[Strike]]))</f>
        <v>0</v>
      </c>
      <c r="S272" s="17"/>
      <c r="T272" t="b">
        <f>IF(     ISNUMBER(Table13[[#This Row],[Strike]]),RTD("tos.rtd", , "OPEN_INT", "."&amp;Table13[[#This Row],[Ticker]]&amp;Table13[[#This Row],[Expiry]]&amp;""&amp;"P"&amp;Table13[[#This Row],[Strike]]))</f>
        <v>0</v>
      </c>
      <c r="U27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2" t="b">
        <f>IF(     ISNUMBER(Table13[[#This Row],[Strike]]),RTD("tos.rtd", , "DELTA", "."&amp;Table13[[#This Row],[Ticker]]&amp;Table13[[#This Row],[Expiry]]&amp;""&amp;"P"&amp;Table13[[#This Row],[Strike]]))</f>
        <v>0</v>
      </c>
      <c r="X272" s="13"/>
      <c r="Y272" s="19">
        <f>-20.5* IF($M$1="NDX", 10, IF(OR($M$1="SPX", $M$1="RUT"), 2, 1))</f>
        <v>-41</v>
      </c>
      <c r="Z272">
        <f ca="1">IFERROR(Table13[[#This Row],[call gamma]]*(Table13[[#This Row],[Open.Int]])*$A$4^2,0)</f>
        <v>0</v>
      </c>
      <c r="AA272">
        <f ca="1">IFERROR(((Table13[[#This Row],[Open.Int8]])*Table13[[#This Row],[Put gamma]])*-1*$A$4^2,0)</f>
        <v>0</v>
      </c>
      <c r="AB272">
        <f ca="1">(Table13[[#This Row],[Call Gex]]+Table13[[#This Row],[Put Gex]])</f>
        <v>0</v>
      </c>
      <c r="AC272">
        <f ca="1">Table13[[#This Row],[put delta adj]]+Table13[[#This Row],[call delta adj]]</f>
        <v>0</v>
      </c>
      <c r="AD272">
        <f ca="1">Table13[[#This Row],[Put Gex]]*Table13[[#This Row],[DeltaP]]*-1</f>
        <v>0</v>
      </c>
      <c r="AE272">
        <f ca="1">Table13[[#This Row],[Call Gex]]*Table13[[#This Row],[DeltaC]]</f>
        <v>0</v>
      </c>
      <c r="AF272">
        <f>IF(Table13[[#This Row],[DeltaC]]-ABS(Table13[[#This Row],[DeltaP]])="0","0.01",Table13[[#This Row],[DeltaC]]-ABS(Table13[[#This Row],[DeltaP]]))</f>
        <v>0</v>
      </c>
      <c r="AG272" t="e">
        <f ca="1">((LN($A$4/Table13[[#This Row],[Strike]]) + (0.411 + 0.5 * Table13[[#This Row],[IV Calc P]]^2) *Table13[[#This Row],[T]])) / (Table13[[#This Row],[IV Calc P]] * SQRT(Table13[[#This Row],[T]]))</f>
        <v>#DIV/0!</v>
      </c>
      <c r="AH272" t="e">
        <f ca="1">(LN($A$4/Table13[[#This Row],[Strike]]) + (0.411-0 + 0.5 * Table13[[#This Row],[IV Calc C]]^2) *Table13[[#This Row],[T]]) / (Table13[[#This Row],[IV Calc C]] * SQRT(Table13[[#This Row],[T]]))</f>
        <v>#DIV/0!</v>
      </c>
      <c r="AI272" t="e">
        <f ca="1">(EXP(-(AG272^2)/2)/SQRT(2*PI())*EXP(0*SQRT(Table13[[#This Row],[T]]))/$A$4*18%*SQRT(SQRT(Table13[[#This Row],[T]])))</f>
        <v>#DIV/0!</v>
      </c>
      <c r="AJ272" t="e">
        <f ca="1">(EXP(-(AH272^2)/2)/SQRT(2*PI())*EXP(0*SQRT(Table13[[#This Row],[T]]))/$A$4*18%*SQRT(SQRT(Table13[[#This Row],[T]])))</f>
        <v>#DIV/0!</v>
      </c>
      <c r="AK272" t="e">
        <f ca="1">Table13[[#This Row],[Call D1]]-Table13[[#This Row],[IV Calc C]]*SQRT(Table13[[#This Row],[T]])</f>
        <v>#DIV/0!</v>
      </c>
      <c r="AL272" t="e">
        <f ca="1">Table13[[#This Row],[Put D1]]-Table13[[#This Row],[IV Calc P]]*SQRT(Table13[[#This Row],[T]])</f>
        <v>#DIV/0!</v>
      </c>
      <c r="AM272" t="e">
        <f ca="1">EXP(-0.5*Table13[[#This Row],[Call D1]]^2)/SQRT(2*PI())</f>
        <v>#DIV/0!</v>
      </c>
      <c r="AN272" t="e">
        <f ca="1">EXP(-0.5*Table13[[#This Row],[Put D1]]^2)/SQRT(2*PI())</f>
        <v>#DIV/0!</v>
      </c>
      <c r="AO272">
        <f ca="1">IFERROR((EXP(0*Table13[[#This Row],[T]])*Table13[[#This Row],[call N(d1)]]*(Table13[[#This Row],[call d2]]/Table13[[#This Row],[IV Calc C]]))*Table13[[#This Row],[Open.Int]]*Table13[[#This Row],[DeltaC]],0)</f>
        <v>0</v>
      </c>
      <c r="AP272">
        <f ca="1">IFERROR((EXP(0*Table13[[#This Row],[T]])*Table13[[#This Row],[put N(d1)]]*(Table13[[#This Row],[put d2]]/Table13[[#This Row],[IV Calc P]]))*Table13[[#This Row],[Open.Int8]]*Table13[[#This Row],[DeltaP]]*-1,0)</f>
        <v>0</v>
      </c>
      <c r="AQ272">
        <f ca="1">((Table13[[#This Row],[call vanna]]+Table13[[#This Row],[put vanna]])*$A$4)</f>
        <v>0</v>
      </c>
      <c r="AR27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2" s="22" t="str" cm="1">
        <f t="array" ref="AT272">_xlfn.IFS(     $M$1="SPX","SPXW",     $M$1="RUT","RUTW",  $M$1="NDX","NDXP",   TRUE,$M$1 )</f>
        <v>SPXW</v>
      </c>
      <c r="AU272" s="2">
        <f t="shared" si="27"/>
        <v>6915</v>
      </c>
      <c r="AV272" t="str">
        <f t="shared" si="28"/>
        <v>000100</v>
      </c>
      <c r="AY27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2">
        <f>((Table13[[#This Row],[High C]]+Table13[[#This Row],[Low C]])/2)*Table13[[#This Row],[gammac]]*Table13[[#This Row],[Volume]]</f>
        <v>0</v>
      </c>
      <c r="BD272">
        <f>((Table13[[#This Row],[High P]]+Table13[[#This Row],[Low P]])/2)*Table13[[#This Row],[gammap]]*Table13[[#This Row],[Volume9]]*-1</f>
        <v>0</v>
      </c>
      <c r="BE272">
        <f>(Table13[[#This Row],[SgammaC]]+Table13[[#This Row],[SgammaP]])*$A$4*-100</f>
        <v>0</v>
      </c>
      <c r="BF272">
        <f>Table13[[#This Row],[DEXc]]+Table13[[#This Row],[DEXp]]</f>
        <v>0</v>
      </c>
      <c r="BG272">
        <f>IFERROR(Table13[[#This Row],[DeltaC]]*Table13[[#This Row],[Open.Int]]*$A$4,0)</f>
        <v>0</v>
      </c>
      <c r="BH272">
        <f>IFERROR(Table13[[#This Row],[DeltaP]]*Table13[[#This Row],[Open.Int8]]*$A$4,0)</f>
        <v>0</v>
      </c>
      <c r="BI27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2">
        <f ca="1">Table13[[#This Row],[charmc]]+Table13[[#This Row],[charmp]]</f>
        <v>0</v>
      </c>
      <c r="BL27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2" s="78">
        <f ca="1">Table13[[#This Row],[call helper]]+Table13[[#This Row],[put helper]]</f>
        <v>0</v>
      </c>
      <c r="BP272" t="str">
        <f>RTD("tos.rtd", , "STRIKE", "."&amp;Table13[[#This Row],[Ticker]]&amp;Table13[[#This Row],[Expiry]]&amp;""&amp;"C"&amp;Table13[[#This Row],[Spot]]+Table13[[#This Row],[step]])</f>
        <v>N/A</v>
      </c>
    </row>
    <row r="273" spans="1:68" x14ac:dyDescent="0.25">
      <c r="A273" s="14">
        <f t="shared" ca="1" si="24"/>
        <v>-126.14810350076104</v>
      </c>
      <c r="C273" s="17"/>
      <c r="D273" t="b">
        <f>IF(
    ISNUMBER(Table13[[#This Row],[Strike]]),RTD("tos.rtd", , "OPEN_INT", "."&amp;Table13[[#This Row],[Ticker]]&amp;Table13[[#This Row],[Expiry]]&amp;""&amp;"C"&amp;Table13[[#This Row],[Strike]]))</f>
        <v>0</v>
      </c>
      <c r="E27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3" t="b">
        <f>IF(     ISNUMBER(Table13[[#This Row],[Strike]]),RTD("tos.rtd", , "DELTA", "."&amp;Table13[[#This Row],[Ticker]]&amp;Table13[[#This Row],[Expiry]]&amp;""&amp;"C"&amp;Table13[[#This Row],[Strike]]))</f>
        <v>0</v>
      </c>
      <c r="H273" s="17" t="b" cm="1">
        <f t="array" ref="H273">IF(
    ISNUMBER(Table13[[#This Row],[Strike]]),IndividualLegIVCore($A$4, Table13[[#This Row],[Strike]], 0.0411, Table13[[#This Row],[T]], ((Table13[[#This Row],[BIDC]]+Table13[[#This Row],[ASKC]])/2), TRUE))</f>
        <v>0</v>
      </c>
      <c r="I273" t="b">
        <f>IF(     ISNUMBER(Table13[[#This Row],[Strike]]),RTD("tos.rtd", , "BID", "."&amp;Table13[[#This Row],[Ticker]]&amp;Table13[[#This Row],[Expiry]]&amp;""&amp;"C"&amp;Table13[[#This Row],[Strike]]))</f>
        <v>0</v>
      </c>
      <c r="J273" t="b">
        <f>IF(     ISNUMBER(Table13[[#This Row],[Strike]]),RTD("tos.rtd", , "ASK", "."&amp;Table13[[#This Row],[Ticker]]&amp;Table13[[#This Row],[Expiry]]&amp;""&amp;"C"&amp;Table13[[#This Row],[Strike]]))</f>
        <v>0</v>
      </c>
      <c r="K27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3" s="17" cm="1">
        <f t="array" aca="1" ref="L27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3" s="1">
        <f t="shared" si="25"/>
        <v>0</v>
      </c>
      <c r="N273" t="b">
        <f t="shared" si="26"/>
        <v>0</v>
      </c>
      <c r="P273" s="17" t="b" cm="1">
        <f t="array" ref="P273">IF(
    ISNUMBER(Table13[[#This Row],[Strike]]),IndividualLegIVCore($A$4, Table13[[#This Row],[Strike]], 0.0411, Table13[[#This Row],[T]], ((Table13[[#This Row],[BIDP]]+Table13[[#This Row],[ASKP]])/2), FALSE))</f>
        <v>0</v>
      </c>
      <c r="Q273" t="b">
        <f>IF(     ISNUMBER(Table13[[#This Row],[Strike]]),RTD("tos.rtd", , "BID", "."&amp;Table13[[#This Row],[Ticker]]&amp;Table13[[#This Row],[Expiry]]&amp;""&amp;"P"&amp;Table13[[#This Row],[Strike]]))</f>
        <v>0</v>
      </c>
      <c r="R273" t="b">
        <f>IF(     ISNUMBER(Table13[[#This Row],[Strike]]),RTD("tos.rtd", , "ASK", "."&amp;Table13[[#This Row],[Ticker]]&amp;Table13[[#This Row],[Expiry]]&amp;""&amp;"P"&amp;Table13[[#This Row],[Strike]]))</f>
        <v>0</v>
      </c>
      <c r="S273" s="17"/>
      <c r="T273" t="b">
        <f>IF(     ISNUMBER(Table13[[#This Row],[Strike]]),RTD("tos.rtd", , "OPEN_INT", "."&amp;Table13[[#This Row],[Ticker]]&amp;Table13[[#This Row],[Expiry]]&amp;""&amp;"P"&amp;Table13[[#This Row],[Strike]]))</f>
        <v>0</v>
      </c>
      <c r="U27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3" t="b">
        <f>IF(     ISNUMBER(Table13[[#This Row],[Strike]]),RTD("tos.rtd", , "DELTA", "."&amp;Table13[[#This Row],[Ticker]]&amp;Table13[[#This Row],[Expiry]]&amp;""&amp;"P"&amp;Table13[[#This Row],[Strike]]))</f>
        <v>0</v>
      </c>
      <c r="Y273" s="19">
        <f>-20* IF($M$1="NDX", 10, IF(OR($M$1="SPX", $M$1="RUT"), 2, 1))</f>
        <v>-40</v>
      </c>
      <c r="Z273">
        <f ca="1">IFERROR(Table13[[#This Row],[call gamma]]*(Table13[[#This Row],[Open.Int]])*$A$4^2,0)</f>
        <v>0</v>
      </c>
      <c r="AA273">
        <f ca="1">IFERROR(((Table13[[#This Row],[Open.Int8]])*Table13[[#This Row],[Put gamma]])*-1*$A$4^2,0)</f>
        <v>0</v>
      </c>
      <c r="AB273">
        <f ca="1">(Table13[[#This Row],[Call Gex]]+Table13[[#This Row],[Put Gex]])</f>
        <v>0</v>
      </c>
      <c r="AC273">
        <f ca="1">Table13[[#This Row],[put delta adj]]+Table13[[#This Row],[call delta adj]]</f>
        <v>0</v>
      </c>
      <c r="AD273">
        <f ca="1">Table13[[#This Row],[Put Gex]]*Table13[[#This Row],[DeltaP]]*-1</f>
        <v>0</v>
      </c>
      <c r="AE273">
        <f ca="1">Table13[[#This Row],[Call Gex]]*Table13[[#This Row],[DeltaC]]</f>
        <v>0</v>
      </c>
      <c r="AF273">
        <f>IF(Table13[[#This Row],[DeltaC]]-ABS(Table13[[#This Row],[DeltaP]])="0","0.01",Table13[[#This Row],[DeltaC]]-ABS(Table13[[#This Row],[DeltaP]]))</f>
        <v>0</v>
      </c>
      <c r="AG273" t="e">
        <f ca="1">((LN($A$4/Table13[[#This Row],[Strike]]) + (0.411 + 0.5 * Table13[[#This Row],[IV Calc P]]^2) *Table13[[#This Row],[T]])) / (Table13[[#This Row],[IV Calc P]] * SQRT(Table13[[#This Row],[T]]))</f>
        <v>#DIV/0!</v>
      </c>
      <c r="AH273" t="e">
        <f ca="1">(LN($A$4/Table13[[#This Row],[Strike]]) + (0.411-0 + 0.5 * Table13[[#This Row],[IV Calc C]]^2) *Table13[[#This Row],[T]]) / (Table13[[#This Row],[IV Calc C]] * SQRT(Table13[[#This Row],[T]]))</f>
        <v>#DIV/0!</v>
      </c>
      <c r="AI273" t="e">
        <f ca="1">(EXP(-(AG273^2)/2)/SQRT(2*PI())*EXP(0*SQRT(Table13[[#This Row],[T]]))/$A$4*18%*SQRT(SQRT(Table13[[#This Row],[T]])))</f>
        <v>#DIV/0!</v>
      </c>
      <c r="AJ273" t="e">
        <f ca="1">(EXP(-(AH273^2)/2)/SQRT(2*PI())*EXP(0*SQRT(Table13[[#This Row],[T]]))/$A$4*18%*SQRT(SQRT(Table13[[#This Row],[T]])))</f>
        <v>#DIV/0!</v>
      </c>
      <c r="AK273" t="e">
        <f ca="1">Table13[[#This Row],[Call D1]]-Table13[[#This Row],[IV Calc C]]*SQRT(Table13[[#This Row],[T]])</f>
        <v>#DIV/0!</v>
      </c>
      <c r="AL273" t="e">
        <f ca="1">Table13[[#This Row],[Put D1]]-Table13[[#This Row],[IV Calc P]]*SQRT(Table13[[#This Row],[T]])</f>
        <v>#DIV/0!</v>
      </c>
      <c r="AM273" t="e">
        <f ca="1">EXP(-0.5*Table13[[#This Row],[Call D1]]^2)/SQRT(2*PI())</f>
        <v>#DIV/0!</v>
      </c>
      <c r="AN273" t="e">
        <f ca="1">EXP(-0.5*Table13[[#This Row],[Put D1]]^2)/SQRT(2*PI())</f>
        <v>#DIV/0!</v>
      </c>
      <c r="AO273">
        <f ca="1">IFERROR((EXP(0*Table13[[#This Row],[T]])*Table13[[#This Row],[call N(d1)]]*(Table13[[#This Row],[call d2]]/Table13[[#This Row],[IV Calc C]]))*Table13[[#This Row],[Open.Int]]*Table13[[#This Row],[DeltaC]],0)</f>
        <v>0</v>
      </c>
      <c r="AP273">
        <f ca="1">IFERROR((EXP(0*Table13[[#This Row],[T]])*Table13[[#This Row],[put N(d1)]]*(Table13[[#This Row],[put d2]]/Table13[[#This Row],[IV Calc P]]))*Table13[[#This Row],[Open.Int8]]*Table13[[#This Row],[DeltaP]]*-1,0)</f>
        <v>0</v>
      </c>
      <c r="AQ273">
        <f ca="1">((Table13[[#This Row],[call vanna]]+Table13[[#This Row],[put vanna]])*$A$4)</f>
        <v>0</v>
      </c>
      <c r="AR27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3" s="9" t="str" cm="1">
        <f t="array" ref="AT273">_xlfn.IFS(     $M$1="SPX","SPXW",     $M$1="RUT","RUTW",  $M$1="NDX","NDXP",   TRUE,$M$1 )</f>
        <v>SPXW</v>
      </c>
      <c r="AU273" s="2">
        <f t="shared" si="27"/>
        <v>6915</v>
      </c>
      <c r="AV273" t="str">
        <f t="shared" si="28"/>
        <v>000100</v>
      </c>
      <c r="AY27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3">
        <f>((Table13[[#This Row],[High C]]+Table13[[#This Row],[Low C]])/2)*Table13[[#This Row],[gammac]]*Table13[[#This Row],[Volume]]</f>
        <v>0</v>
      </c>
      <c r="BD273">
        <f>((Table13[[#This Row],[High P]]+Table13[[#This Row],[Low P]])/2)*Table13[[#This Row],[gammap]]*Table13[[#This Row],[Volume9]]*-1</f>
        <v>0</v>
      </c>
      <c r="BE273">
        <f>(Table13[[#This Row],[SgammaC]]+Table13[[#This Row],[SgammaP]])*$A$4*-100</f>
        <v>0</v>
      </c>
      <c r="BF273">
        <f>Table13[[#This Row],[DEXc]]+Table13[[#This Row],[DEXp]]</f>
        <v>0</v>
      </c>
      <c r="BG273">
        <f>IFERROR(Table13[[#This Row],[DeltaC]]*Table13[[#This Row],[Open.Int]]*$A$4,0)</f>
        <v>0</v>
      </c>
      <c r="BH273">
        <f>IFERROR(Table13[[#This Row],[DeltaP]]*Table13[[#This Row],[Open.Int8]]*$A$4,0)</f>
        <v>0</v>
      </c>
      <c r="BI27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3">
        <f ca="1">Table13[[#This Row],[charmc]]+Table13[[#This Row],[charmp]]</f>
        <v>0</v>
      </c>
      <c r="BL27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3" s="78">
        <f ca="1">Table13[[#This Row],[call helper]]+Table13[[#This Row],[put helper]]</f>
        <v>0</v>
      </c>
      <c r="BP273" t="str">
        <f>RTD("tos.rtd", , "STRIKE", "."&amp;Table13[[#This Row],[Ticker]]&amp;Table13[[#This Row],[Expiry]]&amp;""&amp;"C"&amp;Table13[[#This Row],[Spot]]+Table13[[#This Row],[step]])</f>
        <v>N/A</v>
      </c>
    </row>
    <row r="274" spans="1:68" x14ac:dyDescent="0.25">
      <c r="A274" s="14">
        <f t="shared" ca="1" si="24"/>
        <v>-126.14810350076104</v>
      </c>
      <c r="C274" s="17"/>
      <c r="D274" t="b">
        <f>IF(
    ISNUMBER(Table13[[#This Row],[Strike]]),RTD("tos.rtd", , "OPEN_INT", "."&amp;Table13[[#This Row],[Ticker]]&amp;Table13[[#This Row],[Expiry]]&amp;""&amp;"C"&amp;Table13[[#This Row],[Strike]]))</f>
        <v>0</v>
      </c>
      <c r="E27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4" t="b">
        <f>IF(     ISNUMBER(Table13[[#This Row],[Strike]]),RTD("tos.rtd", , "DELTA", "."&amp;Table13[[#This Row],[Ticker]]&amp;Table13[[#This Row],[Expiry]]&amp;""&amp;"C"&amp;Table13[[#This Row],[Strike]]))</f>
        <v>0</v>
      </c>
      <c r="H274" s="17" t="b" cm="1">
        <f t="array" ref="H274">IF(
    ISNUMBER(Table13[[#This Row],[Strike]]),IndividualLegIVCore($A$4, Table13[[#This Row],[Strike]], 0.0411, Table13[[#This Row],[T]], ((Table13[[#This Row],[BIDC]]+Table13[[#This Row],[ASKC]])/2), TRUE))</f>
        <v>0</v>
      </c>
      <c r="I274" t="b">
        <f>IF(     ISNUMBER(Table13[[#This Row],[Strike]]),RTD("tos.rtd", , "BID", "."&amp;Table13[[#This Row],[Ticker]]&amp;Table13[[#This Row],[Expiry]]&amp;""&amp;"C"&amp;Table13[[#This Row],[Strike]]))</f>
        <v>0</v>
      </c>
      <c r="J274" t="b">
        <f>IF(     ISNUMBER(Table13[[#This Row],[Strike]]),RTD("tos.rtd", , "ASK", "."&amp;Table13[[#This Row],[Ticker]]&amp;Table13[[#This Row],[Expiry]]&amp;""&amp;"C"&amp;Table13[[#This Row],[Strike]]))</f>
        <v>0</v>
      </c>
      <c r="K27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4" s="17" cm="1">
        <f t="array" aca="1" ref="L27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4" s="1">
        <f t="shared" si="25"/>
        <v>0</v>
      </c>
      <c r="N274" t="b">
        <f t="shared" si="26"/>
        <v>0</v>
      </c>
      <c r="P274" s="17" t="b" cm="1">
        <f t="array" ref="P274">IF(
    ISNUMBER(Table13[[#This Row],[Strike]]),IndividualLegIVCore($A$4, Table13[[#This Row],[Strike]], 0.0411, Table13[[#This Row],[T]], ((Table13[[#This Row],[BIDP]]+Table13[[#This Row],[ASKP]])/2), FALSE))</f>
        <v>0</v>
      </c>
      <c r="Q274" t="b">
        <f>IF(     ISNUMBER(Table13[[#This Row],[Strike]]),RTD("tos.rtd", , "BID", "."&amp;Table13[[#This Row],[Ticker]]&amp;Table13[[#This Row],[Expiry]]&amp;""&amp;"P"&amp;Table13[[#This Row],[Strike]]))</f>
        <v>0</v>
      </c>
      <c r="R274" t="b">
        <f>IF(     ISNUMBER(Table13[[#This Row],[Strike]]),RTD("tos.rtd", , "ASK", "."&amp;Table13[[#This Row],[Ticker]]&amp;Table13[[#This Row],[Expiry]]&amp;""&amp;"P"&amp;Table13[[#This Row],[Strike]]))</f>
        <v>0</v>
      </c>
      <c r="S274" s="17"/>
      <c r="T274" t="b">
        <f>IF(     ISNUMBER(Table13[[#This Row],[Strike]]),RTD("tos.rtd", , "OPEN_INT", "."&amp;Table13[[#This Row],[Ticker]]&amp;Table13[[#This Row],[Expiry]]&amp;""&amp;"P"&amp;Table13[[#This Row],[Strike]]))</f>
        <v>0</v>
      </c>
      <c r="U27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4" t="b">
        <f>IF(     ISNUMBER(Table13[[#This Row],[Strike]]),RTD("tos.rtd", , "DELTA", "."&amp;Table13[[#This Row],[Ticker]]&amp;Table13[[#This Row],[Expiry]]&amp;""&amp;"P"&amp;Table13[[#This Row],[Strike]]))</f>
        <v>0</v>
      </c>
      <c r="Y274" s="19">
        <f>-19.5* IF($M$1="NDX", 10, IF(OR($M$1="SPX", $M$1="RUT"), 2, 1))</f>
        <v>-39</v>
      </c>
      <c r="Z274">
        <f ca="1">IFERROR(Table13[[#This Row],[call gamma]]*(Table13[[#This Row],[Open.Int]])*$A$4^2,0)</f>
        <v>0</v>
      </c>
      <c r="AA274">
        <f ca="1">IFERROR(((Table13[[#This Row],[Open.Int8]])*Table13[[#This Row],[Put gamma]])*-1*$A$4^2,0)</f>
        <v>0</v>
      </c>
      <c r="AB274">
        <f ca="1">(Table13[[#This Row],[Call Gex]]+Table13[[#This Row],[Put Gex]])</f>
        <v>0</v>
      </c>
      <c r="AC274">
        <f ca="1">Table13[[#This Row],[put delta adj]]+Table13[[#This Row],[call delta adj]]</f>
        <v>0</v>
      </c>
      <c r="AD274">
        <f ca="1">Table13[[#This Row],[Put Gex]]*Table13[[#This Row],[DeltaP]]*-1</f>
        <v>0</v>
      </c>
      <c r="AE274">
        <f ca="1">Table13[[#This Row],[Call Gex]]*Table13[[#This Row],[DeltaC]]</f>
        <v>0</v>
      </c>
      <c r="AF274">
        <f>IF(Table13[[#This Row],[DeltaC]]-ABS(Table13[[#This Row],[DeltaP]])="0","0.01",Table13[[#This Row],[DeltaC]]-ABS(Table13[[#This Row],[DeltaP]]))</f>
        <v>0</v>
      </c>
      <c r="AG274" t="e">
        <f ca="1">((LN($A$4/Table13[[#This Row],[Strike]]) + (0.411 + 0.5 * Table13[[#This Row],[IV Calc P]]^2) *Table13[[#This Row],[T]])) / (Table13[[#This Row],[IV Calc P]] * SQRT(Table13[[#This Row],[T]]))</f>
        <v>#DIV/0!</v>
      </c>
      <c r="AH274" t="e">
        <f ca="1">(LN($A$4/Table13[[#This Row],[Strike]]) + (0.411-0 + 0.5 * Table13[[#This Row],[IV Calc C]]^2) *Table13[[#This Row],[T]]) / (Table13[[#This Row],[IV Calc C]] * SQRT(Table13[[#This Row],[T]]))</f>
        <v>#DIV/0!</v>
      </c>
      <c r="AI274" t="e">
        <f ca="1">(EXP(-(AG274^2)/2)/SQRT(2*PI())*EXP(0*SQRT(Table13[[#This Row],[T]]))/$A$4*18%*SQRT(SQRT(Table13[[#This Row],[T]])))</f>
        <v>#DIV/0!</v>
      </c>
      <c r="AJ274" t="e">
        <f ca="1">(EXP(-(AH274^2)/2)/SQRT(2*PI())*EXP(0*SQRT(Table13[[#This Row],[T]]))/$A$4*18%*SQRT(SQRT(Table13[[#This Row],[T]])))</f>
        <v>#DIV/0!</v>
      </c>
      <c r="AK274" t="e">
        <f ca="1">Table13[[#This Row],[Call D1]]-Table13[[#This Row],[IV Calc C]]*SQRT(Table13[[#This Row],[T]])</f>
        <v>#DIV/0!</v>
      </c>
      <c r="AL274" t="e">
        <f ca="1">Table13[[#This Row],[Put D1]]-Table13[[#This Row],[IV Calc P]]*SQRT(Table13[[#This Row],[T]])</f>
        <v>#DIV/0!</v>
      </c>
      <c r="AM274" t="e">
        <f ca="1">EXP(-0.5*Table13[[#This Row],[Call D1]]^2)/SQRT(2*PI())</f>
        <v>#DIV/0!</v>
      </c>
      <c r="AN274" t="e">
        <f ca="1">EXP(-0.5*Table13[[#This Row],[Put D1]]^2)/SQRT(2*PI())</f>
        <v>#DIV/0!</v>
      </c>
      <c r="AO274">
        <f ca="1">IFERROR((EXP(0*Table13[[#This Row],[T]])*Table13[[#This Row],[call N(d1)]]*(Table13[[#This Row],[call d2]]/Table13[[#This Row],[IV Calc C]]))*Table13[[#This Row],[Open.Int]]*Table13[[#This Row],[DeltaC]],0)</f>
        <v>0</v>
      </c>
      <c r="AP274">
        <f ca="1">IFERROR((EXP(0*Table13[[#This Row],[T]])*Table13[[#This Row],[put N(d1)]]*(Table13[[#This Row],[put d2]]/Table13[[#This Row],[IV Calc P]]))*Table13[[#This Row],[Open.Int8]]*Table13[[#This Row],[DeltaP]]*-1,0)</f>
        <v>0</v>
      </c>
      <c r="AQ274">
        <f ca="1">((Table13[[#This Row],[call vanna]]+Table13[[#This Row],[put vanna]])*$A$4)</f>
        <v>0</v>
      </c>
      <c r="AR27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4" s="9" t="str" cm="1">
        <f t="array" ref="AT274">_xlfn.IFS(     $M$1="SPX","SPXW",     $M$1="RUT","RUTW",  $M$1="NDX","NDXP",   TRUE,$M$1 )</f>
        <v>SPXW</v>
      </c>
      <c r="AU274" s="2">
        <f t="shared" si="27"/>
        <v>6915</v>
      </c>
      <c r="AV274" t="str">
        <f t="shared" si="28"/>
        <v>000100</v>
      </c>
      <c r="AY27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4">
        <f>((Table13[[#This Row],[High C]]+Table13[[#This Row],[Low C]])/2)*Table13[[#This Row],[gammac]]*Table13[[#This Row],[Volume]]</f>
        <v>0</v>
      </c>
      <c r="BD274">
        <f>((Table13[[#This Row],[High P]]+Table13[[#This Row],[Low P]])/2)*Table13[[#This Row],[gammap]]*Table13[[#This Row],[Volume9]]*-1</f>
        <v>0</v>
      </c>
      <c r="BE274">
        <f>(Table13[[#This Row],[SgammaC]]+Table13[[#This Row],[SgammaP]])*$A$4*-100</f>
        <v>0</v>
      </c>
      <c r="BF274">
        <f>Table13[[#This Row],[DEXc]]+Table13[[#This Row],[DEXp]]</f>
        <v>0</v>
      </c>
      <c r="BG274">
        <f>IFERROR(Table13[[#This Row],[DeltaC]]*Table13[[#This Row],[Open.Int]]*$A$4,0)</f>
        <v>0</v>
      </c>
      <c r="BH274">
        <f>IFERROR(Table13[[#This Row],[DeltaP]]*Table13[[#This Row],[Open.Int8]]*$A$4,0)</f>
        <v>0</v>
      </c>
      <c r="BI27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4">
        <f ca="1">Table13[[#This Row],[charmc]]+Table13[[#This Row],[charmp]]</f>
        <v>0</v>
      </c>
      <c r="BL27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4" s="78">
        <f ca="1">Table13[[#This Row],[call helper]]+Table13[[#This Row],[put helper]]</f>
        <v>0</v>
      </c>
      <c r="BP274" t="str">
        <f>RTD("tos.rtd", , "STRIKE", "."&amp;Table13[[#This Row],[Ticker]]&amp;Table13[[#This Row],[Expiry]]&amp;""&amp;"C"&amp;Table13[[#This Row],[Spot]]+Table13[[#This Row],[step]])</f>
        <v>N/A</v>
      </c>
    </row>
    <row r="275" spans="1:68" x14ac:dyDescent="0.25">
      <c r="A275" s="14">
        <f t="shared" ca="1" si="24"/>
        <v>-126.14810350076104</v>
      </c>
      <c r="C275" s="17"/>
      <c r="D275" t="b">
        <f>IF(
    ISNUMBER(Table13[[#This Row],[Strike]]),RTD("tos.rtd", , "OPEN_INT", "."&amp;Table13[[#This Row],[Ticker]]&amp;Table13[[#This Row],[Expiry]]&amp;""&amp;"C"&amp;Table13[[#This Row],[Strike]]))</f>
        <v>0</v>
      </c>
      <c r="E27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5" t="b">
        <f>IF(     ISNUMBER(Table13[[#This Row],[Strike]]),RTD("tos.rtd", , "DELTA", "."&amp;Table13[[#This Row],[Ticker]]&amp;Table13[[#This Row],[Expiry]]&amp;""&amp;"C"&amp;Table13[[#This Row],[Strike]]))</f>
        <v>0</v>
      </c>
      <c r="H275" s="17" t="b" cm="1">
        <f t="array" ref="H275">IF(
    ISNUMBER(Table13[[#This Row],[Strike]]),IndividualLegIVCore($A$4, Table13[[#This Row],[Strike]], 0.0411, Table13[[#This Row],[T]], ((Table13[[#This Row],[BIDC]]+Table13[[#This Row],[ASKC]])/2), TRUE))</f>
        <v>0</v>
      </c>
      <c r="I275" t="b">
        <f>IF(     ISNUMBER(Table13[[#This Row],[Strike]]),RTD("tos.rtd", , "BID", "."&amp;Table13[[#This Row],[Ticker]]&amp;Table13[[#This Row],[Expiry]]&amp;""&amp;"C"&amp;Table13[[#This Row],[Strike]]))</f>
        <v>0</v>
      </c>
      <c r="J275" t="b">
        <f>IF(     ISNUMBER(Table13[[#This Row],[Strike]]),RTD("tos.rtd", , "ASK", "."&amp;Table13[[#This Row],[Ticker]]&amp;Table13[[#This Row],[Expiry]]&amp;""&amp;"C"&amp;Table13[[#This Row],[Strike]]))</f>
        <v>0</v>
      </c>
      <c r="K27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5" s="17" cm="1">
        <f t="array" aca="1" ref="L27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5" s="1">
        <f t="shared" si="25"/>
        <v>0</v>
      </c>
      <c r="N275" t="b">
        <f t="shared" si="26"/>
        <v>0</v>
      </c>
      <c r="P275" s="17" t="b" cm="1">
        <f t="array" ref="P275">IF(
    ISNUMBER(Table13[[#This Row],[Strike]]),IndividualLegIVCore($A$4, Table13[[#This Row],[Strike]], 0.0411, Table13[[#This Row],[T]], ((Table13[[#This Row],[BIDP]]+Table13[[#This Row],[ASKP]])/2), FALSE))</f>
        <v>0</v>
      </c>
      <c r="Q275" t="b">
        <f>IF(     ISNUMBER(Table13[[#This Row],[Strike]]),RTD("tos.rtd", , "BID", "."&amp;Table13[[#This Row],[Ticker]]&amp;Table13[[#This Row],[Expiry]]&amp;""&amp;"P"&amp;Table13[[#This Row],[Strike]]))</f>
        <v>0</v>
      </c>
      <c r="R275" t="b">
        <f>IF(     ISNUMBER(Table13[[#This Row],[Strike]]),RTD("tos.rtd", , "ASK", "."&amp;Table13[[#This Row],[Ticker]]&amp;Table13[[#This Row],[Expiry]]&amp;""&amp;"P"&amp;Table13[[#This Row],[Strike]]))</f>
        <v>0</v>
      </c>
      <c r="S275" s="17"/>
      <c r="T275" t="b">
        <f>IF(     ISNUMBER(Table13[[#This Row],[Strike]]),RTD("tos.rtd", , "OPEN_INT", "."&amp;Table13[[#This Row],[Ticker]]&amp;Table13[[#This Row],[Expiry]]&amp;""&amp;"P"&amp;Table13[[#This Row],[Strike]]))</f>
        <v>0</v>
      </c>
      <c r="U27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5" t="b">
        <f>IF(     ISNUMBER(Table13[[#This Row],[Strike]]),RTD("tos.rtd", , "DELTA", "."&amp;Table13[[#This Row],[Ticker]]&amp;Table13[[#This Row],[Expiry]]&amp;""&amp;"P"&amp;Table13[[#This Row],[Strike]]))</f>
        <v>0</v>
      </c>
      <c r="Y275" s="19">
        <f>-19* IF($M$1="NDX", 10, IF(OR($M$1="SPX", $M$1="RUT"), 2, 1))</f>
        <v>-38</v>
      </c>
      <c r="Z275">
        <f ca="1">IFERROR(Table13[[#This Row],[call gamma]]*(Table13[[#This Row],[Open.Int]])*$A$4^2,0)</f>
        <v>0</v>
      </c>
      <c r="AA275">
        <f ca="1">IFERROR(((Table13[[#This Row],[Open.Int8]])*Table13[[#This Row],[Put gamma]])*-1*$A$4^2,0)</f>
        <v>0</v>
      </c>
      <c r="AB275">
        <f ca="1">(Table13[[#This Row],[Call Gex]]+Table13[[#This Row],[Put Gex]])</f>
        <v>0</v>
      </c>
      <c r="AC275">
        <f ca="1">Table13[[#This Row],[put delta adj]]+Table13[[#This Row],[call delta adj]]</f>
        <v>0</v>
      </c>
      <c r="AD275">
        <f ca="1">Table13[[#This Row],[Put Gex]]*Table13[[#This Row],[DeltaP]]*-1</f>
        <v>0</v>
      </c>
      <c r="AE275">
        <f ca="1">Table13[[#This Row],[Call Gex]]*Table13[[#This Row],[DeltaC]]</f>
        <v>0</v>
      </c>
      <c r="AF275">
        <f>IF(Table13[[#This Row],[DeltaC]]-ABS(Table13[[#This Row],[DeltaP]])="0","0.01",Table13[[#This Row],[DeltaC]]-ABS(Table13[[#This Row],[DeltaP]]))</f>
        <v>0</v>
      </c>
      <c r="AG275" t="e">
        <f ca="1">((LN($A$4/Table13[[#This Row],[Strike]]) + (0.411 + 0.5 * Table13[[#This Row],[IV Calc P]]^2) *Table13[[#This Row],[T]])) / (Table13[[#This Row],[IV Calc P]] * SQRT(Table13[[#This Row],[T]]))</f>
        <v>#DIV/0!</v>
      </c>
      <c r="AH275" t="e">
        <f ca="1">(LN($A$4/Table13[[#This Row],[Strike]]) + (0.411-0 + 0.5 * Table13[[#This Row],[IV Calc C]]^2) *Table13[[#This Row],[T]]) / (Table13[[#This Row],[IV Calc C]] * SQRT(Table13[[#This Row],[T]]))</f>
        <v>#DIV/0!</v>
      </c>
      <c r="AI275" t="e">
        <f ca="1">(EXP(-(AG275^2)/2)/SQRT(2*PI())*EXP(0*SQRT(Table13[[#This Row],[T]]))/$A$4*18%*SQRT(SQRT(Table13[[#This Row],[T]])))</f>
        <v>#DIV/0!</v>
      </c>
      <c r="AJ275" t="e">
        <f ca="1">(EXP(-(AH275^2)/2)/SQRT(2*PI())*EXP(0*SQRT(Table13[[#This Row],[T]]))/$A$4*18%*SQRT(SQRT(Table13[[#This Row],[T]])))</f>
        <v>#DIV/0!</v>
      </c>
      <c r="AK275" t="e">
        <f ca="1">Table13[[#This Row],[Call D1]]-Table13[[#This Row],[IV Calc C]]*SQRT(Table13[[#This Row],[T]])</f>
        <v>#DIV/0!</v>
      </c>
      <c r="AL275" t="e">
        <f ca="1">Table13[[#This Row],[Put D1]]-Table13[[#This Row],[IV Calc P]]*SQRT(Table13[[#This Row],[T]])</f>
        <v>#DIV/0!</v>
      </c>
      <c r="AM275" t="e">
        <f ca="1">EXP(-0.5*Table13[[#This Row],[Call D1]]^2)/SQRT(2*PI())</f>
        <v>#DIV/0!</v>
      </c>
      <c r="AN275" t="e">
        <f ca="1">EXP(-0.5*Table13[[#This Row],[Put D1]]^2)/SQRT(2*PI())</f>
        <v>#DIV/0!</v>
      </c>
      <c r="AO275">
        <f ca="1">IFERROR((EXP(0*Table13[[#This Row],[T]])*Table13[[#This Row],[call N(d1)]]*(Table13[[#This Row],[call d2]]/Table13[[#This Row],[IV Calc C]]))*Table13[[#This Row],[Open.Int]]*Table13[[#This Row],[DeltaC]],0)</f>
        <v>0</v>
      </c>
      <c r="AP275">
        <f ca="1">IFERROR((EXP(0*Table13[[#This Row],[T]])*Table13[[#This Row],[put N(d1)]]*(Table13[[#This Row],[put d2]]/Table13[[#This Row],[IV Calc P]]))*Table13[[#This Row],[Open.Int8]]*Table13[[#This Row],[DeltaP]]*-1,0)</f>
        <v>0</v>
      </c>
      <c r="AQ275">
        <f ca="1">((Table13[[#This Row],[call vanna]]+Table13[[#This Row],[put vanna]])*$A$4)</f>
        <v>0</v>
      </c>
      <c r="AR27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5" s="9" t="str" cm="1">
        <f t="array" ref="AT275">_xlfn.IFS(     $M$1="SPX","SPXW",     $M$1="RUT","RUTW",  $M$1="NDX","NDXP",   TRUE,$M$1 )</f>
        <v>SPXW</v>
      </c>
      <c r="AU275" s="2">
        <f t="shared" si="27"/>
        <v>6915</v>
      </c>
      <c r="AV275" t="str">
        <f t="shared" si="28"/>
        <v>000100</v>
      </c>
      <c r="AY27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5">
        <f>((Table13[[#This Row],[High C]]+Table13[[#This Row],[Low C]])/2)*Table13[[#This Row],[gammac]]*Table13[[#This Row],[Volume]]</f>
        <v>0</v>
      </c>
      <c r="BD275">
        <f>((Table13[[#This Row],[High P]]+Table13[[#This Row],[Low P]])/2)*Table13[[#This Row],[gammap]]*Table13[[#This Row],[Volume9]]*-1</f>
        <v>0</v>
      </c>
      <c r="BE275">
        <f>(Table13[[#This Row],[SgammaC]]+Table13[[#This Row],[SgammaP]])*$A$4*-100</f>
        <v>0</v>
      </c>
      <c r="BF275">
        <f>Table13[[#This Row],[DEXc]]+Table13[[#This Row],[DEXp]]</f>
        <v>0</v>
      </c>
      <c r="BG275">
        <f>IFERROR(Table13[[#This Row],[DeltaC]]*Table13[[#This Row],[Open.Int]]*$A$4,0)</f>
        <v>0</v>
      </c>
      <c r="BH275">
        <f>IFERROR(Table13[[#This Row],[DeltaP]]*Table13[[#This Row],[Open.Int8]]*$A$4,0)</f>
        <v>0</v>
      </c>
      <c r="BI27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5">
        <f ca="1">Table13[[#This Row],[charmc]]+Table13[[#This Row],[charmp]]</f>
        <v>0</v>
      </c>
      <c r="BL27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5" s="78">
        <f ca="1">Table13[[#This Row],[call helper]]+Table13[[#This Row],[put helper]]</f>
        <v>0</v>
      </c>
      <c r="BP275" t="str">
        <f>RTD("tos.rtd", , "STRIKE", "."&amp;Table13[[#This Row],[Ticker]]&amp;Table13[[#This Row],[Expiry]]&amp;""&amp;"C"&amp;Table13[[#This Row],[Spot]]+Table13[[#This Row],[step]])</f>
        <v>N/A</v>
      </c>
    </row>
    <row r="276" spans="1:68" x14ac:dyDescent="0.25">
      <c r="A276" s="14">
        <f t="shared" ca="1" si="24"/>
        <v>-126.14810350076104</v>
      </c>
      <c r="C276" s="17"/>
      <c r="D276" t="b">
        <f>IF(
    ISNUMBER(Table13[[#This Row],[Strike]]),RTD("tos.rtd", , "OPEN_INT", "."&amp;Table13[[#This Row],[Ticker]]&amp;Table13[[#This Row],[Expiry]]&amp;""&amp;"C"&amp;Table13[[#This Row],[Strike]]))</f>
        <v>0</v>
      </c>
      <c r="E27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6" t="b">
        <f>IF(     ISNUMBER(Table13[[#This Row],[Strike]]),RTD("tos.rtd", , "DELTA", "."&amp;Table13[[#This Row],[Ticker]]&amp;Table13[[#This Row],[Expiry]]&amp;""&amp;"C"&amp;Table13[[#This Row],[Strike]]))</f>
        <v>0</v>
      </c>
      <c r="H276" s="17" t="b" cm="1">
        <f t="array" ref="H276">IF(
    ISNUMBER(Table13[[#This Row],[Strike]]),IndividualLegIVCore($A$4, Table13[[#This Row],[Strike]], 0.0411, Table13[[#This Row],[T]], ((Table13[[#This Row],[BIDC]]+Table13[[#This Row],[ASKC]])/2), TRUE))</f>
        <v>0</v>
      </c>
      <c r="I276" t="b">
        <f>IF(     ISNUMBER(Table13[[#This Row],[Strike]]),RTD("tos.rtd", , "BID", "."&amp;Table13[[#This Row],[Ticker]]&amp;Table13[[#This Row],[Expiry]]&amp;""&amp;"C"&amp;Table13[[#This Row],[Strike]]))</f>
        <v>0</v>
      </c>
      <c r="J276" t="b">
        <f>IF(     ISNUMBER(Table13[[#This Row],[Strike]]),RTD("tos.rtd", , "ASK", "."&amp;Table13[[#This Row],[Ticker]]&amp;Table13[[#This Row],[Expiry]]&amp;""&amp;"C"&amp;Table13[[#This Row],[Strike]]))</f>
        <v>0</v>
      </c>
      <c r="K27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6" s="17" cm="1">
        <f t="array" aca="1" ref="L27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6" s="1">
        <f t="shared" si="25"/>
        <v>0</v>
      </c>
      <c r="N276" t="b">
        <f t="shared" si="26"/>
        <v>0</v>
      </c>
      <c r="P276" s="17" t="b" cm="1">
        <f t="array" ref="P276">IF(
    ISNUMBER(Table13[[#This Row],[Strike]]),IndividualLegIVCore($A$4, Table13[[#This Row],[Strike]], 0.0411, Table13[[#This Row],[T]], ((Table13[[#This Row],[BIDP]]+Table13[[#This Row],[ASKP]])/2), FALSE))</f>
        <v>0</v>
      </c>
      <c r="Q276" t="b">
        <f>IF(     ISNUMBER(Table13[[#This Row],[Strike]]),RTD("tos.rtd", , "BID", "."&amp;Table13[[#This Row],[Ticker]]&amp;Table13[[#This Row],[Expiry]]&amp;""&amp;"P"&amp;Table13[[#This Row],[Strike]]))</f>
        <v>0</v>
      </c>
      <c r="R276" t="b">
        <f>IF(     ISNUMBER(Table13[[#This Row],[Strike]]),RTD("tos.rtd", , "ASK", "."&amp;Table13[[#This Row],[Ticker]]&amp;Table13[[#This Row],[Expiry]]&amp;""&amp;"P"&amp;Table13[[#This Row],[Strike]]))</f>
        <v>0</v>
      </c>
      <c r="S276" s="17"/>
      <c r="T276" t="b">
        <f>IF(     ISNUMBER(Table13[[#This Row],[Strike]]),RTD("tos.rtd", , "OPEN_INT", "."&amp;Table13[[#This Row],[Ticker]]&amp;Table13[[#This Row],[Expiry]]&amp;""&amp;"P"&amp;Table13[[#This Row],[Strike]]))</f>
        <v>0</v>
      </c>
      <c r="U27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6" t="b">
        <f>IF(     ISNUMBER(Table13[[#This Row],[Strike]]),RTD("tos.rtd", , "DELTA", "."&amp;Table13[[#This Row],[Ticker]]&amp;Table13[[#This Row],[Expiry]]&amp;""&amp;"P"&amp;Table13[[#This Row],[Strike]]))</f>
        <v>0</v>
      </c>
      <c r="Y276" s="19">
        <f>-18.5* IF($M$1="NDX", 10, IF(OR($M$1="SPX", $M$1="RUT"), 2, 1))</f>
        <v>-37</v>
      </c>
      <c r="Z276">
        <f ca="1">IFERROR(Table13[[#This Row],[call gamma]]*(Table13[[#This Row],[Open.Int]])*$A$4^2,0)</f>
        <v>0</v>
      </c>
      <c r="AA276">
        <f ca="1">IFERROR(((Table13[[#This Row],[Open.Int8]])*Table13[[#This Row],[Put gamma]])*-1*$A$4^2,0)</f>
        <v>0</v>
      </c>
      <c r="AB276">
        <f ca="1">(Table13[[#This Row],[Call Gex]]+Table13[[#This Row],[Put Gex]])</f>
        <v>0</v>
      </c>
      <c r="AC276">
        <f ca="1">Table13[[#This Row],[put delta adj]]+Table13[[#This Row],[call delta adj]]</f>
        <v>0</v>
      </c>
      <c r="AD276">
        <f ca="1">Table13[[#This Row],[Put Gex]]*Table13[[#This Row],[DeltaP]]*-1</f>
        <v>0</v>
      </c>
      <c r="AE276">
        <f ca="1">Table13[[#This Row],[Call Gex]]*Table13[[#This Row],[DeltaC]]</f>
        <v>0</v>
      </c>
      <c r="AF276">
        <f>IF(Table13[[#This Row],[DeltaC]]-ABS(Table13[[#This Row],[DeltaP]])="0","0.01",Table13[[#This Row],[DeltaC]]-ABS(Table13[[#This Row],[DeltaP]]))</f>
        <v>0</v>
      </c>
      <c r="AG276" t="e">
        <f ca="1">((LN($A$4/Table13[[#This Row],[Strike]]) + (0.411 + 0.5 * Table13[[#This Row],[IV Calc P]]^2) *Table13[[#This Row],[T]])) / (Table13[[#This Row],[IV Calc P]] * SQRT(Table13[[#This Row],[T]]))</f>
        <v>#DIV/0!</v>
      </c>
      <c r="AH276" t="e">
        <f ca="1">(LN($A$4/Table13[[#This Row],[Strike]]) + (0.411-0 + 0.5 * Table13[[#This Row],[IV Calc C]]^2) *Table13[[#This Row],[T]]) / (Table13[[#This Row],[IV Calc C]] * SQRT(Table13[[#This Row],[T]]))</f>
        <v>#DIV/0!</v>
      </c>
      <c r="AI276" t="e">
        <f ca="1">(EXP(-(AG276^2)/2)/SQRT(2*PI())*EXP(0*SQRT(Table13[[#This Row],[T]]))/$A$4*18%*SQRT(SQRT(Table13[[#This Row],[T]])))</f>
        <v>#DIV/0!</v>
      </c>
      <c r="AJ276" t="e">
        <f ca="1">(EXP(-(AH276^2)/2)/SQRT(2*PI())*EXP(0*SQRT(Table13[[#This Row],[T]]))/$A$4*18%*SQRT(SQRT(Table13[[#This Row],[T]])))</f>
        <v>#DIV/0!</v>
      </c>
      <c r="AK276" t="e">
        <f ca="1">Table13[[#This Row],[Call D1]]-Table13[[#This Row],[IV Calc C]]*SQRT(Table13[[#This Row],[T]])</f>
        <v>#DIV/0!</v>
      </c>
      <c r="AL276" t="e">
        <f ca="1">Table13[[#This Row],[Put D1]]-Table13[[#This Row],[IV Calc P]]*SQRT(Table13[[#This Row],[T]])</f>
        <v>#DIV/0!</v>
      </c>
      <c r="AM276" t="e">
        <f ca="1">EXP(-0.5*Table13[[#This Row],[Call D1]]^2)/SQRT(2*PI())</f>
        <v>#DIV/0!</v>
      </c>
      <c r="AN276" t="e">
        <f ca="1">EXP(-0.5*Table13[[#This Row],[Put D1]]^2)/SQRT(2*PI())</f>
        <v>#DIV/0!</v>
      </c>
      <c r="AO276">
        <f ca="1">IFERROR((EXP(0*Table13[[#This Row],[T]])*Table13[[#This Row],[call N(d1)]]*(Table13[[#This Row],[call d2]]/Table13[[#This Row],[IV Calc C]]))*Table13[[#This Row],[Open.Int]]*Table13[[#This Row],[DeltaC]],0)</f>
        <v>0</v>
      </c>
      <c r="AP276">
        <f ca="1">IFERROR((EXP(0*Table13[[#This Row],[T]])*Table13[[#This Row],[put N(d1)]]*(Table13[[#This Row],[put d2]]/Table13[[#This Row],[IV Calc P]]))*Table13[[#This Row],[Open.Int8]]*Table13[[#This Row],[DeltaP]]*-1,0)</f>
        <v>0</v>
      </c>
      <c r="AQ276">
        <f ca="1">((Table13[[#This Row],[call vanna]]+Table13[[#This Row],[put vanna]])*$A$4)</f>
        <v>0</v>
      </c>
      <c r="AR27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6" s="9" t="str" cm="1">
        <f t="array" ref="AT276">_xlfn.IFS(     $M$1="SPX","SPXW",     $M$1="RUT","RUTW",  $M$1="NDX","NDXP",   TRUE,$M$1 )</f>
        <v>SPXW</v>
      </c>
      <c r="AU276" s="2">
        <f t="shared" si="27"/>
        <v>6915</v>
      </c>
      <c r="AV276" t="str">
        <f t="shared" si="28"/>
        <v>000100</v>
      </c>
      <c r="AY27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6">
        <f>((Table13[[#This Row],[High C]]+Table13[[#This Row],[Low C]])/2)*Table13[[#This Row],[gammac]]*Table13[[#This Row],[Volume]]</f>
        <v>0</v>
      </c>
      <c r="BD276">
        <f>((Table13[[#This Row],[High P]]+Table13[[#This Row],[Low P]])/2)*Table13[[#This Row],[gammap]]*Table13[[#This Row],[Volume9]]*-1</f>
        <v>0</v>
      </c>
      <c r="BE276">
        <f>(Table13[[#This Row],[SgammaC]]+Table13[[#This Row],[SgammaP]])*$A$4*-100</f>
        <v>0</v>
      </c>
      <c r="BF276">
        <f>Table13[[#This Row],[DEXc]]+Table13[[#This Row],[DEXp]]</f>
        <v>0</v>
      </c>
      <c r="BG276">
        <f>IFERROR(Table13[[#This Row],[DeltaC]]*Table13[[#This Row],[Open.Int]]*$A$4,0)</f>
        <v>0</v>
      </c>
      <c r="BH276">
        <f>IFERROR(Table13[[#This Row],[DeltaP]]*Table13[[#This Row],[Open.Int8]]*$A$4,0)</f>
        <v>0</v>
      </c>
      <c r="BI27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6">
        <f ca="1">Table13[[#This Row],[charmc]]+Table13[[#This Row],[charmp]]</f>
        <v>0</v>
      </c>
      <c r="BL27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6" s="78">
        <f ca="1">Table13[[#This Row],[call helper]]+Table13[[#This Row],[put helper]]</f>
        <v>0</v>
      </c>
      <c r="BP276" t="str">
        <f>RTD("tos.rtd", , "STRIKE", "."&amp;Table13[[#This Row],[Ticker]]&amp;Table13[[#This Row],[Expiry]]&amp;""&amp;"C"&amp;Table13[[#This Row],[Spot]]+Table13[[#This Row],[step]])</f>
        <v>N/A</v>
      </c>
    </row>
    <row r="277" spans="1:68" x14ac:dyDescent="0.25">
      <c r="A277" s="14">
        <f t="shared" ref="A277:A340" ca="1" si="29">$P$3</f>
        <v>-126.14810350076104</v>
      </c>
      <c r="C277" s="17"/>
      <c r="D277" t="b">
        <f>IF(
    ISNUMBER(Table13[[#This Row],[Strike]]),RTD("tos.rtd", , "OPEN_INT", "."&amp;Table13[[#This Row],[Ticker]]&amp;Table13[[#This Row],[Expiry]]&amp;""&amp;"C"&amp;Table13[[#This Row],[Strike]]))</f>
        <v>0</v>
      </c>
      <c r="E27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7" t="b">
        <f>IF(     ISNUMBER(Table13[[#This Row],[Strike]]),RTD("tos.rtd", , "DELTA", "."&amp;Table13[[#This Row],[Ticker]]&amp;Table13[[#This Row],[Expiry]]&amp;""&amp;"C"&amp;Table13[[#This Row],[Strike]]))</f>
        <v>0</v>
      </c>
      <c r="H277" s="17" t="b" cm="1">
        <f t="array" ref="H277">IF(
    ISNUMBER(Table13[[#This Row],[Strike]]),IndividualLegIVCore($A$4, Table13[[#This Row],[Strike]], 0.0411, Table13[[#This Row],[T]], ((Table13[[#This Row],[BIDC]]+Table13[[#This Row],[ASKC]])/2), TRUE))</f>
        <v>0</v>
      </c>
      <c r="I277" t="b">
        <f>IF(     ISNUMBER(Table13[[#This Row],[Strike]]),RTD("tos.rtd", , "BID", "."&amp;Table13[[#This Row],[Ticker]]&amp;Table13[[#This Row],[Expiry]]&amp;""&amp;"C"&amp;Table13[[#This Row],[Strike]]))</f>
        <v>0</v>
      </c>
      <c r="J277" t="b">
        <f>IF(     ISNUMBER(Table13[[#This Row],[Strike]]),RTD("tos.rtd", , "ASK", "."&amp;Table13[[#This Row],[Ticker]]&amp;Table13[[#This Row],[Expiry]]&amp;""&amp;"C"&amp;Table13[[#This Row],[Strike]]))</f>
        <v>0</v>
      </c>
      <c r="K27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7" s="17" cm="1">
        <f t="array" aca="1" ref="L27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7" s="1">
        <f t="shared" ref="M277:M340" si="30">$P$1</f>
        <v>0</v>
      </c>
      <c r="N277" t="b">
        <f t="shared" ref="N277:N340" si="31">IF(ISNUMBER($BP277), $BP277, FALSE)</f>
        <v>0</v>
      </c>
      <c r="P277" s="17" t="b" cm="1">
        <f t="array" ref="P277">IF(
    ISNUMBER(Table13[[#This Row],[Strike]]),IndividualLegIVCore($A$4, Table13[[#This Row],[Strike]], 0.0411, Table13[[#This Row],[T]], ((Table13[[#This Row],[BIDP]]+Table13[[#This Row],[ASKP]])/2), FALSE))</f>
        <v>0</v>
      </c>
      <c r="Q277" t="b">
        <f>IF(     ISNUMBER(Table13[[#This Row],[Strike]]),RTD("tos.rtd", , "BID", "."&amp;Table13[[#This Row],[Ticker]]&amp;Table13[[#This Row],[Expiry]]&amp;""&amp;"P"&amp;Table13[[#This Row],[Strike]]))</f>
        <v>0</v>
      </c>
      <c r="R277" t="b">
        <f>IF(     ISNUMBER(Table13[[#This Row],[Strike]]),RTD("tos.rtd", , "ASK", "."&amp;Table13[[#This Row],[Ticker]]&amp;Table13[[#This Row],[Expiry]]&amp;""&amp;"P"&amp;Table13[[#This Row],[Strike]]))</f>
        <v>0</v>
      </c>
      <c r="S277" s="17"/>
      <c r="T277" t="b">
        <f>IF(     ISNUMBER(Table13[[#This Row],[Strike]]),RTD("tos.rtd", , "OPEN_INT", "."&amp;Table13[[#This Row],[Ticker]]&amp;Table13[[#This Row],[Expiry]]&amp;""&amp;"P"&amp;Table13[[#This Row],[Strike]]))</f>
        <v>0</v>
      </c>
      <c r="U27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7" t="b">
        <f>IF(     ISNUMBER(Table13[[#This Row],[Strike]]),RTD("tos.rtd", , "DELTA", "."&amp;Table13[[#This Row],[Ticker]]&amp;Table13[[#This Row],[Expiry]]&amp;""&amp;"P"&amp;Table13[[#This Row],[Strike]]))</f>
        <v>0</v>
      </c>
      <c r="Y277" s="19">
        <f>-18* IF($M$1="NDX", 10, IF(OR($M$1="SPX", $M$1="RUT"), 2, 1))</f>
        <v>-36</v>
      </c>
      <c r="Z277">
        <f ca="1">IFERROR(Table13[[#This Row],[call gamma]]*(Table13[[#This Row],[Open.Int]])*$A$4^2,0)</f>
        <v>0</v>
      </c>
      <c r="AA277">
        <f ca="1">IFERROR(((Table13[[#This Row],[Open.Int8]])*Table13[[#This Row],[Put gamma]])*-1*$A$4^2,0)</f>
        <v>0</v>
      </c>
      <c r="AB277">
        <f ca="1">(Table13[[#This Row],[Call Gex]]+Table13[[#This Row],[Put Gex]])</f>
        <v>0</v>
      </c>
      <c r="AC277">
        <f ca="1">Table13[[#This Row],[put delta adj]]+Table13[[#This Row],[call delta adj]]</f>
        <v>0</v>
      </c>
      <c r="AD277">
        <f ca="1">Table13[[#This Row],[Put Gex]]*Table13[[#This Row],[DeltaP]]*-1</f>
        <v>0</v>
      </c>
      <c r="AE277">
        <f ca="1">Table13[[#This Row],[Call Gex]]*Table13[[#This Row],[DeltaC]]</f>
        <v>0</v>
      </c>
      <c r="AF277">
        <f>IF(Table13[[#This Row],[DeltaC]]-ABS(Table13[[#This Row],[DeltaP]])="0","0.01",Table13[[#This Row],[DeltaC]]-ABS(Table13[[#This Row],[DeltaP]]))</f>
        <v>0</v>
      </c>
      <c r="AG277" t="e">
        <f ca="1">((LN($A$4/Table13[[#This Row],[Strike]]) + (0.411 + 0.5 * Table13[[#This Row],[IV Calc P]]^2) *Table13[[#This Row],[T]])) / (Table13[[#This Row],[IV Calc P]] * SQRT(Table13[[#This Row],[T]]))</f>
        <v>#DIV/0!</v>
      </c>
      <c r="AH277" t="e">
        <f ca="1">(LN($A$4/Table13[[#This Row],[Strike]]) + (0.411-0 + 0.5 * Table13[[#This Row],[IV Calc C]]^2) *Table13[[#This Row],[T]]) / (Table13[[#This Row],[IV Calc C]] * SQRT(Table13[[#This Row],[T]]))</f>
        <v>#DIV/0!</v>
      </c>
      <c r="AI277" t="e">
        <f ca="1">(EXP(-(AG277^2)/2)/SQRT(2*PI())*EXP(0*SQRT(Table13[[#This Row],[T]]))/$A$4*18%*SQRT(SQRT(Table13[[#This Row],[T]])))</f>
        <v>#DIV/0!</v>
      </c>
      <c r="AJ277" t="e">
        <f ca="1">(EXP(-(AH277^2)/2)/SQRT(2*PI())*EXP(0*SQRT(Table13[[#This Row],[T]]))/$A$4*18%*SQRT(SQRT(Table13[[#This Row],[T]])))</f>
        <v>#DIV/0!</v>
      </c>
      <c r="AK277" t="e">
        <f ca="1">Table13[[#This Row],[Call D1]]-Table13[[#This Row],[IV Calc C]]*SQRT(Table13[[#This Row],[T]])</f>
        <v>#DIV/0!</v>
      </c>
      <c r="AL277" t="e">
        <f ca="1">Table13[[#This Row],[Put D1]]-Table13[[#This Row],[IV Calc P]]*SQRT(Table13[[#This Row],[T]])</f>
        <v>#DIV/0!</v>
      </c>
      <c r="AM277" t="e">
        <f ca="1">EXP(-0.5*Table13[[#This Row],[Call D1]]^2)/SQRT(2*PI())</f>
        <v>#DIV/0!</v>
      </c>
      <c r="AN277" t="e">
        <f ca="1">EXP(-0.5*Table13[[#This Row],[Put D1]]^2)/SQRT(2*PI())</f>
        <v>#DIV/0!</v>
      </c>
      <c r="AO277">
        <f ca="1">IFERROR((EXP(0*Table13[[#This Row],[T]])*Table13[[#This Row],[call N(d1)]]*(Table13[[#This Row],[call d2]]/Table13[[#This Row],[IV Calc C]]))*Table13[[#This Row],[Open.Int]]*Table13[[#This Row],[DeltaC]],0)</f>
        <v>0</v>
      </c>
      <c r="AP277">
        <f ca="1">IFERROR((EXP(0*Table13[[#This Row],[T]])*Table13[[#This Row],[put N(d1)]]*(Table13[[#This Row],[put d2]]/Table13[[#This Row],[IV Calc P]]))*Table13[[#This Row],[Open.Int8]]*Table13[[#This Row],[DeltaP]]*-1,0)</f>
        <v>0</v>
      </c>
      <c r="AQ277">
        <f ca="1">((Table13[[#This Row],[call vanna]]+Table13[[#This Row],[put vanna]])*$A$4)</f>
        <v>0</v>
      </c>
      <c r="AR27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7" s="9" t="str" cm="1">
        <f t="array" ref="AT277">_xlfn.IFS(     $M$1="SPX","SPXW",     $M$1="RUT","RUTW",  $M$1="NDX","NDXP",   TRUE,$M$1 )</f>
        <v>SPXW</v>
      </c>
      <c r="AU277" s="2">
        <f t="shared" ref="AU277:AU340" si="32">$N$1</f>
        <v>6915</v>
      </c>
      <c r="AV277" t="str">
        <f t="shared" ref="AV277:AV340" si="33">$P$2</f>
        <v>000100</v>
      </c>
      <c r="AY27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7">
        <f>((Table13[[#This Row],[High C]]+Table13[[#This Row],[Low C]])/2)*Table13[[#This Row],[gammac]]*Table13[[#This Row],[Volume]]</f>
        <v>0</v>
      </c>
      <c r="BD277">
        <f>((Table13[[#This Row],[High P]]+Table13[[#This Row],[Low P]])/2)*Table13[[#This Row],[gammap]]*Table13[[#This Row],[Volume9]]*-1</f>
        <v>0</v>
      </c>
      <c r="BE277">
        <f>(Table13[[#This Row],[SgammaC]]+Table13[[#This Row],[SgammaP]])*$A$4*-100</f>
        <v>0</v>
      </c>
      <c r="BF277">
        <f>Table13[[#This Row],[DEXc]]+Table13[[#This Row],[DEXp]]</f>
        <v>0</v>
      </c>
      <c r="BG277">
        <f>IFERROR(Table13[[#This Row],[DeltaC]]*Table13[[#This Row],[Open.Int]]*$A$4,0)</f>
        <v>0</v>
      </c>
      <c r="BH277">
        <f>IFERROR(Table13[[#This Row],[DeltaP]]*Table13[[#This Row],[Open.Int8]]*$A$4,0)</f>
        <v>0</v>
      </c>
      <c r="BI27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7">
        <f ca="1">Table13[[#This Row],[charmc]]+Table13[[#This Row],[charmp]]</f>
        <v>0</v>
      </c>
      <c r="BL27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7" s="78">
        <f ca="1">Table13[[#This Row],[call helper]]+Table13[[#This Row],[put helper]]</f>
        <v>0</v>
      </c>
      <c r="BP277" t="str">
        <f>RTD("tos.rtd", , "STRIKE", "."&amp;Table13[[#This Row],[Ticker]]&amp;Table13[[#This Row],[Expiry]]&amp;""&amp;"C"&amp;Table13[[#This Row],[Spot]]+Table13[[#This Row],[step]])</f>
        <v>N/A</v>
      </c>
    </row>
    <row r="278" spans="1:68" x14ac:dyDescent="0.25">
      <c r="A278" s="14">
        <f t="shared" ca="1" si="29"/>
        <v>-126.14810350076104</v>
      </c>
      <c r="C278" s="17"/>
      <c r="D278" t="b">
        <f>IF(
    ISNUMBER(Table13[[#This Row],[Strike]]),RTD("tos.rtd", , "OPEN_INT", "."&amp;Table13[[#This Row],[Ticker]]&amp;Table13[[#This Row],[Expiry]]&amp;""&amp;"C"&amp;Table13[[#This Row],[Strike]]))</f>
        <v>0</v>
      </c>
      <c r="E27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8" t="b">
        <f>IF(     ISNUMBER(Table13[[#This Row],[Strike]]),RTD("tos.rtd", , "DELTA", "."&amp;Table13[[#This Row],[Ticker]]&amp;Table13[[#This Row],[Expiry]]&amp;""&amp;"C"&amp;Table13[[#This Row],[Strike]]))</f>
        <v>0</v>
      </c>
      <c r="H278" s="17" t="b" cm="1">
        <f t="array" ref="H278">IF(
    ISNUMBER(Table13[[#This Row],[Strike]]),IndividualLegIVCore($A$4, Table13[[#This Row],[Strike]], 0.0411, Table13[[#This Row],[T]], ((Table13[[#This Row],[BIDC]]+Table13[[#This Row],[ASKC]])/2), TRUE))</f>
        <v>0</v>
      </c>
      <c r="I278" t="b">
        <f>IF(     ISNUMBER(Table13[[#This Row],[Strike]]),RTD("tos.rtd", , "BID", "."&amp;Table13[[#This Row],[Ticker]]&amp;Table13[[#This Row],[Expiry]]&amp;""&amp;"C"&amp;Table13[[#This Row],[Strike]]))</f>
        <v>0</v>
      </c>
      <c r="J278" t="b">
        <f>IF(     ISNUMBER(Table13[[#This Row],[Strike]]),RTD("tos.rtd", , "ASK", "."&amp;Table13[[#This Row],[Ticker]]&amp;Table13[[#This Row],[Expiry]]&amp;""&amp;"C"&amp;Table13[[#This Row],[Strike]]))</f>
        <v>0</v>
      </c>
      <c r="K27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8" s="17" cm="1">
        <f t="array" aca="1" ref="L27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8" s="1">
        <f t="shared" si="30"/>
        <v>0</v>
      </c>
      <c r="N278" t="b">
        <f t="shared" si="31"/>
        <v>0</v>
      </c>
      <c r="P278" s="17" t="b" cm="1">
        <f t="array" ref="P278">IF(
    ISNUMBER(Table13[[#This Row],[Strike]]),IndividualLegIVCore($A$4, Table13[[#This Row],[Strike]], 0.0411, Table13[[#This Row],[T]], ((Table13[[#This Row],[BIDP]]+Table13[[#This Row],[ASKP]])/2), FALSE))</f>
        <v>0</v>
      </c>
      <c r="Q278" t="b">
        <f>IF(     ISNUMBER(Table13[[#This Row],[Strike]]),RTD("tos.rtd", , "BID", "."&amp;Table13[[#This Row],[Ticker]]&amp;Table13[[#This Row],[Expiry]]&amp;""&amp;"P"&amp;Table13[[#This Row],[Strike]]))</f>
        <v>0</v>
      </c>
      <c r="R278" t="b">
        <f>IF(     ISNUMBER(Table13[[#This Row],[Strike]]),RTD("tos.rtd", , "ASK", "."&amp;Table13[[#This Row],[Ticker]]&amp;Table13[[#This Row],[Expiry]]&amp;""&amp;"P"&amp;Table13[[#This Row],[Strike]]))</f>
        <v>0</v>
      </c>
      <c r="S278" s="17"/>
      <c r="T278" t="b">
        <f>IF(     ISNUMBER(Table13[[#This Row],[Strike]]),RTD("tos.rtd", , "OPEN_INT", "."&amp;Table13[[#This Row],[Ticker]]&amp;Table13[[#This Row],[Expiry]]&amp;""&amp;"P"&amp;Table13[[#This Row],[Strike]]))</f>
        <v>0</v>
      </c>
      <c r="U27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8" t="b">
        <f>IF(     ISNUMBER(Table13[[#This Row],[Strike]]),RTD("tos.rtd", , "DELTA", "."&amp;Table13[[#This Row],[Ticker]]&amp;Table13[[#This Row],[Expiry]]&amp;""&amp;"P"&amp;Table13[[#This Row],[Strike]]))</f>
        <v>0</v>
      </c>
      <c r="Y278" s="19">
        <f>-17.5* IF($M$1="NDX", 10, IF(OR($M$1="SPX", $M$1="RUT"), 2, 1))</f>
        <v>-35</v>
      </c>
      <c r="Z278">
        <f ca="1">IFERROR(Table13[[#This Row],[call gamma]]*(Table13[[#This Row],[Open.Int]])*$A$4^2,0)</f>
        <v>0</v>
      </c>
      <c r="AA278">
        <f ca="1">IFERROR(((Table13[[#This Row],[Open.Int8]])*Table13[[#This Row],[Put gamma]])*-1*$A$4^2,0)</f>
        <v>0</v>
      </c>
      <c r="AB278">
        <f ca="1">(Table13[[#This Row],[Call Gex]]+Table13[[#This Row],[Put Gex]])</f>
        <v>0</v>
      </c>
      <c r="AC278">
        <f ca="1">Table13[[#This Row],[put delta adj]]+Table13[[#This Row],[call delta adj]]</f>
        <v>0</v>
      </c>
      <c r="AD278">
        <f ca="1">Table13[[#This Row],[Put Gex]]*Table13[[#This Row],[DeltaP]]*-1</f>
        <v>0</v>
      </c>
      <c r="AE278">
        <f ca="1">Table13[[#This Row],[Call Gex]]*Table13[[#This Row],[DeltaC]]</f>
        <v>0</v>
      </c>
      <c r="AF278">
        <f>IF(Table13[[#This Row],[DeltaC]]-ABS(Table13[[#This Row],[DeltaP]])="0","0.01",Table13[[#This Row],[DeltaC]]-ABS(Table13[[#This Row],[DeltaP]]))</f>
        <v>0</v>
      </c>
      <c r="AG278" t="e">
        <f ca="1">((LN($A$4/Table13[[#This Row],[Strike]]) + (0.411 + 0.5 * Table13[[#This Row],[IV Calc P]]^2) *Table13[[#This Row],[T]])) / (Table13[[#This Row],[IV Calc P]] * SQRT(Table13[[#This Row],[T]]))</f>
        <v>#DIV/0!</v>
      </c>
      <c r="AH278" t="e">
        <f ca="1">(LN($A$4/Table13[[#This Row],[Strike]]) + (0.411-0 + 0.5 * Table13[[#This Row],[IV Calc C]]^2) *Table13[[#This Row],[T]]) / (Table13[[#This Row],[IV Calc C]] * SQRT(Table13[[#This Row],[T]]))</f>
        <v>#DIV/0!</v>
      </c>
      <c r="AI278" t="e">
        <f ca="1">(EXP(-(AG278^2)/2)/SQRT(2*PI())*EXP(0*SQRT(Table13[[#This Row],[T]]))/$A$4*18%*SQRT(SQRT(Table13[[#This Row],[T]])))</f>
        <v>#DIV/0!</v>
      </c>
      <c r="AJ278" t="e">
        <f ca="1">(EXP(-(AH278^2)/2)/SQRT(2*PI())*EXP(0*SQRT(Table13[[#This Row],[T]]))/$A$4*18%*SQRT(SQRT(Table13[[#This Row],[T]])))</f>
        <v>#DIV/0!</v>
      </c>
      <c r="AK278" t="e">
        <f ca="1">Table13[[#This Row],[Call D1]]-Table13[[#This Row],[IV Calc C]]*SQRT(Table13[[#This Row],[T]])</f>
        <v>#DIV/0!</v>
      </c>
      <c r="AL278" t="e">
        <f ca="1">Table13[[#This Row],[Put D1]]-Table13[[#This Row],[IV Calc P]]*SQRT(Table13[[#This Row],[T]])</f>
        <v>#DIV/0!</v>
      </c>
      <c r="AM278" t="e">
        <f ca="1">EXP(-0.5*Table13[[#This Row],[Call D1]]^2)/SQRT(2*PI())</f>
        <v>#DIV/0!</v>
      </c>
      <c r="AN278" t="e">
        <f ca="1">EXP(-0.5*Table13[[#This Row],[Put D1]]^2)/SQRT(2*PI())</f>
        <v>#DIV/0!</v>
      </c>
      <c r="AO278">
        <f ca="1">IFERROR((EXP(0*Table13[[#This Row],[T]])*Table13[[#This Row],[call N(d1)]]*(Table13[[#This Row],[call d2]]/Table13[[#This Row],[IV Calc C]]))*Table13[[#This Row],[Open.Int]]*Table13[[#This Row],[DeltaC]],0)</f>
        <v>0</v>
      </c>
      <c r="AP278">
        <f ca="1">IFERROR((EXP(0*Table13[[#This Row],[T]])*Table13[[#This Row],[put N(d1)]]*(Table13[[#This Row],[put d2]]/Table13[[#This Row],[IV Calc P]]))*Table13[[#This Row],[Open.Int8]]*Table13[[#This Row],[DeltaP]]*-1,0)</f>
        <v>0</v>
      </c>
      <c r="AQ278">
        <f ca="1">((Table13[[#This Row],[call vanna]]+Table13[[#This Row],[put vanna]])*$A$4)</f>
        <v>0</v>
      </c>
      <c r="AR27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8" s="9" t="str" cm="1">
        <f t="array" ref="AT278">_xlfn.IFS(     $M$1="SPX","SPXW",     $M$1="RUT","RUTW",  $M$1="NDX","NDXP",   TRUE,$M$1 )</f>
        <v>SPXW</v>
      </c>
      <c r="AU278" s="2">
        <f t="shared" si="32"/>
        <v>6915</v>
      </c>
      <c r="AV278" t="str">
        <f t="shared" si="33"/>
        <v>000100</v>
      </c>
      <c r="AY27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8">
        <f>((Table13[[#This Row],[High C]]+Table13[[#This Row],[Low C]])/2)*Table13[[#This Row],[gammac]]*Table13[[#This Row],[Volume]]</f>
        <v>0</v>
      </c>
      <c r="BD278">
        <f>((Table13[[#This Row],[High P]]+Table13[[#This Row],[Low P]])/2)*Table13[[#This Row],[gammap]]*Table13[[#This Row],[Volume9]]*-1</f>
        <v>0</v>
      </c>
      <c r="BE278">
        <f>(Table13[[#This Row],[SgammaC]]+Table13[[#This Row],[SgammaP]])*$A$4*-100</f>
        <v>0</v>
      </c>
      <c r="BF278">
        <f>Table13[[#This Row],[DEXc]]+Table13[[#This Row],[DEXp]]</f>
        <v>0</v>
      </c>
      <c r="BG278">
        <f>IFERROR(Table13[[#This Row],[DeltaC]]*Table13[[#This Row],[Open.Int]]*$A$4,0)</f>
        <v>0</v>
      </c>
      <c r="BH278">
        <f>IFERROR(Table13[[#This Row],[DeltaP]]*Table13[[#This Row],[Open.Int8]]*$A$4,0)</f>
        <v>0</v>
      </c>
      <c r="BI27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8">
        <f ca="1">Table13[[#This Row],[charmc]]+Table13[[#This Row],[charmp]]</f>
        <v>0</v>
      </c>
      <c r="BL27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8" s="78">
        <f ca="1">Table13[[#This Row],[call helper]]+Table13[[#This Row],[put helper]]</f>
        <v>0</v>
      </c>
      <c r="BP278" t="str">
        <f>RTD("tos.rtd", , "STRIKE", "."&amp;Table13[[#This Row],[Ticker]]&amp;Table13[[#This Row],[Expiry]]&amp;""&amp;"C"&amp;Table13[[#This Row],[Spot]]+Table13[[#This Row],[step]])</f>
        <v>N/A</v>
      </c>
    </row>
    <row r="279" spans="1:68" x14ac:dyDescent="0.25">
      <c r="A279" s="14">
        <f t="shared" ca="1" si="29"/>
        <v>-126.14810350076104</v>
      </c>
      <c r="C279" s="17"/>
      <c r="D279" t="b">
        <f>IF(
    ISNUMBER(Table13[[#This Row],[Strike]]),RTD("tos.rtd", , "OPEN_INT", "."&amp;Table13[[#This Row],[Ticker]]&amp;Table13[[#This Row],[Expiry]]&amp;""&amp;"C"&amp;Table13[[#This Row],[Strike]]))</f>
        <v>0</v>
      </c>
      <c r="E27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9" t="b">
        <f>IF(     ISNUMBER(Table13[[#This Row],[Strike]]),RTD("tos.rtd", , "DELTA", "."&amp;Table13[[#This Row],[Ticker]]&amp;Table13[[#This Row],[Expiry]]&amp;""&amp;"C"&amp;Table13[[#This Row],[Strike]]))</f>
        <v>0</v>
      </c>
      <c r="H279" s="17" t="b" cm="1">
        <f t="array" ref="H279">IF(
    ISNUMBER(Table13[[#This Row],[Strike]]),IndividualLegIVCore($A$4, Table13[[#This Row],[Strike]], 0.0411, Table13[[#This Row],[T]], ((Table13[[#This Row],[BIDC]]+Table13[[#This Row],[ASKC]])/2), TRUE))</f>
        <v>0</v>
      </c>
      <c r="I279" t="b">
        <f>IF(     ISNUMBER(Table13[[#This Row],[Strike]]),RTD("tos.rtd", , "BID", "."&amp;Table13[[#This Row],[Ticker]]&amp;Table13[[#This Row],[Expiry]]&amp;""&amp;"C"&amp;Table13[[#This Row],[Strike]]))</f>
        <v>0</v>
      </c>
      <c r="J279" t="b">
        <f>IF(     ISNUMBER(Table13[[#This Row],[Strike]]),RTD("tos.rtd", , "ASK", "."&amp;Table13[[#This Row],[Ticker]]&amp;Table13[[#This Row],[Expiry]]&amp;""&amp;"C"&amp;Table13[[#This Row],[Strike]]))</f>
        <v>0</v>
      </c>
      <c r="K27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9" s="17" cm="1">
        <f t="array" aca="1" ref="L27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79" s="1">
        <f t="shared" si="30"/>
        <v>0</v>
      </c>
      <c r="N279" t="b">
        <f t="shared" si="31"/>
        <v>0</v>
      </c>
      <c r="P279" s="17" t="b" cm="1">
        <f t="array" ref="P279">IF(
    ISNUMBER(Table13[[#This Row],[Strike]]),IndividualLegIVCore($A$4, Table13[[#This Row],[Strike]], 0.0411, Table13[[#This Row],[T]], ((Table13[[#This Row],[BIDP]]+Table13[[#This Row],[ASKP]])/2), FALSE))</f>
        <v>0</v>
      </c>
      <c r="Q279" t="b">
        <f>IF(     ISNUMBER(Table13[[#This Row],[Strike]]),RTD("tos.rtd", , "BID", "."&amp;Table13[[#This Row],[Ticker]]&amp;Table13[[#This Row],[Expiry]]&amp;""&amp;"P"&amp;Table13[[#This Row],[Strike]]))</f>
        <v>0</v>
      </c>
      <c r="R279" t="b">
        <f>IF(     ISNUMBER(Table13[[#This Row],[Strike]]),RTD("tos.rtd", , "ASK", "."&amp;Table13[[#This Row],[Ticker]]&amp;Table13[[#This Row],[Expiry]]&amp;""&amp;"P"&amp;Table13[[#This Row],[Strike]]))</f>
        <v>0</v>
      </c>
      <c r="S279" s="17"/>
      <c r="T279" t="b">
        <f>IF(     ISNUMBER(Table13[[#This Row],[Strike]]),RTD("tos.rtd", , "OPEN_INT", "."&amp;Table13[[#This Row],[Ticker]]&amp;Table13[[#This Row],[Expiry]]&amp;""&amp;"P"&amp;Table13[[#This Row],[Strike]]))</f>
        <v>0</v>
      </c>
      <c r="U27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9" t="b">
        <f>IF(     ISNUMBER(Table13[[#This Row],[Strike]]),RTD("tos.rtd", , "DELTA", "."&amp;Table13[[#This Row],[Ticker]]&amp;Table13[[#This Row],[Expiry]]&amp;""&amp;"P"&amp;Table13[[#This Row],[Strike]]))</f>
        <v>0</v>
      </c>
      <c r="Y279" s="19">
        <f>-17* IF($M$1="NDX", 10, IF(OR($M$1="SPX", $M$1="RUT"), 2, 1))</f>
        <v>-34</v>
      </c>
      <c r="Z279">
        <f ca="1">IFERROR(Table13[[#This Row],[call gamma]]*(Table13[[#This Row],[Open.Int]])*$A$4^2,0)</f>
        <v>0</v>
      </c>
      <c r="AA279">
        <f ca="1">IFERROR(((Table13[[#This Row],[Open.Int8]])*Table13[[#This Row],[Put gamma]])*-1*$A$4^2,0)</f>
        <v>0</v>
      </c>
      <c r="AB279">
        <f ca="1">(Table13[[#This Row],[Call Gex]]+Table13[[#This Row],[Put Gex]])</f>
        <v>0</v>
      </c>
      <c r="AC279">
        <f ca="1">Table13[[#This Row],[put delta adj]]+Table13[[#This Row],[call delta adj]]</f>
        <v>0</v>
      </c>
      <c r="AD279">
        <f ca="1">Table13[[#This Row],[Put Gex]]*Table13[[#This Row],[DeltaP]]*-1</f>
        <v>0</v>
      </c>
      <c r="AE279">
        <f ca="1">Table13[[#This Row],[Call Gex]]*Table13[[#This Row],[DeltaC]]</f>
        <v>0</v>
      </c>
      <c r="AF279">
        <f>IF(Table13[[#This Row],[DeltaC]]-ABS(Table13[[#This Row],[DeltaP]])="0","0.01",Table13[[#This Row],[DeltaC]]-ABS(Table13[[#This Row],[DeltaP]]))</f>
        <v>0</v>
      </c>
      <c r="AG279" t="e">
        <f ca="1">((LN($A$4/Table13[[#This Row],[Strike]]) + (0.411 + 0.5 * Table13[[#This Row],[IV Calc P]]^2) *Table13[[#This Row],[T]])) / (Table13[[#This Row],[IV Calc P]] * SQRT(Table13[[#This Row],[T]]))</f>
        <v>#DIV/0!</v>
      </c>
      <c r="AH279" t="e">
        <f ca="1">(LN($A$4/Table13[[#This Row],[Strike]]) + (0.411-0 + 0.5 * Table13[[#This Row],[IV Calc C]]^2) *Table13[[#This Row],[T]]) / (Table13[[#This Row],[IV Calc C]] * SQRT(Table13[[#This Row],[T]]))</f>
        <v>#DIV/0!</v>
      </c>
      <c r="AI279" t="e">
        <f ca="1">(EXP(-(AG279^2)/2)/SQRT(2*PI())*EXP(0*SQRT(Table13[[#This Row],[T]]))/$A$4*18%*SQRT(SQRT(Table13[[#This Row],[T]])))</f>
        <v>#DIV/0!</v>
      </c>
      <c r="AJ279" t="e">
        <f ca="1">(EXP(-(AH279^2)/2)/SQRT(2*PI())*EXP(0*SQRT(Table13[[#This Row],[T]]))/$A$4*18%*SQRT(SQRT(Table13[[#This Row],[T]])))</f>
        <v>#DIV/0!</v>
      </c>
      <c r="AK279" t="e">
        <f ca="1">Table13[[#This Row],[Call D1]]-Table13[[#This Row],[IV Calc C]]*SQRT(Table13[[#This Row],[T]])</f>
        <v>#DIV/0!</v>
      </c>
      <c r="AL279" t="e">
        <f ca="1">Table13[[#This Row],[Put D1]]-Table13[[#This Row],[IV Calc P]]*SQRT(Table13[[#This Row],[T]])</f>
        <v>#DIV/0!</v>
      </c>
      <c r="AM279" t="e">
        <f ca="1">EXP(-0.5*Table13[[#This Row],[Call D1]]^2)/SQRT(2*PI())</f>
        <v>#DIV/0!</v>
      </c>
      <c r="AN279" t="e">
        <f ca="1">EXP(-0.5*Table13[[#This Row],[Put D1]]^2)/SQRT(2*PI())</f>
        <v>#DIV/0!</v>
      </c>
      <c r="AO279">
        <f ca="1">IFERROR((EXP(0*Table13[[#This Row],[T]])*Table13[[#This Row],[call N(d1)]]*(Table13[[#This Row],[call d2]]/Table13[[#This Row],[IV Calc C]]))*Table13[[#This Row],[Open.Int]]*Table13[[#This Row],[DeltaC]],0)</f>
        <v>0</v>
      </c>
      <c r="AP279">
        <f ca="1">IFERROR((EXP(0*Table13[[#This Row],[T]])*Table13[[#This Row],[put N(d1)]]*(Table13[[#This Row],[put d2]]/Table13[[#This Row],[IV Calc P]]))*Table13[[#This Row],[Open.Int8]]*Table13[[#This Row],[DeltaP]]*-1,0)</f>
        <v>0</v>
      </c>
      <c r="AQ279">
        <f ca="1">((Table13[[#This Row],[call vanna]]+Table13[[#This Row],[put vanna]])*$A$4)</f>
        <v>0</v>
      </c>
      <c r="AR27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9" s="9" t="str" cm="1">
        <f t="array" ref="AT279">_xlfn.IFS(     $M$1="SPX","SPXW",     $M$1="RUT","RUTW",  $M$1="NDX","NDXP",   TRUE,$M$1 )</f>
        <v>SPXW</v>
      </c>
      <c r="AU279" s="2">
        <f t="shared" si="32"/>
        <v>6915</v>
      </c>
      <c r="AV279" t="str">
        <f t="shared" si="33"/>
        <v>000100</v>
      </c>
      <c r="AY27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9">
        <f>((Table13[[#This Row],[High C]]+Table13[[#This Row],[Low C]])/2)*Table13[[#This Row],[gammac]]*Table13[[#This Row],[Volume]]</f>
        <v>0</v>
      </c>
      <c r="BD279">
        <f>((Table13[[#This Row],[High P]]+Table13[[#This Row],[Low P]])/2)*Table13[[#This Row],[gammap]]*Table13[[#This Row],[Volume9]]*-1</f>
        <v>0</v>
      </c>
      <c r="BE279">
        <f>(Table13[[#This Row],[SgammaC]]+Table13[[#This Row],[SgammaP]])*$A$4*-100</f>
        <v>0</v>
      </c>
      <c r="BF279">
        <f>Table13[[#This Row],[DEXc]]+Table13[[#This Row],[DEXp]]</f>
        <v>0</v>
      </c>
      <c r="BG279">
        <f>IFERROR(Table13[[#This Row],[DeltaC]]*Table13[[#This Row],[Open.Int]]*$A$4,0)</f>
        <v>0</v>
      </c>
      <c r="BH279">
        <f>IFERROR(Table13[[#This Row],[DeltaP]]*Table13[[#This Row],[Open.Int8]]*$A$4,0)</f>
        <v>0</v>
      </c>
      <c r="BI27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9">
        <f ca="1">Table13[[#This Row],[charmc]]+Table13[[#This Row],[charmp]]</f>
        <v>0</v>
      </c>
      <c r="BL27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9" s="78">
        <f ca="1">Table13[[#This Row],[call helper]]+Table13[[#This Row],[put helper]]</f>
        <v>0</v>
      </c>
      <c r="BP279" t="str">
        <f>RTD("tos.rtd", , "STRIKE", "."&amp;Table13[[#This Row],[Ticker]]&amp;Table13[[#This Row],[Expiry]]&amp;""&amp;"C"&amp;Table13[[#This Row],[Spot]]+Table13[[#This Row],[step]])</f>
        <v>N/A</v>
      </c>
    </row>
    <row r="280" spans="1:68" x14ac:dyDescent="0.25">
      <c r="A280" s="14">
        <f t="shared" ca="1" si="29"/>
        <v>-126.14810350076104</v>
      </c>
      <c r="C280" s="17"/>
      <c r="D280" t="b">
        <f>IF(
    ISNUMBER(Table13[[#This Row],[Strike]]),RTD("tos.rtd", , "OPEN_INT", "."&amp;Table13[[#This Row],[Ticker]]&amp;Table13[[#This Row],[Expiry]]&amp;""&amp;"C"&amp;Table13[[#This Row],[Strike]]))</f>
        <v>0</v>
      </c>
      <c r="E28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0" t="b">
        <f>IF(     ISNUMBER(Table13[[#This Row],[Strike]]),RTD("tos.rtd", , "DELTA", "."&amp;Table13[[#This Row],[Ticker]]&amp;Table13[[#This Row],[Expiry]]&amp;""&amp;"C"&amp;Table13[[#This Row],[Strike]]))</f>
        <v>0</v>
      </c>
      <c r="H280" s="17" t="b" cm="1">
        <f t="array" ref="H280">IF(
    ISNUMBER(Table13[[#This Row],[Strike]]),IndividualLegIVCore($A$4, Table13[[#This Row],[Strike]], 0.0411, Table13[[#This Row],[T]], ((Table13[[#This Row],[BIDC]]+Table13[[#This Row],[ASKC]])/2), TRUE))</f>
        <v>0</v>
      </c>
      <c r="I280" t="b">
        <f>IF(     ISNUMBER(Table13[[#This Row],[Strike]]),RTD("tos.rtd", , "BID", "."&amp;Table13[[#This Row],[Ticker]]&amp;Table13[[#This Row],[Expiry]]&amp;""&amp;"C"&amp;Table13[[#This Row],[Strike]]))</f>
        <v>0</v>
      </c>
      <c r="J280" t="b">
        <f>IF(     ISNUMBER(Table13[[#This Row],[Strike]]),RTD("tos.rtd", , "ASK", "."&amp;Table13[[#This Row],[Ticker]]&amp;Table13[[#This Row],[Expiry]]&amp;""&amp;"C"&amp;Table13[[#This Row],[Strike]]))</f>
        <v>0</v>
      </c>
      <c r="K28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0" s="17" cm="1">
        <f t="array" aca="1" ref="L28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0" s="1">
        <f t="shared" si="30"/>
        <v>0</v>
      </c>
      <c r="N280" t="b">
        <f t="shared" si="31"/>
        <v>0</v>
      </c>
      <c r="P280" s="17" t="b" cm="1">
        <f t="array" ref="P280">IF(
    ISNUMBER(Table13[[#This Row],[Strike]]),IndividualLegIVCore($A$4, Table13[[#This Row],[Strike]], 0.0411, Table13[[#This Row],[T]], ((Table13[[#This Row],[BIDP]]+Table13[[#This Row],[ASKP]])/2), FALSE))</f>
        <v>0</v>
      </c>
      <c r="Q280" t="b">
        <f>IF(     ISNUMBER(Table13[[#This Row],[Strike]]),RTD("tos.rtd", , "BID", "."&amp;Table13[[#This Row],[Ticker]]&amp;Table13[[#This Row],[Expiry]]&amp;""&amp;"P"&amp;Table13[[#This Row],[Strike]]))</f>
        <v>0</v>
      </c>
      <c r="R280" t="b">
        <f>IF(     ISNUMBER(Table13[[#This Row],[Strike]]),RTD("tos.rtd", , "ASK", "."&amp;Table13[[#This Row],[Ticker]]&amp;Table13[[#This Row],[Expiry]]&amp;""&amp;"P"&amp;Table13[[#This Row],[Strike]]))</f>
        <v>0</v>
      </c>
      <c r="S280" s="17"/>
      <c r="T280" t="b">
        <f>IF(     ISNUMBER(Table13[[#This Row],[Strike]]),RTD("tos.rtd", , "OPEN_INT", "."&amp;Table13[[#This Row],[Ticker]]&amp;Table13[[#This Row],[Expiry]]&amp;""&amp;"P"&amp;Table13[[#This Row],[Strike]]))</f>
        <v>0</v>
      </c>
      <c r="U28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0" t="b">
        <f>IF(     ISNUMBER(Table13[[#This Row],[Strike]]),RTD("tos.rtd", , "DELTA", "."&amp;Table13[[#This Row],[Ticker]]&amp;Table13[[#This Row],[Expiry]]&amp;""&amp;"P"&amp;Table13[[#This Row],[Strike]]))</f>
        <v>0</v>
      </c>
      <c r="Y280" s="19">
        <f>-16.5* IF($M$1="NDX", 10, IF(OR($M$1="SPX", $M$1="RUT"), 2, 1))</f>
        <v>-33</v>
      </c>
      <c r="Z280">
        <f ca="1">IFERROR(Table13[[#This Row],[call gamma]]*(Table13[[#This Row],[Open.Int]])*$A$4^2,0)</f>
        <v>0</v>
      </c>
      <c r="AA280">
        <f ca="1">IFERROR(((Table13[[#This Row],[Open.Int8]])*Table13[[#This Row],[Put gamma]])*-1*$A$4^2,0)</f>
        <v>0</v>
      </c>
      <c r="AB280">
        <f ca="1">(Table13[[#This Row],[Call Gex]]+Table13[[#This Row],[Put Gex]])</f>
        <v>0</v>
      </c>
      <c r="AC280">
        <f ca="1">Table13[[#This Row],[put delta adj]]+Table13[[#This Row],[call delta adj]]</f>
        <v>0</v>
      </c>
      <c r="AD280">
        <f ca="1">Table13[[#This Row],[Put Gex]]*Table13[[#This Row],[DeltaP]]*-1</f>
        <v>0</v>
      </c>
      <c r="AE280">
        <f ca="1">Table13[[#This Row],[Call Gex]]*Table13[[#This Row],[DeltaC]]</f>
        <v>0</v>
      </c>
      <c r="AF280">
        <f>IF(Table13[[#This Row],[DeltaC]]-ABS(Table13[[#This Row],[DeltaP]])="0","0.01",Table13[[#This Row],[DeltaC]]-ABS(Table13[[#This Row],[DeltaP]]))</f>
        <v>0</v>
      </c>
      <c r="AG280" t="e">
        <f ca="1">((LN($A$4/Table13[[#This Row],[Strike]]) + (0.411 + 0.5 * Table13[[#This Row],[IV Calc P]]^2) *Table13[[#This Row],[T]])) / (Table13[[#This Row],[IV Calc P]] * SQRT(Table13[[#This Row],[T]]))</f>
        <v>#DIV/0!</v>
      </c>
      <c r="AH280" t="e">
        <f ca="1">(LN($A$4/Table13[[#This Row],[Strike]]) + (0.411-0 + 0.5 * Table13[[#This Row],[IV Calc C]]^2) *Table13[[#This Row],[T]]) / (Table13[[#This Row],[IV Calc C]] * SQRT(Table13[[#This Row],[T]]))</f>
        <v>#DIV/0!</v>
      </c>
      <c r="AI280" t="e">
        <f ca="1">(EXP(-(AG280^2)/2)/SQRT(2*PI())*EXP(0*SQRT(Table13[[#This Row],[T]]))/$A$4*18%*SQRT(SQRT(Table13[[#This Row],[T]])))</f>
        <v>#DIV/0!</v>
      </c>
      <c r="AJ280" t="e">
        <f ca="1">(EXP(-(AH280^2)/2)/SQRT(2*PI())*EXP(0*SQRT(Table13[[#This Row],[T]]))/$A$4*18%*SQRT(SQRT(Table13[[#This Row],[T]])))</f>
        <v>#DIV/0!</v>
      </c>
      <c r="AK280" t="e">
        <f ca="1">Table13[[#This Row],[Call D1]]-Table13[[#This Row],[IV Calc C]]*SQRT(Table13[[#This Row],[T]])</f>
        <v>#DIV/0!</v>
      </c>
      <c r="AL280" t="e">
        <f ca="1">Table13[[#This Row],[Put D1]]-Table13[[#This Row],[IV Calc P]]*SQRT(Table13[[#This Row],[T]])</f>
        <v>#DIV/0!</v>
      </c>
      <c r="AM280" t="e">
        <f ca="1">EXP(-0.5*Table13[[#This Row],[Call D1]]^2)/SQRT(2*PI())</f>
        <v>#DIV/0!</v>
      </c>
      <c r="AN280" t="e">
        <f ca="1">EXP(-0.5*Table13[[#This Row],[Put D1]]^2)/SQRT(2*PI())</f>
        <v>#DIV/0!</v>
      </c>
      <c r="AO280">
        <f ca="1">IFERROR((EXP(0*Table13[[#This Row],[T]])*Table13[[#This Row],[call N(d1)]]*(Table13[[#This Row],[call d2]]/Table13[[#This Row],[IV Calc C]]))*Table13[[#This Row],[Open.Int]]*Table13[[#This Row],[DeltaC]],0)</f>
        <v>0</v>
      </c>
      <c r="AP280">
        <f ca="1">IFERROR((EXP(0*Table13[[#This Row],[T]])*Table13[[#This Row],[put N(d1)]]*(Table13[[#This Row],[put d2]]/Table13[[#This Row],[IV Calc P]]))*Table13[[#This Row],[Open.Int8]]*Table13[[#This Row],[DeltaP]]*-1,0)</f>
        <v>0</v>
      </c>
      <c r="AQ280">
        <f ca="1">((Table13[[#This Row],[call vanna]]+Table13[[#This Row],[put vanna]])*$A$4)</f>
        <v>0</v>
      </c>
      <c r="AR28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0" s="9" t="str" cm="1">
        <f t="array" ref="AT280">_xlfn.IFS(     $M$1="SPX","SPXW",     $M$1="RUT","RUTW",  $M$1="NDX","NDXP",   TRUE,$M$1 )</f>
        <v>SPXW</v>
      </c>
      <c r="AU280" s="2">
        <f t="shared" si="32"/>
        <v>6915</v>
      </c>
      <c r="AV280" t="str">
        <f t="shared" si="33"/>
        <v>000100</v>
      </c>
      <c r="AY28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0">
        <f>((Table13[[#This Row],[High C]]+Table13[[#This Row],[Low C]])/2)*Table13[[#This Row],[gammac]]*Table13[[#This Row],[Volume]]</f>
        <v>0</v>
      </c>
      <c r="BD280">
        <f>((Table13[[#This Row],[High P]]+Table13[[#This Row],[Low P]])/2)*Table13[[#This Row],[gammap]]*Table13[[#This Row],[Volume9]]*-1</f>
        <v>0</v>
      </c>
      <c r="BE280">
        <f>(Table13[[#This Row],[SgammaC]]+Table13[[#This Row],[SgammaP]])*$A$4*-100</f>
        <v>0</v>
      </c>
      <c r="BF280">
        <f>Table13[[#This Row],[DEXc]]+Table13[[#This Row],[DEXp]]</f>
        <v>0</v>
      </c>
      <c r="BG280">
        <f>IFERROR(Table13[[#This Row],[DeltaC]]*Table13[[#This Row],[Open.Int]]*$A$4,0)</f>
        <v>0</v>
      </c>
      <c r="BH280">
        <f>IFERROR(Table13[[#This Row],[DeltaP]]*Table13[[#This Row],[Open.Int8]]*$A$4,0)</f>
        <v>0</v>
      </c>
      <c r="BI28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0">
        <f ca="1">Table13[[#This Row],[charmc]]+Table13[[#This Row],[charmp]]</f>
        <v>0</v>
      </c>
      <c r="BL28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0" s="78">
        <f ca="1">Table13[[#This Row],[call helper]]+Table13[[#This Row],[put helper]]</f>
        <v>0</v>
      </c>
      <c r="BP280" t="str">
        <f>RTD("tos.rtd", , "STRIKE", "."&amp;Table13[[#This Row],[Ticker]]&amp;Table13[[#This Row],[Expiry]]&amp;""&amp;"C"&amp;Table13[[#This Row],[Spot]]+Table13[[#This Row],[step]])</f>
        <v>N/A</v>
      </c>
    </row>
    <row r="281" spans="1:68" x14ac:dyDescent="0.25">
      <c r="A281" s="14">
        <f t="shared" ca="1" si="29"/>
        <v>-126.14810350076104</v>
      </c>
      <c r="C281" s="17"/>
      <c r="D281" t="b">
        <f>IF(
    ISNUMBER(Table13[[#This Row],[Strike]]),RTD("tos.rtd", , "OPEN_INT", "."&amp;Table13[[#This Row],[Ticker]]&amp;Table13[[#This Row],[Expiry]]&amp;""&amp;"C"&amp;Table13[[#This Row],[Strike]]))</f>
        <v>0</v>
      </c>
      <c r="E28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1" t="b">
        <f>IF(     ISNUMBER(Table13[[#This Row],[Strike]]),RTD("tos.rtd", , "DELTA", "."&amp;Table13[[#This Row],[Ticker]]&amp;Table13[[#This Row],[Expiry]]&amp;""&amp;"C"&amp;Table13[[#This Row],[Strike]]))</f>
        <v>0</v>
      </c>
      <c r="H281" s="17" t="b" cm="1">
        <f t="array" ref="H281">IF(
    ISNUMBER(Table13[[#This Row],[Strike]]),IndividualLegIVCore($A$4, Table13[[#This Row],[Strike]], 0.0411, Table13[[#This Row],[T]], ((Table13[[#This Row],[BIDC]]+Table13[[#This Row],[ASKC]])/2), TRUE))</f>
        <v>0</v>
      </c>
      <c r="I281" t="b">
        <f>IF(     ISNUMBER(Table13[[#This Row],[Strike]]),RTD("tos.rtd", , "BID", "."&amp;Table13[[#This Row],[Ticker]]&amp;Table13[[#This Row],[Expiry]]&amp;""&amp;"C"&amp;Table13[[#This Row],[Strike]]))</f>
        <v>0</v>
      </c>
      <c r="J281" t="b">
        <f>IF(     ISNUMBER(Table13[[#This Row],[Strike]]),RTD("tos.rtd", , "ASK", "."&amp;Table13[[#This Row],[Ticker]]&amp;Table13[[#This Row],[Expiry]]&amp;""&amp;"C"&amp;Table13[[#This Row],[Strike]]))</f>
        <v>0</v>
      </c>
      <c r="K28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1" s="17" cm="1">
        <f t="array" aca="1" ref="L28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1" s="1">
        <f t="shared" si="30"/>
        <v>0</v>
      </c>
      <c r="N281" t="b">
        <f t="shared" si="31"/>
        <v>0</v>
      </c>
      <c r="P281" s="17" t="b" cm="1">
        <f t="array" ref="P281">IF(
    ISNUMBER(Table13[[#This Row],[Strike]]),IndividualLegIVCore($A$4, Table13[[#This Row],[Strike]], 0.0411, Table13[[#This Row],[T]], ((Table13[[#This Row],[BIDP]]+Table13[[#This Row],[ASKP]])/2), FALSE))</f>
        <v>0</v>
      </c>
      <c r="Q281" t="b">
        <f>IF(     ISNUMBER(Table13[[#This Row],[Strike]]),RTD("tos.rtd", , "BID", "."&amp;Table13[[#This Row],[Ticker]]&amp;Table13[[#This Row],[Expiry]]&amp;""&amp;"P"&amp;Table13[[#This Row],[Strike]]))</f>
        <v>0</v>
      </c>
      <c r="R281" t="b">
        <f>IF(     ISNUMBER(Table13[[#This Row],[Strike]]),RTD("tos.rtd", , "ASK", "."&amp;Table13[[#This Row],[Ticker]]&amp;Table13[[#This Row],[Expiry]]&amp;""&amp;"P"&amp;Table13[[#This Row],[Strike]]))</f>
        <v>0</v>
      </c>
      <c r="S281" s="17"/>
      <c r="T281" t="b">
        <f>IF(     ISNUMBER(Table13[[#This Row],[Strike]]),RTD("tos.rtd", , "OPEN_INT", "."&amp;Table13[[#This Row],[Ticker]]&amp;Table13[[#This Row],[Expiry]]&amp;""&amp;"P"&amp;Table13[[#This Row],[Strike]]))</f>
        <v>0</v>
      </c>
      <c r="U28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1" t="b">
        <f>IF(     ISNUMBER(Table13[[#This Row],[Strike]]),RTD("tos.rtd", , "DELTA", "."&amp;Table13[[#This Row],[Ticker]]&amp;Table13[[#This Row],[Expiry]]&amp;""&amp;"P"&amp;Table13[[#This Row],[Strike]]))</f>
        <v>0</v>
      </c>
      <c r="Y281" s="19">
        <f>-16* IF($M$1="NDX", 10, IF(OR($M$1="SPX", $M$1="RUT"), 2, 1))</f>
        <v>-32</v>
      </c>
      <c r="Z281">
        <f ca="1">IFERROR(Table13[[#This Row],[call gamma]]*(Table13[[#This Row],[Open.Int]])*$A$4^2,0)</f>
        <v>0</v>
      </c>
      <c r="AA281">
        <f ca="1">IFERROR(((Table13[[#This Row],[Open.Int8]])*Table13[[#This Row],[Put gamma]])*-1*$A$4^2,0)</f>
        <v>0</v>
      </c>
      <c r="AB281">
        <f ca="1">(Table13[[#This Row],[Call Gex]]+Table13[[#This Row],[Put Gex]])</f>
        <v>0</v>
      </c>
      <c r="AC281">
        <f ca="1">Table13[[#This Row],[put delta adj]]+Table13[[#This Row],[call delta adj]]</f>
        <v>0</v>
      </c>
      <c r="AD281">
        <f ca="1">Table13[[#This Row],[Put Gex]]*Table13[[#This Row],[DeltaP]]*-1</f>
        <v>0</v>
      </c>
      <c r="AE281">
        <f ca="1">Table13[[#This Row],[Call Gex]]*Table13[[#This Row],[DeltaC]]</f>
        <v>0</v>
      </c>
      <c r="AF281">
        <f>IF(Table13[[#This Row],[DeltaC]]-ABS(Table13[[#This Row],[DeltaP]])="0","0.01",Table13[[#This Row],[DeltaC]]-ABS(Table13[[#This Row],[DeltaP]]))</f>
        <v>0</v>
      </c>
      <c r="AG281" t="e">
        <f ca="1">((LN($A$4/Table13[[#This Row],[Strike]]) + (0.411 + 0.5 * Table13[[#This Row],[IV Calc P]]^2) *Table13[[#This Row],[T]])) / (Table13[[#This Row],[IV Calc P]] * SQRT(Table13[[#This Row],[T]]))</f>
        <v>#DIV/0!</v>
      </c>
      <c r="AH281" t="e">
        <f ca="1">(LN($A$4/Table13[[#This Row],[Strike]]) + (0.411-0 + 0.5 * Table13[[#This Row],[IV Calc C]]^2) *Table13[[#This Row],[T]]) / (Table13[[#This Row],[IV Calc C]] * SQRT(Table13[[#This Row],[T]]))</f>
        <v>#DIV/0!</v>
      </c>
      <c r="AI281" t="e">
        <f ca="1">(EXP(-(AG281^2)/2)/SQRT(2*PI())*EXP(0*SQRT(Table13[[#This Row],[T]]))/$A$4*18%*SQRT(SQRT(Table13[[#This Row],[T]])))</f>
        <v>#DIV/0!</v>
      </c>
      <c r="AJ281" t="e">
        <f ca="1">(EXP(-(AH281^2)/2)/SQRT(2*PI())*EXP(0*SQRT(Table13[[#This Row],[T]]))/$A$4*18%*SQRT(SQRT(Table13[[#This Row],[T]])))</f>
        <v>#DIV/0!</v>
      </c>
      <c r="AK281" t="e">
        <f ca="1">Table13[[#This Row],[Call D1]]-Table13[[#This Row],[IV Calc C]]*SQRT(Table13[[#This Row],[T]])</f>
        <v>#DIV/0!</v>
      </c>
      <c r="AL281" t="e">
        <f ca="1">Table13[[#This Row],[Put D1]]-Table13[[#This Row],[IV Calc P]]*SQRT(Table13[[#This Row],[T]])</f>
        <v>#DIV/0!</v>
      </c>
      <c r="AM281" t="e">
        <f ca="1">EXP(-0.5*Table13[[#This Row],[Call D1]]^2)/SQRT(2*PI())</f>
        <v>#DIV/0!</v>
      </c>
      <c r="AN281" t="e">
        <f ca="1">EXP(-0.5*Table13[[#This Row],[Put D1]]^2)/SQRT(2*PI())</f>
        <v>#DIV/0!</v>
      </c>
      <c r="AO281">
        <f ca="1">IFERROR((EXP(0*Table13[[#This Row],[T]])*Table13[[#This Row],[call N(d1)]]*(Table13[[#This Row],[call d2]]/Table13[[#This Row],[IV Calc C]]))*Table13[[#This Row],[Open.Int]]*Table13[[#This Row],[DeltaC]],0)</f>
        <v>0</v>
      </c>
      <c r="AP281">
        <f ca="1">IFERROR((EXP(0*Table13[[#This Row],[T]])*Table13[[#This Row],[put N(d1)]]*(Table13[[#This Row],[put d2]]/Table13[[#This Row],[IV Calc P]]))*Table13[[#This Row],[Open.Int8]]*Table13[[#This Row],[DeltaP]]*-1,0)</f>
        <v>0</v>
      </c>
      <c r="AQ281">
        <f ca="1">((Table13[[#This Row],[call vanna]]+Table13[[#This Row],[put vanna]])*$A$4)</f>
        <v>0</v>
      </c>
      <c r="AR28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1" s="9" t="str" cm="1">
        <f t="array" ref="AT281">_xlfn.IFS(     $M$1="SPX","SPXW",     $M$1="RUT","RUTW",  $M$1="NDX","NDXP",   TRUE,$M$1 )</f>
        <v>SPXW</v>
      </c>
      <c r="AU281" s="2">
        <f t="shared" si="32"/>
        <v>6915</v>
      </c>
      <c r="AV281" t="str">
        <f t="shared" si="33"/>
        <v>000100</v>
      </c>
      <c r="AY28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1">
        <f>((Table13[[#This Row],[High C]]+Table13[[#This Row],[Low C]])/2)*Table13[[#This Row],[gammac]]*Table13[[#This Row],[Volume]]</f>
        <v>0</v>
      </c>
      <c r="BD281">
        <f>((Table13[[#This Row],[High P]]+Table13[[#This Row],[Low P]])/2)*Table13[[#This Row],[gammap]]*Table13[[#This Row],[Volume9]]*-1</f>
        <v>0</v>
      </c>
      <c r="BE281">
        <f>(Table13[[#This Row],[SgammaC]]+Table13[[#This Row],[SgammaP]])*$A$4*-100</f>
        <v>0</v>
      </c>
      <c r="BF281">
        <f>Table13[[#This Row],[DEXc]]+Table13[[#This Row],[DEXp]]</f>
        <v>0</v>
      </c>
      <c r="BG281">
        <f>IFERROR(Table13[[#This Row],[DeltaC]]*Table13[[#This Row],[Open.Int]]*$A$4,0)</f>
        <v>0</v>
      </c>
      <c r="BH281">
        <f>IFERROR(Table13[[#This Row],[DeltaP]]*Table13[[#This Row],[Open.Int8]]*$A$4,0)</f>
        <v>0</v>
      </c>
      <c r="BI28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1">
        <f ca="1">Table13[[#This Row],[charmc]]+Table13[[#This Row],[charmp]]</f>
        <v>0</v>
      </c>
      <c r="BL28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1" s="78">
        <f ca="1">Table13[[#This Row],[call helper]]+Table13[[#This Row],[put helper]]</f>
        <v>0</v>
      </c>
      <c r="BP281" t="str">
        <f>RTD("tos.rtd", , "STRIKE", "."&amp;Table13[[#This Row],[Ticker]]&amp;Table13[[#This Row],[Expiry]]&amp;""&amp;"C"&amp;Table13[[#This Row],[Spot]]+Table13[[#This Row],[step]])</f>
        <v>N/A</v>
      </c>
    </row>
    <row r="282" spans="1:68" x14ac:dyDescent="0.25">
      <c r="A282" s="14">
        <f t="shared" ca="1" si="29"/>
        <v>-126.14810350076104</v>
      </c>
      <c r="C282" s="17"/>
      <c r="D282" t="b">
        <f>IF(
    ISNUMBER(Table13[[#This Row],[Strike]]),RTD("tos.rtd", , "OPEN_INT", "."&amp;Table13[[#This Row],[Ticker]]&amp;Table13[[#This Row],[Expiry]]&amp;""&amp;"C"&amp;Table13[[#This Row],[Strike]]))</f>
        <v>0</v>
      </c>
      <c r="E28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2" t="b">
        <f>IF(     ISNUMBER(Table13[[#This Row],[Strike]]),RTD("tos.rtd", , "DELTA", "."&amp;Table13[[#This Row],[Ticker]]&amp;Table13[[#This Row],[Expiry]]&amp;""&amp;"C"&amp;Table13[[#This Row],[Strike]]))</f>
        <v>0</v>
      </c>
      <c r="H282" s="17" t="b" cm="1">
        <f t="array" ref="H282">IF(
    ISNUMBER(Table13[[#This Row],[Strike]]),IndividualLegIVCore($A$4, Table13[[#This Row],[Strike]], 0.0411, Table13[[#This Row],[T]], ((Table13[[#This Row],[BIDC]]+Table13[[#This Row],[ASKC]])/2), TRUE))</f>
        <v>0</v>
      </c>
      <c r="I282" t="b">
        <f>IF(     ISNUMBER(Table13[[#This Row],[Strike]]),RTD("tos.rtd", , "BID", "."&amp;Table13[[#This Row],[Ticker]]&amp;Table13[[#This Row],[Expiry]]&amp;""&amp;"C"&amp;Table13[[#This Row],[Strike]]))</f>
        <v>0</v>
      </c>
      <c r="J282" t="b">
        <f>IF(     ISNUMBER(Table13[[#This Row],[Strike]]),RTD("tos.rtd", , "ASK", "."&amp;Table13[[#This Row],[Ticker]]&amp;Table13[[#This Row],[Expiry]]&amp;""&amp;"C"&amp;Table13[[#This Row],[Strike]]))</f>
        <v>0</v>
      </c>
      <c r="K28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2" s="17" cm="1">
        <f t="array" aca="1" ref="L28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2" s="1">
        <f t="shared" si="30"/>
        <v>0</v>
      </c>
      <c r="N282" t="b">
        <f t="shared" si="31"/>
        <v>0</v>
      </c>
      <c r="P282" s="17" t="b" cm="1">
        <f t="array" ref="P282">IF(
    ISNUMBER(Table13[[#This Row],[Strike]]),IndividualLegIVCore($A$4, Table13[[#This Row],[Strike]], 0.0411, Table13[[#This Row],[T]], ((Table13[[#This Row],[BIDP]]+Table13[[#This Row],[ASKP]])/2), FALSE))</f>
        <v>0</v>
      </c>
      <c r="Q282" t="b">
        <f>IF(     ISNUMBER(Table13[[#This Row],[Strike]]),RTD("tos.rtd", , "BID", "."&amp;Table13[[#This Row],[Ticker]]&amp;Table13[[#This Row],[Expiry]]&amp;""&amp;"P"&amp;Table13[[#This Row],[Strike]]))</f>
        <v>0</v>
      </c>
      <c r="R282" t="b">
        <f>IF(     ISNUMBER(Table13[[#This Row],[Strike]]),RTD("tos.rtd", , "ASK", "."&amp;Table13[[#This Row],[Ticker]]&amp;Table13[[#This Row],[Expiry]]&amp;""&amp;"P"&amp;Table13[[#This Row],[Strike]]))</f>
        <v>0</v>
      </c>
      <c r="S282" s="17"/>
      <c r="T282" t="b">
        <f>IF(     ISNUMBER(Table13[[#This Row],[Strike]]),RTD("tos.rtd", , "OPEN_INT", "."&amp;Table13[[#This Row],[Ticker]]&amp;Table13[[#This Row],[Expiry]]&amp;""&amp;"P"&amp;Table13[[#This Row],[Strike]]))</f>
        <v>0</v>
      </c>
      <c r="U28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2" t="b">
        <f>IF(     ISNUMBER(Table13[[#This Row],[Strike]]),RTD("tos.rtd", , "DELTA", "."&amp;Table13[[#This Row],[Ticker]]&amp;Table13[[#This Row],[Expiry]]&amp;""&amp;"P"&amp;Table13[[#This Row],[Strike]]))</f>
        <v>0</v>
      </c>
      <c r="Y282" s="21">
        <f>-15.5* IF($M$1="NDX", 10, IF(OR($M$1="SPX", $M$1="RUT"), 2, 1))</f>
        <v>-31</v>
      </c>
      <c r="Z282">
        <f ca="1">IFERROR(Table13[[#This Row],[call gamma]]*(Table13[[#This Row],[Open.Int]])*$A$4^2,0)</f>
        <v>0</v>
      </c>
      <c r="AA282">
        <f ca="1">IFERROR(((Table13[[#This Row],[Open.Int8]])*Table13[[#This Row],[Put gamma]])*-1*$A$4^2,0)</f>
        <v>0</v>
      </c>
      <c r="AB282">
        <f ca="1">(Table13[[#This Row],[Call Gex]]+Table13[[#This Row],[Put Gex]])</f>
        <v>0</v>
      </c>
      <c r="AC282">
        <f ca="1">Table13[[#This Row],[put delta adj]]+Table13[[#This Row],[call delta adj]]</f>
        <v>0</v>
      </c>
      <c r="AD282">
        <f ca="1">Table13[[#This Row],[Put Gex]]*Table13[[#This Row],[DeltaP]]*-1</f>
        <v>0</v>
      </c>
      <c r="AE282">
        <f ca="1">Table13[[#This Row],[Call Gex]]*Table13[[#This Row],[DeltaC]]</f>
        <v>0</v>
      </c>
      <c r="AF282">
        <f>IF(Table13[[#This Row],[DeltaC]]-ABS(Table13[[#This Row],[DeltaP]])="0","0.01",Table13[[#This Row],[DeltaC]]-ABS(Table13[[#This Row],[DeltaP]]))</f>
        <v>0</v>
      </c>
      <c r="AG282" t="e">
        <f ca="1">((LN($A$4/Table13[[#This Row],[Strike]]) + (0.411 + 0.5 * Table13[[#This Row],[IV Calc P]]^2) *Table13[[#This Row],[T]])) / (Table13[[#This Row],[IV Calc P]] * SQRT(Table13[[#This Row],[T]]))</f>
        <v>#DIV/0!</v>
      </c>
      <c r="AH282" t="e">
        <f ca="1">(LN($A$4/Table13[[#This Row],[Strike]]) + (0.411-0 + 0.5 * Table13[[#This Row],[IV Calc C]]^2) *Table13[[#This Row],[T]]) / (Table13[[#This Row],[IV Calc C]] * SQRT(Table13[[#This Row],[T]]))</f>
        <v>#DIV/0!</v>
      </c>
      <c r="AI282" t="e">
        <f ca="1">(EXP(-(AG282^2)/2)/SQRT(2*PI())*EXP(0*SQRT(Table13[[#This Row],[T]]))/$A$4*18%*SQRT(SQRT(Table13[[#This Row],[T]])))</f>
        <v>#DIV/0!</v>
      </c>
      <c r="AJ282" t="e">
        <f ca="1">(EXP(-(AH282^2)/2)/SQRT(2*PI())*EXP(0*SQRT(Table13[[#This Row],[T]]))/$A$4*18%*SQRT(SQRT(Table13[[#This Row],[T]])))</f>
        <v>#DIV/0!</v>
      </c>
      <c r="AK282" t="e">
        <f ca="1">Table13[[#This Row],[Call D1]]-Table13[[#This Row],[IV Calc C]]*SQRT(Table13[[#This Row],[T]])</f>
        <v>#DIV/0!</v>
      </c>
      <c r="AL282" t="e">
        <f ca="1">Table13[[#This Row],[Put D1]]-Table13[[#This Row],[IV Calc P]]*SQRT(Table13[[#This Row],[T]])</f>
        <v>#DIV/0!</v>
      </c>
      <c r="AM282" t="e">
        <f ca="1">EXP(-0.5*Table13[[#This Row],[Call D1]]^2)/SQRT(2*PI())</f>
        <v>#DIV/0!</v>
      </c>
      <c r="AN282" t="e">
        <f ca="1">EXP(-0.5*Table13[[#This Row],[Put D1]]^2)/SQRT(2*PI())</f>
        <v>#DIV/0!</v>
      </c>
      <c r="AO282">
        <f ca="1">IFERROR((EXP(0*Table13[[#This Row],[T]])*Table13[[#This Row],[call N(d1)]]*(Table13[[#This Row],[call d2]]/Table13[[#This Row],[IV Calc C]]))*Table13[[#This Row],[Open.Int]]*Table13[[#This Row],[DeltaC]],0)</f>
        <v>0</v>
      </c>
      <c r="AP282">
        <f ca="1">IFERROR((EXP(0*Table13[[#This Row],[T]])*Table13[[#This Row],[put N(d1)]]*(Table13[[#This Row],[put d2]]/Table13[[#This Row],[IV Calc P]]))*Table13[[#This Row],[Open.Int8]]*Table13[[#This Row],[DeltaP]]*-1,0)</f>
        <v>0</v>
      </c>
      <c r="AQ282">
        <f ca="1">((Table13[[#This Row],[call vanna]]+Table13[[#This Row],[put vanna]])*$A$4)</f>
        <v>0</v>
      </c>
      <c r="AR28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2" s="9" t="str" cm="1">
        <f t="array" ref="AT282">_xlfn.IFS(     $M$1="SPX","SPXW",     $M$1="RUT","RUTW",  $M$1="NDX","NDXP",   TRUE,$M$1 )</f>
        <v>SPXW</v>
      </c>
      <c r="AU282" s="2">
        <f t="shared" si="32"/>
        <v>6915</v>
      </c>
      <c r="AV282" t="str">
        <f t="shared" si="33"/>
        <v>000100</v>
      </c>
      <c r="AY28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2">
        <f>((Table13[[#This Row],[High C]]+Table13[[#This Row],[Low C]])/2)*Table13[[#This Row],[gammac]]*Table13[[#This Row],[Volume]]</f>
        <v>0</v>
      </c>
      <c r="BD282">
        <f>((Table13[[#This Row],[High P]]+Table13[[#This Row],[Low P]])/2)*Table13[[#This Row],[gammap]]*Table13[[#This Row],[Volume9]]*-1</f>
        <v>0</v>
      </c>
      <c r="BE282">
        <f>(Table13[[#This Row],[SgammaC]]+Table13[[#This Row],[SgammaP]])*$A$4*-100</f>
        <v>0</v>
      </c>
      <c r="BF282">
        <f>Table13[[#This Row],[DEXc]]+Table13[[#This Row],[DEXp]]</f>
        <v>0</v>
      </c>
      <c r="BG282">
        <f>IFERROR(Table13[[#This Row],[DeltaC]]*Table13[[#This Row],[Open.Int]]*$A$4,0)</f>
        <v>0</v>
      </c>
      <c r="BH282">
        <f>IFERROR(Table13[[#This Row],[DeltaP]]*Table13[[#This Row],[Open.Int8]]*$A$4,0)</f>
        <v>0</v>
      </c>
      <c r="BI28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2">
        <f ca="1">Table13[[#This Row],[charmc]]+Table13[[#This Row],[charmp]]</f>
        <v>0</v>
      </c>
      <c r="BL28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2" s="78">
        <f ca="1">Table13[[#This Row],[call helper]]+Table13[[#This Row],[put helper]]</f>
        <v>0</v>
      </c>
      <c r="BP282" t="str">
        <f>RTD("tos.rtd", , "STRIKE", "."&amp;Table13[[#This Row],[Ticker]]&amp;Table13[[#This Row],[Expiry]]&amp;""&amp;"C"&amp;Table13[[#This Row],[Spot]]+Table13[[#This Row],[step]])</f>
        <v>N/A</v>
      </c>
    </row>
    <row r="283" spans="1:68" x14ac:dyDescent="0.25">
      <c r="A283" s="14">
        <f t="shared" ca="1" si="29"/>
        <v>-126.14810350076104</v>
      </c>
      <c r="C283" s="17"/>
      <c r="D283" t="b">
        <f>IF(
    ISNUMBER(Table13[[#This Row],[Strike]]),RTD("tos.rtd", , "OPEN_INT", "."&amp;Table13[[#This Row],[Ticker]]&amp;Table13[[#This Row],[Expiry]]&amp;""&amp;"C"&amp;Table13[[#This Row],[Strike]]))</f>
        <v>0</v>
      </c>
      <c r="E28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3" t="b">
        <f>IF(     ISNUMBER(Table13[[#This Row],[Strike]]),RTD("tos.rtd", , "DELTA", "."&amp;Table13[[#This Row],[Ticker]]&amp;Table13[[#This Row],[Expiry]]&amp;""&amp;"C"&amp;Table13[[#This Row],[Strike]]))</f>
        <v>0</v>
      </c>
      <c r="H283" s="17" t="b" cm="1">
        <f t="array" ref="H283">IF(
    ISNUMBER(Table13[[#This Row],[Strike]]),IndividualLegIVCore($A$4, Table13[[#This Row],[Strike]], 0.0411, Table13[[#This Row],[T]], ((Table13[[#This Row],[BIDC]]+Table13[[#This Row],[ASKC]])/2), TRUE))</f>
        <v>0</v>
      </c>
      <c r="I283" t="b">
        <f>IF(     ISNUMBER(Table13[[#This Row],[Strike]]),RTD("tos.rtd", , "BID", "."&amp;Table13[[#This Row],[Ticker]]&amp;Table13[[#This Row],[Expiry]]&amp;""&amp;"C"&amp;Table13[[#This Row],[Strike]]))</f>
        <v>0</v>
      </c>
      <c r="J283" t="b">
        <f>IF(     ISNUMBER(Table13[[#This Row],[Strike]]),RTD("tos.rtd", , "ASK", "."&amp;Table13[[#This Row],[Ticker]]&amp;Table13[[#This Row],[Expiry]]&amp;""&amp;"C"&amp;Table13[[#This Row],[Strike]]))</f>
        <v>0</v>
      </c>
      <c r="K28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3" s="17" cm="1">
        <f t="array" aca="1" ref="L28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3" s="1">
        <f t="shared" si="30"/>
        <v>0</v>
      </c>
      <c r="N283" t="b">
        <f t="shared" si="31"/>
        <v>0</v>
      </c>
      <c r="P283" s="17" t="b" cm="1">
        <f t="array" ref="P283">IF(
    ISNUMBER(Table13[[#This Row],[Strike]]),IndividualLegIVCore($A$4, Table13[[#This Row],[Strike]], 0.0411, Table13[[#This Row],[T]], ((Table13[[#This Row],[BIDP]]+Table13[[#This Row],[ASKP]])/2), FALSE))</f>
        <v>0</v>
      </c>
      <c r="Q283" t="b">
        <f>IF(     ISNUMBER(Table13[[#This Row],[Strike]]),RTD("tos.rtd", , "BID", "."&amp;Table13[[#This Row],[Ticker]]&amp;Table13[[#This Row],[Expiry]]&amp;""&amp;"P"&amp;Table13[[#This Row],[Strike]]))</f>
        <v>0</v>
      </c>
      <c r="R283" t="b">
        <f>IF(     ISNUMBER(Table13[[#This Row],[Strike]]),RTD("tos.rtd", , "ASK", "."&amp;Table13[[#This Row],[Ticker]]&amp;Table13[[#This Row],[Expiry]]&amp;""&amp;"P"&amp;Table13[[#This Row],[Strike]]))</f>
        <v>0</v>
      </c>
      <c r="S283" s="17"/>
      <c r="T283" t="b">
        <f>IF(     ISNUMBER(Table13[[#This Row],[Strike]]),RTD("tos.rtd", , "OPEN_INT", "."&amp;Table13[[#This Row],[Ticker]]&amp;Table13[[#This Row],[Expiry]]&amp;""&amp;"P"&amp;Table13[[#This Row],[Strike]]))</f>
        <v>0</v>
      </c>
      <c r="U28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3" t="b">
        <f>IF(     ISNUMBER(Table13[[#This Row],[Strike]]),RTD("tos.rtd", , "DELTA", "."&amp;Table13[[#This Row],[Ticker]]&amp;Table13[[#This Row],[Expiry]]&amp;""&amp;"P"&amp;Table13[[#This Row],[Strike]]))</f>
        <v>0</v>
      </c>
      <c r="Y283" s="19">
        <f>-15* IF($M$1="NDX", 10, IF(OR($M$1="SPX", $M$1="RUT"), 2, 1))</f>
        <v>-30</v>
      </c>
      <c r="Z283">
        <f ca="1">IFERROR(Table13[[#This Row],[call gamma]]*(Table13[[#This Row],[Open.Int]])*$A$4^2,0)</f>
        <v>0</v>
      </c>
      <c r="AA283">
        <f ca="1">IFERROR(((Table13[[#This Row],[Open.Int8]])*Table13[[#This Row],[Put gamma]])*-1*$A$4^2,0)</f>
        <v>0</v>
      </c>
      <c r="AB283">
        <f ca="1">(Table13[[#This Row],[Call Gex]]+Table13[[#This Row],[Put Gex]])</f>
        <v>0</v>
      </c>
      <c r="AC283">
        <f ca="1">Table13[[#This Row],[put delta adj]]+Table13[[#This Row],[call delta adj]]</f>
        <v>0</v>
      </c>
      <c r="AD283">
        <f ca="1">Table13[[#This Row],[Put Gex]]*Table13[[#This Row],[DeltaP]]*-1</f>
        <v>0</v>
      </c>
      <c r="AE283">
        <f ca="1">Table13[[#This Row],[Call Gex]]*Table13[[#This Row],[DeltaC]]</f>
        <v>0</v>
      </c>
      <c r="AF283">
        <f>IF(Table13[[#This Row],[DeltaC]]-ABS(Table13[[#This Row],[DeltaP]])="0","0.01",Table13[[#This Row],[DeltaC]]-ABS(Table13[[#This Row],[DeltaP]]))</f>
        <v>0</v>
      </c>
      <c r="AG283" t="e">
        <f ca="1">((LN($A$4/Table13[[#This Row],[Strike]]) + (0.411 + 0.5 * Table13[[#This Row],[IV Calc P]]^2) *Table13[[#This Row],[T]])) / (Table13[[#This Row],[IV Calc P]] * SQRT(Table13[[#This Row],[T]]))</f>
        <v>#DIV/0!</v>
      </c>
      <c r="AH283" t="e">
        <f ca="1">(LN($A$4/Table13[[#This Row],[Strike]]) + (0.411-0 + 0.5 * Table13[[#This Row],[IV Calc C]]^2) *Table13[[#This Row],[T]]) / (Table13[[#This Row],[IV Calc C]] * SQRT(Table13[[#This Row],[T]]))</f>
        <v>#DIV/0!</v>
      </c>
      <c r="AI283" t="e">
        <f ca="1">(EXP(-(AG283^2)/2)/SQRT(2*PI())*EXP(0*SQRT(Table13[[#This Row],[T]]))/$A$4*18%*SQRT(SQRT(Table13[[#This Row],[T]])))</f>
        <v>#DIV/0!</v>
      </c>
      <c r="AJ283" t="e">
        <f ca="1">(EXP(-(AH283^2)/2)/SQRT(2*PI())*EXP(0*SQRT(Table13[[#This Row],[T]]))/$A$4*18%*SQRT(SQRT(Table13[[#This Row],[T]])))</f>
        <v>#DIV/0!</v>
      </c>
      <c r="AK283" t="e">
        <f ca="1">Table13[[#This Row],[Call D1]]-Table13[[#This Row],[IV Calc C]]*SQRT(Table13[[#This Row],[T]])</f>
        <v>#DIV/0!</v>
      </c>
      <c r="AL283" t="e">
        <f ca="1">Table13[[#This Row],[Put D1]]-Table13[[#This Row],[IV Calc P]]*SQRT(Table13[[#This Row],[T]])</f>
        <v>#DIV/0!</v>
      </c>
      <c r="AM283" t="e">
        <f ca="1">EXP(-0.5*Table13[[#This Row],[Call D1]]^2)/SQRT(2*PI())</f>
        <v>#DIV/0!</v>
      </c>
      <c r="AN283" t="e">
        <f ca="1">EXP(-0.5*Table13[[#This Row],[Put D1]]^2)/SQRT(2*PI())</f>
        <v>#DIV/0!</v>
      </c>
      <c r="AO283">
        <f ca="1">IFERROR((EXP(0*Table13[[#This Row],[T]])*Table13[[#This Row],[call N(d1)]]*(Table13[[#This Row],[call d2]]/Table13[[#This Row],[IV Calc C]]))*Table13[[#This Row],[Open.Int]]*Table13[[#This Row],[DeltaC]],0)</f>
        <v>0</v>
      </c>
      <c r="AP283">
        <f ca="1">IFERROR((EXP(0*Table13[[#This Row],[T]])*Table13[[#This Row],[put N(d1)]]*(Table13[[#This Row],[put d2]]/Table13[[#This Row],[IV Calc P]]))*Table13[[#This Row],[Open.Int8]]*Table13[[#This Row],[DeltaP]]*-1,0)</f>
        <v>0</v>
      </c>
      <c r="AQ283">
        <f ca="1">((Table13[[#This Row],[call vanna]]+Table13[[#This Row],[put vanna]])*$A$4)</f>
        <v>0</v>
      </c>
      <c r="AR28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3" s="9" t="str" cm="1">
        <f t="array" ref="AT283">_xlfn.IFS(     $M$1="SPX","SPXW",     $M$1="RUT","RUTW",  $M$1="NDX","NDXP",   TRUE,$M$1 )</f>
        <v>SPXW</v>
      </c>
      <c r="AU283" s="2">
        <f t="shared" si="32"/>
        <v>6915</v>
      </c>
      <c r="AV283" t="str">
        <f t="shared" si="33"/>
        <v>000100</v>
      </c>
      <c r="AY28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3">
        <f>((Table13[[#This Row],[High C]]+Table13[[#This Row],[Low C]])/2)*Table13[[#This Row],[gammac]]*Table13[[#This Row],[Volume]]</f>
        <v>0</v>
      </c>
      <c r="BD283">
        <f>((Table13[[#This Row],[High P]]+Table13[[#This Row],[Low P]])/2)*Table13[[#This Row],[gammap]]*Table13[[#This Row],[Volume9]]*-1</f>
        <v>0</v>
      </c>
      <c r="BE283">
        <f>(Table13[[#This Row],[SgammaC]]+Table13[[#This Row],[SgammaP]])*$A$4*-100</f>
        <v>0</v>
      </c>
      <c r="BF283">
        <f>Table13[[#This Row],[DEXc]]+Table13[[#This Row],[DEXp]]</f>
        <v>0</v>
      </c>
      <c r="BG283">
        <f>IFERROR(Table13[[#This Row],[DeltaC]]*Table13[[#This Row],[Open.Int]]*$A$4,0)</f>
        <v>0</v>
      </c>
      <c r="BH283">
        <f>IFERROR(Table13[[#This Row],[DeltaP]]*Table13[[#This Row],[Open.Int8]]*$A$4,0)</f>
        <v>0</v>
      </c>
      <c r="BI28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3">
        <f ca="1">Table13[[#This Row],[charmc]]+Table13[[#This Row],[charmp]]</f>
        <v>0</v>
      </c>
      <c r="BL28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3" s="78">
        <f ca="1">Table13[[#This Row],[call helper]]+Table13[[#This Row],[put helper]]</f>
        <v>0</v>
      </c>
      <c r="BP283" t="str">
        <f>RTD("tos.rtd", , "STRIKE", "."&amp;Table13[[#This Row],[Ticker]]&amp;Table13[[#This Row],[Expiry]]&amp;""&amp;"C"&amp;Table13[[#This Row],[Spot]]+Table13[[#This Row],[step]])</f>
        <v>N/A</v>
      </c>
    </row>
    <row r="284" spans="1:68" x14ac:dyDescent="0.25">
      <c r="A284" s="24">
        <f t="shared" ca="1" si="29"/>
        <v>-126.14810350076104</v>
      </c>
      <c r="B284" s="13"/>
      <c r="C284" s="17"/>
      <c r="D284" t="b">
        <f>IF(
    ISNUMBER(Table13[[#This Row],[Strike]]),RTD("tos.rtd", , "OPEN_INT", "."&amp;Table13[[#This Row],[Ticker]]&amp;Table13[[#This Row],[Expiry]]&amp;""&amp;"C"&amp;Table13[[#This Row],[Strike]]))</f>
        <v>0</v>
      </c>
      <c r="E28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4" t="b">
        <f>IF(     ISNUMBER(Table13[[#This Row],[Strike]]),RTD("tos.rtd", , "DELTA", "."&amp;Table13[[#This Row],[Ticker]]&amp;Table13[[#This Row],[Expiry]]&amp;""&amp;"C"&amp;Table13[[#This Row],[Strike]]))</f>
        <v>0</v>
      </c>
      <c r="H284" s="17" t="b" cm="1">
        <f t="array" ref="H284">IF(
    ISNUMBER(Table13[[#This Row],[Strike]]),IndividualLegIVCore($A$4, Table13[[#This Row],[Strike]], 0.0411, Table13[[#This Row],[T]], ((Table13[[#This Row],[BIDC]]+Table13[[#This Row],[ASKC]])/2), TRUE))</f>
        <v>0</v>
      </c>
      <c r="I284" t="b">
        <f>IF(     ISNUMBER(Table13[[#This Row],[Strike]]),RTD("tos.rtd", , "BID", "."&amp;Table13[[#This Row],[Ticker]]&amp;Table13[[#This Row],[Expiry]]&amp;""&amp;"C"&amp;Table13[[#This Row],[Strike]]))</f>
        <v>0</v>
      </c>
      <c r="J284" t="b">
        <f>IF(     ISNUMBER(Table13[[#This Row],[Strike]]),RTD("tos.rtd", , "ASK", "."&amp;Table13[[#This Row],[Ticker]]&amp;Table13[[#This Row],[Expiry]]&amp;""&amp;"C"&amp;Table13[[#This Row],[Strike]]))</f>
        <v>0</v>
      </c>
      <c r="K28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4" s="17" cm="1">
        <f t="array" aca="1" ref="L28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4" s="1">
        <f t="shared" si="30"/>
        <v>0</v>
      </c>
      <c r="N284" t="b">
        <f t="shared" si="31"/>
        <v>0</v>
      </c>
      <c r="P284" s="17" t="b" cm="1">
        <f t="array" ref="P284">IF(
    ISNUMBER(Table13[[#This Row],[Strike]]),IndividualLegIVCore($A$4, Table13[[#This Row],[Strike]], 0.0411, Table13[[#This Row],[T]], ((Table13[[#This Row],[BIDP]]+Table13[[#This Row],[ASKP]])/2), FALSE))</f>
        <v>0</v>
      </c>
      <c r="Q284" t="b">
        <f>IF(     ISNUMBER(Table13[[#This Row],[Strike]]),RTD("tos.rtd", , "BID", "."&amp;Table13[[#This Row],[Ticker]]&amp;Table13[[#This Row],[Expiry]]&amp;""&amp;"P"&amp;Table13[[#This Row],[Strike]]))</f>
        <v>0</v>
      </c>
      <c r="R284" t="b">
        <f>IF(     ISNUMBER(Table13[[#This Row],[Strike]]),RTD("tos.rtd", , "ASK", "."&amp;Table13[[#This Row],[Ticker]]&amp;Table13[[#This Row],[Expiry]]&amp;""&amp;"P"&amp;Table13[[#This Row],[Strike]]))</f>
        <v>0</v>
      </c>
      <c r="S284" s="17"/>
      <c r="T284" t="b">
        <f>IF(     ISNUMBER(Table13[[#This Row],[Strike]]),RTD("tos.rtd", , "OPEN_INT", "."&amp;Table13[[#This Row],[Ticker]]&amp;Table13[[#This Row],[Expiry]]&amp;""&amp;"P"&amp;Table13[[#This Row],[Strike]]))</f>
        <v>0</v>
      </c>
      <c r="U28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4" t="b">
        <f>IF(     ISNUMBER(Table13[[#This Row],[Strike]]),RTD("tos.rtd", , "DELTA", "."&amp;Table13[[#This Row],[Ticker]]&amp;Table13[[#This Row],[Expiry]]&amp;""&amp;"P"&amp;Table13[[#This Row],[Strike]]))</f>
        <v>0</v>
      </c>
      <c r="X284" s="13"/>
      <c r="Y284" s="19">
        <f>-14.5* IF($M$1="NDX", 10, IF(OR($M$1="SPX", $M$1="RUT"), 2, 1))</f>
        <v>-29</v>
      </c>
      <c r="Z284">
        <f ca="1">IFERROR(Table13[[#This Row],[call gamma]]*(Table13[[#This Row],[Open.Int]])*$A$4^2,0)</f>
        <v>0</v>
      </c>
      <c r="AA284">
        <f ca="1">IFERROR(((Table13[[#This Row],[Open.Int8]])*Table13[[#This Row],[Put gamma]])*-1*$A$4^2,0)</f>
        <v>0</v>
      </c>
      <c r="AB284">
        <f ca="1">(Table13[[#This Row],[Call Gex]]+Table13[[#This Row],[Put Gex]])</f>
        <v>0</v>
      </c>
      <c r="AC284">
        <f ca="1">Table13[[#This Row],[put delta adj]]+Table13[[#This Row],[call delta adj]]</f>
        <v>0</v>
      </c>
      <c r="AD284">
        <f ca="1">Table13[[#This Row],[Put Gex]]*Table13[[#This Row],[DeltaP]]*-1</f>
        <v>0</v>
      </c>
      <c r="AE284">
        <f ca="1">Table13[[#This Row],[Call Gex]]*Table13[[#This Row],[DeltaC]]</f>
        <v>0</v>
      </c>
      <c r="AF284">
        <f>IF(Table13[[#This Row],[DeltaC]]-ABS(Table13[[#This Row],[DeltaP]])="0","0.01",Table13[[#This Row],[DeltaC]]-ABS(Table13[[#This Row],[DeltaP]]))</f>
        <v>0</v>
      </c>
      <c r="AG284" t="e">
        <f ca="1">((LN($A$4/Table13[[#This Row],[Strike]]) + (0.411 + 0.5 * Table13[[#This Row],[IV Calc P]]^2) *Table13[[#This Row],[T]])) / (Table13[[#This Row],[IV Calc P]] * SQRT(Table13[[#This Row],[T]]))</f>
        <v>#DIV/0!</v>
      </c>
      <c r="AH284" t="e">
        <f ca="1">(LN($A$4/Table13[[#This Row],[Strike]]) + (0.411-0 + 0.5 * Table13[[#This Row],[IV Calc C]]^2) *Table13[[#This Row],[T]]) / (Table13[[#This Row],[IV Calc C]] * SQRT(Table13[[#This Row],[T]]))</f>
        <v>#DIV/0!</v>
      </c>
      <c r="AI284" t="e">
        <f ca="1">(EXP(-(AG284^2)/2)/SQRT(2*PI())*EXP(0*SQRT(Table13[[#This Row],[T]]))/$A$4*18%*SQRT(SQRT(Table13[[#This Row],[T]])))</f>
        <v>#DIV/0!</v>
      </c>
      <c r="AJ284" t="e">
        <f ca="1">(EXP(-(AH284^2)/2)/SQRT(2*PI())*EXP(0*SQRT(Table13[[#This Row],[T]]))/$A$4*18%*SQRT(SQRT(Table13[[#This Row],[T]])))</f>
        <v>#DIV/0!</v>
      </c>
      <c r="AK284" t="e">
        <f ca="1">Table13[[#This Row],[Call D1]]-Table13[[#This Row],[IV Calc C]]*SQRT(Table13[[#This Row],[T]])</f>
        <v>#DIV/0!</v>
      </c>
      <c r="AL284" t="e">
        <f ca="1">Table13[[#This Row],[Put D1]]-Table13[[#This Row],[IV Calc P]]*SQRT(Table13[[#This Row],[T]])</f>
        <v>#DIV/0!</v>
      </c>
      <c r="AM284" t="e">
        <f ca="1">EXP(-0.5*Table13[[#This Row],[Call D1]]^2)/SQRT(2*PI())</f>
        <v>#DIV/0!</v>
      </c>
      <c r="AN284" t="e">
        <f ca="1">EXP(-0.5*Table13[[#This Row],[Put D1]]^2)/SQRT(2*PI())</f>
        <v>#DIV/0!</v>
      </c>
      <c r="AO284">
        <f ca="1">IFERROR((EXP(0*Table13[[#This Row],[T]])*Table13[[#This Row],[call N(d1)]]*(Table13[[#This Row],[call d2]]/Table13[[#This Row],[IV Calc C]]))*Table13[[#This Row],[Open.Int]]*Table13[[#This Row],[DeltaC]],0)</f>
        <v>0</v>
      </c>
      <c r="AP284">
        <f ca="1">IFERROR((EXP(0*Table13[[#This Row],[T]])*Table13[[#This Row],[put N(d1)]]*(Table13[[#This Row],[put d2]]/Table13[[#This Row],[IV Calc P]]))*Table13[[#This Row],[Open.Int8]]*Table13[[#This Row],[DeltaP]]*-1,0)</f>
        <v>0</v>
      </c>
      <c r="AQ284">
        <f ca="1">((Table13[[#This Row],[call vanna]]+Table13[[#This Row],[put vanna]])*$A$4)</f>
        <v>0</v>
      </c>
      <c r="AR28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4" s="22" t="str" cm="1">
        <f t="array" ref="AT284">_xlfn.IFS(     $M$1="SPX","SPXW",     $M$1="RUT","RUTW",  $M$1="NDX","NDXP",   TRUE,$M$1 )</f>
        <v>SPXW</v>
      </c>
      <c r="AU284" s="2">
        <f t="shared" si="32"/>
        <v>6915</v>
      </c>
      <c r="AV284" t="str">
        <f t="shared" si="33"/>
        <v>000100</v>
      </c>
      <c r="AY28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4">
        <f>((Table13[[#This Row],[High C]]+Table13[[#This Row],[Low C]])/2)*Table13[[#This Row],[gammac]]*Table13[[#This Row],[Volume]]</f>
        <v>0</v>
      </c>
      <c r="BD284">
        <f>((Table13[[#This Row],[High P]]+Table13[[#This Row],[Low P]])/2)*Table13[[#This Row],[gammap]]*Table13[[#This Row],[Volume9]]*-1</f>
        <v>0</v>
      </c>
      <c r="BE284">
        <f>(Table13[[#This Row],[SgammaC]]+Table13[[#This Row],[SgammaP]])*$A$4*-100</f>
        <v>0</v>
      </c>
      <c r="BF284">
        <f>Table13[[#This Row],[DEXc]]+Table13[[#This Row],[DEXp]]</f>
        <v>0</v>
      </c>
      <c r="BG284">
        <f>IFERROR(Table13[[#This Row],[DeltaC]]*Table13[[#This Row],[Open.Int]]*$A$4,0)</f>
        <v>0</v>
      </c>
      <c r="BH284">
        <f>IFERROR(Table13[[#This Row],[DeltaP]]*Table13[[#This Row],[Open.Int8]]*$A$4,0)</f>
        <v>0</v>
      </c>
      <c r="BI28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4">
        <f ca="1">Table13[[#This Row],[charmc]]+Table13[[#This Row],[charmp]]</f>
        <v>0</v>
      </c>
      <c r="BL28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4" s="78">
        <f ca="1">Table13[[#This Row],[call helper]]+Table13[[#This Row],[put helper]]</f>
        <v>0</v>
      </c>
      <c r="BP284" t="str">
        <f>RTD("tos.rtd", , "STRIKE", "."&amp;Table13[[#This Row],[Ticker]]&amp;Table13[[#This Row],[Expiry]]&amp;""&amp;"C"&amp;Table13[[#This Row],[Spot]]+Table13[[#This Row],[step]])</f>
        <v>N/A</v>
      </c>
    </row>
    <row r="285" spans="1:68" x14ac:dyDescent="0.25">
      <c r="A285" s="14">
        <f t="shared" ca="1" si="29"/>
        <v>-126.14810350076104</v>
      </c>
      <c r="C285" s="17"/>
      <c r="D285" t="b">
        <f>IF(
    ISNUMBER(Table13[[#This Row],[Strike]]),RTD("tos.rtd", , "OPEN_INT", "."&amp;Table13[[#This Row],[Ticker]]&amp;Table13[[#This Row],[Expiry]]&amp;""&amp;"C"&amp;Table13[[#This Row],[Strike]]))</f>
        <v>0</v>
      </c>
      <c r="E28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5" t="b">
        <f>IF(     ISNUMBER(Table13[[#This Row],[Strike]]),RTD("tos.rtd", , "DELTA", "."&amp;Table13[[#This Row],[Ticker]]&amp;Table13[[#This Row],[Expiry]]&amp;""&amp;"C"&amp;Table13[[#This Row],[Strike]]))</f>
        <v>0</v>
      </c>
      <c r="H285" s="17" t="b" cm="1">
        <f t="array" ref="H285">IF(
    ISNUMBER(Table13[[#This Row],[Strike]]),IndividualLegIVCore($A$4, Table13[[#This Row],[Strike]], 0.0411, Table13[[#This Row],[T]], ((Table13[[#This Row],[BIDC]]+Table13[[#This Row],[ASKC]])/2), TRUE))</f>
        <v>0</v>
      </c>
      <c r="I285" t="b">
        <f>IF(     ISNUMBER(Table13[[#This Row],[Strike]]),RTD("tos.rtd", , "BID", "."&amp;Table13[[#This Row],[Ticker]]&amp;Table13[[#This Row],[Expiry]]&amp;""&amp;"C"&amp;Table13[[#This Row],[Strike]]))</f>
        <v>0</v>
      </c>
      <c r="J285" t="b">
        <f>IF(     ISNUMBER(Table13[[#This Row],[Strike]]),RTD("tos.rtd", , "ASK", "."&amp;Table13[[#This Row],[Ticker]]&amp;Table13[[#This Row],[Expiry]]&amp;""&amp;"C"&amp;Table13[[#This Row],[Strike]]))</f>
        <v>0</v>
      </c>
      <c r="K28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5" s="17" cm="1">
        <f t="array" aca="1" ref="L28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5" s="1">
        <f t="shared" si="30"/>
        <v>0</v>
      </c>
      <c r="N285" t="b">
        <f t="shared" si="31"/>
        <v>0</v>
      </c>
      <c r="P285" s="17" t="b" cm="1">
        <f t="array" ref="P285">IF(
    ISNUMBER(Table13[[#This Row],[Strike]]),IndividualLegIVCore($A$4, Table13[[#This Row],[Strike]], 0.0411, Table13[[#This Row],[T]], ((Table13[[#This Row],[BIDP]]+Table13[[#This Row],[ASKP]])/2), FALSE))</f>
        <v>0</v>
      </c>
      <c r="Q285" t="b">
        <f>IF(     ISNUMBER(Table13[[#This Row],[Strike]]),RTD("tos.rtd", , "BID", "."&amp;Table13[[#This Row],[Ticker]]&amp;Table13[[#This Row],[Expiry]]&amp;""&amp;"P"&amp;Table13[[#This Row],[Strike]]))</f>
        <v>0</v>
      </c>
      <c r="R285" t="b">
        <f>IF(     ISNUMBER(Table13[[#This Row],[Strike]]),RTD("tos.rtd", , "ASK", "."&amp;Table13[[#This Row],[Ticker]]&amp;Table13[[#This Row],[Expiry]]&amp;""&amp;"P"&amp;Table13[[#This Row],[Strike]]))</f>
        <v>0</v>
      </c>
      <c r="S285" s="17"/>
      <c r="T285" t="b">
        <f>IF(     ISNUMBER(Table13[[#This Row],[Strike]]),RTD("tos.rtd", , "OPEN_INT", "."&amp;Table13[[#This Row],[Ticker]]&amp;Table13[[#This Row],[Expiry]]&amp;""&amp;"P"&amp;Table13[[#This Row],[Strike]]))</f>
        <v>0</v>
      </c>
      <c r="U28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5" t="b">
        <f>IF(     ISNUMBER(Table13[[#This Row],[Strike]]),RTD("tos.rtd", , "DELTA", "."&amp;Table13[[#This Row],[Ticker]]&amp;Table13[[#This Row],[Expiry]]&amp;""&amp;"P"&amp;Table13[[#This Row],[Strike]]))</f>
        <v>0</v>
      </c>
      <c r="Y285" s="19">
        <f>-14* IF($M$1="NDX", 10, IF(OR($M$1="SPX", $M$1="RUT"), 2, 1))</f>
        <v>-28</v>
      </c>
      <c r="Z285">
        <f ca="1">IFERROR(Table13[[#This Row],[call gamma]]*(Table13[[#This Row],[Open.Int]])*$A$4^2,0)</f>
        <v>0</v>
      </c>
      <c r="AA285">
        <f ca="1">IFERROR(((Table13[[#This Row],[Open.Int8]])*Table13[[#This Row],[Put gamma]])*-1*$A$4^2,0)</f>
        <v>0</v>
      </c>
      <c r="AB285">
        <f ca="1">(Table13[[#This Row],[Call Gex]]+Table13[[#This Row],[Put Gex]])</f>
        <v>0</v>
      </c>
      <c r="AC285">
        <f ca="1">Table13[[#This Row],[put delta adj]]+Table13[[#This Row],[call delta adj]]</f>
        <v>0</v>
      </c>
      <c r="AD285">
        <f ca="1">Table13[[#This Row],[Put Gex]]*Table13[[#This Row],[DeltaP]]*-1</f>
        <v>0</v>
      </c>
      <c r="AE285">
        <f ca="1">Table13[[#This Row],[Call Gex]]*Table13[[#This Row],[DeltaC]]</f>
        <v>0</v>
      </c>
      <c r="AF285">
        <f>IF(Table13[[#This Row],[DeltaC]]-ABS(Table13[[#This Row],[DeltaP]])="0","0.01",Table13[[#This Row],[DeltaC]]-ABS(Table13[[#This Row],[DeltaP]]))</f>
        <v>0</v>
      </c>
      <c r="AG285" t="e">
        <f ca="1">((LN($A$4/Table13[[#This Row],[Strike]]) + (0.411 + 0.5 * Table13[[#This Row],[IV Calc P]]^2) *Table13[[#This Row],[T]])) / (Table13[[#This Row],[IV Calc P]] * SQRT(Table13[[#This Row],[T]]))</f>
        <v>#DIV/0!</v>
      </c>
      <c r="AH285" t="e">
        <f ca="1">(LN($A$4/Table13[[#This Row],[Strike]]) + (0.411-0 + 0.5 * Table13[[#This Row],[IV Calc C]]^2) *Table13[[#This Row],[T]]) / (Table13[[#This Row],[IV Calc C]] * SQRT(Table13[[#This Row],[T]]))</f>
        <v>#DIV/0!</v>
      </c>
      <c r="AI285" t="e">
        <f ca="1">(EXP(-(AG285^2)/2)/SQRT(2*PI())*EXP(0*SQRT(Table13[[#This Row],[T]]))/$A$4*18%*SQRT(SQRT(Table13[[#This Row],[T]])))</f>
        <v>#DIV/0!</v>
      </c>
      <c r="AJ285" t="e">
        <f ca="1">(EXP(-(AH285^2)/2)/SQRT(2*PI())*EXP(0*SQRT(Table13[[#This Row],[T]]))/$A$4*18%*SQRT(SQRT(Table13[[#This Row],[T]])))</f>
        <v>#DIV/0!</v>
      </c>
      <c r="AK285" t="e">
        <f ca="1">Table13[[#This Row],[Call D1]]-Table13[[#This Row],[IV Calc C]]*SQRT(Table13[[#This Row],[T]])</f>
        <v>#DIV/0!</v>
      </c>
      <c r="AL285" t="e">
        <f ca="1">Table13[[#This Row],[Put D1]]-Table13[[#This Row],[IV Calc P]]*SQRT(Table13[[#This Row],[T]])</f>
        <v>#DIV/0!</v>
      </c>
      <c r="AM285" t="e">
        <f ca="1">EXP(-0.5*Table13[[#This Row],[Call D1]]^2)/SQRT(2*PI())</f>
        <v>#DIV/0!</v>
      </c>
      <c r="AN285" t="e">
        <f ca="1">EXP(-0.5*Table13[[#This Row],[Put D1]]^2)/SQRT(2*PI())</f>
        <v>#DIV/0!</v>
      </c>
      <c r="AO285">
        <f ca="1">IFERROR((EXP(0*Table13[[#This Row],[T]])*Table13[[#This Row],[call N(d1)]]*(Table13[[#This Row],[call d2]]/Table13[[#This Row],[IV Calc C]]))*Table13[[#This Row],[Open.Int]]*Table13[[#This Row],[DeltaC]],0)</f>
        <v>0</v>
      </c>
      <c r="AP285">
        <f ca="1">IFERROR((EXP(0*Table13[[#This Row],[T]])*Table13[[#This Row],[put N(d1)]]*(Table13[[#This Row],[put d2]]/Table13[[#This Row],[IV Calc P]]))*Table13[[#This Row],[Open.Int8]]*Table13[[#This Row],[DeltaP]]*-1,0)</f>
        <v>0</v>
      </c>
      <c r="AQ285">
        <f ca="1">((Table13[[#This Row],[call vanna]]+Table13[[#This Row],[put vanna]])*$A$4)</f>
        <v>0</v>
      </c>
      <c r="AR28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5" s="9" t="str" cm="1">
        <f t="array" ref="AT285">_xlfn.IFS(     $M$1="SPX","SPXW",     $M$1="RUT","RUTW",  $M$1="NDX","NDXP",   TRUE,$M$1 )</f>
        <v>SPXW</v>
      </c>
      <c r="AU285" s="2">
        <f t="shared" si="32"/>
        <v>6915</v>
      </c>
      <c r="AV285" t="str">
        <f t="shared" si="33"/>
        <v>000100</v>
      </c>
      <c r="AY28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5">
        <f>((Table13[[#This Row],[High C]]+Table13[[#This Row],[Low C]])/2)*Table13[[#This Row],[gammac]]*Table13[[#This Row],[Volume]]</f>
        <v>0</v>
      </c>
      <c r="BD285">
        <f>((Table13[[#This Row],[High P]]+Table13[[#This Row],[Low P]])/2)*Table13[[#This Row],[gammap]]*Table13[[#This Row],[Volume9]]*-1</f>
        <v>0</v>
      </c>
      <c r="BE285">
        <f>(Table13[[#This Row],[SgammaC]]+Table13[[#This Row],[SgammaP]])*$A$4*-100</f>
        <v>0</v>
      </c>
      <c r="BF285">
        <f>Table13[[#This Row],[DEXc]]+Table13[[#This Row],[DEXp]]</f>
        <v>0</v>
      </c>
      <c r="BG285">
        <f>IFERROR(Table13[[#This Row],[DeltaC]]*Table13[[#This Row],[Open.Int]]*$A$4,0)</f>
        <v>0</v>
      </c>
      <c r="BH285">
        <f>IFERROR(Table13[[#This Row],[DeltaP]]*Table13[[#This Row],[Open.Int8]]*$A$4,0)</f>
        <v>0</v>
      </c>
      <c r="BI28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5">
        <f ca="1">Table13[[#This Row],[charmc]]+Table13[[#This Row],[charmp]]</f>
        <v>0</v>
      </c>
      <c r="BL28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5" s="78">
        <f ca="1">Table13[[#This Row],[call helper]]+Table13[[#This Row],[put helper]]</f>
        <v>0</v>
      </c>
      <c r="BP285" t="str">
        <f>RTD("tos.rtd", , "STRIKE", "."&amp;Table13[[#This Row],[Ticker]]&amp;Table13[[#This Row],[Expiry]]&amp;""&amp;"C"&amp;Table13[[#This Row],[Spot]]+Table13[[#This Row],[step]])</f>
        <v>N/A</v>
      </c>
    </row>
    <row r="286" spans="1:68" x14ac:dyDescent="0.25">
      <c r="A286" s="14">
        <f t="shared" ca="1" si="29"/>
        <v>-126.14810350076104</v>
      </c>
      <c r="C286" s="17"/>
      <c r="D286" t="b">
        <f>IF(
    ISNUMBER(Table13[[#This Row],[Strike]]),RTD("tos.rtd", , "OPEN_INT", "."&amp;Table13[[#This Row],[Ticker]]&amp;Table13[[#This Row],[Expiry]]&amp;""&amp;"C"&amp;Table13[[#This Row],[Strike]]))</f>
        <v>0</v>
      </c>
      <c r="E28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6" t="b">
        <f>IF(     ISNUMBER(Table13[[#This Row],[Strike]]),RTD("tos.rtd", , "DELTA", "."&amp;Table13[[#This Row],[Ticker]]&amp;Table13[[#This Row],[Expiry]]&amp;""&amp;"C"&amp;Table13[[#This Row],[Strike]]))</f>
        <v>0</v>
      </c>
      <c r="H286" s="17" t="b" cm="1">
        <f t="array" ref="H286">IF(
    ISNUMBER(Table13[[#This Row],[Strike]]),IndividualLegIVCore($A$4, Table13[[#This Row],[Strike]], 0.0411, Table13[[#This Row],[T]], ((Table13[[#This Row],[BIDC]]+Table13[[#This Row],[ASKC]])/2), TRUE))</f>
        <v>0</v>
      </c>
      <c r="I286" t="b">
        <f>IF(     ISNUMBER(Table13[[#This Row],[Strike]]),RTD("tos.rtd", , "BID", "."&amp;Table13[[#This Row],[Ticker]]&amp;Table13[[#This Row],[Expiry]]&amp;""&amp;"C"&amp;Table13[[#This Row],[Strike]]))</f>
        <v>0</v>
      </c>
      <c r="J286" t="b">
        <f>IF(     ISNUMBER(Table13[[#This Row],[Strike]]),RTD("tos.rtd", , "ASK", "."&amp;Table13[[#This Row],[Ticker]]&amp;Table13[[#This Row],[Expiry]]&amp;""&amp;"C"&amp;Table13[[#This Row],[Strike]]))</f>
        <v>0</v>
      </c>
      <c r="K28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6" s="17" cm="1">
        <f t="array" aca="1" ref="L28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6" s="1">
        <f t="shared" si="30"/>
        <v>0</v>
      </c>
      <c r="N286" t="b">
        <f t="shared" si="31"/>
        <v>0</v>
      </c>
      <c r="P286" s="17" t="b" cm="1">
        <f t="array" ref="P286">IF(
    ISNUMBER(Table13[[#This Row],[Strike]]),IndividualLegIVCore($A$4, Table13[[#This Row],[Strike]], 0.0411, Table13[[#This Row],[T]], ((Table13[[#This Row],[BIDP]]+Table13[[#This Row],[ASKP]])/2), FALSE))</f>
        <v>0</v>
      </c>
      <c r="Q286" t="b">
        <f>IF(     ISNUMBER(Table13[[#This Row],[Strike]]),RTD("tos.rtd", , "BID", "."&amp;Table13[[#This Row],[Ticker]]&amp;Table13[[#This Row],[Expiry]]&amp;""&amp;"P"&amp;Table13[[#This Row],[Strike]]))</f>
        <v>0</v>
      </c>
      <c r="R286" t="b">
        <f>IF(     ISNUMBER(Table13[[#This Row],[Strike]]),RTD("tos.rtd", , "ASK", "."&amp;Table13[[#This Row],[Ticker]]&amp;Table13[[#This Row],[Expiry]]&amp;""&amp;"P"&amp;Table13[[#This Row],[Strike]]))</f>
        <v>0</v>
      </c>
      <c r="S286" s="17"/>
      <c r="T286" t="b">
        <f>IF(     ISNUMBER(Table13[[#This Row],[Strike]]),RTD("tos.rtd", , "OPEN_INT", "."&amp;Table13[[#This Row],[Ticker]]&amp;Table13[[#This Row],[Expiry]]&amp;""&amp;"P"&amp;Table13[[#This Row],[Strike]]))</f>
        <v>0</v>
      </c>
      <c r="U28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6" t="b">
        <f>IF(     ISNUMBER(Table13[[#This Row],[Strike]]),RTD("tos.rtd", , "DELTA", "."&amp;Table13[[#This Row],[Ticker]]&amp;Table13[[#This Row],[Expiry]]&amp;""&amp;"P"&amp;Table13[[#This Row],[Strike]]))</f>
        <v>0</v>
      </c>
      <c r="Y286" s="19">
        <f>-13.5* IF($M$1="NDX", 10, IF(OR($M$1="SPX", $M$1="RUT"), 2, 1))</f>
        <v>-27</v>
      </c>
      <c r="Z286">
        <f ca="1">IFERROR(Table13[[#This Row],[call gamma]]*(Table13[[#This Row],[Open.Int]])*$A$4^2,0)</f>
        <v>0</v>
      </c>
      <c r="AA286">
        <f ca="1">IFERROR(((Table13[[#This Row],[Open.Int8]])*Table13[[#This Row],[Put gamma]])*-1*$A$4^2,0)</f>
        <v>0</v>
      </c>
      <c r="AB286">
        <f ca="1">(Table13[[#This Row],[Call Gex]]+Table13[[#This Row],[Put Gex]])</f>
        <v>0</v>
      </c>
      <c r="AC286">
        <f ca="1">Table13[[#This Row],[put delta adj]]+Table13[[#This Row],[call delta adj]]</f>
        <v>0</v>
      </c>
      <c r="AD286">
        <f ca="1">Table13[[#This Row],[Put Gex]]*Table13[[#This Row],[DeltaP]]*-1</f>
        <v>0</v>
      </c>
      <c r="AE286">
        <f ca="1">Table13[[#This Row],[Call Gex]]*Table13[[#This Row],[DeltaC]]</f>
        <v>0</v>
      </c>
      <c r="AF286">
        <f>IF(Table13[[#This Row],[DeltaC]]-ABS(Table13[[#This Row],[DeltaP]])="0","0.01",Table13[[#This Row],[DeltaC]]-ABS(Table13[[#This Row],[DeltaP]]))</f>
        <v>0</v>
      </c>
      <c r="AG286" t="e">
        <f ca="1">((LN($A$4/Table13[[#This Row],[Strike]]) + (0.411 + 0.5 * Table13[[#This Row],[IV Calc P]]^2) *Table13[[#This Row],[T]])) / (Table13[[#This Row],[IV Calc P]] * SQRT(Table13[[#This Row],[T]]))</f>
        <v>#DIV/0!</v>
      </c>
      <c r="AH286" t="e">
        <f ca="1">(LN($A$4/Table13[[#This Row],[Strike]]) + (0.411-0 + 0.5 * Table13[[#This Row],[IV Calc C]]^2) *Table13[[#This Row],[T]]) / (Table13[[#This Row],[IV Calc C]] * SQRT(Table13[[#This Row],[T]]))</f>
        <v>#DIV/0!</v>
      </c>
      <c r="AI286" t="e">
        <f ca="1">(EXP(-(AG286^2)/2)/SQRT(2*PI())*EXP(0*SQRT(Table13[[#This Row],[T]]))/$A$4*18%*SQRT(SQRT(Table13[[#This Row],[T]])))</f>
        <v>#DIV/0!</v>
      </c>
      <c r="AJ286" t="e">
        <f ca="1">(EXP(-(AH286^2)/2)/SQRT(2*PI())*EXP(0*SQRT(Table13[[#This Row],[T]]))/$A$4*18%*SQRT(SQRT(Table13[[#This Row],[T]])))</f>
        <v>#DIV/0!</v>
      </c>
      <c r="AK286" t="e">
        <f ca="1">Table13[[#This Row],[Call D1]]-Table13[[#This Row],[IV Calc C]]*SQRT(Table13[[#This Row],[T]])</f>
        <v>#DIV/0!</v>
      </c>
      <c r="AL286" t="e">
        <f ca="1">Table13[[#This Row],[Put D1]]-Table13[[#This Row],[IV Calc P]]*SQRT(Table13[[#This Row],[T]])</f>
        <v>#DIV/0!</v>
      </c>
      <c r="AM286" t="e">
        <f ca="1">EXP(-0.5*Table13[[#This Row],[Call D1]]^2)/SQRT(2*PI())</f>
        <v>#DIV/0!</v>
      </c>
      <c r="AN286" t="e">
        <f ca="1">EXP(-0.5*Table13[[#This Row],[Put D1]]^2)/SQRT(2*PI())</f>
        <v>#DIV/0!</v>
      </c>
      <c r="AO286">
        <f ca="1">IFERROR((EXP(0*Table13[[#This Row],[T]])*Table13[[#This Row],[call N(d1)]]*(Table13[[#This Row],[call d2]]/Table13[[#This Row],[IV Calc C]]))*Table13[[#This Row],[Open.Int]]*Table13[[#This Row],[DeltaC]],0)</f>
        <v>0</v>
      </c>
      <c r="AP286">
        <f ca="1">IFERROR((EXP(0*Table13[[#This Row],[T]])*Table13[[#This Row],[put N(d1)]]*(Table13[[#This Row],[put d2]]/Table13[[#This Row],[IV Calc P]]))*Table13[[#This Row],[Open.Int8]]*Table13[[#This Row],[DeltaP]]*-1,0)</f>
        <v>0</v>
      </c>
      <c r="AQ286">
        <f ca="1">((Table13[[#This Row],[call vanna]]+Table13[[#This Row],[put vanna]])*$A$4)</f>
        <v>0</v>
      </c>
      <c r="AR28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6" s="9" t="str" cm="1">
        <f t="array" ref="AT286">_xlfn.IFS(     $M$1="SPX","SPXW",     $M$1="RUT","RUTW",  $M$1="NDX","NDXP",   TRUE,$M$1 )</f>
        <v>SPXW</v>
      </c>
      <c r="AU286" s="2">
        <f t="shared" si="32"/>
        <v>6915</v>
      </c>
      <c r="AV286" t="str">
        <f t="shared" si="33"/>
        <v>000100</v>
      </c>
      <c r="AY28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6">
        <f>((Table13[[#This Row],[High C]]+Table13[[#This Row],[Low C]])/2)*Table13[[#This Row],[gammac]]*Table13[[#This Row],[Volume]]</f>
        <v>0</v>
      </c>
      <c r="BD286">
        <f>((Table13[[#This Row],[High P]]+Table13[[#This Row],[Low P]])/2)*Table13[[#This Row],[gammap]]*Table13[[#This Row],[Volume9]]*-1</f>
        <v>0</v>
      </c>
      <c r="BE286">
        <f>(Table13[[#This Row],[SgammaC]]+Table13[[#This Row],[SgammaP]])*$A$4*-100</f>
        <v>0</v>
      </c>
      <c r="BF286">
        <f>Table13[[#This Row],[DEXc]]+Table13[[#This Row],[DEXp]]</f>
        <v>0</v>
      </c>
      <c r="BG286">
        <f>IFERROR(Table13[[#This Row],[DeltaC]]*Table13[[#This Row],[Open.Int]]*$A$4,0)</f>
        <v>0</v>
      </c>
      <c r="BH286">
        <f>IFERROR(Table13[[#This Row],[DeltaP]]*Table13[[#This Row],[Open.Int8]]*$A$4,0)</f>
        <v>0</v>
      </c>
      <c r="BI28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6">
        <f ca="1">Table13[[#This Row],[charmc]]+Table13[[#This Row],[charmp]]</f>
        <v>0</v>
      </c>
      <c r="BL28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6" s="78">
        <f ca="1">Table13[[#This Row],[call helper]]+Table13[[#This Row],[put helper]]</f>
        <v>0</v>
      </c>
      <c r="BP286" t="str">
        <f>RTD("tos.rtd", , "STRIKE", "."&amp;Table13[[#This Row],[Ticker]]&amp;Table13[[#This Row],[Expiry]]&amp;""&amp;"C"&amp;Table13[[#This Row],[Spot]]+Table13[[#This Row],[step]])</f>
        <v>N/A</v>
      </c>
    </row>
    <row r="287" spans="1:68" x14ac:dyDescent="0.25">
      <c r="A287" s="14">
        <f t="shared" ca="1" si="29"/>
        <v>-126.14810350076104</v>
      </c>
      <c r="C287" s="17"/>
      <c r="D287" t="b">
        <f>IF(
    ISNUMBER(Table13[[#This Row],[Strike]]),RTD("tos.rtd", , "OPEN_INT", "."&amp;Table13[[#This Row],[Ticker]]&amp;Table13[[#This Row],[Expiry]]&amp;""&amp;"C"&amp;Table13[[#This Row],[Strike]]))</f>
        <v>0</v>
      </c>
      <c r="E28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7" t="b">
        <f>IF(     ISNUMBER(Table13[[#This Row],[Strike]]),RTD("tos.rtd", , "DELTA", "."&amp;Table13[[#This Row],[Ticker]]&amp;Table13[[#This Row],[Expiry]]&amp;""&amp;"C"&amp;Table13[[#This Row],[Strike]]))</f>
        <v>0</v>
      </c>
      <c r="H287" s="17" t="b" cm="1">
        <f t="array" ref="H287">IF(
    ISNUMBER(Table13[[#This Row],[Strike]]),IndividualLegIVCore($A$4, Table13[[#This Row],[Strike]], 0.0411, Table13[[#This Row],[T]], ((Table13[[#This Row],[BIDC]]+Table13[[#This Row],[ASKC]])/2), TRUE))</f>
        <v>0</v>
      </c>
      <c r="I287" t="b">
        <f>IF(     ISNUMBER(Table13[[#This Row],[Strike]]),RTD("tos.rtd", , "BID", "."&amp;Table13[[#This Row],[Ticker]]&amp;Table13[[#This Row],[Expiry]]&amp;""&amp;"C"&amp;Table13[[#This Row],[Strike]]))</f>
        <v>0</v>
      </c>
      <c r="J287" t="b">
        <f>IF(     ISNUMBER(Table13[[#This Row],[Strike]]),RTD("tos.rtd", , "ASK", "."&amp;Table13[[#This Row],[Ticker]]&amp;Table13[[#This Row],[Expiry]]&amp;""&amp;"C"&amp;Table13[[#This Row],[Strike]]))</f>
        <v>0</v>
      </c>
      <c r="K28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7" s="17" cm="1">
        <f t="array" aca="1" ref="L28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7" s="1">
        <f t="shared" si="30"/>
        <v>0</v>
      </c>
      <c r="N287" t="b">
        <f t="shared" si="31"/>
        <v>0</v>
      </c>
      <c r="P287" s="17" t="b" cm="1">
        <f t="array" ref="P287">IF(
    ISNUMBER(Table13[[#This Row],[Strike]]),IndividualLegIVCore($A$4, Table13[[#This Row],[Strike]], 0.0411, Table13[[#This Row],[T]], ((Table13[[#This Row],[BIDP]]+Table13[[#This Row],[ASKP]])/2), FALSE))</f>
        <v>0</v>
      </c>
      <c r="Q287" t="b">
        <f>IF(     ISNUMBER(Table13[[#This Row],[Strike]]),RTD("tos.rtd", , "BID", "."&amp;Table13[[#This Row],[Ticker]]&amp;Table13[[#This Row],[Expiry]]&amp;""&amp;"P"&amp;Table13[[#This Row],[Strike]]))</f>
        <v>0</v>
      </c>
      <c r="R287" t="b">
        <f>IF(     ISNUMBER(Table13[[#This Row],[Strike]]),RTD("tos.rtd", , "ASK", "."&amp;Table13[[#This Row],[Ticker]]&amp;Table13[[#This Row],[Expiry]]&amp;""&amp;"P"&amp;Table13[[#This Row],[Strike]]))</f>
        <v>0</v>
      </c>
      <c r="S287" s="17"/>
      <c r="T287" t="b">
        <f>IF(     ISNUMBER(Table13[[#This Row],[Strike]]),RTD("tos.rtd", , "OPEN_INT", "."&amp;Table13[[#This Row],[Ticker]]&amp;Table13[[#This Row],[Expiry]]&amp;""&amp;"P"&amp;Table13[[#This Row],[Strike]]))</f>
        <v>0</v>
      </c>
      <c r="U28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7" t="b">
        <f>IF(     ISNUMBER(Table13[[#This Row],[Strike]]),RTD("tos.rtd", , "DELTA", "."&amp;Table13[[#This Row],[Ticker]]&amp;Table13[[#This Row],[Expiry]]&amp;""&amp;"P"&amp;Table13[[#This Row],[Strike]]))</f>
        <v>0</v>
      </c>
      <c r="Y287" s="19">
        <f>-13* IF($M$1="NDX", 10, IF(OR($M$1="SPX", $M$1="RUT"), 2, 1))</f>
        <v>-26</v>
      </c>
      <c r="Z287">
        <f ca="1">IFERROR(Table13[[#This Row],[call gamma]]*(Table13[[#This Row],[Open.Int]])*$A$4^2,0)</f>
        <v>0</v>
      </c>
      <c r="AA287">
        <f ca="1">IFERROR(((Table13[[#This Row],[Open.Int8]])*Table13[[#This Row],[Put gamma]])*-1*$A$4^2,0)</f>
        <v>0</v>
      </c>
      <c r="AB287">
        <f ca="1">(Table13[[#This Row],[Call Gex]]+Table13[[#This Row],[Put Gex]])</f>
        <v>0</v>
      </c>
      <c r="AC287">
        <f ca="1">Table13[[#This Row],[put delta adj]]+Table13[[#This Row],[call delta adj]]</f>
        <v>0</v>
      </c>
      <c r="AD287">
        <f ca="1">Table13[[#This Row],[Put Gex]]*Table13[[#This Row],[DeltaP]]*-1</f>
        <v>0</v>
      </c>
      <c r="AE287">
        <f ca="1">Table13[[#This Row],[Call Gex]]*Table13[[#This Row],[DeltaC]]</f>
        <v>0</v>
      </c>
      <c r="AF287">
        <f>IF(Table13[[#This Row],[DeltaC]]-ABS(Table13[[#This Row],[DeltaP]])="0","0.01",Table13[[#This Row],[DeltaC]]-ABS(Table13[[#This Row],[DeltaP]]))</f>
        <v>0</v>
      </c>
      <c r="AG287" t="e">
        <f ca="1">((LN($A$4/Table13[[#This Row],[Strike]]) + (0.411 + 0.5 * Table13[[#This Row],[IV Calc P]]^2) *Table13[[#This Row],[T]])) / (Table13[[#This Row],[IV Calc P]] * SQRT(Table13[[#This Row],[T]]))</f>
        <v>#DIV/0!</v>
      </c>
      <c r="AH287" t="e">
        <f ca="1">(LN($A$4/Table13[[#This Row],[Strike]]) + (0.411-0 + 0.5 * Table13[[#This Row],[IV Calc C]]^2) *Table13[[#This Row],[T]]) / (Table13[[#This Row],[IV Calc C]] * SQRT(Table13[[#This Row],[T]]))</f>
        <v>#DIV/0!</v>
      </c>
      <c r="AI287" t="e">
        <f ca="1">(EXP(-(AG287^2)/2)/SQRT(2*PI())*EXP(0*SQRT(Table13[[#This Row],[T]]))/$A$4*18%*SQRT(SQRT(Table13[[#This Row],[T]])))</f>
        <v>#DIV/0!</v>
      </c>
      <c r="AJ287" t="e">
        <f ca="1">(EXP(-(AH287^2)/2)/SQRT(2*PI())*EXP(0*SQRT(Table13[[#This Row],[T]]))/$A$4*18%*SQRT(SQRT(Table13[[#This Row],[T]])))</f>
        <v>#DIV/0!</v>
      </c>
      <c r="AK287" t="e">
        <f ca="1">Table13[[#This Row],[Call D1]]-Table13[[#This Row],[IV Calc C]]*SQRT(Table13[[#This Row],[T]])</f>
        <v>#DIV/0!</v>
      </c>
      <c r="AL287" t="e">
        <f ca="1">Table13[[#This Row],[Put D1]]-Table13[[#This Row],[IV Calc P]]*SQRT(Table13[[#This Row],[T]])</f>
        <v>#DIV/0!</v>
      </c>
      <c r="AM287" t="e">
        <f ca="1">EXP(-0.5*Table13[[#This Row],[Call D1]]^2)/SQRT(2*PI())</f>
        <v>#DIV/0!</v>
      </c>
      <c r="AN287" t="e">
        <f ca="1">EXP(-0.5*Table13[[#This Row],[Put D1]]^2)/SQRT(2*PI())</f>
        <v>#DIV/0!</v>
      </c>
      <c r="AO287">
        <f ca="1">IFERROR((EXP(0*Table13[[#This Row],[T]])*Table13[[#This Row],[call N(d1)]]*(Table13[[#This Row],[call d2]]/Table13[[#This Row],[IV Calc C]]))*Table13[[#This Row],[Open.Int]]*Table13[[#This Row],[DeltaC]],0)</f>
        <v>0</v>
      </c>
      <c r="AP287">
        <f ca="1">IFERROR((EXP(0*Table13[[#This Row],[T]])*Table13[[#This Row],[put N(d1)]]*(Table13[[#This Row],[put d2]]/Table13[[#This Row],[IV Calc P]]))*Table13[[#This Row],[Open.Int8]]*Table13[[#This Row],[DeltaP]]*-1,0)</f>
        <v>0</v>
      </c>
      <c r="AQ287">
        <f ca="1">((Table13[[#This Row],[call vanna]]+Table13[[#This Row],[put vanna]])*$A$4)</f>
        <v>0</v>
      </c>
      <c r="AR28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7" s="9" t="str" cm="1">
        <f t="array" ref="AT287">_xlfn.IFS(     $M$1="SPX","SPXW",     $M$1="RUT","RUTW",  $M$1="NDX","NDXP",   TRUE,$M$1 )</f>
        <v>SPXW</v>
      </c>
      <c r="AU287" s="2">
        <f t="shared" si="32"/>
        <v>6915</v>
      </c>
      <c r="AV287" t="str">
        <f t="shared" si="33"/>
        <v>000100</v>
      </c>
      <c r="AY28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7">
        <f>((Table13[[#This Row],[High C]]+Table13[[#This Row],[Low C]])/2)*Table13[[#This Row],[gammac]]*Table13[[#This Row],[Volume]]</f>
        <v>0</v>
      </c>
      <c r="BD287">
        <f>((Table13[[#This Row],[High P]]+Table13[[#This Row],[Low P]])/2)*Table13[[#This Row],[gammap]]*Table13[[#This Row],[Volume9]]*-1</f>
        <v>0</v>
      </c>
      <c r="BE287">
        <f>(Table13[[#This Row],[SgammaC]]+Table13[[#This Row],[SgammaP]])*$A$4*-100</f>
        <v>0</v>
      </c>
      <c r="BF287">
        <f>Table13[[#This Row],[DEXc]]+Table13[[#This Row],[DEXp]]</f>
        <v>0</v>
      </c>
      <c r="BG287">
        <f>IFERROR(Table13[[#This Row],[DeltaC]]*Table13[[#This Row],[Open.Int]]*$A$4,0)</f>
        <v>0</v>
      </c>
      <c r="BH287">
        <f>IFERROR(Table13[[#This Row],[DeltaP]]*Table13[[#This Row],[Open.Int8]]*$A$4,0)</f>
        <v>0</v>
      </c>
      <c r="BI28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7">
        <f ca="1">Table13[[#This Row],[charmc]]+Table13[[#This Row],[charmp]]</f>
        <v>0</v>
      </c>
      <c r="BL28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7" s="78">
        <f ca="1">Table13[[#This Row],[call helper]]+Table13[[#This Row],[put helper]]</f>
        <v>0</v>
      </c>
      <c r="BP287" t="str">
        <f>RTD("tos.rtd", , "STRIKE", "."&amp;Table13[[#This Row],[Ticker]]&amp;Table13[[#This Row],[Expiry]]&amp;""&amp;"C"&amp;Table13[[#This Row],[Spot]]+Table13[[#This Row],[step]])</f>
        <v>N/A</v>
      </c>
    </row>
    <row r="288" spans="1:68" x14ac:dyDescent="0.25">
      <c r="A288" s="14">
        <f t="shared" ca="1" si="29"/>
        <v>-126.14810350076104</v>
      </c>
      <c r="C288" s="17"/>
      <c r="D288" t="b">
        <f>IF(
    ISNUMBER(Table13[[#This Row],[Strike]]),RTD("tos.rtd", , "OPEN_INT", "."&amp;Table13[[#This Row],[Ticker]]&amp;Table13[[#This Row],[Expiry]]&amp;""&amp;"C"&amp;Table13[[#This Row],[Strike]]))</f>
        <v>0</v>
      </c>
      <c r="E28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8" t="b">
        <f>IF(     ISNUMBER(Table13[[#This Row],[Strike]]),RTD("tos.rtd", , "DELTA", "."&amp;Table13[[#This Row],[Ticker]]&amp;Table13[[#This Row],[Expiry]]&amp;""&amp;"C"&amp;Table13[[#This Row],[Strike]]))</f>
        <v>0</v>
      </c>
      <c r="H288" s="17" t="b" cm="1">
        <f t="array" ref="H288">IF(
    ISNUMBER(Table13[[#This Row],[Strike]]),IndividualLegIVCore($A$4, Table13[[#This Row],[Strike]], 0.0411, Table13[[#This Row],[T]], ((Table13[[#This Row],[BIDC]]+Table13[[#This Row],[ASKC]])/2), TRUE))</f>
        <v>0</v>
      </c>
      <c r="I288" t="b">
        <f>IF(     ISNUMBER(Table13[[#This Row],[Strike]]),RTD("tos.rtd", , "BID", "."&amp;Table13[[#This Row],[Ticker]]&amp;Table13[[#This Row],[Expiry]]&amp;""&amp;"C"&amp;Table13[[#This Row],[Strike]]))</f>
        <v>0</v>
      </c>
      <c r="J288" t="b">
        <f>IF(     ISNUMBER(Table13[[#This Row],[Strike]]),RTD("tos.rtd", , "ASK", "."&amp;Table13[[#This Row],[Ticker]]&amp;Table13[[#This Row],[Expiry]]&amp;""&amp;"C"&amp;Table13[[#This Row],[Strike]]))</f>
        <v>0</v>
      </c>
      <c r="K28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8" s="17" cm="1">
        <f t="array" aca="1" ref="L28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8" s="1">
        <f t="shared" si="30"/>
        <v>0</v>
      </c>
      <c r="N288" t="b">
        <f t="shared" si="31"/>
        <v>0</v>
      </c>
      <c r="P288" s="17" t="b" cm="1">
        <f t="array" ref="P288">IF(
    ISNUMBER(Table13[[#This Row],[Strike]]),IndividualLegIVCore($A$4, Table13[[#This Row],[Strike]], 0.0411, Table13[[#This Row],[T]], ((Table13[[#This Row],[BIDP]]+Table13[[#This Row],[ASKP]])/2), FALSE))</f>
        <v>0</v>
      </c>
      <c r="Q288" t="b">
        <f>IF(     ISNUMBER(Table13[[#This Row],[Strike]]),RTD("tos.rtd", , "BID", "."&amp;Table13[[#This Row],[Ticker]]&amp;Table13[[#This Row],[Expiry]]&amp;""&amp;"P"&amp;Table13[[#This Row],[Strike]]))</f>
        <v>0</v>
      </c>
      <c r="R288" t="b">
        <f>IF(     ISNUMBER(Table13[[#This Row],[Strike]]),RTD("tos.rtd", , "ASK", "."&amp;Table13[[#This Row],[Ticker]]&amp;Table13[[#This Row],[Expiry]]&amp;""&amp;"P"&amp;Table13[[#This Row],[Strike]]))</f>
        <v>0</v>
      </c>
      <c r="S288" s="17"/>
      <c r="T288" t="b">
        <f>IF(     ISNUMBER(Table13[[#This Row],[Strike]]),RTD("tos.rtd", , "OPEN_INT", "."&amp;Table13[[#This Row],[Ticker]]&amp;Table13[[#This Row],[Expiry]]&amp;""&amp;"P"&amp;Table13[[#This Row],[Strike]]))</f>
        <v>0</v>
      </c>
      <c r="U28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8" t="b">
        <f>IF(     ISNUMBER(Table13[[#This Row],[Strike]]),RTD("tos.rtd", , "DELTA", "."&amp;Table13[[#This Row],[Ticker]]&amp;Table13[[#This Row],[Expiry]]&amp;""&amp;"P"&amp;Table13[[#This Row],[Strike]]))</f>
        <v>0</v>
      </c>
      <c r="Y288" s="19">
        <f>-12.5* IF($M$1="NDX", 10, IF(OR($M$1="SPX", $M$1="RUT"), 2, 1))</f>
        <v>-25</v>
      </c>
      <c r="Z288">
        <f ca="1">IFERROR(Table13[[#This Row],[call gamma]]*(Table13[[#This Row],[Open.Int]])*$A$4^2,0)</f>
        <v>0</v>
      </c>
      <c r="AA288">
        <f ca="1">IFERROR(((Table13[[#This Row],[Open.Int8]])*Table13[[#This Row],[Put gamma]])*-1*$A$4^2,0)</f>
        <v>0</v>
      </c>
      <c r="AB288">
        <f ca="1">(Table13[[#This Row],[Call Gex]]+Table13[[#This Row],[Put Gex]])</f>
        <v>0</v>
      </c>
      <c r="AC288">
        <f ca="1">Table13[[#This Row],[put delta adj]]+Table13[[#This Row],[call delta adj]]</f>
        <v>0</v>
      </c>
      <c r="AD288">
        <f ca="1">Table13[[#This Row],[Put Gex]]*Table13[[#This Row],[DeltaP]]*-1</f>
        <v>0</v>
      </c>
      <c r="AE288">
        <f ca="1">Table13[[#This Row],[Call Gex]]*Table13[[#This Row],[DeltaC]]</f>
        <v>0</v>
      </c>
      <c r="AF288">
        <f>IF(Table13[[#This Row],[DeltaC]]-ABS(Table13[[#This Row],[DeltaP]])="0","0.01",Table13[[#This Row],[DeltaC]]-ABS(Table13[[#This Row],[DeltaP]]))</f>
        <v>0</v>
      </c>
      <c r="AG288" t="e">
        <f ca="1">((LN($A$4/Table13[[#This Row],[Strike]]) + (0.411 + 0.5 * Table13[[#This Row],[IV Calc P]]^2) *Table13[[#This Row],[T]])) / (Table13[[#This Row],[IV Calc P]] * SQRT(Table13[[#This Row],[T]]))</f>
        <v>#DIV/0!</v>
      </c>
      <c r="AH288" t="e">
        <f ca="1">(LN($A$4/Table13[[#This Row],[Strike]]) + (0.411-0 + 0.5 * Table13[[#This Row],[IV Calc C]]^2) *Table13[[#This Row],[T]]) / (Table13[[#This Row],[IV Calc C]] * SQRT(Table13[[#This Row],[T]]))</f>
        <v>#DIV/0!</v>
      </c>
      <c r="AI288" t="e">
        <f ca="1">(EXP(-(AG288^2)/2)/SQRT(2*PI())*EXP(0*SQRT(Table13[[#This Row],[T]]))/$A$4*18%*SQRT(SQRT(Table13[[#This Row],[T]])))</f>
        <v>#DIV/0!</v>
      </c>
      <c r="AJ288" t="e">
        <f ca="1">(EXP(-(AH288^2)/2)/SQRT(2*PI())*EXP(0*SQRT(Table13[[#This Row],[T]]))/$A$4*18%*SQRT(SQRT(Table13[[#This Row],[T]])))</f>
        <v>#DIV/0!</v>
      </c>
      <c r="AK288" t="e">
        <f ca="1">Table13[[#This Row],[Call D1]]-Table13[[#This Row],[IV Calc C]]*SQRT(Table13[[#This Row],[T]])</f>
        <v>#DIV/0!</v>
      </c>
      <c r="AL288" t="e">
        <f ca="1">Table13[[#This Row],[Put D1]]-Table13[[#This Row],[IV Calc P]]*SQRT(Table13[[#This Row],[T]])</f>
        <v>#DIV/0!</v>
      </c>
      <c r="AM288" t="e">
        <f ca="1">EXP(-0.5*Table13[[#This Row],[Call D1]]^2)/SQRT(2*PI())</f>
        <v>#DIV/0!</v>
      </c>
      <c r="AN288" t="e">
        <f ca="1">EXP(-0.5*Table13[[#This Row],[Put D1]]^2)/SQRT(2*PI())</f>
        <v>#DIV/0!</v>
      </c>
      <c r="AO288">
        <f ca="1">IFERROR((EXP(0*Table13[[#This Row],[T]])*Table13[[#This Row],[call N(d1)]]*(Table13[[#This Row],[call d2]]/Table13[[#This Row],[IV Calc C]]))*Table13[[#This Row],[Open.Int]]*Table13[[#This Row],[DeltaC]],0)</f>
        <v>0</v>
      </c>
      <c r="AP288">
        <f ca="1">IFERROR((EXP(0*Table13[[#This Row],[T]])*Table13[[#This Row],[put N(d1)]]*(Table13[[#This Row],[put d2]]/Table13[[#This Row],[IV Calc P]]))*Table13[[#This Row],[Open.Int8]]*Table13[[#This Row],[DeltaP]]*-1,0)</f>
        <v>0</v>
      </c>
      <c r="AQ288">
        <f ca="1">((Table13[[#This Row],[call vanna]]+Table13[[#This Row],[put vanna]])*$A$4)</f>
        <v>0</v>
      </c>
      <c r="AR28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8" s="9" t="str" cm="1">
        <f t="array" ref="AT288">_xlfn.IFS(     $M$1="SPX","SPXW",     $M$1="RUT","RUTW",  $M$1="NDX","NDXP",   TRUE,$M$1 )</f>
        <v>SPXW</v>
      </c>
      <c r="AU288" s="2">
        <f t="shared" si="32"/>
        <v>6915</v>
      </c>
      <c r="AV288" t="str">
        <f t="shared" si="33"/>
        <v>000100</v>
      </c>
      <c r="AY28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8">
        <f>((Table13[[#This Row],[High C]]+Table13[[#This Row],[Low C]])/2)*Table13[[#This Row],[gammac]]*Table13[[#This Row],[Volume]]</f>
        <v>0</v>
      </c>
      <c r="BD288">
        <f>((Table13[[#This Row],[High P]]+Table13[[#This Row],[Low P]])/2)*Table13[[#This Row],[gammap]]*Table13[[#This Row],[Volume9]]*-1</f>
        <v>0</v>
      </c>
      <c r="BE288">
        <f>(Table13[[#This Row],[SgammaC]]+Table13[[#This Row],[SgammaP]])*$A$4*-100</f>
        <v>0</v>
      </c>
      <c r="BF288">
        <f>Table13[[#This Row],[DEXc]]+Table13[[#This Row],[DEXp]]</f>
        <v>0</v>
      </c>
      <c r="BG288">
        <f>IFERROR(Table13[[#This Row],[DeltaC]]*Table13[[#This Row],[Open.Int]]*$A$4,0)</f>
        <v>0</v>
      </c>
      <c r="BH288">
        <f>IFERROR(Table13[[#This Row],[DeltaP]]*Table13[[#This Row],[Open.Int8]]*$A$4,0)</f>
        <v>0</v>
      </c>
      <c r="BI28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8">
        <f ca="1">Table13[[#This Row],[charmc]]+Table13[[#This Row],[charmp]]</f>
        <v>0</v>
      </c>
      <c r="BL28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8" s="78">
        <f ca="1">Table13[[#This Row],[call helper]]+Table13[[#This Row],[put helper]]</f>
        <v>0</v>
      </c>
      <c r="BP288" t="str">
        <f>RTD("tos.rtd", , "STRIKE", "."&amp;Table13[[#This Row],[Ticker]]&amp;Table13[[#This Row],[Expiry]]&amp;""&amp;"C"&amp;Table13[[#This Row],[Spot]]+Table13[[#This Row],[step]])</f>
        <v>N/A</v>
      </c>
    </row>
    <row r="289" spans="1:68" x14ac:dyDescent="0.25">
      <c r="A289" s="14">
        <f t="shared" ca="1" si="29"/>
        <v>-126.14810350076104</v>
      </c>
      <c r="C289" s="17"/>
      <c r="D289" t="b">
        <f>IF(
    ISNUMBER(Table13[[#This Row],[Strike]]),RTD("tos.rtd", , "OPEN_INT", "."&amp;Table13[[#This Row],[Ticker]]&amp;Table13[[#This Row],[Expiry]]&amp;""&amp;"C"&amp;Table13[[#This Row],[Strike]]))</f>
        <v>0</v>
      </c>
      <c r="E28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9" t="b">
        <f>IF(     ISNUMBER(Table13[[#This Row],[Strike]]),RTD("tos.rtd", , "DELTA", "."&amp;Table13[[#This Row],[Ticker]]&amp;Table13[[#This Row],[Expiry]]&amp;""&amp;"C"&amp;Table13[[#This Row],[Strike]]))</f>
        <v>0</v>
      </c>
      <c r="H289" s="17" t="b" cm="1">
        <f t="array" ref="H289">IF(
    ISNUMBER(Table13[[#This Row],[Strike]]),IndividualLegIVCore($A$4, Table13[[#This Row],[Strike]], 0.0411, Table13[[#This Row],[T]], ((Table13[[#This Row],[BIDC]]+Table13[[#This Row],[ASKC]])/2), TRUE))</f>
        <v>0</v>
      </c>
      <c r="I289" t="b">
        <f>IF(     ISNUMBER(Table13[[#This Row],[Strike]]),RTD("tos.rtd", , "BID", "."&amp;Table13[[#This Row],[Ticker]]&amp;Table13[[#This Row],[Expiry]]&amp;""&amp;"C"&amp;Table13[[#This Row],[Strike]]))</f>
        <v>0</v>
      </c>
      <c r="J289" t="b">
        <f>IF(     ISNUMBER(Table13[[#This Row],[Strike]]),RTD("tos.rtd", , "ASK", "."&amp;Table13[[#This Row],[Ticker]]&amp;Table13[[#This Row],[Expiry]]&amp;""&amp;"C"&amp;Table13[[#This Row],[Strike]]))</f>
        <v>0</v>
      </c>
      <c r="K28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9" s="17" cm="1">
        <f t="array" aca="1" ref="L28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89" s="1">
        <f t="shared" si="30"/>
        <v>0</v>
      </c>
      <c r="N289" t="b">
        <f t="shared" si="31"/>
        <v>0</v>
      </c>
      <c r="P289" s="17" t="b" cm="1">
        <f t="array" ref="P289">IF(
    ISNUMBER(Table13[[#This Row],[Strike]]),IndividualLegIVCore($A$4, Table13[[#This Row],[Strike]], 0.0411, Table13[[#This Row],[T]], ((Table13[[#This Row],[BIDP]]+Table13[[#This Row],[ASKP]])/2), FALSE))</f>
        <v>0</v>
      </c>
      <c r="Q289" t="b">
        <f>IF(     ISNUMBER(Table13[[#This Row],[Strike]]),RTD("tos.rtd", , "BID", "."&amp;Table13[[#This Row],[Ticker]]&amp;Table13[[#This Row],[Expiry]]&amp;""&amp;"P"&amp;Table13[[#This Row],[Strike]]))</f>
        <v>0</v>
      </c>
      <c r="R289" t="b">
        <f>IF(     ISNUMBER(Table13[[#This Row],[Strike]]),RTD("tos.rtd", , "ASK", "."&amp;Table13[[#This Row],[Ticker]]&amp;Table13[[#This Row],[Expiry]]&amp;""&amp;"P"&amp;Table13[[#This Row],[Strike]]))</f>
        <v>0</v>
      </c>
      <c r="S289" s="17"/>
      <c r="T289" t="b">
        <f>IF(     ISNUMBER(Table13[[#This Row],[Strike]]),RTD("tos.rtd", , "OPEN_INT", "."&amp;Table13[[#This Row],[Ticker]]&amp;Table13[[#This Row],[Expiry]]&amp;""&amp;"P"&amp;Table13[[#This Row],[Strike]]))</f>
        <v>0</v>
      </c>
      <c r="U28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9" t="b">
        <f>IF(     ISNUMBER(Table13[[#This Row],[Strike]]),RTD("tos.rtd", , "DELTA", "."&amp;Table13[[#This Row],[Ticker]]&amp;Table13[[#This Row],[Expiry]]&amp;""&amp;"P"&amp;Table13[[#This Row],[Strike]]))</f>
        <v>0</v>
      </c>
      <c r="Y289" s="19">
        <f>-12* IF($M$1="NDX", 10, IF(OR($M$1="SPX", $M$1="RUT"), 2, 1))</f>
        <v>-24</v>
      </c>
      <c r="Z289">
        <f ca="1">IFERROR(Table13[[#This Row],[call gamma]]*(Table13[[#This Row],[Open.Int]])*$A$4^2,0)</f>
        <v>0</v>
      </c>
      <c r="AA289">
        <f ca="1">IFERROR(((Table13[[#This Row],[Open.Int8]])*Table13[[#This Row],[Put gamma]])*-1*$A$4^2,0)</f>
        <v>0</v>
      </c>
      <c r="AB289">
        <f ca="1">(Table13[[#This Row],[Call Gex]]+Table13[[#This Row],[Put Gex]])</f>
        <v>0</v>
      </c>
      <c r="AC289">
        <f ca="1">Table13[[#This Row],[put delta adj]]+Table13[[#This Row],[call delta adj]]</f>
        <v>0</v>
      </c>
      <c r="AD289">
        <f ca="1">Table13[[#This Row],[Put Gex]]*Table13[[#This Row],[DeltaP]]*-1</f>
        <v>0</v>
      </c>
      <c r="AE289">
        <f ca="1">Table13[[#This Row],[Call Gex]]*Table13[[#This Row],[DeltaC]]</f>
        <v>0</v>
      </c>
      <c r="AF289">
        <f>IF(Table13[[#This Row],[DeltaC]]-ABS(Table13[[#This Row],[DeltaP]])="0","0.01",Table13[[#This Row],[DeltaC]]-ABS(Table13[[#This Row],[DeltaP]]))</f>
        <v>0</v>
      </c>
      <c r="AG289" t="e">
        <f ca="1">((LN($A$4/Table13[[#This Row],[Strike]]) + (0.411 + 0.5 * Table13[[#This Row],[IV Calc P]]^2) *Table13[[#This Row],[T]])) / (Table13[[#This Row],[IV Calc P]] * SQRT(Table13[[#This Row],[T]]))</f>
        <v>#DIV/0!</v>
      </c>
      <c r="AH289" t="e">
        <f ca="1">(LN($A$4/Table13[[#This Row],[Strike]]) + (0.411-0 + 0.5 * Table13[[#This Row],[IV Calc C]]^2) *Table13[[#This Row],[T]]) / (Table13[[#This Row],[IV Calc C]] * SQRT(Table13[[#This Row],[T]]))</f>
        <v>#DIV/0!</v>
      </c>
      <c r="AI289" t="e">
        <f ca="1">(EXP(-(AG289^2)/2)/SQRT(2*PI())*EXP(0*SQRT(Table13[[#This Row],[T]]))/$A$4*18%*SQRT(SQRT(Table13[[#This Row],[T]])))</f>
        <v>#DIV/0!</v>
      </c>
      <c r="AJ289" t="e">
        <f ca="1">(EXP(-(AH289^2)/2)/SQRT(2*PI())*EXP(0*SQRT(Table13[[#This Row],[T]]))/$A$4*18%*SQRT(SQRT(Table13[[#This Row],[T]])))</f>
        <v>#DIV/0!</v>
      </c>
      <c r="AK289" t="e">
        <f ca="1">Table13[[#This Row],[Call D1]]-Table13[[#This Row],[IV Calc C]]*SQRT(Table13[[#This Row],[T]])</f>
        <v>#DIV/0!</v>
      </c>
      <c r="AL289" t="e">
        <f ca="1">Table13[[#This Row],[Put D1]]-Table13[[#This Row],[IV Calc P]]*SQRT(Table13[[#This Row],[T]])</f>
        <v>#DIV/0!</v>
      </c>
      <c r="AM289" t="e">
        <f ca="1">EXP(-0.5*Table13[[#This Row],[Call D1]]^2)/SQRT(2*PI())</f>
        <v>#DIV/0!</v>
      </c>
      <c r="AN289" t="e">
        <f ca="1">EXP(-0.5*Table13[[#This Row],[Put D1]]^2)/SQRT(2*PI())</f>
        <v>#DIV/0!</v>
      </c>
      <c r="AO289">
        <f ca="1">IFERROR((EXP(0*Table13[[#This Row],[T]])*Table13[[#This Row],[call N(d1)]]*(Table13[[#This Row],[call d2]]/Table13[[#This Row],[IV Calc C]]))*Table13[[#This Row],[Open.Int]]*Table13[[#This Row],[DeltaC]],0)</f>
        <v>0</v>
      </c>
      <c r="AP289">
        <f ca="1">IFERROR((EXP(0*Table13[[#This Row],[T]])*Table13[[#This Row],[put N(d1)]]*(Table13[[#This Row],[put d2]]/Table13[[#This Row],[IV Calc P]]))*Table13[[#This Row],[Open.Int8]]*Table13[[#This Row],[DeltaP]]*-1,0)</f>
        <v>0</v>
      </c>
      <c r="AQ289">
        <f ca="1">((Table13[[#This Row],[call vanna]]+Table13[[#This Row],[put vanna]])*$A$4)</f>
        <v>0</v>
      </c>
      <c r="AR28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9" s="9" t="str" cm="1">
        <f t="array" ref="AT289">_xlfn.IFS(     $M$1="SPX","SPXW",     $M$1="RUT","RUTW",  $M$1="NDX","NDXP",   TRUE,$M$1 )</f>
        <v>SPXW</v>
      </c>
      <c r="AU289" s="2">
        <f t="shared" si="32"/>
        <v>6915</v>
      </c>
      <c r="AV289" t="str">
        <f t="shared" si="33"/>
        <v>000100</v>
      </c>
      <c r="AY28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9">
        <f>((Table13[[#This Row],[High C]]+Table13[[#This Row],[Low C]])/2)*Table13[[#This Row],[gammac]]*Table13[[#This Row],[Volume]]</f>
        <v>0</v>
      </c>
      <c r="BD289">
        <f>((Table13[[#This Row],[High P]]+Table13[[#This Row],[Low P]])/2)*Table13[[#This Row],[gammap]]*Table13[[#This Row],[Volume9]]*-1</f>
        <v>0</v>
      </c>
      <c r="BE289">
        <f>(Table13[[#This Row],[SgammaC]]+Table13[[#This Row],[SgammaP]])*$A$4*-100</f>
        <v>0</v>
      </c>
      <c r="BF289">
        <f>Table13[[#This Row],[DEXc]]+Table13[[#This Row],[DEXp]]</f>
        <v>0</v>
      </c>
      <c r="BG289">
        <f>IFERROR(Table13[[#This Row],[DeltaC]]*Table13[[#This Row],[Open.Int]]*$A$4,0)</f>
        <v>0</v>
      </c>
      <c r="BH289">
        <f>IFERROR(Table13[[#This Row],[DeltaP]]*Table13[[#This Row],[Open.Int8]]*$A$4,0)</f>
        <v>0</v>
      </c>
      <c r="BI28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9">
        <f ca="1">Table13[[#This Row],[charmc]]+Table13[[#This Row],[charmp]]</f>
        <v>0</v>
      </c>
      <c r="BL28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9" s="78">
        <f ca="1">Table13[[#This Row],[call helper]]+Table13[[#This Row],[put helper]]</f>
        <v>0</v>
      </c>
      <c r="BP289" t="str">
        <f>RTD("tos.rtd", , "STRIKE", "."&amp;Table13[[#This Row],[Ticker]]&amp;Table13[[#This Row],[Expiry]]&amp;""&amp;"C"&amp;Table13[[#This Row],[Spot]]+Table13[[#This Row],[step]])</f>
        <v>N/A</v>
      </c>
    </row>
    <row r="290" spans="1:68" x14ac:dyDescent="0.25">
      <c r="A290" s="14">
        <f t="shared" ca="1" si="29"/>
        <v>-126.14810350076104</v>
      </c>
      <c r="C290" s="17"/>
      <c r="D290" t="b">
        <f>IF(
    ISNUMBER(Table13[[#This Row],[Strike]]),RTD("tos.rtd", , "OPEN_INT", "."&amp;Table13[[#This Row],[Ticker]]&amp;Table13[[#This Row],[Expiry]]&amp;""&amp;"C"&amp;Table13[[#This Row],[Strike]]))</f>
        <v>0</v>
      </c>
      <c r="E29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0" t="b">
        <f>IF(     ISNUMBER(Table13[[#This Row],[Strike]]),RTD("tos.rtd", , "DELTA", "."&amp;Table13[[#This Row],[Ticker]]&amp;Table13[[#This Row],[Expiry]]&amp;""&amp;"C"&amp;Table13[[#This Row],[Strike]]))</f>
        <v>0</v>
      </c>
      <c r="H290" s="17" t="b" cm="1">
        <f t="array" ref="H290">IF(
    ISNUMBER(Table13[[#This Row],[Strike]]),IndividualLegIVCore($A$4, Table13[[#This Row],[Strike]], 0.0411, Table13[[#This Row],[T]], ((Table13[[#This Row],[BIDC]]+Table13[[#This Row],[ASKC]])/2), TRUE))</f>
        <v>0</v>
      </c>
      <c r="I290" t="b">
        <f>IF(     ISNUMBER(Table13[[#This Row],[Strike]]),RTD("tos.rtd", , "BID", "."&amp;Table13[[#This Row],[Ticker]]&amp;Table13[[#This Row],[Expiry]]&amp;""&amp;"C"&amp;Table13[[#This Row],[Strike]]))</f>
        <v>0</v>
      </c>
      <c r="J290" t="b">
        <f>IF(     ISNUMBER(Table13[[#This Row],[Strike]]),RTD("tos.rtd", , "ASK", "."&amp;Table13[[#This Row],[Ticker]]&amp;Table13[[#This Row],[Expiry]]&amp;""&amp;"C"&amp;Table13[[#This Row],[Strike]]))</f>
        <v>0</v>
      </c>
      <c r="K29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0" s="17" cm="1">
        <f t="array" aca="1" ref="L29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0" s="1">
        <f t="shared" si="30"/>
        <v>0</v>
      </c>
      <c r="N290" t="b">
        <f t="shared" si="31"/>
        <v>0</v>
      </c>
      <c r="P290" s="17" t="b" cm="1">
        <f t="array" ref="P290">IF(
    ISNUMBER(Table13[[#This Row],[Strike]]),IndividualLegIVCore($A$4, Table13[[#This Row],[Strike]], 0.0411, Table13[[#This Row],[T]], ((Table13[[#This Row],[BIDP]]+Table13[[#This Row],[ASKP]])/2), FALSE))</f>
        <v>0</v>
      </c>
      <c r="Q290" t="b">
        <f>IF(     ISNUMBER(Table13[[#This Row],[Strike]]),RTD("tos.rtd", , "BID", "."&amp;Table13[[#This Row],[Ticker]]&amp;Table13[[#This Row],[Expiry]]&amp;""&amp;"P"&amp;Table13[[#This Row],[Strike]]))</f>
        <v>0</v>
      </c>
      <c r="R290" t="b">
        <f>IF(     ISNUMBER(Table13[[#This Row],[Strike]]),RTD("tos.rtd", , "ASK", "."&amp;Table13[[#This Row],[Ticker]]&amp;Table13[[#This Row],[Expiry]]&amp;""&amp;"P"&amp;Table13[[#This Row],[Strike]]))</f>
        <v>0</v>
      </c>
      <c r="S290" s="17"/>
      <c r="T290" t="b">
        <f>IF(     ISNUMBER(Table13[[#This Row],[Strike]]),RTD("tos.rtd", , "OPEN_INT", "."&amp;Table13[[#This Row],[Ticker]]&amp;Table13[[#This Row],[Expiry]]&amp;""&amp;"P"&amp;Table13[[#This Row],[Strike]]))</f>
        <v>0</v>
      </c>
      <c r="U29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0" t="b">
        <f>IF(     ISNUMBER(Table13[[#This Row],[Strike]]),RTD("tos.rtd", , "DELTA", "."&amp;Table13[[#This Row],[Ticker]]&amp;Table13[[#This Row],[Expiry]]&amp;""&amp;"P"&amp;Table13[[#This Row],[Strike]]))</f>
        <v>0</v>
      </c>
      <c r="Y290" s="19">
        <f>-11.5* IF($M$1="NDX", 10, IF(OR($M$1="SPX", $M$1="RUT"), 2, 1))</f>
        <v>-23</v>
      </c>
      <c r="Z290">
        <f ca="1">IFERROR(Table13[[#This Row],[call gamma]]*(Table13[[#This Row],[Open.Int]])*$A$4^2,0)</f>
        <v>0</v>
      </c>
      <c r="AA290">
        <f ca="1">IFERROR(((Table13[[#This Row],[Open.Int8]])*Table13[[#This Row],[Put gamma]])*-1*$A$4^2,0)</f>
        <v>0</v>
      </c>
      <c r="AB290">
        <f ca="1">(Table13[[#This Row],[Call Gex]]+Table13[[#This Row],[Put Gex]])</f>
        <v>0</v>
      </c>
      <c r="AC290">
        <f ca="1">Table13[[#This Row],[put delta adj]]+Table13[[#This Row],[call delta adj]]</f>
        <v>0</v>
      </c>
      <c r="AD290">
        <f ca="1">Table13[[#This Row],[Put Gex]]*Table13[[#This Row],[DeltaP]]*-1</f>
        <v>0</v>
      </c>
      <c r="AE290">
        <f ca="1">Table13[[#This Row],[Call Gex]]*Table13[[#This Row],[DeltaC]]</f>
        <v>0</v>
      </c>
      <c r="AF290">
        <f>IF(Table13[[#This Row],[DeltaC]]-ABS(Table13[[#This Row],[DeltaP]])="0","0.01",Table13[[#This Row],[DeltaC]]-ABS(Table13[[#This Row],[DeltaP]]))</f>
        <v>0</v>
      </c>
      <c r="AG290" t="e">
        <f ca="1">((LN($A$4/Table13[[#This Row],[Strike]]) + (0.411 + 0.5 * Table13[[#This Row],[IV Calc P]]^2) *Table13[[#This Row],[T]])) / (Table13[[#This Row],[IV Calc P]] * SQRT(Table13[[#This Row],[T]]))</f>
        <v>#DIV/0!</v>
      </c>
      <c r="AH290" t="e">
        <f ca="1">(LN($A$4/Table13[[#This Row],[Strike]]) + (0.411-0 + 0.5 * Table13[[#This Row],[IV Calc C]]^2) *Table13[[#This Row],[T]]) / (Table13[[#This Row],[IV Calc C]] * SQRT(Table13[[#This Row],[T]]))</f>
        <v>#DIV/0!</v>
      </c>
      <c r="AI290" t="e">
        <f ca="1">(EXP(-(AG290^2)/2)/SQRT(2*PI())*EXP(0*SQRT(Table13[[#This Row],[T]]))/$A$4*18%*SQRT(SQRT(Table13[[#This Row],[T]])))</f>
        <v>#DIV/0!</v>
      </c>
      <c r="AJ290" t="e">
        <f ca="1">(EXP(-(AH290^2)/2)/SQRT(2*PI())*EXP(0*SQRT(Table13[[#This Row],[T]]))/$A$4*18%*SQRT(SQRT(Table13[[#This Row],[T]])))</f>
        <v>#DIV/0!</v>
      </c>
      <c r="AK290" t="e">
        <f ca="1">Table13[[#This Row],[Call D1]]-Table13[[#This Row],[IV Calc C]]*SQRT(Table13[[#This Row],[T]])</f>
        <v>#DIV/0!</v>
      </c>
      <c r="AL290" t="e">
        <f ca="1">Table13[[#This Row],[Put D1]]-Table13[[#This Row],[IV Calc P]]*SQRT(Table13[[#This Row],[T]])</f>
        <v>#DIV/0!</v>
      </c>
      <c r="AM290" t="e">
        <f ca="1">EXP(-0.5*Table13[[#This Row],[Call D1]]^2)/SQRT(2*PI())</f>
        <v>#DIV/0!</v>
      </c>
      <c r="AN290" t="e">
        <f ca="1">EXP(-0.5*Table13[[#This Row],[Put D1]]^2)/SQRT(2*PI())</f>
        <v>#DIV/0!</v>
      </c>
      <c r="AO290">
        <f ca="1">IFERROR((EXP(0*Table13[[#This Row],[T]])*Table13[[#This Row],[call N(d1)]]*(Table13[[#This Row],[call d2]]/Table13[[#This Row],[IV Calc C]]))*Table13[[#This Row],[Open.Int]]*Table13[[#This Row],[DeltaC]],0)</f>
        <v>0</v>
      </c>
      <c r="AP290">
        <f ca="1">IFERROR((EXP(0*Table13[[#This Row],[T]])*Table13[[#This Row],[put N(d1)]]*(Table13[[#This Row],[put d2]]/Table13[[#This Row],[IV Calc P]]))*Table13[[#This Row],[Open.Int8]]*Table13[[#This Row],[DeltaP]]*-1,0)</f>
        <v>0</v>
      </c>
      <c r="AQ290">
        <f ca="1">((Table13[[#This Row],[call vanna]]+Table13[[#This Row],[put vanna]])*$A$4)</f>
        <v>0</v>
      </c>
      <c r="AR29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0" s="9" t="str" cm="1">
        <f t="array" ref="AT290">_xlfn.IFS(     $M$1="SPX","SPXW",     $M$1="RUT","RUTW",  $M$1="NDX","NDXP",   TRUE,$M$1 )</f>
        <v>SPXW</v>
      </c>
      <c r="AU290" s="2">
        <f t="shared" si="32"/>
        <v>6915</v>
      </c>
      <c r="AV290" t="str">
        <f t="shared" si="33"/>
        <v>000100</v>
      </c>
      <c r="AY29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0">
        <f>((Table13[[#This Row],[High C]]+Table13[[#This Row],[Low C]])/2)*Table13[[#This Row],[gammac]]*Table13[[#This Row],[Volume]]</f>
        <v>0</v>
      </c>
      <c r="BD290">
        <f>((Table13[[#This Row],[High P]]+Table13[[#This Row],[Low P]])/2)*Table13[[#This Row],[gammap]]*Table13[[#This Row],[Volume9]]*-1</f>
        <v>0</v>
      </c>
      <c r="BE290">
        <f>(Table13[[#This Row],[SgammaC]]+Table13[[#This Row],[SgammaP]])*$A$4*-100</f>
        <v>0</v>
      </c>
      <c r="BF290">
        <f>Table13[[#This Row],[DEXc]]+Table13[[#This Row],[DEXp]]</f>
        <v>0</v>
      </c>
      <c r="BG290">
        <f>IFERROR(Table13[[#This Row],[DeltaC]]*Table13[[#This Row],[Open.Int]]*$A$4,0)</f>
        <v>0</v>
      </c>
      <c r="BH290">
        <f>IFERROR(Table13[[#This Row],[DeltaP]]*Table13[[#This Row],[Open.Int8]]*$A$4,0)</f>
        <v>0</v>
      </c>
      <c r="BI29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0">
        <f ca="1">Table13[[#This Row],[charmc]]+Table13[[#This Row],[charmp]]</f>
        <v>0</v>
      </c>
      <c r="BL29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0" s="78">
        <f ca="1">Table13[[#This Row],[call helper]]+Table13[[#This Row],[put helper]]</f>
        <v>0</v>
      </c>
      <c r="BP290" t="str">
        <f>RTD("tos.rtd", , "STRIKE", "."&amp;Table13[[#This Row],[Ticker]]&amp;Table13[[#This Row],[Expiry]]&amp;""&amp;"C"&amp;Table13[[#This Row],[Spot]]+Table13[[#This Row],[step]])</f>
        <v>N/A</v>
      </c>
    </row>
    <row r="291" spans="1:68" x14ac:dyDescent="0.25">
      <c r="A291" s="14">
        <f t="shared" ca="1" si="29"/>
        <v>-126.14810350076104</v>
      </c>
      <c r="C291" s="17"/>
      <c r="D291" t="b">
        <f>IF(
    ISNUMBER(Table13[[#This Row],[Strike]]),RTD("tos.rtd", , "OPEN_INT", "."&amp;Table13[[#This Row],[Ticker]]&amp;Table13[[#This Row],[Expiry]]&amp;""&amp;"C"&amp;Table13[[#This Row],[Strike]]))</f>
        <v>0</v>
      </c>
      <c r="E29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1" t="b">
        <f>IF(     ISNUMBER(Table13[[#This Row],[Strike]]),RTD("tos.rtd", , "DELTA", "."&amp;Table13[[#This Row],[Ticker]]&amp;Table13[[#This Row],[Expiry]]&amp;""&amp;"C"&amp;Table13[[#This Row],[Strike]]))</f>
        <v>0</v>
      </c>
      <c r="H291" s="17" t="b" cm="1">
        <f t="array" ref="H291">IF(
    ISNUMBER(Table13[[#This Row],[Strike]]),IndividualLegIVCore($A$4, Table13[[#This Row],[Strike]], 0.0411, Table13[[#This Row],[T]], ((Table13[[#This Row],[BIDC]]+Table13[[#This Row],[ASKC]])/2), TRUE))</f>
        <v>0</v>
      </c>
      <c r="I291" t="b">
        <f>IF(     ISNUMBER(Table13[[#This Row],[Strike]]),RTD("tos.rtd", , "BID", "."&amp;Table13[[#This Row],[Ticker]]&amp;Table13[[#This Row],[Expiry]]&amp;""&amp;"C"&amp;Table13[[#This Row],[Strike]]))</f>
        <v>0</v>
      </c>
      <c r="J291" t="b">
        <f>IF(     ISNUMBER(Table13[[#This Row],[Strike]]),RTD("tos.rtd", , "ASK", "."&amp;Table13[[#This Row],[Ticker]]&amp;Table13[[#This Row],[Expiry]]&amp;""&amp;"C"&amp;Table13[[#This Row],[Strike]]))</f>
        <v>0</v>
      </c>
      <c r="K29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1" s="17" cm="1">
        <f t="array" aca="1" ref="L29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1" s="1">
        <f t="shared" si="30"/>
        <v>0</v>
      </c>
      <c r="N291" t="b">
        <f t="shared" si="31"/>
        <v>0</v>
      </c>
      <c r="P291" s="17" t="b" cm="1">
        <f t="array" ref="P291">IF(
    ISNUMBER(Table13[[#This Row],[Strike]]),IndividualLegIVCore($A$4, Table13[[#This Row],[Strike]], 0.0411, Table13[[#This Row],[T]], ((Table13[[#This Row],[BIDP]]+Table13[[#This Row],[ASKP]])/2), FALSE))</f>
        <v>0</v>
      </c>
      <c r="Q291" t="b">
        <f>IF(     ISNUMBER(Table13[[#This Row],[Strike]]),RTD("tos.rtd", , "BID", "."&amp;Table13[[#This Row],[Ticker]]&amp;Table13[[#This Row],[Expiry]]&amp;""&amp;"P"&amp;Table13[[#This Row],[Strike]]))</f>
        <v>0</v>
      </c>
      <c r="R291" t="b">
        <f>IF(     ISNUMBER(Table13[[#This Row],[Strike]]),RTD("tos.rtd", , "ASK", "."&amp;Table13[[#This Row],[Ticker]]&amp;Table13[[#This Row],[Expiry]]&amp;""&amp;"P"&amp;Table13[[#This Row],[Strike]]))</f>
        <v>0</v>
      </c>
      <c r="S291" s="17"/>
      <c r="T291" t="b">
        <f>IF(     ISNUMBER(Table13[[#This Row],[Strike]]),RTD("tos.rtd", , "OPEN_INT", "."&amp;Table13[[#This Row],[Ticker]]&amp;Table13[[#This Row],[Expiry]]&amp;""&amp;"P"&amp;Table13[[#This Row],[Strike]]))</f>
        <v>0</v>
      </c>
      <c r="U29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1" t="b">
        <f>IF(     ISNUMBER(Table13[[#This Row],[Strike]]),RTD("tos.rtd", , "DELTA", "."&amp;Table13[[#This Row],[Ticker]]&amp;Table13[[#This Row],[Expiry]]&amp;""&amp;"P"&amp;Table13[[#This Row],[Strike]]))</f>
        <v>0</v>
      </c>
      <c r="Y291" s="19">
        <f>-11* IF($M$1="NDX", 10, IF(OR($M$1="SPX", $M$1="RUT"), 2, 1))</f>
        <v>-22</v>
      </c>
      <c r="Z291">
        <f ca="1">IFERROR(Table13[[#This Row],[call gamma]]*(Table13[[#This Row],[Open.Int]])*$A$4^2,0)</f>
        <v>0</v>
      </c>
      <c r="AA291">
        <f ca="1">IFERROR(((Table13[[#This Row],[Open.Int8]])*Table13[[#This Row],[Put gamma]])*-1*$A$4^2,0)</f>
        <v>0</v>
      </c>
      <c r="AB291">
        <f ca="1">(Table13[[#This Row],[Call Gex]]+Table13[[#This Row],[Put Gex]])</f>
        <v>0</v>
      </c>
      <c r="AC291">
        <f ca="1">Table13[[#This Row],[put delta adj]]+Table13[[#This Row],[call delta adj]]</f>
        <v>0</v>
      </c>
      <c r="AD291">
        <f ca="1">Table13[[#This Row],[Put Gex]]*Table13[[#This Row],[DeltaP]]*-1</f>
        <v>0</v>
      </c>
      <c r="AE291">
        <f ca="1">Table13[[#This Row],[Call Gex]]*Table13[[#This Row],[DeltaC]]</f>
        <v>0</v>
      </c>
      <c r="AF291">
        <f>IF(Table13[[#This Row],[DeltaC]]-ABS(Table13[[#This Row],[DeltaP]])="0","0.01",Table13[[#This Row],[DeltaC]]-ABS(Table13[[#This Row],[DeltaP]]))</f>
        <v>0</v>
      </c>
      <c r="AG291" t="e">
        <f ca="1">((LN($A$4/Table13[[#This Row],[Strike]]) + (0.411 + 0.5 * Table13[[#This Row],[IV Calc P]]^2) *Table13[[#This Row],[T]])) / (Table13[[#This Row],[IV Calc P]] * SQRT(Table13[[#This Row],[T]]))</f>
        <v>#DIV/0!</v>
      </c>
      <c r="AH291" t="e">
        <f ca="1">(LN($A$4/Table13[[#This Row],[Strike]]) + (0.411-0 + 0.5 * Table13[[#This Row],[IV Calc C]]^2) *Table13[[#This Row],[T]]) / (Table13[[#This Row],[IV Calc C]] * SQRT(Table13[[#This Row],[T]]))</f>
        <v>#DIV/0!</v>
      </c>
      <c r="AI291" t="e">
        <f ca="1">(EXP(-(AG291^2)/2)/SQRT(2*PI())*EXP(0*SQRT(Table13[[#This Row],[T]]))/$A$4*18%*SQRT(SQRT(Table13[[#This Row],[T]])))</f>
        <v>#DIV/0!</v>
      </c>
      <c r="AJ291" t="e">
        <f ca="1">(EXP(-(AH291^2)/2)/SQRT(2*PI())*EXP(0*SQRT(Table13[[#This Row],[T]]))/$A$4*18%*SQRT(SQRT(Table13[[#This Row],[T]])))</f>
        <v>#DIV/0!</v>
      </c>
      <c r="AK291" t="e">
        <f ca="1">Table13[[#This Row],[Call D1]]-Table13[[#This Row],[IV Calc C]]*SQRT(Table13[[#This Row],[T]])</f>
        <v>#DIV/0!</v>
      </c>
      <c r="AL291" t="e">
        <f ca="1">Table13[[#This Row],[Put D1]]-Table13[[#This Row],[IV Calc P]]*SQRT(Table13[[#This Row],[T]])</f>
        <v>#DIV/0!</v>
      </c>
      <c r="AM291" t="e">
        <f ca="1">EXP(-0.5*Table13[[#This Row],[Call D1]]^2)/SQRT(2*PI())</f>
        <v>#DIV/0!</v>
      </c>
      <c r="AN291" t="e">
        <f ca="1">EXP(-0.5*Table13[[#This Row],[Put D1]]^2)/SQRT(2*PI())</f>
        <v>#DIV/0!</v>
      </c>
      <c r="AO291">
        <f ca="1">IFERROR((EXP(0*Table13[[#This Row],[T]])*Table13[[#This Row],[call N(d1)]]*(Table13[[#This Row],[call d2]]/Table13[[#This Row],[IV Calc C]]))*Table13[[#This Row],[Open.Int]]*Table13[[#This Row],[DeltaC]],0)</f>
        <v>0</v>
      </c>
      <c r="AP291">
        <f ca="1">IFERROR((EXP(0*Table13[[#This Row],[T]])*Table13[[#This Row],[put N(d1)]]*(Table13[[#This Row],[put d2]]/Table13[[#This Row],[IV Calc P]]))*Table13[[#This Row],[Open.Int8]]*Table13[[#This Row],[DeltaP]]*-1,0)</f>
        <v>0</v>
      </c>
      <c r="AQ291">
        <f ca="1">((Table13[[#This Row],[call vanna]]+Table13[[#This Row],[put vanna]])*$A$4)</f>
        <v>0</v>
      </c>
      <c r="AR29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1" s="9" t="str" cm="1">
        <f t="array" ref="AT291">_xlfn.IFS(     $M$1="SPX","SPXW",     $M$1="RUT","RUTW",  $M$1="NDX","NDXP",   TRUE,$M$1 )</f>
        <v>SPXW</v>
      </c>
      <c r="AU291" s="2">
        <f t="shared" si="32"/>
        <v>6915</v>
      </c>
      <c r="AV291" t="str">
        <f t="shared" si="33"/>
        <v>000100</v>
      </c>
      <c r="AY29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1">
        <f>((Table13[[#This Row],[High C]]+Table13[[#This Row],[Low C]])/2)*Table13[[#This Row],[gammac]]*Table13[[#This Row],[Volume]]</f>
        <v>0</v>
      </c>
      <c r="BD291">
        <f>((Table13[[#This Row],[High P]]+Table13[[#This Row],[Low P]])/2)*Table13[[#This Row],[gammap]]*Table13[[#This Row],[Volume9]]*-1</f>
        <v>0</v>
      </c>
      <c r="BE291">
        <f>(Table13[[#This Row],[SgammaC]]+Table13[[#This Row],[SgammaP]])*$A$4*-100</f>
        <v>0</v>
      </c>
      <c r="BF291">
        <f>Table13[[#This Row],[DEXc]]+Table13[[#This Row],[DEXp]]</f>
        <v>0</v>
      </c>
      <c r="BG291">
        <f>IFERROR(Table13[[#This Row],[DeltaC]]*Table13[[#This Row],[Open.Int]]*$A$4,0)</f>
        <v>0</v>
      </c>
      <c r="BH291">
        <f>IFERROR(Table13[[#This Row],[DeltaP]]*Table13[[#This Row],[Open.Int8]]*$A$4,0)</f>
        <v>0</v>
      </c>
      <c r="BI29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1">
        <f ca="1">Table13[[#This Row],[charmc]]+Table13[[#This Row],[charmp]]</f>
        <v>0</v>
      </c>
      <c r="BL29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1" s="78">
        <f ca="1">Table13[[#This Row],[call helper]]+Table13[[#This Row],[put helper]]</f>
        <v>0</v>
      </c>
      <c r="BP291" t="str">
        <f>RTD("tos.rtd", , "STRIKE", "."&amp;Table13[[#This Row],[Ticker]]&amp;Table13[[#This Row],[Expiry]]&amp;""&amp;"C"&amp;Table13[[#This Row],[Spot]]+Table13[[#This Row],[step]])</f>
        <v>N/A</v>
      </c>
    </row>
    <row r="292" spans="1:68" x14ac:dyDescent="0.25">
      <c r="A292" s="14">
        <f t="shared" ca="1" si="29"/>
        <v>-126.14810350076104</v>
      </c>
      <c r="C292" s="17"/>
      <c r="D292" t="b">
        <f>IF(
    ISNUMBER(Table13[[#This Row],[Strike]]),RTD("tos.rtd", , "OPEN_INT", "."&amp;Table13[[#This Row],[Ticker]]&amp;Table13[[#This Row],[Expiry]]&amp;""&amp;"C"&amp;Table13[[#This Row],[Strike]]))</f>
        <v>0</v>
      </c>
      <c r="E29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2" t="b">
        <f>IF(     ISNUMBER(Table13[[#This Row],[Strike]]),RTD("tos.rtd", , "DELTA", "."&amp;Table13[[#This Row],[Ticker]]&amp;Table13[[#This Row],[Expiry]]&amp;""&amp;"C"&amp;Table13[[#This Row],[Strike]]))</f>
        <v>0</v>
      </c>
      <c r="H292" s="17" t="b" cm="1">
        <f t="array" ref="H292">IF(
    ISNUMBER(Table13[[#This Row],[Strike]]),IndividualLegIVCore($A$4, Table13[[#This Row],[Strike]], 0.0411, Table13[[#This Row],[T]], ((Table13[[#This Row],[BIDC]]+Table13[[#This Row],[ASKC]])/2), TRUE))</f>
        <v>0</v>
      </c>
      <c r="I292" t="b">
        <f>IF(     ISNUMBER(Table13[[#This Row],[Strike]]),RTD("tos.rtd", , "BID", "."&amp;Table13[[#This Row],[Ticker]]&amp;Table13[[#This Row],[Expiry]]&amp;""&amp;"C"&amp;Table13[[#This Row],[Strike]]))</f>
        <v>0</v>
      </c>
      <c r="J292" t="b">
        <f>IF(     ISNUMBER(Table13[[#This Row],[Strike]]),RTD("tos.rtd", , "ASK", "."&amp;Table13[[#This Row],[Ticker]]&amp;Table13[[#This Row],[Expiry]]&amp;""&amp;"C"&amp;Table13[[#This Row],[Strike]]))</f>
        <v>0</v>
      </c>
      <c r="K29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2" s="17" cm="1">
        <f t="array" aca="1" ref="L29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2" s="1">
        <f t="shared" si="30"/>
        <v>0</v>
      </c>
      <c r="N292" t="b">
        <f t="shared" si="31"/>
        <v>0</v>
      </c>
      <c r="P292" s="17" t="b" cm="1">
        <f t="array" ref="P292">IF(
    ISNUMBER(Table13[[#This Row],[Strike]]),IndividualLegIVCore($A$4, Table13[[#This Row],[Strike]], 0.0411, Table13[[#This Row],[T]], ((Table13[[#This Row],[BIDP]]+Table13[[#This Row],[ASKP]])/2), FALSE))</f>
        <v>0</v>
      </c>
      <c r="Q292" t="b">
        <f>IF(     ISNUMBER(Table13[[#This Row],[Strike]]),RTD("tos.rtd", , "BID", "."&amp;Table13[[#This Row],[Ticker]]&amp;Table13[[#This Row],[Expiry]]&amp;""&amp;"P"&amp;Table13[[#This Row],[Strike]]))</f>
        <v>0</v>
      </c>
      <c r="R292" t="b">
        <f>IF(     ISNUMBER(Table13[[#This Row],[Strike]]),RTD("tos.rtd", , "ASK", "."&amp;Table13[[#This Row],[Ticker]]&amp;Table13[[#This Row],[Expiry]]&amp;""&amp;"P"&amp;Table13[[#This Row],[Strike]]))</f>
        <v>0</v>
      </c>
      <c r="S292" s="17"/>
      <c r="T292" t="b">
        <f>IF(     ISNUMBER(Table13[[#This Row],[Strike]]),RTD("tos.rtd", , "OPEN_INT", "."&amp;Table13[[#This Row],[Ticker]]&amp;Table13[[#This Row],[Expiry]]&amp;""&amp;"P"&amp;Table13[[#This Row],[Strike]]))</f>
        <v>0</v>
      </c>
      <c r="U29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2" t="b">
        <f>IF(     ISNUMBER(Table13[[#This Row],[Strike]]),RTD("tos.rtd", , "DELTA", "."&amp;Table13[[#This Row],[Ticker]]&amp;Table13[[#This Row],[Expiry]]&amp;""&amp;"P"&amp;Table13[[#This Row],[Strike]]))</f>
        <v>0</v>
      </c>
      <c r="Y292" s="19">
        <f>-10.5* IF($M$1="NDX", 10, IF(OR($M$1="SPX", $M$1="RUT"), 2, 1))</f>
        <v>-21</v>
      </c>
      <c r="Z292">
        <f ca="1">IFERROR(Table13[[#This Row],[call gamma]]*(Table13[[#This Row],[Open.Int]])*$A$4^2,0)</f>
        <v>0</v>
      </c>
      <c r="AA292">
        <f ca="1">IFERROR(((Table13[[#This Row],[Open.Int8]])*Table13[[#This Row],[Put gamma]])*-1*$A$4^2,0)</f>
        <v>0</v>
      </c>
      <c r="AB292">
        <f ca="1">(Table13[[#This Row],[Call Gex]]+Table13[[#This Row],[Put Gex]])</f>
        <v>0</v>
      </c>
      <c r="AC292">
        <f ca="1">Table13[[#This Row],[put delta adj]]+Table13[[#This Row],[call delta adj]]</f>
        <v>0</v>
      </c>
      <c r="AD292">
        <f ca="1">Table13[[#This Row],[Put Gex]]*Table13[[#This Row],[DeltaP]]*-1</f>
        <v>0</v>
      </c>
      <c r="AE292">
        <f ca="1">Table13[[#This Row],[Call Gex]]*Table13[[#This Row],[DeltaC]]</f>
        <v>0</v>
      </c>
      <c r="AF292">
        <f>IF(Table13[[#This Row],[DeltaC]]-ABS(Table13[[#This Row],[DeltaP]])="0","0.01",Table13[[#This Row],[DeltaC]]-ABS(Table13[[#This Row],[DeltaP]]))</f>
        <v>0</v>
      </c>
      <c r="AG292" t="e">
        <f ca="1">((LN($A$4/Table13[[#This Row],[Strike]]) + (0.411 + 0.5 * Table13[[#This Row],[IV Calc P]]^2) *Table13[[#This Row],[T]])) / (Table13[[#This Row],[IV Calc P]] * SQRT(Table13[[#This Row],[T]]))</f>
        <v>#DIV/0!</v>
      </c>
      <c r="AH292" t="e">
        <f ca="1">(LN($A$4/Table13[[#This Row],[Strike]]) + (0.411-0 + 0.5 * Table13[[#This Row],[IV Calc C]]^2) *Table13[[#This Row],[T]]) / (Table13[[#This Row],[IV Calc C]] * SQRT(Table13[[#This Row],[T]]))</f>
        <v>#DIV/0!</v>
      </c>
      <c r="AI292" t="e">
        <f ca="1">(EXP(-(AG292^2)/2)/SQRT(2*PI())*EXP(0*SQRT(Table13[[#This Row],[T]]))/$A$4*18%*SQRT(SQRT(Table13[[#This Row],[T]])))</f>
        <v>#DIV/0!</v>
      </c>
      <c r="AJ292" t="e">
        <f ca="1">(EXP(-(AH292^2)/2)/SQRT(2*PI())*EXP(0*SQRT(Table13[[#This Row],[T]]))/$A$4*18%*SQRT(SQRT(Table13[[#This Row],[T]])))</f>
        <v>#DIV/0!</v>
      </c>
      <c r="AK292" t="e">
        <f ca="1">Table13[[#This Row],[Call D1]]-Table13[[#This Row],[IV Calc C]]*SQRT(Table13[[#This Row],[T]])</f>
        <v>#DIV/0!</v>
      </c>
      <c r="AL292" t="e">
        <f ca="1">Table13[[#This Row],[Put D1]]-Table13[[#This Row],[IV Calc P]]*SQRT(Table13[[#This Row],[T]])</f>
        <v>#DIV/0!</v>
      </c>
      <c r="AM292" t="e">
        <f ca="1">EXP(-0.5*Table13[[#This Row],[Call D1]]^2)/SQRT(2*PI())</f>
        <v>#DIV/0!</v>
      </c>
      <c r="AN292" t="e">
        <f ca="1">EXP(-0.5*Table13[[#This Row],[Put D1]]^2)/SQRT(2*PI())</f>
        <v>#DIV/0!</v>
      </c>
      <c r="AO292">
        <f ca="1">IFERROR((EXP(0*Table13[[#This Row],[T]])*Table13[[#This Row],[call N(d1)]]*(Table13[[#This Row],[call d2]]/Table13[[#This Row],[IV Calc C]]))*Table13[[#This Row],[Open.Int]]*Table13[[#This Row],[DeltaC]],0)</f>
        <v>0</v>
      </c>
      <c r="AP292">
        <f ca="1">IFERROR((EXP(0*Table13[[#This Row],[T]])*Table13[[#This Row],[put N(d1)]]*(Table13[[#This Row],[put d2]]/Table13[[#This Row],[IV Calc P]]))*Table13[[#This Row],[Open.Int8]]*Table13[[#This Row],[DeltaP]]*-1,0)</f>
        <v>0</v>
      </c>
      <c r="AQ292">
        <f ca="1">((Table13[[#This Row],[call vanna]]+Table13[[#This Row],[put vanna]])*$A$4)</f>
        <v>0</v>
      </c>
      <c r="AR29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2" s="9" t="str" cm="1">
        <f t="array" ref="AT292">_xlfn.IFS(     $M$1="SPX","SPXW",     $M$1="RUT","RUTW",  $M$1="NDX","NDXP",   TRUE,$M$1 )</f>
        <v>SPXW</v>
      </c>
      <c r="AU292" s="2">
        <f t="shared" si="32"/>
        <v>6915</v>
      </c>
      <c r="AV292" t="str">
        <f t="shared" si="33"/>
        <v>000100</v>
      </c>
      <c r="AY29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2">
        <f>((Table13[[#This Row],[High C]]+Table13[[#This Row],[Low C]])/2)*Table13[[#This Row],[gammac]]*Table13[[#This Row],[Volume]]</f>
        <v>0</v>
      </c>
      <c r="BD292">
        <f>((Table13[[#This Row],[High P]]+Table13[[#This Row],[Low P]])/2)*Table13[[#This Row],[gammap]]*Table13[[#This Row],[Volume9]]*-1</f>
        <v>0</v>
      </c>
      <c r="BE292">
        <f>(Table13[[#This Row],[SgammaC]]+Table13[[#This Row],[SgammaP]])*$A$4*-100</f>
        <v>0</v>
      </c>
      <c r="BF292">
        <f>Table13[[#This Row],[DEXc]]+Table13[[#This Row],[DEXp]]</f>
        <v>0</v>
      </c>
      <c r="BG292">
        <f>IFERROR(Table13[[#This Row],[DeltaC]]*Table13[[#This Row],[Open.Int]]*$A$4,0)</f>
        <v>0</v>
      </c>
      <c r="BH292">
        <f>IFERROR(Table13[[#This Row],[DeltaP]]*Table13[[#This Row],[Open.Int8]]*$A$4,0)</f>
        <v>0</v>
      </c>
      <c r="BI29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2">
        <f ca="1">Table13[[#This Row],[charmc]]+Table13[[#This Row],[charmp]]</f>
        <v>0</v>
      </c>
      <c r="BL29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2" s="78">
        <f ca="1">Table13[[#This Row],[call helper]]+Table13[[#This Row],[put helper]]</f>
        <v>0</v>
      </c>
      <c r="BP292" t="str">
        <f>RTD("tos.rtd", , "STRIKE", "."&amp;Table13[[#This Row],[Ticker]]&amp;Table13[[#This Row],[Expiry]]&amp;""&amp;"C"&amp;Table13[[#This Row],[Spot]]+Table13[[#This Row],[step]])</f>
        <v>N/A</v>
      </c>
    </row>
    <row r="293" spans="1:68" x14ac:dyDescent="0.25">
      <c r="A293" s="14">
        <f t="shared" ca="1" si="29"/>
        <v>-126.14810350076104</v>
      </c>
      <c r="C293" s="17"/>
      <c r="D293" t="b">
        <f>IF(
    ISNUMBER(Table13[[#This Row],[Strike]]),RTD("tos.rtd", , "OPEN_INT", "."&amp;Table13[[#This Row],[Ticker]]&amp;Table13[[#This Row],[Expiry]]&amp;""&amp;"C"&amp;Table13[[#This Row],[Strike]]))</f>
        <v>0</v>
      </c>
      <c r="E29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3" t="b">
        <f>IF(     ISNUMBER(Table13[[#This Row],[Strike]]),RTD("tos.rtd", , "DELTA", "."&amp;Table13[[#This Row],[Ticker]]&amp;Table13[[#This Row],[Expiry]]&amp;""&amp;"C"&amp;Table13[[#This Row],[Strike]]))</f>
        <v>0</v>
      </c>
      <c r="H293" s="17" t="b" cm="1">
        <f t="array" ref="H293">IF(
    ISNUMBER(Table13[[#This Row],[Strike]]),IndividualLegIVCore($A$4, Table13[[#This Row],[Strike]], 0.0411, Table13[[#This Row],[T]], ((Table13[[#This Row],[BIDC]]+Table13[[#This Row],[ASKC]])/2), TRUE))</f>
        <v>0</v>
      </c>
      <c r="I293" t="b">
        <f>IF(     ISNUMBER(Table13[[#This Row],[Strike]]),RTD("tos.rtd", , "BID", "."&amp;Table13[[#This Row],[Ticker]]&amp;Table13[[#This Row],[Expiry]]&amp;""&amp;"C"&amp;Table13[[#This Row],[Strike]]))</f>
        <v>0</v>
      </c>
      <c r="J293" t="b">
        <f>IF(     ISNUMBER(Table13[[#This Row],[Strike]]),RTD("tos.rtd", , "ASK", "."&amp;Table13[[#This Row],[Ticker]]&amp;Table13[[#This Row],[Expiry]]&amp;""&amp;"C"&amp;Table13[[#This Row],[Strike]]))</f>
        <v>0</v>
      </c>
      <c r="K29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3" s="17" cm="1">
        <f t="array" aca="1" ref="L29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3" s="1">
        <f t="shared" si="30"/>
        <v>0</v>
      </c>
      <c r="N293" t="b">
        <f t="shared" si="31"/>
        <v>0</v>
      </c>
      <c r="P293" s="17" t="b" cm="1">
        <f t="array" ref="P293">IF(
    ISNUMBER(Table13[[#This Row],[Strike]]),IndividualLegIVCore($A$4, Table13[[#This Row],[Strike]], 0.0411, Table13[[#This Row],[T]], ((Table13[[#This Row],[BIDP]]+Table13[[#This Row],[ASKP]])/2), FALSE))</f>
        <v>0</v>
      </c>
      <c r="Q293" t="b">
        <f>IF(     ISNUMBER(Table13[[#This Row],[Strike]]),RTD("tos.rtd", , "BID", "."&amp;Table13[[#This Row],[Ticker]]&amp;Table13[[#This Row],[Expiry]]&amp;""&amp;"P"&amp;Table13[[#This Row],[Strike]]))</f>
        <v>0</v>
      </c>
      <c r="R293" t="b">
        <f>IF(     ISNUMBER(Table13[[#This Row],[Strike]]),RTD("tos.rtd", , "ASK", "."&amp;Table13[[#This Row],[Ticker]]&amp;Table13[[#This Row],[Expiry]]&amp;""&amp;"P"&amp;Table13[[#This Row],[Strike]]))</f>
        <v>0</v>
      </c>
      <c r="S293" s="17"/>
      <c r="T293" t="b">
        <f>IF(     ISNUMBER(Table13[[#This Row],[Strike]]),RTD("tos.rtd", , "OPEN_INT", "."&amp;Table13[[#This Row],[Ticker]]&amp;Table13[[#This Row],[Expiry]]&amp;""&amp;"P"&amp;Table13[[#This Row],[Strike]]))</f>
        <v>0</v>
      </c>
      <c r="U29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3" t="b">
        <f>IF(     ISNUMBER(Table13[[#This Row],[Strike]]),RTD("tos.rtd", , "DELTA", "."&amp;Table13[[#This Row],[Ticker]]&amp;Table13[[#This Row],[Expiry]]&amp;""&amp;"P"&amp;Table13[[#This Row],[Strike]]))</f>
        <v>0</v>
      </c>
      <c r="Y293" s="19">
        <f>-10* IF($M$1="NDX", 10, IF(OR($M$1="SPX", $M$1="RUT"), 2, 1))</f>
        <v>-20</v>
      </c>
      <c r="Z293">
        <f ca="1">IFERROR(Table13[[#This Row],[call gamma]]*(Table13[[#This Row],[Open.Int]])*$A$4^2,0)</f>
        <v>0</v>
      </c>
      <c r="AA293">
        <f ca="1">IFERROR(((Table13[[#This Row],[Open.Int8]])*Table13[[#This Row],[Put gamma]])*-1*$A$4^2,0)</f>
        <v>0</v>
      </c>
      <c r="AB293">
        <f ca="1">(Table13[[#This Row],[Call Gex]]+Table13[[#This Row],[Put Gex]])</f>
        <v>0</v>
      </c>
      <c r="AC293">
        <f ca="1">Table13[[#This Row],[put delta adj]]+Table13[[#This Row],[call delta adj]]</f>
        <v>0</v>
      </c>
      <c r="AD293">
        <f ca="1">Table13[[#This Row],[Put Gex]]*Table13[[#This Row],[DeltaP]]*-1</f>
        <v>0</v>
      </c>
      <c r="AE293">
        <f ca="1">Table13[[#This Row],[Call Gex]]*Table13[[#This Row],[DeltaC]]</f>
        <v>0</v>
      </c>
      <c r="AF293">
        <f>IF(Table13[[#This Row],[DeltaC]]-ABS(Table13[[#This Row],[DeltaP]])="0","0.01",Table13[[#This Row],[DeltaC]]-ABS(Table13[[#This Row],[DeltaP]]))</f>
        <v>0</v>
      </c>
      <c r="AG293" t="e">
        <f ca="1">((LN($A$4/Table13[[#This Row],[Strike]]) + (0.411 + 0.5 * Table13[[#This Row],[IV Calc P]]^2) *Table13[[#This Row],[T]])) / (Table13[[#This Row],[IV Calc P]] * SQRT(Table13[[#This Row],[T]]))</f>
        <v>#DIV/0!</v>
      </c>
      <c r="AH293" t="e">
        <f ca="1">(LN($A$4/Table13[[#This Row],[Strike]]) + (0.411-0 + 0.5 * Table13[[#This Row],[IV Calc C]]^2) *Table13[[#This Row],[T]]) / (Table13[[#This Row],[IV Calc C]] * SQRT(Table13[[#This Row],[T]]))</f>
        <v>#DIV/0!</v>
      </c>
      <c r="AI293" t="e">
        <f ca="1">(EXP(-(AG293^2)/2)/SQRT(2*PI())*EXP(0*SQRT(Table13[[#This Row],[T]]))/$A$4*18%*SQRT(SQRT(Table13[[#This Row],[T]])))</f>
        <v>#DIV/0!</v>
      </c>
      <c r="AJ293" t="e">
        <f ca="1">(EXP(-(AH293^2)/2)/SQRT(2*PI())*EXP(0*SQRT(Table13[[#This Row],[T]]))/$A$4*18%*SQRT(SQRT(Table13[[#This Row],[T]])))</f>
        <v>#DIV/0!</v>
      </c>
      <c r="AK293" t="e">
        <f ca="1">Table13[[#This Row],[Call D1]]-Table13[[#This Row],[IV Calc C]]*SQRT(Table13[[#This Row],[T]])</f>
        <v>#DIV/0!</v>
      </c>
      <c r="AL293" t="e">
        <f ca="1">Table13[[#This Row],[Put D1]]-Table13[[#This Row],[IV Calc P]]*SQRT(Table13[[#This Row],[T]])</f>
        <v>#DIV/0!</v>
      </c>
      <c r="AM293" t="e">
        <f ca="1">EXP(-0.5*Table13[[#This Row],[Call D1]]^2)/SQRT(2*PI())</f>
        <v>#DIV/0!</v>
      </c>
      <c r="AN293" t="e">
        <f ca="1">EXP(-0.5*Table13[[#This Row],[Put D1]]^2)/SQRT(2*PI())</f>
        <v>#DIV/0!</v>
      </c>
      <c r="AO293">
        <f ca="1">IFERROR((EXP(0*Table13[[#This Row],[T]])*Table13[[#This Row],[call N(d1)]]*(Table13[[#This Row],[call d2]]/Table13[[#This Row],[IV Calc C]]))*Table13[[#This Row],[Open.Int]]*Table13[[#This Row],[DeltaC]],0)</f>
        <v>0</v>
      </c>
      <c r="AP293">
        <f ca="1">IFERROR((EXP(0*Table13[[#This Row],[T]])*Table13[[#This Row],[put N(d1)]]*(Table13[[#This Row],[put d2]]/Table13[[#This Row],[IV Calc P]]))*Table13[[#This Row],[Open.Int8]]*Table13[[#This Row],[DeltaP]]*-1,0)</f>
        <v>0</v>
      </c>
      <c r="AQ293">
        <f ca="1">((Table13[[#This Row],[call vanna]]+Table13[[#This Row],[put vanna]])*$A$4)</f>
        <v>0</v>
      </c>
      <c r="AR29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3" s="9" t="str" cm="1">
        <f t="array" ref="AT293">_xlfn.IFS(     $M$1="SPX","SPXW",     $M$1="RUT","RUTW",  $M$1="NDX","NDXP",   TRUE,$M$1 )</f>
        <v>SPXW</v>
      </c>
      <c r="AU293" s="2">
        <f t="shared" si="32"/>
        <v>6915</v>
      </c>
      <c r="AV293" t="str">
        <f t="shared" si="33"/>
        <v>000100</v>
      </c>
      <c r="AY29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3">
        <f>((Table13[[#This Row],[High C]]+Table13[[#This Row],[Low C]])/2)*Table13[[#This Row],[gammac]]*Table13[[#This Row],[Volume]]</f>
        <v>0</v>
      </c>
      <c r="BD293">
        <f>((Table13[[#This Row],[High P]]+Table13[[#This Row],[Low P]])/2)*Table13[[#This Row],[gammap]]*Table13[[#This Row],[Volume9]]*-1</f>
        <v>0</v>
      </c>
      <c r="BE293">
        <f>(Table13[[#This Row],[SgammaC]]+Table13[[#This Row],[SgammaP]])*$A$4*-100</f>
        <v>0</v>
      </c>
      <c r="BF293">
        <f>Table13[[#This Row],[DEXc]]+Table13[[#This Row],[DEXp]]</f>
        <v>0</v>
      </c>
      <c r="BG293">
        <f>IFERROR(Table13[[#This Row],[DeltaC]]*Table13[[#This Row],[Open.Int]]*$A$4,0)</f>
        <v>0</v>
      </c>
      <c r="BH293">
        <f>IFERROR(Table13[[#This Row],[DeltaP]]*Table13[[#This Row],[Open.Int8]]*$A$4,0)</f>
        <v>0</v>
      </c>
      <c r="BI29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3">
        <f ca="1">Table13[[#This Row],[charmc]]+Table13[[#This Row],[charmp]]</f>
        <v>0</v>
      </c>
      <c r="BL29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3" s="78">
        <f ca="1">Table13[[#This Row],[call helper]]+Table13[[#This Row],[put helper]]</f>
        <v>0</v>
      </c>
      <c r="BP293" t="str">
        <f>RTD("tos.rtd", , "STRIKE", "."&amp;Table13[[#This Row],[Ticker]]&amp;Table13[[#This Row],[Expiry]]&amp;""&amp;"C"&amp;Table13[[#This Row],[Spot]]+Table13[[#This Row],[step]])</f>
        <v>N/A</v>
      </c>
    </row>
    <row r="294" spans="1:68" x14ac:dyDescent="0.25">
      <c r="A294" s="14">
        <f t="shared" ca="1" si="29"/>
        <v>-126.14810350076104</v>
      </c>
      <c r="C294" s="17"/>
      <c r="D294" t="b">
        <f>IF(
    ISNUMBER(Table13[[#This Row],[Strike]]),RTD("tos.rtd", , "OPEN_INT", "."&amp;Table13[[#This Row],[Ticker]]&amp;Table13[[#This Row],[Expiry]]&amp;""&amp;"C"&amp;Table13[[#This Row],[Strike]]))</f>
        <v>0</v>
      </c>
      <c r="E29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4" t="b">
        <f>IF(     ISNUMBER(Table13[[#This Row],[Strike]]),RTD("tos.rtd", , "DELTA", "."&amp;Table13[[#This Row],[Ticker]]&amp;Table13[[#This Row],[Expiry]]&amp;""&amp;"C"&amp;Table13[[#This Row],[Strike]]))</f>
        <v>0</v>
      </c>
      <c r="H294" s="17" t="b" cm="1">
        <f t="array" ref="H294">IF(
    ISNUMBER(Table13[[#This Row],[Strike]]),IndividualLegIVCore($A$4, Table13[[#This Row],[Strike]], 0.0411, Table13[[#This Row],[T]], ((Table13[[#This Row],[BIDC]]+Table13[[#This Row],[ASKC]])/2), TRUE))</f>
        <v>0</v>
      </c>
      <c r="I294" t="b">
        <f>IF(     ISNUMBER(Table13[[#This Row],[Strike]]),RTD("tos.rtd", , "BID", "."&amp;Table13[[#This Row],[Ticker]]&amp;Table13[[#This Row],[Expiry]]&amp;""&amp;"C"&amp;Table13[[#This Row],[Strike]]))</f>
        <v>0</v>
      </c>
      <c r="J294" t="b">
        <f>IF(     ISNUMBER(Table13[[#This Row],[Strike]]),RTD("tos.rtd", , "ASK", "."&amp;Table13[[#This Row],[Ticker]]&amp;Table13[[#This Row],[Expiry]]&amp;""&amp;"C"&amp;Table13[[#This Row],[Strike]]))</f>
        <v>0</v>
      </c>
      <c r="K29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4" s="17" cm="1">
        <f t="array" aca="1" ref="L29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4" s="1">
        <f t="shared" si="30"/>
        <v>0</v>
      </c>
      <c r="N294" t="b">
        <f t="shared" si="31"/>
        <v>0</v>
      </c>
      <c r="P294" s="17" t="b" cm="1">
        <f t="array" ref="P294">IF(
    ISNUMBER(Table13[[#This Row],[Strike]]),IndividualLegIVCore($A$4, Table13[[#This Row],[Strike]], 0.0411, Table13[[#This Row],[T]], ((Table13[[#This Row],[BIDP]]+Table13[[#This Row],[ASKP]])/2), FALSE))</f>
        <v>0</v>
      </c>
      <c r="Q294" t="b">
        <f>IF(     ISNUMBER(Table13[[#This Row],[Strike]]),RTD("tos.rtd", , "BID", "."&amp;Table13[[#This Row],[Ticker]]&amp;Table13[[#This Row],[Expiry]]&amp;""&amp;"P"&amp;Table13[[#This Row],[Strike]]))</f>
        <v>0</v>
      </c>
      <c r="R294" t="b">
        <f>IF(     ISNUMBER(Table13[[#This Row],[Strike]]),RTD("tos.rtd", , "ASK", "."&amp;Table13[[#This Row],[Ticker]]&amp;Table13[[#This Row],[Expiry]]&amp;""&amp;"P"&amp;Table13[[#This Row],[Strike]]))</f>
        <v>0</v>
      </c>
      <c r="S294" s="17"/>
      <c r="T294" t="b">
        <f>IF(     ISNUMBER(Table13[[#This Row],[Strike]]),RTD("tos.rtd", , "OPEN_INT", "."&amp;Table13[[#This Row],[Ticker]]&amp;Table13[[#This Row],[Expiry]]&amp;""&amp;"P"&amp;Table13[[#This Row],[Strike]]))</f>
        <v>0</v>
      </c>
      <c r="U29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4" t="b">
        <f>IF(     ISNUMBER(Table13[[#This Row],[Strike]]),RTD("tos.rtd", , "DELTA", "."&amp;Table13[[#This Row],[Ticker]]&amp;Table13[[#This Row],[Expiry]]&amp;""&amp;"P"&amp;Table13[[#This Row],[Strike]]))</f>
        <v>0</v>
      </c>
      <c r="Y294" s="21">
        <f>-9.5* IF($M$1="NDX", 10, IF(OR($M$1="SPX", $M$1="RUT"), 2, 1))</f>
        <v>-19</v>
      </c>
      <c r="Z294">
        <f ca="1">IFERROR(Table13[[#This Row],[call gamma]]*(Table13[[#This Row],[Open.Int]])*$A$4^2,0)</f>
        <v>0</v>
      </c>
      <c r="AA294">
        <f ca="1">IFERROR(((Table13[[#This Row],[Open.Int8]])*Table13[[#This Row],[Put gamma]])*-1*$A$4^2,0)</f>
        <v>0</v>
      </c>
      <c r="AB294">
        <f ca="1">(Table13[[#This Row],[Call Gex]]+Table13[[#This Row],[Put Gex]])</f>
        <v>0</v>
      </c>
      <c r="AC294">
        <f ca="1">Table13[[#This Row],[put delta adj]]+Table13[[#This Row],[call delta adj]]</f>
        <v>0</v>
      </c>
      <c r="AD294">
        <f ca="1">Table13[[#This Row],[Put Gex]]*Table13[[#This Row],[DeltaP]]*-1</f>
        <v>0</v>
      </c>
      <c r="AE294">
        <f ca="1">Table13[[#This Row],[Call Gex]]*Table13[[#This Row],[DeltaC]]</f>
        <v>0</v>
      </c>
      <c r="AF294">
        <f>IF(Table13[[#This Row],[DeltaC]]-ABS(Table13[[#This Row],[DeltaP]])="0","0.01",Table13[[#This Row],[DeltaC]]-ABS(Table13[[#This Row],[DeltaP]]))</f>
        <v>0</v>
      </c>
      <c r="AG294" t="e">
        <f ca="1">((LN($A$4/Table13[[#This Row],[Strike]]) + (0.411 + 0.5 * Table13[[#This Row],[IV Calc P]]^2) *Table13[[#This Row],[T]])) / (Table13[[#This Row],[IV Calc P]] * SQRT(Table13[[#This Row],[T]]))</f>
        <v>#DIV/0!</v>
      </c>
      <c r="AH294" t="e">
        <f ca="1">(LN($A$4/Table13[[#This Row],[Strike]]) + (0.411-0 + 0.5 * Table13[[#This Row],[IV Calc C]]^2) *Table13[[#This Row],[T]]) / (Table13[[#This Row],[IV Calc C]] * SQRT(Table13[[#This Row],[T]]))</f>
        <v>#DIV/0!</v>
      </c>
      <c r="AI294" t="e">
        <f ca="1">(EXP(-(AG294^2)/2)/SQRT(2*PI())*EXP(0*SQRT(Table13[[#This Row],[T]]))/$A$4*18%*SQRT(SQRT(Table13[[#This Row],[T]])))</f>
        <v>#DIV/0!</v>
      </c>
      <c r="AJ294" t="e">
        <f ca="1">(EXP(-(AH294^2)/2)/SQRT(2*PI())*EXP(0*SQRT(Table13[[#This Row],[T]]))/$A$4*18%*SQRT(SQRT(Table13[[#This Row],[T]])))</f>
        <v>#DIV/0!</v>
      </c>
      <c r="AK294" t="e">
        <f ca="1">Table13[[#This Row],[Call D1]]-Table13[[#This Row],[IV Calc C]]*SQRT(Table13[[#This Row],[T]])</f>
        <v>#DIV/0!</v>
      </c>
      <c r="AL294" t="e">
        <f ca="1">Table13[[#This Row],[Put D1]]-Table13[[#This Row],[IV Calc P]]*SQRT(Table13[[#This Row],[T]])</f>
        <v>#DIV/0!</v>
      </c>
      <c r="AM294" t="e">
        <f ca="1">EXP(-0.5*Table13[[#This Row],[Call D1]]^2)/SQRT(2*PI())</f>
        <v>#DIV/0!</v>
      </c>
      <c r="AN294" t="e">
        <f ca="1">EXP(-0.5*Table13[[#This Row],[Put D1]]^2)/SQRT(2*PI())</f>
        <v>#DIV/0!</v>
      </c>
      <c r="AO294">
        <f ca="1">IFERROR((EXP(0*Table13[[#This Row],[T]])*Table13[[#This Row],[call N(d1)]]*(Table13[[#This Row],[call d2]]/Table13[[#This Row],[IV Calc C]]))*Table13[[#This Row],[Open.Int]]*Table13[[#This Row],[DeltaC]],0)</f>
        <v>0</v>
      </c>
      <c r="AP294">
        <f ca="1">IFERROR((EXP(0*Table13[[#This Row],[T]])*Table13[[#This Row],[put N(d1)]]*(Table13[[#This Row],[put d2]]/Table13[[#This Row],[IV Calc P]]))*Table13[[#This Row],[Open.Int8]]*Table13[[#This Row],[DeltaP]]*-1,0)</f>
        <v>0</v>
      </c>
      <c r="AQ294">
        <f ca="1">((Table13[[#This Row],[call vanna]]+Table13[[#This Row],[put vanna]])*$A$4)</f>
        <v>0</v>
      </c>
      <c r="AR29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4" s="9" t="str" cm="1">
        <f t="array" ref="AT294">_xlfn.IFS(     $M$1="SPX","SPXW",     $M$1="RUT","RUTW",  $M$1="NDX","NDXP",   TRUE,$M$1 )</f>
        <v>SPXW</v>
      </c>
      <c r="AU294" s="2">
        <f t="shared" si="32"/>
        <v>6915</v>
      </c>
      <c r="AV294" t="str">
        <f t="shared" si="33"/>
        <v>000100</v>
      </c>
      <c r="AY29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4">
        <f>((Table13[[#This Row],[High C]]+Table13[[#This Row],[Low C]])/2)*Table13[[#This Row],[gammac]]*Table13[[#This Row],[Volume]]</f>
        <v>0</v>
      </c>
      <c r="BD294">
        <f>((Table13[[#This Row],[High P]]+Table13[[#This Row],[Low P]])/2)*Table13[[#This Row],[gammap]]*Table13[[#This Row],[Volume9]]*-1</f>
        <v>0</v>
      </c>
      <c r="BE294">
        <f>(Table13[[#This Row],[SgammaC]]+Table13[[#This Row],[SgammaP]])*$A$4*-100</f>
        <v>0</v>
      </c>
      <c r="BF294">
        <f>Table13[[#This Row],[DEXc]]+Table13[[#This Row],[DEXp]]</f>
        <v>0</v>
      </c>
      <c r="BG294">
        <f>IFERROR(Table13[[#This Row],[DeltaC]]*Table13[[#This Row],[Open.Int]]*$A$4,0)</f>
        <v>0</v>
      </c>
      <c r="BH294">
        <f>IFERROR(Table13[[#This Row],[DeltaP]]*Table13[[#This Row],[Open.Int8]]*$A$4,0)</f>
        <v>0</v>
      </c>
      <c r="BI29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4">
        <f ca="1">Table13[[#This Row],[charmc]]+Table13[[#This Row],[charmp]]</f>
        <v>0</v>
      </c>
      <c r="BL29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4" s="78">
        <f ca="1">Table13[[#This Row],[call helper]]+Table13[[#This Row],[put helper]]</f>
        <v>0</v>
      </c>
      <c r="BP294" t="str">
        <f>RTD("tos.rtd", , "STRIKE", "."&amp;Table13[[#This Row],[Ticker]]&amp;Table13[[#This Row],[Expiry]]&amp;""&amp;"C"&amp;Table13[[#This Row],[Spot]]+Table13[[#This Row],[step]])</f>
        <v>N/A</v>
      </c>
    </row>
    <row r="295" spans="1:68" x14ac:dyDescent="0.25">
      <c r="A295" s="14">
        <f t="shared" ca="1" si="29"/>
        <v>-126.14810350076104</v>
      </c>
      <c r="C295" s="17"/>
      <c r="D295" t="b">
        <f>IF(
    ISNUMBER(Table13[[#This Row],[Strike]]),RTD("tos.rtd", , "OPEN_INT", "."&amp;Table13[[#This Row],[Ticker]]&amp;Table13[[#This Row],[Expiry]]&amp;""&amp;"C"&amp;Table13[[#This Row],[Strike]]))</f>
        <v>0</v>
      </c>
      <c r="E29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5" t="b">
        <f>IF(     ISNUMBER(Table13[[#This Row],[Strike]]),RTD("tos.rtd", , "DELTA", "."&amp;Table13[[#This Row],[Ticker]]&amp;Table13[[#This Row],[Expiry]]&amp;""&amp;"C"&amp;Table13[[#This Row],[Strike]]))</f>
        <v>0</v>
      </c>
      <c r="H295" s="17" t="b" cm="1">
        <f t="array" ref="H295">IF(
    ISNUMBER(Table13[[#This Row],[Strike]]),IndividualLegIVCore($A$4, Table13[[#This Row],[Strike]], 0.0411, Table13[[#This Row],[T]], ((Table13[[#This Row],[BIDC]]+Table13[[#This Row],[ASKC]])/2), TRUE))</f>
        <v>0</v>
      </c>
      <c r="I295" t="b">
        <f>IF(     ISNUMBER(Table13[[#This Row],[Strike]]),RTD("tos.rtd", , "BID", "."&amp;Table13[[#This Row],[Ticker]]&amp;Table13[[#This Row],[Expiry]]&amp;""&amp;"C"&amp;Table13[[#This Row],[Strike]]))</f>
        <v>0</v>
      </c>
      <c r="J295" t="b">
        <f>IF(     ISNUMBER(Table13[[#This Row],[Strike]]),RTD("tos.rtd", , "ASK", "."&amp;Table13[[#This Row],[Ticker]]&amp;Table13[[#This Row],[Expiry]]&amp;""&amp;"C"&amp;Table13[[#This Row],[Strike]]))</f>
        <v>0</v>
      </c>
      <c r="K29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5" s="17" cm="1">
        <f t="array" aca="1" ref="L29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5" s="1">
        <f t="shared" si="30"/>
        <v>0</v>
      </c>
      <c r="N295" t="b">
        <f t="shared" si="31"/>
        <v>0</v>
      </c>
      <c r="P295" s="17" t="b" cm="1">
        <f t="array" ref="P295">IF(
    ISNUMBER(Table13[[#This Row],[Strike]]),IndividualLegIVCore($A$4, Table13[[#This Row],[Strike]], 0.0411, Table13[[#This Row],[T]], ((Table13[[#This Row],[BIDP]]+Table13[[#This Row],[ASKP]])/2), FALSE))</f>
        <v>0</v>
      </c>
      <c r="Q295" t="b">
        <f>IF(     ISNUMBER(Table13[[#This Row],[Strike]]),RTD("tos.rtd", , "BID", "."&amp;Table13[[#This Row],[Ticker]]&amp;Table13[[#This Row],[Expiry]]&amp;""&amp;"P"&amp;Table13[[#This Row],[Strike]]))</f>
        <v>0</v>
      </c>
      <c r="R295" t="b">
        <f>IF(     ISNUMBER(Table13[[#This Row],[Strike]]),RTD("tos.rtd", , "ASK", "."&amp;Table13[[#This Row],[Ticker]]&amp;Table13[[#This Row],[Expiry]]&amp;""&amp;"P"&amp;Table13[[#This Row],[Strike]]))</f>
        <v>0</v>
      </c>
      <c r="S295" s="17"/>
      <c r="T295" t="b">
        <f>IF(     ISNUMBER(Table13[[#This Row],[Strike]]),RTD("tos.rtd", , "OPEN_INT", "."&amp;Table13[[#This Row],[Ticker]]&amp;Table13[[#This Row],[Expiry]]&amp;""&amp;"P"&amp;Table13[[#This Row],[Strike]]))</f>
        <v>0</v>
      </c>
      <c r="U29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5" t="b">
        <f>IF(     ISNUMBER(Table13[[#This Row],[Strike]]),RTD("tos.rtd", , "DELTA", "."&amp;Table13[[#This Row],[Ticker]]&amp;Table13[[#This Row],[Expiry]]&amp;""&amp;"P"&amp;Table13[[#This Row],[Strike]]))</f>
        <v>0</v>
      </c>
      <c r="Y295" s="19">
        <f>-9* IF($M$1="NDX", 10, IF(OR($M$1="SPX", $M$1="RUT"), 2, 1))</f>
        <v>-18</v>
      </c>
      <c r="Z295">
        <f ca="1">IFERROR(Table13[[#This Row],[call gamma]]*(Table13[[#This Row],[Open.Int]])*$A$4^2,0)</f>
        <v>0</v>
      </c>
      <c r="AA295">
        <f ca="1">IFERROR(((Table13[[#This Row],[Open.Int8]])*Table13[[#This Row],[Put gamma]])*-1*$A$4^2,0)</f>
        <v>0</v>
      </c>
      <c r="AB295">
        <f ca="1">(Table13[[#This Row],[Call Gex]]+Table13[[#This Row],[Put Gex]])</f>
        <v>0</v>
      </c>
      <c r="AC295">
        <f ca="1">Table13[[#This Row],[put delta adj]]+Table13[[#This Row],[call delta adj]]</f>
        <v>0</v>
      </c>
      <c r="AD295">
        <f ca="1">Table13[[#This Row],[Put Gex]]*Table13[[#This Row],[DeltaP]]*-1</f>
        <v>0</v>
      </c>
      <c r="AE295">
        <f ca="1">Table13[[#This Row],[Call Gex]]*Table13[[#This Row],[DeltaC]]</f>
        <v>0</v>
      </c>
      <c r="AF295">
        <f>IF(Table13[[#This Row],[DeltaC]]-ABS(Table13[[#This Row],[DeltaP]])="0","0.01",Table13[[#This Row],[DeltaC]]-ABS(Table13[[#This Row],[DeltaP]]))</f>
        <v>0</v>
      </c>
      <c r="AG295" t="e">
        <f ca="1">((LN($A$4/Table13[[#This Row],[Strike]]) + (0.411 + 0.5 * Table13[[#This Row],[IV Calc P]]^2) *Table13[[#This Row],[T]])) / (Table13[[#This Row],[IV Calc P]] * SQRT(Table13[[#This Row],[T]]))</f>
        <v>#DIV/0!</v>
      </c>
      <c r="AH295" t="e">
        <f ca="1">(LN($A$4/Table13[[#This Row],[Strike]]) + (0.411-0 + 0.5 * Table13[[#This Row],[IV Calc C]]^2) *Table13[[#This Row],[T]]) / (Table13[[#This Row],[IV Calc C]] * SQRT(Table13[[#This Row],[T]]))</f>
        <v>#DIV/0!</v>
      </c>
      <c r="AI295" t="e">
        <f ca="1">(EXP(-(AG295^2)/2)/SQRT(2*PI())*EXP(0*SQRT(Table13[[#This Row],[T]]))/$A$4*18%*SQRT(SQRT(Table13[[#This Row],[T]])))</f>
        <v>#DIV/0!</v>
      </c>
      <c r="AJ295" t="e">
        <f ca="1">(EXP(-(AH295^2)/2)/SQRT(2*PI())*EXP(0*SQRT(Table13[[#This Row],[T]]))/$A$4*18%*SQRT(SQRT(Table13[[#This Row],[T]])))</f>
        <v>#DIV/0!</v>
      </c>
      <c r="AK295" t="e">
        <f ca="1">Table13[[#This Row],[Call D1]]-Table13[[#This Row],[IV Calc C]]*SQRT(Table13[[#This Row],[T]])</f>
        <v>#DIV/0!</v>
      </c>
      <c r="AL295" t="e">
        <f ca="1">Table13[[#This Row],[Put D1]]-Table13[[#This Row],[IV Calc P]]*SQRT(Table13[[#This Row],[T]])</f>
        <v>#DIV/0!</v>
      </c>
      <c r="AM295" t="e">
        <f ca="1">EXP(-0.5*Table13[[#This Row],[Call D1]]^2)/SQRT(2*PI())</f>
        <v>#DIV/0!</v>
      </c>
      <c r="AN295" t="e">
        <f ca="1">EXP(-0.5*Table13[[#This Row],[Put D1]]^2)/SQRT(2*PI())</f>
        <v>#DIV/0!</v>
      </c>
      <c r="AO295">
        <f ca="1">IFERROR((EXP(0*Table13[[#This Row],[T]])*Table13[[#This Row],[call N(d1)]]*(Table13[[#This Row],[call d2]]/Table13[[#This Row],[IV Calc C]]))*Table13[[#This Row],[Open.Int]]*Table13[[#This Row],[DeltaC]],0)</f>
        <v>0</v>
      </c>
      <c r="AP295">
        <f ca="1">IFERROR((EXP(0*Table13[[#This Row],[T]])*Table13[[#This Row],[put N(d1)]]*(Table13[[#This Row],[put d2]]/Table13[[#This Row],[IV Calc P]]))*Table13[[#This Row],[Open.Int8]]*Table13[[#This Row],[DeltaP]]*-1,0)</f>
        <v>0</v>
      </c>
      <c r="AQ295">
        <f ca="1">((Table13[[#This Row],[call vanna]]+Table13[[#This Row],[put vanna]])*$A$4)</f>
        <v>0</v>
      </c>
      <c r="AR29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5" s="9" t="str" cm="1">
        <f t="array" ref="AT295">_xlfn.IFS(     $M$1="SPX","SPXW",     $M$1="RUT","RUTW",  $M$1="NDX","NDXP",   TRUE,$M$1 )</f>
        <v>SPXW</v>
      </c>
      <c r="AU295" s="2">
        <f t="shared" si="32"/>
        <v>6915</v>
      </c>
      <c r="AV295" t="str">
        <f t="shared" si="33"/>
        <v>000100</v>
      </c>
      <c r="AY29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5">
        <f>((Table13[[#This Row],[High C]]+Table13[[#This Row],[Low C]])/2)*Table13[[#This Row],[gammac]]*Table13[[#This Row],[Volume]]</f>
        <v>0</v>
      </c>
      <c r="BD295">
        <f>((Table13[[#This Row],[High P]]+Table13[[#This Row],[Low P]])/2)*Table13[[#This Row],[gammap]]*Table13[[#This Row],[Volume9]]*-1</f>
        <v>0</v>
      </c>
      <c r="BE295">
        <f>(Table13[[#This Row],[SgammaC]]+Table13[[#This Row],[SgammaP]])*$A$4*-100</f>
        <v>0</v>
      </c>
      <c r="BF295">
        <f>Table13[[#This Row],[DEXc]]+Table13[[#This Row],[DEXp]]</f>
        <v>0</v>
      </c>
      <c r="BG295">
        <f>IFERROR(Table13[[#This Row],[DeltaC]]*Table13[[#This Row],[Open.Int]]*$A$4,0)</f>
        <v>0</v>
      </c>
      <c r="BH295">
        <f>IFERROR(Table13[[#This Row],[DeltaP]]*Table13[[#This Row],[Open.Int8]]*$A$4,0)</f>
        <v>0</v>
      </c>
      <c r="BI29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5">
        <f ca="1">Table13[[#This Row],[charmc]]+Table13[[#This Row],[charmp]]</f>
        <v>0</v>
      </c>
      <c r="BL29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5" s="78">
        <f ca="1">Table13[[#This Row],[call helper]]+Table13[[#This Row],[put helper]]</f>
        <v>0</v>
      </c>
      <c r="BP295" t="str">
        <f>RTD("tos.rtd", , "STRIKE", "."&amp;Table13[[#This Row],[Ticker]]&amp;Table13[[#This Row],[Expiry]]&amp;""&amp;"C"&amp;Table13[[#This Row],[Spot]]+Table13[[#This Row],[step]])</f>
        <v>N/A</v>
      </c>
    </row>
    <row r="296" spans="1:68" x14ac:dyDescent="0.25">
      <c r="A296" s="14">
        <f t="shared" ca="1" si="29"/>
        <v>-126.14810350076104</v>
      </c>
      <c r="C296" s="17"/>
      <c r="D296" t="b">
        <f>IF(
    ISNUMBER(Table13[[#This Row],[Strike]]),RTD("tos.rtd", , "OPEN_INT", "."&amp;Table13[[#This Row],[Ticker]]&amp;Table13[[#This Row],[Expiry]]&amp;""&amp;"C"&amp;Table13[[#This Row],[Strike]]))</f>
        <v>0</v>
      </c>
      <c r="E29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6" t="b">
        <f>IF(     ISNUMBER(Table13[[#This Row],[Strike]]),RTD("tos.rtd", , "DELTA", "."&amp;Table13[[#This Row],[Ticker]]&amp;Table13[[#This Row],[Expiry]]&amp;""&amp;"C"&amp;Table13[[#This Row],[Strike]]))</f>
        <v>0</v>
      </c>
      <c r="H296" s="17" t="b" cm="1">
        <f t="array" ref="H296">IF(
    ISNUMBER(Table13[[#This Row],[Strike]]),IndividualLegIVCore($A$4, Table13[[#This Row],[Strike]], 0.0411, Table13[[#This Row],[T]], ((Table13[[#This Row],[BIDC]]+Table13[[#This Row],[ASKC]])/2), TRUE))</f>
        <v>0</v>
      </c>
      <c r="I296" t="b">
        <f>IF(     ISNUMBER(Table13[[#This Row],[Strike]]),RTD("tos.rtd", , "BID", "."&amp;Table13[[#This Row],[Ticker]]&amp;Table13[[#This Row],[Expiry]]&amp;""&amp;"C"&amp;Table13[[#This Row],[Strike]]))</f>
        <v>0</v>
      </c>
      <c r="J296" t="b">
        <f>IF(     ISNUMBER(Table13[[#This Row],[Strike]]),RTD("tos.rtd", , "ASK", "."&amp;Table13[[#This Row],[Ticker]]&amp;Table13[[#This Row],[Expiry]]&amp;""&amp;"C"&amp;Table13[[#This Row],[Strike]]))</f>
        <v>0</v>
      </c>
      <c r="K29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6" s="17" cm="1">
        <f t="array" aca="1" ref="L29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6" s="1">
        <f t="shared" si="30"/>
        <v>0</v>
      </c>
      <c r="N296" t="b">
        <f t="shared" si="31"/>
        <v>0</v>
      </c>
      <c r="P296" s="17" t="b" cm="1">
        <f t="array" ref="P296">IF(
    ISNUMBER(Table13[[#This Row],[Strike]]),IndividualLegIVCore($A$4, Table13[[#This Row],[Strike]], 0.0411, Table13[[#This Row],[T]], ((Table13[[#This Row],[BIDP]]+Table13[[#This Row],[ASKP]])/2), FALSE))</f>
        <v>0</v>
      </c>
      <c r="Q296" t="b">
        <f>IF(     ISNUMBER(Table13[[#This Row],[Strike]]),RTD("tos.rtd", , "BID", "."&amp;Table13[[#This Row],[Ticker]]&amp;Table13[[#This Row],[Expiry]]&amp;""&amp;"P"&amp;Table13[[#This Row],[Strike]]))</f>
        <v>0</v>
      </c>
      <c r="R296" t="b">
        <f>IF(     ISNUMBER(Table13[[#This Row],[Strike]]),RTD("tos.rtd", , "ASK", "."&amp;Table13[[#This Row],[Ticker]]&amp;Table13[[#This Row],[Expiry]]&amp;""&amp;"P"&amp;Table13[[#This Row],[Strike]]))</f>
        <v>0</v>
      </c>
      <c r="S296" s="17"/>
      <c r="T296" t="b">
        <f>IF(     ISNUMBER(Table13[[#This Row],[Strike]]),RTD("tos.rtd", , "OPEN_INT", "."&amp;Table13[[#This Row],[Ticker]]&amp;Table13[[#This Row],[Expiry]]&amp;""&amp;"P"&amp;Table13[[#This Row],[Strike]]))</f>
        <v>0</v>
      </c>
      <c r="U29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6" t="b">
        <f>IF(     ISNUMBER(Table13[[#This Row],[Strike]]),RTD("tos.rtd", , "DELTA", "."&amp;Table13[[#This Row],[Ticker]]&amp;Table13[[#This Row],[Expiry]]&amp;""&amp;"P"&amp;Table13[[#This Row],[Strike]]))</f>
        <v>0</v>
      </c>
      <c r="Y296" s="19">
        <f>-8.5* IF($M$1="NDX", 10, IF(OR($M$1="SPX", $M$1="RUT"), 2, 1))</f>
        <v>-17</v>
      </c>
      <c r="Z296">
        <f ca="1">IFERROR(Table13[[#This Row],[call gamma]]*(Table13[[#This Row],[Open.Int]])*$A$4^2,0)</f>
        <v>0</v>
      </c>
      <c r="AA296">
        <f ca="1">IFERROR(((Table13[[#This Row],[Open.Int8]])*Table13[[#This Row],[Put gamma]])*-1*$A$4^2,0)</f>
        <v>0</v>
      </c>
      <c r="AB296">
        <f ca="1">(Table13[[#This Row],[Call Gex]]+Table13[[#This Row],[Put Gex]])</f>
        <v>0</v>
      </c>
      <c r="AC296">
        <f ca="1">Table13[[#This Row],[put delta adj]]+Table13[[#This Row],[call delta adj]]</f>
        <v>0</v>
      </c>
      <c r="AD296">
        <f ca="1">Table13[[#This Row],[Put Gex]]*Table13[[#This Row],[DeltaP]]*-1</f>
        <v>0</v>
      </c>
      <c r="AE296">
        <f ca="1">Table13[[#This Row],[Call Gex]]*Table13[[#This Row],[DeltaC]]</f>
        <v>0</v>
      </c>
      <c r="AF296">
        <f>IF(Table13[[#This Row],[DeltaC]]-ABS(Table13[[#This Row],[DeltaP]])="0","0.01",Table13[[#This Row],[DeltaC]]-ABS(Table13[[#This Row],[DeltaP]]))</f>
        <v>0</v>
      </c>
      <c r="AG296" t="e">
        <f ca="1">((LN($A$4/Table13[[#This Row],[Strike]]) + (0.411 + 0.5 * Table13[[#This Row],[IV Calc P]]^2) *Table13[[#This Row],[T]])) / (Table13[[#This Row],[IV Calc P]] * SQRT(Table13[[#This Row],[T]]))</f>
        <v>#DIV/0!</v>
      </c>
      <c r="AH296" t="e">
        <f ca="1">(LN($A$4/Table13[[#This Row],[Strike]]) + (0.411-0 + 0.5 * Table13[[#This Row],[IV Calc C]]^2) *Table13[[#This Row],[T]]) / (Table13[[#This Row],[IV Calc C]] * SQRT(Table13[[#This Row],[T]]))</f>
        <v>#DIV/0!</v>
      </c>
      <c r="AI296" t="e">
        <f ca="1">(EXP(-(AG296^2)/2)/SQRT(2*PI())*EXP(0*SQRT(Table13[[#This Row],[T]]))/$A$4*18%*SQRT(SQRT(Table13[[#This Row],[T]])))</f>
        <v>#DIV/0!</v>
      </c>
      <c r="AJ296" t="e">
        <f ca="1">(EXP(-(AH296^2)/2)/SQRT(2*PI())*EXP(0*SQRT(Table13[[#This Row],[T]]))/$A$4*18%*SQRT(SQRT(Table13[[#This Row],[T]])))</f>
        <v>#DIV/0!</v>
      </c>
      <c r="AK296" t="e">
        <f ca="1">Table13[[#This Row],[Call D1]]-Table13[[#This Row],[IV Calc C]]*SQRT(Table13[[#This Row],[T]])</f>
        <v>#DIV/0!</v>
      </c>
      <c r="AL296" t="e">
        <f ca="1">Table13[[#This Row],[Put D1]]-Table13[[#This Row],[IV Calc P]]*SQRT(Table13[[#This Row],[T]])</f>
        <v>#DIV/0!</v>
      </c>
      <c r="AM296" t="e">
        <f ca="1">EXP(-0.5*Table13[[#This Row],[Call D1]]^2)/SQRT(2*PI())</f>
        <v>#DIV/0!</v>
      </c>
      <c r="AN296" t="e">
        <f ca="1">EXP(-0.5*Table13[[#This Row],[Put D1]]^2)/SQRT(2*PI())</f>
        <v>#DIV/0!</v>
      </c>
      <c r="AO296">
        <f ca="1">IFERROR((EXP(0*Table13[[#This Row],[T]])*Table13[[#This Row],[call N(d1)]]*(Table13[[#This Row],[call d2]]/Table13[[#This Row],[IV Calc C]]))*Table13[[#This Row],[Open.Int]]*Table13[[#This Row],[DeltaC]],0)</f>
        <v>0</v>
      </c>
      <c r="AP296">
        <f ca="1">IFERROR((EXP(0*Table13[[#This Row],[T]])*Table13[[#This Row],[put N(d1)]]*(Table13[[#This Row],[put d2]]/Table13[[#This Row],[IV Calc P]]))*Table13[[#This Row],[Open.Int8]]*Table13[[#This Row],[DeltaP]]*-1,0)</f>
        <v>0</v>
      </c>
      <c r="AQ296">
        <f ca="1">((Table13[[#This Row],[call vanna]]+Table13[[#This Row],[put vanna]])*$A$4)</f>
        <v>0</v>
      </c>
      <c r="AR29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6" s="9" t="str" cm="1">
        <f t="array" ref="AT296">_xlfn.IFS(     $M$1="SPX","SPXW",     $M$1="RUT","RUTW",  $M$1="NDX","NDXP",   TRUE,$M$1 )</f>
        <v>SPXW</v>
      </c>
      <c r="AU296" s="2">
        <f t="shared" si="32"/>
        <v>6915</v>
      </c>
      <c r="AV296" t="str">
        <f t="shared" si="33"/>
        <v>000100</v>
      </c>
      <c r="AY29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6">
        <f>((Table13[[#This Row],[High C]]+Table13[[#This Row],[Low C]])/2)*Table13[[#This Row],[gammac]]*Table13[[#This Row],[Volume]]</f>
        <v>0</v>
      </c>
      <c r="BD296">
        <f>((Table13[[#This Row],[High P]]+Table13[[#This Row],[Low P]])/2)*Table13[[#This Row],[gammap]]*Table13[[#This Row],[Volume9]]*-1</f>
        <v>0</v>
      </c>
      <c r="BE296">
        <f>(Table13[[#This Row],[SgammaC]]+Table13[[#This Row],[SgammaP]])*$A$4*-100</f>
        <v>0</v>
      </c>
      <c r="BF296">
        <f>Table13[[#This Row],[DEXc]]+Table13[[#This Row],[DEXp]]</f>
        <v>0</v>
      </c>
      <c r="BG296">
        <f>IFERROR(Table13[[#This Row],[DeltaC]]*Table13[[#This Row],[Open.Int]]*$A$4,0)</f>
        <v>0</v>
      </c>
      <c r="BH296">
        <f>IFERROR(Table13[[#This Row],[DeltaP]]*Table13[[#This Row],[Open.Int8]]*$A$4,0)</f>
        <v>0</v>
      </c>
      <c r="BI29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6">
        <f ca="1">Table13[[#This Row],[charmc]]+Table13[[#This Row],[charmp]]</f>
        <v>0</v>
      </c>
      <c r="BL29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6" s="78">
        <f ca="1">Table13[[#This Row],[call helper]]+Table13[[#This Row],[put helper]]</f>
        <v>0</v>
      </c>
      <c r="BP296" t="str">
        <f>RTD("tos.rtd", , "STRIKE", "."&amp;Table13[[#This Row],[Ticker]]&amp;Table13[[#This Row],[Expiry]]&amp;""&amp;"C"&amp;Table13[[#This Row],[Spot]]+Table13[[#This Row],[step]])</f>
        <v>N/A</v>
      </c>
    </row>
    <row r="297" spans="1:68" x14ac:dyDescent="0.25">
      <c r="A297" s="14">
        <f t="shared" ca="1" si="29"/>
        <v>-126.14810350076104</v>
      </c>
      <c r="C297" s="17"/>
      <c r="D297" t="b">
        <f>IF(
    ISNUMBER(Table13[[#This Row],[Strike]]),RTD("tos.rtd", , "OPEN_INT", "."&amp;Table13[[#This Row],[Ticker]]&amp;Table13[[#This Row],[Expiry]]&amp;""&amp;"C"&amp;Table13[[#This Row],[Strike]]))</f>
        <v>0</v>
      </c>
      <c r="E29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7" t="b">
        <f>IF(     ISNUMBER(Table13[[#This Row],[Strike]]),RTD("tos.rtd", , "DELTA", "."&amp;Table13[[#This Row],[Ticker]]&amp;Table13[[#This Row],[Expiry]]&amp;""&amp;"C"&amp;Table13[[#This Row],[Strike]]))</f>
        <v>0</v>
      </c>
      <c r="H297" s="17" t="b" cm="1">
        <f t="array" ref="H297">IF(
    ISNUMBER(Table13[[#This Row],[Strike]]),IndividualLegIVCore($A$4, Table13[[#This Row],[Strike]], 0.0411, Table13[[#This Row],[T]], ((Table13[[#This Row],[BIDC]]+Table13[[#This Row],[ASKC]])/2), TRUE))</f>
        <v>0</v>
      </c>
      <c r="I297" t="b">
        <f>IF(     ISNUMBER(Table13[[#This Row],[Strike]]),RTD("tos.rtd", , "BID", "."&amp;Table13[[#This Row],[Ticker]]&amp;Table13[[#This Row],[Expiry]]&amp;""&amp;"C"&amp;Table13[[#This Row],[Strike]]))</f>
        <v>0</v>
      </c>
      <c r="J297" t="b">
        <f>IF(     ISNUMBER(Table13[[#This Row],[Strike]]),RTD("tos.rtd", , "ASK", "."&amp;Table13[[#This Row],[Ticker]]&amp;Table13[[#This Row],[Expiry]]&amp;""&amp;"C"&amp;Table13[[#This Row],[Strike]]))</f>
        <v>0</v>
      </c>
      <c r="K29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7" s="17" cm="1">
        <f t="array" aca="1" ref="L29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7" s="1">
        <f t="shared" si="30"/>
        <v>0</v>
      </c>
      <c r="N297" t="b">
        <f t="shared" si="31"/>
        <v>0</v>
      </c>
      <c r="P297" s="17" t="b" cm="1">
        <f t="array" ref="P297">IF(
    ISNUMBER(Table13[[#This Row],[Strike]]),IndividualLegIVCore($A$4, Table13[[#This Row],[Strike]], 0.0411, Table13[[#This Row],[T]], ((Table13[[#This Row],[BIDP]]+Table13[[#This Row],[ASKP]])/2), FALSE))</f>
        <v>0</v>
      </c>
      <c r="Q297" t="b">
        <f>IF(     ISNUMBER(Table13[[#This Row],[Strike]]),RTD("tos.rtd", , "BID", "."&amp;Table13[[#This Row],[Ticker]]&amp;Table13[[#This Row],[Expiry]]&amp;""&amp;"P"&amp;Table13[[#This Row],[Strike]]))</f>
        <v>0</v>
      </c>
      <c r="R297" t="b">
        <f>IF(     ISNUMBER(Table13[[#This Row],[Strike]]),RTD("tos.rtd", , "ASK", "."&amp;Table13[[#This Row],[Ticker]]&amp;Table13[[#This Row],[Expiry]]&amp;""&amp;"P"&amp;Table13[[#This Row],[Strike]]))</f>
        <v>0</v>
      </c>
      <c r="S297" s="17"/>
      <c r="T297" t="b">
        <f>IF(     ISNUMBER(Table13[[#This Row],[Strike]]),RTD("tos.rtd", , "OPEN_INT", "."&amp;Table13[[#This Row],[Ticker]]&amp;Table13[[#This Row],[Expiry]]&amp;""&amp;"P"&amp;Table13[[#This Row],[Strike]]))</f>
        <v>0</v>
      </c>
      <c r="U29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7" t="b">
        <f>IF(     ISNUMBER(Table13[[#This Row],[Strike]]),RTD("tos.rtd", , "DELTA", "."&amp;Table13[[#This Row],[Ticker]]&amp;Table13[[#This Row],[Expiry]]&amp;""&amp;"P"&amp;Table13[[#This Row],[Strike]]))</f>
        <v>0</v>
      </c>
      <c r="Y297" s="19">
        <f>-8* IF($M$1="NDX", 10, IF(OR($M$1="SPX", $M$1="RUT"), 2, 1))</f>
        <v>-16</v>
      </c>
      <c r="Z297">
        <f ca="1">IFERROR(Table13[[#This Row],[call gamma]]*(Table13[[#This Row],[Open.Int]])*$A$4^2,0)</f>
        <v>0</v>
      </c>
      <c r="AA297">
        <f ca="1">IFERROR(((Table13[[#This Row],[Open.Int8]])*Table13[[#This Row],[Put gamma]])*-1*$A$4^2,0)</f>
        <v>0</v>
      </c>
      <c r="AB297">
        <f ca="1">(Table13[[#This Row],[Call Gex]]+Table13[[#This Row],[Put Gex]])</f>
        <v>0</v>
      </c>
      <c r="AC297">
        <f ca="1">Table13[[#This Row],[put delta adj]]+Table13[[#This Row],[call delta adj]]</f>
        <v>0</v>
      </c>
      <c r="AD297">
        <f ca="1">Table13[[#This Row],[Put Gex]]*Table13[[#This Row],[DeltaP]]*-1</f>
        <v>0</v>
      </c>
      <c r="AE297">
        <f ca="1">Table13[[#This Row],[Call Gex]]*Table13[[#This Row],[DeltaC]]</f>
        <v>0</v>
      </c>
      <c r="AF297">
        <f>IF(Table13[[#This Row],[DeltaC]]-ABS(Table13[[#This Row],[DeltaP]])="0","0.01",Table13[[#This Row],[DeltaC]]-ABS(Table13[[#This Row],[DeltaP]]))</f>
        <v>0</v>
      </c>
      <c r="AG297" t="e">
        <f ca="1">((LN($A$4/Table13[[#This Row],[Strike]]) + (0.411 + 0.5 * Table13[[#This Row],[IV Calc P]]^2) *Table13[[#This Row],[T]])) / (Table13[[#This Row],[IV Calc P]] * SQRT(Table13[[#This Row],[T]]))</f>
        <v>#DIV/0!</v>
      </c>
      <c r="AH297" t="e">
        <f ca="1">(LN($A$4/Table13[[#This Row],[Strike]]) + (0.411-0 + 0.5 * Table13[[#This Row],[IV Calc C]]^2) *Table13[[#This Row],[T]]) / (Table13[[#This Row],[IV Calc C]] * SQRT(Table13[[#This Row],[T]]))</f>
        <v>#DIV/0!</v>
      </c>
      <c r="AI297" t="e">
        <f ca="1">(EXP(-(AG297^2)/2)/SQRT(2*PI())*EXP(0*SQRT(Table13[[#This Row],[T]]))/$A$4*18%*SQRT(SQRT(Table13[[#This Row],[T]])))</f>
        <v>#DIV/0!</v>
      </c>
      <c r="AJ297" t="e">
        <f ca="1">(EXP(-(AH297^2)/2)/SQRT(2*PI())*EXP(0*SQRT(Table13[[#This Row],[T]]))/$A$4*18%*SQRT(SQRT(Table13[[#This Row],[T]])))</f>
        <v>#DIV/0!</v>
      </c>
      <c r="AK297" t="e">
        <f ca="1">Table13[[#This Row],[Call D1]]-Table13[[#This Row],[IV Calc C]]*SQRT(Table13[[#This Row],[T]])</f>
        <v>#DIV/0!</v>
      </c>
      <c r="AL297" t="e">
        <f ca="1">Table13[[#This Row],[Put D1]]-Table13[[#This Row],[IV Calc P]]*SQRT(Table13[[#This Row],[T]])</f>
        <v>#DIV/0!</v>
      </c>
      <c r="AM297" t="e">
        <f ca="1">EXP(-0.5*Table13[[#This Row],[Call D1]]^2)/SQRT(2*PI())</f>
        <v>#DIV/0!</v>
      </c>
      <c r="AN297" t="e">
        <f ca="1">EXP(-0.5*Table13[[#This Row],[Put D1]]^2)/SQRT(2*PI())</f>
        <v>#DIV/0!</v>
      </c>
      <c r="AO297">
        <f ca="1">IFERROR((EXP(0*Table13[[#This Row],[T]])*Table13[[#This Row],[call N(d1)]]*(Table13[[#This Row],[call d2]]/Table13[[#This Row],[IV Calc C]]))*Table13[[#This Row],[Open.Int]]*Table13[[#This Row],[DeltaC]],0)</f>
        <v>0</v>
      </c>
      <c r="AP297">
        <f ca="1">IFERROR((EXP(0*Table13[[#This Row],[T]])*Table13[[#This Row],[put N(d1)]]*(Table13[[#This Row],[put d2]]/Table13[[#This Row],[IV Calc P]]))*Table13[[#This Row],[Open.Int8]]*Table13[[#This Row],[DeltaP]]*-1,0)</f>
        <v>0</v>
      </c>
      <c r="AQ297">
        <f ca="1">((Table13[[#This Row],[call vanna]]+Table13[[#This Row],[put vanna]])*$A$4)</f>
        <v>0</v>
      </c>
      <c r="AR29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7" s="9" t="str" cm="1">
        <f t="array" ref="AT297">_xlfn.IFS(     $M$1="SPX","SPXW",     $M$1="RUT","RUTW",  $M$1="NDX","NDXP",   TRUE,$M$1 )</f>
        <v>SPXW</v>
      </c>
      <c r="AU297" s="2">
        <f t="shared" si="32"/>
        <v>6915</v>
      </c>
      <c r="AV297" t="str">
        <f t="shared" si="33"/>
        <v>000100</v>
      </c>
      <c r="AY29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7">
        <f>((Table13[[#This Row],[High C]]+Table13[[#This Row],[Low C]])/2)*Table13[[#This Row],[gammac]]*Table13[[#This Row],[Volume]]</f>
        <v>0</v>
      </c>
      <c r="BD297">
        <f>((Table13[[#This Row],[High P]]+Table13[[#This Row],[Low P]])/2)*Table13[[#This Row],[gammap]]*Table13[[#This Row],[Volume9]]*-1</f>
        <v>0</v>
      </c>
      <c r="BE297">
        <f>(Table13[[#This Row],[SgammaC]]+Table13[[#This Row],[SgammaP]])*$A$4*-100</f>
        <v>0</v>
      </c>
      <c r="BF297">
        <f>Table13[[#This Row],[DEXc]]+Table13[[#This Row],[DEXp]]</f>
        <v>0</v>
      </c>
      <c r="BG297">
        <f>IFERROR(Table13[[#This Row],[DeltaC]]*Table13[[#This Row],[Open.Int]]*$A$4,0)</f>
        <v>0</v>
      </c>
      <c r="BH297">
        <f>IFERROR(Table13[[#This Row],[DeltaP]]*Table13[[#This Row],[Open.Int8]]*$A$4,0)</f>
        <v>0</v>
      </c>
      <c r="BI29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7">
        <f ca="1">Table13[[#This Row],[charmc]]+Table13[[#This Row],[charmp]]</f>
        <v>0</v>
      </c>
      <c r="BL29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7" s="78">
        <f ca="1">Table13[[#This Row],[call helper]]+Table13[[#This Row],[put helper]]</f>
        <v>0</v>
      </c>
      <c r="BP297" t="str">
        <f>RTD("tos.rtd", , "STRIKE", "."&amp;Table13[[#This Row],[Ticker]]&amp;Table13[[#This Row],[Expiry]]&amp;""&amp;"C"&amp;Table13[[#This Row],[Spot]]+Table13[[#This Row],[step]])</f>
        <v>N/A</v>
      </c>
    </row>
    <row r="298" spans="1:68" x14ac:dyDescent="0.25">
      <c r="A298" s="14">
        <f t="shared" ca="1" si="29"/>
        <v>-126.14810350076104</v>
      </c>
      <c r="C298" s="17"/>
      <c r="D298" t="b">
        <f>IF(
    ISNUMBER(Table13[[#This Row],[Strike]]),RTD("tos.rtd", , "OPEN_INT", "."&amp;Table13[[#This Row],[Ticker]]&amp;Table13[[#This Row],[Expiry]]&amp;""&amp;"C"&amp;Table13[[#This Row],[Strike]]))</f>
        <v>0</v>
      </c>
      <c r="E29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8" t="b">
        <f>IF(     ISNUMBER(Table13[[#This Row],[Strike]]),RTD("tos.rtd", , "DELTA", "."&amp;Table13[[#This Row],[Ticker]]&amp;Table13[[#This Row],[Expiry]]&amp;""&amp;"C"&amp;Table13[[#This Row],[Strike]]))</f>
        <v>0</v>
      </c>
      <c r="H298" s="17" t="b" cm="1">
        <f t="array" ref="H298">IF(
    ISNUMBER(Table13[[#This Row],[Strike]]),IndividualLegIVCore($A$4, Table13[[#This Row],[Strike]], 0.0411, Table13[[#This Row],[T]], ((Table13[[#This Row],[BIDC]]+Table13[[#This Row],[ASKC]])/2), TRUE))</f>
        <v>0</v>
      </c>
      <c r="I298" t="b">
        <f>IF(     ISNUMBER(Table13[[#This Row],[Strike]]),RTD("tos.rtd", , "BID", "."&amp;Table13[[#This Row],[Ticker]]&amp;Table13[[#This Row],[Expiry]]&amp;""&amp;"C"&amp;Table13[[#This Row],[Strike]]))</f>
        <v>0</v>
      </c>
      <c r="J298" t="b">
        <f>IF(     ISNUMBER(Table13[[#This Row],[Strike]]),RTD("tos.rtd", , "ASK", "."&amp;Table13[[#This Row],[Ticker]]&amp;Table13[[#This Row],[Expiry]]&amp;""&amp;"C"&amp;Table13[[#This Row],[Strike]]))</f>
        <v>0</v>
      </c>
      <c r="K29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8" s="17" cm="1">
        <f t="array" aca="1" ref="L29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8" s="1">
        <f t="shared" si="30"/>
        <v>0</v>
      </c>
      <c r="N298" t="b">
        <f t="shared" si="31"/>
        <v>0</v>
      </c>
      <c r="P298" s="17" t="b" cm="1">
        <f t="array" ref="P298">IF(
    ISNUMBER(Table13[[#This Row],[Strike]]),IndividualLegIVCore($A$4, Table13[[#This Row],[Strike]], 0.0411, Table13[[#This Row],[T]], ((Table13[[#This Row],[BIDP]]+Table13[[#This Row],[ASKP]])/2), FALSE))</f>
        <v>0</v>
      </c>
      <c r="Q298" t="b">
        <f>IF(     ISNUMBER(Table13[[#This Row],[Strike]]),RTD("tos.rtd", , "BID", "."&amp;Table13[[#This Row],[Ticker]]&amp;Table13[[#This Row],[Expiry]]&amp;""&amp;"P"&amp;Table13[[#This Row],[Strike]]))</f>
        <v>0</v>
      </c>
      <c r="R298" t="b">
        <f>IF(     ISNUMBER(Table13[[#This Row],[Strike]]),RTD("tos.rtd", , "ASK", "."&amp;Table13[[#This Row],[Ticker]]&amp;Table13[[#This Row],[Expiry]]&amp;""&amp;"P"&amp;Table13[[#This Row],[Strike]]))</f>
        <v>0</v>
      </c>
      <c r="S298" s="17"/>
      <c r="T298" t="b">
        <f>IF(     ISNUMBER(Table13[[#This Row],[Strike]]),RTD("tos.rtd", , "OPEN_INT", "."&amp;Table13[[#This Row],[Ticker]]&amp;Table13[[#This Row],[Expiry]]&amp;""&amp;"P"&amp;Table13[[#This Row],[Strike]]))</f>
        <v>0</v>
      </c>
      <c r="U29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8" t="b">
        <f>IF(     ISNUMBER(Table13[[#This Row],[Strike]]),RTD("tos.rtd", , "DELTA", "."&amp;Table13[[#This Row],[Ticker]]&amp;Table13[[#This Row],[Expiry]]&amp;""&amp;"P"&amp;Table13[[#This Row],[Strike]]))</f>
        <v>0</v>
      </c>
      <c r="Y298" s="19">
        <f>-7.5* IF($M$1="NDX", 10, IF(OR($M$1="SPX", $M$1="RUT"), 2, 1))</f>
        <v>-15</v>
      </c>
      <c r="Z298">
        <f ca="1">IFERROR(Table13[[#This Row],[call gamma]]*(Table13[[#This Row],[Open.Int]])*$A$4^2,0)</f>
        <v>0</v>
      </c>
      <c r="AA298">
        <f ca="1">IFERROR(((Table13[[#This Row],[Open.Int8]])*Table13[[#This Row],[Put gamma]])*-1*$A$4^2,0)</f>
        <v>0</v>
      </c>
      <c r="AB298">
        <f ca="1">(Table13[[#This Row],[Call Gex]]+Table13[[#This Row],[Put Gex]])</f>
        <v>0</v>
      </c>
      <c r="AC298">
        <f ca="1">Table13[[#This Row],[put delta adj]]+Table13[[#This Row],[call delta adj]]</f>
        <v>0</v>
      </c>
      <c r="AD298">
        <f ca="1">Table13[[#This Row],[Put Gex]]*Table13[[#This Row],[DeltaP]]*-1</f>
        <v>0</v>
      </c>
      <c r="AE298">
        <f ca="1">Table13[[#This Row],[Call Gex]]*Table13[[#This Row],[DeltaC]]</f>
        <v>0</v>
      </c>
      <c r="AF298">
        <f>IF(Table13[[#This Row],[DeltaC]]-ABS(Table13[[#This Row],[DeltaP]])="0","0.01",Table13[[#This Row],[DeltaC]]-ABS(Table13[[#This Row],[DeltaP]]))</f>
        <v>0</v>
      </c>
      <c r="AG298" t="e">
        <f ca="1">((LN($A$4/Table13[[#This Row],[Strike]]) + (0.411 + 0.5 * Table13[[#This Row],[IV Calc P]]^2) *Table13[[#This Row],[T]])) / (Table13[[#This Row],[IV Calc P]] * SQRT(Table13[[#This Row],[T]]))</f>
        <v>#DIV/0!</v>
      </c>
      <c r="AH298" t="e">
        <f ca="1">(LN($A$4/Table13[[#This Row],[Strike]]) + (0.411-0 + 0.5 * Table13[[#This Row],[IV Calc C]]^2) *Table13[[#This Row],[T]]) / (Table13[[#This Row],[IV Calc C]] * SQRT(Table13[[#This Row],[T]]))</f>
        <v>#DIV/0!</v>
      </c>
      <c r="AI298" t="e">
        <f ca="1">(EXP(-(AG298^2)/2)/SQRT(2*PI())*EXP(0*SQRT(Table13[[#This Row],[T]]))/$A$4*18%*SQRT(SQRT(Table13[[#This Row],[T]])))</f>
        <v>#DIV/0!</v>
      </c>
      <c r="AJ298" t="e">
        <f ca="1">(EXP(-(AH298^2)/2)/SQRT(2*PI())*EXP(0*SQRT(Table13[[#This Row],[T]]))/$A$4*18%*SQRT(SQRT(Table13[[#This Row],[T]])))</f>
        <v>#DIV/0!</v>
      </c>
      <c r="AK298" t="e">
        <f ca="1">Table13[[#This Row],[Call D1]]-Table13[[#This Row],[IV Calc C]]*SQRT(Table13[[#This Row],[T]])</f>
        <v>#DIV/0!</v>
      </c>
      <c r="AL298" t="e">
        <f ca="1">Table13[[#This Row],[Put D1]]-Table13[[#This Row],[IV Calc P]]*SQRT(Table13[[#This Row],[T]])</f>
        <v>#DIV/0!</v>
      </c>
      <c r="AM298" t="e">
        <f ca="1">EXP(-0.5*Table13[[#This Row],[Call D1]]^2)/SQRT(2*PI())</f>
        <v>#DIV/0!</v>
      </c>
      <c r="AN298" t="e">
        <f ca="1">EXP(-0.5*Table13[[#This Row],[Put D1]]^2)/SQRT(2*PI())</f>
        <v>#DIV/0!</v>
      </c>
      <c r="AO298">
        <f ca="1">IFERROR((EXP(0*Table13[[#This Row],[T]])*Table13[[#This Row],[call N(d1)]]*(Table13[[#This Row],[call d2]]/Table13[[#This Row],[IV Calc C]]))*Table13[[#This Row],[Open.Int]]*Table13[[#This Row],[DeltaC]],0)</f>
        <v>0</v>
      </c>
      <c r="AP298">
        <f ca="1">IFERROR((EXP(0*Table13[[#This Row],[T]])*Table13[[#This Row],[put N(d1)]]*(Table13[[#This Row],[put d2]]/Table13[[#This Row],[IV Calc P]]))*Table13[[#This Row],[Open.Int8]]*Table13[[#This Row],[DeltaP]]*-1,0)</f>
        <v>0</v>
      </c>
      <c r="AQ298">
        <f ca="1">((Table13[[#This Row],[call vanna]]+Table13[[#This Row],[put vanna]])*$A$4)</f>
        <v>0</v>
      </c>
      <c r="AR29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8" s="9" t="str" cm="1">
        <f t="array" ref="AT298">_xlfn.IFS(     $M$1="SPX","SPXW",     $M$1="RUT","RUTW",  $M$1="NDX","NDXP",   TRUE,$M$1 )</f>
        <v>SPXW</v>
      </c>
      <c r="AU298" s="2">
        <f t="shared" si="32"/>
        <v>6915</v>
      </c>
      <c r="AV298" t="str">
        <f t="shared" si="33"/>
        <v>000100</v>
      </c>
      <c r="AY29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8">
        <f>((Table13[[#This Row],[High C]]+Table13[[#This Row],[Low C]])/2)*Table13[[#This Row],[gammac]]*Table13[[#This Row],[Volume]]</f>
        <v>0</v>
      </c>
      <c r="BD298">
        <f>((Table13[[#This Row],[High P]]+Table13[[#This Row],[Low P]])/2)*Table13[[#This Row],[gammap]]*Table13[[#This Row],[Volume9]]*-1</f>
        <v>0</v>
      </c>
      <c r="BE298">
        <f>(Table13[[#This Row],[SgammaC]]+Table13[[#This Row],[SgammaP]])*$A$4*-100</f>
        <v>0</v>
      </c>
      <c r="BF298">
        <f>Table13[[#This Row],[DEXc]]+Table13[[#This Row],[DEXp]]</f>
        <v>0</v>
      </c>
      <c r="BG298">
        <f>IFERROR(Table13[[#This Row],[DeltaC]]*Table13[[#This Row],[Open.Int]]*$A$4,0)</f>
        <v>0</v>
      </c>
      <c r="BH298">
        <f>IFERROR(Table13[[#This Row],[DeltaP]]*Table13[[#This Row],[Open.Int8]]*$A$4,0)</f>
        <v>0</v>
      </c>
      <c r="BI29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8">
        <f ca="1">Table13[[#This Row],[charmc]]+Table13[[#This Row],[charmp]]</f>
        <v>0</v>
      </c>
      <c r="BL29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8" s="78">
        <f ca="1">Table13[[#This Row],[call helper]]+Table13[[#This Row],[put helper]]</f>
        <v>0</v>
      </c>
      <c r="BP298" t="str">
        <f>RTD("tos.rtd", , "STRIKE", "."&amp;Table13[[#This Row],[Ticker]]&amp;Table13[[#This Row],[Expiry]]&amp;""&amp;"C"&amp;Table13[[#This Row],[Spot]]+Table13[[#This Row],[step]])</f>
        <v>N/A</v>
      </c>
    </row>
    <row r="299" spans="1:68" x14ac:dyDescent="0.25">
      <c r="A299" s="14">
        <f t="shared" ca="1" si="29"/>
        <v>-126.14810350076104</v>
      </c>
      <c r="C299" s="17"/>
      <c r="D299" t="b">
        <f>IF(
    ISNUMBER(Table13[[#This Row],[Strike]]),RTD("tos.rtd", , "OPEN_INT", "."&amp;Table13[[#This Row],[Ticker]]&amp;Table13[[#This Row],[Expiry]]&amp;""&amp;"C"&amp;Table13[[#This Row],[Strike]]))</f>
        <v>0</v>
      </c>
      <c r="E29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9" t="b">
        <f>IF(     ISNUMBER(Table13[[#This Row],[Strike]]),RTD("tos.rtd", , "DELTA", "."&amp;Table13[[#This Row],[Ticker]]&amp;Table13[[#This Row],[Expiry]]&amp;""&amp;"C"&amp;Table13[[#This Row],[Strike]]))</f>
        <v>0</v>
      </c>
      <c r="H299" s="17" t="b" cm="1">
        <f t="array" ref="H299">IF(
    ISNUMBER(Table13[[#This Row],[Strike]]),IndividualLegIVCore($A$4, Table13[[#This Row],[Strike]], 0.0411, Table13[[#This Row],[T]], ((Table13[[#This Row],[BIDC]]+Table13[[#This Row],[ASKC]])/2), TRUE))</f>
        <v>0</v>
      </c>
      <c r="I299" t="b">
        <f>IF(     ISNUMBER(Table13[[#This Row],[Strike]]),RTD("tos.rtd", , "BID", "."&amp;Table13[[#This Row],[Ticker]]&amp;Table13[[#This Row],[Expiry]]&amp;""&amp;"C"&amp;Table13[[#This Row],[Strike]]))</f>
        <v>0</v>
      </c>
      <c r="J299" t="b">
        <f>IF(     ISNUMBER(Table13[[#This Row],[Strike]]),RTD("tos.rtd", , "ASK", "."&amp;Table13[[#This Row],[Ticker]]&amp;Table13[[#This Row],[Expiry]]&amp;""&amp;"C"&amp;Table13[[#This Row],[Strike]]))</f>
        <v>0</v>
      </c>
      <c r="K29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9" s="17" cm="1">
        <f t="array" aca="1" ref="L29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299" s="1">
        <f t="shared" si="30"/>
        <v>0</v>
      </c>
      <c r="N299" t="b">
        <f t="shared" si="31"/>
        <v>0</v>
      </c>
      <c r="P299" s="17" t="b" cm="1">
        <f t="array" ref="P299">IF(
    ISNUMBER(Table13[[#This Row],[Strike]]),IndividualLegIVCore($A$4, Table13[[#This Row],[Strike]], 0.0411, Table13[[#This Row],[T]], ((Table13[[#This Row],[BIDP]]+Table13[[#This Row],[ASKP]])/2), FALSE))</f>
        <v>0</v>
      </c>
      <c r="Q299" t="b">
        <f>IF(     ISNUMBER(Table13[[#This Row],[Strike]]),RTD("tos.rtd", , "BID", "."&amp;Table13[[#This Row],[Ticker]]&amp;Table13[[#This Row],[Expiry]]&amp;""&amp;"P"&amp;Table13[[#This Row],[Strike]]))</f>
        <v>0</v>
      </c>
      <c r="R299" t="b">
        <f>IF(     ISNUMBER(Table13[[#This Row],[Strike]]),RTD("tos.rtd", , "ASK", "."&amp;Table13[[#This Row],[Ticker]]&amp;Table13[[#This Row],[Expiry]]&amp;""&amp;"P"&amp;Table13[[#This Row],[Strike]]))</f>
        <v>0</v>
      </c>
      <c r="S299" s="17"/>
      <c r="T299" t="b">
        <f>IF(     ISNUMBER(Table13[[#This Row],[Strike]]),RTD("tos.rtd", , "OPEN_INT", "."&amp;Table13[[#This Row],[Ticker]]&amp;Table13[[#This Row],[Expiry]]&amp;""&amp;"P"&amp;Table13[[#This Row],[Strike]]))</f>
        <v>0</v>
      </c>
      <c r="U29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9" t="b">
        <f>IF(     ISNUMBER(Table13[[#This Row],[Strike]]),RTD("tos.rtd", , "DELTA", "."&amp;Table13[[#This Row],[Ticker]]&amp;Table13[[#This Row],[Expiry]]&amp;""&amp;"P"&amp;Table13[[#This Row],[Strike]]))</f>
        <v>0</v>
      </c>
      <c r="Y299" s="19">
        <f>-7* IF($M$1="NDX", 10, IF(OR($M$1="SPX", $M$1="RUT"), 2, 1))</f>
        <v>-14</v>
      </c>
      <c r="Z299">
        <f ca="1">IFERROR(Table13[[#This Row],[call gamma]]*(Table13[[#This Row],[Open.Int]])*$A$4^2,0)</f>
        <v>0</v>
      </c>
      <c r="AA299">
        <f ca="1">IFERROR(((Table13[[#This Row],[Open.Int8]])*Table13[[#This Row],[Put gamma]])*-1*$A$4^2,0)</f>
        <v>0</v>
      </c>
      <c r="AB299">
        <f ca="1">(Table13[[#This Row],[Call Gex]]+Table13[[#This Row],[Put Gex]])</f>
        <v>0</v>
      </c>
      <c r="AC299">
        <f ca="1">Table13[[#This Row],[put delta adj]]+Table13[[#This Row],[call delta adj]]</f>
        <v>0</v>
      </c>
      <c r="AD299">
        <f ca="1">Table13[[#This Row],[Put Gex]]*Table13[[#This Row],[DeltaP]]*-1</f>
        <v>0</v>
      </c>
      <c r="AE299">
        <f ca="1">Table13[[#This Row],[Call Gex]]*Table13[[#This Row],[DeltaC]]</f>
        <v>0</v>
      </c>
      <c r="AF299">
        <f>IF(Table13[[#This Row],[DeltaC]]-ABS(Table13[[#This Row],[DeltaP]])="0","0.01",Table13[[#This Row],[DeltaC]]-ABS(Table13[[#This Row],[DeltaP]]))</f>
        <v>0</v>
      </c>
      <c r="AG299" t="e">
        <f ca="1">((LN($A$4/Table13[[#This Row],[Strike]]) + (0.411 + 0.5 * Table13[[#This Row],[IV Calc P]]^2) *Table13[[#This Row],[T]])) / (Table13[[#This Row],[IV Calc P]] * SQRT(Table13[[#This Row],[T]]))</f>
        <v>#DIV/0!</v>
      </c>
      <c r="AH299" t="e">
        <f ca="1">(LN($A$4/Table13[[#This Row],[Strike]]) + (0.411-0 + 0.5 * Table13[[#This Row],[IV Calc C]]^2) *Table13[[#This Row],[T]]) / (Table13[[#This Row],[IV Calc C]] * SQRT(Table13[[#This Row],[T]]))</f>
        <v>#DIV/0!</v>
      </c>
      <c r="AI299" t="e">
        <f ca="1">(EXP(-(AG299^2)/2)/SQRT(2*PI())*EXP(0*SQRT(Table13[[#This Row],[T]]))/$A$4*18%*SQRT(SQRT(Table13[[#This Row],[T]])))</f>
        <v>#DIV/0!</v>
      </c>
      <c r="AJ299" t="e">
        <f ca="1">(EXP(-(AH299^2)/2)/SQRT(2*PI())*EXP(0*SQRT(Table13[[#This Row],[T]]))/$A$4*18%*SQRT(SQRT(Table13[[#This Row],[T]])))</f>
        <v>#DIV/0!</v>
      </c>
      <c r="AK299" t="e">
        <f ca="1">Table13[[#This Row],[Call D1]]-Table13[[#This Row],[IV Calc C]]*SQRT(Table13[[#This Row],[T]])</f>
        <v>#DIV/0!</v>
      </c>
      <c r="AL299" t="e">
        <f ca="1">Table13[[#This Row],[Put D1]]-Table13[[#This Row],[IV Calc P]]*SQRT(Table13[[#This Row],[T]])</f>
        <v>#DIV/0!</v>
      </c>
      <c r="AM299" t="e">
        <f ca="1">EXP(-0.5*Table13[[#This Row],[Call D1]]^2)/SQRT(2*PI())</f>
        <v>#DIV/0!</v>
      </c>
      <c r="AN299" t="e">
        <f ca="1">EXP(-0.5*Table13[[#This Row],[Put D1]]^2)/SQRT(2*PI())</f>
        <v>#DIV/0!</v>
      </c>
      <c r="AO299">
        <f ca="1">IFERROR((EXP(0*Table13[[#This Row],[T]])*Table13[[#This Row],[call N(d1)]]*(Table13[[#This Row],[call d2]]/Table13[[#This Row],[IV Calc C]]))*Table13[[#This Row],[Open.Int]]*Table13[[#This Row],[DeltaC]],0)</f>
        <v>0</v>
      </c>
      <c r="AP299">
        <f ca="1">IFERROR((EXP(0*Table13[[#This Row],[T]])*Table13[[#This Row],[put N(d1)]]*(Table13[[#This Row],[put d2]]/Table13[[#This Row],[IV Calc P]]))*Table13[[#This Row],[Open.Int8]]*Table13[[#This Row],[DeltaP]]*-1,0)</f>
        <v>0</v>
      </c>
      <c r="AQ299">
        <f ca="1">((Table13[[#This Row],[call vanna]]+Table13[[#This Row],[put vanna]])*$A$4)</f>
        <v>0</v>
      </c>
      <c r="AR29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9" s="9" t="str" cm="1">
        <f t="array" ref="AT299">_xlfn.IFS(     $M$1="SPX","SPXW",     $M$1="RUT","RUTW",  $M$1="NDX","NDXP",   TRUE,$M$1 )</f>
        <v>SPXW</v>
      </c>
      <c r="AU299" s="2">
        <f t="shared" si="32"/>
        <v>6915</v>
      </c>
      <c r="AV299" t="str">
        <f t="shared" si="33"/>
        <v>000100</v>
      </c>
      <c r="AY29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9">
        <f>((Table13[[#This Row],[High C]]+Table13[[#This Row],[Low C]])/2)*Table13[[#This Row],[gammac]]*Table13[[#This Row],[Volume]]</f>
        <v>0</v>
      </c>
      <c r="BD299">
        <f>((Table13[[#This Row],[High P]]+Table13[[#This Row],[Low P]])/2)*Table13[[#This Row],[gammap]]*Table13[[#This Row],[Volume9]]*-1</f>
        <v>0</v>
      </c>
      <c r="BE299">
        <f>(Table13[[#This Row],[SgammaC]]+Table13[[#This Row],[SgammaP]])*$A$4*-100</f>
        <v>0</v>
      </c>
      <c r="BF299">
        <f>Table13[[#This Row],[DEXc]]+Table13[[#This Row],[DEXp]]</f>
        <v>0</v>
      </c>
      <c r="BG299">
        <f>IFERROR(Table13[[#This Row],[DeltaC]]*Table13[[#This Row],[Open.Int]]*$A$4,0)</f>
        <v>0</v>
      </c>
      <c r="BH299">
        <f>IFERROR(Table13[[#This Row],[DeltaP]]*Table13[[#This Row],[Open.Int8]]*$A$4,0)</f>
        <v>0</v>
      </c>
      <c r="BI29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9">
        <f ca="1">Table13[[#This Row],[charmc]]+Table13[[#This Row],[charmp]]</f>
        <v>0</v>
      </c>
      <c r="BL29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9" s="78">
        <f ca="1">Table13[[#This Row],[call helper]]+Table13[[#This Row],[put helper]]</f>
        <v>0</v>
      </c>
      <c r="BP299" t="str">
        <f>RTD("tos.rtd", , "STRIKE", "."&amp;Table13[[#This Row],[Ticker]]&amp;Table13[[#This Row],[Expiry]]&amp;""&amp;"C"&amp;Table13[[#This Row],[Spot]]+Table13[[#This Row],[step]])</f>
        <v>N/A</v>
      </c>
    </row>
    <row r="300" spans="1:68" x14ac:dyDescent="0.25">
      <c r="A300" s="14">
        <f t="shared" ca="1" si="29"/>
        <v>-126.14810350076104</v>
      </c>
      <c r="C300" s="17"/>
      <c r="D300" t="b">
        <f>IF(
    ISNUMBER(Table13[[#This Row],[Strike]]),RTD("tos.rtd", , "OPEN_INT", "."&amp;Table13[[#This Row],[Ticker]]&amp;Table13[[#This Row],[Expiry]]&amp;""&amp;"C"&amp;Table13[[#This Row],[Strike]]))</f>
        <v>0</v>
      </c>
      <c r="E30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0" t="b">
        <f>IF(     ISNUMBER(Table13[[#This Row],[Strike]]),RTD("tos.rtd", , "DELTA", "."&amp;Table13[[#This Row],[Ticker]]&amp;Table13[[#This Row],[Expiry]]&amp;""&amp;"C"&amp;Table13[[#This Row],[Strike]]))</f>
        <v>0</v>
      </c>
      <c r="H300" s="17" t="b" cm="1">
        <f t="array" ref="H300">IF(
    ISNUMBER(Table13[[#This Row],[Strike]]),IndividualLegIVCore($A$4, Table13[[#This Row],[Strike]], 0.0411, Table13[[#This Row],[T]], ((Table13[[#This Row],[BIDC]]+Table13[[#This Row],[ASKC]])/2), TRUE))</f>
        <v>0</v>
      </c>
      <c r="I300" t="b">
        <f>IF(     ISNUMBER(Table13[[#This Row],[Strike]]),RTD("tos.rtd", , "BID", "."&amp;Table13[[#This Row],[Ticker]]&amp;Table13[[#This Row],[Expiry]]&amp;""&amp;"C"&amp;Table13[[#This Row],[Strike]]))</f>
        <v>0</v>
      </c>
      <c r="J300" t="b">
        <f>IF(     ISNUMBER(Table13[[#This Row],[Strike]]),RTD("tos.rtd", , "ASK", "."&amp;Table13[[#This Row],[Ticker]]&amp;Table13[[#This Row],[Expiry]]&amp;""&amp;"C"&amp;Table13[[#This Row],[Strike]]))</f>
        <v>0</v>
      </c>
      <c r="K30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0" s="17" cm="1">
        <f t="array" aca="1" ref="L30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0" s="1">
        <f t="shared" si="30"/>
        <v>0</v>
      </c>
      <c r="N300" t="b">
        <f t="shared" si="31"/>
        <v>0</v>
      </c>
      <c r="P300" s="17" t="b" cm="1">
        <f t="array" ref="P300">IF(
    ISNUMBER(Table13[[#This Row],[Strike]]),IndividualLegIVCore($A$4, Table13[[#This Row],[Strike]], 0.0411, Table13[[#This Row],[T]], ((Table13[[#This Row],[BIDP]]+Table13[[#This Row],[ASKP]])/2), FALSE))</f>
        <v>0</v>
      </c>
      <c r="Q300" t="b">
        <f>IF(     ISNUMBER(Table13[[#This Row],[Strike]]),RTD("tos.rtd", , "BID", "."&amp;Table13[[#This Row],[Ticker]]&amp;Table13[[#This Row],[Expiry]]&amp;""&amp;"P"&amp;Table13[[#This Row],[Strike]]))</f>
        <v>0</v>
      </c>
      <c r="R300" t="b">
        <f>IF(     ISNUMBER(Table13[[#This Row],[Strike]]),RTD("tos.rtd", , "ASK", "."&amp;Table13[[#This Row],[Ticker]]&amp;Table13[[#This Row],[Expiry]]&amp;""&amp;"P"&amp;Table13[[#This Row],[Strike]]))</f>
        <v>0</v>
      </c>
      <c r="S300" s="17"/>
      <c r="T300" t="b">
        <f>IF(     ISNUMBER(Table13[[#This Row],[Strike]]),RTD("tos.rtd", , "OPEN_INT", "."&amp;Table13[[#This Row],[Ticker]]&amp;Table13[[#This Row],[Expiry]]&amp;""&amp;"P"&amp;Table13[[#This Row],[Strike]]))</f>
        <v>0</v>
      </c>
      <c r="U30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0" t="b">
        <f>IF(     ISNUMBER(Table13[[#This Row],[Strike]]),RTD("tos.rtd", , "DELTA", "."&amp;Table13[[#This Row],[Ticker]]&amp;Table13[[#This Row],[Expiry]]&amp;""&amp;"P"&amp;Table13[[#This Row],[Strike]]))</f>
        <v>0</v>
      </c>
      <c r="Y300" s="19">
        <f>-6.5* IF($M$1="NDX", 10, IF(OR($M$1="SPX", $M$1="RUT"), 2, 1))</f>
        <v>-13</v>
      </c>
      <c r="Z300">
        <f ca="1">IFERROR(Table13[[#This Row],[call gamma]]*(Table13[[#This Row],[Open.Int]])*$A$4^2,0)</f>
        <v>0</v>
      </c>
      <c r="AA300">
        <f ca="1">IFERROR(((Table13[[#This Row],[Open.Int8]])*Table13[[#This Row],[Put gamma]])*-1*$A$4^2,0)</f>
        <v>0</v>
      </c>
      <c r="AB300">
        <f ca="1">(Table13[[#This Row],[Call Gex]]+Table13[[#This Row],[Put Gex]])</f>
        <v>0</v>
      </c>
      <c r="AC300">
        <f ca="1">Table13[[#This Row],[put delta adj]]+Table13[[#This Row],[call delta adj]]</f>
        <v>0</v>
      </c>
      <c r="AD300">
        <f ca="1">Table13[[#This Row],[Put Gex]]*Table13[[#This Row],[DeltaP]]*-1</f>
        <v>0</v>
      </c>
      <c r="AE300">
        <f ca="1">Table13[[#This Row],[Call Gex]]*Table13[[#This Row],[DeltaC]]</f>
        <v>0</v>
      </c>
      <c r="AF300">
        <f>IF(Table13[[#This Row],[DeltaC]]-ABS(Table13[[#This Row],[DeltaP]])="0","0.01",Table13[[#This Row],[DeltaC]]-ABS(Table13[[#This Row],[DeltaP]]))</f>
        <v>0</v>
      </c>
      <c r="AG300" t="e">
        <f ca="1">((LN($A$4/Table13[[#This Row],[Strike]]) + (0.411 + 0.5 * Table13[[#This Row],[IV Calc P]]^2) *Table13[[#This Row],[T]])) / (Table13[[#This Row],[IV Calc P]] * SQRT(Table13[[#This Row],[T]]))</f>
        <v>#DIV/0!</v>
      </c>
      <c r="AH300" t="e">
        <f ca="1">(LN($A$4/Table13[[#This Row],[Strike]]) + (0.411-0 + 0.5 * Table13[[#This Row],[IV Calc C]]^2) *Table13[[#This Row],[T]]) / (Table13[[#This Row],[IV Calc C]] * SQRT(Table13[[#This Row],[T]]))</f>
        <v>#DIV/0!</v>
      </c>
      <c r="AI300" t="e">
        <f ca="1">(EXP(-(AG300^2)/2)/SQRT(2*PI())*EXP(0*SQRT(Table13[[#This Row],[T]]))/$A$4*18%*SQRT(SQRT(Table13[[#This Row],[T]])))</f>
        <v>#DIV/0!</v>
      </c>
      <c r="AJ300" t="e">
        <f ca="1">(EXP(-(AH300^2)/2)/SQRT(2*PI())*EXP(0*SQRT(Table13[[#This Row],[T]]))/$A$4*18%*SQRT(SQRT(Table13[[#This Row],[T]])))</f>
        <v>#DIV/0!</v>
      </c>
      <c r="AK300" t="e">
        <f ca="1">Table13[[#This Row],[Call D1]]-Table13[[#This Row],[IV Calc C]]*SQRT(Table13[[#This Row],[T]])</f>
        <v>#DIV/0!</v>
      </c>
      <c r="AL300" t="e">
        <f ca="1">Table13[[#This Row],[Put D1]]-Table13[[#This Row],[IV Calc P]]*SQRT(Table13[[#This Row],[T]])</f>
        <v>#DIV/0!</v>
      </c>
      <c r="AM300" t="e">
        <f ca="1">EXP(-0.5*Table13[[#This Row],[Call D1]]^2)/SQRT(2*PI())</f>
        <v>#DIV/0!</v>
      </c>
      <c r="AN300" t="e">
        <f ca="1">EXP(-0.5*Table13[[#This Row],[Put D1]]^2)/SQRT(2*PI())</f>
        <v>#DIV/0!</v>
      </c>
      <c r="AO300">
        <f ca="1">IFERROR((EXP(0*Table13[[#This Row],[T]])*Table13[[#This Row],[call N(d1)]]*(Table13[[#This Row],[call d2]]/Table13[[#This Row],[IV Calc C]]))*Table13[[#This Row],[Open.Int]]*Table13[[#This Row],[DeltaC]],0)</f>
        <v>0</v>
      </c>
      <c r="AP300">
        <f ca="1">IFERROR((EXP(0*Table13[[#This Row],[T]])*Table13[[#This Row],[put N(d1)]]*(Table13[[#This Row],[put d2]]/Table13[[#This Row],[IV Calc P]]))*Table13[[#This Row],[Open.Int8]]*Table13[[#This Row],[DeltaP]]*-1,0)</f>
        <v>0</v>
      </c>
      <c r="AQ300">
        <f ca="1">((Table13[[#This Row],[call vanna]]+Table13[[#This Row],[put vanna]])*$A$4)</f>
        <v>0</v>
      </c>
      <c r="AR30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0" s="9" t="str" cm="1">
        <f t="array" ref="AT300">_xlfn.IFS(     $M$1="SPX","SPXW",     $M$1="RUT","RUTW",  $M$1="NDX","NDXP",   TRUE,$M$1 )</f>
        <v>SPXW</v>
      </c>
      <c r="AU300" s="2">
        <f t="shared" si="32"/>
        <v>6915</v>
      </c>
      <c r="AV300" t="str">
        <f t="shared" si="33"/>
        <v>000100</v>
      </c>
      <c r="AY30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0">
        <f>((Table13[[#This Row],[High C]]+Table13[[#This Row],[Low C]])/2)*Table13[[#This Row],[gammac]]*Table13[[#This Row],[Volume]]</f>
        <v>0</v>
      </c>
      <c r="BD300">
        <f>((Table13[[#This Row],[High P]]+Table13[[#This Row],[Low P]])/2)*Table13[[#This Row],[gammap]]*Table13[[#This Row],[Volume9]]*-1</f>
        <v>0</v>
      </c>
      <c r="BE300">
        <f>(Table13[[#This Row],[SgammaC]]+Table13[[#This Row],[SgammaP]])*$A$4*-100</f>
        <v>0</v>
      </c>
      <c r="BF300">
        <f>Table13[[#This Row],[DEXc]]+Table13[[#This Row],[DEXp]]</f>
        <v>0</v>
      </c>
      <c r="BG300">
        <f>IFERROR(Table13[[#This Row],[DeltaC]]*Table13[[#This Row],[Open.Int]]*$A$4,0)</f>
        <v>0</v>
      </c>
      <c r="BH300">
        <f>IFERROR(Table13[[#This Row],[DeltaP]]*Table13[[#This Row],[Open.Int8]]*$A$4,0)</f>
        <v>0</v>
      </c>
      <c r="BI30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0">
        <f ca="1">Table13[[#This Row],[charmc]]+Table13[[#This Row],[charmp]]</f>
        <v>0</v>
      </c>
      <c r="BL30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0" s="78">
        <f ca="1">Table13[[#This Row],[call helper]]+Table13[[#This Row],[put helper]]</f>
        <v>0</v>
      </c>
      <c r="BP300" t="str">
        <f>RTD("tos.rtd", , "STRIKE", "."&amp;Table13[[#This Row],[Ticker]]&amp;Table13[[#This Row],[Expiry]]&amp;""&amp;"C"&amp;Table13[[#This Row],[Spot]]+Table13[[#This Row],[step]])</f>
        <v>N/A</v>
      </c>
    </row>
    <row r="301" spans="1:68" x14ac:dyDescent="0.25">
      <c r="A301" s="14">
        <f t="shared" ca="1" si="29"/>
        <v>-126.14810350076104</v>
      </c>
      <c r="C301" s="17"/>
      <c r="D301" t="b">
        <f>IF(
    ISNUMBER(Table13[[#This Row],[Strike]]),RTD("tos.rtd", , "OPEN_INT", "."&amp;Table13[[#This Row],[Ticker]]&amp;Table13[[#This Row],[Expiry]]&amp;""&amp;"C"&amp;Table13[[#This Row],[Strike]]))</f>
        <v>0</v>
      </c>
      <c r="E30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1" t="b">
        <f>IF(     ISNUMBER(Table13[[#This Row],[Strike]]),RTD("tos.rtd", , "DELTA", "."&amp;Table13[[#This Row],[Ticker]]&amp;Table13[[#This Row],[Expiry]]&amp;""&amp;"C"&amp;Table13[[#This Row],[Strike]]))</f>
        <v>0</v>
      </c>
      <c r="H301" s="17" t="b" cm="1">
        <f t="array" ref="H301">IF(
    ISNUMBER(Table13[[#This Row],[Strike]]),IndividualLegIVCore($A$4, Table13[[#This Row],[Strike]], 0.0411, Table13[[#This Row],[T]], ((Table13[[#This Row],[BIDC]]+Table13[[#This Row],[ASKC]])/2), TRUE))</f>
        <v>0</v>
      </c>
      <c r="I301" t="b">
        <f>IF(     ISNUMBER(Table13[[#This Row],[Strike]]),RTD("tos.rtd", , "BID", "."&amp;Table13[[#This Row],[Ticker]]&amp;Table13[[#This Row],[Expiry]]&amp;""&amp;"C"&amp;Table13[[#This Row],[Strike]]))</f>
        <v>0</v>
      </c>
      <c r="J301" t="b">
        <f>IF(     ISNUMBER(Table13[[#This Row],[Strike]]),RTD("tos.rtd", , "ASK", "."&amp;Table13[[#This Row],[Ticker]]&amp;Table13[[#This Row],[Expiry]]&amp;""&amp;"C"&amp;Table13[[#This Row],[Strike]]))</f>
        <v>0</v>
      </c>
      <c r="K30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1" s="17" cm="1">
        <f t="array" aca="1" ref="L30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1" s="1">
        <f t="shared" si="30"/>
        <v>0</v>
      </c>
      <c r="N301" t="b">
        <f t="shared" si="31"/>
        <v>0</v>
      </c>
      <c r="P301" s="17" t="b" cm="1">
        <f t="array" ref="P301">IF(
    ISNUMBER(Table13[[#This Row],[Strike]]),IndividualLegIVCore($A$4, Table13[[#This Row],[Strike]], 0.0411, Table13[[#This Row],[T]], ((Table13[[#This Row],[BIDP]]+Table13[[#This Row],[ASKP]])/2), FALSE))</f>
        <v>0</v>
      </c>
      <c r="Q301" t="b">
        <f>IF(     ISNUMBER(Table13[[#This Row],[Strike]]),RTD("tos.rtd", , "BID", "."&amp;Table13[[#This Row],[Ticker]]&amp;Table13[[#This Row],[Expiry]]&amp;""&amp;"P"&amp;Table13[[#This Row],[Strike]]))</f>
        <v>0</v>
      </c>
      <c r="R301" t="b">
        <f>IF(     ISNUMBER(Table13[[#This Row],[Strike]]),RTD("tos.rtd", , "ASK", "."&amp;Table13[[#This Row],[Ticker]]&amp;Table13[[#This Row],[Expiry]]&amp;""&amp;"P"&amp;Table13[[#This Row],[Strike]]))</f>
        <v>0</v>
      </c>
      <c r="S301" s="17"/>
      <c r="T301" t="b">
        <f>IF(     ISNUMBER(Table13[[#This Row],[Strike]]),RTD("tos.rtd", , "OPEN_INT", "."&amp;Table13[[#This Row],[Ticker]]&amp;Table13[[#This Row],[Expiry]]&amp;""&amp;"P"&amp;Table13[[#This Row],[Strike]]))</f>
        <v>0</v>
      </c>
      <c r="U30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1" t="b">
        <f>IF(     ISNUMBER(Table13[[#This Row],[Strike]]),RTD("tos.rtd", , "DELTA", "."&amp;Table13[[#This Row],[Ticker]]&amp;Table13[[#This Row],[Expiry]]&amp;""&amp;"P"&amp;Table13[[#This Row],[Strike]]))</f>
        <v>0</v>
      </c>
      <c r="Y301" s="19">
        <f>-6* IF($M$1="NDX", 10, IF(OR($M$1="SPX", $M$1="RUT"), 2, 1))</f>
        <v>-12</v>
      </c>
      <c r="Z301">
        <f ca="1">IFERROR(Table13[[#This Row],[call gamma]]*(Table13[[#This Row],[Open.Int]])*$A$4^2,0)</f>
        <v>0</v>
      </c>
      <c r="AA301">
        <f ca="1">IFERROR(((Table13[[#This Row],[Open.Int8]])*Table13[[#This Row],[Put gamma]])*-1*$A$4^2,0)</f>
        <v>0</v>
      </c>
      <c r="AB301">
        <f ca="1">(Table13[[#This Row],[Call Gex]]+Table13[[#This Row],[Put Gex]])</f>
        <v>0</v>
      </c>
      <c r="AC301">
        <f ca="1">Table13[[#This Row],[put delta adj]]+Table13[[#This Row],[call delta adj]]</f>
        <v>0</v>
      </c>
      <c r="AD301">
        <f ca="1">Table13[[#This Row],[Put Gex]]*Table13[[#This Row],[DeltaP]]*-1</f>
        <v>0</v>
      </c>
      <c r="AE301">
        <f ca="1">Table13[[#This Row],[Call Gex]]*Table13[[#This Row],[DeltaC]]</f>
        <v>0</v>
      </c>
      <c r="AF301">
        <f>IF(Table13[[#This Row],[DeltaC]]-ABS(Table13[[#This Row],[DeltaP]])="0","0.01",Table13[[#This Row],[DeltaC]]-ABS(Table13[[#This Row],[DeltaP]]))</f>
        <v>0</v>
      </c>
      <c r="AG301" t="e">
        <f ca="1">((LN($A$4/Table13[[#This Row],[Strike]]) + (0.411 + 0.5 * Table13[[#This Row],[IV Calc P]]^2) *Table13[[#This Row],[T]])) / (Table13[[#This Row],[IV Calc P]] * SQRT(Table13[[#This Row],[T]]))</f>
        <v>#DIV/0!</v>
      </c>
      <c r="AH301" t="e">
        <f ca="1">(LN($A$4/Table13[[#This Row],[Strike]]) + (0.411-0 + 0.5 * Table13[[#This Row],[IV Calc C]]^2) *Table13[[#This Row],[T]]) / (Table13[[#This Row],[IV Calc C]] * SQRT(Table13[[#This Row],[T]]))</f>
        <v>#DIV/0!</v>
      </c>
      <c r="AI301" t="e">
        <f ca="1">(EXP(-(AG301^2)/2)/SQRT(2*PI())*EXP(0*SQRT(Table13[[#This Row],[T]]))/$A$4*18%*SQRT(SQRT(Table13[[#This Row],[T]])))</f>
        <v>#DIV/0!</v>
      </c>
      <c r="AJ301" t="e">
        <f ca="1">(EXP(-(AH301^2)/2)/SQRT(2*PI())*EXP(0*SQRT(Table13[[#This Row],[T]]))/$A$4*18%*SQRT(SQRT(Table13[[#This Row],[T]])))</f>
        <v>#DIV/0!</v>
      </c>
      <c r="AK301" t="e">
        <f ca="1">Table13[[#This Row],[Call D1]]-Table13[[#This Row],[IV Calc C]]*SQRT(Table13[[#This Row],[T]])</f>
        <v>#DIV/0!</v>
      </c>
      <c r="AL301" t="e">
        <f ca="1">Table13[[#This Row],[Put D1]]-Table13[[#This Row],[IV Calc P]]*SQRT(Table13[[#This Row],[T]])</f>
        <v>#DIV/0!</v>
      </c>
      <c r="AM301" t="e">
        <f ca="1">EXP(-0.5*Table13[[#This Row],[Call D1]]^2)/SQRT(2*PI())</f>
        <v>#DIV/0!</v>
      </c>
      <c r="AN301" t="e">
        <f ca="1">EXP(-0.5*Table13[[#This Row],[Put D1]]^2)/SQRT(2*PI())</f>
        <v>#DIV/0!</v>
      </c>
      <c r="AO301">
        <f ca="1">IFERROR((EXP(0*Table13[[#This Row],[T]])*Table13[[#This Row],[call N(d1)]]*(Table13[[#This Row],[call d2]]/Table13[[#This Row],[IV Calc C]]))*Table13[[#This Row],[Open.Int]]*Table13[[#This Row],[DeltaC]],0)</f>
        <v>0</v>
      </c>
      <c r="AP301">
        <f ca="1">IFERROR((EXP(0*Table13[[#This Row],[T]])*Table13[[#This Row],[put N(d1)]]*(Table13[[#This Row],[put d2]]/Table13[[#This Row],[IV Calc P]]))*Table13[[#This Row],[Open.Int8]]*Table13[[#This Row],[DeltaP]]*-1,0)</f>
        <v>0</v>
      </c>
      <c r="AQ301">
        <f ca="1">((Table13[[#This Row],[call vanna]]+Table13[[#This Row],[put vanna]])*$A$4)</f>
        <v>0</v>
      </c>
      <c r="AR30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1" s="9" t="str" cm="1">
        <f t="array" ref="AT301">_xlfn.IFS(     $M$1="SPX","SPXW",     $M$1="RUT","RUTW",  $M$1="NDX","NDXP",   TRUE,$M$1 )</f>
        <v>SPXW</v>
      </c>
      <c r="AU301" s="2">
        <f t="shared" si="32"/>
        <v>6915</v>
      </c>
      <c r="AV301" t="str">
        <f t="shared" si="33"/>
        <v>000100</v>
      </c>
      <c r="AY30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1">
        <f>((Table13[[#This Row],[High C]]+Table13[[#This Row],[Low C]])/2)*Table13[[#This Row],[gammac]]*Table13[[#This Row],[Volume]]</f>
        <v>0</v>
      </c>
      <c r="BD301">
        <f>((Table13[[#This Row],[High P]]+Table13[[#This Row],[Low P]])/2)*Table13[[#This Row],[gammap]]*Table13[[#This Row],[Volume9]]*-1</f>
        <v>0</v>
      </c>
      <c r="BE301">
        <f>(Table13[[#This Row],[SgammaC]]+Table13[[#This Row],[SgammaP]])*$A$4*-100</f>
        <v>0</v>
      </c>
      <c r="BF301">
        <f>Table13[[#This Row],[DEXc]]+Table13[[#This Row],[DEXp]]</f>
        <v>0</v>
      </c>
      <c r="BG301">
        <f>IFERROR(Table13[[#This Row],[DeltaC]]*Table13[[#This Row],[Open.Int]]*$A$4,0)</f>
        <v>0</v>
      </c>
      <c r="BH301">
        <f>IFERROR(Table13[[#This Row],[DeltaP]]*Table13[[#This Row],[Open.Int8]]*$A$4,0)</f>
        <v>0</v>
      </c>
      <c r="BI30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1">
        <f ca="1">Table13[[#This Row],[charmc]]+Table13[[#This Row],[charmp]]</f>
        <v>0</v>
      </c>
      <c r="BL30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1" s="78">
        <f ca="1">Table13[[#This Row],[call helper]]+Table13[[#This Row],[put helper]]</f>
        <v>0</v>
      </c>
      <c r="BP301" t="str">
        <f>RTD("tos.rtd", , "STRIKE", "."&amp;Table13[[#This Row],[Ticker]]&amp;Table13[[#This Row],[Expiry]]&amp;""&amp;"C"&amp;Table13[[#This Row],[Spot]]+Table13[[#This Row],[step]])</f>
        <v>N/A</v>
      </c>
    </row>
    <row r="302" spans="1:68" x14ac:dyDescent="0.25">
      <c r="A302" s="14">
        <f t="shared" ca="1" si="29"/>
        <v>-126.14810350076104</v>
      </c>
      <c r="C302" s="17"/>
      <c r="D302" t="b">
        <f>IF(
    ISNUMBER(Table13[[#This Row],[Strike]]),RTD("tos.rtd", , "OPEN_INT", "."&amp;Table13[[#This Row],[Ticker]]&amp;Table13[[#This Row],[Expiry]]&amp;""&amp;"C"&amp;Table13[[#This Row],[Strike]]))</f>
        <v>0</v>
      </c>
      <c r="E30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2" t="b">
        <f>IF(     ISNUMBER(Table13[[#This Row],[Strike]]),RTD("tos.rtd", , "DELTA", "."&amp;Table13[[#This Row],[Ticker]]&amp;Table13[[#This Row],[Expiry]]&amp;""&amp;"C"&amp;Table13[[#This Row],[Strike]]))</f>
        <v>0</v>
      </c>
      <c r="H302" s="17" t="b" cm="1">
        <f t="array" ref="H302">IF(
    ISNUMBER(Table13[[#This Row],[Strike]]),IndividualLegIVCore($A$4, Table13[[#This Row],[Strike]], 0.0411, Table13[[#This Row],[T]], ((Table13[[#This Row],[BIDC]]+Table13[[#This Row],[ASKC]])/2), TRUE))</f>
        <v>0</v>
      </c>
      <c r="I302" t="b">
        <f>IF(     ISNUMBER(Table13[[#This Row],[Strike]]),RTD("tos.rtd", , "BID", "."&amp;Table13[[#This Row],[Ticker]]&amp;Table13[[#This Row],[Expiry]]&amp;""&amp;"C"&amp;Table13[[#This Row],[Strike]]))</f>
        <v>0</v>
      </c>
      <c r="J302" t="b">
        <f>IF(     ISNUMBER(Table13[[#This Row],[Strike]]),RTD("tos.rtd", , "ASK", "."&amp;Table13[[#This Row],[Ticker]]&amp;Table13[[#This Row],[Expiry]]&amp;""&amp;"C"&amp;Table13[[#This Row],[Strike]]))</f>
        <v>0</v>
      </c>
      <c r="K30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2" s="17" cm="1">
        <f t="array" aca="1" ref="L30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2" s="1">
        <f t="shared" si="30"/>
        <v>0</v>
      </c>
      <c r="N302" t="b">
        <f t="shared" si="31"/>
        <v>0</v>
      </c>
      <c r="P302" s="17" t="b" cm="1">
        <f t="array" ref="P302">IF(
    ISNUMBER(Table13[[#This Row],[Strike]]),IndividualLegIVCore($A$4, Table13[[#This Row],[Strike]], 0.0411, Table13[[#This Row],[T]], ((Table13[[#This Row],[BIDP]]+Table13[[#This Row],[ASKP]])/2), FALSE))</f>
        <v>0</v>
      </c>
      <c r="Q302" t="b">
        <f>IF(     ISNUMBER(Table13[[#This Row],[Strike]]),RTD("tos.rtd", , "BID", "."&amp;Table13[[#This Row],[Ticker]]&amp;Table13[[#This Row],[Expiry]]&amp;""&amp;"P"&amp;Table13[[#This Row],[Strike]]))</f>
        <v>0</v>
      </c>
      <c r="R302" t="b">
        <f>IF(     ISNUMBER(Table13[[#This Row],[Strike]]),RTD("tos.rtd", , "ASK", "."&amp;Table13[[#This Row],[Ticker]]&amp;Table13[[#This Row],[Expiry]]&amp;""&amp;"P"&amp;Table13[[#This Row],[Strike]]))</f>
        <v>0</v>
      </c>
      <c r="S302" s="17"/>
      <c r="T302" t="b">
        <f>IF(     ISNUMBER(Table13[[#This Row],[Strike]]),RTD("tos.rtd", , "OPEN_INT", "."&amp;Table13[[#This Row],[Ticker]]&amp;Table13[[#This Row],[Expiry]]&amp;""&amp;"P"&amp;Table13[[#This Row],[Strike]]))</f>
        <v>0</v>
      </c>
      <c r="U30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2" t="b">
        <f>IF(     ISNUMBER(Table13[[#This Row],[Strike]]),RTD("tos.rtd", , "DELTA", "."&amp;Table13[[#This Row],[Ticker]]&amp;Table13[[#This Row],[Expiry]]&amp;""&amp;"P"&amp;Table13[[#This Row],[Strike]]))</f>
        <v>0</v>
      </c>
      <c r="Y302" s="19">
        <f>-5.5* IF($M$1="NDX", 10, IF(OR($M$1="SPX", $M$1="RUT"), 2, 1))</f>
        <v>-11</v>
      </c>
      <c r="Z302">
        <f ca="1">IFERROR(Table13[[#This Row],[call gamma]]*(Table13[[#This Row],[Open.Int]])*$A$4^2,0)</f>
        <v>0</v>
      </c>
      <c r="AA302">
        <f ca="1">IFERROR(((Table13[[#This Row],[Open.Int8]])*Table13[[#This Row],[Put gamma]])*-1*$A$4^2,0)</f>
        <v>0</v>
      </c>
      <c r="AB302">
        <f ca="1">(Table13[[#This Row],[Call Gex]]+Table13[[#This Row],[Put Gex]])</f>
        <v>0</v>
      </c>
      <c r="AC302">
        <f ca="1">Table13[[#This Row],[put delta adj]]+Table13[[#This Row],[call delta adj]]</f>
        <v>0</v>
      </c>
      <c r="AD302">
        <f ca="1">Table13[[#This Row],[Put Gex]]*Table13[[#This Row],[DeltaP]]*-1</f>
        <v>0</v>
      </c>
      <c r="AE302">
        <f ca="1">Table13[[#This Row],[Call Gex]]*Table13[[#This Row],[DeltaC]]</f>
        <v>0</v>
      </c>
      <c r="AF302">
        <f>IF(Table13[[#This Row],[DeltaC]]-ABS(Table13[[#This Row],[DeltaP]])="0","0.01",Table13[[#This Row],[DeltaC]]-ABS(Table13[[#This Row],[DeltaP]]))</f>
        <v>0</v>
      </c>
      <c r="AG302" t="e">
        <f ca="1">((LN($A$4/Table13[[#This Row],[Strike]]) + (0.411 + 0.5 * Table13[[#This Row],[IV Calc P]]^2) *Table13[[#This Row],[T]])) / (Table13[[#This Row],[IV Calc P]] * SQRT(Table13[[#This Row],[T]]))</f>
        <v>#DIV/0!</v>
      </c>
      <c r="AH302" t="e">
        <f ca="1">(LN($A$4/Table13[[#This Row],[Strike]]) + (0.411-0 + 0.5 * Table13[[#This Row],[IV Calc C]]^2) *Table13[[#This Row],[T]]) / (Table13[[#This Row],[IV Calc C]] * SQRT(Table13[[#This Row],[T]]))</f>
        <v>#DIV/0!</v>
      </c>
      <c r="AI302" t="e">
        <f ca="1">(EXP(-(AG302^2)/2)/SQRT(2*PI())*EXP(0*SQRT(Table13[[#This Row],[T]]))/$A$4*18%*SQRT(SQRT(Table13[[#This Row],[T]])))</f>
        <v>#DIV/0!</v>
      </c>
      <c r="AJ302" t="e">
        <f ca="1">(EXP(-(AH302^2)/2)/SQRT(2*PI())*EXP(0*SQRT(Table13[[#This Row],[T]]))/$A$4*18%*SQRT(SQRT(Table13[[#This Row],[T]])))</f>
        <v>#DIV/0!</v>
      </c>
      <c r="AK302" t="e">
        <f ca="1">Table13[[#This Row],[Call D1]]-Table13[[#This Row],[IV Calc C]]*SQRT(Table13[[#This Row],[T]])</f>
        <v>#DIV/0!</v>
      </c>
      <c r="AL302" t="e">
        <f ca="1">Table13[[#This Row],[Put D1]]-Table13[[#This Row],[IV Calc P]]*SQRT(Table13[[#This Row],[T]])</f>
        <v>#DIV/0!</v>
      </c>
      <c r="AM302" t="e">
        <f ca="1">EXP(-0.5*Table13[[#This Row],[Call D1]]^2)/SQRT(2*PI())</f>
        <v>#DIV/0!</v>
      </c>
      <c r="AN302" t="e">
        <f ca="1">EXP(-0.5*Table13[[#This Row],[Put D1]]^2)/SQRT(2*PI())</f>
        <v>#DIV/0!</v>
      </c>
      <c r="AO302">
        <f ca="1">IFERROR((EXP(0*Table13[[#This Row],[T]])*Table13[[#This Row],[call N(d1)]]*(Table13[[#This Row],[call d2]]/Table13[[#This Row],[IV Calc C]]))*Table13[[#This Row],[Open.Int]]*Table13[[#This Row],[DeltaC]],0)</f>
        <v>0</v>
      </c>
      <c r="AP302">
        <f ca="1">IFERROR((EXP(0*Table13[[#This Row],[T]])*Table13[[#This Row],[put N(d1)]]*(Table13[[#This Row],[put d2]]/Table13[[#This Row],[IV Calc P]]))*Table13[[#This Row],[Open.Int8]]*Table13[[#This Row],[DeltaP]]*-1,0)</f>
        <v>0</v>
      </c>
      <c r="AQ302">
        <f ca="1">((Table13[[#This Row],[call vanna]]+Table13[[#This Row],[put vanna]])*$A$4)</f>
        <v>0</v>
      </c>
      <c r="AR30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2" s="9" t="str" cm="1">
        <f t="array" ref="AT302">_xlfn.IFS(     $M$1="SPX","SPXW",     $M$1="RUT","RUTW",  $M$1="NDX","NDXP",   TRUE,$M$1 )</f>
        <v>SPXW</v>
      </c>
      <c r="AU302" s="2">
        <f t="shared" si="32"/>
        <v>6915</v>
      </c>
      <c r="AV302" t="str">
        <f t="shared" si="33"/>
        <v>000100</v>
      </c>
      <c r="AY30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2">
        <f>((Table13[[#This Row],[High C]]+Table13[[#This Row],[Low C]])/2)*Table13[[#This Row],[gammac]]*Table13[[#This Row],[Volume]]</f>
        <v>0</v>
      </c>
      <c r="BD302">
        <f>((Table13[[#This Row],[High P]]+Table13[[#This Row],[Low P]])/2)*Table13[[#This Row],[gammap]]*Table13[[#This Row],[Volume9]]*-1</f>
        <v>0</v>
      </c>
      <c r="BE302">
        <f>(Table13[[#This Row],[SgammaC]]+Table13[[#This Row],[SgammaP]])*$A$4*-100</f>
        <v>0</v>
      </c>
      <c r="BF302">
        <f>Table13[[#This Row],[DEXc]]+Table13[[#This Row],[DEXp]]</f>
        <v>0</v>
      </c>
      <c r="BG302">
        <f>IFERROR(Table13[[#This Row],[DeltaC]]*Table13[[#This Row],[Open.Int]]*$A$4,0)</f>
        <v>0</v>
      </c>
      <c r="BH302">
        <f>IFERROR(Table13[[#This Row],[DeltaP]]*Table13[[#This Row],[Open.Int8]]*$A$4,0)</f>
        <v>0</v>
      </c>
      <c r="BI30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2">
        <f ca="1">Table13[[#This Row],[charmc]]+Table13[[#This Row],[charmp]]</f>
        <v>0</v>
      </c>
      <c r="BL30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2" s="78">
        <f ca="1">Table13[[#This Row],[call helper]]+Table13[[#This Row],[put helper]]</f>
        <v>0</v>
      </c>
      <c r="BP302" t="str">
        <f>RTD("tos.rtd", , "STRIKE", "."&amp;Table13[[#This Row],[Ticker]]&amp;Table13[[#This Row],[Expiry]]&amp;""&amp;"C"&amp;Table13[[#This Row],[Spot]]+Table13[[#This Row],[step]])</f>
        <v>N/A</v>
      </c>
    </row>
    <row r="303" spans="1:68" x14ac:dyDescent="0.25">
      <c r="A303" s="14">
        <f t="shared" ca="1" si="29"/>
        <v>-126.14810350076104</v>
      </c>
      <c r="C303" s="17"/>
      <c r="D303" t="b">
        <f>IF(
    ISNUMBER(Table13[[#This Row],[Strike]]),RTD("tos.rtd", , "OPEN_INT", "."&amp;Table13[[#This Row],[Ticker]]&amp;Table13[[#This Row],[Expiry]]&amp;""&amp;"C"&amp;Table13[[#This Row],[Strike]]))</f>
        <v>0</v>
      </c>
      <c r="E30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3" t="b">
        <f>IF(     ISNUMBER(Table13[[#This Row],[Strike]]),RTD("tos.rtd", , "DELTA", "."&amp;Table13[[#This Row],[Ticker]]&amp;Table13[[#This Row],[Expiry]]&amp;""&amp;"C"&amp;Table13[[#This Row],[Strike]]))</f>
        <v>0</v>
      </c>
      <c r="H303" s="17" t="b" cm="1">
        <f t="array" ref="H303">IF(
    ISNUMBER(Table13[[#This Row],[Strike]]),IndividualLegIVCore($A$4, Table13[[#This Row],[Strike]], 0.0411, Table13[[#This Row],[T]], ((Table13[[#This Row],[BIDC]]+Table13[[#This Row],[ASKC]])/2), TRUE))</f>
        <v>0</v>
      </c>
      <c r="I303" t="b">
        <f>IF(     ISNUMBER(Table13[[#This Row],[Strike]]),RTD("tos.rtd", , "BID", "."&amp;Table13[[#This Row],[Ticker]]&amp;Table13[[#This Row],[Expiry]]&amp;""&amp;"C"&amp;Table13[[#This Row],[Strike]]))</f>
        <v>0</v>
      </c>
      <c r="J303" t="b">
        <f>IF(     ISNUMBER(Table13[[#This Row],[Strike]]),RTD("tos.rtd", , "ASK", "."&amp;Table13[[#This Row],[Ticker]]&amp;Table13[[#This Row],[Expiry]]&amp;""&amp;"C"&amp;Table13[[#This Row],[Strike]]))</f>
        <v>0</v>
      </c>
      <c r="K30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3" s="17" cm="1">
        <f t="array" aca="1" ref="L30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3" s="1">
        <f t="shared" si="30"/>
        <v>0</v>
      </c>
      <c r="N303" t="b">
        <f t="shared" si="31"/>
        <v>0</v>
      </c>
      <c r="P303" s="17" t="b" cm="1">
        <f t="array" ref="P303">IF(
    ISNUMBER(Table13[[#This Row],[Strike]]),IndividualLegIVCore($A$4, Table13[[#This Row],[Strike]], 0.0411, Table13[[#This Row],[T]], ((Table13[[#This Row],[BIDP]]+Table13[[#This Row],[ASKP]])/2), FALSE))</f>
        <v>0</v>
      </c>
      <c r="Q303" t="b">
        <f>IF(     ISNUMBER(Table13[[#This Row],[Strike]]),RTD("tos.rtd", , "BID", "."&amp;Table13[[#This Row],[Ticker]]&amp;Table13[[#This Row],[Expiry]]&amp;""&amp;"P"&amp;Table13[[#This Row],[Strike]]))</f>
        <v>0</v>
      </c>
      <c r="R303" t="b">
        <f>IF(     ISNUMBER(Table13[[#This Row],[Strike]]),RTD("tos.rtd", , "ASK", "."&amp;Table13[[#This Row],[Ticker]]&amp;Table13[[#This Row],[Expiry]]&amp;""&amp;"P"&amp;Table13[[#This Row],[Strike]]))</f>
        <v>0</v>
      </c>
      <c r="S303" s="17"/>
      <c r="T303" t="b">
        <f>IF(     ISNUMBER(Table13[[#This Row],[Strike]]),RTD("tos.rtd", , "OPEN_INT", "."&amp;Table13[[#This Row],[Ticker]]&amp;Table13[[#This Row],[Expiry]]&amp;""&amp;"P"&amp;Table13[[#This Row],[Strike]]))</f>
        <v>0</v>
      </c>
      <c r="U30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3" t="b">
        <f>IF(     ISNUMBER(Table13[[#This Row],[Strike]]),RTD("tos.rtd", , "DELTA", "."&amp;Table13[[#This Row],[Ticker]]&amp;Table13[[#This Row],[Expiry]]&amp;""&amp;"P"&amp;Table13[[#This Row],[Strike]]))</f>
        <v>0</v>
      </c>
      <c r="Y303" s="19">
        <f>-5* IF($M$1="NDX", 10, IF(OR($M$1="SPX", $M$1="RUT"), 2, 1))</f>
        <v>-10</v>
      </c>
      <c r="Z303">
        <f ca="1">IFERROR(Table13[[#This Row],[call gamma]]*(Table13[[#This Row],[Open.Int]])*$A$4^2,0)</f>
        <v>0</v>
      </c>
      <c r="AA303">
        <f ca="1">IFERROR(((Table13[[#This Row],[Open.Int8]])*Table13[[#This Row],[Put gamma]])*-1*$A$4^2,0)</f>
        <v>0</v>
      </c>
      <c r="AB303">
        <f ca="1">(Table13[[#This Row],[Call Gex]]+Table13[[#This Row],[Put Gex]])</f>
        <v>0</v>
      </c>
      <c r="AC303">
        <f ca="1">Table13[[#This Row],[put delta adj]]+Table13[[#This Row],[call delta adj]]</f>
        <v>0</v>
      </c>
      <c r="AD303">
        <f ca="1">Table13[[#This Row],[Put Gex]]*Table13[[#This Row],[DeltaP]]*-1</f>
        <v>0</v>
      </c>
      <c r="AE303">
        <f ca="1">Table13[[#This Row],[Call Gex]]*Table13[[#This Row],[DeltaC]]</f>
        <v>0</v>
      </c>
      <c r="AF303">
        <f>IF(Table13[[#This Row],[DeltaC]]-ABS(Table13[[#This Row],[DeltaP]])="0","0.01",Table13[[#This Row],[DeltaC]]-ABS(Table13[[#This Row],[DeltaP]]))</f>
        <v>0</v>
      </c>
      <c r="AG303" t="e">
        <f ca="1">((LN($A$4/Table13[[#This Row],[Strike]]) + (0.411 + 0.5 * Table13[[#This Row],[IV Calc P]]^2) *Table13[[#This Row],[T]])) / (Table13[[#This Row],[IV Calc P]] * SQRT(Table13[[#This Row],[T]]))</f>
        <v>#DIV/0!</v>
      </c>
      <c r="AH303" t="e">
        <f ca="1">(LN($A$4/Table13[[#This Row],[Strike]]) + (0.411-0 + 0.5 * Table13[[#This Row],[IV Calc C]]^2) *Table13[[#This Row],[T]]) / (Table13[[#This Row],[IV Calc C]] * SQRT(Table13[[#This Row],[T]]))</f>
        <v>#DIV/0!</v>
      </c>
      <c r="AI303" t="e">
        <f ca="1">(EXP(-(AG303^2)/2)/SQRT(2*PI())*EXP(0*SQRT(Table13[[#This Row],[T]]))/$A$4*18%*SQRT(SQRT(Table13[[#This Row],[T]])))</f>
        <v>#DIV/0!</v>
      </c>
      <c r="AJ303" t="e">
        <f ca="1">(EXP(-(AH303^2)/2)/SQRT(2*PI())*EXP(0*SQRT(Table13[[#This Row],[T]]))/$A$4*18%*SQRT(SQRT(Table13[[#This Row],[T]])))</f>
        <v>#DIV/0!</v>
      </c>
      <c r="AK303" t="e">
        <f ca="1">Table13[[#This Row],[Call D1]]-Table13[[#This Row],[IV Calc C]]*SQRT(Table13[[#This Row],[T]])</f>
        <v>#DIV/0!</v>
      </c>
      <c r="AL303" t="e">
        <f ca="1">Table13[[#This Row],[Put D1]]-Table13[[#This Row],[IV Calc P]]*SQRT(Table13[[#This Row],[T]])</f>
        <v>#DIV/0!</v>
      </c>
      <c r="AM303" t="e">
        <f ca="1">EXP(-0.5*Table13[[#This Row],[Call D1]]^2)/SQRT(2*PI())</f>
        <v>#DIV/0!</v>
      </c>
      <c r="AN303" t="e">
        <f ca="1">EXP(-0.5*Table13[[#This Row],[Put D1]]^2)/SQRT(2*PI())</f>
        <v>#DIV/0!</v>
      </c>
      <c r="AO303">
        <f ca="1">IFERROR((EXP(0*Table13[[#This Row],[T]])*Table13[[#This Row],[call N(d1)]]*(Table13[[#This Row],[call d2]]/Table13[[#This Row],[IV Calc C]]))*Table13[[#This Row],[Open.Int]]*Table13[[#This Row],[DeltaC]],0)</f>
        <v>0</v>
      </c>
      <c r="AP303">
        <f ca="1">IFERROR((EXP(0*Table13[[#This Row],[T]])*Table13[[#This Row],[put N(d1)]]*(Table13[[#This Row],[put d2]]/Table13[[#This Row],[IV Calc P]]))*Table13[[#This Row],[Open.Int8]]*Table13[[#This Row],[DeltaP]]*-1,0)</f>
        <v>0</v>
      </c>
      <c r="AQ303">
        <f ca="1">((Table13[[#This Row],[call vanna]]+Table13[[#This Row],[put vanna]])*$A$4)</f>
        <v>0</v>
      </c>
      <c r="AR30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3" s="9" t="str" cm="1">
        <f t="array" ref="AT303">_xlfn.IFS(     $M$1="SPX","SPXW",     $M$1="RUT","RUTW",  $M$1="NDX","NDXP",   TRUE,$M$1 )</f>
        <v>SPXW</v>
      </c>
      <c r="AU303" s="2">
        <f t="shared" si="32"/>
        <v>6915</v>
      </c>
      <c r="AV303" t="str">
        <f t="shared" si="33"/>
        <v>000100</v>
      </c>
      <c r="AY30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3">
        <f>((Table13[[#This Row],[High C]]+Table13[[#This Row],[Low C]])/2)*Table13[[#This Row],[gammac]]*Table13[[#This Row],[Volume]]</f>
        <v>0</v>
      </c>
      <c r="BD303">
        <f>((Table13[[#This Row],[High P]]+Table13[[#This Row],[Low P]])/2)*Table13[[#This Row],[gammap]]*Table13[[#This Row],[Volume9]]*-1</f>
        <v>0</v>
      </c>
      <c r="BE303">
        <f>(Table13[[#This Row],[SgammaC]]+Table13[[#This Row],[SgammaP]])*$A$4*-100</f>
        <v>0</v>
      </c>
      <c r="BF303">
        <f>Table13[[#This Row],[DEXc]]+Table13[[#This Row],[DEXp]]</f>
        <v>0</v>
      </c>
      <c r="BG303">
        <f>IFERROR(Table13[[#This Row],[DeltaC]]*Table13[[#This Row],[Open.Int]]*$A$4,0)</f>
        <v>0</v>
      </c>
      <c r="BH303">
        <f>IFERROR(Table13[[#This Row],[DeltaP]]*Table13[[#This Row],[Open.Int8]]*$A$4,0)</f>
        <v>0</v>
      </c>
      <c r="BI30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3">
        <f ca="1">Table13[[#This Row],[charmc]]+Table13[[#This Row],[charmp]]</f>
        <v>0</v>
      </c>
      <c r="BL30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3" s="78">
        <f ca="1">Table13[[#This Row],[call helper]]+Table13[[#This Row],[put helper]]</f>
        <v>0</v>
      </c>
      <c r="BP303" t="str">
        <f>RTD("tos.rtd", , "STRIKE", "."&amp;Table13[[#This Row],[Ticker]]&amp;Table13[[#This Row],[Expiry]]&amp;""&amp;"C"&amp;Table13[[#This Row],[Spot]]+Table13[[#This Row],[step]])</f>
        <v>N/A</v>
      </c>
    </row>
    <row r="304" spans="1:68" x14ac:dyDescent="0.25">
      <c r="A304" s="14">
        <f t="shared" ca="1" si="29"/>
        <v>-126.14810350076104</v>
      </c>
      <c r="C304" s="17"/>
      <c r="D304" t="b">
        <f>IF(
    ISNUMBER(Table13[[#This Row],[Strike]]),RTD("tos.rtd", , "OPEN_INT", "."&amp;Table13[[#This Row],[Ticker]]&amp;Table13[[#This Row],[Expiry]]&amp;""&amp;"C"&amp;Table13[[#This Row],[Strike]]))</f>
        <v>0</v>
      </c>
      <c r="E30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4" t="b">
        <f>IF(     ISNUMBER(Table13[[#This Row],[Strike]]),RTD("tos.rtd", , "DELTA", "."&amp;Table13[[#This Row],[Ticker]]&amp;Table13[[#This Row],[Expiry]]&amp;""&amp;"C"&amp;Table13[[#This Row],[Strike]]))</f>
        <v>0</v>
      </c>
      <c r="H304" s="17" t="b" cm="1">
        <f t="array" ref="H304">IF(
    ISNUMBER(Table13[[#This Row],[Strike]]),IndividualLegIVCore($A$4, Table13[[#This Row],[Strike]], 0.0411, Table13[[#This Row],[T]], ((Table13[[#This Row],[BIDC]]+Table13[[#This Row],[ASKC]])/2), TRUE))</f>
        <v>0</v>
      </c>
      <c r="I304" t="b">
        <f>IF(     ISNUMBER(Table13[[#This Row],[Strike]]),RTD("tos.rtd", , "BID", "."&amp;Table13[[#This Row],[Ticker]]&amp;Table13[[#This Row],[Expiry]]&amp;""&amp;"C"&amp;Table13[[#This Row],[Strike]]))</f>
        <v>0</v>
      </c>
      <c r="J304" t="b">
        <f>IF(     ISNUMBER(Table13[[#This Row],[Strike]]),RTD("tos.rtd", , "ASK", "."&amp;Table13[[#This Row],[Ticker]]&amp;Table13[[#This Row],[Expiry]]&amp;""&amp;"C"&amp;Table13[[#This Row],[Strike]]))</f>
        <v>0</v>
      </c>
      <c r="K30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4" s="17" cm="1">
        <f t="array" aca="1" ref="L30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4" s="1">
        <f t="shared" si="30"/>
        <v>0</v>
      </c>
      <c r="N304" t="b">
        <f t="shared" si="31"/>
        <v>0</v>
      </c>
      <c r="P304" s="17" t="b" cm="1">
        <f t="array" ref="P304">IF(
    ISNUMBER(Table13[[#This Row],[Strike]]),IndividualLegIVCore($A$4, Table13[[#This Row],[Strike]], 0.0411, Table13[[#This Row],[T]], ((Table13[[#This Row],[BIDP]]+Table13[[#This Row],[ASKP]])/2), FALSE))</f>
        <v>0</v>
      </c>
      <c r="Q304" t="b">
        <f>IF(     ISNUMBER(Table13[[#This Row],[Strike]]),RTD("tos.rtd", , "BID", "."&amp;Table13[[#This Row],[Ticker]]&amp;Table13[[#This Row],[Expiry]]&amp;""&amp;"P"&amp;Table13[[#This Row],[Strike]]))</f>
        <v>0</v>
      </c>
      <c r="R304" t="b">
        <f>IF(     ISNUMBER(Table13[[#This Row],[Strike]]),RTD("tos.rtd", , "ASK", "."&amp;Table13[[#This Row],[Ticker]]&amp;Table13[[#This Row],[Expiry]]&amp;""&amp;"P"&amp;Table13[[#This Row],[Strike]]))</f>
        <v>0</v>
      </c>
      <c r="S304" s="17"/>
      <c r="T304" t="b">
        <f>IF(     ISNUMBER(Table13[[#This Row],[Strike]]),RTD("tos.rtd", , "OPEN_INT", "."&amp;Table13[[#This Row],[Ticker]]&amp;Table13[[#This Row],[Expiry]]&amp;""&amp;"P"&amp;Table13[[#This Row],[Strike]]))</f>
        <v>0</v>
      </c>
      <c r="U30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4" t="b">
        <f>IF(     ISNUMBER(Table13[[#This Row],[Strike]]),RTD("tos.rtd", , "DELTA", "."&amp;Table13[[#This Row],[Ticker]]&amp;Table13[[#This Row],[Expiry]]&amp;""&amp;"P"&amp;Table13[[#This Row],[Strike]]))</f>
        <v>0</v>
      </c>
      <c r="Y304" s="19">
        <f>-4.5* IF($M$1="NDX", 10, IF(OR($M$1="SPX", $M$1="RUT"), 2, 1))</f>
        <v>-9</v>
      </c>
      <c r="Z304">
        <f ca="1">IFERROR(Table13[[#This Row],[call gamma]]*(Table13[[#This Row],[Open.Int]])*$A$4^2,0)</f>
        <v>0</v>
      </c>
      <c r="AA304">
        <f ca="1">IFERROR(((Table13[[#This Row],[Open.Int8]])*Table13[[#This Row],[Put gamma]])*-1*$A$4^2,0)</f>
        <v>0</v>
      </c>
      <c r="AB304">
        <f ca="1">(Table13[[#This Row],[Call Gex]]+Table13[[#This Row],[Put Gex]])</f>
        <v>0</v>
      </c>
      <c r="AC304">
        <f ca="1">Table13[[#This Row],[put delta adj]]+Table13[[#This Row],[call delta adj]]</f>
        <v>0</v>
      </c>
      <c r="AD304">
        <f ca="1">Table13[[#This Row],[Put Gex]]*Table13[[#This Row],[DeltaP]]*-1</f>
        <v>0</v>
      </c>
      <c r="AE304">
        <f ca="1">Table13[[#This Row],[Call Gex]]*Table13[[#This Row],[DeltaC]]</f>
        <v>0</v>
      </c>
      <c r="AF304">
        <f>IF(Table13[[#This Row],[DeltaC]]-ABS(Table13[[#This Row],[DeltaP]])="0","0.01",Table13[[#This Row],[DeltaC]]-ABS(Table13[[#This Row],[DeltaP]]))</f>
        <v>0</v>
      </c>
      <c r="AG304" t="e">
        <f ca="1">((LN($A$4/Table13[[#This Row],[Strike]]) + (0.411 + 0.5 * Table13[[#This Row],[IV Calc P]]^2) *Table13[[#This Row],[T]])) / (Table13[[#This Row],[IV Calc P]] * SQRT(Table13[[#This Row],[T]]))</f>
        <v>#DIV/0!</v>
      </c>
      <c r="AH304" t="e">
        <f ca="1">(LN($A$4/Table13[[#This Row],[Strike]]) + (0.411-0 + 0.5 * Table13[[#This Row],[IV Calc C]]^2) *Table13[[#This Row],[T]]) / (Table13[[#This Row],[IV Calc C]] * SQRT(Table13[[#This Row],[T]]))</f>
        <v>#DIV/0!</v>
      </c>
      <c r="AI304" t="e">
        <f ca="1">(EXP(-(AG304^2)/2)/SQRT(2*PI())*EXP(0*SQRT(Table13[[#This Row],[T]]))/$A$4*18%*SQRT(SQRT(Table13[[#This Row],[T]])))</f>
        <v>#DIV/0!</v>
      </c>
      <c r="AJ304" t="e">
        <f ca="1">(EXP(-(AH304^2)/2)/SQRT(2*PI())*EXP(0*SQRT(Table13[[#This Row],[T]]))/$A$4*18%*SQRT(SQRT(Table13[[#This Row],[T]])))</f>
        <v>#DIV/0!</v>
      </c>
      <c r="AK304" t="e">
        <f ca="1">Table13[[#This Row],[Call D1]]-Table13[[#This Row],[IV Calc C]]*SQRT(Table13[[#This Row],[T]])</f>
        <v>#DIV/0!</v>
      </c>
      <c r="AL304" t="e">
        <f ca="1">Table13[[#This Row],[Put D1]]-Table13[[#This Row],[IV Calc P]]*SQRT(Table13[[#This Row],[T]])</f>
        <v>#DIV/0!</v>
      </c>
      <c r="AM304" t="e">
        <f ca="1">EXP(-0.5*Table13[[#This Row],[Call D1]]^2)/SQRT(2*PI())</f>
        <v>#DIV/0!</v>
      </c>
      <c r="AN304" t="e">
        <f ca="1">EXP(-0.5*Table13[[#This Row],[Put D1]]^2)/SQRT(2*PI())</f>
        <v>#DIV/0!</v>
      </c>
      <c r="AO304">
        <f ca="1">IFERROR((EXP(0*Table13[[#This Row],[T]])*Table13[[#This Row],[call N(d1)]]*(Table13[[#This Row],[call d2]]/Table13[[#This Row],[IV Calc C]]))*Table13[[#This Row],[Open.Int]]*Table13[[#This Row],[DeltaC]],0)</f>
        <v>0</v>
      </c>
      <c r="AP304">
        <f ca="1">IFERROR((EXP(0*Table13[[#This Row],[T]])*Table13[[#This Row],[put N(d1)]]*(Table13[[#This Row],[put d2]]/Table13[[#This Row],[IV Calc P]]))*Table13[[#This Row],[Open.Int8]]*Table13[[#This Row],[DeltaP]]*-1,0)</f>
        <v>0</v>
      </c>
      <c r="AQ304">
        <f ca="1">((Table13[[#This Row],[call vanna]]+Table13[[#This Row],[put vanna]])*$A$4)</f>
        <v>0</v>
      </c>
      <c r="AR30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4" s="9" t="str" cm="1">
        <f t="array" ref="AT304">_xlfn.IFS(     $M$1="SPX","SPXW",     $M$1="RUT","RUTW",  $M$1="NDX","NDXP",   TRUE,$M$1 )</f>
        <v>SPXW</v>
      </c>
      <c r="AU304" s="2">
        <f t="shared" si="32"/>
        <v>6915</v>
      </c>
      <c r="AV304" t="str">
        <f t="shared" si="33"/>
        <v>000100</v>
      </c>
      <c r="AY30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4">
        <f>((Table13[[#This Row],[High C]]+Table13[[#This Row],[Low C]])/2)*Table13[[#This Row],[gammac]]*Table13[[#This Row],[Volume]]</f>
        <v>0</v>
      </c>
      <c r="BD304">
        <f>((Table13[[#This Row],[High P]]+Table13[[#This Row],[Low P]])/2)*Table13[[#This Row],[gammap]]*Table13[[#This Row],[Volume9]]*-1</f>
        <v>0</v>
      </c>
      <c r="BE304">
        <f>(Table13[[#This Row],[SgammaC]]+Table13[[#This Row],[SgammaP]])*$A$4*-100</f>
        <v>0</v>
      </c>
      <c r="BF304">
        <f>Table13[[#This Row],[DEXc]]+Table13[[#This Row],[DEXp]]</f>
        <v>0</v>
      </c>
      <c r="BG304">
        <f>IFERROR(Table13[[#This Row],[DeltaC]]*Table13[[#This Row],[Open.Int]]*$A$4,0)</f>
        <v>0</v>
      </c>
      <c r="BH304">
        <f>IFERROR(Table13[[#This Row],[DeltaP]]*Table13[[#This Row],[Open.Int8]]*$A$4,0)</f>
        <v>0</v>
      </c>
      <c r="BI30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4">
        <f ca="1">Table13[[#This Row],[charmc]]+Table13[[#This Row],[charmp]]</f>
        <v>0</v>
      </c>
      <c r="BL30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4" s="78">
        <f ca="1">Table13[[#This Row],[call helper]]+Table13[[#This Row],[put helper]]</f>
        <v>0</v>
      </c>
      <c r="BP304" t="str">
        <f>RTD("tos.rtd", , "STRIKE", "."&amp;Table13[[#This Row],[Ticker]]&amp;Table13[[#This Row],[Expiry]]&amp;""&amp;"C"&amp;Table13[[#This Row],[Spot]]+Table13[[#This Row],[step]])</f>
        <v>N/A</v>
      </c>
    </row>
    <row r="305" spans="1:77" x14ac:dyDescent="0.25">
      <c r="A305" s="14">
        <f t="shared" ca="1" si="29"/>
        <v>-126.14810350076104</v>
      </c>
      <c r="C305" s="17"/>
      <c r="D305" t="b">
        <f>IF(
    ISNUMBER(Table13[[#This Row],[Strike]]),RTD("tos.rtd", , "OPEN_INT", "."&amp;Table13[[#This Row],[Ticker]]&amp;Table13[[#This Row],[Expiry]]&amp;""&amp;"C"&amp;Table13[[#This Row],[Strike]]))</f>
        <v>0</v>
      </c>
      <c r="E30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5" t="b">
        <f>IF(     ISNUMBER(Table13[[#This Row],[Strike]]),RTD("tos.rtd", , "DELTA", "."&amp;Table13[[#This Row],[Ticker]]&amp;Table13[[#This Row],[Expiry]]&amp;""&amp;"C"&amp;Table13[[#This Row],[Strike]]))</f>
        <v>0</v>
      </c>
      <c r="H305" s="17" t="b" cm="1">
        <f t="array" ref="H305">IF(
    ISNUMBER(Table13[[#This Row],[Strike]]),IndividualLegIVCore($A$4, Table13[[#This Row],[Strike]], 0.0411, Table13[[#This Row],[T]], ((Table13[[#This Row],[BIDC]]+Table13[[#This Row],[ASKC]])/2), TRUE))</f>
        <v>0</v>
      </c>
      <c r="I305" t="b">
        <f>IF(     ISNUMBER(Table13[[#This Row],[Strike]]),RTD("tos.rtd", , "BID", "."&amp;Table13[[#This Row],[Ticker]]&amp;Table13[[#This Row],[Expiry]]&amp;""&amp;"C"&amp;Table13[[#This Row],[Strike]]))</f>
        <v>0</v>
      </c>
      <c r="J305" t="b">
        <f>IF(     ISNUMBER(Table13[[#This Row],[Strike]]),RTD("tos.rtd", , "ASK", "."&amp;Table13[[#This Row],[Ticker]]&amp;Table13[[#This Row],[Expiry]]&amp;""&amp;"C"&amp;Table13[[#This Row],[Strike]]))</f>
        <v>0</v>
      </c>
      <c r="K30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5" s="17" cm="1">
        <f t="array" aca="1" ref="L30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5" s="1">
        <f t="shared" si="30"/>
        <v>0</v>
      </c>
      <c r="N305" t="b">
        <f t="shared" si="31"/>
        <v>0</v>
      </c>
      <c r="P305" s="17" t="b" cm="1">
        <f t="array" ref="P305">IF(
    ISNUMBER(Table13[[#This Row],[Strike]]),IndividualLegIVCore($A$4, Table13[[#This Row],[Strike]], 0.0411, Table13[[#This Row],[T]], ((Table13[[#This Row],[BIDP]]+Table13[[#This Row],[ASKP]])/2), FALSE))</f>
        <v>0</v>
      </c>
      <c r="Q305" t="b">
        <f>IF(     ISNUMBER(Table13[[#This Row],[Strike]]),RTD("tos.rtd", , "BID", "."&amp;Table13[[#This Row],[Ticker]]&amp;Table13[[#This Row],[Expiry]]&amp;""&amp;"P"&amp;Table13[[#This Row],[Strike]]))</f>
        <v>0</v>
      </c>
      <c r="R305" t="b">
        <f>IF(     ISNUMBER(Table13[[#This Row],[Strike]]),RTD("tos.rtd", , "ASK", "."&amp;Table13[[#This Row],[Ticker]]&amp;Table13[[#This Row],[Expiry]]&amp;""&amp;"P"&amp;Table13[[#This Row],[Strike]]))</f>
        <v>0</v>
      </c>
      <c r="S305" s="17"/>
      <c r="T305" t="b">
        <f>IF(     ISNUMBER(Table13[[#This Row],[Strike]]),RTD("tos.rtd", , "OPEN_INT", "."&amp;Table13[[#This Row],[Ticker]]&amp;Table13[[#This Row],[Expiry]]&amp;""&amp;"P"&amp;Table13[[#This Row],[Strike]]))</f>
        <v>0</v>
      </c>
      <c r="U30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5" t="b">
        <f>IF(     ISNUMBER(Table13[[#This Row],[Strike]]),RTD("tos.rtd", , "DELTA", "."&amp;Table13[[#This Row],[Ticker]]&amp;Table13[[#This Row],[Expiry]]&amp;""&amp;"P"&amp;Table13[[#This Row],[Strike]]))</f>
        <v>0</v>
      </c>
      <c r="Y305" s="19">
        <f>-4* IF($M$1="NDX", 10, IF(OR($M$1="SPX", $M$1="RUT"), 2, 1))</f>
        <v>-8</v>
      </c>
      <c r="Z305">
        <f ca="1">IFERROR(Table13[[#This Row],[call gamma]]*(Table13[[#This Row],[Open.Int]])*$A$4^2,0)</f>
        <v>0</v>
      </c>
      <c r="AA305">
        <f ca="1">IFERROR(((Table13[[#This Row],[Open.Int8]])*Table13[[#This Row],[Put gamma]])*-1*$A$4^2,0)</f>
        <v>0</v>
      </c>
      <c r="AB305">
        <f ca="1">(Table13[[#This Row],[Call Gex]]+Table13[[#This Row],[Put Gex]])</f>
        <v>0</v>
      </c>
      <c r="AC305">
        <f ca="1">Table13[[#This Row],[put delta adj]]+Table13[[#This Row],[call delta adj]]</f>
        <v>0</v>
      </c>
      <c r="AD305">
        <f ca="1">Table13[[#This Row],[Put Gex]]*Table13[[#This Row],[DeltaP]]*-1</f>
        <v>0</v>
      </c>
      <c r="AE305">
        <f ca="1">Table13[[#This Row],[Call Gex]]*Table13[[#This Row],[DeltaC]]</f>
        <v>0</v>
      </c>
      <c r="AF305">
        <f>IF(Table13[[#This Row],[DeltaC]]-ABS(Table13[[#This Row],[DeltaP]])="0","0.01",Table13[[#This Row],[DeltaC]]-ABS(Table13[[#This Row],[DeltaP]]))</f>
        <v>0</v>
      </c>
      <c r="AG305" t="e">
        <f ca="1">((LN($A$4/Table13[[#This Row],[Strike]]) + (0.411 + 0.5 * Table13[[#This Row],[IV Calc P]]^2) *Table13[[#This Row],[T]])) / (Table13[[#This Row],[IV Calc P]] * SQRT(Table13[[#This Row],[T]]))</f>
        <v>#DIV/0!</v>
      </c>
      <c r="AH305" t="e">
        <f ca="1">(LN($A$4/Table13[[#This Row],[Strike]]) + (0.411-0 + 0.5 * Table13[[#This Row],[IV Calc C]]^2) *Table13[[#This Row],[T]]) / (Table13[[#This Row],[IV Calc C]] * SQRT(Table13[[#This Row],[T]]))</f>
        <v>#DIV/0!</v>
      </c>
      <c r="AI305" t="e">
        <f ca="1">(EXP(-(AG305^2)/2)/SQRT(2*PI())*EXP(0*SQRT(Table13[[#This Row],[T]]))/$A$4*18%*SQRT(SQRT(Table13[[#This Row],[T]])))</f>
        <v>#DIV/0!</v>
      </c>
      <c r="AJ305" t="e">
        <f ca="1">(EXP(-(AH305^2)/2)/SQRT(2*PI())*EXP(0*SQRT(Table13[[#This Row],[T]]))/$A$4*18%*SQRT(SQRT(Table13[[#This Row],[T]])))</f>
        <v>#DIV/0!</v>
      </c>
      <c r="AK305" t="e">
        <f ca="1">Table13[[#This Row],[Call D1]]-Table13[[#This Row],[IV Calc C]]*SQRT(Table13[[#This Row],[T]])</f>
        <v>#DIV/0!</v>
      </c>
      <c r="AL305" t="e">
        <f ca="1">Table13[[#This Row],[Put D1]]-Table13[[#This Row],[IV Calc P]]*SQRT(Table13[[#This Row],[T]])</f>
        <v>#DIV/0!</v>
      </c>
      <c r="AM305" t="e">
        <f ca="1">EXP(-0.5*Table13[[#This Row],[Call D1]]^2)/SQRT(2*PI())</f>
        <v>#DIV/0!</v>
      </c>
      <c r="AN305" t="e">
        <f ca="1">EXP(-0.5*Table13[[#This Row],[Put D1]]^2)/SQRT(2*PI())</f>
        <v>#DIV/0!</v>
      </c>
      <c r="AO305">
        <f ca="1">IFERROR((EXP(0*Table13[[#This Row],[T]])*Table13[[#This Row],[call N(d1)]]*(Table13[[#This Row],[call d2]]/Table13[[#This Row],[IV Calc C]]))*Table13[[#This Row],[Open.Int]]*Table13[[#This Row],[DeltaC]],0)</f>
        <v>0</v>
      </c>
      <c r="AP305">
        <f ca="1">IFERROR((EXP(0*Table13[[#This Row],[T]])*Table13[[#This Row],[put N(d1)]]*(Table13[[#This Row],[put d2]]/Table13[[#This Row],[IV Calc P]]))*Table13[[#This Row],[Open.Int8]]*Table13[[#This Row],[DeltaP]]*-1,0)</f>
        <v>0</v>
      </c>
      <c r="AQ305">
        <f ca="1">((Table13[[#This Row],[call vanna]]+Table13[[#This Row],[put vanna]])*$A$4)</f>
        <v>0</v>
      </c>
      <c r="AR30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5" s="9" t="str" cm="1">
        <f t="array" ref="AT305">_xlfn.IFS(     $M$1="SPX","SPXW",     $M$1="RUT","RUTW",  $M$1="NDX","NDXP",   TRUE,$M$1 )</f>
        <v>SPXW</v>
      </c>
      <c r="AU305" s="2">
        <f t="shared" si="32"/>
        <v>6915</v>
      </c>
      <c r="AV305" t="str">
        <f t="shared" si="33"/>
        <v>000100</v>
      </c>
      <c r="AY30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5">
        <f>((Table13[[#This Row],[High C]]+Table13[[#This Row],[Low C]])/2)*Table13[[#This Row],[gammac]]*Table13[[#This Row],[Volume]]</f>
        <v>0</v>
      </c>
      <c r="BD305">
        <f>((Table13[[#This Row],[High P]]+Table13[[#This Row],[Low P]])/2)*Table13[[#This Row],[gammap]]*Table13[[#This Row],[Volume9]]*-1</f>
        <v>0</v>
      </c>
      <c r="BE305">
        <f>(Table13[[#This Row],[SgammaC]]+Table13[[#This Row],[SgammaP]])*$A$4*-100</f>
        <v>0</v>
      </c>
      <c r="BF305">
        <f>Table13[[#This Row],[DEXc]]+Table13[[#This Row],[DEXp]]</f>
        <v>0</v>
      </c>
      <c r="BG305">
        <f>IFERROR(Table13[[#This Row],[DeltaC]]*Table13[[#This Row],[Open.Int]]*$A$4,0)</f>
        <v>0</v>
      </c>
      <c r="BH305">
        <f>IFERROR(Table13[[#This Row],[DeltaP]]*Table13[[#This Row],[Open.Int8]]*$A$4,0)</f>
        <v>0</v>
      </c>
      <c r="BI30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5">
        <f ca="1">Table13[[#This Row],[charmc]]+Table13[[#This Row],[charmp]]</f>
        <v>0</v>
      </c>
      <c r="BL30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5" s="78">
        <f ca="1">Table13[[#This Row],[call helper]]+Table13[[#This Row],[put helper]]</f>
        <v>0</v>
      </c>
      <c r="BP305" t="str">
        <f>RTD("tos.rtd", , "STRIKE", "."&amp;Table13[[#This Row],[Ticker]]&amp;Table13[[#This Row],[Expiry]]&amp;""&amp;"C"&amp;Table13[[#This Row],[Spot]]+Table13[[#This Row],[step]])</f>
        <v>N/A</v>
      </c>
    </row>
    <row r="306" spans="1:77" x14ac:dyDescent="0.25">
      <c r="A306" s="14">
        <f t="shared" ca="1" si="29"/>
        <v>-126.14810350076104</v>
      </c>
      <c r="C306" s="17"/>
      <c r="D306" t="b">
        <f>IF(
    ISNUMBER(Table13[[#This Row],[Strike]]),RTD("tos.rtd", , "OPEN_INT", "."&amp;Table13[[#This Row],[Ticker]]&amp;Table13[[#This Row],[Expiry]]&amp;""&amp;"C"&amp;Table13[[#This Row],[Strike]]))</f>
        <v>0</v>
      </c>
      <c r="E30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6" t="b">
        <f>IF(     ISNUMBER(Table13[[#This Row],[Strike]]),RTD("tos.rtd", , "DELTA", "."&amp;Table13[[#This Row],[Ticker]]&amp;Table13[[#This Row],[Expiry]]&amp;""&amp;"C"&amp;Table13[[#This Row],[Strike]]))</f>
        <v>0</v>
      </c>
      <c r="H306" s="17" t="b" cm="1">
        <f t="array" ref="H306">IF(
    ISNUMBER(Table13[[#This Row],[Strike]]),IndividualLegIVCore($A$4, Table13[[#This Row],[Strike]], 0.0411, Table13[[#This Row],[T]], ((Table13[[#This Row],[BIDC]]+Table13[[#This Row],[ASKC]])/2), TRUE))</f>
        <v>0</v>
      </c>
      <c r="I306" t="b">
        <f>IF(     ISNUMBER(Table13[[#This Row],[Strike]]),RTD("tos.rtd", , "BID", "."&amp;Table13[[#This Row],[Ticker]]&amp;Table13[[#This Row],[Expiry]]&amp;""&amp;"C"&amp;Table13[[#This Row],[Strike]]))</f>
        <v>0</v>
      </c>
      <c r="J306" t="b">
        <f>IF(     ISNUMBER(Table13[[#This Row],[Strike]]),RTD("tos.rtd", , "ASK", "."&amp;Table13[[#This Row],[Ticker]]&amp;Table13[[#This Row],[Expiry]]&amp;""&amp;"C"&amp;Table13[[#This Row],[Strike]]))</f>
        <v>0</v>
      </c>
      <c r="K30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6" s="17" cm="1">
        <f t="array" aca="1" ref="L30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6" s="1">
        <f t="shared" si="30"/>
        <v>0</v>
      </c>
      <c r="N306" t="b">
        <f t="shared" si="31"/>
        <v>0</v>
      </c>
      <c r="P306" s="17" t="b" cm="1">
        <f t="array" ref="P306">IF(
    ISNUMBER(Table13[[#This Row],[Strike]]),IndividualLegIVCore($A$4, Table13[[#This Row],[Strike]], 0.0411, Table13[[#This Row],[T]], ((Table13[[#This Row],[BIDP]]+Table13[[#This Row],[ASKP]])/2), FALSE))</f>
        <v>0</v>
      </c>
      <c r="Q306" t="b">
        <f>IF(     ISNUMBER(Table13[[#This Row],[Strike]]),RTD("tos.rtd", , "BID", "."&amp;Table13[[#This Row],[Ticker]]&amp;Table13[[#This Row],[Expiry]]&amp;""&amp;"P"&amp;Table13[[#This Row],[Strike]]))</f>
        <v>0</v>
      </c>
      <c r="R306" t="b">
        <f>IF(     ISNUMBER(Table13[[#This Row],[Strike]]),RTD("tos.rtd", , "ASK", "."&amp;Table13[[#This Row],[Ticker]]&amp;Table13[[#This Row],[Expiry]]&amp;""&amp;"P"&amp;Table13[[#This Row],[Strike]]))</f>
        <v>0</v>
      </c>
      <c r="S306" s="17"/>
      <c r="T306" t="b">
        <f>IF(     ISNUMBER(Table13[[#This Row],[Strike]]),RTD("tos.rtd", , "OPEN_INT", "."&amp;Table13[[#This Row],[Ticker]]&amp;Table13[[#This Row],[Expiry]]&amp;""&amp;"P"&amp;Table13[[#This Row],[Strike]]))</f>
        <v>0</v>
      </c>
      <c r="U30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6" t="b">
        <f>IF(     ISNUMBER(Table13[[#This Row],[Strike]]),RTD("tos.rtd", , "DELTA", "."&amp;Table13[[#This Row],[Ticker]]&amp;Table13[[#This Row],[Expiry]]&amp;""&amp;"P"&amp;Table13[[#This Row],[Strike]]))</f>
        <v>0</v>
      </c>
      <c r="Y306" s="19">
        <f>-3.5* IF($M$1="NDX", 10, IF(OR($M$1="SPX", $M$1="RUT"), 2, 1))</f>
        <v>-7</v>
      </c>
      <c r="Z306">
        <f ca="1">IFERROR(Table13[[#This Row],[call gamma]]*(Table13[[#This Row],[Open.Int]])*$A$4^2,0)</f>
        <v>0</v>
      </c>
      <c r="AA306">
        <f ca="1">IFERROR(((Table13[[#This Row],[Open.Int8]])*Table13[[#This Row],[Put gamma]])*-1*$A$4^2,0)</f>
        <v>0</v>
      </c>
      <c r="AB306">
        <f ca="1">(Table13[[#This Row],[Call Gex]]+Table13[[#This Row],[Put Gex]])</f>
        <v>0</v>
      </c>
      <c r="AC306">
        <f ca="1">Table13[[#This Row],[put delta adj]]+Table13[[#This Row],[call delta adj]]</f>
        <v>0</v>
      </c>
      <c r="AD306">
        <f ca="1">Table13[[#This Row],[Put Gex]]*Table13[[#This Row],[DeltaP]]*-1</f>
        <v>0</v>
      </c>
      <c r="AE306">
        <f ca="1">Table13[[#This Row],[Call Gex]]*Table13[[#This Row],[DeltaC]]</f>
        <v>0</v>
      </c>
      <c r="AF306">
        <f>IF(Table13[[#This Row],[DeltaC]]-ABS(Table13[[#This Row],[DeltaP]])="0","0.01",Table13[[#This Row],[DeltaC]]-ABS(Table13[[#This Row],[DeltaP]]))</f>
        <v>0</v>
      </c>
      <c r="AG306" t="e">
        <f ca="1">((LN($A$4/Table13[[#This Row],[Strike]]) + (0.411 + 0.5 * Table13[[#This Row],[IV Calc P]]^2) *Table13[[#This Row],[T]])) / (Table13[[#This Row],[IV Calc P]] * SQRT(Table13[[#This Row],[T]]))</f>
        <v>#DIV/0!</v>
      </c>
      <c r="AH306" t="e">
        <f ca="1">(LN($A$4/Table13[[#This Row],[Strike]]) + (0.411-0 + 0.5 * Table13[[#This Row],[IV Calc C]]^2) *Table13[[#This Row],[T]]) / (Table13[[#This Row],[IV Calc C]] * SQRT(Table13[[#This Row],[T]]))</f>
        <v>#DIV/0!</v>
      </c>
      <c r="AI306" t="e">
        <f ca="1">(EXP(-(AG306^2)/2)/SQRT(2*PI())*EXP(0*SQRT(Table13[[#This Row],[T]]))/$A$4*18%*SQRT(SQRT(Table13[[#This Row],[T]])))</f>
        <v>#DIV/0!</v>
      </c>
      <c r="AJ306" t="e">
        <f ca="1">(EXP(-(AH306^2)/2)/SQRT(2*PI())*EXP(0*SQRT(Table13[[#This Row],[T]]))/$A$4*18%*SQRT(SQRT(Table13[[#This Row],[T]])))</f>
        <v>#DIV/0!</v>
      </c>
      <c r="AK306" t="e">
        <f ca="1">Table13[[#This Row],[Call D1]]-Table13[[#This Row],[IV Calc C]]*SQRT(Table13[[#This Row],[T]])</f>
        <v>#DIV/0!</v>
      </c>
      <c r="AL306" t="e">
        <f ca="1">Table13[[#This Row],[Put D1]]-Table13[[#This Row],[IV Calc P]]*SQRT(Table13[[#This Row],[T]])</f>
        <v>#DIV/0!</v>
      </c>
      <c r="AM306" t="e">
        <f ca="1">EXP(-0.5*Table13[[#This Row],[Call D1]]^2)/SQRT(2*PI())</f>
        <v>#DIV/0!</v>
      </c>
      <c r="AN306" t="e">
        <f ca="1">EXP(-0.5*Table13[[#This Row],[Put D1]]^2)/SQRT(2*PI())</f>
        <v>#DIV/0!</v>
      </c>
      <c r="AO306">
        <f ca="1">IFERROR((EXP(0*Table13[[#This Row],[T]])*Table13[[#This Row],[call N(d1)]]*(Table13[[#This Row],[call d2]]/Table13[[#This Row],[IV Calc C]]))*Table13[[#This Row],[Open.Int]]*Table13[[#This Row],[DeltaC]],0)</f>
        <v>0</v>
      </c>
      <c r="AP306">
        <f ca="1">IFERROR((EXP(0*Table13[[#This Row],[T]])*Table13[[#This Row],[put N(d1)]]*(Table13[[#This Row],[put d2]]/Table13[[#This Row],[IV Calc P]]))*Table13[[#This Row],[Open.Int8]]*Table13[[#This Row],[DeltaP]]*-1,0)</f>
        <v>0</v>
      </c>
      <c r="AQ306">
        <f ca="1">((Table13[[#This Row],[call vanna]]+Table13[[#This Row],[put vanna]])*$A$4)</f>
        <v>0</v>
      </c>
      <c r="AR30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6" s="9" t="str" cm="1">
        <f t="array" ref="AT306">_xlfn.IFS(     $M$1="SPX","SPXW",     $M$1="RUT","RUTW",  $M$1="NDX","NDXP",   TRUE,$M$1 )</f>
        <v>SPXW</v>
      </c>
      <c r="AU306" s="2">
        <f t="shared" si="32"/>
        <v>6915</v>
      </c>
      <c r="AV306" t="str">
        <f t="shared" si="33"/>
        <v>000100</v>
      </c>
      <c r="AY30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6">
        <f>((Table13[[#This Row],[High C]]+Table13[[#This Row],[Low C]])/2)*Table13[[#This Row],[gammac]]*Table13[[#This Row],[Volume]]</f>
        <v>0</v>
      </c>
      <c r="BD306">
        <f>((Table13[[#This Row],[High P]]+Table13[[#This Row],[Low P]])/2)*Table13[[#This Row],[gammap]]*Table13[[#This Row],[Volume9]]*-1</f>
        <v>0</v>
      </c>
      <c r="BE306">
        <f>(Table13[[#This Row],[SgammaC]]+Table13[[#This Row],[SgammaP]])*$A$4*-100</f>
        <v>0</v>
      </c>
      <c r="BF306">
        <f>Table13[[#This Row],[DEXc]]+Table13[[#This Row],[DEXp]]</f>
        <v>0</v>
      </c>
      <c r="BG306">
        <f>IFERROR(Table13[[#This Row],[DeltaC]]*Table13[[#This Row],[Open.Int]]*$A$4,0)</f>
        <v>0</v>
      </c>
      <c r="BH306">
        <f>IFERROR(Table13[[#This Row],[DeltaP]]*Table13[[#This Row],[Open.Int8]]*$A$4,0)</f>
        <v>0</v>
      </c>
      <c r="BI30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6">
        <f ca="1">Table13[[#This Row],[charmc]]+Table13[[#This Row],[charmp]]</f>
        <v>0</v>
      </c>
      <c r="BL30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6" s="78">
        <f ca="1">Table13[[#This Row],[call helper]]+Table13[[#This Row],[put helper]]</f>
        <v>0</v>
      </c>
      <c r="BP306" t="str">
        <f>RTD("tos.rtd", , "STRIKE", "."&amp;Table13[[#This Row],[Ticker]]&amp;Table13[[#This Row],[Expiry]]&amp;""&amp;"C"&amp;Table13[[#This Row],[Spot]]+Table13[[#This Row],[step]])</f>
        <v>N/A</v>
      </c>
    </row>
    <row r="307" spans="1:77" x14ac:dyDescent="0.25">
      <c r="A307" s="14">
        <f t="shared" ca="1" si="29"/>
        <v>-126.14810350076104</v>
      </c>
      <c r="C307" s="17"/>
      <c r="D307" t="b">
        <f>IF(
    ISNUMBER(Table13[[#This Row],[Strike]]),RTD("tos.rtd", , "OPEN_INT", "."&amp;Table13[[#This Row],[Ticker]]&amp;Table13[[#This Row],[Expiry]]&amp;""&amp;"C"&amp;Table13[[#This Row],[Strike]]))</f>
        <v>0</v>
      </c>
      <c r="E30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7" t="b">
        <f>IF(     ISNUMBER(Table13[[#This Row],[Strike]]),RTD("tos.rtd", , "DELTA", "."&amp;Table13[[#This Row],[Ticker]]&amp;Table13[[#This Row],[Expiry]]&amp;""&amp;"C"&amp;Table13[[#This Row],[Strike]]))</f>
        <v>0</v>
      </c>
      <c r="H307" s="17" t="b" cm="1">
        <f t="array" ref="H307">IF(
    ISNUMBER(Table13[[#This Row],[Strike]]),IndividualLegIVCore($A$4, Table13[[#This Row],[Strike]], 0.0411, Table13[[#This Row],[T]], ((Table13[[#This Row],[BIDC]]+Table13[[#This Row],[ASKC]])/2), TRUE))</f>
        <v>0</v>
      </c>
      <c r="I307" t="b">
        <f>IF(     ISNUMBER(Table13[[#This Row],[Strike]]),RTD("tos.rtd", , "BID", "."&amp;Table13[[#This Row],[Ticker]]&amp;Table13[[#This Row],[Expiry]]&amp;""&amp;"C"&amp;Table13[[#This Row],[Strike]]))</f>
        <v>0</v>
      </c>
      <c r="J307" t="b">
        <f>IF(     ISNUMBER(Table13[[#This Row],[Strike]]),RTD("tos.rtd", , "ASK", "."&amp;Table13[[#This Row],[Ticker]]&amp;Table13[[#This Row],[Expiry]]&amp;""&amp;"C"&amp;Table13[[#This Row],[Strike]]))</f>
        <v>0</v>
      </c>
      <c r="K30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7" s="17" cm="1">
        <f t="array" aca="1" ref="L30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7" s="1">
        <f t="shared" si="30"/>
        <v>0</v>
      </c>
      <c r="N307" t="b">
        <f t="shared" si="31"/>
        <v>0</v>
      </c>
      <c r="P307" s="17" t="b" cm="1">
        <f t="array" ref="P307">IF(
    ISNUMBER(Table13[[#This Row],[Strike]]),IndividualLegIVCore($A$4, Table13[[#This Row],[Strike]], 0.0411, Table13[[#This Row],[T]], ((Table13[[#This Row],[BIDP]]+Table13[[#This Row],[ASKP]])/2), FALSE))</f>
        <v>0</v>
      </c>
      <c r="Q307" t="b">
        <f>IF(     ISNUMBER(Table13[[#This Row],[Strike]]),RTD("tos.rtd", , "BID", "."&amp;Table13[[#This Row],[Ticker]]&amp;Table13[[#This Row],[Expiry]]&amp;""&amp;"P"&amp;Table13[[#This Row],[Strike]]))</f>
        <v>0</v>
      </c>
      <c r="R307" t="b">
        <f>IF(     ISNUMBER(Table13[[#This Row],[Strike]]),RTD("tos.rtd", , "ASK", "."&amp;Table13[[#This Row],[Ticker]]&amp;Table13[[#This Row],[Expiry]]&amp;""&amp;"P"&amp;Table13[[#This Row],[Strike]]))</f>
        <v>0</v>
      </c>
      <c r="S307" s="17"/>
      <c r="T307" t="b">
        <f>IF(     ISNUMBER(Table13[[#This Row],[Strike]]),RTD("tos.rtd", , "OPEN_INT", "."&amp;Table13[[#This Row],[Ticker]]&amp;Table13[[#This Row],[Expiry]]&amp;""&amp;"P"&amp;Table13[[#This Row],[Strike]]))</f>
        <v>0</v>
      </c>
      <c r="U30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7" t="b">
        <f>IF(     ISNUMBER(Table13[[#This Row],[Strike]]),RTD("tos.rtd", , "DELTA", "."&amp;Table13[[#This Row],[Ticker]]&amp;Table13[[#This Row],[Expiry]]&amp;""&amp;"P"&amp;Table13[[#This Row],[Strike]]))</f>
        <v>0</v>
      </c>
      <c r="Y307" s="19">
        <f>-3* IF($M$1="NDX", 10, IF(OR($M$1="SPX", $M$1="RUT"), 2, 1))</f>
        <v>-6</v>
      </c>
      <c r="Z307">
        <f ca="1">IFERROR(Table13[[#This Row],[call gamma]]*(Table13[[#This Row],[Open.Int]])*$A$4^2,0)</f>
        <v>0</v>
      </c>
      <c r="AA307">
        <f ca="1">IFERROR(((Table13[[#This Row],[Open.Int8]])*Table13[[#This Row],[Put gamma]])*-1*$A$4^2,0)</f>
        <v>0</v>
      </c>
      <c r="AB307">
        <f ca="1">(Table13[[#This Row],[Call Gex]]+Table13[[#This Row],[Put Gex]])</f>
        <v>0</v>
      </c>
      <c r="AC307">
        <f ca="1">Table13[[#This Row],[put delta adj]]+Table13[[#This Row],[call delta adj]]</f>
        <v>0</v>
      </c>
      <c r="AD307">
        <f ca="1">Table13[[#This Row],[Put Gex]]*Table13[[#This Row],[DeltaP]]*-1</f>
        <v>0</v>
      </c>
      <c r="AE307">
        <f ca="1">Table13[[#This Row],[Call Gex]]*Table13[[#This Row],[DeltaC]]</f>
        <v>0</v>
      </c>
      <c r="AF307">
        <f>IF(Table13[[#This Row],[DeltaC]]-ABS(Table13[[#This Row],[DeltaP]])="0","0.01",Table13[[#This Row],[DeltaC]]-ABS(Table13[[#This Row],[DeltaP]]))</f>
        <v>0</v>
      </c>
      <c r="AG307" t="e">
        <f ca="1">((LN($A$4/Table13[[#This Row],[Strike]]) + (0.411 + 0.5 * Table13[[#This Row],[IV Calc P]]^2) *Table13[[#This Row],[T]])) / (Table13[[#This Row],[IV Calc P]] * SQRT(Table13[[#This Row],[T]]))</f>
        <v>#DIV/0!</v>
      </c>
      <c r="AH307" t="e">
        <f ca="1">(LN($A$4/Table13[[#This Row],[Strike]]) + (0.411-0 + 0.5 * Table13[[#This Row],[IV Calc C]]^2) *Table13[[#This Row],[T]]) / (Table13[[#This Row],[IV Calc C]] * SQRT(Table13[[#This Row],[T]]))</f>
        <v>#DIV/0!</v>
      </c>
      <c r="AI307" t="e">
        <f ca="1">(EXP(-(AG307^2)/2)/SQRT(2*PI())*EXP(0*SQRT(Table13[[#This Row],[T]]))/$A$4*18%*SQRT(SQRT(Table13[[#This Row],[T]])))</f>
        <v>#DIV/0!</v>
      </c>
      <c r="AJ307" t="e">
        <f ca="1">(EXP(-(AH307^2)/2)/SQRT(2*PI())*EXP(0*SQRT(Table13[[#This Row],[T]]))/$A$4*18%*SQRT(SQRT(Table13[[#This Row],[T]])))</f>
        <v>#DIV/0!</v>
      </c>
      <c r="AK307" t="e">
        <f ca="1">Table13[[#This Row],[Call D1]]-Table13[[#This Row],[IV Calc C]]*SQRT(Table13[[#This Row],[T]])</f>
        <v>#DIV/0!</v>
      </c>
      <c r="AL307" t="e">
        <f ca="1">Table13[[#This Row],[Put D1]]-Table13[[#This Row],[IV Calc P]]*SQRT(Table13[[#This Row],[T]])</f>
        <v>#DIV/0!</v>
      </c>
      <c r="AM307" t="e">
        <f ca="1">EXP(-0.5*Table13[[#This Row],[Call D1]]^2)/SQRT(2*PI())</f>
        <v>#DIV/0!</v>
      </c>
      <c r="AN307" t="e">
        <f ca="1">EXP(-0.5*Table13[[#This Row],[Put D1]]^2)/SQRT(2*PI())</f>
        <v>#DIV/0!</v>
      </c>
      <c r="AO307">
        <f ca="1">IFERROR((EXP(0*Table13[[#This Row],[T]])*Table13[[#This Row],[call N(d1)]]*(Table13[[#This Row],[call d2]]/Table13[[#This Row],[IV Calc C]]))*Table13[[#This Row],[Open.Int]]*Table13[[#This Row],[DeltaC]],0)</f>
        <v>0</v>
      </c>
      <c r="AP307">
        <f ca="1">IFERROR((EXP(0*Table13[[#This Row],[T]])*Table13[[#This Row],[put N(d1)]]*(Table13[[#This Row],[put d2]]/Table13[[#This Row],[IV Calc P]]))*Table13[[#This Row],[Open.Int8]]*Table13[[#This Row],[DeltaP]]*-1,0)</f>
        <v>0</v>
      </c>
      <c r="AQ307">
        <f ca="1">((Table13[[#This Row],[call vanna]]+Table13[[#This Row],[put vanna]])*$A$4)</f>
        <v>0</v>
      </c>
      <c r="AR30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7" s="9" t="str" cm="1">
        <f t="array" ref="AT307">_xlfn.IFS(     $M$1="SPX","SPXW",     $M$1="RUT","RUTW",  $M$1="NDX","NDXP",   TRUE,$M$1 )</f>
        <v>SPXW</v>
      </c>
      <c r="AU307" s="2">
        <f t="shared" si="32"/>
        <v>6915</v>
      </c>
      <c r="AV307" t="str">
        <f t="shared" si="33"/>
        <v>000100</v>
      </c>
      <c r="AY30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7">
        <f>((Table13[[#This Row],[High C]]+Table13[[#This Row],[Low C]])/2)*Table13[[#This Row],[gammac]]*Table13[[#This Row],[Volume]]</f>
        <v>0</v>
      </c>
      <c r="BD307">
        <f>((Table13[[#This Row],[High P]]+Table13[[#This Row],[Low P]])/2)*Table13[[#This Row],[gammap]]*Table13[[#This Row],[Volume9]]*-1</f>
        <v>0</v>
      </c>
      <c r="BE307">
        <f>(Table13[[#This Row],[SgammaC]]+Table13[[#This Row],[SgammaP]])*$A$4*-100</f>
        <v>0</v>
      </c>
      <c r="BF307">
        <f>Table13[[#This Row],[DEXc]]+Table13[[#This Row],[DEXp]]</f>
        <v>0</v>
      </c>
      <c r="BG307">
        <f>IFERROR(Table13[[#This Row],[DeltaC]]*Table13[[#This Row],[Open.Int]]*$A$4,0)</f>
        <v>0</v>
      </c>
      <c r="BH307">
        <f>IFERROR(Table13[[#This Row],[DeltaP]]*Table13[[#This Row],[Open.Int8]]*$A$4,0)</f>
        <v>0</v>
      </c>
      <c r="BI30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7">
        <f ca="1">Table13[[#This Row],[charmc]]+Table13[[#This Row],[charmp]]</f>
        <v>0</v>
      </c>
      <c r="BL30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7" s="78">
        <f ca="1">Table13[[#This Row],[call helper]]+Table13[[#This Row],[put helper]]</f>
        <v>0</v>
      </c>
      <c r="BP307" t="str">
        <f>RTD("tos.rtd", , "STRIKE", "."&amp;Table13[[#This Row],[Ticker]]&amp;Table13[[#This Row],[Expiry]]&amp;""&amp;"C"&amp;Table13[[#This Row],[Spot]]+Table13[[#This Row],[step]])</f>
        <v>N/A</v>
      </c>
    </row>
    <row r="308" spans="1:77" x14ac:dyDescent="0.25">
      <c r="A308" s="14">
        <f t="shared" ca="1" si="29"/>
        <v>-126.14810350076104</v>
      </c>
      <c r="C308" s="17"/>
      <c r="D308" t="b">
        <f>IF(
    ISNUMBER(Table13[[#This Row],[Strike]]),RTD("tos.rtd", , "OPEN_INT", "."&amp;Table13[[#This Row],[Ticker]]&amp;Table13[[#This Row],[Expiry]]&amp;""&amp;"C"&amp;Table13[[#This Row],[Strike]]))</f>
        <v>0</v>
      </c>
      <c r="E30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8" t="b">
        <f>IF(     ISNUMBER(Table13[[#This Row],[Strike]]),RTD("tos.rtd", , "DELTA", "."&amp;Table13[[#This Row],[Ticker]]&amp;Table13[[#This Row],[Expiry]]&amp;""&amp;"C"&amp;Table13[[#This Row],[Strike]]))</f>
        <v>0</v>
      </c>
      <c r="H308" s="17" t="b" cm="1">
        <f t="array" ref="H308">IF(
    ISNUMBER(Table13[[#This Row],[Strike]]),IndividualLegIVCore($A$4, Table13[[#This Row],[Strike]], 0.0411, Table13[[#This Row],[T]], ((Table13[[#This Row],[BIDC]]+Table13[[#This Row],[ASKC]])/2), TRUE))</f>
        <v>0</v>
      </c>
      <c r="I308" t="b">
        <f>IF(     ISNUMBER(Table13[[#This Row],[Strike]]),RTD("tos.rtd", , "BID", "."&amp;Table13[[#This Row],[Ticker]]&amp;Table13[[#This Row],[Expiry]]&amp;""&amp;"C"&amp;Table13[[#This Row],[Strike]]))</f>
        <v>0</v>
      </c>
      <c r="J308" t="b">
        <f>IF(     ISNUMBER(Table13[[#This Row],[Strike]]),RTD("tos.rtd", , "ASK", "."&amp;Table13[[#This Row],[Ticker]]&amp;Table13[[#This Row],[Expiry]]&amp;""&amp;"C"&amp;Table13[[#This Row],[Strike]]))</f>
        <v>0</v>
      </c>
      <c r="K30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8" s="17" cm="1">
        <f t="array" aca="1" ref="L30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8" s="1">
        <f t="shared" si="30"/>
        <v>0</v>
      </c>
      <c r="N308" t="b">
        <f t="shared" si="31"/>
        <v>0</v>
      </c>
      <c r="P308" s="17" t="b" cm="1">
        <f t="array" ref="P308">IF(
    ISNUMBER(Table13[[#This Row],[Strike]]),IndividualLegIVCore($A$4, Table13[[#This Row],[Strike]], 0.0411, Table13[[#This Row],[T]], ((Table13[[#This Row],[BIDP]]+Table13[[#This Row],[ASKP]])/2), FALSE))</f>
        <v>0</v>
      </c>
      <c r="Q308" t="b">
        <f>IF(     ISNUMBER(Table13[[#This Row],[Strike]]),RTD("tos.rtd", , "BID", "."&amp;Table13[[#This Row],[Ticker]]&amp;Table13[[#This Row],[Expiry]]&amp;""&amp;"P"&amp;Table13[[#This Row],[Strike]]))</f>
        <v>0</v>
      </c>
      <c r="R308" t="b">
        <f>IF(     ISNUMBER(Table13[[#This Row],[Strike]]),RTD("tos.rtd", , "ASK", "."&amp;Table13[[#This Row],[Ticker]]&amp;Table13[[#This Row],[Expiry]]&amp;""&amp;"P"&amp;Table13[[#This Row],[Strike]]))</f>
        <v>0</v>
      </c>
      <c r="S308" s="17"/>
      <c r="T308" t="b">
        <f>IF(     ISNUMBER(Table13[[#This Row],[Strike]]),RTD("tos.rtd", , "OPEN_INT", "."&amp;Table13[[#This Row],[Ticker]]&amp;Table13[[#This Row],[Expiry]]&amp;""&amp;"P"&amp;Table13[[#This Row],[Strike]]))</f>
        <v>0</v>
      </c>
      <c r="U30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8" t="b">
        <f>IF(     ISNUMBER(Table13[[#This Row],[Strike]]),RTD("tos.rtd", , "DELTA", "."&amp;Table13[[#This Row],[Ticker]]&amp;Table13[[#This Row],[Expiry]]&amp;""&amp;"P"&amp;Table13[[#This Row],[Strike]]))</f>
        <v>0</v>
      </c>
      <c r="Y308" s="19">
        <f>-2.5* IF($M$1="NDX", 10, IF(OR($M$1="SPX", $M$1="RUT"), 2, 1))</f>
        <v>-5</v>
      </c>
      <c r="Z308">
        <f ca="1">IFERROR(Table13[[#This Row],[call gamma]]*(Table13[[#This Row],[Open.Int]])*$A$4^2,0)</f>
        <v>0</v>
      </c>
      <c r="AA308">
        <f ca="1">IFERROR(((Table13[[#This Row],[Open.Int8]])*Table13[[#This Row],[Put gamma]])*-1*$A$4^2,0)</f>
        <v>0</v>
      </c>
      <c r="AB308">
        <f ca="1">(Table13[[#This Row],[Call Gex]]+Table13[[#This Row],[Put Gex]])</f>
        <v>0</v>
      </c>
      <c r="AC308">
        <f ca="1">Table13[[#This Row],[put delta adj]]+Table13[[#This Row],[call delta adj]]</f>
        <v>0</v>
      </c>
      <c r="AD308">
        <f ca="1">Table13[[#This Row],[Put Gex]]*Table13[[#This Row],[DeltaP]]*-1</f>
        <v>0</v>
      </c>
      <c r="AE308">
        <f ca="1">Table13[[#This Row],[Call Gex]]*Table13[[#This Row],[DeltaC]]</f>
        <v>0</v>
      </c>
      <c r="AF308">
        <f>IF(Table13[[#This Row],[DeltaC]]-ABS(Table13[[#This Row],[DeltaP]])="0","0.01",Table13[[#This Row],[DeltaC]]-ABS(Table13[[#This Row],[DeltaP]]))</f>
        <v>0</v>
      </c>
      <c r="AG308" t="e">
        <f ca="1">((LN($A$4/Table13[[#This Row],[Strike]]) + (0.411 + 0.5 * Table13[[#This Row],[IV Calc P]]^2) *Table13[[#This Row],[T]])) / (Table13[[#This Row],[IV Calc P]] * SQRT(Table13[[#This Row],[T]]))</f>
        <v>#DIV/0!</v>
      </c>
      <c r="AH308" t="e">
        <f ca="1">(LN($A$4/Table13[[#This Row],[Strike]]) + (0.411-0 + 0.5 * Table13[[#This Row],[IV Calc C]]^2) *Table13[[#This Row],[T]]) / (Table13[[#This Row],[IV Calc C]] * SQRT(Table13[[#This Row],[T]]))</f>
        <v>#DIV/0!</v>
      </c>
      <c r="AI308" t="e">
        <f ca="1">(EXP(-(AG308^2)/2)/SQRT(2*PI())*EXP(0*SQRT(Table13[[#This Row],[T]]))/$A$4*18%*SQRT(SQRT(Table13[[#This Row],[T]])))</f>
        <v>#DIV/0!</v>
      </c>
      <c r="AJ308" t="e">
        <f ca="1">(EXP(-(AH308^2)/2)/SQRT(2*PI())*EXP(0*SQRT(Table13[[#This Row],[T]]))/$A$4*18%*SQRT(SQRT(Table13[[#This Row],[T]])))</f>
        <v>#DIV/0!</v>
      </c>
      <c r="AK308" t="e">
        <f ca="1">Table13[[#This Row],[Call D1]]-Table13[[#This Row],[IV Calc C]]*SQRT(Table13[[#This Row],[T]])</f>
        <v>#DIV/0!</v>
      </c>
      <c r="AL308" t="e">
        <f ca="1">Table13[[#This Row],[Put D1]]-Table13[[#This Row],[IV Calc P]]*SQRT(Table13[[#This Row],[T]])</f>
        <v>#DIV/0!</v>
      </c>
      <c r="AM308" t="e">
        <f ca="1">EXP(-0.5*Table13[[#This Row],[Call D1]]^2)/SQRT(2*PI())</f>
        <v>#DIV/0!</v>
      </c>
      <c r="AN308" t="e">
        <f ca="1">EXP(-0.5*Table13[[#This Row],[Put D1]]^2)/SQRT(2*PI())</f>
        <v>#DIV/0!</v>
      </c>
      <c r="AO308">
        <f ca="1">IFERROR((EXP(0*Table13[[#This Row],[T]])*Table13[[#This Row],[call N(d1)]]*(Table13[[#This Row],[call d2]]/Table13[[#This Row],[IV Calc C]]))*Table13[[#This Row],[Open.Int]]*Table13[[#This Row],[DeltaC]],0)</f>
        <v>0</v>
      </c>
      <c r="AP308">
        <f ca="1">IFERROR((EXP(0*Table13[[#This Row],[T]])*Table13[[#This Row],[put N(d1)]]*(Table13[[#This Row],[put d2]]/Table13[[#This Row],[IV Calc P]]))*Table13[[#This Row],[Open.Int8]]*Table13[[#This Row],[DeltaP]]*-1,0)</f>
        <v>0</v>
      </c>
      <c r="AQ308">
        <f ca="1">((Table13[[#This Row],[call vanna]]+Table13[[#This Row],[put vanna]])*$A$4)</f>
        <v>0</v>
      </c>
      <c r="AR30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8" s="9" t="str" cm="1">
        <f t="array" ref="AT308">_xlfn.IFS(     $M$1="SPX","SPXW",     $M$1="RUT","RUTW",  $M$1="NDX","NDXP",   TRUE,$M$1 )</f>
        <v>SPXW</v>
      </c>
      <c r="AU308" s="2">
        <f t="shared" si="32"/>
        <v>6915</v>
      </c>
      <c r="AV308" t="str">
        <f t="shared" si="33"/>
        <v>000100</v>
      </c>
      <c r="AY30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8">
        <f>((Table13[[#This Row],[High C]]+Table13[[#This Row],[Low C]])/2)*Table13[[#This Row],[gammac]]*Table13[[#This Row],[Volume]]</f>
        <v>0</v>
      </c>
      <c r="BD308">
        <f>((Table13[[#This Row],[High P]]+Table13[[#This Row],[Low P]])/2)*Table13[[#This Row],[gammap]]*Table13[[#This Row],[Volume9]]*-1</f>
        <v>0</v>
      </c>
      <c r="BE308">
        <f>(Table13[[#This Row],[SgammaC]]+Table13[[#This Row],[SgammaP]])*$A$4*-100</f>
        <v>0</v>
      </c>
      <c r="BF308">
        <f>Table13[[#This Row],[DEXc]]+Table13[[#This Row],[DEXp]]</f>
        <v>0</v>
      </c>
      <c r="BG308">
        <f>IFERROR(Table13[[#This Row],[DeltaC]]*Table13[[#This Row],[Open.Int]]*$A$4,0)</f>
        <v>0</v>
      </c>
      <c r="BH308">
        <f>IFERROR(Table13[[#This Row],[DeltaP]]*Table13[[#This Row],[Open.Int8]]*$A$4,0)</f>
        <v>0</v>
      </c>
      <c r="BI30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8">
        <f ca="1">Table13[[#This Row],[charmc]]+Table13[[#This Row],[charmp]]</f>
        <v>0</v>
      </c>
      <c r="BL30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8" s="78">
        <f ca="1">Table13[[#This Row],[call helper]]+Table13[[#This Row],[put helper]]</f>
        <v>0</v>
      </c>
      <c r="BP308" t="str">
        <f>RTD("tos.rtd", , "STRIKE", "."&amp;Table13[[#This Row],[Ticker]]&amp;Table13[[#This Row],[Expiry]]&amp;""&amp;"C"&amp;Table13[[#This Row],[Spot]]+Table13[[#This Row],[step]])</f>
        <v>N/A</v>
      </c>
    </row>
    <row r="309" spans="1:77" x14ac:dyDescent="0.25">
      <c r="A309" s="14">
        <f t="shared" ca="1" si="29"/>
        <v>-126.14810350076104</v>
      </c>
      <c r="C309" s="17"/>
      <c r="D309" t="b">
        <f>IF(
    ISNUMBER(Table13[[#This Row],[Strike]]),RTD("tos.rtd", , "OPEN_INT", "."&amp;Table13[[#This Row],[Ticker]]&amp;Table13[[#This Row],[Expiry]]&amp;""&amp;"C"&amp;Table13[[#This Row],[Strike]]))</f>
        <v>0</v>
      </c>
      <c r="E30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9" t="b">
        <f>IF(     ISNUMBER(Table13[[#This Row],[Strike]]),RTD("tos.rtd", , "DELTA", "."&amp;Table13[[#This Row],[Ticker]]&amp;Table13[[#This Row],[Expiry]]&amp;""&amp;"C"&amp;Table13[[#This Row],[Strike]]))</f>
        <v>0</v>
      </c>
      <c r="H309" s="17" t="b" cm="1">
        <f t="array" ref="H309">IF(
    ISNUMBER(Table13[[#This Row],[Strike]]),IndividualLegIVCore($A$4, Table13[[#This Row],[Strike]], 0.0411, Table13[[#This Row],[T]], ((Table13[[#This Row],[BIDC]]+Table13[[#This Row],[ASKC]])/2), TRUE))</f>
        <v>0</v>
      </c>
      <c r="I309" t="b">
        <f>IF(     ISNUMBER(Table13[[#This Row],[Strike]]),RTD("tos.rtd", , "BID", "."&amp;Table13[[#This Row],[Ticker]]&amp;Table13[[#This Row],[Expiry]]&amp;""&amp;"C"&amp;Table13[[#This Row],[Strike]]))</f>
        <v>0</v>
      </c>
      <c r="J309" t="b">
        <f>IF(     ISNUMBER(Table13[[#This Row],[Strike]]),RTD("tos.rtd", , "ASK", "."&amp;Table13[[#This Row],[Ticker]]&amp;Table13[[#This Row],[Expiry]]&amp;""&amp;"C"&amp;Table13[[#This Row],[Strike]]))</f>
        <v>0</v>
      </c>
      <c r="K30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9" s="17" cm="1">
        <f t="array" aca="1" ref="L30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09" s="1">
        <f t="shared" si="30"/>
        <v>0</v>
      </c>
      <c r="N309" t="b">
        <f t="shared" si="31"/>
        <v>0</v>
      </c>
      <c r="P309" s="17" t="b" cm="1">
        <f t="array" ref="P309">IF(
    ISNUMBER(Table13[[#This Row],[Strike]]),IndividualLegIVCore($A$4, Table13[[#This Row],[Strike]], 0.0411, Table13[[#This Row],[T]], ((Table13[[#This Row],[BIDP]]+Table13[[#This Row],[ASKP]])/2), FALSE))</f>
        <v>0</v>
      </c>
      <c r="Q309" t="b">
        <f>IF(     ISNUMBER(Table13[[#This Row],[Strike]]),RTD("tos.rtd", , "BID", "."&amp;Table13[[#This Row],[Ticker]]&amp;Table13[[#This Row],[Expiry]]&amp;""&amp;"P"&amp;Table13[[#This Row],[Strike]]))</f>
        <v>0</v>
      </c>
      <c r="R309" t="b">
        <f>IF(     ISNUMBER(Table13[[#This Row],[Strike]]),RTD("tos.rtd", , "ASK", "."&amp;Table13[[#This Row],[Ticker]]&amp;Table13[[#This Row],[Expiry]]&amp;""&amp;"P"&amp;Table13[[#This Row],[Strike]]))</f>
        <v>0</v>
      </c>
      <c r="S309" s="17"/>
      <c r="T309" t="b">
        <f>IF(     ISNUMBER(Table13[[#This Row],[Strike]]),RTD("tos.rtd", , "OPEN_INT", "."&amp;Table13[[#This Row],[Ticker]]&amp;Table13[[#This Row],[Expiry]]&amp;""&amp;"P"&amp;Table13[[#This Row],[Strike]]))</f>
        <v>0</v>
      </c>
      <c r="U30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9" t="b">
        <f>IF(     ISNUMBER(Table13[[#This Row],[Strike]]),RTD("tos.rtd", , "DELTA", "."&amp;Table13[[#This Row],[Ticker]]&amp;Table13[[#This Row],[Expiry]]&amp;""&amp;"P"&amp;Table13[[#This Row],[Strike]]))</f>
        <v>0</v>
      </c>
      <c r="Y309" s="19">
        <f>-2* IF($M$1="NDX", 10, IF(OR($M$1="SPX", $M$1="RUT"), 2, 1))</f>
        <v>-4</v>
      </c>
      <c r="Z309">
        <f ca="1">IFERROR(Table13[[#This Row],[call gamma]]*(Table13[[#This Row],[Open.Int]])*$A$4^2,0)</f>
        <v>0</v>
      </c>
      <c r="AA309">
        <f ca="1">IFERROR(((Table13[[#This Row],[Open.Int8]])*Table13[[#This Row],[Put gamma]])*-1*$A$4^2,0)</f>
        <v>0</v>
      </c>
      <c r="AB309">
        <f ca="1">(Table13[[#This Row],[Call Gex]]+Table13[[#This Row],[Put Gex]])</f>
        <v>0</v>
      </c>
      <c r="AC309">
        <f ca="1">Table13[[#This Row],[put delta adj]]+Table13[[#This Row],[call delta adj]]</f>
        <v>0</v>
      </c>
      <c r="AD309">
        <f ca="1">Table13[[#This Row],[Put Gex]]*Table13[[#This Row],[DeltaP]]*-1</f>
        <v>0</v>
      </c>
      <c r="AE309">
        <f ca="1">Table13[[#This Row],[Call Gex]]*Table13[[#This Row],[DeltaC]]</f>
        <v>0</v>
      </c>
      <c r="AF309">
        <f>IF(Table13[[#This Row],[DeltaC]]-ABS(Table13[[#This Row],[DeltaP]])="0","0.01",Table13[[#This Row],[DeltaC]]-ABS(Table13[[#This Row],[DeltaP]]))</f>
        <v>0</v>
      </c>
      <c r="AG309" t="e">
        <f ca="1">((LN($A$4/Table13[[#This Row],[Strike]]) + (0.411 + 0.5 * Table13[[#This Row],[IV Calc P]]^2) *Table13[[#This Row],[T]])) / (Table13[[#This Row],[IV Calc P]] * SQRT(Table13[[#This Row],[T]]))</f>
        <v>#DIV/0!</v>
      </c>
      <c r="AH309" t="e">
        <f ca="1">(LN($A$4/Table13[[#This Row],[Strike]]) + (0.411-0 + 0.5 * Table13[[#This Row],[IV Calc C]]^2) *Table13[[#This Row],[T]]) / (Table13[[#This Row],[IV Calc C]] * SQRT(Table13[[#This Row],[T]]))</f>
        <v>#DIV/0!</v>
      </c>
      <c r="AI309" t="e">
        <f ca="1">(EXP(-(AG309^2)/2)/SQRT(2*PI())*EXP(0*SQRT(Table13[[#This Row],[T]]))/$A$4*18%*SQRT(SQRT(Table13[[#This Row],[T]])))</f>
        <v>#DIV/0!</v>
      </c>
      <c r="AJ309" t="e">
        <f ca="1">(EXP(-(AH309^2)/2)/SQRT(2*PI())*EXP(0*SQRT(Table13[[#This Row],[T]]))/$A$4*18%*SQRT(SQRT(Table13[[#This Row],[T]])))</f>
        <v>#DIV/0!</v>
      </c>
      <c r="AK309" t="e">
        <f ca="1">Table13[[#This Row],[Call D1]]-Table13[[#This Row],[IV Calc C]]*SQRT(Table13[[#This Row],[T]])</f>
        <v>#DIV/0!</v>
      </c>
      <c r="AL309" t="e">
        <f ca="1">Table13[[#This Row],[Put D1]]-Table13[[#This Row],[IV Calc P]]*SQRT(Table13[[#This Row],[T]])</f>
        <v>#DIV/0!</v>
      </c>
      <c r="AM309" t="e">
        <f ca="1">EXP(-0.5*Table13[[#This Row],[Call D1]]^2)/SQRT(2*PI())</f>
        <v>#DIV/0!</v>
      </c>
      <c r="AN309" t="e">
        <f ca="1">EXP(-0.5*Table13[[#This Row],[Put D1]]^2)/SQRT(2*PI())</f>
        <v>#DIV/0!</v>
      </c>
      <c r="AO309">
        <f ca="1">IFERROR((EXP(0*Table13[[#This Row],[T]])*Table13[[#This Row],[call N(d1)]]*(Table13[[#This Row],[call d2]]/Table13[[#This Row],[IV Calc C]]))*Table13[[#This Row],[Open.Int]]*Table13[[#This Row],[DeltaC]],0)</f>
        <v>0</v>
      </c>
      <c r="AP309">
        <f ca="1">IFERROR((EXP(0*Table13[[#This Row],[T]])*Table13[[#This Row],[put N(d1)]]*(Table13[[#This Row],[put d2]]/Table13[[#This Row],[IV Calc P]]))*Table13[[#This Row],[Open.Int8]]*Table13[[#This Row],[DeltaP]]*-1,0)</f>
        <v>0</v>
      </c>
      <c r="AQ309">
        <f ca="1">((Table13[[#This Row],[call vanna]]+Table13[[#This Row],[put vanna]])*$A$4)</f>
        <v>0</v>
      </c>
      <c r="AR30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9" s="9" t="str" cm="1">
        <f t="array" ref="AT309">_xlfn.IFS(     $M$1="SPX","SPXW",     $M$1="RUT","RUTW",  $M$1="NDX","NDXP",   TRUE,$M$1 )</f>
        <v>SPXW</v>
      </c>
      <c r="AU309" s="2">
        <f t="shared" si="32"/>
        <v>6915</v>
      </c>
      <c r="AV309" t="str">
        <f t="shared" si="33"/>
        <v>000100</v>
      </c>
      <c r="AY30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9">
        <f>((Table13[[#This Row],[High C]]+Table13[[#This Row],[Low C]])/2)*Table13[[#This Row],[gammac]]*Table13[[#This Row],[Volume]]</f>
        <v>0</v>
      </c>
      <c r="BD309">
        <f>((Table13[[#This Row],[High P]]+Table13[[#This Row],[Low P]])/2)*Table13[[#This Row],[gammap]]*Table13[[#This Row],[Volume9]]*-1</f>
        <v>0</v>
      </c>
      <c r="BE309">
        <f>(Table13[[#This Row],[SgammaC]]+Table13[[#This Row],[SgammaP]])*$A$4*-100</f>
        <v>0</v>
      </c>
      <c r="BF309">
        <f>Table13[[#This Row],[DEXc]]+Table13[[#This Row],[DEXp]]</f>
        <v>0</v>
      </c>
      <c r="BG309">
        <f>IFERROR(Table13[[#This Row],[DeltaC]]*Table13[[#This Row],[Open.Int]]*$A$4,0)</f>
        <v>0</v>
      </c>
      <c r="BH309">
        <f>IFERROR(Table13[[#This Row],[DeltaP]]*Table13[[#This Row],[Open.Int8]]*$A$4,0)</f>
        <v>0</v>
      </c>
      <c r="BI30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9">
        <f ca="1">Table13[[#This Row],[charmc]]+Table13[[#This Row],[charmp]]</f>
        <v>0</v>
      </c>
      <c r="BL30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9" s="78">
        <f ca="1">Table13[[#This Row],[call helper]]+Table13[[#This Row],[put helper]]</f>
        <v>0</v>
      </c>
      <c r="BP309" t="str">
        <f>RTD("tos.rtd", , "STRIKE", "."&amp;Table13[[#This Row],[Ticker]]&amp;Table13[[#This Row],[Expiry]]&amp;""&amp;"C"&amp;Table13[[#This Row],[Spot]]+Table13[[#This Row],[step]])</f>
        <v>N/A</v>
      </c>
    </row>
    <row r="310" spans="1:77" x14ac:dyDescent="0.25">
      <c r="A310" s="14">
        <f t="shared" ca="1" si="29"/>
        <v>-126.14810350076104</v>
      </c>
      <c r="C310" s="17"/>
      <c r="D310" t="b">
        <f>IF(
    ISNUMBER(Table13[[#This Row],[Strike]]),RTD("tos.rtd", , "OPEN_INT", "."&amp;Table13[[#This Row],[Ticker]]&amp;Table13[[#This Row],[Expiry]]&amp;""&amp;"C"&amp;Table13[[#This Row],[Strike]]))</f>
        <v>0</v>
      </c>
      <c r="E31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0" t="b">
        <f>IF(     ISNUMBER(Table13[[#This Row],[Strike]]),RTD("tos.rtd", , "DELTA", "."&amp;Table13[[#This Row],[Ticker]]&amp;Table13[[#This Row],[Expiry]]&amp;""&amp;"C"&amp;Table13[[#This Row],[Strike]]))</f>
        <v>0</v>
      </c>
      <c r="H310" s="17" t="b" cm="1">
        <f t="array" ref="H310">IF(
    ISNUMBER(Table13[[#This Row],[Strike]]),IndividualLegIVCore($A$4, Table13[[#This Row],[Strike]], 0.0411, Table13[[#This Row],[T]], ((Table13[[#This Row],[BIDC]]+Table13[[#This Row],[ASKC]])/2), TRUE))</f>
        <v>0</v>
      </c>
      <c r="I310" t="b">
        <f>IF(     ISNUMBER(Table13[[#This Row],[Strike]]),RTD("tos.rtd", , "BID", "."&amp;Table13[[#This Row],[Ticker]]&amp;Table13[[#This Row],[Expiry]]&amp;""&amp;"C"&amp;Table13[[#This Row],[Strike]]))</f>
        <v>0</v>
      </c>
      <c r="J310" t="b">
        <f>IF(     ISNUMBER(Table13[[#This Row],[Strike]]),RTD("tos.rtd", , "ASK", "."&amp;Table13[[#This Row],[Ticker]]&amp;Table13[[#This Row],[Expiry]]&amp;""&amp;"C"&amp;Table13[[#This Row],[Strike]]))</f>
        <v>0</v>
      </c>
      <c r="K31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0" s="17" cm="1">
        <f t="array" aca="1" ref="L31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0" s="1">
        <f t="shared" si="30"/>
        <v>0</v>
      </c>
      <c r="N310" t="b">
        <f t="shared" si="31"/>
        <v>0</v>
      </c>
      <c r="P310" s="17" t="b" cm="1">
        <f t="array" ref="P310">IF(
    ISNUMBER(Table13[[#This Row],[Strike]]),IndividualLegIVCore($A$4, Table13[[#This Row],[Strike]], 0.0411, Table13[[#This Row],[T]], ((Table13[[#This Row],[BIDP]]+Table13[[#This Row],[ASKP]])/2), FALSE))</f>
        <v>0</v>
      </c>
      <c r="Q310" t="b">
        <f>IF(     ISNUMBER(Table13[[#This Row],[Strike]]),RTD("tos.rtd", , "BID", "."&amp;Table13[[#This Row],[Ticker]]&amp;Table13[[#This Row],[Expiry]]&amp;""&amp;"P"&amp;Table13[[#This Row],[Strike]]))</f>
        <v>0</v>
      </c>
      <c r="R310" t="b">
        <f>IF(     ISNUMBER(Table13[[#This Row],[Strike]]),RTD("tos.rtd", , "ASK", "."&amp;Table13[[#This Row],[Ticker]]&amp;Table13[[#This Row],[Expiry]]&amp;""&amp;"P"&amp;Table13[[#This Row],[Strike]]))</f>
        <v>0</v>
      </c>
      <c r="S310" s="17"/>
      <c r="T310" t="b">
        <f>IF(     ISNUMBER(Table13[[#This Row],[Strike]]),RTD("tos.rtd", , "OPEN_INT", "."&amp;Table13[[#This Row],[Ticker]]&amp;Table13[[#This Row],[Expiry]]&amp;""&amp;"P"&amp;Table13[[#This Row],[Strike]]))</f>
        <v>0</v>
      </c>
      <c r="U31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0" t="b">
        <f>IF(     ISNUMBER(Table13[[#This Row],[Strike]]),RTD("tos.rtd", , "DELTA", "."&amp;Table13[[#This Row],[Ticker]]&amp;Table13[[#This Row],[Expiry]]&amp;""&amp;"P"&amp;Table13[[#This Row],[Strike]]))</f>
        <v>0</v>
      </c>
      <c r="Y310" s="19">
        <f>-1.5* IF($M$1="NDX", 10, IF(OR($M$1="SPX", $M$1="RUT"), 2, 1))</f>
        <v>-3</v>
      </c>
      <c r="Z310">
        <f ca="1">IFERROR(Table13[[#This Row],[call gamma]]*(Table13[[#This Row],[Open.Int]])*$A$4^2,0)</f>
        <v>0</v>
      </c>
      <c r="AA310">
        <f ca="1">IFERROR(((Table13[[#This Row],[Open.Int8]])*Table13[[#This Row],[Put gamma]])*-1*$A$4^2,0)</f>
        <v>0</v>
      </c>
      <c r="AB310">
        <f ca="1">(Table13[[#This Row],[Call Gex]]+Table13[[#This Row],[Put Gex]])</f>
        <v>0</v>
      </c>
      <c r="AC310">
        <f ca="1">Table13[[#This Row],[put delta adj]]+Table13[[#This Row],[call delta adj]]</f>
        <v>0</v>
      </c>
      <c r="AD310">
        <f ca="1">Table13[[#This Row],[Put Gex]]*Table13[[#This Row],[DeltaP]]*-1</f>
        <v>0</v>
      </c>
      <c r="AE310">
        <f ca="1">Table13[[#This Row],[Call Gex]]*Table13[[#This Row],[DeltaC]]</f>
        <v>0</v>
      </c>
      <c r="AF310">
        <f>IF(Table13[[#This Row],[DeltaC]]-ABS(Table13[[#This Row],[DeltaP]])="0","0.01",Table13[[#This Row],[DeltaC]]-ABS(Table13[[#This Row],[DeltaP]]))</f>
        <v>0</v>
      </c>
      <c r="AG310" t="e">
        <f ca="1">((LN($A$4/Table13[[#This Row],[Strike]]) + (0.411 + 0.5 * Table13[[#This Row],[IV Calc P]]^2) *Table13[[#This Row],[T]])) / (Table13[[#This Row],[IV Calc P]] * SQRT(Table13[[#This Row],[T]]))</f>
        <v>#DIV/0!</v>
      </c>
      <c r="AH310" t="e">
        <f ca="1">(LN($A$4/Table13[[#This Row],[Strike]]) + (0.411-0 + 0.5 * Table13[[#This Row],[IV Calc C]]^2) *Table13[[#This Row],[T]]) / (Table13[[#This Row],[IV Calc C]] * SQRT(Table13[[#This Row],[T]]))</f>
        <v>#DIV/0!</v>
      </c>
      <c r="AI310" t="e">
        <f ca="1">(EXP(-(AG310^2)/2)/SQRT(2*PI())*EXP(0*SQRT(Table13[[#This Row],[T]]))/$A$4*18%*SQRT(SQRT(Table13[[#This Row],[T]])))</f>
        <v>#DIV/0!</v>
      </c>
      <c r="AJ310" t="e">
        <f ca="1">(EXP(-(AH310^2)/2)/SQRT(2*PI())*EXP(0*SQRT(Table13[[#This Row],[T]]))/$A$4*18%*SQRT(SQRT(Table13[[#This Row],[T]])))</f>
        <v>#DIV/0!</v>
      </c>
      <c r="AK310" t="e">
        <f ca="1">Table13[[#This Row],[Call D1]]-Table13[[#This Row],[IV Calc C]]*SQRT(Table13[[#This Row],[T]])</f>
        <v>#DIV/0!</v>
      </c>
      <c r="AL310" t="e">
        <f ca="1">Table13[[#This Row],[Put D1]]-Table13[[#This Row],[IV Calc P]]*SQRT(Table13[[#This Row],[T]])</f>
        <v>#DIV/0!</v>
      </c>
      <c r="AM310" t="e">
        <f ca="1">EXP(-0.5*Table13[[#This Row],[Call D1]]^2)/SQRT(2*PI())</f>
        <v>#DIV/0!</v>
      </c>
      <c r="AN310" t="e">
        <f ca="1">EXP(-0.5*Table13[[#This Row],[Put D1]]^2)/SQRT(2*PI())</f>
        <v>#DIV/0!</v>
      </c>
      <c r="AO310">
        <f ca="1">IFERROR((EXP(0*Table13[[#This Row],[T]])*Table13[[#This Row],[call N(d1)]]*(Table13[[#This Row],[call d2]]/Table13[[#This Row],[IV Calc C]]))*Table13[[#This Row],[Open.Int]]*Table13[[#This Row],[DeltaC]],0)</f>
        <v>0</v>
      </c>
      <c r="AP310">
        <f ca="1">IFERROR((EXP(0*Table13[[#This Row],[T]])*Table13[[#This Row],[put N(d1)]]*(Table13[[#This Row],[put d2]]/Table13[[#This Row],[IV Calc P]]))*Table13[[#This Row],[Open.Int8]]*Table13[[#This Row],[DeltaP]]*-1,0)</f>
        <v>0</v>
      </c>
      <c r="AQ310">
        <f ca="1">((Table13[[#This Row],[call vanna]]+Table13[[#This Row],[put vanna]])*$A$4)</f>
        <v>0</v>
      </c>
      <c r="AR31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0" s="9" t="str" cm="1">
        <f t="array" ref="AT310">_xlfn.IFS(     $M$1="SPX","SPXW",     $M$1="RUT","RUTW",  $M$1="NDX","NDXP",   TRUE,$M$1 )</f>
        <v>SPXW</v>
      </c>
      <c r="AU310" s="2">
        <f t="shared" si="32"/>
        <v>6915</v>
      </c>
      <c r="AV310" t="str">
        <f t="shared" si="33"/>
        <v>000100</v>
      </c>
      <c r="AY31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0">
        <f>((Table13[[#This Row],[High C]]+Table13[[#This Row],[Low C]])/2)*Table13[[#This Row],[gammac]]*Table13[[#This Row],[Volume]]</f>
        <v>0</v>
      </c>
      <c r="BD310">
        <f>((Table13[[#This Row],[High P]]+Table13[[#This Row],[Low P]])/2)*Table13[[#This Row],[gammap]]*Table13[[#This Row],[Volume9]]*-1</f>
        <v>0</v>
      </c>
      <c r="BE310">
        <f>(Table13[[#This Row],[SgammaC]]+Table13[[#This Row],[SgammaP]])*$A$4*-100</f>
        <v>0</v>
      </c>
      <c r="BF310">
        <f>Table13[[#This Row],[DEXc]]+Table13[[#This Row],[DEXp]]</f>
        <v>0</v>
      </c>
      <c r="BG310">
        <f>IFERROR(Table13[[#This Row],[DeltaC]]*Table13[[#This Row],[Open.Int]]*$A$4,0)</f>
        <v>0</v>
      </c>
      <c r="BH310">
        <f>IFERROR(Table13[[#This Row],[DeltaP]]*Table13[[#This Row],[Open.Int8]]*$A$4,0)</f>
        <v>0</v>
      </c>
      <c r="BI31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0">
        <f ca="1">Table13[[#This Row],[charmc]]+Table13[[#This Row],[charmp]]</f>
        <v>0</v>
      </c>
      <c r="BL31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0" s="78">
        <f ca="1">Table13[[#This Row],[call helper]]+Table13[[#This Row],[put helper]]</f>
        <v>0</v>
      </c>
      <c r="BP310" t="str">
        <f>RTD("tos.rtd", , "STRIKE", "."&amp;Table13[[#This Row],[Ticker]]&amp;Table13[[#This Row],[Expiry]]&amp;""&amp;"C"&amp;Table13[[#This Row],[Spot]]+Table13[[#This Row],[step]])</f>
        <v>N/A</v>
      </c>
    </row>
    <row r="311" spans="1:77" x14ac:dyDescent="0.25">
      <c r="A311" s="14">
        <f t="shared" ca="1" si="29"/>
        <v>-126.14810350076104</v>
      </c>
      <c r="C311" s="17"/>
      <c r="D311" t="b">
        <f>IF(
    ISNUMBER(Table13[[#This Row],[Strike]]),RTD("tos.rtd", , "OPEN_INT", "."&amp;Table13[[#This Row],[Ticker]]&amp;Table13[[#This Row],[Expiry]]&amp;""&amp;"C"&amp;Table13[[#This Row],[Strike]]))</f>
        <v>0</v>
      </c>
      <c r="E31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1" t="b">
        <f>IF(     ISNUMBER(Table13[[#This Row],[Strike]]),RTD("tos.rtd", , "DELTA", "."&amp;Table13[[#This Row],[Ticker]]&amp;Table13[[#This Row],[Expiry]]&amp;""&amp;"C"&amp;Table13[[#This Row],[Strike]]))</f>
        <v>0</v>
      </c>
      <c r="H311" s="17" t="b" cm="1">
        <f t="array" ref="H311">IF(
    ISNUMBER(Table13[[#This Row],[Strike]]),IndividualLegIVCore($A$4, Table13[[#This Row],[Strike]], 0.0411, Table13[[#This Row],[T]], ((Table13[[#This Row],[BIDC]]+Table13[[#This Row],[ASKC]])/2), TRUE))</f>
        <v>0</v>
      </c>
      <c r="I311" t="b">
        <f>IF(     ISNUMBER(Table13[[#This Row],[Strike]]),RTD("tos.rtd", , "BID", "."&amp;Table13[[#This Row],[Ticker]]&amp;Table13[[#This Row],[Expiry]]&amp;""&amp;"C"&amp;Table13[[#This Row],[Strike]]))</f>
        <v>0</v>
      </c>
      <c r="J311" t="b">
        <f>IF(     ISNUMBER(Table13[[#This Row],[Strike]]),RTD("tos.rtd", , "ASK", "."&amp;Table13[[#This Row],[Ticker]]&amp;Table13[[#This Row],[Expiry]]&amp;""&amp;"C"&amp;Table13[[#This Row],[Strike]]))</f>
        <v>0</v>
      </c>
      <c r="K31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1" s="17" cm="1">
        <f t="array" aca="1" ref="L31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1" s="1">
        <f t="shared" si="30"/>
        <v>0</v>
      </c>
      <c r="N311" t="b">
        <f t="shared" si="31"/>
        <v>0</v>
      </c>
      <c r="P311" s="17" t="b" cm="1">
        <f t="array" ref="P311">IF(
    ISNUMBER(Table13[[#This Row],[Strike]]),IndividualLegIVCore($A$4, Table13[[#This Row],[Strike]], 0.0411, Table13[[#This Row],[T]], ((Table13[[#This Row],[BIDP]]+Table13[[#This Row],[ASKP]])/2), FALSE))</f>
        <v>0</v>
      </c>
      <c r="Q311" t="b">
        <f>IF(     ISNUMBER(Table13[[#This Row],[Strike]]),RTD("tos.rtd", , "BID", "."&amp;Table13[[#This Row],[Ticker]]&amp;Table13[[#This Row],[Expiry]]&amp;""&amp;"P"&amp;Table13[[#This Row],[Strike]]))</f>
        <v>0</v>
      </c>
      <c r="R311" t="b">
        <f>IF(     ISNUMBER(Table13[[#This Row],[Strike]]),RTD("tos.rtd", , "ASK", "."&amp;Table13[[#This Row],[Ticker]]&amp;Table13[[#This Row],[Expiry]]&amp;""&amp;"P"&amp;Table13[[#This Row],[Strike]]))</f>
        <v>0</v>
      </c>
      <c r="S311" s="17"/>
      <c r="T311" t="b">
        <f>IF(     ISNUMBER(Table13[[#This Row],[Strike]]),RTD("tos.rtd", , "OPEN_INT", "."&amp;Table13[[#This Row],[Ticker]]&amp;Table13[[#This Row],[Expiry]]&amp;""&amp;"P"&amp;Table13[[#This Row],[Strike]]))</f>
        <v>0</v>
      </c>
      <c r="U31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1" t="b">
        <f>IF(     ISNUMBER(Table13[[#This Row],[Strike]]),RTD("tos.rtd", , "DELTA", "."&amp;Table13[[#This Row],[Ticker]]&amp;Table13[[#This Row],[Expiry]]&amp;""&amp;"P"&amp;Table13[[#This Row],[Strike]]))</f>
        <v>0</v>
      </c>
      <c r="Y311" s="19">
        <f>-1* IF($M$1="NDX", 10, IF(OR($M$1="SPX", $M$1="RUT"), 2, 1))</f>
        <v>-2</v>
      </c>
      <c r="Z311">
        <f ca="1">IFERROR(Table13[[#This Row],[call gamma]]*(Table13[[#This Row],[Open.Int]])*$A$4^2,0)</f>
        <v>0</v>
      </c>
      <c r="AA311">
        <f ca="1">IFERROR(((Table13[[#This Row],[Open.Int8]])*Table13[[#This Row],[Put gamma]])*-1*$A$4^2,0)</f>
        <v>0</v>
      </c>
      <c r="AB311">
        <f ca="1">(Table13[[#This Row],[Call Gex]]+Table13[[#This Row],[Put Gex]])</f>
        <v>0</v>
      </c>
      <c r="AC311">
        <f ca="1">Table13[[#This Row],[put delta adj]]+Table13[[#This Row],[call delta adj]]</f>
        <v>0</v>
      </c>
      <c r="AD311">
        <f ca="1">Table13[[#This Row],[Put Gex]]*Table13[[#This Row],[DeltaP]]*-1</f>
        <v>0</v>
      </c>
      <c r="AE311">
        <f ca="1">Table13[[#This Row],[Call Gex]]*Table13[[#This Row],[DeltaC]]</f>
        <v>0</v>
      </c>
      <c r="AF311">
        <f>IF(Table13[[#This Row],[DeltaC]]-ABS(Table13[[#This Row],[DeltaP]])="0","0.01",Table13[[#This Row],[DeltaC]]-ABS(Table13[[#This Row],[DeltaP]]))</f>
        <v>0</v>
      </c>
      <c r="AG311" t="e">
        <f ca="1">((LN($A$4/Table13[[#This Row],[Strike]]) + (0.411 + 0.5 * Table13[[#This Row],[IV Calc P]]^2) *Table13[[#This Row],[T]])) / (Table13[[#This Row],[IV Calc P]] * SQRT(Table13[[#This Row],[T]]))</f>
        <v>#DIV/0!</v>
      </c>
      <c r="AH311" t="e">
        <f ca="1">(LN($A$4/Table13[[#This Row],[Strike]]) + (0.411-0 + 0.5 * Table13[[#This Row],[IV Calc C]]^2) *Table13[[#This Row],[T]]) / (Table13[[#This Row],[IV Calc C]] * SQRT(Table13[[#This Row],[T]]))</f>
        <v>#DIV/0!</v>
      </c>
      <c r="AI311" t="e">
        <f ca="1">(EXP(-(AG311^2)/2)/SQRT(2*PI())*EXP(0*SQRT(Table13[[#This Row],[T]]))/$A$4*18%*SQRT(SQRT(Table13[[#This Row],[T]])))</f>
        <v>#DIV/0!</v>
      </c>
      <c r="AJ311" t="e">
        <f ca="1">(EXP(-(AH311^2)/2)/SQRT(2*PI())*EXP(0*SQRT(Table13[[#This Row],[T]]))/$A$4*18%*SQRT(SQRT(Table13[[#This Row],[T]])))</f>
        <v>#DIV/0!</v>
      </c>
      <c r="AK311" t="e">
        <f ca="1">Table13[[#This Row],[Call D1]]-Table13[[#This Row],[IV Calc C]]*SQRT(Table13[[#This Row],[T]])</f>
        <v>#DIV/0!</v>
      </c>
      <c r="AL311" t="e">
        <f ca="1">Table13[[#This Row],[Put D1]]-Table13[[#This Row],[IV Calc P]]*SQRT(Table13[[#This Row],[T]])</f>
        <v>#DIV/0!</v>
      </c>
      <c r="AM311" t="e">
        <f ca="1">EXP(-0.5*Table13[[#This Row],[Call D1]]^2)/SQRT(2*PI())</f>
        <v>#DIV/0!</v>
      </c>
      <c r="AN311" t="e">
        <f ca="1">EXP(-0.5*Table13[[#This Row],[Put D1]]^2)/SQRT(2*PI())</f>
        <v>#DIV/0!</v>
      </c>
      <c r="AO311">
        <f ca="1">IFERROR((EXP(0*Table13[[#This Row],[T]])*Table13[[#This Row],[call N(d1)]]*(Table13[[#This Row],[call d2]]/Table13[[#This Row],[IV Calc C]]))*Table13[[#This Row],[Open.Int]]*Table13[[#This Row],[DeltaC]],0)</f>
        <v>0</v>
      </c>
      <c r="AP311">
        <f ca="1">IFERROR((EXP(0*Table13[[#This Row],[T]])*Table13[[#This Row],[put N(d1)]]*(Table13[[#This Row],[put d2]]/Table13[[#This Row],[IV Calc P]]))*Table13[[#This Row],[Open.Int8]]*Table13[[#This Row],[DeltaP]]*-1,0)</f>
        <v>0</v>
      </c>
      <c r="AQ311">
        <f ca="1">((Table13[[#This Row],[call vanna]]+Table13[[#This Row],[put vanna]])*$A$4)</f>
        <v>0</v>
      </c>
      <c r="AR31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1" s="9" t="str" cm="1">
        <f t="array" ref="AT311">_xlfn.IFS(     $M$1="SPX","SPXW",     $M$1="RUT","RUTW",  $M$1="NDX","NDXP",   TRUE,$M$1 )</f>
        <v>SPXW</v>
      </c>
      <c r="AU311" s="2">
        <f t="shared" si="32"/>
        <v>6915</v>
      </c>
      <c r="AV311" t="str">
        <f t="shared" si="33"/>
        <v>000100</v>
      </c>
      <c r="AY31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1">
        <f>((Table13[[#This Row],[High C]]+Table13[[#This Row],[Low C]])/2)*Table13[[#This Row],[gammac]]*Table13[[#This Row],[Volume]]</f>
        <v>0</v>
      </c>
      <c r="BD311">
        <f>((Table13[[#This Row],[High P]]+Table13[[#This Row],[Low P]])/2)*Table13[[#This Row],[gammap]]*Table13[[#This Row],[Volume9]]*-1</f>
        <v>0</v>
      </c>
      <c r="BE311">
        <f>(Table13[[#This Row],[SgammaC]]+Table13[[#This Row],[SgammaP]])*$A$4*-100</f>
        <v>0</v>
      </c>
      <c r="BF311">
        <f>Table13[[#This Row],[DEXc]]+Table13[[#This Row],[DEXp]]</f>
        <v>0</v>
      </c>
      <c r="BG311">
        <f>IFERROR(Table13[[#This Row],[DeltaC]]*Table13[[#This Row],[Open.Int]]*$A$4,0)</f>
        <v>0</v>
      </c>
      <c r="BH311">
        <f>IFERROR(Table13[[#This Row],[DeltaP]]*Table13[[#This Row],[Open.Int8]]*$A$4,0)</f>
        <v>0</v>
      </c>
      <c r="BI31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1">
        <f ca="1">Table13[[#This Row],[charmc]]+Table13[[#This Row],[charmp]]</f>
        <v>0</v>
      </c>
      <c r="BL31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1" s="78">
        <f ca="1">Table13[[#This Row],[call helper]]+Table13[[#This Row],[put helper]]</f>
        <v>0</v>
      </c>
      <c r="BP311" t="str">
        <f>RTD("tos.rtd", , "STRIKE", "."&amp;Table13[[#This Row],[Ticker]]&amp;Table13[[#This Row],[Expiry]]&amp;""&amp;"C"&amp;Table13[[#This Row],[Spot]]+Table13[[#This Row],[step]])</f>
        <v>N/A</v>
      </c>
    </row>
    <row r="312" spans="1:77" ht="15.75" thickBot="1" x14ac:dyDescent="0.3">
      <c r="A312" s="14">
        <f t="shared" ca="1" si="29"/>
        <v>-126.14810350076104</v>
      </c>
      <c r="C312" s="17"/>
      <c r="D312" t="b">
        <f>IF(
    ISNUMBER(Table13[[#This Row],[Strike]]),RTD("tos.rtd", , "OPEN_INT", "."&amp;Table13[[#This Row],[Ticker]]&amp;Table13[[#This Row],[Expiry]]&amp;""&amp;"C"&amp;Table13[[#This Row],[Strike]]))</f>
        <v>0</v>
      </c>
      <c r="E31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2" t="b">
        <f>IF(     ISNUMBER(Table13[[#This Row],[Strike]]),RTD("tos.rtd", , "DELTA", "."&amp;Table13[[#This Row],[Ticker]]&amp;Table13[[#This Row],[Expiry]]&amp;""&amp;"C"&amp;Table13[[#This Row],[Strike]]))</f>
        <v>0</v>
      </c>
      <c r="H312" s="17" t="b" cm="1">
        <f t="array" ref="H312">IF(
    ISNUMBER(Table13[[#This Row],[Strike]]),IndividualLegIVCore($A$4, Table13[[#This Row],[Strike]], 0.0411, Table13[[#This Row],[T]], ((Table13[[#This Row],[BIDC]]+Table13[[#This Row],[ASKC]])/2), TRUE))</f>
        <v>0</v>
      </c>
      <c r="I312" t="b">
        <f>IF(     ISNUMBER(Table13[[#This Row],[Strike]]),RTD("tos.rtd", , "BID", "."&amp;Table13[[#This Row],[Ticker]]&amp;Table13[[#This Row],[Expiry]]&amp;""&amp;"C"&amp;Table13[[#This Row],[Strike]]))</f>
        <v>0</v>
      </c>
      <c r="J312" t="b">
        <f>IF(     ISNUMBER(Table13[[#This Row],[Strike]]),RTD("tos.rtd", , "ASK", "."&amp;Table13[[#This Row],[Ticker]]&amp;Table13[[#This Row],[Expiry]]&amp;""&amp;"C"&amp;Table13[[#This Row],[Strike]]))</f>
        <v>0</v>
      </c>
      <c r="K31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2" s="17" cm="1">
        <f t="array" aca="1" ref="L31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2" s="1">
        <f t="shared" si="30"/>
        <v>0</v>
      </c>
      <c r="N312" t="b">
        <f t="shared" si="31"/>
        <v>0</v>
      </c>
      <c r="P312" s="17" t="b" cm="1">
        <f t="array" ref="P312">IF(
    ISNUMBER(Table13[[#This Row],[Strike]]),IndividualLegIVCore($A$4, Table13[[#This Row],[Strike]], 0.0411, Table13[[#This Row],[T]], ((Table13[[#This Row],[BIDP]]+Table13[[#This Row],[ASKP]])/2), FALSE))</f>
        <v>0</v>
      </c>
      <c r="Q312" t="b">
        <f>IF(     ISNUMBER(Table13[[#This Row],[Strike]]),RTD("tos.rtd", , "BID", "."&amp;Table13[[#This Row],[Ticker]]&amp;Table13[[#This Row],[Expiry]]&amp;""&amp;"P"&amp;Table13[[#This Row],[Strike]]))</f>
        <v>0</v>
      </c>
      <c r="R312" t="b">
        <f>IF(     ISNUMBER(Table13[[#This Row],[Strike]]),RTD("tos.rtd", , "ASK", "."&amp;Table13[[#This Row],[Ticker]]&amp;Table13[[#This Row],[Expiry]]&amp;""&amp;"P"&amp;Table13[[#This Row],[Strike]]))</f>
        <v>0</v>
      </c>
      <c r="S312" s="17"/>
      <c r="T312" t="b">
        <f>IF(     ISNUMBER(Table13[[#This Row],[Strike]]),RTD("tos.rtd", , "OPEN_INT", "."&amp;Table13[[#This Row],[Ticker]]&amp;Table13[[#This Row],[Expiry]]&amp;""&amp;"P"&amp;Table13[[#This Row],[Strike]]))</f>
        <v>0</v>
      </c>
      <c r="U31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2" t="b">
        <f>IF(     ISNUMBER(Table13[[#This Row],[Strike]]),RTD("tos.rtd", , "DELTA", "."&amp;Table13[[#This Row],[Ticker]]&amp;Table13[[#This Row],[Expiry]]&amp;""&amp;"P"&amp;Table13[[#This Row],[Strike]]))</f>
        <v>0</v>
      </c>
      <c r="Y312" s="19">
        <f>-0.5* IF($M$1="NDX", 10, IF(OR($M$1="SPX", $M$1="RUT"), 2, 1))</f>
        <v>-1</v>
      </c>
      <c r="Z312">
        <f ca="1">IFERROR(Table13[[#This Row],[call gamma]]*(Table13[[#This Row],[Open.Int]])*$A$4^2,0)</f>
        <v>0</v>
      </c>
      <c r="AA312">
        <f ca="1">IFERROR(((Table13[[#This Row],[Open.Int8]])*Table13[[#This Row],[Put gamma]])*-1*$A$4^2,0)</f>
        <v>0</v>
      </c>
      <c r="AB312">
        <f ca="1">(Table13[[#This Row],[Call Gex]]+Table13[[#This Row],[Put Gex]])</f>
        <v>0</v>
      </c>
      <c r="AC312">
        <f ca="1">Table13[[#This Row],[put delta adj]]+Table13[[#This Row],[call delta adj]]</f>
        <v>0</v>
      </c>
      <c r="AD312">
        <f ca="1">Table13[[#This Row],[Put Gex]]*Table13[[#This Row],[DeltaP]]*-1</f>
        <v>0</v>
      </c>
      <c r="AE312">
        <f ca="1">Table13[[#This Row],[Call Gex]]*Table13[[#This Row],[DeltaC]]</f>
        <v>0</v>
      </c>
      <c r="AF312">
        <f>IF(Table13[[#This Row],[DeltaC]]-ABS(Table13[[#This Row],[DeltaP]])="0","0.01",Table13[[#This Row],[DeltaC]]-ABS(Table13[[#This Row],[DeltaP]]))</f>
        <v>0</v>
      </c>
      <c r="AG312" t="e">
        <f ca="1">((LN($A$4/Table13[[#This Row],[Strike]]) + (0.411 + 0.5 * Table13[[#This Row],[IV Calc P]]^2) *Table13[[#This Row],[T]])) / (Table13[[#This Row],[IV Calc P]] * SQRT(Table13[[#This Row],[T]]))</f>
        <v>#DIV/0!</v>
      </c>
      <c r="AH312" t="e">
        <f ca="1">(LN($A$4/Table13[[#This Row],[Strike]]) + (0.411-0 + 0.5 * Table13[[#This Row],[IV Calc C]]^2) *Table13[[#This Row],[T]]) / (Table13[[#This Row],[IV Calc C]] * SQRT(Table13[[#This Row],[T]]))</f>
        <v>#DIV/0!</v>
      </c>
      <c r="AI312" t="e">
        <f ca="1">(EXP(-(AG312^2)/2)/SQRT(2*PI())*EXP(0*SQRT(Table13[[#This Row],[T]]))/$A$4*18%*SQRT(SQRT(Table13[[#This Row],[T]])))</f>
        <v>#DIV/0!</v>
      </c>
      <c r="AJ312" t="e">
        <f ca="1">(EXP(-(AH312^2)/2)/SQRT(2*PI())*EXP(0*SQRT(Table13[[#This Row],[T]]))/$A$4*18%*SQRT(SQRT(Table13[[#This Row],[T]])))</f>
        <v>#DIV/0!</v>
      </c>
      <c r="AK312" t="e">
        <f ca="1">Table13[[#This Row],[Call D1]]-Table13[[#This Row],[IV Calc C]]*SQRT(Table13[[#This Row],[T]])</f>
        <v>#DIV/0!</v>
      </c>
      <c r="AL312" t="e">
        <f ca="1">Table13[[#This Row],[Put D1]]-Table13[[#This Row],[IV Calc P]]*SQRT(Table13[[#This Row],[T]])</f>
        <v>#DIV/0!</v>
      </c>
      <c r="AM312" t="e">
        <f ca="1">EXP(-0.5*Table13[[#This Row],[Call D1]]^2)/SQRT(2*PI())</f>
        <v>#DIV/0!</v>
      </c>
      <c r="AN312" t="e">
        <f ca="1">EXP(-0.5*Table13[[#This Row],[Put D1]]^2)/SQRT(2*PI())</f>
        <v>#DIV/0!</v>
      </c>
      <c r="AO312">
        <f ca="1">IFERROR((EXP(0*Table13[[#This Row],[T]])*Table13[[#This Row],[call N(d1)]]*(Table13[[#This Row],[call d2]]/Table13[[#This Row],[IV Calc C]]))*Table13[[#This Row],[Open.Int]]*Table13[[#This Row],[DeltaC]],0)</f>
        <v>0</v>
      </c>
      <c r="AP312">
        <f ca="1">IFERROR((EXP(0*Table13[[#This Row],[T]])*Table13[[#This Row],[put N(d1)]]*(Table13[[#This Row],[put d2]]/Table13[[#This Row],[IV Calc P]]))*Table13[[#This Row],[Open.Int8]]*Table13[[#This Row],[DeltaP]]*-1,0)</f>
        <v>0</v>
      </c>
      <c r="AQ312">
        <f ca="1">((Table13[[#This Row],[call vanna]]+Table13[[#This Row],[put vanna]])*$A$4)</f>
        <v>0</v>
      </c>
      <c r="AR31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2" s="9" t="str" cm="1">
        <f t="array" ref="AT312">_xlfn.IFS(     $M$1="SPX","SPXW",     $M$1="RUT","RUTW",  $M$1="NDX","NDXP",   TRUE,$M$1 )</f>
        <v>SPXW</v>
      </c>
      <c r="AU312" s="2">
        <f t="shared" si="32"/>
        <v>6915</v>
      </c>
      <c r="AV312" t="str">
        <f t="shared" si="33"/>
        <v>000100</v>
      </c>
      <c r="AY31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2">
        <f>((Table13[[#This Row],[High C]]+Table13[[#This Row],[Low C]])/2)*Table13[[#This Row],[gammac]]*Table13[[#This Row],[Volume]]</f>
        <v>0</v>
      </c>
      <c r="BD312">
        <f>((Table13[[#This Row],[High P]]+Table13[[#This Row],[Low P]])/2)*Table13[[#This Row],[gammap]]*Table13[[#This Row],[Volume9]]*-1</f>
        <v>0</v>
      </c>
      <c r="BE312">
        <f>(Table13[[#This Row],[SgammaC]]+Table13[[#This Row],[SgammaP]])*$A$4*-100</f>
        <v>0</v>
      </c>
      <c r="BF312">
        <f>Table13[[#This Row],[DEXc]]+Table13[[#This Row],[DEXp]]</f>
        <v>0</v>
      </c>
      <c r="BG312">
        <f>IFERROR(Table13[[#This Row],[DeltaC]]*Table13[[#This Row],[Open.Int]]*$A$4,0)</f>
        <v>0</v>
      </c>
      <c r="BH312">
        <f>IFERROR(Table13[[#This Row],[DeltaP]]*Table13[[#This Row],[Open.Int8]]*$A$4,0)</f>
        <v>0</v>
      </c>
      <c r="BI31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2">
        <f ca="1">Table13[[#This Row],[charmc]]+Table13[[#This Row],[charmp]]</f>
        <v>0</v>
      </c>
      <c r="BL31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2" s="78">
        <f ca="1">Table13[[#This Row],[call helper]]+Table13[[#This Row],[put helper]]</f>
        <v>0</v>
      </c>
      <c r="BP312" t="str">
        <f>RTD("tos.rtd", , "STRIKE", "."&amp;Table13[[#This Row],[Ticker]]&amp;Table13[[#This Row],[Expiry]]&amp;""&amp;"C"&amp;Table13[[#This Row],[Spot]]+Table13[[#This Row],[step]])</f>
        <v>N/A</v>
      </c>
    </row>
    <row r="313" spans="1:77" s="83" customFormat="1" ht="15.75" thickBot="1" x14ac:dyDescent="0.3">
      <c r="A313" s="82">
        <f t="shared" ca="1" si="29"/>
        <v>-126.14810350076104</v>
      </c>
      <c r="C313" s="84"/>
      <c r="D313" s="83" t="b">
        <f>IF(
    ISNUMBER(Table13[[#This Row],[Strike]]),RTD("tos.rtd", , "OPEN_INT", "."&amp;Table13[[#This Row],[Ticker]]&amp;Table13[[#This Row],[Expiry]]&amp;""&amp;"C"&amp;Table13[[#This Row],[Strike]]))</f>
        <v>0</v>
      </c>
      <c r="E313" s="8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3" s="83" t="b">
        <f>IF(     ISNUMBER(Table13[[#This Row],[Strike]]),RTD("tos.rtd", , "DELTA", "."&amp;Table13[[#This Row],[Ticker]]&amp;Table13[[#This Row],[Expiry]]&amp;""&amp;"C"&amp;Table13[[#This Row],[Strike]]))</f>
        <v>0</v>
      </c>
      <c r="H313" s="84" t="b" cm="1">
        <f t="array" ref="H313">IF(
    ISNUMBER(Table13[[#This Row],[Strike]]),IndividualLegIVCore($A$4, Table13[[#This Row],[Strike]], 0.0411, Table13[[#This Row],[T]], ((Table13[[#This Row],[BIDC]]+Table13[[#This Row],[ASKC]])/2), TRUE))</f>
        <v>0</v>
      </c>
      <c r="I313" s="83" t="b">
        <f>IF(     ISNUMBER(Table13[[#This Row],[Strike]]),RTD("tos.rtd", , "BID", "."&amp;Table13[[#This Row],[Ticker]]&amp;Table13[[#This Row],[Expiry]]&amp;""&amp;"C"&amp;Table13[[#This Row],[Strike]]))</f>
        <v>0</v>
      </c>
      <c r="J313" s="83" t="b">
        <f>IF(     ISNUMBER(Table13[[#This Row],[Strike]]),RTD("tos.rtd", , "ASK", "."&amp;Table13[[#This Row],[Ticker]]&amp;Table13[[#This Row],[Expiry]]&amp;""&amp;"C"&amp;Table13[[#This Row],[Strike]]))</f>
        <v>0</v>
      </c>
      <c r="K313" s="84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3" s="84" cm="1">
        <f t="array" aca="1" ref="L31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3" s="85">
        <f t="shared" si="30"/>
        <v>0</v>
      </c>
      <c r="N313" s="83" t="b">
        <f t="shared" si="31"/>
        <v>0</v>
      </c>
      <c r="P313" s="84" t="b" cm="1">
        <f t="array" ref="P313">IF(
    ISNUMBER(Table13[[#This Row],[Strike]]),IndividualLegIVCore($A$4, Table13[[#This Row],[Strike]], 0.0411, Table13[[#This Row],[T]], ((Table13[[#This Row],[BIDP]]+Table13[[#This Row],[ASKP]])/2), FALSE))</f>
        <v>0</v>
      </c>
      <c r="Q313" s="83" t="b">
        <f>IF(     ISNUMBER(Table13[[#This Row],[Strike]]),RTD("tos.rtd", , "BID", "."&amp;Table13[[#This Row],[Ticker]]&amp;Table13[[#This Row],[Expiry]]&amp;""&amp;"P"&amp;Table13[[#This Row],[Strike]]))</f>
        <v>0</v>
      </c>
      <c r="R313" s="83" t="b">
        <f>IF(     ISNUMBER(Table13[[#This Row],[Strike]]),RTD("tos.rtd", , "ASK", "."&amp;Table13[[#This Row],[Ticker]]&amp;Table13[[#This Row],[Expiry]]&amp;""&amp;"P"&amp;Table13[[#This Row],[Strike]]))</f>
        <v>0</v>
      </c>
      <c r="S313" s="84"/>
      <c r="T313" s="83" t="b">
        <f>IF(     ISNUMBER(Table13[[#This Row],[Strike]]),RTD("tos.rtd", , "OPEN_INT", "."&amp;Table13[[#This Row],[Ticker]]&amp;Table13[[#This Row],[Expiry]]&amp;""&amp;"P"&amp;Table13[[#This Row],[Strike]]))</f>
        <v>0</v>
      </c>
      <c r="U313" s="8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3" s="83" t="b">
        <f>IF(     ISNUMBER(Table13[[#This Row],[Strike]]),RTD("tos.rtd", , "DELTA", "."&amp;Table13[[#This Row],[Ticker]]&amp;Table13[[#This Row],[Expiry]]&amp;""&amp;"P"&amp;Table13[[#This Row],[Strike]]))</f>
        <v>0</v>
      </c>
      <c r="Y313" s="55">
        <v>0</v>
      </c>
      <c r="Z313" s="83">
        <f ca="1">IFERROR(Table13[[#This Row],[call gamma]]*(Table13[[#This Row],[Open.Int]])*$A$4^2,0)</f>
        <v>0</v>
      </c>
      <c r="AA313" s="83">
        <f ca="1">IFERROR(((Table13[[#This Row],[Open.Int8]])*Table13[[#This Row],[Put gamma]])*-1*$A$4^2,0)</f>
        <v>0</v>
      </c>
      <c r="AB313" s="83">
        <f ca="1">(Table13[[#This Row],[Call Gex]]+Table13[[#This Row],[Put Gex]])</f>
        <v>0</v>
      </c>
      <c r="AC313" s="83">
        <f ca="1">Table13[[#This Row],[put delta adj]]+Table13[[#This Row],[call delta adj]]</f>
        <v>0</v>
      </c>
      <c r="AD313" s="83">
        <f ca="1">Table13[[#This Row],[Put Gex]]*Table13[[#This Row],[DeltaP]]*-1</f>
        <v>0</v>
      </c>
      <c r="AE313" s="83">
        <f ca="1">Table13[[#This Row],[Call Gex]]*Table13[[#This Row],[DeltaC]]</f>
        <v>0</v>
      </c>
      <c r="AF313" s="83">
        <f>IF(Table13[[#This Row],[DeltaC]]-ABS(Table13[[#This Row],[DeltaP]])="0","0.01",Table13[[#This Row],[DeltaC]]-ABS(Table13[[#This Row],[DeltaP]]))</f>
        <v>0</v>
      </c>
      <c r="AG313" s="83" t="e">
        <f ca="1">((LN($A$4/Table13[[#This Row],[Strike]]) + (0.411 + 0.5 * Table13[[#This Row],[IV Calc P]]^2) *Table13[[#This Row],[T]])) / (Table13[[#This Row],[IV Calc P]] * SQRT(Table13[[#This Row],[T]]))</f>
        <v>#DIV/0!</v>
      </c>
      <c r="AH313" s="83" t="e">
        <f ca="1">(LN($A$4/Table13[[#This Row],[Strike]]) + (0.411-0 + 0.5 * Table13[[#This Row],[IV Calc C]]^2) *Table13[[#This Row],[T]]) / (Table13[[#This Row],[IV Calc C]] * SQRT(Table13[[#This Row],[T]]))</f>
        <v>#DIV/0!</v>
      </c>
      <c r="AI313" s="83" t="e">
        <f ca="1">(EXP(-(AG313^2)/2)/SQRT(2*PI())*EXP(0*SQRT(Table13[[#This Row],[T]]))/$A$4*18%*SQRT(SQRT(Table13[[#This Row],[T]])))</f>
        <v>#DIV/0!</v>
      </c>
      <c r="AJ313" s="83" t="e">
        <f ca="1">(EXP(-(AH313^2)/2)/SQRT(2*PI())*EXP(0*SQRT(Table13[[#This Row],[T]]))/$A$4*18%*SQRT(SQRT(Table13[[#This Row],[T]])))</f>
        <v>#DIV/0!</v>
      </c>
      <c r="AK313" s="83" t="e">
        <f ca="1">Table13[[#This Row],[Call D1]]-Table13[[#This Row],[IV Calc C]]*SQRT(Table13[[#This Row],[T]])</f>
        <v>#DIV/0!</v>
      </c>
      <c r="AL313" s="83" t="e">
        <f ca="1">Table13[[#This Row],[Put D1]]-Table13[[#This Row],[IV Calc P]]*SQRT(Table13[[#This Row],[T]])</f>
        <v>#DIV/0!</v>
      </c>
      <c r="AM313" s="83" t="e">
        <f ca="1">EXP(-0.5*Table13[[#This Row],[Call D1]]^2)/SQRT(2*PI())</f>
        <v>#DIV/0!</v>
      </c>
      <c r="AN313" s="83" t="e">
        <f ca="1">EXP(-0.5*Table13[[#This Row],[Put D1]]^2)/SQRT(2*PI())</f>
        <v>#DIV/0!</v>
      </c>
      <c r="AO313" s="83">
        <f ca="1">IFERROR((EXP(0*Table13[[#This Row],[T]])*Table13[[#This Row],[call N(d1)]]*(Table13[[#This Row],[call d2]]/Table13[[#This Row],[IV Calc C]]))*Table13[[#This Row],[Open.Int]]*Table13[[#This Row],[DeltaC]],0)</f>
        <v>0</v>
      </c>
      <c r="AP313" s="83">
        <f ca="1">IFERROR((EXP(0*Table13[[#This Row],[T]])*Table13[[#This Row],[put N(d1)]]*(Table13[[#This Row],[put d2]]/Table13[[#This Row],[IV Calc P]]))*Table13[[#This Row],[Open.Int8]]*Table13[[#This Row],[DeltaP]]*-1,0)</f>
        <v>0</v>
      </c>
      <c r="AQ313" s="83">
        <f ca="1">((Table13[[#This Row],[call vanna]]+Table13[[#This Row],[put vanna]])*$A$4)</f>
        <v>0</v>
      </c>
      <c r="AR313" s="8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3" s="8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3" s="86" t="str" cm="1">
        <f t="array" ref="AT313">_xlfn.IFS(     $M$1="SPX","SPXW",     $M$1="RUT","RUTW",  $M$1="NDX","NDXP",   TRUE,$M$1 )</f>
        <v>SPXW</v>
      </c>
      <c r="AU313" s="87">
        <f t="shared" si="32"/>
        <v>6915</v>
      </c>
      <c r="AV313" s="83" t="str">
        <f t="shared" si="33"/>
        <v>000100</v>
      </c>
      <c r="AY313" s="8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3" s="8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3" s="8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3" s="8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3" s="83">
        <f>((Table13[[#This Row],[High C]]+Table13[[#This Row],[Low C]])/2)*Table13[[#This Row],[gammac]]*Table13[[#This Row],[Volume]]</f>
        <v>0</v>
      </c>
      <c r="BD313" s="83">
        <f>((Table13[[#This Row],[High P]]+Table13[[#This Row],[Low P]])/2)*Table13[[#This Row],[gammap]]*Table13[[#This Row],[Volume9]]*-1</f>
        <v>0</v>
      </c>
      <c r="BE313" s="83">
        <f>(Table13[[#This Row],[SgammaC]]+Table13[[#This Row],[SgammaP]])*$A$4*-100</f>
        <v>0</v>
      </c>
      <c r="BF313" s="83">
        <f>Table13[[#This Row],[DEXc]]+Table13[[#This Row],[DEXp]]</f>
        <v>0</v>
      </c>
      <c r="BG313" s="83">
        <f>IFERROR(Table13[[#This Row],[DeltaC]]*Table13[[#This Row],[Open.Int]]*$A$4,0)</f>
        <v>0</v>
      </c>
      <c r="BH313" s="83">
        <f>IFERROR(Table13[[#This Row],[DeltaP]]*Table13[[#This Row],[Open.Int8]]*$A$4,0)</f>
        <v>0</v>
      </c>
      <c r="BI313" s="8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3" s="8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3" s="83">
        <f ca="1">Table13[[#This Row],[charmc]]+Table13[[#This Row],[charmp]]</f>
        <v>0</v>
      </c>
      <c r="BL313" s="8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3" s="8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3" s="88">
        <f ca="1">Table13[[#This Row],[call helper]]+Table13[[#This Row],[put helper]]</f>
        <v>0</v>
      </c>
      <c r="BO313" s="84"/>
      <c r="BP313" t="str">
        <f>RTD("tos.rtd", , "STRIKE", "."&amp;Table13[[#This Row],[Ticker]]&amp;Table13[[#This Row],[Expiry]]&amp;""&amp;"C"&amp;Table13[[#This Row],[Spot]]+Table13[[#This Row],[step]])</f>
        <v>N/A</v>
      </c>
      <c r="BQ313"/>
      <c r="BY313" s="84"/>
    </row>
    <row r="314" spans="1:77" x14ac:dyDescent="0.25">
      <c r="A314" s="14">
        <f t="shared" ca="1" si="29"/>
        <v>-126.14810350076104</v>
      </c>
      <c r="C314" s="17"/>
      <c r="D314" t="b">
        <f>IF(
    ISNUMBER(Table13[[#This Row],[Strike]]),RTD("tos.rtd", , "OPEN_INT", "."&amp;Table13[[#This Row],[Ticker]]&amp;Table13[[#This Row],[Expiry]]&amp;""&amp;"C"&amp;Table13[[#This Row],[Strike]]))</f>
        <v>0</v>
      </c>
      <c r="E31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4" t="b">
        <f>IF(     ISNUMBER(Table13[[#This Row],[Strike]]),RTD("tos.rtd", , "DELTA", "."&amp;Table13[[#This Row],[Ticker]]&amp;Table13[[#This Row],[Expiry]]&amp;""&amp;"C"&amp;Table13[[#This Row],[Strike]]))</f>
        <v>0</v>
      </c>
      <c r="H314" s="17" t="b" cm="1">
        <f t="array" ref="H314">IF(
    ISNUMBER(Table13[[#This Row],[Strike]]),IndividualLegIVCore($A$4, Table13[[#This Row],[Strike]], 0.0411, Table13[[#This Row],[T]], ((Table13[[#This Row],[BIDC]]+Table13[[#This Row],[ASKC]])/2), TRUE))</f>
        <v>0</v>
      </c>
      <c r="I314" t="b">
        <f>IF(     ISNUMBER(Table13[[#This Row],[Strike]]),RTD("tos.rtd", , "BID", "."&amp;Table13[[#This Row],[Ticker]]&amp;Table13[[#This Row],[Expiry]]&amp;""&amp;"C"&amp;Table13[[#This Row],[Strike]]))</f>
        <v>0</v>
      </c>
      <c r="J314" t="b">
        <f>IF(     ISNUMBER(Table13[[#This Row],[Strike]]),RTD("tos.rtd", , "ASK", "."&amp;Table13[[#This Row],[Ticker]]&amp;Table13[[#This Row],[Expiry]]&amp;""&amp;"C"&amp;Table13[[#This Row],[Strike]]))</f>
        <v>0</v>
      </c>
      <c r="K31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4" s="17" cm="1">
        <f t="array" aca="1" ref="L31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4" s="1">
        <f t="shared" si="30"/>
        <v>0</v>
      </c>
      <c r="N314" t="b">
        <f t="shared" si="31"/>
        <v>0</v>
      </c>
      <c r="P314" s="17" t="b" cm="1">
        <f t="array" ref="P314">IF(
    ISNUMBER(Table13[[#This Row],[Strike]]),IndividualLegIVCore($A$4, Table13[[#This Row],[Strike]], 0.0411, Table13[[#This Row],[T]], ((Table13[[#This Row],[BIDP]]+Table13[[#This Row],[ASKP]])/2), FALSE))</f>
        <v>0</v>
      </c>
      <c r="Q314" t="b">
        <f>IF(     ISNUMBER(Table13[[#This Row],[Strike]]),RTD("tos.rtd", , "BID", "."&amp;Table13[[#This Row],[Ticker]]&amp;Table13[[#This Row],[Expiry]]&amp;""&amp;"P"&amp;Table13[[#This Row],[Strike]]))</f>
        <v>0</v>
      </c>
      <c r="R314" t="b">
        <f>IF(     ISNUMBER(Table13[[#This Row],[Strike]]),RTD("tos.rtd", , "ASK", "."&amp;Table13[[#This Row],[Ticker]]&amp;Table13[[#This Row],[Expiry]]&amp;""&amp;"P"&amp;Table13[[#This Row],[Strike]]))</f>
        <v>0</v>
      </c>
      <c r="S314" s="17"/>
      <c r="T314" t="b">
        <f>IF(     ISNUMBER(Table13[[#This Row],[Strike]]),RTD("tos.rtd", , "OPEN_INT", "."&amp;Table13[[#This Row],[Ticker]]&amp;Table13[[#This Row],[Expiry]]&amp;""&amp;"P"&amp;Table13[[#This Row],[Strike]]))</f>
        <v>0</v>
      </c>
      <c r="U31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4" t="b">
        <f>IF(     ISNUMBER(Table13[[#This Row],[Strike]]),RTD("tos.rtd", , "DELTA", "."&amp;Table13[[#This Row],[Ticker]]&amp;Table13[[#This Row],[Expiry]]&amp;""&amp;"P"&amp;Table13[[#This Row],[Strike]]))</f>
        <v>0</v>
      </c>
      <c r="Y314">
        <f>0.5* IF($M$1="NDX", 10, IF(OR($M$1="SPX", $M$1="RUT"), 2, 1))</f>
        <v>1</v>
      </c>
      <c r="Z314">
        <f ca="1">IFERROR(Table13[[#This Row],[call gamma]]*(Table13[[#This Row],[Open.Int]])*$A$4^2,0)</f>
        <v>0</v>
      </c>
      <c r="AA314">
        <f ca="1">IFERROR(((Table13[[#This Row],[Open.Int8]])*Table13[[#This Row],[Put gamma]])*-1*$A$4^2,0)</f>
        <v>0</v>
      </c>
      <c r="AB314">
        <f ca="1">(Table13[[#This Row],[Call Gex]]+Table13[[#This Row],[Put Gex]])</f>
        <v>0</v>
      </c>
      <c r="AC314">
        <f ca="1">Table13[[#This Row],[put delta adj]]+Table13[[#This Row],[call delta adj]]</f>
        <v>0</v>
      </c>
      <c r="AD314">
        <f ca="1">Table13[[#This Row],[Put Gex]]*Table13[[#This Row],[DeltaP]]*-1</f>
        <v>0</v>
      </c>
      <c r="AE314">
        <f ca="1">Table13[[#This Row],[Call Gex]]*Table13[[#This Row],[DeltaC]]</f>
        <v>0</v>
      </c>
      <c r="AF314">
        <f>IF(Table13[[#This Row],[DeltaC]]-ABS(Table13[[#This Row],[DeltaP]])="0","0.01",Table13[[#This Row],[DeltaC]]-ABS(Table13[[#This Row],[DeltaP]]))</f>
        <v>0</v>
      </c>
      <c r="AG314" t="e">
        <f ca="1">((LN($A$4/Table13[[#This Row],[Strike]]) + (0.411 + 0.5 * Table13[[#This Row],[IV Calc P]]^2) *Table13[[#This Row],[T]])) / (Table13[[#This Row],[IV Calc P]] * SQRT(Table13[[#This Row],[T]]))</f>
        <v>#DIV/0!</v>
      </c>
      <c r="AH314" t="e">
        <f ca="1">(LN($A$4/Table13[[#This Row],[Strike]]) + (0.411-0 + 0.5 * Table13[[#This Row],[IV Calc C]]^2) *Table13[[#This Row],[T]]) / (Table13[[#This Row],[IV Calc C]] * SQRT(Table13[[#This Row],[T]]))</f>
        <v>#DIV/0!</v>
      </c>
      <c r="AI314" t="e">
        <f ca="1">(EXP(-(AG314^2)/2)/SQRT(2*PI())*EXP(0*SQRT(Table13[[#This Row],[T]]))/$A$4*18%*SQRT(SQRT(Table13[[#This Row],[T]])))</f>
        <v>#DIV/0!</v>
      </c>
      <c r="AJ314" t="e">
        <f ca="1">(EXP(-(AH314^2)/2)/SQRT(2*PI())*EXP(0*SQRT(Table13[[#This Row],[T]]))/$A$4*18%*SQRT(SQRT(Table13[[#This Row],[T]])))</f>
        <v>#DIV/0!</v>
      </c>
      <c r="AK314" t="e">
        <f ca="1">Table13[[#This Row],[Call D1]]-Table13[[#This Row],[IV Calc C]]*SQRT(Table13[[#This Row],[T]])</f>
        <v>#DIV/0!</v>
      </c>
      <c r="AL314" t="e">
        <f ca="1">Table13[[#This Row],[Put D1]]-Table13[[#This Row],[IV Calc P]]*SQRT(Table13[[#This Row],[T]])</f>
        <v>#DIV/0!</v>
      </c>
      <c r="AM314" t="e">
        <f ca="1">EXP(-0.5*Table13[[#This Row],[Call D1]]^2)/SQRT(2*PI())</f>
        <v>#DIV/0!</v>
      </c>
      <c r="AN314" t="e">
        <f ca="1">EXP(-0.5*Table13[[#This Row],[Put D1]]^2)/SQRT(2*PI())</f>
        <v>#DIV/0!</v>
      </c>
      <c r="AO314">
        <f ca="1">IFERROR((EXP(0*Table13[[#This Row],[T]])*Table13[[#This Row],[call N(d1)]]*(Table13[[#This Row],[call d2]]/Table13[[#This Row],[IV Calc C]]))*Table13[[#This Row],[Open.Int]]*Table13[[#This Row],[DeltaC]],0)</f>
        <v>0</v>
      </c>
      <c r="AP314">
        <f ca="1">IFERROR((EXP(0*Table13[[#This Row],[T]])*Table13[[#This Row],[put N(d1)]]*(Table13[[#This Row],[put d2]]/Table13[[#This Row],[IV Calc P]]))*Table13[[#This Row],[Open.Int8]]*Table13[[#This Row],[DeltaP]]*-1,0)</f>
        <v>0</v>
      </c>
      <c r="AQ314">
        <f ca="1">((Table13[[#This Row],[call vanna]]+Table13[[#This Row],[put vanna]])*$A$4)</f>
        <v>0</v>
      </c>
      <c r="AR31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4" s="9" t="str" cm="1">
        <f t="array" ref="AT314">_xlfn.IFS(     $M$1="SPX","SPXW",     $M$1="RUT","RUTW",  $M$1="NDX","NDXP",   TRUE,$M$1 )</f>
        <v>SPXW</v>
      </c>
      <c r="AU314" s="2">
        <f t="shared" si="32"/>
        <v>6915</v>
      </c>
      <c r="AV314" t="str">
        <f t="shared" si="33"/>
        <v>000100</v>
      </c>
      <c r="AY31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4">
        <f>((Table13[[#This Row],[High C]]+Table13[[#This Row],[Low C]])/2)*Table13[[#This Row],[gammac]]*Table13[[#This Row],[Volume]]</f>
        <v>0</v>
      </c>
      <c r="BD314">
        <f>((Table13[[#This Row],[High P]]+Table13[[#This Row],[Low P]])/2)*Table13[[#This Row],[gammap]]*Table13[[#This Row],[Volume9]]*-1</f>
        <v>0</v>
      </c>
      <c r="BE314">
        <f>(Table13[[#This Row],[SgammaC]]+Table13[[#This Row],[SgammaP]])*$A$4*-100</f>
        <v>0</v>
      </c>
      <c r="BF314">
        <f>Table13[[#This Row],[DEXc]]+Table13[[#This Row],[DEXp]]</f>
        <v>0</v>
      </c>
      <c r="BG314">
        <f>IFERROR(Table13[[#This Row],[DeltaC]]*Table13[[#This Row],[Open.Int]]*$A$4,0)</f>
        <v>0</v>
      </c>
      <c r="BH314">
        <f>IFERROR(Table13[[#This Row],[DeltaP]]*Table13[[#This Row],[Open.Int8]]*$A$4,0)</f>
        <v>0</v>
      </c>
      <c r="BI31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4">
        <f ca="1">Table13[[#This Row],[charmc]]+Table13[[#This Row],[charmp]]</f>
        <v>0</v>
      </c>
      <c r="BL31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4" s="78">
        <f ca="1">Table13[[#This Row],[call helper]]+Table13[[#This Row],[put helper]]</f>
        <v>0</v>
      </c>
      <c r="BP314" t="str">
        <f>RTD("tos.rtd", , "STRIKE", "."&amp;Table13[[#This Row],[Ticker]]&amp;Table13[[#This Row],[Expiry]]&amp;""&amp;"C"&amp;Table13[[#This Row],[Spot]]+Table13[[#This Row],[step]])</f>
        <v>N/A</v>
      </c>
    </row>
    <row r="315" spans="1:77" x14ac:dyDescent="0.25">
      <c r="A315" s="14">
        <f t="shared" ca="1" si="29"/>
        <v>-126.14810350076104</v>
      </c>
      <c r="C315" s="17"/>
      <c r="D315" t="b">
        <f>IF(
    ISNUMBER(Table13[[#This Row],[Strike]]),RTD("tos.rtd", , "OPEN_INT", "."&amp;Table13[[#This Row],[Ticker]]&amp;Table13[[#This Row],[Expiry]]&amp;""&amp;"C"&amp;Table13[[#This Row],[Strike]]))</f>
        <v>0</v>
      </c>
      <c r="E31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5" t="b">
        <f>IF(     ISNUMBER(Table13[[#This Row],[Strike]]),RTD("tos.rtd", , "DELTA", "."&amp;Table13[[#This Row],[Ticker]]&amp;Table13[[#This Row],[Expiry]]&amp;""&amp;"C"&amp;Table13[[#This Row],[Strike]]))</f>
        <v>0</v>
      </c>
      <c r="H315" s="17" t="b" cm="1">
        <f t="array" ref="H315">IF(
    ISNUMBER(Table13[[#This Row],[Strike]]),IndividualLegIVCore($A$4, Table13[[#This Row],[Strike]], 0.0411, Table13[[#This Row],[T]], ((Table13[[#This Row],[BIDC]]+Table13[[#This Row],[ASKC]])/2), TRUE))</f>
        <v>0</v>
      </c>
      <c r="I315" t="b">
        <f>IF(     ISNUMBER(Table13[[#This Row],[Strike]]),RTD("tos.rtd", , "BID", "."&amp;Table13[[#This Row],[Ticker]]&amp;Table13[[#This Row],[Expiry]]&amp;""&amp;"C"&amp;Table13[[#This Row],[Strike]]))</f>
        <v>0</v>
      </c>
      <c r="J315" t="b">
        <f>IF(     ISNUMBER(Table13[[#This Row],[Strike]]),RTD("tos.rtd", , "ASK", "."&amp;Table13[[#This Row],[Ticker]]&amp;Table13[[#This Row],[Expiry]]&amp;""&amp;"C"&amp;Table13[[#This Row],[Strike]]))</f>
        <v>0</v>
      </c>
      <c r="K31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5" s="17" cm="1">
        <f t="array" aca="1" ref="L31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5" s="1">
        <f t="shared" si="30"/>
        <v>0</v>
      </c>
      <c r="N315" t="b">
        <f t="shared" si="31"/>
        <v>0</v>
      </c>
      <c r="P315" s="17" t="b" cm="1">
        <f t="array" ref="P315">IF(
    ISNUMBER(Table13[[#This Row],[Strike]]),IndividualLegIVCore($A$4, Table13[[#This Row],[Strike]], 0.0411, Table13[[#This Row],[T]], ((Table13[[#This Row],[BIDP]]+Table13[[#This Row],[ASKP]])/2), FALSE))</f>
        <v>0</v>
      </c>
      <c r="Q315" t="b">
        <f>IF(     ISNUMBER(Table13[[#This Row],[Strike]]),RTD("tos.rtd", , "BID", "."&amp;Table13[[#This Row],[Ticker]]&amp;Table13[[#This Row],[Expiry]]&amp;""&amp;"P"&amp;Table13[[#This Row],[Strike]]))</f>
        <v>0</v>
      </c>
      <c r="R315" t="b">
        <f>IF(     ISNUMBER(Table13[[#This Row],[Strike]]),RTD("tos.rtd", , "ASK", "."&amp;Table13[[#This Row],[Ticker]]&amp;Table13[[#This Row],[Expiry]]&amp;""&amp;"P"&amp;Table13[[#This Row],[Strike]]))</f>
        <v>0</v>
      </c>
      <c r="S315" s="17"/>
      <c r="T315" t="b">
        <f>IF(     ISNUMBER(Table13[[#This Row],[Strike]]),RTD("tos.rtd", , "OPEN_INT", "."&amp;Table13[[#This Row],[Ticker]]&amp;Table13[[#This Row],[Expiry]]&amp;""&amp;"P"&amp;Table13[[#This Row],[Strike]]))</f>
        <v>0</v>
      </c>
      <c r="U31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5" t="b">
        <f>IF(     ISNUMBER(Table13[[#This Row],[Strike]]),RTD("tos.rtd", , "DELTA", "."&amp;Table13[[#This Row],[Ticker]]&amp;Table13[[#This Row],[Expiry]]&amp;""&amp;"P"&amp;Table13[[#This Row],[Strike]]))</f>
        <v>0</v>
      </c>
      <c r="Y315" s="19">
        <f>1* IF($M$1="NDX", 10, IF(OR($M$1="SPX", $M$1="RUT"), 2, 1))</f>
        <v>2</v>
      </c>
      <c r="Z315">
        <f ca="1">IFERROR(Table13[[#This Row],[call gamma]]*(Table13[[#This Row],[Open.Int]])*$A$4^2,0)</f>
        <v>0</v>
      </c>
      <c r="AA315">
        <f ca="1">IFERROR(((Table13[[#This Row],[Open.Int8]])*Table13[[#This Row],[Put gamma]])*-1*$A$4^2,0)</f>
        <v>0</v>
      </c>
      <c r="AB315">
        <f ca="1">(Table13[[#This Row],[Call Gex]]+Table13[[#This Row],[Put Gex]])</f>
        <v>0</v>
      </c>
      <c r="AC315">
        <f ca="1">Table13[[#This Row],[put delta adj]]+Table13[[#This Row],[call delta adj]]</f>
        <v>0</v>
      </c>
      <c r="AD315">
        <f ca="1">Table13[[#This Row],[Put Gex]]*Table13[[#This Row],[DeltaP]]*-1</f>
        <v>0</v>
      </c>
      <c r="AE315">
        <f ca="1">Table13[[#This Row],[Call Gex]]*Table13[[#This Row],[DeltaC]]</f>
        <v>0</v>
      </c>
      <c r="AF315">
        <f>IF(Table13[[#This Row],[DeltaC]]-ABS(Table13[[#This Row],[DeltaP]])="0","0.01",Table13[[#This Row],[DeltaC]]-ABS(Table13[[#This Row],[DeltaP]]))</f>
        <v>0</v>
      </c>
      <c r="AG315" t="e">
        <f ca="1">((LN($A$4/Table13[[#This Row],[Strike]]) + (0.411 + 0.5 * Table13[[#This Row],[IV Calc P]]^2) *Table13[[#This Row],[T]])) / (Table13[[#This Row],[IV Calc P]] * SQRT(Table13[[#This Row],[T]]))</f>
        <v>#DIV/0!</v>
      </c>
      <c r="AH315" t="e">
        <f ca="1">(LN($A$4/Table13[[#This Row],[Strike]]) + (0.411-0 + 0.5 * Table13[[#This Row],[IV Calc C]]^2) *Table13[[#This Row],[T]]) / (Table13[[#This Row],[IV Calc C]] * SQRT(Table13[[#This Row],[T]]))</f>
        <v>#DIV/0!</v>
      </c>
      <c r="AI315" t="e">
        <f ca="1">(EXP(-(AG315^2)/2)/SQRT(2*PI())*EXP(0*SQRT(Table13[[#This Row],[T]]))/$A$4*18%*SQRT(SQRT(Table13[[#This Row],[T]])))</f>
        <v>#DIV/0!</v>
      </c>
      <c r="AJ315" t="e">
        <f ca="1">(EXP(-(AH315^2)/2)/SQRT(2*PI())*EXP(0*SQRT(Table13[[#This Row],[T]]))/$A$4*18%*SQRT(SQRT(Table13[[#This Row],[T]])))</f>
        <v>#DIV/0!</v>
      </c>
      <c r="AK315" t="e">
        <f ca="1">Table13[[#This Row],[Call D1]]-Table13[[#This Row],[IV Calc C]]*SQRT(Table13[[#This Row],[T]])</f>
        <v>#DIV/0!</v>
      </c>
      <c r="AL315" t="e">
        <f ca="1">Table13[[#This Row],[Put D1]]-Table13[[#This Row],[IV Calc P]]*SQRT(Table13[[#This Row],[T]])</f>
        <v>#DIV/0!</v>
      </c>
      <c r="AM315" t="e">
        <f ca="1">EXP(-0.5*Table13[[#This Row],[Call D1]]^2)/SQRT(2*PI())</f>
        <v>#DIV/0!</v>
      </c>
      <c r="AN315" t="e">
        <f ca="1">EXP(-0.5*Table13[[#This Row],[Put D1]]^2)/SQRT(2*PI())</f>
        <v>#DIV/0!</v>
      </c>
      <c r="AO315">
        <f ca="1">IFERROR((EXP(0*Table13[[#This Row],[T]])*Table13[[#This Row],[call N(d1)]]*(Table13[[#This Row],[call d2]]/Table13[[#This Row],[IV Calc C]]))*Table13[[#This Row],[Open.Int]]*Table13[[#This Row],[DeltaC]],0)</f>
        <v>0</v>
      </c>
      <c r="AP315">
        <f ca="1">IFERROR((EXP(0*Table13[[#This Row],[T]])*Table13[[#This Row],[put N(d1)]]*(Table13[[#This Row],[put d2]]/Table13[[#This Row],[IV Calc P]]))*Table13[[#This Row],[Open.Int8]]*Table13[[#This Row],[DeltaP]]*-1,0)</f>
        <v>0</v>
      </c>
      <c r="AQ315">
        <f ca="1">((Table13[[#This Row],[call vanna]]+Table13[[#This Row],[put vanna]])*$A$4)</f>
        <v>0</v>
      </c>
      <c r="AR31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5" s="9" t="str" cm="1">
        <f t="array" ref="AT315">_xlfn.IFS(     $M$1="SPX","SPXW",     $M$1="RUT","RUTW",  $M$1="NDX","NDXP",   TRUE,$M$1 )</f>
        <v>SPXW</v>
      </c>
      <c r="AU315" s="2">
        <f t="shared" si="32"/>
        <v>6915</v>
      </c>
      <c r="AV315" t="str">
        <f t="shared" si="33"/>
        <v>000100</v>
      </c>
      <c r="AY31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5">
        <f>((Table13[[#This Row],[High C]]+Table13[[#This Row],[Low C]])/2)*Table13[[#This Row],[gammac]]*Table13[[#This Row],[Volume]]</f>
        <v>0</v>
      </c>
      <c r="BD315">
        <f>((Table13[[#This Row],[High P]]+Table13[[#This Row],[Low P]])/2)*Table13[[#This Row],[gammap]]*Table13[[#This Row],[Volume9]]*-1</f>
        <v>0</v>
      </c>
      <c r="BE315">
        <f>(Table13[[#This Row],[SgammaC]]+Table13[[#This Row],[SgammaP]])*$A$4*-100</f>
        <v>0</v>
      </c>
      <c r="BF315">
        <f>Table13[[#This Row],[DEXc]]+Table13[[#This Row],[DEXp]]</f>
        <v>0</v>
      </c>
      <c r="BG315">
        <f>IFERROR(Table13[[#This Row],[DeltaC]]*Table13[[#This Row],[Open.Int]]*$A$4,0)</f>
        <v>0</v>
      </c>
      <c r="BH315">
        <f>IFERROR(Table13[[#This Row],[DeltaP]]*Table13[[#This Row],[Open.Int8]]*$A$4,0)</f>
        <v>0</v>
      </c>
      <c r="BI31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5">
        <f ca="1">Table13[[#This Row],[charmc]]+Table13[[#This Row],[charmp]]</f>
        <v>0</v>
      </c>
      <c r="BL31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5" s="78">
        <f ca="1">Table13[[#This Row],[call helper]]+Table13[[#This Row],[put helper]]</f>
        <v>0</v>
      </c>
      <c r="BP315" t="str">
        <f>RTD("tos.rtd", , "STRIKE", "."&amp;Table13[[#This Row],[Ticker]]&amp;Table13[[#This Row],[Expiry]]&amp;""&amp;"C"&amp;Table13[[#This Row],[Spot]]+Table13[[#This Row],[step]])</f>
        <v>N/A</v>
      </c>
    </row>
    <row r="316" spans="1:77" x14ac:dyDescent="0.25">
      <c r="A316" s="14">
        <f t="shared" ca="1" si="29"/>
        <v>-126.14810350076104</v>
      </c>
      <c r="C316" s="17"/>
      <c r="D316" t="b">
        <f>IF(
    ISNUMBER(Table13[[#This Row],[Strike]]),RTD("tos.rtd", , "OPEN_INT", "."&amp;Table13[[#This Row],[Ticker]]&amp;Table13[[#This Row],[Expiry]]&amp;""&amp;"C"&amp;Table13[[#This Row],[Strike]]))</f>
        <v>0</v>
      </c>
      <c r="E31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6" t="b">
        <f>IF(     ISNUMBER(Table13[[#This Row],[Strike]]),RTD("tos.rtd", , "DELTA", "."&amp;Table13[[#This Row],[Ticker]]&amp;Table13[[#This Row],[Expiry]]&amp;""&amp;"C"&amp;Table13[[#This Row],[Strike]]))</f>
        <v>0</v>
      </c>
      <c r="H316" s="17" t="b" cm="1">
        <f t="array" ref="H316">IF(
    ISNUMBER(Table13[[#This Row],[Strike]]),IndividualLegIVCore($A$4, Table13[[#This Row],[Strike]], 0.0411, Table13[[#This Row],[T]], ((Table13[[#This Row],[BIDC]]+Table13[[#This Row],[ASKC]])/2), TRUE))</f>
        <v>0</v>
      </c>
      <c r="I316" t="b">
        <f>IF(     ISNUMBER(Table13[[#This Row],[Strike]]),RTD("tos.rtd", , "BID", "."&amp;Table13[[#This Row],[Ticker]]&amp;Table13[[#This Row],[Expiry]]&amp;""&amp;"C"&amp;Table13[[#This Row],[Strike]]))</f>
        <v>0</v>
      </c>
      <c r="J316" t="b">
        <f>IF(     ISNUMBER(Table13[[#This Row],[Strike]]),RTD("tos.rtd", , "ASK", "."&amp;Table13[[#This Row],[Ticker]]&amp;Table13[[#This Row],[Expiry]]&amp;""&amp;"C"&amp;Table13[[#This Row],[Strike]]))</f>
        <v>0</v>
      </c>
      <c r="K31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6" s="17" cm="1">
        <f t="array" aca="1" ref="L31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6" s="1">
        <f t="shared" si="30"/>
        <v>0</v>
      </c>
      <c r="N316" t="b">
        <f t="shared" si="31"/>
        <v>0</v>
      </c>
      <c r="P316" s="17" t="b" cm="1">
        <f t="array" ref="P316">IF(
    ISNUMBER(Table13[[#This Row],[Strike]]),IndividualLegIVCore($A$4, Table13[[#This Row],[Strike]], 0.0411, Table13[[#This Row],[T]], ((Table13[[#This Row],[BIDP]]+Table13[[#This Row],[ASKP]])/2), FALSE))</f>
        <v>0</v>
      </c>
      <c r="Q316" t="b">
        <f>IF(     ISNUMBER(Table13[[#This Row],[Strike]]),RTD("tos.rtd", , "BID", "."&amp;Table13[[#This Row],[Ticker]]&amp;Table13[[#This Row],[Expiry]]&amp;""&amp;"P"&amp;Table13[[#This Row],[Strike]]))</f>
        <v>0</v>
      </c>
      <c r="R316" t="b">
        <f>IF(     ISNUMBER(Table13[[#This Row],[Strike]]),RTD("tos.rtd", , "ASK", "."&amp;Table13[[#This Row],[Ticker]]&amp;Table13[[#This Row],[Expiry]]&amp;""&amp;"P"&amp;Table13[[#This Row],[Strike]]))</f>
        <v>0</v>
      </c>
      <c r="S316" s="17"/>
      <c r="T316" t="b">
        <f>IF(     ISNUMBER(Table13[[#This Row],[Strike]]),RTD("tos.rtd", , "OPEN_INT", "."&amp;Table13[[#This Row],[Ticker]]&amp;Table13[[#This Row],[Expiry]]&amp;""&amp;"P"&amp;Table13[[#This Row],[Strike]]))</f>
        <v>0</v>
      </c>
      <c r="U31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6" t="b">
        <f>IF(     ISNUMBER(Table13[[#This Row],[Strike]]),RTD("tos.rtd", , "DELTA", "."&amp;Table13[[#This Row],[Ticker]]&amp;Table13[[#This Row],[Expiry]]&amp;""&amp;"P"&amp;Table13[[#This Row],[Strike]]))</f>
        <v>0</v>
      </c>
      <c r="Y316" s="19">
        <f>1.5* IF($M$1="NDX", 10, IF(OR($M$1="SPX", $M$1="RUT"), 2, 1))</f>
        <v>3</v>
      </c>
      <c r="Z316">
        <f ca="1">IFERROR(Table13[[#This Row],[call gamma]]*(Table13[[#This Row],[Open.Int]])*$A$4^2,0)</f>
        <v>0</v>
      </c>
      <c r="AA316">
        <f ca="1">IFERROR(((Table13[[#This Row],[Open.Int8]])*Table13[[#This Row],[Put gamma]])*-1*$A$4^2,0)</f>
        <v>0</v>
      </c>
      <c r="AB316">
        <f ca="1">(Table13[[#This Row],[Call Gex]]+Table13[[#This Row],[Put Gex]])</f>
        <v>0</v>
      </c>
      <c r="AC316">
        <f ca="1">Table13[[#This Row],[put delta adj]]+Table13[[#This Row],[call delta adj]]</f>
        <v>0</v>
      </c>
      <c r="AD316">
        <f ca="1">Table13[[#This Row],[Put Gex]]*Table13[[#This Row],[DeltaP]]*-1</f>
        <v>0</v>
      </c>
      <c r="AE316">
        <f ca="1">Table13[[#This Row],[Call Gex]]*Table13[[#This Row],[DeltaC]]</f>
        <v>0</v>
      </c>
      <c r="AF316">
        <f>IF(Table13[[#This Row],[DeltaC]]-ABS(Table13[[#This Row],[DeltaP]])="0","0.01",Table13[[#This Row],[DeltaC]]-ABS(Table13[[#This Row],[DeltaP]]))</f>
        <v>0</v>
      </c>
      <c r="AG316" t="e">
        <f ca="1">((LN($A$4/Table13[[#This Row],[Strike]]) + (0.411 + 0.5 * Table13[[#This Row],[IV Calc P]]^2) *Table13[[#This Row],[T]])) / (Table13[[#This Row],[IV Calc P]] * SQRT(Table13[[#This Row],[T]]))</f>
        <v>#DIV/0!</v>
      </c>
      <c r="AH316" t="e">
        <f ca="1">(LN($A$4/Table13[[#This Row],[Strike]]) + (0.411-0 + 0.5 * Table13[[#This Row],[IV Calc C]]^2) *Table13[[#This Row],[T]]) / (Table13[[#This Row],[IV Calc C]] * SQRT(Table13[[#This Row],[T]]))</f>
        <v>#DIV/0!</v>
      </c>
      <c r="AI316" t="e">
        <f ca="1">(EXP(-(AG316^2)/2)/SQRT(2*PI())*EXP(0*SQRT(Table13[[#This Row],[T]]))/$A$4*18%*SQRT(SQRT(Table13[[#This Row],[T]])))</f>
        <v>#DIV/0!</v>
      </c>
      <c r="AJ316" t="e">
        <f ca="1">(EXP(-(AH316^2)/2)/SQRT(2*PI())*EXP(0*SQRT(Table13[[#This Row],[T]]))/$A$4*18%*SQRT(SQRT(Table13[[#This Row],[T]])))</f>
        <v>#DIV/0!</v>
      </c>
      <c r="AK316" t="e">
        <f ca="1">Table13[[#This Row],[Call D1]]-Table13[[#This Row],[IV Calc C]]*SQRT(Table13[[#This Row],[T]])</f>
        <v>#DIV/0!</v>
      </c>
      <c r="AL316" t="e">
        <f ca="1">Table13[[#This Row],[Put D1]]-Table13[[#This Row],[IV Calc P]]*SQRT(Table13[[#This Row],[T]])</f>
        <v>#DIV/0!</v>
      </c>
      <c r="AM316" t="e">
        <f ca="1">EXP(-0.5*Table13[[#This Row],[Call D1]]^2)/SQRT(2*PI())</f>
        <v>#DIV/0!</v>
      </c>
      <c r="AN316" t="e">
        <f ca="1">EXP(-0.5*Table13[[#This Row],[Put D1]]^2)/SQRT(2*PI())</f>
        <v>#DIV/0!</v>
      </c>
      <c r="AO316">
        <f ca="1">IFERROR((EXP(0*Table13[[#This Row],[T]])*Table13[[#This Row],[call N(d1)]]*(Table13[[#This Row],[call d2]]/Table13[[#This Row],[IV Calc C]]))*Table13[[#This Row],[Open.Int]]*Table13[[#This Row],[DeltaC]],0)</f>
        <v>0</v>
      </c>
      <c r="AP316">
        <f ca="1">IFERROR((EXP(0*Table13[[#This Row],[T]])*Table13[[#This Row],[put N(d1)]]*(Table13[[#This Row],[put d2]]/Table13[[#This Row],[IV Calc P]]))*Table13[[#This Row],[Open.Int8]]*Table13[[#This Row],[DeltaP]]*-1,0)</f>
        <v>0</v>
      </c>
      <c r="AQ316">
        <f ca="1">((Table13[[#This Row],[call vanna]]+Table13[[#This Row],[put vanna]])*$A$4)</f>
        <v>0</v>
      </c>
      <c r="AR31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6" s="9" t="str" cm="1">
        <f t="array" ref="AT316">_xlfn.IFS(     $M$1="SPX","SPXW",     $M$1="RUT","RUTW",  $M$1="NDX","NDXP",   TRUE,$M$1 )</f>
        <v>SPXW</v>
      </c>
      <c r="AU316" s="2">
        <f t="shared" si="32"/>
        <v>6915</v>
      </c>
      <c r="AV316" t="str">
        <f t="shared" si="33"/>
        <v>000100</v>
      </c>
      <c r="AY31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6">
        <f>((Table13[[#This Row],[High C]]+Table13[[#This Row],[Low C]])/2)*Table13[[#This Row],[gammac]]*Table13[[#This Row],[Volume]]</f>
        <v>0</v>
      </c>
      <c r="BD316">
        <f>((Table13[[#This Row],[High P]]+Table13[[#This Row],[Low P]])/2)*Table13[[#This Row],[gammap]]*Table13[[#This Row],[Volume9]]*-1</f>
        <v>0</v>
      </c>
      <c r="BE316">
        <f>(Table13[[#This Row],[SgammaC]]+Table13[[#This Row],[SgammaP]])*$A$4*-100</f>
        <v>0</v>
      </c>
      <c r="BF316">
        <f>Table13[[#This Row],[DEXc]]+Table13[[#This Row],[DEXp]]</f>
        <v>0</v>
      </c>
      <c r="BG316">
        <f>IFERROR(Table13[[#This Row],[DeltaC]]*Table13[[#This Row],[Open.Int]]*$A$4,0)</f>
        <v>0</v>
      </c>
      <c r="BH316">
        <f>IFERROR(Table13[[#This Row],[DeltaP]]*Table13[[#This Row],[Open.Int8]]*$A$4,0)</f>
        <v>0</v>
      </c>
      <c r="BI31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6">
        <f ca="1">Table13[[#This Row],[charmc]]+Table13[[#This Row],[charmp]]</f>
        <v>0</v>
      </c>
      <c r="BL31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6" s="78">
        <f ca="1">Table13[[#This Row],[call helper]]+Table13[[#This Row],[put helper]]</f>
        <v>0</v>
      </c>
      <c r="BP316" t="str">
        <f>RTD("tos.rtd", , "STRIKE", "."&amp;Table13[[#This Row],[Ticker]]&amp;Table13[[#This Row],[Expiry]]&amp;""&amp;"C"&amp;Table13[[#This Row],[Spot]]+Table13[[#This Row],[step]])</f>
        <v>N/A</v>
      </c>
    </row>
    <row r="317" spans="1:77" x14ac:dyDescent="0.25">
      <c r="A317" s="14">
        <f t="shared" ca="1" si="29"/>
        <v>-126.14810350076104</v>
      </c>
      <c r="C317" s="17"/>
      <c r="D317" t="b">
        <f>IF(
    ISNUMBER(Table13[[#This Row],[Strike]]),RTD("tos.rtd", , "OPEN_INT", "."&amp;Table13[[#This Row],[Ticker]]&amp;Table13[[#This Row],[Expiry]]&amp;""&amp;"C"&amp;Table13[[#This Row],[Strike]]))</f>
        <v>0</v>
      </c>
      <c r="E31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7" t="b">
        <f>IF(     ISNUMBER(Table13[[#This Row],[Strike]]),RTD("tos.rtd", , "DELTA", "."&amp;Table13[[#This Row],[Ticker]]&amp;Table13[[#This Row],[Expiry]]&amp;""&amp;"C"&amp;Table13[[#This Row],[Strike]]))</f>
        <v>0</v>
      </c>
      <c r="H317" s="17" t="b" cm="1">
        <f t="array" ref="H317">IF(
    ISNUMBER(Table13[[#This Row],[Strike]]),IndividualLegIVCore($A$4, Table13[[#This Row],[Strike]], 0.0411, Table13[[#This Row],[T]], ((Table13[[#This Row],[BIDC]]+Table13[[#This Row],[ASKC]])/2), TRUE))</f>
        <v>0</v>
      </c>
      <c r="I317" t="b">
        <f>IF(     ISNUMBER(Table13[[#This Row],[Strike]]),RTD("tos.rtd", , "BID", "."&amp;Table13[[#This Row],[Ticker]]&amp;Table13[[#This Row],[Expiry]]&amp;""&amp;"C"&amp;Table13[[#This Row],[Strike]]))</f>
        <v>0</v>
      </c>
      <c r="J317" t="b">
        <f>IF(     ISNUMBER(Table13[[#This Row],[Strike]]),RTD("tos.rtd", , "ASK", "."&amp;Table13[[#This Row],[Ticker]]&amp;Table13[[#This Row],[Expiry]]&amp;""&amp;"C"&amp;Table13[[#This Row],[Strike]]))</f>
        <v>0</v>
      </c>
      <c r="K31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7" s="17" cm="1">
        <f t="array" aca="1" ref="L31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7" s="1">
        <f t="shared" si="30"/>
        <v>0</v>
      </c>
      <c r="N317" t="b">
        <f t="shared" si="31"/>
        <v>0</v>
      </c>
      <c r="P317" s="17" t="b" cm="1">
        <f t="array" ref="P317">IF(
    ISNUMBER(Table13[[#This Row],[Strike]]),IndividualLegIVCore($A$4, Table13[[#This Row],[Strike]], 0.0411, Table13[[#This Row],[T]], ((Table13[[#This Row],[BIDP]]+Table13[[#This Row],[ASKP]])/2), FALSE))</f>
        <v>0</v>
      </c>
      <c r="Q317" t="b">
        <f>IF(     ISNUMBER(Table13[[#This Row],[Strike]]),RTD("tos.rtd", , "BID", "."&amp;Table13[[#This Row],[Ticker]]&amp;Table13[[#This Row],[Expiry]]&amp;""&amp;"P"&amp;Table13[[#This Row],[Strike]]))</f>
        <v>0</v>
      </c>
      <c r="R317" t="b">
        <f>IF(     ISNUMBER(Table13[[#This Row],[Strike]]),RTD("tos.rtd", , "ASK", "."&amp;Table13[[#This Row],[Ticker]]&amp;Table13[[#This Row],[Expiry]]&amp;""&amp;"P"&amp;Table13[[#This Row],[Strike]]))</f>
        <v>0</v>
      </c>
      <c r="S317" s="17"/>
      <c r="T317" t="b">
        <f>IF(     ISNUMBER(Table13[[#This Row],[Strike]]),RTD("tos.rtd", , "OPEN_INT", "."&amp;Table13[[#This Row],[Ticker]]&amp;Table13[[#This Row],[Expiry]]&amp;""&amp;"P"&amp;Table13[[#This Row],[Strike]]))</f>
        <v>0</v>
      </c>
      <c r="U31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7" t="b">
        <f>IF(     ISNUMBER(Table13[[#This Row],[Strike]]),RTD("tos.rtd", , "DELTA", "."&amp;Table13[[#This Row],[Ticker]]&amp;Table13[[#This Row],[Expiry]]&amp;""&amp;"P"&amp;Table13[[#This Row],[Strike]]))</f>
        <v>0</v>
      </c>
      <c r="Y317" s="19">
        <f>2 * IF($M$1="NDX", 10, IF(OR($M$1="SPX", $M$1="RUT"), 2, 1))</f>
        <v>4</v>
      </c>
      <c r="Z317">
        <f ca="1">IFERROR(Table13[[#This Row],[call gamma]]*(Table13[[#This Row],[Open.Int]])*$A$4^2,0)</f>
        <v>0</v>
      </c>
      <c r="AA317">
        <f ca="1">IFERROR(((Table13[[#This Row],[Open.Int8]])*Table13[[#This Row],[Put gamma]])*-1*$A$4^2,0)</f>
        <v>0</v>
      </c>
      <c r="AB317">
        <f ca="1">(Table13[[#This Row],[Call Gex]]+Table13[[#This Row],[Put Gex]])</f>
        <v>0</v>
      </c>
      <c r="AC317">
        <f ca="1">Table13[[#This Row],[put delta adj]]+Table13[[#This Row],[call delta adj]]</f>
        <v>0</v>
      </c>
      <c r="AD317">
        <f ca="1">Table13[[#This Row],[Put Gex]]*Table13[[#This Row],[DeltaP]]*-1</f>
        <v>0</v>
      </c>
      <c r="AE317">
        <f ca="1">Table13[[#This Row],[Call Gex]]*Table13[[#This Row],[DeltaC]]</f>
        <v>0</v>
      </c>
      <c r="AF317">
        <f>IF(Table13[[#This Row],[DeltaC]]-ABS(Table13[[#This Row],[DeltaP]])="0","0.01",Table13[[#This Row],[DeltaC]]-ABS(Table13[[#This Row],[DeltaP]]))</f>
        <v>0</v>
      </c>
      <c r="AG317" t="e">
        <f ca="1">((LN($A$4/Table13[[#This Row],[Strike]]) + (0.411 + 0.5 * Table13[[#This Row],[IV Calc P]]^2) *Table13[[#This Row],[T]])) / (Table13[[#This Row],[IV Calc P]] * SQRT(Table13[[#This Row],[T]]))</f>
        <v>#DIV/0!</v>
      </c>
      <c r="AH317" t="e">
        <f ca="1">(LN($A$4/Table13[[#This Row],[Strike]]) + (0.411-0 + 0.5 * Table13[[#This Row],[IV Calc C]]^2) *Table13[[#This Row],[T]]) / (Table13[[#This Row],[IV Calc C]] * SQRT(Table13[[#This Row],[T]]))</f>
        <v>#DIV/0!</v>
      </c>
      <c r="AI317" t="e">
        <f ca="1">(EXP(-(AG317^2)/2)/SQRT(2*PI())*EXP(0*SQRT(Table13[[#This Row],[T]]))/$A$4*18%*SQRT(SQRT(Table13[[#This Row],[T]])))</f>
        <v>#DIV/0!</v>
      </c>
      <c r="AJ317" t="e">
        <f ca="1">(EXP(-(AH317^2)/2)/SQRT(2*PI())*EXP(0*SQRT(Table13[[#This Row],[T]]))/$A$4*18%*SQRT(SQRT(Table13[[#This Row],[T]])))</f>
        <v>#DIV/0!</v>
      </c>
      <c r="AK317" t="e">
        <f ca="1">Table13[[#This Row],[Call D1]]-Table13[[#This Row],[IV Calc C]]*SQRT(Table13[[#This Row],[T]])</f>
        <v>#DIV/0!</v>
      </c>
      <c r="AL317" t="e">
        <f ca="1">Table13[[#This Row],[Put D1]]-Table13[[#This Row],[IV Calc P]]*SQRT(Table13[[#This Row],[T]])</f>
        <v>#DIV/0!</v>
      </c>
      <c r="AM317" t="e">
        <f ca="1">EXP(-0.5*Table13[[#This Row],[Call D1]]^2)/SQRT(2*PI())</f>
        <v>#DIV/0!</v>
      </c>
      <c r="AN317" t="e">
        <f ca="1">EXP(-0.5*Table13[[#This Row],[Put D1]]^2)/SQRT(2*PI())</f>
        <v>#DIV/0!</v>
      </c>
      <c r="AO317">
        <f ca="1">IFERROR((EXP(0*Table13[[#This Row],[T]])*Table13[[#This Row],[call N(d1)]]*(Table13[[#This Row],[call d2]]/Table13[[#This Row],[IV Calc C]]))*Table13[[#This Row],[Open.Int]]*Table13[[#This Row],[DeltaC]],0)</f>
        <v>0</v>
      </c>
      <c r="AP317">
        <f ca="1">IFERROR((EXP(0*Table13[[#This Row],[T]])*Table13[[#This Row],[put N(d1)]]*(Table13[[#This Row],[put d2]]/Table13[[#This Row],[IV Calc P]]))*Table13[[#This Row],[Open.Int8]]*Table13[[#This Row],[DeltaP]]*-1,0)</f>
        <v>0</v>
      </c>
      <c r="AQ317">
        <f ca="1">((Table13[[#This Row],[call vanna]]+Table13[[#This Row],[put vanna]])*$A$4)</f>
        <v>0</v>
      </c>
      <c r="AR31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7" s="9" t="str" cm="1">
        <f t="array" ref="AT317">_xlfn.IFS(     $M$1="SPX","SPXW",     $M$1="RUT","RUTW",  $M$1="NDX","NDXP",   TRUE,$M$1 )</f>
        <v>SPXW</v>
      </c>
      <c r="AU317" s="2">
        <f t="shared" si="32"/>
        <v>6915</v>
      </c>
      <c r="AV317" t="str">
        <f t="shared" si="33"/>
        <v>000100</v>
      </c>
      <c r="AY31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7">
        <f>((Table13[[#This Row],[High C]]+Table13[[#This Row],[Low C]])/2)*Table13[[#This Row],[gammac]]*Table13[[#This Row],[Volume]]</f>
        <v>0</v>
      </c>
      <c r="BD317">
        <f>((Table13[[#This Row],[High P]]+Table13[[#This Row],[Low P]])/2)*Table13[[#This Row],[gammap]]*Table13[[#This Row],[Volume9]]*-1</f>
        <v>0</v>
      </c>
      <c r="BE317">
        <f>(Table13[[#This Row],[SgammaC]]+Table13[[#This Row],[SgammaP]])*$A$4*-100</f>
        <v>0</v>
      </c>
      <c r="BF317">
        <f>Table13[[#This Row],[DEXc]]+Table13[[#This Row],[DEXp]]</f>
        <v>0</v>
      </c>
      <c r="BG317">
        <f>IFERROR(Table13[[#This Row],[DeltaC]]*Table13[[#This Row],[Open.Int]]*$A$4,0)</f>
        <v>0</v>
      </c>
      <c r="BH317">
        <f>IFERROR(Table13[[#This Row],[DeltaP]]*Table13[[#This Row],[Open.Int8]]*$A$4,0)</f>
        <v>0</v>
      </c>
      <c r="BI31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7">
        <f ca="1">Table13[[#This Row],[charmc]]+Table13[[#This Row],[charmp]]</f>
        <v>0</v>
      </c>
      <c r="BL31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7" s="78">
        <f ca="1">Table13[[#This Row],[call helper]]+Table13[[#This Row],[put helper]]</f>
        <v>0</v>
      </c>
      <c r="BP317" t="str">
        <f>RTD("tos.rtd", , "STRIKE", "."&amp;Table13[[#This Row],[Ticker]]&amp;Table13[[#This Row],[Expiry]]&amp;""&amp;"C"&amp;Table13[[#This Row],[Spot]]+Table13[[#This Row],[step]])</f>
        <v>N/A</v>
      </c>
    </row>
    <row r="318" spans="1:77" x14ac:dyDescent="0.25">
      <c r="A318" s="14">
        <f t="shared" ca="1" si="29"/>
        <v>-126.14810350076104</v>
      </c>
      <c r="C318" s="17"/>
      <c r="D318" t="b">
        <f>IF(
    ISNUMBER(Table13[[#This Row],[Strike]]),RTD("tos.rtd", , "OPEN_INT", "."&amp;Table13[[#This Row],[Ticker]]&amp;Table13[[#This Row],[Expiry]]&amp;""&amp;"C"&amp;Table13[[#This Row],[Strike]]))</f>
        <v>0</v>
      </c>
      <c r="E31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8" t="b">
        <f>IF(     ISNUMBER(Table13[[#This Row],[Strike]]),RTD("tos.rtd", , "DELTA", "."&amp;Table13[[#This Row],[Ticker]]&amp;Table13[[#This Row],[Expiry]]&amp;""&amp;"C"&amp;Table13[[#This Row],[Strike]]))</f>
        <v>0</v>
      </c>
      <c r="H318" s="17" t="b" cm="1">
        <f t="array" ref="H318">IF(
    ISNUMBER(Table13[[#This Row],[Strike]]),IndividualLegIVCore($A$4, Table13[[#This Row],[Strike]], 0.0411, Table13[[#This Row],[T]], ((Table13[[#This Row],[BIDC]]+Table13[[#This Row],[ASKC]])/2), TRUE))</f>
        <v>0</v>
      </c>
      <c r="I318" t="b">
        <f>IF(     ISNUMBER(Table13[[#This Row],[Strike]]),RTD("tos.rtd", , "BID", "."&amp;Table13[[#This Row],[Ticker]]&amp;Table13[[#This Row],[Expiry]]&amp;""&amp;"C"&amp;Table13[[#This Row],[Strike]]))</f>
        <v>0</v>
      </c>
      <c r="J318" t="b">
        <f>IF(     ISNUMBER(Table13[[#This Row],[Strike]]),RTD("tos.rtd", , "ASK", "."&amp;Table13[[#This Row],[Ticker]]&amp;Table13[[#This Row],[Expiry]]&amp;""&amp;"C"&amp;Table13[[#This Row],[Strike]]))</f>
        <v>0</v>
      </c>
      <c r="K31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8" s="17" cm="1">
        <f t="array" aca="1" ref="L31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8" s="1">
        <f t="shared" si="30"/>
        <v>0</v>
      </c>
      <c r="N318" t="b">
        <f t="shared" si="31"/>
        <v>0</v>
      </c>
      <c r="P318" s="17" t="b" cm="1">
        <f t="array" ref="P318">IF(
    ISNUMBER(Table13[[#This Row],[Strike]]),IndividualLegIVCore($A$4, Table13[[#This Row],[Strike]], 0.0411, Table13[[#This Row],[T]], ((Table13[[#This Row],[BIDP]]+Table13[[#This Row],[ASKP]])/2), FALSE))</f>
        <v>0</v>
      </c>
      <c r="Q318" t="b">
        <f>IF(     ISNUMBER(Table13[[#This Row],[Strike]]),RTD("tos.rtd", , "BID", "."&amp;Table13[[#This Row],[Ticker]]&amp;Table13[[#This Row],[Expiry]]&amp;""&amp;"P"&amp;Table13[[#This Row],[Strike]]))</f>
        <v>0</v>
      </c>
      <c r="R318" t="b">
        <f>IF(     ISNUMBER(Table13[[#This Row],[Strike]]),RTD("tos.rtd", , "ASK", "."&amp;Table13[[#This Row],[Ticker]]&amp;Table13[[#This Row],[Expiry]]&amp;""&amp;"P"&amp;Table13[[#This Row],[Strike]]))</f>
        <v>0</v>
      </c>
      <c r="S318" s="17"/>
      <c r="T318" t="b">
        <f>IF(     ISNUMBER(Table13[[#This Row],[Strike]]),RTD("tos.rtd", , "OPEN_INT", "."&amp;Table13[[#This Row],[Ticker]]&amp;Table13[[#This Row],[Expiry]]&amp;""&amp;"P"&amp;Table13[[#This Row],[Strike]]))</f>
        <v>0</v>
      </c>
      <c r="U31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8" t="b">
        <f>IF(     ISNUMBER(Table13[[#This Row],[Strike]]),RTD("tos.rtd", , "DELTA", "."&amp;Table13[[#This Row],[Ticker]]&amp;Table13[[#This Row],[Expiry]]&amp;""&amp;"P"&amp;Table13[[#This Row],[Strike]]))</f>
        <v>0</v>
      </c>
      <c r="Y318" s="19">
        <f>2.5* IF($M$1="NDX", 10, IF(OR($M$1="SPX", $M$1="RUT"), 2, 1))</f>
        <v>5</v>
      </c>
      <c r="Z318">
        <f ca="1">IFERROR(Table13[[#This Row],[call gamma]]*(Table13[[#This Row],[Open.Int]])*$A$4^2,0)</f>
        <v>0</v>
      </c>
      <c r="AA318">
        <f ca="1">IFERROR(((Table13[[#This Row],[Open.Int8]])*Table13[[#This Row],[Put gamma]])*-1*$A$4^2,0)</f>
        <v>0</v>
      </c>
      <c r="AB318">
        <f ca="1">(Table13[[#This Row],[Call Gex]]+Table13[[#This Row],[Put Gex]])</f>
        <v>0</v>
      </c>
      <c r="AC318">
        <f ca="1">Table13[[#This Row],[put delta adj]]+Table13[[#This Row],[call delta adj]]</f>
        <v>0</v>
      </c>
      <c r="AD318">
        <f ca="1">Table13[[#This Row],[Put Gex]]*Table13[[#This Row],[DeltaP]]*-1</f>
        <v>0</v>
      </c>
      <c r="AE318">
        <f ca="1">Table13[[#This Row],[Call Gex]]*Table13[[#This Row],[DeltaC]]</f>
        <v>0</v>
      </c>
      <c r="AF318">
        <f>IF(Table13[[#This Row],[DeltaC]]-ABS(Table13[[#This Row],[DeltaP]])="0","0.01",Table13[[#This Row],[DeltaC]]-ABS(Table13[[#This Row],[DeltaP]]))</f>
        <v>0</v>
      </c>
      <c r="AG318" t="e">
        <f ca="1">((LN($A$4/Table13[[#This Row],[Strike]]) + (0.411 + 0.5 * Table13[[#This Row],[IV Calc P]]^2) *Table13[[#This Row],[T]])) / (Table13[[#This Row],[IV Calc P]] * SQRT(Table13[[#This Row],[T]]))</f>
        <v>#DIV/0!</v>
      </c>
      <c r="AH318" t="e">
        <f ca="1">(LN($A$4/Table13[[#This Row],[Strike]]) + (0.411-0 + 0.5 * Table13[[#This Row],[IV Calc C]]^2) *Table13[[#This Row],[T]]) / (Table13[[#This Row],[IV Calc C]] * SQRT(Table13[[#This Row],[T]]))</f>
        <v>#DIV/0!</v>
      </c>
      <c r="AI318" t="e">
        <f ca="1">(EXP(-(AG318^2)/2)/SQRT(2*PI())*EXP(0*SQRT(Table13[[#This Row],[T]]))/$A$4*18%*SQRT(SQRT(Table13[[#This Row],[T]])))</f>
        <v>#DIV/0!</v>
      </c>
      <c r="AJ318" t="e">
        <f ca="1">(EXP(-(AH318^2)/2)/SQRT(2*PI())*EXP(0*SQRT(Table13[[#This Row],[T]]))/$A$4*18%*SQRT(SQRT(Table13[[#This Row],[T]])))</f>
        <v>#DIV/0!</v>
      </c>
      <c r="AK318" t="e">
        <f ca="1">Table13[[#This Row],[Call D1]]-Table13[[#This Row],[IV Calc C]]*SQRT(Table13[[#This Row],[T]])</f>
        <v>#DIV/0!</v>
      </c>
      <c r="AL318" t="e">
        <f ca="1">Table13[[#This Row],[Put D1]]-Table13[[#This Row],[IV Calc P]]*SQRT(Table13[[#This Row],[T]])</f>
        <v>#DIV/0!</v>
      </c>
      <c r="AM318" t="e">
        <f ca="1">EXP(-0.5*Table13[[#This Row],[Call D1]]^2)/SQRT(2*PI())</f>
        <v>#DIV/0!</v>
      </c>
      <c r="AN318" t="e">
        <f ca="1">EXP(-0.5*Table13[[#This Row],[Put D1]]^2)/SQRT(2*PI())</f>
        <v>#DIV/0!</v>
      </c>
      <c r="AO318">
        <f ca="1">IFERROR((EXP(0*Table13[[#This Row],[T]])*Table13[[#This Row],[call N(d1)]]*(Table13[[#This Row],[call d2]]/Table13[[#This Row],[IV Calc C]]))*Table13[[#This Row],[Open.Int]]*Table13[[#This Row],[DeltaC]],0)</f>
        <v>0</v>
      </c>
      <c r="AP318">
        <f ca="1">IFERROR((EXP(0*Table13[[#This Row],[T]])*Table13[[#This Row],[put N(d1)]]*(Table13[[#This Row],[put d2]]/Table13[[#This Row],[IV Calc P]]))*Table13[[#This Row],[Open.Int8]]*Table13[[#This Row],[DeltaP]]*-1,0)</f>
        <v>0</v>
      </c>
      <c r="AQ318">
        <f ca="1">((Table13[[#This Row],[call vanna]]+Table13[[#This Row],[put vanna]])*$A$4)</f>
        <v>0</v>
      </c>
      <c r="AR31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8" s="9" t="str" cm="1">
        <f t="array" ref="AT318">_xlfn.IFS(     $M$1="SPX","SPXW",     $M$1="RUT","RUTW",  $M$1="NDX","NDXP",   TRUE,$M$1 )</f>
        <v>SPXW</v>
      </c>
      <c r="AU318" s="2">
        <f t="shared" si="32"/>
        <v>6915</v>
      </c>
      <c r="AV318" t="str">
        <f t="shared" si="33"/>
        <v>000100</v>
      </c>
      <c r="AY31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8">
        <f>((Table13[[#This Row],[High C]]+Table13[[#This Row],[Low C]])/2)*Table13[[#This Row],[gammac]]*Table13[[#This Row],[Volume]]</f>
        <v>0</v>
      </c>
      <c r="BD318">
        <f>((Table13[[#This Row],[High P]]+Table13[[#This Row],[Low P]])/2)*Table13[[#This Row],[gammap]]*Table13[[#This Row],[Volume9]]*-1</f>
        <v>0</v>
      </c>
      <c r="BE318">
        <f>(Table13[[#This Row],[SgammaC]]+Table13[[#This Row],[SgammaP]])*$A$4*-100</f>
        <v>0</v>
      </c>
      <c r="BF318">
        <f>Table13[[#This Row],[DEXc]]+Table13[[#This Row],[DEXp]]</f>
        <v>0</v>
      </c>
      <c r="BG318">
        <f>IFERROR(Table13[[#This Row],[DeltaC]]*Table13[[#This Row],[Open.Int]]*$A$4,0)</f>
        <v>0</v>
      </c>
      <c r="BH318">
        <f>IFERROR(Table13[[#This Row],[DeltaP]]*Table13[[#This Row],[Open.Int8]]*$A$4,0)</f>
        <v>0</v>
      </c>
      <c r="BI31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8">
        <f ca="1">Table13[[#This Row],[charmc]]+Table13[[#This Row],[charmp]]</f>
        <v>0</v>
      </c>
      <c r="BL31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8" s="78">
        <f ca="1">Table13[[#This Row],[call helper]]+Table13[[#This Row],[put helper]]</f>
        <v>0</v>
      </c>
      <c r="BP318" t="str">
        <f>RTD("tos.rtd", , "STRIKE", "."&amp;Table13[[#This Row],[Ticker]]&amp;Table13[[#This Row],[Expiry]]&amp;""&amp;"C"&amp;Table13[[#This Row],[Spot]]+Table13[[#This Row],[step]])</f>
        <v>N/A</v>
      </c>
    </row>
    <row r="319" spans="1:77" x14ac:dyDescent="0.25">
      <c r="A319" s="14">
        <f t="shared" ca="1" si="29"/>
        <v>-126.14810350076104</v>
      </c>
      <c r="C319" s="17"/>
      <c r="D319" t="b">
        <f>IF(
    ISNUMBER(Table13[[#This Row],[Strike]]),RTD("tos.rtd", , "OPEN_INT", "."&amp;Table13[[#This Row],[Ticker]]&amp;Table13[[#This Row],[Expiry]]&amp;""&amp;"C"&amp;Table13[[#This Row],[Strike]]))</f>
        <v>0</v>
      </c>
      <c r="E31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9" t="b">
        <f>IF(     ISNUMBER(Table13[[#This Row],[Strike]]),RTD("tos.rtd", , "DELTA", "."&amp;Table13[[#This Row],[Ticker]]&amp;Table13[[#This Row],[Expiry]]&amp;""&amp;"C"&amp;Table13[[#This Row],[Strike]]))</f>
        <v>0</v>
      </c>
      <c r="H319" s="17" t="b" cm="1">
        <f t="array" ref="H319">IF(
    ISNUMBER(Table13[[#This Row],[Strike]]),IndividualLegIVCore($A$4, Table13[[#This Row],[Strike]], 0.0411, Table13[[#This Row],[T]], ((Table13[[#This Row],[BIDC]]+Table13[[#This Row],[ASKC]])/2), TRUE))</f>
        <v>0</v>
      </c>
      <c r="I319" t="b">
        <f>IF(     ISNUMBER(Table13[[#This Row],[Strike]]),RTD("tos.rtd", , "BID", "."&amp;Table13[[#This Row],[Ticker]]&amp;Table13[[#This Row],[Expiry]]&amp;""&amp;"C"&amp;Table13[[#This Row],[Strike]]))</f>
        <v>0</v>
      </c>
      <c r="J319" t="b">
        <f>IF(     ISNUMBER(Table13[[#This Row],[Strike]]),RTD("tos.rtd", , "ASK", "."&amp;Table13[[#This Row],[Ticker]]&amp;Table13[[#This Row],[Expiry]]&amp;""&amp;"C"&amp;Table13[[#This Row],[Strike]]))</f>
        <v>0</v>
      </c>
      <c r="K31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9" s="17" cm="1">
        <f t="array" aca="1" ref="L31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19" s="1">
        <f t="shared" si="30"/>
        <v>0</v>
      </c>
      <c r="N319" t="b">
        <f t="shared" si="31"/>
        <v>0</v>
      </c>
      <c r="P319" s="17" t="b" cm="1">
        <f t="array" ref="P319">IF(
    ISNUMBER(Table13[[#This Row],[Strike]]),IndividualLegIVCore($A$4, Table13[[#This Row],[Strike]], 0.0411, Table13[[#This Row],[T]], ((Table13[[#This Row],[BIDP]]+Table13[[#This Row],[ASKP]])/2), FALSE))</f>
        <v>0</v>
      </c>
      <c r="Q319" t="b">
        <f>IF(     ISNUMBER(Table13[[#This Row],[Strike]]),RTD("tos.rtd", , "BID", "."&amp;Table13[[#This Row],[Ticker]]&amp;Table13[[#This Row],[Expiry]]&amp;""&amp;"P"&amp;Table13[[#This Row],[Strike]]))</f>
        <v>0</v>
      </c>
      <c r="R319" t="b">
        <f>IF(     ISNUMBER(Table13[[#This Row],[Strike]]),RTD("tos.rtd", , "ASK", "."&amp;Table13[[#This Row],[Ticker]]&amp;Table13[[#This Row],[Expiry]]&amp;""&amp;"P"&amp;Table13[[#This Row],[Strike]]))</f>
        <v>0</v>
      </c>
      <c r="S319" s="17"/>
      <c r="T319" t="b">
        <f>IF(     ISNUMBER(Table13[[#This Row],[Strike]]),RTD("tos.rtd", , "OPEN_INT", "."&amp;Table13[[#This Row],[Ticker]]&amp;Table13[[#This Row],[Expiry]]&amp;""&amp;"P"&amp;Table13[[#This Row],[Strike]]))</f>
        <v>0</v>
      </c>
      <c r="U31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9" t="b">
        <f>IF(     ISNUMBER(Table13[[#This Row],[Strike]]),RTD("tos.rtd", , "DELTA", "."&amp;Table13[[#This Row],[Ticker]]&amp;Table13[[#This Row],[Expiry]]&amp;""&amp;"P"&amp;Table13[[#This Row],[Strike]]))</f>
        <v>0</v>
      </c>
      <c r="Y319" s="19">
        <f>3* IF($M$1="NDX", 10, IF(OR($M$1="SPX", $M$1="RUT"), 2, 1))</f>
        <v>6</v>
      </c>
      <c r="Z319">
        <f ca="1">IFERROR(Table13[[#This Row],[call gamma]]*(Table13[[#This Row],[Open.Int]])*$A$4^2,0)</f>
        <v>0</v>
      </c>
      <c r="AA319">
        <f ca="1">IFERROR(((Table13[[#This Row],[Open.Int8]])*Table13[[#This Row],[Put gamma]])*-1*$A$4^2,0)</f>
        <v>0</v>
      </c>
      <c r="AB319">
        <f ca="1">(Table13[[#This Row],[Call Gex]]+Table13[[#This Row],[Put Gex]])</f>
        <v>0</v>
      </c>
      <c r="AC319">
        <f ca="1">Table13[[#This Row],[put delta adj]]+Table13[[#This Row],[call delta adj]]</f>
        <v>0</v>
      </c>
      <c r="AD319">
        <f ca="1">Table13[[#This Row],[Put Gex]]*Table13[[#This Row],[DeltaP]]*-1</f>
        <v>0</v>
      </c>
      <c r="AE319">
        <f ca="1">Table13[[#This Row],[Call Gex]]*Table13[[#This Row],[DeltaC]]</f>
        <v>0</v>
      </c>
      <c r="AF319">
        <f>IF(Table13[[#This Row],[DeltaC]]-ABS(Table13[[#This Row],[DeltaP]])="0","0.01",Table13[[#This Row],[DeltaC]]-ABS(Table13[[#This Row],[DeltaP]]))</f>
        <v>0</v>
      </c>
      <c r="AG319" t="e">
        <f ca="1">((LN($A$4/Table13[[#This Row],[Strike]]) + (0.411 + 0.5 * Table13[[#This Row],[IV Calc P]]^2) *Table13[[#This Row],[T]])) / (Table13[[#This Row],[IV Calc P]] * SQRT(Table13[[#This Row],[T]]))</f>
        <v>#DIV/0!</v>
      </c>
      <c r="AH319" t="e">
        <f ca="1">(LN($A$4/Table13[[#This Row],[Strike]]) + (0.411-0 + 0.5 * Table13[[#This Row],[IV Calc C]]^2) *Table13[[#This Row],[T]]) / (Table13[[#This Row],[IV Calc C]] * SQRT(Table13[[#This Row],[T]]))</f>
        <v>#DIV/0!</v>
      </c>
      <c r="AI319" t="e">
        <f ca="1">(EXP(-(AG319^2)/2)/SQRT(2*PI())*EXP(0*SQRT(Table13[[#This Row],[T]]))/$A$4*18%*SQRT(SQRT(Table13[[#This Row],[T]])))</f>
        <v>#DIV/0!</v>
      </c>
      <c r="AJ319" t="e">
        <f ca="1">(EXP(-(AH319^2)/2)/SQRT(2*PI())*EXP(0*SQRT(Table13[[#This Row],[T]]))/$A$4*18%*SQRT(SQRT(Table13[[#This Row],[T]])))</f>
        <v>#DIV/0!</v>
      </c>
      <c r="AK319" t="e">
        <f ca="1">Table13[[#This Row],[Call D1]]-Table13[[#This Row],[IV Calc C]]*SQRT(Table13[[#This Row],[T]])</f>
        <v>#DIV/0!</v>
      </c>
      <c r="AL319" t="e">
        <f ca="1">Table13[[#This Row],[Put D1]]-Table13[[#This Row],[IV Calc P]]*SQRT(Table13[[#This Row],[T]])</f>
        <v>#DIV/0!</v>
      </c>
      <c r="AM319" t="e">
        <f ca="1">EXP(-0.5*Table13[[#This Row],[Call D1]]^2)/SQRT(2*PI())</f>
        <v>#DIV/0!</v>
      </c>
      <c r="AN319" t="e">
        <f ca="1">EXP(-0.5*Table13[[#This Row],[Put D1]]^2)/SQRT(2*PI())</f>
        <v>#DIV/0!</v>
      </c>
      <c r="AO319">
        <f ca="1">IFERROR((EXP(0*Table13[[#This Row],[T]])*Table13[[#This Row],[call N(d1)]]*(Table13[[#This Row],[call d2]]/Table13[[#This Row],[IV Calc C]]))*Table13[[#This Row],[Open.Int]]*Table13[[#This Row],[DeltaC]],0)</f>
        <v>0</v>
      </c>
      <c r="AP319">
        <f ca="1">IFERROR((EXP(0*Table13[[#This Row],[T]])*Table13[[#This Row],[put N(d1)]]*(Table13[[#This Row],[put d2]]/Table13[[#This Row],[IV Calc P]]))*Table13[[#This Row],[Open.Int8]]*Table13[[#This Row],[DeltaP]]*-1,0)</f>
        <v>0</v>
      </c>
      <c r="AQ319">
        <f ca="1">((Table13[[#This Row],[call vanna]]+Table13[[#This Row],[put vanna]])*$A$4)</f>
        <v>0</v>
      </c>
      <c r="AR31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9" s="9" t="str" cm="1">
        <f t="array" ref="AT319">_xlfn.IFS(     $M$1="SPX","SPXW",     $M$1="RUT","RUTW",  $M$1="NDX","NDXP",   TRUE,$M$1 )</f>
        <v>SPXW</v>
      </c>
      <c r="AU319" s="2">
        <f t="shared" si="32"/>
        <v>6915</v>
      </c>
      <c r="AV319" t="str">
        <f t="shared" si="33"/>
        <v>000100</v>
      </c>
      <c r="AY31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9">
        <f>((Table13[[#This Row],[High C]]+Table13[[#This Row],[Low C]])/2)*Table13[[#This Row],[gammac]]*Table13[[#This Row],[Volume]]</f>
        <v>0</v>
      </c>
      <c r="BD319">
        <f>((Table13[[#This Row],[High P]]+Table13[[#This Row],[Low P]])/2)*Table13[[#This Row],[gammap]]*Table13[[#This Row],[Volume9]]*-1</f>
        <v>0</v>
      </c>
      <c r="BE319">
        <f>(Table13[[#This Row],[SgammaC]]+Table13[[#This Row],[SgammaP]])*$A$4*-100</f>
        <v>0</v>
      </c>
      <c r="BF319">
        <f>Table13[[#This Row],[DEXc]]+Table13[[#This Row],[DEXp]]</f>
        <v>0</v>
      </c>
      <c r="BG319">
        <f>IFERROR(Table13[[#This Row],[DeltaC]]*Table13[[#This Row],[Open.Int]]*$A$4,0)</f>
        <v>0</v>
      </c>
      <c r="BH319">
        <f>IFERROR(Table13[[#This Row],[DeltaP]]*Table13[[#This Row],[Open.Int8]]*$A$4,0)</f>
        <v>0</v>
      </c>
      <c r="BI31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9">
        <f ca="1">Table13[[#This Row],[charmc]]+Table13[[#This Row],[charmp]]</f>
        <v>0</v>
      </c>
      <c r="BL31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9" s="78">
        <f ca="1">Table13[[#This Row],[call helper]]+Table13[[#This Row],[put helper]]</f>
        <v>0</v>
      </c>
      <c r="BP319" t="str">
        <f>RTD("tos.rtd", , "STRIKE", "."&amp;Table13[[#This Row],[Ticker]]&amp;Table13[[#This Row],[Expiry]]&amp;""&amp;"C"&amp;Table13[[#This Row],[Spot]]+Table13[[#This Row],[step]])</f>
        <v>N/A</v>
      </c>
    </row>
    <row r="320" spans="1:77" x14ac:dyDescent="0.25">
      <c r="A320" s="14">
        <f t="shared" ca="1" si="29"/>
        <v>-126.14810350076104</v>
      </c>
      <c r="C320" s="17"/>
      <c r="D320" t="b">
        <f>IF(
    ISNUMBER(Table13[[#This Row],[Strike]]),RTD("tos.rtd", , "OPEN_INT", "."&amp;Table13[[#This Row],[Ticker]]&amp;Table13[[#This Row],[Expiry]]&amp;""&amp;"C"&amp;Table13[[#This Row],[Strike]]))</f>
        <v>0</v>
      </c>
      <c r="E32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0" t="b">
        <f>IF(     ISNUMBER(Table13[[#This Row],[Strike]]),RTD("tos.rtd", , "DELTA", "."&amp;Table13[[#This Row],[Ticker]]&amp;Table13[[#This Row],[Expiry]]&amp;""&amp;"C"&amp;Table13[[#This Row],[Strike]]))</f>
        <v>0</v>
      </c>
      <c r="H320" s="17" t="b" cm="1">
        <f t="array" ref="H320">IF(
    ISNUMBER(Table13[[#This Row],[Strike]]),IndividualLegIVCore($A$4, Table13[[#This Row],[Strike]], 0.0411, Table13[[#This Row],[T]], ((Table13[[#This Row],[BIDC]]+Table13[[#This Row],[ASKC]])/2), TRUE))</f>
        <v>0</v>
      </c>
      <c r="I320" t="b">
        <f>IF(     ISNUMBER(Table13[[#This Row],[Strike]]),RTD("tos.rtd", , "BID", "."&amp;Table13[[#This Row],[Ticker]]&amp;Table13[[#This Row],[Expiry]]&amp;""&amp;"C"&amp;Table13[[#This Row],[Strike]]))</f>
        <v>0</v>
      </c>
      <c r="J320" t="b">
        <f>IF(     ISNUMBER(Table13[[#This Row],[Strike]]),RTD("tos.rtd", , "ASK", "."&amp;Table13[[#This Row],[Ticker]]&amp;Table13[[#This Row],[Expiry]]&amp;""&amp;"C"&amp;Table13[[#This Row],[Strike]]))</f>
        <v>0</v>
      </c>
      <c r="K32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0" s="17" cm="1">
        <f t="array" aca="1" ref="L32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0" s="1">
        <f t="shared" si="30"/>
        <v>0</v>
      </c>
      <c r="N320" t="b">
        <f t="shared" si="31"/>
        <v>0</v>
      </c>
      <c r="P320" s="17" t="b" cm="1">
        <f t="array" ref="P320">IF(
    ISNUMBER(Table13[[#This Row],[Strike]]),IndividualLegIVCore($A$4, Table13[[#This Row],[Strike]], 0.0411, Table13[[#This Row],[T]], ((Table13[[#This Row],[BIDP]]+Table13[[#This Row],[ASKP]])/2), FALSE))</f>
        <v>0</v>
      </c>
      <c r="Q320" t="b">
        <f>IF(     ISNUMBER(Table13[[#This Row],[Strike]]),RTD("tos.rtd", , "BID", "."&amp;Table13[[#This Row],[Ticker]]&amp;Table13[[#This Row],[Expiry]]&amp;""&amp;"P"&amp;Table13[[#This Row],[Strike]]))</f>
        <v>0</v>
      </c>
      <c r="R320" t="b">
        <f>IF(     ISNUMBER(Table13[[#This Row],[Strike]]),RTD("tos.rtd", , "ASK", "."&amp;Table13[[#This Row],[Ticker]]&amp;Table13[[#This Row],[Expiry]]&amp;""&amp;"P"&amp;Table13[[#This Row],[Strike]]))</f>
        <v>0</v>
      </c>
      <c r="S320" s="17"/>
      <c r="T320" t="b">
        <f>IF(     ISNUMBER(Table13[[#This Row],[Strike]]),RTD("tos.rtd", , "OPEN_INT", "."&amp;Table13[[#This Row],[Ticker]]&amp;Table13[[#This Row],[Expiry]]&amp;""&amp;"P"&amp;Table13[[#This Row],[Strike]]))</f>
        <v>0</v>
      </c>
      <c r="U32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0" t="b">
        <f>IF(     ISNUMBER(Table13[[#This Row],[Strike]]),RTD("tos.rtd", , "DELTA", "."&amp;Table13[[#This Row],[Ticker]]&amp;Table13[[#This Row],[Expiry]]&amp;""&amp;"P"&amp;Table13[[#This Row],[Strike]]))</f>
        <v>0</v>
      </c>
      <c r="Y320" s="19">
        <f>3.5* IF($M$1="NDX", 10, IF(OR($M$1="SPX", $M$1="RUT"), 2, 1))</f>
        <v>7</v>
      </c>
      <c r="Z320">
        <f ca="1">IFERROR(Table13[[#This Row],[call gamma]]*(Table13[[#This Row],[Open.Int]])*$A$4^2,0)</f>
        <v>0</v>
      </c>
      <c r="AA320">
        <f ca="1">IFERROR(((Table13[[#This Row],[Open.Int8]])*Table13[[#This Row],[Put gamma]])*-1*$A$4^2,0)</f>
        <v>0</v>
      </c>
      <c r="AB320">
        <f ca="1">(Table13[[#This Row],[Call Gex]]+Table13[[#This Row],[Put Gex]])</f>
        <v>0</v>
      </c>
      <c r="AC320">
        <f ca="1">Table13[[#This Row],[put delta adj]]+Table13[[#This Row],[call delta adj]]</f>
        <v>0</v>
      </c>
      <c r="AD320">
        <f ca="1">Table13[[#This Row],[Put Gex]]*Table13[[#This Row],[DeltaP]]*-1</f>
        <v>0</v>
      </c>
      <c r="AE320">
        <f ca="1">Table13[[#This Row],[Call Gex]]*Table13[[#This Row],[DeltaC]]</f>
        <v>0</v>
      </c>
      <c r="AF320">
        <f>IF(Table13[[#This Row],[DeltaC]]-ABS(Table13[[#This Row],[DeltaP]])="0","0.01",Table13[[#This Row],[DeltaC]]-ABS(Table13[[#This Row],[DeltaP]]))</f>
        <v>0</v>
      </c>
      <c r="AG320" t="e">
        <f ca="1">((LN($A$4/Table13[[#This Row],[Strike]]) + (0.411 + 0.5 * Table13[[#This Row],[IV Calc P]]^2) *Table13[[#This Row],[T]])) / (Table13[[#This Row],[IV Calc P]] * SQRT(Table13[[#This Row],[T]]))</f>
        <v>#DIV/0!</v>
      </c>
      <c r="AH320" t="e">
        <f ca="1">(LN($A$4/Table13[[#This Row],[Strike]]) + (0.411-0 + 0.5 * Table13[[#This Row],[IV Calc C]]^2) *Table13[[#This Row],[T]]) / (Table13[[#This Row],[IV Calc C]] * SQRT(Table13[[#This Row],[T]]))</f>
        <v>#DIV/0!</v>
      </c>
      <c r="AI320" t="e">
        <f ca="1">(EXP(-(AG320^2)/2)/SQRT(2*PI())*EXP(0*SQRT(Table13[[#This Row],[T]]))/$A$4*18%*SQRT(SQRT(Table13[[#This Row],[T]])))</f>
        <v>#DIV/0!</v>
      </c>
      <c r="AJ320" t="e">
        <f ca="1">(EXP(-(AH320^2)/2)/SQRT(2*PI())*EXP(0*SQRT(Table13[[#This Row],[T]]))/$A$4*18%*SQRT(SQRT(Table13[[#This Row],[T]])))</f>
        <v>#DIV/0!</v>
      </c>
      <c r="AK320" t="e">
        <f ca="1">Table13[[#This Row],[Call D1]]-Table13[[#This Row],[IV Calc C]]*SQRT(Table13[[#This Row],[T]])</f>
        <v>#DIV/0!</v>
      </c>
      <c r="AL320" t="e">
        <f ca="1">Table13[[#This Row],[Put D1]]-Table13[[#This Row],[IV Calc P]]*SQRT(Table13[[#This Row],[T]])</f>
        <v>#DIV/0!</v>
      </c>
      <c r="AM320" t="e">
        <f ca="1">EXP(-0.5*Table13[[#This Row],[Call D1]]^2)/SQRT(2*PI())</f>
        <v>#DIV/0!</v>
      </c>
      <c r="AN320" t="e">
        <f ca="1">EXP(-0.5*Table13[[#This Row],[Put D1]]^2)/SQRT(2*PI())</f>
        <v>#DIV/0!</v>
      </c>
      <c r="AO320">
        <f ca="1">IFERROR((EXP(0*Table13[[#This Row],[T]])*Table13[[#This Row],[call N(d1)]]*(Table13[[#This Row],[call d2]]/Table13[[#This Row],[IV Calc C]]))*Table13[[#This Row],[Open.Int]]*Table13[[#This Row],[DeltaC]],0)</f>
        <v>0</v>
      </c>
      <c r="AP320">
        <f ca="1">IFERROR((EXP(0*Table13[[#This Row],[T]])*Table13[[#This Row],[put N(d1)]]*(Table13[[#This Row],[put d2]]/Table13[[#This Row],[IV Calc P]]))*Table13[[#This Row],[Open.Int8]]*Table13[[#This Row],[DeltaP]]*-1,0)</f>
        <v>0</v>
      </c>
      <c r="AQ320">
        <f ca="1">((Table13[[#This Row],[call vanna]]+Table13[[#This Row],[put vanna]])*$A$4)</f>
        <v>0</v>
      </c>
      <c r="AR32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0" s="9" t="str" cm="1">
        <f t="array" ref="AT320">_xlfn.IFS(     $M$1="SPX","SPXW",     $M$1="RUT","RUTW",  $M$1="NDX","NDXP",   TRUE,$M$1 )</f>
        <v>SPXW</v>
      </c>
      <c r="AU320" s="2">
        <f t="shared" si="32"/>
        <v>6915</v>
      </c>
      <c r="AV320" t="str">
        <f t="shared" si="33"/>
        <v>000100</v>
      </c>
      <c r="AY32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0">
        <f>((Table13[[#This Row],[High C]]+Table13[[#This Row],[Low C]])/2)*Table13[[#This Row],[gammac]]*Table13[[#This Row],[Volume]]</f>
        <v>0</v>
      </c>
      <c r="BD320">
        <f>((Table13[[#This Row],[High P]]+Table13[[#This Row],[Low P]])/2)*Table13[[#This Row],[gammap]]*Table13[[#This Row],[Volume9]]*-1</f>
        <v>0</v>
      </c>
      <c r="BE320">
        <f>(Table13[[#This Row],[SgammaC]]+Table13[[#This Row],[SgammaP]])*$A$4*-100</f>
        <v>0</v>
      </c>
      <c r="BF320">
        <f>Table13[[#This Row],[DEXc]]+Table13[[#This Row],[DEXp]]</f>
        <v>0</v>
      </c>
      <c r="BG320">
        <f>IFERROR(Table13[[#This Row],[DeltaC]]*Table13[[#This Row],[Open.Int]]*$A$4,0)</f>
        <v>0</v>
      </c>
      <c r="BH320">
        <f>IFERROR(Table13[[#This Row],[DeltaP]]*Table13[[#This Row],[Open.Int8]]*$A$4,0)</f>
        <v>0</v>
      </c>
      <c r="BI32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0">
        <f ca="1">Table13[[#This Row],[charmc]]+Table13[[#This Row],[charmp]]</f>
        <v>0</v>
      </c>
      <c r="BL32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0" s="78">
        <f ca="1">Table13[[#This Row],[call helper]]+Table13[[#This Row],[put helper]]</f>
        <v>0</v>
      </c>
      <c r="BP320" t="str">
        <f>RTD("tos.rtd", , "STRIKE", "."&amp;Table13[[#This Row],[Ticker]]&amp;Table13[[#This Row],[Expiry]]&amp;""&amp;"C"&amp;Table13[[#This Row],[Spot]]+Table13[[#This Row],[step]])</f>
        <v>N/A</v>
      </c>
    </row>
    <row r="321" spans="1:68" x14ac:dyDescent="0.25">
      <c r="A321" s="14">
        <f t="shared" ca="1" si="29"/>
        <v>-126.14810350076104</v>
      </c>
      <c r="C321" s="17"/>
      <c r="D321" t="b">
        <f>IF(
    ISNUMBER(Table13[[#This Row],[Strike]]),RTD("tos.rtd", , "OPEN_INT", "."&amp;Table13[[#This Row],[Ticker]]&amp;Table13[[#This Row],[Expiry]]&amp;""&amp;"C"&amp;Table13[[#This Row],[Strike]]))</f>
        <v>0</v>
      </c>
      <c r="E32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1" t="b">
        <f>IF(     ISNUMBER(Table13[[#This Row],[Strike]]),RTD("tos.rtd", , "DELTA", "."&amp;Table13[[#This Row],[Ticker]]&amp;Table13[[#This Row],[Expiry]]&amp;""&amp;"C"&amp;Table13[[#This Row],[Strike]]))</f>
        <v>0</v>
      </c>
      <c r="H321" s="17" t="b" cm="1">
        <f t="array" ref="H321">IF(
    ISNUMBER(Table13[[#This Row],[Strike]]),IndividualLegIVCore($A$4, Table13[[#This Row],[Strike]], 0.0411, Table13[[#This Row],[T]], ((Table13[[#This Row],[BIDC]]+Table13[[#This Row],[ASKC]])/2), TRUE))</f>
        <v>0</v>
      </c>
      <c r="I321" t="b">
        <f>IF(     ISNUMBER(Table13[[#This Row],[Strike]]),RTD("tos.rtd", , "BID", "."&amp;Table13[[#This Row],[Ticker]]&amp;Table13[[#This Row],[Expiry]]&amp;""&amp;"C"&amp;Table13[[#This Row],[Strike]]))</f>
        <v>0</v>
      </c>
      <c r="J321" t="b">
        <f>IF(     ISNUMBER(Table13[[#This Row],[Strike]]),RTD("tos.rtd", , "ASK", "."&amp;Table13[[#This Row],[Ticker]]&amp;Table13[[#This Row],[Expiry]]&amp;""&amp;"C"&amp;Table13[[#This Row],[Strike]]))</f>
        <v>0</v>
      </c>
      <c r="K32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1" s="17" cm="1">
        <f t="array" aca="1" ref="L32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1" s="1">
        <f t="shared" si="30"/>
        <v>0</v>
      </c>
      <c r="N321" t="b">
        <f t="shared" si="31"/>
        <v>0</v>
      </c>
      <c r="P321" s="17" t="b" cm="1">
        <f t="array" ref="P321">IF(
    ISNUMBER(Table13[[#This Row],[Strike]]),IndividualLegIVCore($A$4, Table13[[#This Row],[Strike]], 0.0411, Table13[[#This Row],[T]], ((Table13[[#This Row],[BIDP]]+Table13[[#This Row],[ASKP]])/2), FALSE))</f>
        <v>0</v>
      </c>
      <c r="Q321" t="b">
        <f>IF(     ISNUMBER(Table13[[#This Row],[Strike]]),RTD("tos.rtd", , "BID", "."&amp;Table13[[#This Row],[Ticker]]&amp;Table13[[#This Row],[Expiry]]&amp;""&amp;"P"&amp;Table13[[#This Row],[Strike]]))</f>
        <v>0</v>
      </c>
      <c r="R321" t="b">
        <f>IF(     ISNUMBER(Table13[[#This Row],[Strike]]),RTD("tos.rtd", , "ASK", "."&amp;Table13[[#This Row],[Ticker]]&amp;Table13[[#This Row],[Expiry]]&amp;""&amp;"P"&amp;Table13[[#This Row],[Strike]]))</f>
        <v>0</v>
      </c>
      <c r="S321" s="17"/>
      <c r="T321" t="b">
        <f>IF(     ISNUMBER(Table13[[#This Row],[Strike]]),RTD("tos.rtd", , "OPEN_INT", "."&amp;Table13[[#This Row],[Ticker]]&amp;Table13[[#This Row],[Expiry]]&amp;""&amp;"P"&amp;Table13[[#This Row],[Strike]]))</f>
        <v>0</v>
      </c>
      <c r="U32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1" t="b">
        <f>IF(     ISNUMBER(Table13[[#This Row],[Strike]]),RTD("tos.rtd", , "DELTA", "."&amp;Table13[[#This Row],[Ticker]]&amp;Table13[[#This Row],[Expiry]]&amp;""&amp;"P"&amp;Table13[[#This Row],[Strike]]))</f>
        <v>0</v>
      </c>
      <c r="Y321" s="19">
        <f>4* IF($M$1="NDX", 10, IF(OR($M$1="SPX", $M$1="RUT"), 2, 1))</f>
        <v>8</v>
      </c>
      <c r="Z321">
        <f ca="1">IFERROR(Table13[[#This Row],[call gamma]]*(Table13[[#This Row],[Open.Int]])*$A$4^2,0)</f>
        <v>0</v>
      </c>
      <c r="AA321">
        <f ca="1">IFERROR(((Table13[[#This Row],[Open.Int8]])*Table13[[#This Row],[Put gamma]])*-1*$A$4^2,0)</f>
        <v>0</v>
      </c>
      <c r="AB321">
        <f ca="1">(Table13[[#This Row],[Call Gex]]+Table13[[#This Row],[Put Gex]])</f>
        <v>0</v>
      </c>
      <c r="AC321">
        <f ca="1">Table13[[#This Row],[put delta adj]]+Table13[[#This Row],[call delta adj]]</f>
        <v>0</v>
      </c>
      <c r="AD321">
        <f ca="1">Table13[[#This Row],[Put Gex]]*Table13[[#This Row],[DeltaP]]*-1</f>
        <v>0</v>
      </c>
      <c r="AE321">
        <f ca="1">Table13[[#This Row],[Call Gex]]*Table13[[#This Row],[DeltaC]]</f>
        <v>0</v>
      </c>
      <c r="AF321">
        <f>IF(Table13[[#This Row],[DeltaC]]-ABS(Table13[[#This Row],[DeltaP]])="0","0.01",Table13[[#This Row],[DeltaC]]-ABS(Table13[[#This Row],[DeltaP]]))</f>
        <v>0</v>
      </c>
      <c r="AG321" t="e">
        <f ca="1">((LN($A$4/Table13[[#This Row],[Strike]]) + (0.411 + 0.5 * Table13[[#This Row],[IV Calc P]]^2) *Table13[[#This Row],[T]])) / (Table13[[#This Row],[IV Calc P]] * SQRT(Table13[[#This Row],[T]]))</f>
        <v>#DIV/0!</v>
      </c>
      <c r="AH321" t="e">
        <f ca="1">(LN($A$4/Table13[[#This Row],[Strike]]) + (0.411-0 + 0.5 * Table13[[#This Row],[IV Calc C]]^2) *Table13[[#This Row],[T]]) / (Table13[[#This Row],[IV Calc C]] * SQRT(Table13[[#This Row],[T]]))</f>
        <v>#DIV/0!</v>
      </c>
      <c r="AI321" t="e">
        <f ca="1">(EXP(-(AG321^2)/2)/SQRT(2*PI())*EXP(0*SQRT(Table13[[#This Row],[T]]))/$A$4*18%*SQRT(SQRT(Table13[[#This Row],[T]])))</f>
        <v>#DIV/0!</v>
      </c>
      <c r="AJ321" t="e">
        <f ca="1">(EXP(-(AH321^2)/2)/SQRT(2*PI())*EXP(0*SQRT(Table13[[#This Row],[T]]))/$A$4*18%*SQRT(SQRT(Table13[[#This Row],[T]])))</f>
        <v>#DIV/0!</v>
      </c>
      <c r="AK321" t="e">
        <f ca="1">Table13[[#This Row],[Call D1]]-Table13[[#This Row],[IV Calc C]]*SQRT(Table13[[#This Row],[T]])</f>
        <v>#DIV/0!</v>
      </c>
      <c r="AL321" t="e">
        <f ca="1">Table13[[#This Row],[Put D1]]-Table13[[#This Row],[IV Calc P]]*SQRT(Table13[[#This Row],[T]])</f>
        <v>#DIV/0!</v>
      </c>
      <c r="AM321" t="e">
        <f ca="1">EXP(-0.5*Table13[[#This Row],[Call D1]]^2)/SQRT(2*PI())</f>
        <v>#DIV/0!</v>
      </c>
      <c r="AN321" t="e">
        <f ca="1">EXP(-0.5*Table13[[#This Row],[Put D1]]^2)/SQRT(2*PI())</f>
        <v>#DIV/0!</v>
      </c>
      <c r="AO321">
        <f ca="1">IFERROR((EXP(0*Table13[[#This Row],[T]])*Table13[[#This Row],[call N(d1)]]*(Table13[[#This Row],[call d2]]/Table13[[#This Row],[IV Calc C]]))*Table13[[#This Row],[Open.Int]]*Table13[[#This Row],[DeltaC]],0)</f>
        <v>0</v>
      </c>
      <c r="AP321">
        <f ca="1">IFERROR((EXP(0*Table13[[#This Row],[T]])*Table13[[#This Row],[put N(d1)]]*(Table13[[#This Row],[put d2]]/Table13[[#This Row],[IV Calc P]]))*Table13[[#This Row],[Open.Int8]]*Table13[[#This Row],[DeltaP]]*-1,0)</f>
        <v>0</v>
      </c>
      <c r="AQ321">
        <f ca="1">((Table13[[#This Row],[call vanna]]+Table13[[#This Row],[put vanna]])*$A$4)</f>
        <v>0</v>
      </c>
      <c r="AR32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1" s="9" t="str" cm="1">
        <f t="array" ref="AT321">_xlfn.IFS(     $M$1="SPX","SPXW",     $M$1="RUT","RUTW",  $M$1="NDX","NDXP",   TRUE,$M$1 )</f>
        <v>SPXW</v>
      </c>
      <c r="AU321" s="2">
        <f t="shared" si="32"/>
        <v>6915</v>
      </c>
      <c r="AV321" t="str">
        <f t="shared" si="33"/>
        <v>000100</v>
      </c>
      <c r="AY32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1">
        <f>((Table13[[#This Row],[High C]]+Table13[[#This Row],[Low C]])/2)*Table13[[#This Row],[gammac]]*Table13[[#This Row],[Volume]]</f>
        <v>0</v>
      </c>
      <c r="BD321">
        <f>((Table13[[#This Row],[High P]]+Table13[[#This Row],[Low P]])/2)*Table13[[#This Row],[gammap]]*Table13[[#This Row],[Volume9]]*-1</f>
        <v>0</v>
      </c>
      <c r="BE321">
        <f>(Table13[[#This Row],[SgammaC]]+Table13[[#This Row],[SgammaP]])*$A$4*-100</f>
        <v>0</v>
      </c>
      <c r="BF321">
        <f>Table13[[#This Row],[DEXc]]+Table13[[#This Row],[DEXp]]</f>
        <v>0</v>
      </c>
      <c r="BG321">
        <f>IFERROR(Table13[[#This Row],[DeltaC]]*Table13[[#This Row],[Open.Int]]*$A$4,0)</f>
        <v>0</v>
      </c>
      <c r="BH321">
        <f>IFERROR(Table13[[#This Row],[DeltaP]]*Table13[[#This Row],[Open.Int8]]*$A$4,0)</f>
        <v>0</v>
      </c>
      <c r="BI32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1">
        <f ca="1">Table13[[#This Row],[charmc]]+Table13[[#This Row],[charmp]]</f>
        <v>0</v>
      </c>
      <c r="BL32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1" s="78">
        <f ca="1">Table13[[#This Row],[call helper]]+Table13[[#This Row],[put helper]]</f>
        <v>0</v>
      </c>
      <c r="BP321" t="str">
        <f>RTD("tos.rtd", , "STRIKE", "."&amp;Table13[[#This Row],[Ticker]]&amp;Table13[[#This Row],[Expiry]]&amp;""&amp;"C"&amp;Table13[[#This Row],[Spot]]+Table13[[#This Row],[step]])</f>
        <v>N/A</v>
      </c>
    </row>
    <row r="322" spans="1:68" x14ac:dyDescent="0.25">
      <c r="A322" s="14">
        <f t="shared" ca="1" si="29"/>
        <v>-126.14810350076104</v>
      </c>
      <c r="C322" s="17"/>
      <c r="D322" t="b">
        <f>IF(
    ISNUMBER(Table13[[#This Row],[Strike]]),RTD("tos.rtd", , "OPEN_INT", "."&amp;Table13[[#This Row],[Ticker]]&amp;Table13[[#This Row],[Expiry]]&amp;""&amp;"C"&amp;Table13[[#This Row],[Strike]]))</f>
        <v>0</v>
      </c>
      <c r="E32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2" t="b">
        <f>IF(     ISNUMBER(Table13[[#This Row],[Strike]]),RTD("tos.rtd", , "DELTA", "."&amp;Table13[[#This Row],[Ticker]]&amp;Table13[[#This Row],[Expiry]]&amp;""&amp;"C"&amp;Table13[[#This Row],[Strike]]))</f>
        <v>0</v>
      </c>
      <c r="H322" s="17" t="b" cm="1">
        <f t="array" ref="H322">IF(
    ISNUMBER(Table13[[#This Row],[Strike]]),IndividualLegIVCore($A$4, Table13[[#This Row],[Strike]], 0.0411, Table13[[#This Row],[T]], ((Table13[[#This Row],[BIDC]]+Table13[[#This Row],[ASKC]])/2), TRUE))</f>
        <v>0</v>
      </c>
      <c r="I322" t="b">
        <f>IF(     ISNUMBER(Table13[[#This Row],[Strike]]),RTD("tos.rtd", , "BID", "."&amp;Table13[[#This Row],[Ticker]]&amp;Table13[[#This Row],[Expiry]]&amp;""&amp;"C"&amp;Table13[[#This Row],[Strike]]))</f>
        <v>0</v>
      </c>
      <c r="J322" t="b">
        <f>IF(     ISNUMBER(Table13[[#This Row],[Strike]]),RTD("tos.rtd", , "ASK", "."&amp;Table13[[#This Row],[Ticker]]&amp;Table13[[#This Row],[Expiry]]&amp;""&amp;"C"&amp;Table13[[#This Row],[Strike]]))</f>
        <v>0</v>
      </c>
      <c r="K32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2" s="17" cm="1">
        <f t="array" aca="1" ref="L32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2" s="1">
        <f t="shared" si="30"/>
        <v>0</v>
      </c>
      <c r="N322" t="b">
        <f t="shared" si="31"/>
        <v>0</v>
      </c>
      <c r="P322" s="17" t="b" cm="1">
        <f t="array" ref="P322">IF(
    ISNUMBER(Table13[[#This Row],[Strike]]),IndividualLegIVCore($A$4, Table13[[#This Row],[Strike]], 0.0411, Table13[[#This Row],[T]], ((Table13[[#This Row],[BIDP]]+Table13[[#This Row],[ASKP]])/2), FALSE))</f>
        <v>0</v>
      </c>
      <c r="Q322" t="b">
        <f>IF(     ISNUMBER(Table13[[#This Row],[Strike]]),RTD("tos.rtd", , "BID", "."&amp;Table13[[#This Row],[Ticker]]&amp;Table13[[#This Row],[Expiry]]&amp;""&amp;"P"&amp;Table13[[#This Row],[Strike]]))</f>
        <v>0</v>
      </c>
      <c r="R322" t="b">
        <f>IF(     ISNUMBER(Table13[[#This Row],[Strike]]),RTD("tos.rtd", , "ASK", "."&amp;Table13[[#This Row],[Ticker]]&amp;Table13[[#This Row],[Expiry]]&amp;""&amp;"P"&amp;Table13[[#This Row],[Strike]]))</f>
        <v>0</v>
      </c>
      <c r="S322" s="17"/>
      <c r="T322" t="b">
        <f>IF(     ISNUMBER(Table13[[#This Row],[Strike]]),RTD("tos.rtd", , "OPEN_INT", "."&amp;Table13[[#This Row],[Ticker]]&amp;Table13[[#This Row],[Expiry]]&amp;""&amp;"P"&amp;Table13[[#This Row],[Strike]]))</f>
        <v>0</v>
      </c>
      <c r="U32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2" t="b">
        <f>IF(     ISNUMBER(Table13[[#This Row],[Strike]]),RTD("tos.rtd", , "DELTA", "."&amp;Table13[[#This Row],[Ticker]]&amp;Table13[[#This Row],[Expiry]]&amp;""&amp;"P"&amp;Table13[[#This Row],[Strike]]))</f>
        <v>0</v>
      </c>
      <c r="Y322" s="19">
        <f>4.5* IF($M$1="NDX", 10, IF(OR($M$1="SPX", $M$1="RUT"), 2, 1))</f>
        <v>9</v>
      </c>
      <c r="Z322">
        <f ca="1">IFERROR(Table13[[#This Row],[call gamma]]*(Table13[[#This Row],[Open.Int]])*$A$4^2,0)</f>
        <v>0</v>
      </c>
      <c r="AA322">
        <f ca="1">IFERROR(((Table13[[#This Row],[Open.Int8]])*Table13[[#This Row],[Put gamma]])*-1*$A$4^2,0)</f>
        <v>0</v>
      </c>
      <c r="AB322">
        <f ca="1">(Table13[[#This Row],[Call Gex]]+Table13[[#This Row],[Put Gex]])</f>
        <v>0</v>
      </c>
      <c r="AC322">
        <f ca="1">Table13[[#This Row],[put delta adj]]+Table13[[#This Row],[call delta adj]]</f>
        <v>0</v>
      </c>
      <c r="AD322">
        <f ca="1">Table13[[#This Row],[Put Gex]]*Table13[[#This Row],[DeltaP]]*-1</f>
        <v>0</v>
      </c>
      <c r="AE322">
        <f ca="1">Table13[[#This Row],[Call Gex]]*Table13[[#This Row],[DeltaC]]</f>
        <v>0</v>
      </c>
      <c r="AF322">
        <f>IF(Table13[[#This Row],[DeltaC]]-ABS(Table13[[#This Row],[DeltaP]])="0","0.01",Table13[[#This Row],[DeltaC]]-ABS(Table13[[#This Row],[DeltaP]]))</f>
        <v>0</v>
      </c>
      <c r="AG322" t="e">
        <f ca="1">((LN($A$4/Table13[[#This Row],[Strike]]) + (0.411 + 0.5 * Table13[[#This Row],[IV Calc P]]^2) *Table13[[#This Row],[T]])) / (Table13[[#This Row],[IV Calc P]] * SQRT(Table13[[#This Row],[T]]))</f>
        <v>#DIV/0!</v>
      </c>
      <c r="AH322" t="e">
        <f ca="1">(LN($A$4/Table13[[#This Row],[Strike]]) + (0.411-0 + 0.5 * Table13[[#This Row],[IV Calc C]]^2) *Table13[[#This Row],[T]]) / (Table13[[#This Row],[IV Calc C]] * SQRT(Table13[[#This Row],[T]]))</f>
        <v>#DIV/0!</v>
      </c>
      <c r="AI322" t="e">
        <f ca="1">(EXP(-(AG322^2)/2)/SQRT(2*PI())*EXP(0*SQRT(Table13[[#This Row],[T]]))/$A$4*18%*SQRT(SQRT(Table13[[#This Row],[T]])))</f>
        <v>#DIV/0!</v>
      </c>
      <c r="AJ322" t="e">
        <f ca="1">(EXP(-(AH322^2)/2)/SQRT(2*PI())*EXP(0*SQRT(Table13[[#This Row],[T]]))/$A$4*18%*SQRT(SQRT(Table13[[#This Row],[T]])))</f>
        <v>#DIV/0!</v>
      </c>
      <c r="AK322" t="e">
        <f ca="1">Table13[[#This Row],[Call D1]]-Table13[[#This Row],[IV Calc C]]*SQRT(Table13[[#This Row],[T]])</f>
        <v>#DIV/0!</v>
      </c>
      <c r="AL322" t="e">
        <f ca="1">Table13[[#This Row],[Put D1]]-Table13[[#This Row],[IV Calc P]]*SQRT(Table13[[#This Row],[T]])</f>
        <v>#DIV/0!</v>
      </c>
      <c r="AM322" t="e">
        <f ca="1">EXP(-0.5*Table13[[#This Row],[Call D1]]^2)/SQRT(2*PI())</f>
        <v>#DIV/0!</v>
      </c>
      <c r="AN322" t="e">
        <f ca="1">EXP(-0.5*Table13[[#This Row],[Put D1]]^2)/SQRT(2*PI())</f>
        <v>#DIV/0!</v>
      </c>
      <c r="AO322">
        <f ca="1">IFERROR((EXP(0*Table13[[#This Row],[T]])*Table13[[#This Row],[call N(d1)]]*(Table13[[#This Row],[call d2]]/Table13[[#This Row],[IV Calc C]]))*Table13[[#This Row],[Open.Int]]*Table13[[#This Row],[DeltaC]],0)</f>
        <v>0</v>
      </c>
      <c r="AP322">
        <f ca="1">IFERROR((EXP(0*Table13[[#This Row],[T]])*Table13[[#This Row],[put N(d1)]]*(Table13[[#This Row],[put d2]]/Table13[[#This Row],[IV Calc P]]))*Table13[[#This Row],[Open.Int8]]*Table13[[#This Row],[DeltaP]]*-1,0)</f>
        <v>0</v>
      </c>
      <c r="AQ322">
        <f ca="1">((Table13[[#This Row],[call vanna]]+Table13[[#This Row],[put vanna]])*$A$4)</f>
        <v>0</v>
      </c>
      <c r="AR32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2" s="9" t="str" cm="1">
        <f t="array" ref="AT322">_xlfn.IFS(     $M$1="SPX","SPXW",     $M$1="RUT","RUTW",  $M$1="NDX","NDXP",   TRUE,$M$1 )</f>
        <v>SPXW</v>
      </c>
      <c r="AU322" s="2">
        <f t="shared" si="32"/>
        <v>6915</v>
      </c>
      <c r="AV322" t="str">
        <f t="shared" si="33"/>
        <v>000100</v>
      </c>
      <c r="AY32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2">
        <f>((Table13[[#This Row],[High C]]+Table13[[#This Row],[Low C]])/2)*Table13[[#This Row],[gammac]]*Table13[[#This Row],[Volume]]</f>
        <v>0</v>
      </c>
      <c r="BD322">
        <f>((Table13[[#This Row],[High P]]+Table13[[#This Row],[Low P]])/2)*Table13[[#This Row],[gammap]]*Table13[[#This Row],[Volume9]]*-1</f>
        <v>0</v>
      </c>
      <c r="BE322">
        <f>(Table13[[#This Row],[SgammaC]]+Table13[[#This Row],[SgammaP]])*$A$4*-100</f>
        <v>0</v>
      </c>
      <c r="BF322">
        <f>Table13[[#This Row],[DEXc]]+Table13[[#This Row],[DEXp]]</f>
        <v>0</v>
      </c>
      <c r="BG322">
        <f>IFERROR(Table13[[#This Row],[DeltaC]]*Table13[[#This Row],[Open.Int]]*$A$4,0)</f>
        <v>0</v>
      </c>
      <c r="BH322">
        <f>IFERROR(Table13[[#This Row],[DeltaP]]*Table13[[#This Row],[Open.Int8]]*$A$4,0)</f>
        <v>0</v>
      </c>
      <c r="BI32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2">
        <f ca="1">Table13[[#This Row],[charmc]]+Table13[[#This Row],[charmp]]</f>
        <v>0</v>
      </c>
      <c r="BL32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2" s="78">
        <f ca="1">Table13[[#This Row],[call helper]]+Table13[[#This Row],[put helper]]</f>
        <v>0</v>
      </c>
      <c r="BP322" t="str">
        <f>RTD("tos.rtd", , "STRIKE", "."&amp;Table13[[#This Row],[Ticker]]&amp;Table13[[#This Row],[Expiry]]&amp;""&amp;"C"&amp;Table13[[#This Row],[Spot]]+Table13[[#This Row],[step]])</f>
        <v>N/A</v>
      </c>
    </row>
    <row r="323" spans="1:68" x14ac:dyDescent="0.25">
      <c r="A323" s="14">
        <f t="shared" ca="1" si="29"/>
        <v>-126.14810350076104</v>
      </c>
      <c r="C323" s="17"/>
      <c r="D323" t="b">
        <f>IF(
    ISNUMBER(Table13[[#This Row],[Strike]]),RTD("tos.rtd", , "OPEN_INT", "."&amp;Table13[[#This Row],[Ticker]]&amp;Table13[[#This Row],[Expiry]]&amp;""&amp;"C"&amp;Table13[[#This Row],[Strike]]))</f>
        <v>0</v>
      </c>
      <c r="E32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3" t="b">
        <f>IF(     ISNUMBER(Table13[[#This Row],[Strike]]),RTD("tos.rtd", , "DELTA", "."&amp;Table13[[#This Row],[Ticker]]&amp;Table13[[#This Row],[Expiry]]&amp;""&amp;"C"&amp;Table13[[#This Row],[Strike]]))</f>
        <v>0</v>
      </c>
      <c r="H323" s="17" t="b" cm="1">
        <f t="array" ref="H323">IF(
    ISNUMBER(Table13[[#This Row],[Strike]]),IndividualLegIVCore($A$4, Table13[[#This Row],[Strike]], 0.0411, Table13[[#This Row],[T]], ((Table13[[#This Row],[BIDC]]+Table13[[#This Row],[ASKC]])/2), TRUE))</f>
        <v>0</v>
      </c>
      <c r="I323" t="b">
        <f>IF(     ISNUMBER(Table13[[#This Row],[Strike]]),RTD("tos.rtd", , "BID", "."&amp;Table13[[#This Row],[Ticker]]&amp;Table13[[#This Row],[Expiry]]&amp;""&amp;"C"&amp;Table13[[#This Row],[Strike]]))</f>
        <v>0</v>
      </c>
      <c r="J323" t="b">
        <f>IF(     ISNUMBER(Table13[[#This Row],[Strike]]),RTD("tos.rtd", , "ASK", "."&amp;Table13[[#This Row],[Ticker]]&amp;Table13[[#This Row],[Expiry]]&amp;""&amp;"C"&amp;Table13[[#This Row],[Strike]]))</f>
        <v>0</v>
      </c>
      <c r="K32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3" s="17" cm="1">
        <f t="array" aca="1" ref="L32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3" s="1">
        <f t="shared" si="30"/>
        <v>0</v>
      </c>
      <c r="N323" t="b">
        <f t="shared" si="31"/>
        <v>0</v>
      </c>
      <c r="P323" s="17" t="b" cm="1">
        <f t="array" ref="P323">IF(
    ISNUMBER(Table13[[#This Row],[Strike]]),IndividualLegIVCore($A$4, Table13[[#This Row],[Strike]], 0.0411, Table13[[#This Row],[T]], ((Table13[[#This Row],[BIDP]]+Table13[[#This Row],[ASKP]])/2), FALSE))</f>
        <v>0</v>
      </c>
      <c r="Q323" t="b">
        <f>IF(     ISNUMBER(Table13[[#This Row],[Strike]]),RTD("tos.rtd", , "BID", "."&amp;Table13[[#This Row],[Ticker]]&amp;Table13[[#This Row],[Expiry]]&amp;""&amp;"P"&amp;Table13[[#This Row],[Strike]]))</f>
        <v>0</v>
      </c>
      <c r="R323" t="b">
        <f>IF(     ISNUMBER(Table13[[#This Row],[Strike]]),RTD("tos.rtd", , "ASK", "."&amp;Table13[[#This Row],[Ticker]]&amp;Table13[[#This Row],[Expiry]]&amp;""&amp;"P"&amp;Table13[[#This Row],[Strike]]))</f>
        <v>0</v>
      </c>
      <c r="S323" s="17"/>
      <c r="T323" t="b">
        <f>IF(     ISNUMBER(Table13[[#This Row],[Strike]]),RTD("tos.rtd", , "OPEN_INT", "."&amp;Table13[[#This Row],[Ticker]]&amp;Table13[[#This Row],[Expiry]]&amp;""&amp;"P"&amp;Table13[[#This Row],[Strike]]))</f>
        <v>0</v>
      </c>
      <c r="U32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3" t="b">
        <f>IF(     ISNUMBER(Table13[[#This Row],[Strike]]),RTD("tos.rtd", , "DELTA", "."&amp;Table13[[#This Row],[Ticker]]&amp;Table13[[#This Row],[Expiry]]&amp;""&amp;"P"&amp;Table13[[#This Row],[Strike]]))</f>
        <v>0</v>
      </c>
      <c r="Y323" s="19">
        <f>5* IF($M$1="NDX", 10, IF(OR($M$1="SPX", $M$1="RUT"), 2, 1))</f>
        <v>10</v>
      </c>
      <c r="Z323">
        <f ca="1">IFERROR(Table13[[#This Row],[call gamma]]*(Table13[[#This Row],[Open.Int]])*$A$4^2,0)</f>
        <v>0</v>
      </c>
      <c r="AA323">
        <f ca="1">IFERROR(((Table13[[#This Row],[Open.Int8]])*Table13[[#This Row],[Put gamma]])*-1*$A$4^2,0)</f>
        <v>0</v>
      </c>
      <c r="AB323">
        <f ca="1">(Table13[[#This Row],[Call Gex]]+Table13[[#This Row],[Put Gex]])</f>
        <v>0</v>
      </c>
      <c r="AC323">
        <f ca="1">Table13[[#This Row],[put delta adj]]+Table13[[#This Row],[call delta adj]]</f>
        <v>0</v>
      </c>
      <c r="AD323">
        <f ca="1">Table13[[#This Row],[Put Gex]]*Table13[[#This Row],[DeltaP]]*-1</f>
        <v>0</v>
      </c>
      <c r="AE323">
        <f ca="1">Table13[[#This Row],[Call Gex]]*Table13[[#This Row],[DeltaC]]</f>
        <v>0</v>
      </c>
      <c r="AF323">
        <f>IF(Table13[[#This Row],[DeltaC]]-ABS(Table13[[#This Row],[DeltaP]])="0","0.01",Table13[[#This Row],[DeltaC]]-ABS(Table13[[#This Row],[DeltaP]]))</f>
        <v>0</v>
      </c>
      <c r="AG323" t="e">
        <f ca="1">((LN($A$4/Table13[[#This Row],[Strike]]) + (0.411 + 0.5 * Table13[[#This Row],[IV Calc P]]^2) *Table13[[#This Row],[T]])) / (Table13[[#This Row],[IV Calc P]] * SQRT(Table13[[#This Row],[T]]))</f>
        <v>#DIV/0!</v>
      </c>
      <c r="AH323" t="e">
        <f ca="1">(LN($A$4/Table13[[#This Row],[Strike]]) + (0.411-0 + 0.5 * Table13[[#This Row],[IV Calc C]]^2) *Table13[[#This Row],[T]]) / (Table13[[#This Row],[IV Calc C]] * SQRT(Table13[[#This Row],[T]]))</f>
        <v>#DIV/0!</v>
      </c>
      <c r="AI323" t="e">
        <f ca="1">(EXP(-(AG323^2)/2)/SQRT(2*PI())*EXP(0*SQRT(Table13[[#This Row],[T]]))/$A$4*18%*SQRT(SQRT(Table13[[#This Row],[T]])))</f>
        <v>#DIV/0!</v>
      </c>
      <c r="AJ323" t="e">
        <f ca="1">(EXP(-(AH323^2)/2)/SQRT(2*PI())*EXP(0*SQRT(Table13[[#This Row],[T]]))/$A$4*18%*SQRT(SQRT(Table13[[#This Row],[T]])))</f>
        <v>#DIV/0!</v>
      </c>
      <c r="AK323" t="e">
        <f ca="1">Table13[[#This Row],[Call D1]]-Table13[[#This Row],[IV Calc C]]*SQRT(Table13[[#This Row],[T]])</f>
        <v>#DIV/0!</v>
      </c>
      <c r="AL323" t="e">
        <f ca="1">Table13[[#This Row],[Put D1]]-Table13[[#This Row],[IV Calc P]]*SQRT(Table13[[#This Row],[T]])</f>
        <v>#DIV/0!</v>
      </c>
      <c r="AM323" t="e">
        <f ca="1">EXP(-0.5*Table13[[#This Row],[Call D1]]^2)/SQRT(2*PI())</f>
        <v>#DIV/0!</v>
      </c>
      <c r="AN323" t="e">
        <f ca="1">EXP(-0.5*Table13[[#This Row],[Put D1]]^2)/SQRT(2*PI())</f>
        <v>#DIV/0!</v>
      </c>
      <c r="AO323">
        <f ca="1">IFERROR((EXP(0*Table13[[#This Row],[T]])*Table13[[#This Row],[call N(d1)]]*(Table13[[#This Row],[call d2]]/Table13[[#This Row],[IV Calc C]]))*Table13[[#This Row],[Open.Int]]*Table13[[#This Row],[DeltaC]],0)</f>
        <v>0</v>
      </c>
      <c r="AP323">
        <f ca="1">IFERROR((EXP(0*Table13[[#This Row],[T]])*Table13[[#This Row],[put N(d1)]]*(Table13[[#This Row],[put d2]]/Table13[[#This Row],[IV Calc P]]))*Table13[[#This Row],[Open.Int8]]*Table13[[#This Row],[DeltaP]]*-1,0)</f>
        <v>0</v>
      </c>
      <c r="AQ323">
        <f ca="1">((Table13[[#This Row],[call vanna]]+Table13[[#This Row],[put vanna]])*$A$4)</f>
        <v>0</v>
      </c>
      <c r="AR32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3" s="9" t="str" cm="1">
        <f t="array" ref="AT323">_xlfn.IFS(     $M$1="SPX","SPXW",     $M$1="RUT","RUTW",  $M$1="NDX","NDXP",   TRUE,$M$1 )</f>
        <v>SPXW</v>
      </c>
      <c r="AU323" s="2">
        <f t="shared" si="32"/>
        <v>6915</v>
      </c>
      <c r="AV323" t="str">
        <f t="shared" si="33"/>
        <v>000100</v>
      </c>
      <c r="AY32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3">
        <f>((Table13[[#This Row],[High C]]+Table13[[#This Row],[Low C]])/2)*Table13[[#This Row],[gammac]]*Table13[[#This Row],[Volume]]</f>
        <v>0</v>
      </c>
      <c r="BD323">
        <f>((Table13[[#This Row],[High P]]+Table13[[#This Row],[Low P]])/2)*Table13[[#This Row],[gammap]]*Table13[[#This Row],[Volume9]]*-1</f>
        <v>0</v>
      </c>
      <c r="BE323">
        <f>(Table13[[#This Row],[SgammaC]]+Table13[[#This Row],[SgammaP]])*$A$4*-100</f>
        <v>0</v>
      </c>
      <c r="BF323">
        <f>Table13[[#This Row],[DEXc]]+Table13[[#This Row],[DEXp]]</f>
        <v>0</v>
      </c>
      <c r="BG323">
        <f>IFERROR(Table13[[#This Row],[DeltaC]]*Table13[[#This Row],[Open.Int]]*$A$4,0)</f>
        <v>0</v>
      </c>
      <c r="BH323">
        <f>IFERROR(Table13[[#This Row],[DeltaP]]*Table13[[#This Row],[Open.Int8]]*$A$4,0)</f>
        <v>0</v>
      </c>
      <c r="BI32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3">
        <f ca="1">Table13[[#This Row],[charmc]]+Table13[[#This Row],[charmp]]</f>
        <v>0</v>
      </c>
      <c r="BL32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3" s="78">
        <f ca="1">Table13[[#This Row],[call helper]]+Table13[[#This Row],[put helper]]</f>
        <v>0</v>
      </c>
      <c r="BP323" t="str">
        <f>RTD("tos.rtd", , "STRIKE", "."&amp;Table13[[#This Row],[Ticker]]&amp;Table13[[#This Row],[Expiry]]&amp;""&amp;"C"&amp;Table13[[#This Row],[Spot]]+Table13[[#This Row],[step]])</f>
        <v>N/A</v>
      </c>
    </row>
    <row r="324" spans="1:68" x14ac:dyDescent="0.25">
      <c r="A324" s="14">
        <f t="shared" ca="1" si="29"/>
        <v>-126.14810350076104</v>
      </c>
      <c r="C324" s="17"/>
      <c r="D324" t="b">
        <f>IF(
    ISNUMBER(Table13[[#This Row],[Strike]]),RTD("tos.rtd", , "OPEN_INT", "."&amp;Table13[[#This Row],[Ticker]]&amp;Table13[[#This Row],[Expiry]]&amp;""&amp;"C"&amp;Table13[[#This Row],[Strike]]))</f>
        <v>0</v>
      </c>
      <c r="E32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4" t="b">
        <f>IF(     ISNUMBER(Table13[[#This Row],[Strike]]),RTD("tos.rtd", , "DELTA", "."&amp;Table13[[#This Row],[Ticker]]&amp;Table13[[#This Row],[Expiry]]&amp;""&amp;"C"&amp;Table13[[#This Row],[Strike]]))</f>
        <v>0</v>
      </c>
      <c r="H324" s="17" t="b" cm="1">
        <f t="array" ref="H324">IF(
    ISNUMBER(Table13[[#This Row],[Strike]]),IndividualLegIVCore($A$4, Table13[[#This Row],[Strike]], 0.0411, Table13[[#This Row],[T]], ((Table13[[#This Row],[BIDC]]+Table13[[#This Row],[ASKC]])/2), TRUE))</f>
        <v>0</v>
      </c>
      <c r="I324" t="b">
        <f>IF(     ISNUMBER(Table13[[#This Row],[Strike]]),RTD("tos.rtd", , "BID", "."&amp;Table13[[#This Row],[Ticker]]&amp;Table13[[#This Row],[Expiry]]&amp;""&amp;"C"&amp;Table13[[#This Row],[Strike]]))</f>
        <v>0</v>
      </c>
      <c r="J324" t="b">
        <f>IF(     ISNUMBER(Table13[[#This Row],[Strike]]),RTD("tos.rtd", , "ASK", "."&amp;Table13[[#This Row],[Ticker]]&amp;Table13[[#This Row],[Expiry]]&amp;""&amp;"C"&amp;Table13[[#This Row],[Strike]]))</f>
        <v>0</v>
      </c>
      <c r="K32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4" s="17" cm="1">
        <f t="array" aca="1" ref="L32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4" s="1">
        <f t="shared" si="30"/>
        <v>0</v>
      </c>
      <c r="N324" t="b">
        <f t="shared" si="31"/>
        <v>0</v>
      </c>
      <c r="P324" s="17" t="b" cm="1">
        <f t="array" ref="P324">IF(
    ISNUMBER(Table13[[#This Row],[Strike]]),IndividualLegIVCore($A$4, Table13[[#This Row],[Strike]], 0.0411, Table13[[#This Row],[T]], ((Table13[[#This Row],[BIDP]]+Table13[[#This Row],[ASKP]])/2), FALSE))</f>
        <v>0</v>
      </c>
      <c r="Q324" t="b">
        <f>IF(     ISNUMBER(Table13[[#This Row],[Strike]]),RTD("tos.rtd", , "BID", "."&amp;Table13[[#This Row],[Ticker]]&amp;Table13[[#This Row],[Expiry]]&amp;""&amp;"P"&amp;Table13[[#This Row],[Strike]]))</f>
        <v>0</v>
      </c>
      <c r="R324" t="b">
        <f>IF(     ISNUMBER(Table13[[#This Row],[Strike]]),RTD("tos.rtd", , "ASK", "."&amp;Table13[[#This Row],[Ticker]]&amp;Table13[[#This Row],[Expiry]]&amp;""&amp;"P"&amp;Table13[[#This Row],[Strike]]))</f>
        <v>0</v>
      </c>
      <c r="S324" s="17"/>
      <c r="T324" t="b">
        <f>IF(     ISNUMBER(Table13[[#This Row],[Strike]]),RTD("tos.rtd", , "OPEN_INT", "."&amp;Table13[[#This Row],[Ticker]]&amp;Table13[[#This Row],[Expiry]]&amp;""&amp;"P"&amp;Table13[[#This Row],[Strike]]))</f>
        <v>0</v>
      </c>
      <c r="U32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4" t="b">
        <f>IF(     ISNUMBER(Table13[[#This Row],[Strike]]),RTD("tos.rtd", , "DELTA", "."&amp;Table13[[#This Row],[Ticker]]&amp;Table13[[#This Row],[Expiry]]&amp;""&amp;"P"&amp;Table13[[#This Row],[Strike]]))</f>
        <v>0</v>
      </c>
      <c r="Y324" s="19">
        <f>5.5* IF($M$1="NDX", 10, IF(OR($M$1="SPX", $M$1="RUT"), 2, 1))</f>
        <v>11</v>
      </c>
      <c r="Z324">
        <f ca="1">IFERROR(Table13[[#This Row],[call gamma]]*(Table13[[#This Row],[Open.Int]])*$A$4^2,0)</f>
        <v>0</v>
      </c>
      <c r="AA324">
        <f ca="1">IFERROR(((Table13[[#This Row],[Open.Int8]])*Table13[[#This Row],[Put gamma]])*-1*$A$4^2,0)</f>
        <v>0</v>
      </c>
      <c r="AB324">
        <f ca="1">(Table13[[#This Row],[Call Gex]]+Table13[[#This Row],[Put Gex]])</f>
        <v>0</v>
      </c>
      <c r="AC324">
        <f ca="1">Table13[[#This Row],[put delta adj]]+Table13[[#This Row],[call delta adj]]</f>
        <v>0</v>
      </c>
      <c r="AD324">
        <f ca="1">Table13[[#This Row],[Put Gex]]*Table13[[#This Row],[DeltaP]]*-1</f>
        <v>0</v>
      </c>
      <c r="AE324">
        <f ca="1">Table13[[#This Row],[Call Gex]]*Table13[[#This Row],[DeltaC]]</f>
        <v>0</v>
      </c>
      <c r="AF324">
        <f>IF(Table13[[#This Row],[DeltaC]]-ABS(Table13[[#This Row],[DeltaP]])="0","0.01",Table13[[#This Row],[DeltaC]]-ABS(Table13[[#This Row],[DeltaP]]))</f>
        <v>0</v>
      </c>
      <c r="AG324" t="e">
        <f ca="1">((LN($A$4/Table13[[#This Row],[Strike]]) + (0.411 + 0.5 * Table13[[#This Row],[IV Calc P]]^2) *Table13[[#This Row],[T]])) / (Table13[[#This Row],[IV Calc P]] * SQRT(Table13[[#This Row],[T]]))</f>
        <v>#DIV/0!</v>
      </c>
      <c r="AH324" t="e">
        <f ca="1">(LN($A$4/Table13[[#This Row],[Strike]]) + (0.411-0 + 0.5 * Table13[[#This Row],[IV Calc C]]^2) *Table13[[#This Row],[T]]) / (Table13[[#This Row],[IV Calc C]] * SQRT(Table13[[#This Row],[T]]))</f>
        <v>#DIV/0!</v>
      </c>
      <c r="AI324" t="e">
        <f ca="1">(EXP(-(AG324^2)/2)/SQRT(2*PI())*EXP(0*SQRT(Table13[[#This Row],[T]]))/$A$4*18%*SQRT(SQRT(Table13[[#This Row],[T]])))</f>
        <v>#DIV/0!</v>
      </c>
      <c r="AJ324" t="e">
        <f ca="1">(EXP(-(AH324^2)/2)/SQRT(2*PI())*EXP(0*SQRT(Table13[[#This Row],[T]]))/$A$4*18%*SQRT(SQRT(Table13[[#This Row],[T]])))</f>
        <v>#DIV/0!</v>
      </c>
      <c r="AK324" t="e">
        <f ca="1">Table13[[#This Row],[Call D1]]-Table13[[#This Row],[IV Calc C]]*SQRT(Table13[[#This Row],[T]])</f>
        <v>#DIV/0!</v>
      </c>
      <c r="AL324" t="e">
        <f ca="1">Table13[[#This Row],[Put D1]]-Table13[[#This Row],[IV Calc P]]*SQRT(Table13[[#This Row],[T]])</f>
        <v>#DIV/0!</v>
      </c>
      <c r="AM324" t="e">
        <f ca="1">EXP(-0.5*Table13[[#This Row],[Call D1]]^2)/SQRT(2*PI())</f>
        <v>#DIV/0!</v>
      </c>
      <c r="AN324" t="e">
        <f ca="1">EXP(-0.5*Table13[[#This Row],[Put D1]]^2)/SQRT(2*PI())</f>
        <v>#DIV/0!</v>
      </c>
      <c r="AO324">
        <f ca="1">IFERROR((EXP(0*Table13[[#This Row],[T]])*Table13[[#This Row],[call N(d1)]]*(Table13[[#This Row],[call d2]]/Table13[[#This Row],[IV Calc C]]))*Table13[[#This Row],[Open.Int]]*Table13[[#This Row],[DeltaC]],0)</f>
        <v>0</v>
      </c>
      <c r="AP324">
        <f ca="1">IFERROR((EXP(0*Table13[[#This Row],[T]])*Table13[[#This Row],[put N(d1)]]*(Table13[[#This Row],[put d2]]/Table13[[#This Row],[IV Calc P]]))*Table13[[#This Row],[Open.Int8]]*Table13[[#This Row],[DeltaP]]*-1,0)</f>
        <v>0</v>
      </c>
      <c r="AQ324">
        <f ca="1">((Table13[[#This Row],[call vanna]]+Table13[[#This Row],[put vanna]])*$A$4)</f>
        <v>0</v>
      </c>
      <c r="AR32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4" s="9" t="str" cm="1">
        <f t="array" ref="AT324">_xlfn.IFS(     $M$1="SPX","SPXW",     $M$1="RUT","RUTW",  $M$1="NDX","NDXP",   TRUE,$M$1 )</f>
        <v>SPXW</v>
      </c>
      <c r="AU324" s="2">
        <f t="shared" si="32"/>
        <v>6915</v>
      </c>
      <c r="AV324" t="str">
        <f t="shared" si="33"/>
        <v>000100</v>
      </c>
      <c r="AY32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4">
        <f>((Table13[[#This Row],[High C]]+Table13[[#This Row],[Low C]])/2)*Table13[[#This Row],[gammac]]*Table13[[#This Row],[Volume]]</f>
        <v>0</v>
      </c>
      <c r="BD324">
        <f>((Table13[[#This Row],[High P]]+Table13[[#This Row],[Low P]])/2)*Table13[[#This Row],[gammap]]*Table13[[#This Row],[Volume9]]*-1</f>
        <v>0</v>
      </c>
      <c r="BE324">
        <f>(Table13[[#This Row],[SgammaC]]+Table13[[#This Row],[SgammaP]])*$A$4*-100</f>
        <v>0</v>
      </c>
      <c r="BF324">
        <f>Table13[[#This Row],[DEXc]]+Table13[[#This Row],[DEXp]]</f>
        <v>0</v>
      </c>
      <c r="BG324">
        <f>IFERROR(Table13[[#This Row],[DeltaC]]*Table13[[#This Row],[Open.Int]]*$A$4,0)</f>
        <v>0</v>
      </c>
      <c r="BH324">
        <f>IFERROR(Table13[[#This Row],[DeltaP]]*Table13[[#This Row],[Open.Int8]]*$A$4,0)</f>
        <v>0</v>
      </c>
      <c r="BI32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4">
        <f ca="1">Table13[[#This Row],[charmc]]+Table13[[#This Row],[charmp]]</f>
        <v>0</v>
      </c>
      <c r="BL32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4" s="78">
        <f ca="1">Table13[[#This Row],[call helper]]+Table13[[#This Row],[put helper]]</f>
        <v>0</v>
      </c>
      <c r="BP324" t="str">
        <f>RTD("tos.rtd", , "STRIKE", "."&amp;Table13[[#This Row],[Ticker]]&amp;Table13[[#This Row],[Expiry]]&amp;""&amp;"C"&amp;Table13[[#This Row],[Spot]]+Table13[[#This Row],[step]])</f>
        <v>N/A</v>
      </c>
    </row>
    <row r="325" spans="1:68" x14ac:dyDescent="0.25">
      <c r="A325" s="14">
        <f t="shared" ca="1" si="29"/>
        <v>-126.14810350076104</v>
      </c>
      <c r="C325" s="17"/>
      <c r="D325" t="b">
        <f>IF(
    ISNUMBER(Table13[[#This Row],[Strike]]),RTD("tos.rtd", , "OPEN_INT", "."&amp;Table13[[#This Row],[Ticker]]&amp;Table13[[#This Row],[Expiry]]&amp;""&amp;"C"&amp;Table13[[#This Row],[Strike]]))</f>
        <v>0</v>
      </c>
      <c r="E32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5" t="b">
        <f>IF(     ISNUMBER(Table13[[#This Row],[Strike]]),RTD("tos.rtd", , "DELTA", "."&amp;Table13[[#This Row],[Ticker]]&amp;Table13[[#This Row],[Expiry]]&amp;""&amp;"C"&amp;Table13[[#This Row],[Strike]]))</f>
        <v>0</v>
      </c>
      <c r="H325" s="17" t="b" cm="1">
        <f t="array" ref="H325">IF(
    ISNUMBER(Table13[[#This Row],[Strike]]),IndividualLegIVCore($A$4, Table13[[#This Row],[Strike]], 0.0411, Table13[[#This Row],[T]], ((Table13[[#This Row],[BIDC]]+Table13[[#This Row],[ASKC]])/2), TRUE))</f>
        <v>0</v>
      </c>
      <c r="I325" t="b">
        <f>IF(     ISNUMBER(Table13[[#This Row],[Strike]]),RTD("tos.rtd", , "BID", "."&amp;Table13[[#This Row],[Ticker]]&amp;Table13[[#This Row],[Expiry]]&amp;""&amp;"C"&amp;Table13[[#This Row],[Strike]]))</f>
        <v>0</v>
      </c>
      <c r="J325" t="b">
        <f>IF(     ISNUMBER(Table13[[#This Row],[Strike]]),RTD("tos.rtd", , "ASK", "."&amp;Table13[[#This Row],[Ticker]]&amp;Table13[[#This Row],[Expiry]]&amp;""&amp;"C"&amp;Table13[[#This Row],[Strike]]))</f>
        <v>0</v>
      </c>
      <c r="K32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5" s="17" cm="1">
        <f t="array" aca="1" ref="L32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5" s="1">
        <f t="shared" si="30"/>
        <v>0</v>
      </c>
      <c r="N325" t="b">
        <f t="shared" si="31"/>
        <v>0</v>
      </c>
      <c r="P325" s="17" t="b" cm="1">
        <f t="array" ref="P325">IF(
    ISNUMBER(Table13[[#This Row],[Strike]]),IndividualLegIVCore($A$4, Table13[[#This Row],[Strike]], 0.0411, Table13[[#This Row],[T]], ((Table13[[#This Row],[BIDP]]+Table13[[#This Row],[ASKP]])/2), FALSE))</f>
        <v>0</v>
      </c>
      <c r="Q325" t="b">
        <f>IF(     ISNUMBER(Table13[[#This Row],[Strike]]),RTD("tos.rtd", , "BID", "."&amp;Table13[[#This Row],[Ticker]]&amp;Table13[[#This Row],[Expiry]]&amp;""&amp;"P"&amp;Table13[[#This Row],[Strike]]))</f>
        <v>0</v>
      </c>
      <c r="R325" t="b">
        <f>IF(     ISNUMBER(Table13[[#This Row],[Strike]]),RTD("tos.rtd", , "ASK", "."&amp;Table13[[#This Row],[Ticker]]&amp;Table13[[#This Row],[Expiry]]&amp;""&amp;"P"&amp;Table13[[#This Row],[Strike]]))</f>
        <v>0</v>
      </c>
      <c r="S325" s="17"/>
      <c r="T325" t="b">
        <f>IF(     ISNUMBER(Table13[[#This Row],[Strike]]),RTD("tos.rtd", , "OPEN_INT", "."&amp;Table13[[#This Row],[Ticker]]&amp;Table13[[#This Row],[Expiry]]&amp;""&amp;"P"&amp;Table13[[#This Row],[Strike]]))</f>
        <v>0</v>
      </c>
      <c r="U32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5" t="b">
        <f>IF(     ISNUMBER(Table13[[#This Row],[Strike]]),RTD("tos.rtd", , "DELTA", "."&amp;Table13[[#This Row],[Ticker]]&amp;Table13[[#This Row],[Expiry]]&amp;""&amp;"P"&amp;Table13[[#This Row],[Strike]]))</f>
        <v>0</v>
      </c>
      <c r="Y325" s="19">
        <f>6* IF($M$1="NDX", 10, IF(OR($M$1="SPX", $M$1="RUT"), 2, 1))</f>
        <v>12</v>
      </c>
      <c r="Z325">
        <f ca="1">IFERROR(Table13[[#This Row],[call gamma]]*(Table13[[#This Row],[Open.Int]])*$A$4^2,0)</f>
        <v>0</v>
      </c>
      <c r="AA325">
        <f ca="1">IFERROR(((Table13[[#This Row],[Open.Int8]])*Table13[[#This Row],[Put gamma]])*-1*$A$4^2,0)</f>
        <v>0</v>
      </c>
      <c r="AB325">
        <f ca="1">(Table13[[#This Row],[Call Gex]]+Table13[[#This Row],[Put Gex]])</f>
        <v>0</v>
      </c>
      <c r="AC325">
        <f ca="1">Table13[[#This Row],[put delta adj]]+Table13[[#This Row],[call delta adj]]</f>
        <v>0</v>
      </c>
      <c r="AD325">
        <f ca="1">Table13[[#This Row],[Put Gex]]*Table13[[#This Row],[DeltaP]]*-1</f>
        <v>0</v>
      </c>
      <c r="AE325">
        <f ca="1">Table13[[#This Row],[Call Gex]]*Table13[[#This Row],[DeltaC]]</f>
        <v>0</v>
      </c>
      <c r="AF325">
        <f>IF(Table13[[#This Row],[DeltaC]]-ABS(Table13[[#This Row],[DeltaP]])="0","0.01",Table13[[#This Row],[DeltaC]]-ABS(Table13[[#This Row],[DeltaP]]))</f>
        <v>0</v>
      </c>
      <c r="AG325" t="e">
        <f ca="1">((LN($A$4/Table13[[#This Row],[Strike]]) + (0.411 + 0.5 * Table13[[#This Row],[IV Calc P]]^2) *Table13[[#This Row],[T]])) / (Table13[[#This Row],[IV Calc P]] * SQRT(Table13[[#This Row],[T]]))</f>
        <v>#DIV/0!</v>
      </c>
      <c r="AH325" t="e">
        <f ca="1">(LN($A$4/Table13[[#This Row],[Strike]]) + (0.411-0 + 0.5 * Table13[[#This Row],[IV Calc C]]^2) *Table13[[#This Row],[T]]) / (Table13[[#This Row],[IV Calc C]] * SQRT(Table13[[#This Row],[T]]))</f>
        <v>#DIV/0!</v>
      </c>
      <c r="AI325" t="e">
        <f ca="1">(EXP(-(AG325^2)/2)/SQRT(2*PI())*EXP(0*SQRT(Table13[[#This Row],[T]]))/$A$4*18%*SQRT(SQRT(Table13[[#This Row],[T]])))</f>
        <v>#DIV/0!</v>
      </c>
      <c r="AJ325" t="e">
        <f ca="1">(EXP(-(AH325^2)/2)/SQRT(2*PI())*EXP(0*SQRT(Table13[[#This Row],[T]]))/$A$4*18%*SQRT(SQRT(Table13[[#This Row],[T]])))</f>
        <v>#DIV/0!</v>
      </c>
      <c r="AK325" t="e">
        <f ca="1">Table13[[#This Row],[Call D1]]-Table13[[#This Row],[IV Calc C]]*SQRT(Table13[[#This Row],[T]])</f>
        <v>#DIV/0!</v>
      </c>
      <c r="AL325" t="e">
        <f ca="1">Table13[[#This Row],[Put D1]]-Table13[[#This Row],[IV Calc P]]*SQRT(Table13[[#This Row],[T]])</f>
        <v>#DIV/0!</v>
      </c>
      <c r="AM325" t="e">
        <f ca="1">EXP(-0.5*Table13[[#This Row],[Call D1]]^2)/SQRT(2*PI())</f>
        <v>#DIV/0!</v>
      </c>
      <c r="AN325" t="e">
        <f ca="1">EXP(-0.5*Table13[[#This Row],[Put D1]]^2)/SQRT(2*PI())</f>
        <v>#DIV/0!</v>
      </c>
      <c r="AO325">
        <f ca="1">IFERROR((EXP(0*Table13[[#This Row],[T]])*Table13[[#This Row],[call N(d1)]]*(Table13[[#This Row],[call d2]]/Table13[[#This Row],[IV Calc C]]))*Table13[[#This Row],[Open.Int]]*Table13[[#This Row],[DeltaC]],0)</f>
        <v>0</v>
      </c>
      <c r="AP325">
        <f ca="1">IFERROR((EXP(0*Table13[[#This Row],[T]])*Table13[[#This Row],[put N(d1)]]*(Table13[[#This Row],[put d2]]/Table13[[#This Row],[IV Calc P]]))*Table13[[#This Row],[Open.Int8]]*Table13[[#This Row],[DeltaP]]*-1,0)</f>
        <v>0</v>
      </c>
      <c r="AQ325">
        <f ca="1">((Table13[[#This Row],[call vanna]]+Table13[[#This Row],[put vanna]])*$A$4)</f>
        <v>0</v>
      </c>
      <c r="AR32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5" s="9" t="str" cm="1">
        <f t="array" ref="AT325">_xlfn.IFS(     $M$1="SPX","SPXW",     $M$1="RUT","RUTW",  $M$1="NDX","NDXP",   TRUE,$M$1 )</f>
        <v>SPXW</v>
      </c>
      <c r="AU325" s="2">
        <f t="shared" si="32"/>
        <v>6915</v>
      </c>
      <c r="AV325" t="str">
        <f t="shared" si="33"/>
        <v>000100</v>
      </c>
      <c r="AY32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5">
        <f>((Table13[[#This Row],[High C]]+Table13[[#This Row],[Low C]])/2)*Table13[[#This Row],[gammac]]*Table13[[#This Row],[Volume]]</f>
        <v>0</v>
      </c>
      <c r="BD325">
        <f>((Table13[[#This Row],[High P]]+Table13[[#This Row],[Low P]])/2)*Table13[[#This Row],[gammap]]*Table13[[#This Row],[Volume9]]*-1</f>
        <v>0</v>
      </c>
      <c r="BE325">
        <f>(Table13[[#This Row],[SgammaC]]+Table13[[#This Row],[SgammaP]])*$A$4*-100</f>
        <v>0</v>
      </c>
      <c r="BF325">
        <f>Table13[[#This Row],[DEXc]]+Table13[[#This Row],[DEXp]]</f>
        <v>0</v>
      </c>
      <c r="BG325">
        <f>IFERROR(Table13[[#This Row],[DeltaC]]*Table13[[#This Row],[Open.Int]]*$A$4,0)</f>
        <v>0</v>
      </c>
      <c r="BH325">
        <f>IFERROR(Table13[[#This Row],[DeltaP]]*Table13[[#This Row],[Open.Int8]]*$A$4,0)</f>
        <v>0</v>
      </c>
      <c r="BI32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5">
        <f ca="1">Table13[[#This Row],[charmc]]+Table13[[#This Row],[charmp]]</f>
        <v>0</v>
      </c>
      <c r="BL32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5" s="78">
        <f ca="1">Table13[[#This Row],[call helper]]+Table13[[#This Row],[put helper]]</f>
        <v>0</v>
      </c>
      <c r="BP325" t="str">
        <f>RTD("tos.rtd", , "STRIKE", "."&amp;Table13[[#This Row],[Ticker]]&amp;Table13[[#This Row],[Expiry]]&amp;""&amp;"C"&amp;Table13[[#This Row],[Spot]]+Table13[[#This Row],[step]])</f>
        <v>N/A</v>
      </c>
    </row>
    <row r="326" spans="1:68" x14ac:dyDescent="0.25">
      <c r="A326" s="14">
        <f t="shared" ca="1" si="29"/>
        <v>-126.14810350076104</v>
      </c>
      <c r="C326" s="17"/>
      <c r="D326" t="b">
        <f>IF(
    ISNUMBER(Table13[[#This Row],[Strike]]),RTD("tos.rtd", , "OPEN_INT", "."&amp;Table13[[#This Row],[Ticker]]&amp;Table13[[#This Row],[Expiry]]&amp;""&amp;"C"&amp;Table13[[#This Row],[Strike]]))</f>
        <v>0</v>
      </c>
      <c r="E32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6" t="b">
        <f>IF(     ISNUMBER(Table13[[#This Row],[Strike]]),RTD("tos.rtd", , "DELTA", "."&amp;Table13[[#This Row],[Ticker]]&amp;Table13[[#This Row],[Expiry]]&amp;""&amp;"C"&amp;Table13[[#This Row],[Strike]]))</f>
        <v>0</v>
      </c>
      <c r="H326" s="17" t="b" cm="1">
        <f t="array" ref="H326">IF(
    ISNUMBER(Table13[[#This Row],[Strike]]),IndividualLegIVCore($A$4, Table13[[#This Row],[Strike]], 0.0411, Table13[[#This Row],[T]], ((Table13[[#This Row],[BIDC]]+Table13[[#This Row],[ASKC]])/2), TRUE))</f>
        <v>0</v>
      </c>
      <c r="I326" t="b">
        <f>IF(     ISNUMBER(Table13[[#This Row],[Strike]]),RTD("tos.rtd", , "BID", "."&amp;Table13[[#This Row],[Ticker]]&amp;Table13[[#This Row],[Expiry]]&amp;""&amp;"C"&amp;Table13[[#This Row],[Strike]]))</f>
        <v>0</v>
      </c>
      <c r="J326" t="b">
        <f>IF(     ISNUMBER(Table13[[#This Row],[Strike]]),RTD("tos.rtd", , "ASK", "."&amp;Table13[[#This Row],[Ticker]]&amp;Table13[[#This Row],[Expiry]]&amp;""&amp;"C"&amp;Table13[[#This Row],[Strike]]))</f>
        <v>0</v>
      </c>
      <c r="K32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6" s="17" cm="1">
        <f t="array" aca="1" ref="L32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6" s="1">
        <f t="shared" si="30"/>
        <v>0</v>
      </c>
      <c r="N326" t="b">
        <f t="shared" si="31"/>
        <v>0</v>
      </c>
      <c r="P326" s="17" t="b" cm="1">
        <f t="array" ref="P326">IF(
    ISNUMBER(Table13[[#This Row],[Strike]]),IndividualLegIVCore($A$4, Table13[[#This Row],[Strike]], 0.0411, Table13[[#This Row],[T]], ((Table13[[#This Row],[BIDP]]+Table13[[#This Row],[ASKP]])/2), FALSE))</f>
        <v>0</v>
      </c>
      <c r="Q326" t="b">
        <f>IF(     ISNUMBER(Table13[[#This Row],[Strike]]),RTD("tos.rtd", , "BID", "."&amp;Table13[[#This Row],[Ticker]]&amp;Table13[[#This Row],[Expiry]]&amp;""&amp;"P"&amp;Table13[[#This Row],[Strike]]))</f>
        <v>0</v>
      </c>
      <c r="R326" t="b">
        <f>IF(     ISNUMBER(Table13[[#This Row],[Strike]]),RTD("tos.rtd", , "ASK", "."&amp;Table13[[#This Row],[Ticker]]&amp;Table13[[#This Row],[Expiry]]&amp;""&amp;"P"&amp;Table13[[#This Row],[Strike]]))</f>
        <v>0</v>
      </c>
      <c r="S326" s="17"/>
      <c r="T326" t="b">
        <f>IF(     ISNUMBER(Table13[[#This Row],[Strike]]),RTD("tos.rtd", , "OPEN_INT", "."&amp;Table13[[#This Row],[Ticker]]&amp;Table13[[#This Row],[Expiry]]&amp;""&amp;"P"&amp;Table13[[#This Row],[Strike]]))</f>
        <v>0</v>
      </c>
      <c r="U32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6" t="b">
        <f>IF(     ISNUMBER(Table13[[#This Row],[Strike]]),RTD("tos.rtd", , "DELTA", "."&amp;Table13[[#This Row],[Ticker]]&amp;Table13[[#This Row],[Expiry]]&amp;""&amp;"P"&amp;Table13[[#This Row],[Strike]]))</f>
        <v>0</v>
      </c>
      <c r="Y326" s="19">
        <f>6.5* IF($M$1="NDX", 10, IF(OR($M$1="SPX", $M$1="RUT"), 2, 1))</f>
        <v>13</v>
      </c>
      <c r="Z326">
        <f ca="1">IFERROR(Table13[[#This Row],[call gamma]]*(Table13[[#This Row],[Open.Int]])*$A$4^2,0)</f>
        <v>0</v>
      </c>
      <c r="AA326">
        <f ca="1">IFERROR(((Table13[[#This Row],[Open.Int8]])*Table13[[#This Row],[Put gamma]])*-1*$A$4^2,0)</f>
        <v>0</v>
      </c>
      <c r="AB326">
        <f ca="1">(Table13[[#This Row],[Call Gex]]+Table13[[#This Row],[Put Gex]])</f>
        <v>0</v>
      </c>
      <c r="AC326">
        <f ca="1">Table13[[#This Row],[put delta adj]]+Table13[[#This Row],[call delta adj]]</f>
        <v>0</v>
      </c>
      <c r="AD326">
        <f ca="1">Table13[[#This Row],[Put Gex]]*Table13[[#This Row],[DeltaP]]*-1</f>
        <v>0</v>
      </c>
      <c r="AE326">
        <f ca="1">Table13[[#This Row],[Call Gex]]*Table13[[#This Row],[DeltaC]]</f>
        <v>0</v>
      </c>
      <c r="AF326">
        <f>IF(Table13[[#This Row],[DeltaC]]-ABS(Table13[[#This Row],[DeltaP]])="0","0.01",Table13[[#This Row],[DeltaC]]-ABS(Table13[[#This Row],[DeltaP]]))</f>
        <v>0</v>
      </c>
      <c r="AG326" t="e">
        <f ca="1">((LN($A$4/Table13[[#This Row],[Strike]]) + (0.411 + 0.5 * Table13[[#This Row],[IV Calc P]]^2) *Table13[[#This Row],[T]])) / (Table13[[#This Row],[IV Calc P]] * SQRT(Table13[[#This Row],[T]]))</f>
        <v>#DIV/0!</v>
      </c>
      <c r="AH326" t="e">
        <f ca="1">(LN($A$4/Table13[[#This Row],[Strike]]) + (0.411-0 + 0.5 * Table13[[#This Row],[IV Calc C]]^2) *Table13[[#This Row],[T]]) / (Table13[[#This Row],[IV Calc C]] * SQRT(Table13[[#This Row],[T]]))</f>
        <v>#DIV/0!</v>
      </c>
      <c r="AI326" t="e">
        <f ca="1">(EXP(-(AG326^2)/2)/SQRT(2*PI())*EXP(0*SQRT(Table13[[#This Row],[T]]))/$A$4*18%*SQRT(SQRT(Table13[[#This Row],[T]])))</f>
        <v>#DIV/0!</v>
      </c>
      <c r="AJ326" t="e">
        <f ca="1">(EXP(-(AH326^2)/2)/SQRT(2*PI())*EXP(0*SQRT(Table13[[#This Row],[T]]))/$A$4*18%*SQRT(SQRT(Table13[[#This Row],[T]])))</f>
        <v>#DIV/0!</v>
      </c>
      <c r="AK326" t="e">
        <f ca="1">Table13[[#This Row],[Call D1]]-Table13[[#This Row],[IV Calc C]]*SQRT(Table13[[#This Row],[T]])</f>
        <v>#DIV/0!</v>
      </c>
      <c r="AL326" t="e">
        <f ca="1">Table13[[#This Row],[Put D1]]-Table13[[#This Row],[IV Calc P]]*SQRT(Table13[[#This Row],[T]])</f>
        <v>#DIV/0!</v>
      </c>
      <c r="AM326" t="e">
        <f ca="1">EXP(-0.5*Table13[[#This Row],[Call D1]]^2)/SQRT(2*PI())</f>
        <v>#DIV/0!</v>
      </c>
      <c r="AN326" t="e">
        <f ca="1">EXP(-0.5*Table13[[#This Row],[Put D1]]^2)/SQRT(2*PI())</f>
        <v>#DIV/0!</v>
      </c>
      <c r="AO326">
        <f ca="1">IFERROR((EXP(0*Table13[[#This Row],[T]])*Table13[[#This Row],[call N(d1)]]*(Table13[[#This Row],[call d2]]/Table13[[#This Row],[IV Calc C]]))*Table13[[#This Row],[Open.Int]]*Table13[[#This Row],[DeltaC]],0)</f>
        <v>0</v>
      </c>
      <c r="AP326">
        <f ca="1">IFERROR((EXP(0*Table13[[#This Row],[T]])*Table13[[#This Row],[put N(d1)]]*(Table13[[#This Row],[put d2]]/Table13[[#This Row],[IV Calc P]]))*Table13[[#This Row],[Open.Int8]]*Table13[[#This Row],[DeltaP]]*-1,0)</f>
        <v>0</v>
      </c>
      <c r="AQ326">
        <f ca="1">((Table13[[#This Row],[call vanna]]+Table13[[#This Row],[put vanna]])*$A$4)</f>
        <v>0</v>
      </c>
      <c r="AR32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6" s="9" t="str" cm="1">
        <f t="array" ref="AT326">_xlfn.IFS(     $M$1="SPX","SPXW",     $M$1="RUT","RUTW",  $M$1="NDX","NDXP",   TRUE,$M$1 )</f>
        <v>SPXW</v>
      </c>
      <c r="AU326" s="2">
        <f t="shared" si="32"/>
        <v>6915</v>
      </c>
      <c r="AV326" t="str">
        <f t="shared" si="33"/>
        <v>000100</v>
      </c>
      <c r="AY32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6">
        <f>((Table13[[#This Row],[High C]]+Table13[[#This Row],[Low C]])/2)*Table13[[#This Row],[gammac]]*Table13[[#This Row],[Volume]]</f>
        <v>0</v>
      </c>
      <c r="BD326">
        <f>((Table13[[#This Row],[High P]]+Table13[[#This Row],[Low P]])/2)*Table13[[#This Row],[gammap]]*Table13[[#This Row],[Volume9]]*-1</f>
        <v>0</v>
      </c>
      <c r="BE326">
        <f>(Table13[[#This Row],[SgammaC]]+Table13[[#This Row],[SgammaP]])*$A$4*-100</f>
        <v>0</v>
      </c>
      <c r="BF326">
        <f>Table13[[#This Row],[DEXc]]+Table13[[#This Row],[DEXp]]</f>
        <v>0</v>
      </c>
      <c r="BG326">
        <f>IFERROR(Table13[[#This Row],[DeltaC]]*Table13[[#This Row],[Open.Int]]*$A$4,0)</f>
        <v>0</v>
      </c>
      <c r="BH326">
        <f>IFERROR(Table13[[#This Row],[DeltaP]]*Table13[[#This Row],[Open.Int8]]*$A$4,0)</f>
        <v>0</v>
      </c>
      <c r="BI32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6">
        <f ca="1">Table13[[#This Row],[charmc]]+Table13[[#This Row],[charmp]]</f>
        <v>0</v>
      </c>
      <c r="BL32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6" s="78">
        <f ca="1">Table13[[#This Row],[call helper]]+Table13[[#This Row],[put helper]]</f>
        <v>0</v>
      </c>
      <c r="BP326" t="str">
        <f>RTD("tos.rtd", , "STRIKE", "."&amp;Table13[[#This Row],[Ticker]]&amp;Table13[[#This Row],[Expiry]]&amp;""&amp;"C"&amp;Table13[[#This Row],[Spot]]+Table13[[#This Row],[step]])</f>
        <v>N/A</v>
      </c>
    </row>
    <row r="327" spans="1:68" x14ac:dyDescent="0.25">
      <c r="A327" s="14">
        <f t="shared" ca="1" si="29"/>
        <v>-126.14810350076104</v>
      </c>
      <c r="C327" s="17"/>
      <c r="D327" t="b">
        <f>IF(
    ISNUMBER(Table13[[#This Row],[Strike]]),RTD("tos.rtd", , "OPEN_INT", "."&amp;Table13[[#This Row],[Ticker]]&amp;Table13[[#This Row],[Expiry]]&amp;""&amp;"C"&amp;Table13[[#This Row],[Strike]]))</f>
        <v>0</v>
      </c>
      <c r="E32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7" t="b">
        <f>IF(     ISNUMBER(Table13[[#This Row],[Strike]]),RTD("tos.rtd", , "DELTA", "."&amp;Table13[[#This Row],[Ticker]]&amp;Table13[[#This Row],[Expiry]]&amp;""&amp;"C"&amp;Table13[[#This Row],[Strike]]))</f>
        <v>0</v>
      </c>
      <c r="H327" s="17" t="b" cm="1">
        <f t="array" ref="H327">IF(
    ISNUMBER(Table13[[#This Row],[Strike]]),IndividualLegIVCore($A$4, Table13[[#This Row],[Strike]], 0.0411, Table13[[#This Row],[T]], ((Table13[[#This Row],[BIDC]]+Table13[[#This Row],[ASKC]])/2), TRUE))</f>
        <v>0</v>
      </c>
      <c r="I327" t="b">
        <f>IF(     ISNUMBER(Table13[[#This Row],[Strike]]),RTD("tos.rtd", , "BID", "."&amp;Table13[[#This Row],[Ticker]]&amp;Table13[[#This Row],[Expiry]]&amp;""&amp;"C"&amp;Table13[[#This Row],[Strike]]))</f>
        <v>0</v>
      </c>
      <c r="J327" t="b">
        <f>IF(     ISNUMBER(Table13[[#This Row],[Strike]]),RTD("tos.rtd", , "ASK", "."&amp;Table13[[#This Row],[Ticker]]&amp;Table13[[#This Row],[Expiry]]&amp;""&amp;"C"&amp;Table13[[#This Row],[Strike]]))</f>
        <v>0</v>
      </c>
      <c r="K32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7" s="17" cm="1">
        <f t="array" aca="1" ref="L32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7" s="1">
        <f t="shared" si="30"/>
        <v>0</v>
      </c>
      <c r="N327" t="b">
        <f t="shared" si="31"/>
        <v>0</v>
      </c>
      <c r="P327" s="17" t="b" cm="1">
        <f t="array" ref="P327">IF(
    ISNUMBER(Table13[[#This Row],[Strike]]),IndividualLegIVCore($A$4, Table13[[#This Row],[Strike]], 0.0411, Table13[[#This Row],[T]], ((Table13[[#This Row],[BIDP]]+Table13[[#This Row],[ASKP]])/2), FALSE))</f>
        <v>0</v>
      </c>
      <c r="Q327" t="b">
        <f>IF(     ISNUMBER(Table13[[#This Row],[Strike]]),RTD("tos.rtd", , "BID", "."&amp;Table13[[#This Row],[Ticker]]&amp;Table13[[#This Row],[Expiry]]&amp;""&amp;"P"&amp;Table13[[#This Row],[Strike]]))</f>
        <v>0</v>
      </c>
      <c r="R327" t="b">
        <f>IF(     ISNUMBER(Table13[[#This Row],[Strike]]),RTD("tos.rtd", , "ASK", "."&amp;Table13[[#This Row],[Ticker]]&amp;Table13[[#This Row],[Expiry]]&amp;""&amp;"P"&amp;Table13[[#This Row],[Strike]]))</f>
        <v>0</v>
      </c>
      <c r="S327" s="17"/>
      <c r="T327" t="b">
        <f>IF(     ISNUMBER(Table13[[#This Row],[Strike]]),RTD("tos.rtd", , "OPEN_INT", "."&amp;Table13[[#This Row],[Ticker]]&amp;Table13[[#This Row],[Expiry]]&amp;""&amp;"P"&amp;Table13[[#This Row],[Strike]]))</f>
        <v>0</v>
      </c>
      <c r="U32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7" t="b">
        <f>IF(     ISNUMBER(Table13[[#This Row],[Strike]]),RTD("tos.rtd", , "DELTA", "."&amp;Table13[[#This Row],[Ticker]]&amp;Table13[[#This Row],[Expiry]]&amp;""&amp;"P"&amp;Table13[[#This Row],[Strike]]))</f>
        <v>0</v>
      </c>
      <c r="Y327" s="19">
        <f>7* IF($M$1="NDX", 10, IF(OR($M$1="SPX", $M$1="RUT"), 2, 1))</f>
        <v>14</v>
      </c>
      <c r="Z327">
        <f ca="1">IFERROR(Table13[[#This Row],[call gamma]]*(Table13[[#This Row],[Open.Int]])*$A$4^2,0)</f>
        <v>0</v>
      </c>
      <c r="AA327">
        <f ca="1">IFERROR(((Table13[[#This Row],[Open.Int8]])*Table13[[#This Row],[Put gamma]])*-1*$A$4^2,0)</f>
        <v>0</v>
      </c>
      <c r="AB327">
        <f ca="1">(Table13[[#This Row],[Call Gex]]+Table13[[#This Row],[Put Gex]])</f>
        <v>0</v>
      </c>
      <c r="AC327">
        <f ca="1">Table13[[#This Row],[put delta adj]]+Table13[[#This Row],[call delta adj]]</f>
        <v>0</v>
      </c>
      <c r="AD327">
        <f ca="1">Table13[[#This Row],[Put Gex]]*Table13[[#This Row],[DeltaP]]*-1</f>
        <v>0</v>
      </c>
      <c r="AE327">
        <f ca="1">Table13[[#This Row],[Call Gex]]*Table13[[#This Row],[DeltaC]]</f>
        <v>0</v>
      </c>
      <c r="AF327">
        <f>IF(Table13[[#This Row],[DeltaC]]-ABS(Table13[[#This Row],[DeltaP]])="0","0.01",Table13[[#This Row],[DeltaC]]-ABS(Table13[[#This Row],[DeltaP]]))</f>
        <v>0</v>
      </c>
      <c r="AG327" t="e">
        <f ca="1">((LN($A$4/Table13[[#This Row],[Strike]]) + (0.411 + 0.5 * Table13[[#This Row],[IV Calc P]]^2) *Table13[[#This Row],[T]])) / (Table13[[#This Row],[IV Calc P]] * SQRT(Table13[[#This Row],[T]]))</f>
        <v>#DIV/0!</v>
      </c>
      <c r="AH327" t="e">
        <f ca="1">(LN($A$4/Table13[[#This Row],[Strike]]) + (0.411-0 + 0.5 * Table13[[#This Row],[IV Calc C]]^2) *Table13[[#This Row],[T]]) / (Table13[[#This Row],[IV Calc C]] * SQRT(Table13[[#This Row],[T]]))</f>
        <v>#DIV/0!</v>
      </c>
      <c r="AI327" t="e">
        <f ca="1">(EXP(-(AG327^2)/2)/SQRT(2*PI())*EXP(0*SQRT(Table13[[#This Row],[T]]))/$A$4*18%*SQRT(SQRT(Table13[[#This Row],[T]])))</f>
        <v>#DIV/0!</v>
      </c>
      <c r="AJ327" t="e">
        <f ca="1">(EXP(-(AH327^2)/2)/SQRT(2*PI())*EXP(0*SQRT(Table13[[#This Row],[T]]))/$A$4*18%*SQRT(SQRT(Table13[[#This Row],[T]])))</f>
        <v>#DIV/0!</v>
      </c>
      <c r="AK327" t="e">
        <f ca="1">Table13[[#This Row],[Call D1]]-Table13[[#This Row],[IV Calc C]]*SQRT(Table13[[#This Row],[T]])</f>
        <v>#DIV/0!</v>
      </c>
      <c r="AL327" t="e">
        <f ca="1">Table13[[#This Row],[Put D1]]-Table13[[#This Row],[IV Calc P]]*SQRT(Table13[[#This Row],[T]])</f>
        <v>#DIV/0!</v>
      </c>
      <c r="AM327" t="e">
        <f ca="1">EXP(-0.5*Table13[[#This Row],[Call D1]]^2)/SQRT(2*PI())</f>
        <v>#DIV/0!</v>
      </c>
      <c r="AN327" t="e">
        <f ca="1">EXP(-0.5*Table13[[#This Row],[Put D1]]^2)/SQRT(2*PI())</f>
        <v>#DIV/0!</v>
      </c>
      <c r="AO327">
        <f ca="1">IFERROR((EXP(0*Table13[[#This Row],[T]])*Table13[[#This Row],[call N(d1)]]*(Table13[[#This Row],[call d2]]/Table13[[#This Row],[IV Calc C]]))*Table13[[#This Row],[Open.Int]]*Table13[[#This Row],[DeltaC]],0)</f>
        <v>0</v>
      </c>
      <c r="AP327">
        <f ca="1">IFERROR((EXP(0*Table13[[#This Row],[T]])*Table13[[#This Row],[put N(d1)]]*(Table13[[#This Row],[put d2]]/Table13[[#This Row],[IV Calc P]]))*Table13[[#This Row],[Open.Int8]]*Table13[[#This Row],[DeltaP]]*-1,0)</f>
        <v>0</v>
      </c>
      <c r="AQ327">
        <f ca="1">((Table13[[#This Row],[call vanna]]+Table13[[#This Row],[put vanna]])*$A$4)</f>
        <v>0</v>
      </c>
      <c r="AR32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7" s="9" t="str" cm="1">
        <f t="array" ref="AT327">_xlfn.IFS(     $M$1="SPX","SPXW",     $M$1="RUT","RUTW",  $M$1="NDX","NDXP",   TRUE,$M$1 )</f>
        <v>SPXW</v>
      </c>
      <c r="AU327" s="2">
        <f t="shared" si="32"/>
        <v>6915</v>
      </c>
      <c r="AV327" t="str">
        <f t="shared" si="33"/>
        <v>000100</v>
      </c>
      <c r="AY32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7">
        <f>((Table13[[#This Row],[High C]]+Table13[[#This Row],[Low C]])/2)*Table13[[#This Row],[gammac]]*Table13[[#This Row],[Volume]]</f>
        <v>0</v>
      </c>
      <c r="BD327">
        <f>((Table13[[#This Row],[High P]]+Table13[[#This Row],[Low P]])/2)*Table13[[#This Row],[gammap]]*Table13[[#This Row],[Volume9]]*-1</f>
        <v>0</v>
      </c>
      <c r="BE327">
        <f>(Table13[[#This Row],[SgammaC]]+Table13[[#This Row],[SgammaP]])*$A$4*-100</f>
        <v>0</v>
      </c>
      <c r="BF327">
        <f>Table13[[#This Row],[DEXc]]+Table13[[#This Row],[DEXp]]</f>
        <v>0</v>
      </c>
      <c r="BG327">
        <f>IFERROR(Table13[[#This Row],[DeltaC]]*Table13[[#This Row],[Open.Int]]*$A$4,0)</f>
        <v>0</v>
      </c>
      <c r="BH327">
        <f>IFERROR(Table13[[#This Row],[DeltaP]]*Table13[[#This Row],[Open.Int8]]*$A$4,0)</f>
        <v>0</v>
      </c>
      <c r="BI32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7">
        <f ca="1">Table13[[#This Row],[charmc]]+Table13[[#This Row],[charmp]]</f>
        <v>0</v>
      </c>
      <c r="BL32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7" s="78">
        <f ca="1">Table13[[#This Row],[call helper]]+Table13[[#This Row],[put helper]]</f>
        <v>0</v>
      </c>
      <c r="BP327" t="str">
        <f>RTD("tos.rtd", , "STRIKE", "."&amp;Table13[[#This Row],[Ticker]]&amp;Table13[[#This Row],[Expiry]]&amp;""&amp;"C"&amp;Table13[[#This Row],[Spot]]+Table13[[#This Row],[step]])</f>
        <v>N/A</v>
      </c>
    </row>
    <row r="328" spans="1:68" x14ac:dyDescent="0.25">
      <c r="A328" s="14">
        <f t="shared" ca="1" si="29"/>
        <v>-126.14810350076104</v>
      </c>
      <c r="C328" s="17"/>
      <c r="D328" t="b">
        <f>IF(
    ISNUMBER(Table13[[#This Row],[Strike]]),RTD("tos.rtd", , "OPEN_INT", "."&amp;Table13[[#This Row],[Ticker]]&amp;Table13[[#This Row],[Expiry]]&amp;""&amp;"C"&amp;Table13[[#This Row],[Strike]]))</f>
        <v>0</v>
      </c>
      <c r="E32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8" t="b">
        <f>IF(     ISNUMBER(Table13[[#This Row],[Strike]]),RTD("tos.rtd", , "DELTA", "."&amp;Table13[[#This Row],[Ticker]]&amp;Table13[[#This Row],[Expiry]]&amp;""&amp;"C"&amp;Table13[[#This Row],[Strike]]))</f>
        <v>0</v>
      </c>
      <c r="H328" s="17" t="b" cm="1">
        <f t="array" ref="H328">IF(
    ISNUMBER(Table13[[#This Row],[Strike]]),IndividualLegIVCore($A$4, Table13[[#This Row],[Strike]], 0.0411, Table13[[#This Row],[T]], ((Table13[[#This Row],[BIDC]]+Table13[[#This Row],[ASKC]])/2), TRUE))</f>
        <v>0</v>
      </c>
      <c r="I328" t="b">
        <f>IF(     ISNUMBER(Table13[[#This Row],[Strike]]),RTD("tos.rtd", , "BID", "."&amp;Table13[[#This Row],[Ticker]]&amp;Table13[[#This Row],[Expiry]]&amp;""&amp;"C"&amp;Table13[[#This Row],[Strike]]))</f>
        <v>0</v>
      </c>
      <c r="J328" t="b">
        <f>IF(     ISNUMBER(Table13[[#This Row],[Strike]]),RTD("tos.rtd", , "ASK", "."&amp;Table13[[#This Row],[Ticker]]&amp;Table13[[#This Row],[Expiry]]&amp;""&amp;"C"&amp;Table13[[#This Row],[Strike]]))</f>
        <v>0</v>
      </c>
      <c r="K32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8" s="17" cm="1">
        <f t="array" aca="1" ref="L32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8" s="1">
        <f t="shared" si="30"/>
        <v>0</v>
      </c>
      <c r="N328" t="b">
        <f t="shared" si="31"/>
        <v>0</v>
      </c>
      <c r="P328" s="17" t="b" cm="1">
        <f t="array" ref="P328">IF(
    ISNUMBER(Table13[[#This Row],[Strike]]),IndividualLegIVCore($A$4, Table13[[#This Row],[Strike]], 0.0411, Table13[[#This Row],[T]], ((Table13[[#This Row],[BIDP]]+Table13[[#This Row],[ASKP]])/2), FALSE))</f>
        <v>0</v>
      </c>
      <c r="Q328" t="b">
        <f>IF(     ISNUMBER(Table13[[#This Row],[Strike]]),RTD("tos.rtd", , "BID", "."&amp;Table13[[#This Row],[Ticker]]&amp;Table13[[#This Row],[Expiry]]&amp;""&amp;"P"&amp;Table13[[#This Row],[Strike]]))</f>
        <v>0</v>
      </c>
      <c r="R328" t="b">
        <f>IF(     ISNUMBER(Table13[[#This Row],[Strike]]),RTD("tos.rtd", , "ASK", "."&amp;Table13[[#This Row],[Ticker]]&amp;Table13[[#This Row],[Expiry]]&amp;""&amp;"P"&amp;Table13[[#This Row],[Strike]]))</f>
        <v>0</v>
      </c>
      <c r="S328" s="17"/>
      <c r="T328" t="b">
        <f>IF(     ISNUMBER(Table13[[#This Row],[Strike]]),RTD("tos.rtd", , "OPEN_INT", "."&amp;Table13[[#This Row],[Ticker]]&amp;Table13[[#This Row],[Expiry]]&amp;""&amp;"P"&amp;Table13[[#This Row],[Strike]]))</f>
        <v>0</v>
      </c>
      <c r="U32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8" t="b">
        <f>IF(     ISNUMBER(Table13[[#This Row],[Strike]]),RTD("tos.rtd", , "DELTA", "."&amp;Table13[[#This Row],[Ticker]]&amp;Table13[[#This Row],[Expiry]]&amp;""&amp;"P"&amp;Table13[[#This Row],[Strike]]))</f>
        <v>0</v>
      </c>
      <c r="Y328" s="19">
        <f>7.5* IF($M$1="NDX", 10, IF(OR($M$1="SPX", $M$1="RUT"), 2, 1))</f>
        <v>15</v>
      </c>
      <c r="Z328">
        <f ca="1">IFERROR(Table13[[#This Row],[call gamma]]*(Table13[[#This Row],[Open.Int]])*$A$4^2,0)</f>
        <v>0</v>
      </c>
      <c r="AA328">
        <f ca="1">IFERROR(((Table13[[#This Row],[Open.Int8]])*Table13[[#This Row],[Put gamma]])*-1*$A$4^2,0)</f>
        <v>0</v>
      </c>
      <c r="AB328">
        <f ca="1">(Table13[[#This Row],[Call Gex]]+Table13[[#This Row],[Put Gex]])</f>
        <v>0</v>
      </c>
      <c r="AC328">
        <f ca="1">Table13[[#This Row],[put delta adj]]+Table13[[#This Row],[call delta adj]]</f>
        <v>0</v>
      </c>
      <c r="AD328">
        <f ca="1">Table13[[#This Row],[Put Gex]]*Table13[[#This Row],[DeltaP]]*-1</f>
        <v>0</v>
      </c>
      <c r="AE328">
        <f ca="1">Table13[[#This Row],[Call Gex]]*Table13[[#This Row],[DeltaC]]</f>
        <v>0</v>
      </c>
      <c r="AF328">
        <f>IF(Table13[[#This Row],[DeltaC]]-ABS(Table13[[#This Row],[DeltaP]])="0","0.01",Table13[[#This Row],[DeltaC]]-ABS(Table13[[#This Row],[DeltaP]]))</f>
        <v>0</v>
      </c>
      <c r="AG328" t="e">
        <f ca="1">((LN($A$4/Table13[[#This Row],[Strike]]) + (0.411 + 0.5 * Table13[[#This Row],[IV Calc P]]^2) *Table13[[#This Row],[T]])) / (Table13[[#This Row],[IV Calc P]] * SQRT(Table13[[#This Row],[T]]))</f>
        <v>#DIV/0!</v>
      </c>
      <c r="AH328" t="e">
        <f ca="1">(LN($A$4/Table13[[#This Row],[Strike]]) + (0.411-0 + 0.5 * Table13[[#This Row],[IV Calc C]]^2) *Table13[[#This Row],[T]]) / (Table13[[#This Row],[IV Calc C]] * SQRT(Table13[[#This Row],[T]]))</f>
        <v>#DIV/0!</v>
      </c>
      <c r="AI328" t="e">
        <f ca="1">(EXP(-(AG328^2)/2)/SQRT(2*PI())*EXP(0*SQRT(Table13[[#This Row],[T]]))/$A$4*18%*SQRT(SQRT(Table13[[#This Row],[T]])))</f>
        <v>#DIV/0!</v>
      </c>
      <c r="AJ328" t="e">
        <f ca="1">(EXP(-(AH328^2)/2)/SQRT(2*PI())*EXP(0*SQRT(Table13[[#This Row],[T]]))/$A$4*18%*SQRT(SQRT(Table13[[#This Row],[T]])))</f>
        <v>#DIV/0!</v>
      </c>
      <c r="AK328" t="e">
        <f ca="1">Table13[[#This Row],[Call D1]]-Table13[[#This Row],[IV Calc C]]*SQRT(Table13[[#This Row],[T]])</f>
        <v>#DIV/0!</v>
      </c>
      <c r="AL328" t="e">
        <f ca="1">Table13[[#This Row],[Put D1]]-Table13[[#This Row],[IV Calc P]]*SQRT(Table13[[#This Row],[T]])</f>
        <v>#DIV/0!</v>
      </c>
      <c r="AM328" t="e">
        <f ca="1">EXP(-0.5*Table13[[#This Row],[Call D1]]^2)/SQRT(2*PI())</f>
        <v>#DIV/0!</v>
      </c>
      <c r="AN328" t="e">
        <f ca="1">EXP(-0.5*Table13[[#This Row],[Put D1]]^2)/SQRT(2*PI())</f>
        <v>#DIV/0!</v>
      </c>
      <c r="AO328">
        <f ca="1">IFERROR((EXP(0*Table13[[#This Row],[T]])*Table13[[#This Row],[call N(d1)]]*(Table13[[#This Row],[call d2]]/Table13[[#This Row],[IV Calc C]]))*Table13[[#This Row],[Open.Int]]*Table13[[#This Row],[DeltaC]],0)</f>
        <v>0</v>
      </c>
      <c r="AP328">
        <f ca="1">IFERROR((EXP(0*Table13[[#This Row],[T]])*Table13[[#This Row],[put N(d1)]]*(Table13[[#This Row],[put d2]]/Table13[[#This Row],[IV Calc P]]))*Table13[[#This Row],[Open.Int8]]*Table13[[#This Row],[DeltaP]]*-1,0)</f>
        <v>0</v>
      </c>
      <c r="AQ328">
        <f ca="1">((Table13[[#This Row],[call vanna]]+Table13[[#This Row],[put vanna]])*$A$4)</f>
        <v>0</v>
      </c>
      <c r="AR32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8" s="9" t="str" cm="1">
        <f t="array" ref="AT328">_xlfn.IFS(     $M$1="SPX","SPXW",     $M$1="RUT","RUTW",  $M$1="NDX","NDXP",   TRUE,$M$1 )</f>
        <v>SPXW</v>
      </c>
      <c r="AU328" s="2">
        <f t="shared" si="32"/>
        <v>6915</v>
      </c>
      <c r="AV328" t="str">
        <f t="shared" si="33"/>
        <v>000100</v>
      </c>
      <c r="AY32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8">
        <f>((Table13[[#This Row],[High C]]+Table13[[#This Row],[Low C]])/2)*Table13[[#This Row],[gammac]]*Table13[[#This Row],[Volume]]</f>
        <v>0</v>
      </c>
      <c r="BD328">
        <f>((Table13[[#This Row],[High P]]+Table13[[#This Row],[Low P]])/2)*Table13[[#This Row],[gammap]]*Table13[[#This Row],[Volume9]]*-1</f>
        <v>0</v>
      </c>
      <c r="BE328">
        <f>(Table13[[#This Row],[SgammaC]]+Table13[[#This Row],[SgammaP]])*$A$4*-100</f>
        <v>0</v>
      </c>
      <c r="BF328">
        <f>Table13[[#This Row],[DEXc]]+Table13[[#This Row],[DEXp]]</f>
        <v>0</v>
      </c>
      <c r="BG328">
        <f>IFERROR(Table13[[#This Row],[DeltaC]]*Table13[[#This Row],[Open.Int]]*$A$4,0)</f>
        <v>0</v>
      </c>
      <c r="BH328">
        <f>IFERROR(Table13[[#This Row],[DeltaP]]*Table13[[#This Row],[Open.Int8]]*$A$4,0)</f>
        <v>0</v>
      </c>
      <c r="BI32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8">
        <f ca="1">Table13[[#This Row],[charmc]]+Table13[[#This Row],[charmp]]</f>
        <v>0</v>
      </c>
      <c r="BL32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8" s="78">
        <f ca="1">Table13[[#This Row],[call helper]]+Table13[[#This Row],[put helper]]</f>
        <v>0</v>
      </c>
      <c r="BP328" t="str">
        <f>RTD("tos.rtd", , "STRIKE", "."&amp;Table13[[#This Row],[Ticker]]&amp;Table13[[#This Row],[Expiry]]&amp;""&amp;"C"&amp;Table13[[#This Row],[Spot]]+Table13[[#This Row],[step]])</f>
        <v>N/A</v>
      </c>
    </row>
    <row r="329" spans="1:68" x14ac:dyDescent="0.25">
      <c r="A329" s="14">
        <f t="shared" ca="1" si="29"/>
        <v>-126.14810350076104</v>
      </c>
      <c r="C329" s="17"/>
      <c r="D329" t="b">
        <f>IF(
    ISNUMBER(Table13[[#This Row],[Strike]]),RTD("tos.rtd", , "OPEN_INT", "."&amp;Table13[[#This Row],[Ticker]]&amp;Table13[[#This Row],[Expiry]]&amp;""&amp;"C"&amp;Table13[[#This Row],[Strike]]))</f>
        <v>0</v>
      </c>
      <c r="E32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9" t="b">
        <f>IF(     ISNUMBER(Table13[[#This Row],[Strike]]),RTD("tos.rtd", , "DELTA", "."&amp;Table13[[#This Row],[Ticker]]&amp;Table13[[#This Row],[Expiry]]&amp;""&amp;"C"&amp;Table13[[#This Row],[Strike]]))</f>
        <v>0</v>
      </c>
      <c r="H329" s="17" t="b" cm="1">
        <f t="array" ref="H329">IF(
    ISNUMBER(Table13[[#This Row],[Strike]]),IndividualLegIVCore($A$4, Table13[[#This Row],[Strike]], 0.0411, Table13[[#This Row],[T]], ((Table13[[#This Row],[BIDC]]+Table13[[#This Row],[ASKC]])/2), TRUE))</f>
        <v>0</v>
      </c>
      <c r="I329" t="b">
        <f>IF(     ISNUMBER(Table13[[#This Row],[Strike]]),RTD("tos.rtd", , "BID", "."&amp;Table13[[#This Row],[Ticker]]&amp;Table13[[#This Row],[Expiry]]&amp;""&amp;"C"&amp;Table13[[#This Row],[Strike]]))</f>
        <v>0</v>
      </c>
      <c r="J329" t="b">
        <f>IF(     ISNUMBER(Table13[[#This Row],[Strike]]),RTD("tos.rtd", , "ASK", "."&amp;Table13[[#This Row],[Ticker]]&amp;Table13[[#This Row],[Expiry]]&amp;""&amp;"C"&amp;Table13[[#This Row],[Strike]]))</f>
        <v>0</v>
      </c>
      <c r="K32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9" s="17" cm="1">
        <f t="array" aca="1" ref="L32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29" s="1">
        <f t="shared" si="30"/>
        <v>0</v>
      </c>
      <c r="N329" t="b">
        <f t="shared" si="31"/>
        <v>0</v>
      </c>
      <c r="P329" s="17" t="b" cm="1">
        <f t="array" ref="P329">IF(
    ISNUMBER(Table13[[#This Row],[Strike]]),IndividualLegIVCore($A$4, Table13[[#This Row],[Strike]], 0.0411, Table13[[#This Row],[T]], ((Table13[[#This Row],[BIDP]]+Table13[[#This Row],[ASKP]])/2), FALSE))</f>
        <v>0</v>
      </c>
      <c r="Q329" t="b">
        <f>IF(     ISNUMBER(Table13[[#This Row],[Strike]]),RTD("tos.rtd", , "BID", "."&amp;Table13[[#This Row],[Ticker]]&amp;Table13[[#This Row],[Expiry]]&amp;""&amp;"P"&amp;Table13[[#This Row],[Strike]]))</f>
        <v>0</v>
      </c>
      <c r="R329" t="b">
        <f>IF(     ISNUMBER(Table13[[#This Row],[Strike]]),RTD("tos.rtd", , "ASK", "."&amp;Table13[[#This Row],[Ticker]]&amp;Table13[[#This Row],[Expiry]]&amp;""&amp;"P"&amp;Table13[[#This Row],[Strike]]))</f>
        <v>0</v>
      </c>
      <c r="S329" s="17"/>
      <c r="T329" t="b">
        <f>IF(     ISNUMBER(Table13[[#This Row],[Strike]]),RTD("tos.rtd", , "OPEN_INT", "."&amp;Table13[[#This Row],[Ticker]]&amp;Table13[[#This Row],[Expiry]]&amp;""&amp;"P"&amp;Table13[[#This Row],[Strike]]))</f>
        <v>0</v>
      </c>
      <c r="U32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9" t="b">
        <f>IF(     ISNUMBER(Table13[[#This Row],[Strike]]),RTD("tos.rtd", , "DELTA", "."&amp;Table13[[#This Row],[Ticker]]&amp;Table13[[#This Row],[Expiry]]&amp;""&amp;"P"&amp;Table13[[#This Row],[Strike]]))</f>
        <v>0</v>
      </c>
      <c r="Y329" s="19">
        <f>8* IF($M$1="NDX", 10, IF(OR($M$1="SPX", $M$1="RUT"), 2, 1))</f>
        <v>16</v>
      </c>
      <c r="Z329">
        <f ca="1">IFERROR(Table13[[#This Row],[call gamma]]*(Table13[[#This Row],[Open.Int]])*$A$4^2,0)</f>
        <v>0</v>
      </c>
      <c r="AA329">
        <f ca="1">IFERROR(((Table13[[#This Row],[Open.Int8]])*Table13[[#This Row],[Put gamma]])*-1*$A$4^2,0)</f>
        <v>0</v>
      </c>
      <c r="AB329">
        <f ca="1">(Table13[[#This Row],[Call Gex]]+Table13[[#This Row],[Put Gex]])</f>
        <v>0</v>
      </c>
      <c r="AC329">
        <f ca="1">Table13[[#This Row],[put delta adj]]+Table13[[#This Row],[call delta adj]]</f>
        <v>0</v>
      </c>
      <c r="AD329">
        <f ca="1">Table13[[#This Row],[Put Gex]]*Table13[[#This Row],[DeltaP]]*-1</f>
        <v>0</v>
      </c>
      <c r="AE329">
        <f ca="1">Table13[[#This Row],[Call Gex]]*Table13[[#This Row],[DeltaC]]</f>
        <v>0</v>
      </c>
      <c r="AF329">
        <f>IF(Table13[[#This Row],[DeltaC]]-ABS(Table13[[#This Row],[DeltaP]])="0","0.01",Table13[[#This Row],[DeltaC]]-ABS(Table13[[#This Row],[DeltaP]]))</f>
        <v>0</v>
      </c>
      <c r="AG329" t="e">
        <f ca="1">((LN($A$4/Table13[[#This Row],[Strike]]) + (0.411 + 0.5 * Table13[[#This Row],[IV Calc P]]^2) *Table13[[#This Row],[T]])) / (Table13[[#This Row],[IV Calc P]] * SQRT(Table13[[#This Row],[T]]))</f>
        <v>#DIV/0!</v>
      </c>
      <c r="AH329" t="e">
        <f ca="1">(LN($A$4/Table13[[#This Row],[Strike]]) + (0.411-0 + 0.5 * Table13[[#This Row],[IV Calc C]]^2) *Table13[[#This Row],[T]]) / (Table13[[#This Row],[IV Calc C]] * SQRT(Table13[[#This Row],[T]]))</f>
        <v>#DIV/0!</v>
      </c>
      <c r="AI329" t="e">
        <f ca="1">(EXP(-(AG329^2)/2)/SQRT(2*PI())*EXP(0*SQRT(Table13[[#This Row],[T]]))/$A$4*18%*SQRT(SQRT(Table13[[#This Row],[T]])))</f>
        <v>#DIV/0!</v>
      </c>
      <c r="AJ329" t="e">
        <f ca="1">(EXP(-(AH329^2)/2)/SQRT(2*PI())*EXP(0*SQRT(Table13[[#This Row],[T]]))/$A$4*18%*SQRT(SQRT(Table13[[#This Row],[T]])))</f>
        <v>#DIV/0!</v>
      </c>
      <c r="AK329" t="e">
        <f ca="1">Table13[[#This Row],[Call D1]]-Table13[[#This Row],[IV Calc C]]*SQRT(Table13[[#This Row],[T]])</f>
        <v>#DIV/0!</v>
      </c>
      <c r="AL329" t="e">
        <f ca="1">Table13[[#This Row],[Put D1]]-Table13[[#This Row],[IV Calc P]]*SQRT(Table13[[#This Row],[T]])</f>
        <v>#DIV/0!</v>
      </c>
      <c r="AM329" t="e">
        <f ca="1">EXP(-0.5*Table13[[#This Row],[Call D1]]^2)/SQRT(2*PI())</f>
        <v>#DIV/0!</v>
      </c>
      <c r="AN329" t="e">
        <f ca="1">EXP(-0.5*Table13[[#This Row],[Put D1]]^2)/SQRT(2*PI())</f>
        <v>#DIV/0!</v>
      </c>
      <c r="AO329">
        <f ca="1">IFERROR((EXP(0*Table13[[#This Row],[T]])*Table13[[#This Row],[call N(d1)]]*(Table13[[#This Row],[call d2]]/Table13[[#This Row],[IV Calc C]]))*Table13[[#This Row],[Open.Int]]*Table13[[#This Row],[DeltaC]],0)</f>
        <v>0</v>
      </c>
      <c r="AP329">
        <f ca="1">IFERROR((EXP(0*Table13[[#This Row],[T]])*Table13[[#This Row],[put N(d1)]]*(Table13[[#This Row],[put d2]]/Table13[[#This Row],[IV Calc P]]))*Table13[[#This Row],[Open.Int8]]*Table13[[#This Row],[DeltaP]]*-1,0)</f>
        <v>0</v>
      </c>
      <c r="AQ329">
        <f ca="1">((Table13[[#This Row],[call vanna]]+Table13[[#This Row],[put vanna]])*$A$4)</f>
        <v>0</v>
      </c>
      <c r="AR32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9" s="9" t="str" cm="1">
        <f t="array" ref="AT329">_xlfn.IFS(     $M$1="SPX","SPXW",     $M$1="RUT","RUTW",  $M$1="NDX","NDXP",   TRUE,$M$1 )</f>
        <v>SPXW</v>
      </c>
      <c r="AU329" s="2">
        <f t="shared" si="32"/>
        <v>6915</v>
      </c>
      <c r="AV329" t="str">
        <f t="shared" si="33"/>
        <v>000100</v>
      </c>
      <c r="AY32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9">
        <f>((Table13[[#This Row],[High C]]+Table13[[#This Row],[Low C]])/2)*Table13[[#This Row],[gammac]]*Table13[[#This Row],[Volume]]</f>
        <v>0</v>
      </c>
      <c r="BD329">
        <f>((Table13[[#This Row],[High P]]+Table13[[#This Row],[Low P]])/2)*Table13[[#This Row],[gammap]]*Table13[[#This Row],[Volume9]]*-1</f>
        <v>0</v>
      </c>
      <c r="BE329">
        <f>(Table13[[#This Row],[SgammaC]]+Table13[[#This Row],[SgammaP]])*$A$4*-100</f>
        <v>0</v>
      </c>
      <c r="BF329">
        <f>Table13[[#This Row],[DEXc]]+Table13[[#This Row],[DEXp]]</f>
        <v>0</v>
      </c>
      <c r="BG329">
        <f>IFERROR(Table13[[#This Row],[DeltaC]]*Table13[[#This Row],[Open.Int]]*$A$4,0)</f>
        <v>0</v>
      </c>
      <c r="BH329">
        <f>IFERROR(Table13[[#This Row],[DeltaP]]*Table13[[#This Row],[Open.Int8]]*$A$4,0)</f>
        <v>0</v>
      </c>
      <c r="BI32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9">
        <f ca="1">Table13[[#This Row],[charmc]]+Table13[[#This Row],[charmp]]</f>
        <v>0</v>
      </c>
      <c r="BL32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9" s="78">
        <f ca="1">Table13[[#This Row],[call helper]]+Table13[[#This Row],[put helper]]</f>
        <v>0</v>
      </c>
      <c r="BP329" t="str">
        <f>RTD("tos.rtd", , "STRIKE", "."&amp;Table13[[#This Row],[Ticker]]&amp;Table13[[#This Row],[Expiry]]&amp;""&amp;"C"&amp;Table13[[#This Row],[Spot]]+Table13[[#This Row],[step]])</f>
        <v>N/A</v>
      </c>
    </row>
    <row r="330" spans="1:68" x14ac:dyDescent="0.25">
      <c r="A330" s="14">
        <f t="shared" ca="1" si="29"/>
        <v>-126.14810350076104</v>
      </c>
      <c r="C330" s="17"/>
      <c r="D330" t="b">
        <f>IF(
    ISNUMBER(Table13[[#This Row],[Strike]]),RTD("tos.rtd", , "OPEN_INT", "."&amp;Table13[[#This Row],[Ticker]]&amp;Table13[[#This Row],[Expiry]]&amp;""&amp;"C"&amp;Table13[[#This Row],[Strike]]))</f>
        <v>0</v>
      </c>
      <c r="E33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0" t="b">
        <f>IF(     ISNUMBER(Table13[[#This Row],[Strike]]),RTD("tos.rtd", , "DELTA", "."&amp;Table13[[#This Row],[Ticker]]&amp;Table13[[#This Row],[Expiry]]&amp;""&amp;"C"&amp;Table13[[#This Row],[Strike]]))</f>
        <v>0</v>
      </c>
      <c r="H330" s="17" t="b" cm="1">
        <f t="array" ref="H330">IF(
    ISNUMBER(Table13[[#This Row],[Strike]]),IndividualLegIVCore($A$4, Table13[[#This Row],[Strike]], 0.0411, Table13[[#This Row],[T]], ((Table13[[#This Row],[BIDC]]+Table13[[#This Row],[ASKC]])/2), TRUE))</f>
        <v>0</v>
      </c>
      <c r="I330" t="b">
        <f>IF(     ISNUMBER(Table13[[#This Row],[Strike]]),RTD("tos.rtd", , "BID", "."&amp;Table13[[#This Row],[Ticker]]&amp;Table13[[#This Row],[Expiry]]&amp;""&amp;"C"&amp;Table13[[#This Row],[Strike]]))</f>
        <v>0</v>
      </c>
      <c r="J330" t="b">
        <f>IF(     ISNUMBER(Table13[[#This Row],[Strike]]),RTD("tos.rtd", , "ASK", "."&amp;Table13[[#This Row],[Ticker]]&amp;Table13[[#This Row],[Expiry]]&amp;""&amp;"C"&amp;Table13[[#This Row],[Strike]]))</f>
        <v>0</v>
      </c>
      <c r="K33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0" s="17" cm="1">
        <f t="array" aca="1" ref="L33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0" s="1">
        <f t="shared" si="30"/>
        <v>0</v>
      </c>
      <c r="N330" t="b">
        <f t="shared" si="31"/>
        <v>0</v>
      </c>
      <c r="P330" s="17" t="b" cm="1">
        <f t="array" ref="P330">IF(
    ISNUMBER(Table13[[#This Row],[Strike]]),IndividualLegIVCore($A$4, Table13[[#This Row],[Strike]], 0.0411, Table13[[#This Row],[T]], ((Table13[[#This Row],[BIDP]]+Table13[[#This Row],[ASKP]])/2), FALSE))</f>
        <v>0</v>
      </c>
      <c r="Q330" t="b">
        <f>IF(     ISNUMBER(Table13[[#This Row],[Strike]]),RTD("tos.rtd", , "BID", "."&amp;Table13[[#This Row],[Ticker]]&amp;Table13[[#This Row],[Expiry]]&amp;""&amp;"P"&amp;Table13[[#This Row],[Strike]]))</f>
        <v>0</v>
      </c>
      <c r="R330" t="b">
        <f>IF(     ISNUMBER(Table13[[#This Row],[Strike]]),RTD("tos.rtd", , "ASK", "."&amp;Table13[[#This Row],[Ticker]]&amp;Table13[[#This Row],[Expiry]]&amp;""&amp;"P"&amp;Table13[[#This Row],[Strike]]))</f>
        <v>0</v>
      </c>
      <c r="S330" s="17"/>
      <c r="T330" t="b">
        <f>IF(     ISNUMBER(Table13[[#This Row],[Strike]]),RTD("tos.rtd", , "OPEN_INT", "."&amp;Table13[[#This Row],[Ticker]]&amp;Table13[[#This Row],[Expiry]]&amp;""&amp;"P"&amp;Table13[[#This Row],[Strike]]))</f>
        <v>0</v>
      </c>
      <c r="U33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0" t="b">
        <f>IF(     ISNUMBER(Table13[[#This Row],[Strike]]),RTD("tos.rtd", , "DELTA", "."&amp;Table13[[#This Row],[Ticker]]&amp;Table13[[#This Row],[Expiry]]&amp;""&amp;"P"&amp;Table13[[#This Row],[Strike]]))</f>
        <v>0</v>
      </c>
      <c r="Y330" s="19">
        <f>8.5* IF($M$1="NDX", 10, IF(OR($M$1="SPX", $M$1="RUT"), 2, 1))</f>
        <v>17</v>
      </c>
      <c r="Z330">
        <f ca="1">IFERROR(Table13[[#This Row],[call gamma]]*(Table13[[#This Row],[Open.Int]])*$A$4^2,0)</f>
        <v>0</v>
      </c>
      <c r="AA330">
        <f ca="1">IFERROR(((Table13[[#This Row],[Open.Int8]])*Table13[[#This Row],[Put gamma]])*-1*$A$4^2,0)</f>
        <v>0</v>
      </c>
      <c r="AB330">
        <f ca="1">(Table13[[#This Row],[Call Gex]]+Table13[[#This Row],[Put Gex]])</f>
        <v>0</v>
      </c>
      <c r="AC330">
        <f ca="1">Table13[[#This Row],[put delta adj]]+Table13[[#This Row],[call delta adj]]</f>
        <v>0</v>
      </c>
      <c r="AD330">
        <f ca="1">Table13[[#This Row],[Put Gex]]*Table13[[#This Row],[DeltaP]]*-1</f>
        <v>0</v>
      </c>
      <c r="AE330">
        <f ca="1">Table13[[#This Row],[Call Gex]]*Table13[[#This Row],[DeltaC]]</f>
        <v>0</v>
      </c>
      <c r="AF330">
        <f>IF(Table13[[#This Row],[DeltaC]]-ABS(Table13[[#This Row],[DeltaP]])="0","0.01",Table13[[#This Row],[DeltaC]]-ABS(Table13[[#This Row],[DeltaP]]))</f>
        <v>0</v>
      </c>
      <c r="AG330" t="e">
        <f ca="1">((LN($A$4/Table13[[#This Row],[Strike]]) + (0.411 + 0.5 * Table13[[#This Row],[IV Calc P]]^2) *Table13[[#This Row],[T]])) / (Table13[[#This Row],[IV Calc P]] * SQRT(Table13[[#This Row],[T]]))</f>
        <v>#DIV/0!</v>
      </c>
      <c r="AH330" t="e">
        <f ca="1">(LN($A$4/Table13[[#This Row],[Strike]]) + (0.411-0 + 0.5 * Table13[[#This Row],[IV Calc C]]^2) *Table13[[#This Row],[T]]) / (Table13[[#This Row],[IV Calc C]] * SQRT(Table13[[#This Row],[T]]))</f>
        <v>#DIV/0!</v>
      </c>
      <c r="AI330" t="e">
        <f ca="1">(EXP(-(AG330^2)/2)/SQRT(2*PI())*EXP(0*SQRT(Table13[[#This Row],[T]]))/$A$4*18%*SQRT(SQRT(Table13[[#This Row],[T]])))</f>
        <v>#DIV/0!</v>
      </c>
      <c r="AJ330" t="e">
        <f ca="1">(EXP(-(AH330^2)/2)/SQRT(2*PI())*EXP(0*SQRT(Table13[[#This Row],[T]]))/$A$4*18%*SQRT(SQRT(Table13[[#This Row],[T]])))</f>
        <v>#DIV/0!</v>
      </c>
      <c r="AK330" t="e">
        <f ca="1">Table13[[#This Row],[Call D1]]-Table13[[#This Row],[IV Calc C]]*SQRT(Table13[[#This Row],[T]])</f>
        <v>#DIV/0!</v>
      </c>
      <c r="AL330" t="e">
        <f ca="1">Table13[[#This Row],[Put D1]]-Table13[[#This Row],[IV Calc P]]*SQRT(Table13[[#This Row],[T]])</f>
        <v>#DIV/0!</v>
      </c>
      <c r="AM330" t="e">
        <f ca="1">EXP(-0.5*Table13[[#This Row],[Call D1]]^2)/SQRT(2*PI())</f>
        <v>#DIV/0!</v>
      </c>
      <c r="AN330" t="e">
        <f ca="1">EXP(-0.5*Table13[[#This Row],[Put D1]]^2)/SQRT(2*PI())</f>
        <v>#DIV/0!</v>
      </c>
      <c r="AO330">
        <f ca="1">IFERROR((EXP(0*Table13[[#This Row],[T]])*Table13[[#This Row],[call N(d1)]]*(Table13[[#This Row],[call d2]]/Table13[[#This Row],[IV Calc C]]))*Table13[[#This Row],[Open.Int]]*Table13[[#This Row],[DeltaC]],0)</f>
        <v>0</v>
      </c>
      <c r="AP330">
        <f ca="1">IFERROR((EXP(0*Table13[[#This Row],[T]])*Table13[[#This Row],[put N(d1)]]*(Table13[[#This Row],[put d2]]/Table13[[#This Row],[IV Calc P]]))*Table13[[#This Row],[Open.Int8]]*Table13[[#This Row],[DeltaP]]*-1,0)</f>
        <v>0</v>
      </c>
      <c r="AQ330">
        <f ca="1">((Table13[[#This Row],[call vanna]]+Table13[[#This Row],[put vanna]])*$A$4)</f>
        <v>0</v>
      </c>
      <c r="AR33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0" s="9" t="str" cm="1">
        <f t="array" ref="AT330">_xlfn.IFS(     $M$1="SPX","SPXW",     $M$1="RUT","RUTW",  $M$1="NDX","NDXP",   TRUE,$M$1 )</f>
        <v>SPXW</v>
      </c>
      <c r="AU330" s="2">
        <f t="shared" si="32"/>
        <v>6915</v>
      </c>
      <c r="AV330" t="str">
        <f t="shared" si="33"/>
        <v>000100</v>
      </c>
      <c r="AY33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0">
        <f>((Table13[[#This Row],[High C]]+Table13[[#This Row],[Low C]])/2)*Table13[[#This Row],[gammac]]*Table13[[#This Row],[Volume]]</f>
        <v>0</v>
      </c>
      <c r="BD330">
        <f>((Table13[[#This Row],[High P]]+Table13[[#This Row],[Low P]])/2)*Table13[[#This Row],[gammap]]*Table13[[#This Row],[Volume9]]*-1</f>
        <v>0</v>
      </c>
      <c r="BE330">
        <f>(Table13[[#This Row],[SgammaC]]+Table13[[#This Row],[SgammaP]])*$A$4*-100</f>
        <v>0</v>
      </c>
      <c r="BF330">
        <f>Table13[[#This Row],[DEXc]]+Table13[[#This Row],[DEXp]]</f>
        <v>0</v>
      </c>
      <c r="BG330">
        <f>IFERROR(Table13[[#This Row],[DeltaC]]*Table13[[#This Row],[Open.Int]]*$A$4,0)</f>
        <v>0</v>
      </c>
      <c r="BH330">
        <f>IFERROR(Table13[[#This Row],[DeltaP]]*Table13[[#This Row],[Open.Int8]]*$A$4,0)</f>
        <v>0</v>
      </c>
      <c r="BI33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0">
        <f ca="1">Table13[[#This Row],[charmc]]+Table13[[#This Row],[charmp]]</f>
        <v>0</v>
      </c>
      <c r="BL33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0" s="78">
        <f ca="1">Table13[[#This Row],[call helper]]+Table13[[#This Row],[put helper]]</f>
        <v>0</v>
      </c>
      <c r="BP330" t="str">
        <f>RTD("tos.rtd", , "STRIKE", "."&amp;Table13[[#This Row],[Ticker]]&amp;Table13[[#This Row],[Expiry]]&amp;""&amp;"C"&amp;Table13[[#This Row],[Spot]]+Table13[[#This Row],[step]])</f>
        <v>N/A</v>
      </c>
    </row>
    <row r="331" spans="1:68" x14ac:dyDescent="0.25">
      <c r="A331" s="14">
        <f t="shared" ca="1" si="29"/>
        <v>-126.14810350076104</v>
      </c>
      <c r="C331" s="17"/>
      <c r="D331" t="b">
        <f>IF(
    ISNUMBER(Table13[[#This Row],[Strike]]),RTD("tos.rtd", , "OPEN_INT", "."&amp;Table13[[#This Row],[Ticker]]&amp;Table13[[#This Row],[Expiry]]&amp;""&amp;"C"&amp;Table13[[#This Row],[Strike]]))</f>
        <v>0</v>
      </c>
      <c r="E33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1" t="b">
        <f>IF(     ISNUMBER(Table13[[#This Row],[Strike]]),RTD("tos.rtd", , "DELTA", "."&amp;Table13[[#This Row],[Ticker]]&amp;Table13[[#This Row],[Expiry]]&amp;""&amp;"C"&amp;Table13[[#This Row],[Strike]]))</f>
        <v>0</v>
      </c>
      <c r="H331" s="17" t="b" cm="1">
        <f t="array" ref="H331">IF(
    ISNUMBER(Table13[[#This Row],[Strike]]),IndividualLegIVCore($A$4, Table13[[#This Row],[Strike]], 0.0411, Table13[[#This Row],[T]], ((Table13[[#This Row],[BIDC]]+Table13[[#This Row],[ASKC]])/2), TRUE))</f>
        <v>0</v>
      </c>
      <c r="I331" t="b">
        <f>IF(     ISNUMBER(Table13[[#This Row],[Strike]]),RTD("tos.rtd", , "BID", "."&amp;Table13[[#This Row],[Ticker]]&amp;Table13[[#This Row],[Expiry]]&amp;""&amp;"C"&amp;Table13[[#This Row],[Strike]]))</f>
        <v>0</v>
      </c>
      <c r="J331" t="b">
        <f>IF(     ISNUMBER(Table13[[#This Row],[Strike]]),RTD("tos.rtd", , "ASK", "."&amp;Table13[[#This Row],[Ticker]]&amp;Table13[[#This Row],[Expiry]]&amp;""&amp;"C"&amp;Table13[[#This Row],[Strike]]))</f>
        <v>0</v>
      </c>
      <c r="K33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1" s="17" cm="1">
        <f t="array" aca="1" ref="L33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1" s="1">
        <f t="shared" si="30"/>
        <v>0</v>
      </c>
      <c r="N331" t="b">
        <f t="shared" si="31"/>
        <v>0</v>
      </c>
      <c r="P331" s="17" t="b" cm="1">
        <f t="array" ref="P331">IF(
    ISNUMBER(Table13[[#This Row],[Strike]]),IndividualLegIVCore($A$4, Table13[[#This Row],[Strike]], 0.0411, Table13[[#This Row],[T]], ((Table13[[#This Row],[BIDP]]+Table13[[#This Row],[ASKP]])/2), FALSE))</f>
        <v>0</v>
      </c>
      <c r="Q331" t="b">
        <f>IF(     ISNUMBER(Table13[[#This Row],[Strike]]),RTD("tos.rtd", , "BID", "."&amp;Table13[[#This Row],[Ticker]]&amp;Table13[[#This Row],[Expiry]]&amp;""&amp;"P"&amp;Table13[[#This Row],[Strike]]))</f>
        <v>0</v>
      </c>
      <c r="R331" t="b">
        <f>IF(     ISNUMBER(Table13[[#This Row],[Strike]]),RTD("tos.rtd", , "ASK", "."&amp;Table13[[#This Row],[Ticker]]&amp;Table13[[#This Row],[Expiry]]&amp;""&amp;"P"&amp;Table13[[#This Row],[Strike]]))</f>
        <v>0</v>
      </c>
      <c r="S331" s="17"/>
      <c r="T331" t="b">
        <f>IF(     ISNUMBER(Table13[[#This Row],[Strike]]),RTD("tos.rtd", , "OPEN_INT", "."&amp;Table13[[#This Row],[Ticker]]&amp;Table13[[#This Row],[Expiry]]&amp;""&amp;"P"&amp;Table13[[#This Row],[Strike]]))</f>
        <v>0</v>
      </c>
      <c r="U33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1" t="b">
        <f>IF(     ISNUMBER(Table13[[#This Row],[Strike]]),RTD("tos.rtd", , "DELTA", "."&amp;Table13[[#This Row],[Ticker]]&amp;Table13[[#This Row],[Expiry]]&amp;""&amp;"P"&amp;Table13[[#This Row],[Strike]]))</f>
        <v>0</v>
      </c>
      <c r="Y331" s="19">
        <f>9* IF($M$1="NDX", 10, IF(OR($M$1="SPX", $M$1="RUT"), 2, 1))</f>
        <v>18</v>
      </c>
      <c r="Z331">
        <f ca="1">IFERROR(Table13[[#This Row],[call gamma]]*(Table13[[#This Row],[Open.Int]])*$A$4^2,0)</f>
        <v>0</v>
      </c>
      <c r="AA331">
        <f ca="1">IFERROR(((Table13[[#This Row],[Open.Int8]])*Table13[[#This Row],[Put gamma]])*-1*$A$4^2,0)</f>
        <v>0</v>
      </c>
      <c r="AB331">
        <f ca="1">(Table13[[#This Row],[Call Gex]]+Table13[[#This Row],[Put Gex]])</f>
        <v>0</v>
      </c>
      <c r="AC331">
        <f ca="1">Table13[[#This Row],[put delta adj]]+Table13[[#This Row],[call delta adj]]</f>
        <v>0</v>
      </c>
      <c r="AD331">
        <f ca="1">Table13[[#This Row],[Put Gex]]*Table13[[#This Row],[DeltaP]]*-1</f>
        <v>0</v>
      </c>
      <c r="AE331">
        <f ca="1">Table13[[#This Row],[Call Gex]]*Table13[[#This Row],[DeltaC]]</f>
        <v>0</v>
      </c>
      <c r="AF331">
        <f>IF(Table13[[#This Row],[DeltaC]]-ABS(Table13[[#This Row],[DeltaP]])="0","0.01",Table13[[#This Row],[DeltaC]]-ABS(Table13[[#This Row],[DeltaP]]))</f>
        <v>0</v>
      </c>
      <c r="AG331" t="e">
        <f ca="1">((LN($A$4/Table13[[#This Row],[Strike]]) + (0.411 + 0.5 * Table13[[#This Row],[IV Calc P]]^2) *Table13[[#This Row],[T]])) / (Table13[[#This Row],[IV Calc P]] * SQRT(Table13[[#This Row],[T]]))</f>
        <v>#DIV/0!</v>
      </c>
      <c r="AH331" t="e">
        <f ca="1">(LN($A$4/Table13[[#This Row],[Strike]]) + (0.411-0 + 0.5 * Table13[[#This Row],[IV Calc C]]^2) *Table13[[#This Row],[T]]) / (Table13[[#This Row],[IV Calc C]] * SQRT(Table13[[#This Row],[T]]))</f>
        <v>#DIV/0!</v>
      </c>
      <c r="AI331" t="e">
        <f ca="1">(EXP(-(AG331^2)/2)/SQRT(2*PI())*EXP(0*SQRT(Table13[[#This Row],[T]]))/$A$4*18%*SQRT(SQRT(Table13[[#This Row],[T]])))</f>
        <v>#DIV/0!</v>
      </c>
      <c r="AJ331" t="e">
        <f ca="1">(EXP(-(AH331^2)/2)/SQRT(2*PI())*EXP(0*SQRT(Table13[[#This Row],[T]]))/$A$4*18%*SQRT(SQRT(Table13[[#This Row],[T]])))</f>
        <v>#DIV/0!</v>
      </c>
      <c r="AK331" t="e">
        <f ca="1">Table13[[#This Row],[Call D1]]-Table13[[#This Row],[IV Calc C]]*SQRT(Table13[[#This Row],[T]])</f>
        <v>#DIV/0!</v>
      </c>
      <c r="AL331" t="e">
        <f ca="1">Table13[[#This Row],[Put D1]]-Table13[[#This Row],[IV Calc P]]*SQRT(Table13[[#This Row],[T]])</f>
        <v>#DIV/0!</v>
      </c>
      <c r="AM331" t="e">
        <f ca="1">EXP(-0.5*Table13[[#This Row],[Call D1]]^2)/SQRT(2*PI())</f>
        <v>#DIV/0!</v>
      </c>
      <c r="AN331" t="e">
        <f ca="1">EXP(-0.5*Table13[[#This Row],[Put D1]]^2)/SQRT(2*PI())</f>
        <v>#DIV/0!</v>
      </c>
      <c r="AO331">
        <f ca="1">IFERROR((EXP(0*Table13[[#This Row],[T]])*Table13[[#This Row],[call N(d1)]]*(Table13[[#This Row],[call d2]]/Table13[[#This Row],[IV Calc C]]))*Table13[[#This Row],[Open.Int]]*Table13[[#This Row],[DeltaC]],0)</f>
        <v>0</v>
      </c>
      <c r="AP331">
        <f ca="1">IFERROR((EXP(0*Table13[[#This Row],[T]])*Table13[[#This Row],[put N(d1)]]*(Table13[[#This Row],[put d2]]/Table13[[#This Row],[IV Calc P]]))*Table13[[#This Row],[Open.Int8]]*Table13[[#This Row],[DeltaP]]*-1,0)</f>
        <v>0</v>
      </c>
      <c r="AQ331">
        <f ca="1">((Table13[[#This Row],[call vanna]]+Table13[[#This Row],[put vanna]])*$A$4)</f>
        <v>0</v>
      </c>
      <c r="AR33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1" s="9" t="str" cm="1">
        <f t="array" ref="AT331">_xlfn.IFS(     $M$1="SPX","SPXW",     $M$1="RUT","RUTW",  $M$1="NDX","NDXP",   TRUE,$M$1 )</f>
        <v>SPXW</v>
      </c>
      <c r="AU331" s="2">
        <f t="shared" si="32"/>
        <v>6915</v>
      </c>
      <c r="AV331" t="str">
        <f t="shared" si="33"/>
        <v>000100</v>
      </c>
      <c r="AY33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1">
        <f>((Table13[[#This Row],[High C]]+Table13[[#This Row],[Low C]])/2)*Table13[[#This Row],[gammac]]*Table13[[#This Row],[Volume]]</f>
        <v>0</v>
      </c>
      <c r="BD331">
        <f>((Table13[[#This Row],[High P]]+Table13[[#This Row],[Low P]])/2)*Table13[[#This Row],[gammap]]*Table13[[#This Row],[Volume9]]*-1</f>
        <v>0</v>
      </c>
      <c r="BE331">
        <f>(Table13[[#This Row],[SgammaC]]+Table13[[#This Row],[SgammaP]])*$A$4*-100</f>
        <v>0</v>
      </c>
      <c r="BF331">
        <f>Table13[[#This Row],[DEXc]]+Table13[[#This Row],[DEXp]]</f>
        <v>0</v>
      </c>
      <c r="BG331">
        <f>IFERROR(Table13[[#This Row],[DeltaC]]*Table13[[#This Row],[Open.Int]]*$A$4,0)</f>
        <v>0</v>
      </c>
      <c r="BH331">
        <f>IFERROR(Table13[[#This Row],[DeltaP]]*Table13[[#This Row],[Open.Int8]]*$A$4,0)</f>
        <v>0</v>
      </c>
      <c r="BI33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1">
        <f ca="1">Table13[[#This Row],[charmc]]+Table13[[#This Row],[charmp]]</f>
        <v>0</v>
      </c>
      <c r="BL33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1" s="78">
        <f ca="1">Table13[[#This Row],[call helper]]+Table13[[#This Row],[put helper]]</f>
        <v>0</v>
      </c>
      <c r="BP331" t="str">
        <f>RTD("tos.rtd", , "STRIKE", "."&amp;Table13[[#This Row],[Ticker]]&amp;Table13[[#This Row],[Expiry]]&amp;""&amp;"C"&amp;Table13[[#This Row],[Spot]]+Table13[[#This Row],[step]])</f>
        <v>N/A</v>
      </c>
    </row>
    <row r="332" spans="1:68" x14ac:dyDescent="0.25">
      <c r="A332" s="14">
        <f t="shared" ca="1" si="29"/>
        <v>-126.14810350076104</v>
      </c>
      <c r="C332" s="17"/>
      <c r="D332" t="b">
        <f>IF(
    ISNUMBER(Table13[[#This Row],[Strike]]),RTD("tos.rtd", , "OPEN_INT", "."&amp;Table13[[#This Row],[Ticker]]&amp;Table13[[#This Row],[Expiry]]&amp;""&amp;"C"&amp;Table13[[#This Row],[Strike]]))</f>
        <v>0</v>
      </c>
      <c r="E33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2" t="b">
        <f>IF(     ISNUMBER(Table13[[#This Row],[Strike]]),RTD("tos.rtd", , "DELTA", "."&amp;Table13[[#This Row],[Ticker]]&amp;Table13[[#This Row],[Expiry]]&amp;""&amp;"C"&amp;Table13[[#This Row],[Strike]]))</f>
        <v>0</v>
      </c>
      <c r="H332" s="17" t="b" cm="1">
        <f t="array" ref="H332">IF(
    ISNUMBER(Table13[[#This Row],[Strike]]),IndividualLegIVCore($A$4, Table13[[#This Row],[Strike]], 0.0411, Table13[[#This Row],[T]], ((Table13[[#This Row],[BIDC]]+Table13[[#This Row],[ASKC]])/2), TRUE))</f>
        <v>0</v>
      </c>
      <c r="I332" t="b">
        <f>IF(     ISNUMBER(Table13[[#This Row],[Strike]]),RTD("tos.rtd", , "BID", "."&amp;Table13[[#This Row],[Ticker]]&amp;Table13[[#This Row],[Expiry]]&amp;""&amp;"C"&amp;Table13[[#This Row],[Strike]]))</f>
        <v>0</v>
      </c>
      <c r="J332" t="b">
        <f>IF(     ISNUMBER(Table13[[#This Row],[Strike]]),RTD("tos.rtd", , "ASK", "."&amp;Table13[[#This Row],[Ticker]]&amp;Table13[[#This Row],[Expiry]]&amp;""&amp;"C"&amp;Table13[[#This Row],[Strike]]))</f>
        <v>0</v>
      </c>
      <c r="K33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2" s="17" cm="1">
        <f t="array" aca="1" ref="L33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2" s="1">
        <f t="shared" si="30"/>
        <v>0</v>
      </c>
      <c r="N332" t="b">
        <f t="shared" si="31"/>
        <v>0</v>
      </c>
      <c r="P332" s="17" t="b" cm="1">
        <f t="array" ref="P332">IF(
    ISNUMBER(Table13[[#This Row],[Strike]]),IndividualLegIVCore($A$4, Table13[[#This Row],[Strike]], 0.0411, Table13[[#This Row],[T]], ((Table13[[#This Row],[BIDP]]+Table13[[#This Row],[ASKP]])/2), FALSE))</f>
        <v>0</v>
      </c>
      <c r="Q332" t="b">
        <f>IF(     ISNUMBER(Table13[[#This Row],[Strike]]),RTD("tos.rtd", , "BID", "."&amp;Table13[[#This Row],[Ticker]]&amp;Table13[[#This Row],[Expiry]]&amp;""&amp;"P"&amp;Table13[[#This Row],[Strike]]))</f>
        <v>0</v>
      </c>
      <c r="R332" t="b">
        <f>IF(     ISNUMBER(Table13[[#This Row],[Strike]]),RTD("tos.rtd", , "ASK", "."&amp;Table13[[#This Row],[Ticker]]&amp;Table13[[#This Row],[Expiry]]&amp;""&amp;"P"&amp;Table13[[#This Row],[Strike]]))</f>
        <v>0</v>
      </c>
      <c r="S332" s="17"/>
      <c r="T332" t="b">
        <f>IF(     ISNUMBER(Table13[[#This Row],[Strike]]),RTD("tos.rtd", , "OPEN_INT", "."&amp;Table13[[#This Row],[Ticker]]&amp;Table13[[#This Row],[Expiry]]&amp;""&amp;"P"&amp;Table13[[#This Row],[Strike]]))</f>
        <v>0</v>
      </c>
      <c r="U33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2" t="b">
        <f>IF(     ISNUMBER(Table13[[#This Row],[Strike]]),RTD("tos.rtd", , "DELTA", "."&amp;Table13[[#This Row],[Ticker]]&amp;Table13[[#This Row],[Expiry]]&amp;""&amp;"P"&amp;Table13[[#This Row],[Strike]]))</f>
        <v>0</v>
      </c>
      <c r="Y332" s="19">
        <f>9.5* IF($M$1="NDX", 10, IF(OR($M$1="SPX", $M$1="RUT"), 2, 1))</f>
        <v>19</v>
      </c>
      <c r="Z332">
        <f ca="1">IFERROR(Table13[[#This Row],[call gamma]]*(Table13[[#This Row],[Open.Int]])*$A$4^2,0)</f>
        <v>0</v>
      </c>
      <c r="AA332">
        <f ca="1">IFERROR(((Table13[[#This Row],[Open.Int8]])*Table13[[#This Row],[Put gamma]])*-1*$A$4^2,0)</f>
        <v>0</v>
      </c>
      <c r="AB332">
        <f ca="1">(Table13[[#This Row],[Call Gex]]+Table13[[#This Row],[Put Gex]])</f>
        <v>0</v>
      </c>
      <c r="AC332">
        <f ca="1">Table13[[#This Row],[put delta adj]]+Table13[[#This Row],[call delta adj]]</f>
        <v>0</v>
      </c>
      <c r="AD332">
        <f ca="1">Table13[[#This Row],[Put Gex]]*Table13[[#This Row],[DeltaP]]*-1</f>
        <v>0</v>
      </c>
      <c r="AE332">
        <f ca="1">Table13[[#This Row],[Call Gex]]*Table13[[#This Row],[DeltaC]]</f>
        <v>0</v>
      </c>
      <c r="AF332">
        <f>IF(Table13[[#This Row],[DeltaC]]-ABS(Table13[[#This Row],[DeltaP]])="0","0.01",Table13[[#This Row],[DeltaC]]-ABS(Table13[[#This Row],[DeltaP]]))</f>
        <v>0</v>
      </c>
      <c r="AG332" t="e">
        <f ca="1">((LN($A$4/Table13[[#This Row],[Strike]]) + (0.411 + 0.5 * Table13[[#This Row],[IV Calc P]]^2) *Table13[[#This Row],[T]])) / (Table13[[#This Row],[IV Calc P]] * SQRT(Table13[[#This Row],[T]]))</f>
        <v>#DIV/0!</v>
      </c>
      <c r="AH332" t="e">
        <f ca="1">(LN($A$4/Table13[[#This Row],[Strike]]) + (0.411-0 + 0.5 * Table13[[#This Row],[IV Calc C]]^2) *Table13[[#This Row],[T]]) / (Table13[[#This Row],[IV Calc C]] * SQRT(Table13[[#This Row],[T]]))</f>
        <v>#DIV/0!</v>
      </c>
      <c r="AI332" t="e">
        <f ca="1">(EXP(-(AG332^2)/2)/SQRT(2*PI())*EXP(0*SQRT(Table13[[#This Row],[T]]))/$A$4*18%*SQRT(SQRT(Table13[[#This Row],[T]])))</f>
        <v>#DIV/0!</v>
      </c>
      <c r="AJ332" t="e">
        <f ca="1">(EXP(-(AH332^2)/2)/SQRT(2*PI())*EXP(0*SQRT(Table13[[#This Row],[T]]))/$A$4*18%*SQRT(SQRT(Table13[[#This Row],[T]])))</f>
        <v>#DIV/0!</v>
      </c>
      <c r="AK332" t="e">
        <f ca="1">Table13[[#This Row],[Call D1]]-Table13[[#This Row],[IV Calc C]]*SQRT(Table13[[#This Row],[T]])</f>
        <v>#DIV/0!</v>
      </c>
      <c r="AL332" t="e">
        <f ca="1">Table13[[#This Row],[Put D1]]-Table13[[#This Row],[IV Calc P]]*SQRT(Table13[[#This Row],[T]])</f>
        <v>#DIV/0!</v>
      </c>
      <c r="AM332" t="e">
        <f ca="1">EXP(-0.5*Table13[[#This Row],[Call D1]]^2)/SQRT(2*PI())</f>
        <v>#DIV/0!</v>
      </c>
      <c r="AN332" t="e">
        <f ca="1">EXP(-0.5*Table13[[#This Row],[Put D1]]^2)/SQRT(2*PI())</f>
        <v>#DIV/0!</v>
      </c>
      <c r="AO332">
        <f ca="1">IFERROR((EXP(0*Table13[[#This Row],[T]])*Table13[[#This Row],[call N(d1)]]*(Table13[[#This Row],[call d2]]/Table13[[#This Row],[IV Calc C]]))*Table13[[#This Row],[Open.Int]]*Table13[[#This Row],[DeltaC]],0)</f>
        <v>0</v>
      </c>
      <c r="AP332">
        <f ca="1">IFERROR((EXP(0*Table13[[#This Row],[T]])*Table13[[#This Row],[put N(d1)]]*(Table13[[#This Row],[put d2]]/Table13[[#This Row],[IV Calc P]]))*Table13[[#This Row],[Open.Int8]]*Table13[[#This Row],[DeltaP]]*-1,0)</f>
        <v>0</v>
      </c>
      <c r="AQ332">
        <f ca="1">((Table13[[#This Row],[call vanna]]+Table13[[#This Row],[put vanna]])*$A$4)</f>
        <v>0</v>
      </c>
      <c r="AR33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2" s="9" t="str" cm="1">
        <f t="array" ref="AT332">_xlfn.IFS(     $M$1="SPX","SPXW",     $M$1="RUT","RUTW",  $M$1="NDX","NDXP",   TRUE,$M$1 )</f>
        <v>SPXW</v>
      </c>
      <c r="AU332" s="2">
        <f t="shared" si="32"/>
        <v>6915</v>
      </c>
      <c r="AV332" t="str">
        <f t="shared" si="33"/>
        <v>000100</v>
      </c>
      <c r="AY33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2">
        <f>((Table13[[#This Row],[High C]]+Table13[[#This Row],[Low C]])/2)*Table13[[#This Row],[gammac]]*Table13[[#This Row],[Volume]]</f>
        <v>0</v>
      </c>
      <c r="BD332">
        <f>((Table13[[#This Row],[High P]]+Table13[[#This Row],[Low P]])/2)*Table13[[#This Row],[gammap]]*Table13[[#This Row],[Volume9]]*-1</f>
        <v>0</v>
      </c>
      <c r="BE332">
        <f>(Table13[[#This Row],[SgammaC]]+Table13[[#This Row],[SgammaP]])*$A$4*-100</f>
        <v>0</v>
      </c>
      <c r="BF332">
        <f>Table13[[#This Row],[DEXc]]+Table13[[#This Row],[DEXp]]</f>
        <v>0</v>
      </c>
      <c r="BG332">
        <f>IFERROR(Table13[[#This Row],[DeltaC]]*Table13[[#This Row],[Open.Int]]*$A$4,0)</f>
        <v>0</v>
      </c>
      <c r="BH332">
        <f>IFERROR(Table13[[#This Row],[DeltaP]]*Table13[[#This Row],[Open.Int8]]*$A$4,0)</f>
        <v>0</v>
      </c>
      <c r="BI33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2">
        <f ca="1">Table13[[#This Row],[charmc]]+Table13[[#This Row],[charmp]]</f>
        <v>0</v>
      </c>
      <c r="BL33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2" s="78">
        <f ca="1">Table13[[#This Row],[call helper]]+Table13[[#This Row],[put helper]]</f>
        <v>0</v>
      </c>
      <c r="BP332" t="str">
        <f>RTD("tos.rtd", , "STRIKE", "."&amp;Table13[[#This Row],[Ticker]]&amp;Table13[[#This Row],[Expiry]]&amp;""&amp;"C"&amp;Table13[[#This Row],[Spot]]+Table13[[#This Row],[step]])</f>
        <v>N/A</v>
      </c>
    </row>
    <row r="333" spans="1:68" x14ac:dyDescent="0.25">
      <c r="A333" s="14">
        <f t="shared" ca="1" si="29"/>
        <v>-126.14810350076104</v>
      </c>
      <c r="C333" s="17"/>
      <c r="D333" t="b">
        <f>IF(
    ISNUMBER(Table13[[#This Row],[Strike]]),RTD("tos.rtd", , "OPEN_INT", "."&amp;Table13[[#This Row],[Ticker]]&amp;Table13[[#This Row],[Expiry]]&amp;""&amp;"C"&amp;Table13[[#This Row],[Strike]]))</f>
        <v>0</v>
      </c>
      <c r="E33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3" t="b">
        <f>IF(     ISNUMBER(Table13[[#This Row],[Strike]]),RTD("tos.rtd", , "DELTA", "."&amp;Table13[[#This Row],[Ticker]]&amp;Table13[[#This Row],[Expiry]]&amp;""&amp;"C"&amp;Table13[[#This Row],[Strike]]))</f>
        <v>0</v>
      </c>
      <c r="H333" s="17" t="b" cm="1">
        <f t="array" ref="H333">IF(
    ISNUMBER(Table13[[#This Row],[Strike]]),IndividualLegIVCore($A$4, Table13[[#This Row],[Strike]], 0.0411, Table13[[#This Row],[T]], ((Table13[[#This Row],[BIDC]]+Table13[[#This Row],[ASKC]])/2), TRUE))</f>
        <v>0</v>
      </c>
      <c r="I333" t="b">
        <f>IF(     ISNUMBER(Table13[[#This Row],[Strike]]),RTD("tos.rtd", , "BID", "."&amp;Table13[[#This Row],[Ticker]]&amp;Table13[[#This Row],[Expiry]]&amp;""&amp;"C"&amp;Table13[[#This Row],[Strike]]))</f>
        <v>0</v>
      </c>
      <c r="J333" t="b">
        <f>IF(     ISNUMBER(Table13[[#This Row],[Strike]]),RTD("tos.rtd", , "ASK", "."&amp;Table13[[#This Row],[Ticker]]&amp;Table13[[#This Row],[Expiry]]&amp;""&amp;"C"&amp;Table13[[#This Row],[Strike]]))</f>
        <v>0</v>
      </c>
      <c r="K33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3" s="17" cm="1">
        <f t="array" aca="1" ref="L33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3" s="1">
        <f t="shared" si="30"/>
        <v>0</v>
      </c>
      <c r="N333" t="b">
        <f t="shared" si="31"/>
        <v>0</v>
      </c>
      <c r="P333" s="17" t="b" cm="1">
        <f t="array" ref="P333">IF(
    ISNUMBER(Table13[[#This Row],[Strike]]),IndividualLegIVCore($A$4, Table13[[#This Row],[Strike]], 0.0411, Table13[[#This Row],[T]], ((Table13[[#This Row],[BIDP]]+Table13[[#This Row],[ASKP]])/2), FALSE))</f>
        <v>0</v>
      </c>
      <c r="Q333" t="b">
        <f>IF(     ISNUMBER(Table13[[#This Row],[Strike]]),RTD("tos.rtd", , "BID", "."&amp;Table13[[#This Row],[Ticker]]&amp;Table13[[#This Row],[Expiry]]&amp;""&amp;"P"&amp;Table13[[#This Row],[Strike]]))</f>
        <v>0</v>
      </c>
      <c r="R333" t="b">
        <f>IF(     ISNUMBER(Table13[[#This Row],[Strike]]),RTD("tos.rtd", , "ASK", "."&amp;Table13[[#This Row],[Ticker]]&amp;Table13[[#This Row],[Expiry]]&amp;""&amp;"P"&amp;Table13[[#This Row],[Strike]]))</f>
        <v>0</v>
      </c>
      <c r="S333" s="17"/>
      <c r="T333" t="b">
        <f>IF(     ISNUMBER(Table13[[#This Row],[Strike]]),RTD("tos.rtd", , "OPEN_INT", "."&amp;Table13[[#This Row],[Ticker]]&amp;Table13[[#This Row],[Expiry]]&amp;""&amp;"P"&amp;Table13[[#This Row],[Strike]]))</f>
        <v>0</v>
      </c>
      <c r="U33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3" t="b">
        <f>IF(     ISNUMBER(Table13[[#This Row],[Strike]]),RTD("tos.rtd", , "DELTA", "."&amp;Table13[[#This Row],[Ticker]]&amp;Table13[[#This Row],[Expiry]]&amp;""&amp;"P"&amp;Table13[[#This Row],[Strike]]))</f>
        <v>0</v>
      </c>
      <c r="Y333" s="19">
        <f>10* IF($M$1="NDX", 10, IF(OR($M$1="SPX", $M$1="RUT"), 2, 1))</f>
        <v>20</v>
      </c>
      <c r="Z333">
        <f ca="1">IFERROR(Table13[[#This Row],[call gamma]]*(Table13[[#This Row],[Open.Int]])*$A$4^2,0)</f>
        <v>0</v>
      </c>
      <c r="AA333">
        <f ca="1">IFERROR(((Table13[[#This Row],[Open.Int8]])*Table13[[#This Row],[Put gamma]])*-1*$A$4^2,0)</f>
        <v>0</v>
      </c>
      <c r="AB333">
        <f ca="1">(Table13[[#This Row],[Call Gex]]+Table13[[#This Row],[Put Gex]])</f>
        <v>0</v>
      </c>
      <c r="AC333">
        <f ca="1">Table13[[#This Row],[put delta adj]]+Table13[[#This Row],[call delta adj]]</f>
        <v>0</v>
      </c>
      <c r="AD333">
        <f ca="1">Table13[[#This Row],[Put Gex]]*Table13[[#This Row],[DeltaP]]*-1</f>
        <v>0</v>
      </c>
      <c r="AE333">
        <f ca="1">Table13[[#This Row],[Call Gex]]*Table13[[#This Row],[DeltaC]]</f>
        <v>0</v>
      </c>
      <c r="AF333">
        <f>IF(Table13[[#This Row],[DeltaC]]-ABS(Table13[[#This Row],[DeltaP]])="0","0.01",Table13[[#This Row],[DeltaC]]-ABS(Table13[[#This Row],[DeltaP]]))</f>
        <v>0</v>
      </c>
      <c r="AG333" t="e">
        <f ca="1">((LN($A$4/Table13[[#This Row],[Strike]]) + (0.411 + 0.5 * Table13[[#This Row],[IV Calc P]]^2) *Table13[[#This Row],[T]])) / (Table13[[#This Row],[IV Calc P]] * SQRT(Table13[[#This Row],[T]]))</f>
        <v>#DIV/0!</v>
      </c>
      <c r="AH333" t="e">
        <f ca="1">(LN($A$4/Table13[[#This Row],[Strike]]) + (0.411-0 + 0.5 * Table13[[#This Row],[IV Calc C]]^2) *Table13[[#This Row],[T]]) / (Table13[[#This Row],[IV Calc C]] * SQRT(Table13[[#This Row],[T]]))</f>
        <v>#DIV/0!</v>
      </c>
      <c r="AI333" t="e">
        <f ca="1">(EXP(-(AG333^2)/2)/SQRT(2*PI())*EXP(0*SQRT(Table13[[#This Row],[T]]))/$A$4*18%*SQRT(SQRT(Table13[[#This Row],[T]])))</f>
        <v>#DIV/0!</v>
      </c>
      <c r="AJ333" t="e">
        <f ca="1">(EXP(-(AH333^2)/2)/SQRT(2*PI())*EXP(0*SQRT(Table13[[#This Row],[T]]))/$A$4*18%*SQRT(SQRT(Table13[[#This Row],[T]])))</f>
        <v>#DIV/0!</v>
      </c>
      <c r="AK333" t="e">
        <f ca="1">Table13[[#This Row],[Call D1]]-Table13[[#This Row],[IV Calc C]]*SQRT(Table13[[#This Row],[T]])</f>
        <v>#DIV/0!</v>
      </c>
      <c r="AL333" t="e">
        <f ca="1">Table13[[#This Row],[Put D1]]-Table13[[#This Row],[IV Calc P]]*SQRT(Table13[[#This Row],[T]])</f>
        <v>#DIV/0!</v>
      </c>
      <c r="AM333" t="e">
        <f ca="1">EXP(-0.5*Table13[[#This Row],[Call D1]]^2)/SQRT(2*PI())</f>
        <v>#DIV/0!</v>
      </c>
      <c r="AN333" t="e">
        <f ca="1">EXP(-0.5*Table13[[#This Row],[Put D1]]^2)/SQRT(2*PI())</f>
        <v>#DIV/0!</v>
      </c>
      <c r="AO333">
        <f ca="1">IFERROR((EXP(0*Table13[[#This Row],[T]])*Table13[[#This Row],[call N(d1)]]*(Table13[[#This Row],[call d2]]/Table13[[#This Row],[IV Calc C]]))*Table13[[#This Row],[Open.Int]]*Table13[[#This Row],[DeltaC]],0)</f>
        <v>0</v>
      </c>
      <c r="AP333">
        <f ca="1">IFERROR((EXP(0*Table13[[#This Row],[T]])*Table13[[#This Row],[put N(d1)]]*(Table13[[#This Row],[put d2]]/Table13[[#This Row],[IV Calc P]]))*Table13[[#This Row],[Open.Int8]]*Table13[[#This Row],[DeltaP]]*-1,0)</f>
        <v>0</v>
      </c>
      <c r="AQ333">
        <f ca="1">((Table13[[#This Row],[call vanna]]+Table13[[#This Row],[put vanna]])*$A$4)</f>
        <v>0</v>
      </c>
      <c r="AR33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3" s="9" t="str" cm="1">
        <f t="array" ref="AT333">_xlfn.IFS(     $M$1="SPX","SPXW",     $M$1="RUT","RUTW",  $M$1="NDX","NDXP",   TRUE,$M$1 )</f>
        <v>SPXW</v>
      </c>
      <c r="AU333" s="2">
        <f t="shared" si="32"/>
        <v>6915</v>
      </c>
      <c r="AV333" t="str">
        <f t="shared" si="33"/>
        <v>000100</v>
      </c>
      <c r="AY33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3">
        <f>((Table13[[#This Row],[High C]]+Table13[[#This Row],[Low C]])/2)*Table13[[#This Row],[gammac]]*Table13[[#This Row],[Volume]]</f>
        <v>0</v>
      </c>
      <c r="BD333">
        <f>((Table13[[#This Row],[High P]]+Table13[[#This Row],[Low P]])/2)*Table13[[#This Row],[gammap]]*Table13[[#This Row],[Volume9]]*-1</f>
        <v>0</v>
      </c>
      <c r="BE333">
        <f>(Table13[[#This Row],[SgammaC]]+Table13[[#This Row],[SgammaP]])*$A$4*-100</f>
        <v>0</v>
      </c>
      <c r="BF333">
        <f>Table13[[#This Row],[DEXc]]+Table13[[#This Row],[DEXp]]</f>
        <v>0</v>
      </c>
      <c r="BG333">
        <f>IFERROR(Table13[[#This Row],[DeltaC]]*Table13[[#This Row],[Open.Int]]*$A$4,0)</f>
        <v>0</v>
      </c>
      <c r="BH333">
        <f>IFERROR(Table13[[#This Row],[DeltaP]]*Table13[[#This Row],[Open.Int8]]*$A$4,0)</f>
        <v>0</v>
      </c>
      <c r="BI33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3">
        <f ca="1">Table13[[#This Row],[charmc]]+Table13[[#This Row],[charmp]]</f>
        <v>0</v>
      </c>
      <c r="BL33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3" s="78">
        <f ca="1">Table13[[#This Row],[call helper]]+Table13[[#This Row],[put helper]]</f>
        <v>0</v>
      </c>
      <c r="BP333" t="str">
        <f>RTD("tos.rtd", , "STRIKE", "."&amp;Table13[[#This Row],[Ticker]]&amp;Table13[[#This Row],[Expiry]]&amp;""&amp;"C"&amp;Table13[[#This Row],[Spot]]+Table13[[#This Row],[step]])</f>
        <v>N/A</v>
      </c>
    </row>
    <row r="334" spans="1:68" x14ac:dyDescent="0.25">
      <c r="A334" s="14">
        <f t="shared" ca="1" si="29"/>
        <v>-126.14810350076104</v>
      </c>
      <c r="C334" s="17"/>
      <c r="D334" t="b">
        <f>IF(
    ISNUMBER(Table13[[#This Row],[Strike]]),RTD("tos.rtd", , "OPEN_INT", "."&amp;Table13[[#This Row],[Ticker]]&amp;Table13[[#This Row],[Expiry]]&amp;""&amp;"C"&amp;Table13[[#This Row],[Strike]]))</f>
        <v>0</v>
      </c>
      <c r="E33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4" t="b">
        <f>IF(     ISNUMBER(Table13[[#This Row],[Strike]]),RTD("tos.rtd", , "DELTA", "."&amp;Table13[[#This Row],[Ticker]]&amp;Table13[[#This Row],[Expiry]]&amp;""&amp;"C"&amp;Table13[[#This Row],[Strike]]))</f>
        <v>0</v>
      </c>
      <c r="H334" s="17" t="b" cm="1">
        <f t="array" ref="H334">IF(
    ISNUMBER(Table13[[#This Row],[Strike]]),IndividualLegIVCore($A$4, Table13[[#This Row],[Strike]], 0.0411, Table13[[#This Row],[T]], ((Table13[[#This Row],[BIDC]]+Table13[[#This Row],[ASKC]])/2), TRUE))</f>
        <v>0</v>
      </c>
      <c r="I334" t="b">
        <f>IF(     ISNUMBER(Table13[[#This Row],[Strike]]),RTD("tos.rtd", , "BID", "."&amp;Table13[[#This Row],[Ticker]]&amp;Table13[[#This Row],[Expiry]]&amp;""&amp;"C"&amp;Table13[[#This Row],[Strike]]))</f>
        <v>0</v>
      </c>
      <c r="J334" t="b">
        <f>IF(     ISNUMBER(Table13[[#This Row],[Strike]]),RTD("tos.rtd", , "ASK", "."&amp;Table13[[#This Row],[Ticker]]&amp;Table13[[#This Row],[Expiry]]&amp;""&amp;"C"&amp;Table13[[#This Row],[Strike]]))</f>
        <v>0</v>
      </c>
      <c r="K33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4" s="17" cm="1">
        <f t="array" aca="1" ref="L33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4" s="1">
        <f t="shared" si="30"/>
        <v>0</v>
      </c>
      <c r="N334" t="b">
        <f t="shared" si="31"/>
        <v>0</v>
      </c>
      <c r="P334" s="17" t="b" cm="1">
        <f t="array" ref="P334">IF(
    ISNUMBER(Table13[[#This Row],[Strike]]),IndividualLegIVCore($A$4, Table13[[#This Row],[Strike]], 0.0411, Table13[[#This Row],[T]], ((Table13[[#This Row],[BIDP]]+Table13[[#This Row],[ASKP]])/2), FALSE))</f>
        <v>0</v>
      </c>
      <c r="Q334" t="b">
        <f>IF(     ISNUMBER(Table13[[#This Row],[Strike]]),RTD("tos.rtd", , "BID", "."&amp;Table13[[#This Row],[Ticker]]&amp;Table13[[#This Row],[Expiry]]&amp;""&amp;"P"&amp;Table13[[#This Row],[Strike]]))</f>
        <v>0</v>
      </c>
      <c r="R334" t="b">
        <f>IF(     ISNUMBER(Table13[[#This Row],[Strike]]),RTD("tos.rtd", , "ASK", "."&amp;Table13[[#This Row],[Ticker]]&amp;Table13[[#This Row],[Expiry]]&amp;""&amp;"P"&amp;Table13[[#This Row],[Strike]]))</f>
        <v>0</v>
      </c>
      <c r="S334" s="17"/>
      <c r="T334" t="b">
        <f>IF(     ISNUMBER(Table13[[#This Row],[Strike]]),RTD("tos.rtd", , "OPEN_INT", "."&amp;Table13[[#This Row],[Ticker]]&amp;Table13[[#This Row],[Expiry]]&amp;""&amp;"P"&amp;Table13[[#This Row],[Strike]]))</f>
        <v>0</v>
      </c>
      <c r="U33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4" t="b">
        <f>IF(     ISNUMBER(Table13[[#This Row],[Strike]]),RTD("tos.rtd", , "DELTA", "."&amp;Table13[[#This Row],[Ticker]]&amp;Table13[[#This Row],[Expiry]]&amp;""&amp;"P"&amp;Table13[[#This Row],[Strike]]))</f>
        <v>0</v>
      </c>
      <c r="Y334" s="19">
        <f>10.5* IF($M$1="NDX", 10, IF(OR($M$1="SPX", $M$1="RUT"), 2, 1))</f>
        <v>21</v>
      </c>
      <c r="Z334">
        <f ca="1">IFERROR(Table13[[#This Row],[call gamma]]*(Table13[[#This Row],[Open.Int]])*$A$4^2,0)</f>
        <v>0</v>
      </c>
      <c r="AA334">
        <f ca="1">IFERROR(((Table13[[#This Row],[Open.Int8]])*Table13[[#This Row],[Put gamma]])*-1*$A$4^2,0)</f>
        <v>0</v>
      </c>
      <c r="AB334">
        <f ca="1">(Table13[[#This Row],[Call Gex]]+Table13[[#This Row],[Put Gex]])</f>
        <v>0</v>
      </c>
      <c r="AC334">
        <f ca="1">Table13[[#This Row],[put delta adj]]+Table13[[#This Row],[call delta adj]]</f>
        <v>0</v>
      </c>
      <c r="AD334">
        <f ca="1">Table13[[#This Row],[Put Gex]]*Table13[[#This Row],[DeltaP]]*-1</f>
        <v>0</v>
      </c>
      <c r="AE334">
        <f ca="1">Table13[[#This Row],[Call Gex]]*Table13[[#This Row],[DeltaC]]</f>
        <v>0</v>
      </c>
      <c r="AF334">
        <f>IF(Table13[[#This Row],[DeltaC]]-ABS(Table13[[#This Row],[DeltaP]])="0","0.01",Table13[[#This Row],[DeltaC]]-ABS(Table13[[#This Row],[DeltaP]]))</f>
        <v>0</v>
      </c>
      <c r="AG334" t="e">
        <f ca="1">((LN($A$4/Table13[[#This Row],[Strike]]) + (0.411 + 0.5 * Table13[[#This Row],[IV Calc P]]^2) *Table13[[#This Row],[T]])) / (Table13[[#This Row],[IV Calc P]] * SQRT(Table13[[#This Row],[T]]))</f>
        <v>#DIV/0!</v>
      </c>
      <c r="AH334" t="e">
        <f ca="1">(LN($A$4/Table13[[#This Row],[Strike]]) + (0.411-0 + 0.5 * Table13[[#This Row],[IV Calc C]]^2) *Table13[[#This Row],[T]]) / (Table13[[#This Row],[IV Calc C]] * SQRT(Table13[[#This Row],[T]]))</f>
        <v>#DIV/0!</v>
      </c>
      <c r="AI334" t="e">
        <f ca="1">(EXP(-(AG334^2)/2)/SQRT(2*PI())*EXP(0*SQRT(Table13[[#This Row],[T]]))/$A$4*18%*SQRT(SQRT(Table13[[#This Row],[T]])))</f>
        <v>#DIV/0!</v>
      </c>
      <c r="AJ334" t="e">
        <f ca="1">(EXP(-(AH334^2)/2)/SQRT(2*PI())*EXP(0*SQRT(Table13[[#This Row],[T]]))/$A$4*18%*SQRT(SQRT(Table13[[#This Row],[T]])))</f>
        <v>#DIV/0!</v>
      </c>
      <c r="AK334" t="e">
        <f ca="1">Table13[[#This Row],[Call D1]]-Table13[[#This Row],[IV Calc C]]*SQRT(Table13[[#This Row],[T]])</f>
        <v>#DIV/0!</v>
      </c>
      <c r="AL334" t="e">
        <f ca="1">Table13[[#This Row],[Put D1]]-Table13[[#This Row],[IV Calc P]]*SQRT(Table13[[#This Row],[T]])</f>
        <v>#DIV/0!</v>
      </c>
      <c r="AM334" t="e">
        <f ca="1">EXP(-0.5*Table13[[#This Row],[Call D1]]^2)/SQRT(2*PI())</f>
        <v>#DIV/0!</v>
      </c>
      <c r="AN334" t="e">
        <f ca="1">EXP(-0.5*Table13[[#This Row],[Put D1]]^2)/SQRT(2*PI())</f>
        <v>#DIV/0!</v>
      </c>
      <c r="AO334">
        <f ca="1">IFERROR((EXP(0*Table13[[#This Row],[T]])*Table13[[#This Row],[call N(d1)]]*(Table13[[#This Row],[call d2]]/Table13[[#This Row],[IV Calc C]]))*Table13[[#This Row],[Open.Int]]*Table13[[#This Row],[DeltaC]],0)</f>
        <v>0</v>
      </c>
      <c r="AP334">
        <f ca="1">IFERROR((EXP(0*Table13[[#This Row],[T]])*Table13[[#This Row],[put N(d1)]]*(Table13[[#This Row],[put d2]]/Table13[[#This Row],[IV Calc P]]))*Table13[[#This Row],[Open.Int8]]*Table13[[#This Row],[DeltaP]]*-1,0)</f>
        <v>0</v>
      </c>
      <c r="AQ334">
        <f ca="1">((Table13[[#This Row],[call vanna]]+Table13[[#This Row],[put vanna]])*$A$4)</f>
        <v>0</v>
      </c>
      <c r="AR33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4" s="9" t="str" cm="1">
        <f t="array" ref="AT334">_xlfn.IFS(     $M$1="SPX","SPXW",     $M$1="RUT","RUTW",  $M$1="NDX","NDXP",   TRUE,$M$1 )</f>
        <v>SPXW</v>
      </c>
      <c r="AU334" s="2">
        <f t="shared" si="32"/>
        <v>6915</v>
      </c>
      <c r="AV334" t="str">
        <f t="shared" si="33"/>
        <v>000100</v>
      </c>
      <c r="AY33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4">
        <f>((Table13[[#This Row],[High C]]+Table13[[#This Row],[Low C]])/2)*Table13[[#This Row],[gammac]]*Table13[[#This Row],[Volume]]</f>
        <v>0</v>
      </c>
      <c r="BD334">
        <f>((Table13[[#This Row],[High P]]+Table13[[#This Row],[Low P]])/2)*Table13[[#This Row],[gammap]]*Table13[[#This Row],[Volume9]]*-1</f>
        <v>0</v>
      </c>
      <c r="BE334">
        <f>(Table13[[#This Row],[SgammaC]]+Table13[[#This Row],[SgammaP]])*$A$4*-100</f>
        <v>0</v>
      </c>
      <c r="BF334">
        <f>Table13[[#This Row],[DEXc]]+Table13[[#This Row],[DEXp]]</f>
        <v>0</v>
      </c>
      <c r="BG334">
        <f>IFERROR(Table13[[#This Row],[DeltaC]]*Table13[[#This Row],[Open.Int]]*$A$4,0)</f>
        <v>0</v>
      </c>
      <c r="BH334">
        <f>IFERROR(Table13[[#This Row],[DeltaP]]*Table13[[#This Row],[Open.Int8]]*$A$4,0)</f>
        <v>0</v>
      </c>
      <c r="BI33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4">
        <f ca="1">Table13[[#This Row],[charmc]]+Table13[[#This Row],[charmp]]</f>
        <v>0</v>
      </c>
      <c r="BL33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4" s="78">
        <f ca="1">Table13[[#This Row],[call helper]]+Table13[[#This Row],[put helper]]</f>
        <v>0</v>
      </c>
      <c r="BP334" t="str">
        <f>RTD("tos.rtd", , "STRIKE", "."&amp;Table13[[#This Row],[Ticker]]&amp;Table13[[#This Row],[Expiry]]&amp;""&amp;"C"&amp;Table13[[#This Row],[Spot]]+Table13[[#This Row],[step]])</f>
        <v>N/A</v>
      </c>
    </row>
    <row r="335" spans="1:68" x14ac:dyDescent="0.25">
      <c r="A335" s="14">
        <f t="shared" ca="1" si="29"/>
        <v>-126.14810350076104</v>
      </c>
      <c r="C335" s="17"/>
      <c r="D335" t="b">
        <f>IF(
    ISNUMBER(Table13[[#This Row],[Strike]]),RTD("tos.rtd", , "OPEN_INT", "."&amp;Table13[[#This Row],[Ticker]]&amp;Table13[[#This Row],[Expiry]]&amp;""&amp;"C"&amp;Table13[[#This Row],[Strike]]))</f>
        <v>0</v>
      </c>
      <c r="E33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5" t="b">
        <f>IF(     ISNUMBER(Table13[[#This Row],[Strike]]),RTD("tos.rtd", , "DELTA", "."&amp;Table13[[#This Row],[Ticker]]&amp;Table13[[#This Row],[Expiry]]&amp;""&amp;"C"&amp;Table13[[#This Row],[Strike]]))</f>
        <v>0</v>
      </c>
      <c r="H335" s="17" t="b" cm="1">
        <f t="array" ref="H335">IF(
    ISNUMBER(Table13[[#This Row],[Strike]]),IndividualLegIVCore($A$4, Table13[[#This Row],[Strike]], 0.0411, Table13[[#This Row],[T]], ((Table13[[#This Row],[BIDC]]+Table13[[#This Row],[ASKC]])/2), TRUE))</f>
        <v>0</v>
      </c>
      <c r="I335" t="b">
        <f>IF(     ISNUMBER(Table13[[#This Row],[Strike]]),RTD("tos.rtd", , "BID", "."&amp;Table13[[#This Row],[Ticker]]&amp;Table13[[#This Row],[Expiry]]&amp;""&amp;"C"&amp;Table13[[#This Row],[Strike]]))</f>
        <v>0</v>
      </c>
      <c r="J335" t="b">
        <f>IF(     ISNUMBER(Table13[[#This Row],[Strike]]),RTD("tos.rtd", , "ASK", "."&amp;Table13[[#This Row],[Ticker]]&amp;Table13[[#This Row],[Expiry]]&amp;""&amp;"C"&amp;Table13[[#This Row],[Strike]]))</f>
        <v>0</v>
      </c>
      <c r="K33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5" s="17" cm="1">
        <f t="array" aca="1" ref="L33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5" s="1">
        <f t="shared" si="30"/>
        <v>0</v>
      </c>
      <c r="N335" t="b">
        <f t="shared" si="31"/>
        <v>0</v>
      </c>
      <c r="P335" s="17" t="b" cm="1">
        <f t="array" ref="P335">IF(
    ISNUMBER(Table13[[#This Row],[Strike]]),IndividualLegIVCore($A$4, Table13[[#This Row],[Strike]], 0.0411, Table13[[#This Row],[T]], ((Table13[[#This Row],[BIDP]]+Table13[[#This Row],[ASKP]])/2), FALSE))</f>
        <v>0</v>
      </c>
      <c r="Q335" t="b">
        <f>IF(     ISNUMBER(Table13[[#This Row],[Strike]]),RTD("tos.rtd", , "BID", "."&amp;Table13[[#This Row],[Ticker]]&amp;Table13[[#This Row],[Expiry]]&amp;""&amp;"P"&amp;Table13[[#This Row],[Strike]]))</f>
        <v>0</v>
      </c>
      <c r="R335" t="b">
        <f>IF(     ISNUMBER(Table13[[#This Row],[Strike]]),RTD("tos.rtd", , "ASK", "."&amp;Table13[[#This Row],[Ticker]]&amp;Table13[[#This Row],[Expiry]]&amp;""&amp;"P"&amp;Table13[[#This Row],[Strike]]))</f>
        <v>0</v>
      </c>
      <c r="S335" s="17"/>
      <c r="T335" t="b">
        <f>IF(     ISNUMBER(Table13[[#This Row],[Strike]]),RTD("tos.rtd", , "OPEN_INT", "."&amp;Table13[[#This Row],[Ticker]]&amp;Table13[[#This Row],[Expiry]]&amp;""&amp;"P"&amp;Table13[[#This Row],[Strike]]))</f>
        <v>0</v>
      </c>
      <c r="U33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5" t="b">
        <f>IF(     ISNUMBER(Table13[[#This Row],[Strike]]),RTD("tos.rtd", , "DELTA", "."&amp;Table13[[#This Row],[Ticker]]&amp;Table13[[#This Row],[Expiry]]&amp;""&amp;"P"&amp;Table13[[#This Row],[Strike]]))</f>
        <v>0</v>
      </c>
      <c r="Y335" s="19">
        <f>11* IF($M$1="NDX", 10, IF(OR($M$1="SPX", $M$1="RUT"), 2, 1))</f>
        <v>22</v>
      </c>
      <c r="Z335">
        <f ca="1">IFERROR(Table13[[#This Row],[call gamma]]*(Table13[[#This Row],[Open.Int]])*$A$4^2,0)</f>
        <v>0</v>
      </c>
      <c r="AA335">
        <f ca="1">IFERROR(((Table13[[#This Row],[Open.Int8]])*Table13[[#This Row],[Put gamma]])*-1*$A$4^2,0)</f>
        <v>0</v>
      </c>
      <c r="AB335">
        <f ca="1">(Table13[[#This Row],[Call Gex]]+Table13[[#This Row],[Put Gex]])</f>
        <v>0</v>
      </c>
      <c r="AC335">
        <f ca="1">Table13[[#This Row],[put delta adj]]+Table13[[#This Row],[call delta adj]]</f>
        <v>0</v>
      </c>
      <c r="AD335">
        <f ca="1">Table13[[#This Row],[Put Gex]]*Table13[[#This Row],[DeltaP]]*-1</f>
        <v>0</v>
      </c>
      <c r="AE335">
        <f ca="1">Table13[[#This Row],[Call Gex]]*Table13[[#This Row],[DeltaC]]</f>
        <v>0</v>
      </c>
      <c r="AF335">
        <f>IF(Table13[[#This Row],[DeltaC]]-ABS(Table13[[#This Row],[DeltaP]])="0","0.01",Table13[[#This Row],[DeltaC]]-ABS(Table13[[#This Row],[DeltaP]]))</f>
        <v>0</v>
      </c>
      <c r="AG335" t="e">
        <f ca="1">((LN($A$4/Table13[[#This Row],[Strike]]) + (0.411 + 0.5 * Table13[[#This Row],[IV Calc P]]^2) *Table13[[#This Row],[T]])) / (Table13[[#This Row],[IV Calc P]] * SQRT(Table13[[#This Row],[T]]))</f>
        <v>#DIV/0!</v>
      </c>
      <c r="AH335" t="e">
        <f ca="1">(LN($A$4/Table13[[#This Row],[Strike]]) + (0.411-0 + 0.5 * Table13[[#This Row],[IV Calc C]]^2) *Table13[[#This Row],[T]]) / (Table13[[#This Row],[IV Calc C]] * SQRT(Table13[[#This Row],[T]]))</f>
        <v>#DIV/0!</v>
      </c>
      <c r="AI335" t="e">
        <f ca="1">(EXP(-(AG335^2)/2)/SQRT(2*PI())*EXP(0*SQRT(Table13[[#This Row],[T]]))/$A$4*18%*SQRT(SQRT(Table13[[#This Row],[T]])))</f>
        <v>#DIV/0!</v>
      </c>
      <c r="AJ335" t="e">
        <f ca="1">(EXP(-(AH335^2)/2)/SQRT(2*PI())*EXP(0*SQRT(Table13[[#This Row],[T]]))/$A$4*18%*SQRT(SQRT(Table13[[#This Row],[T]])))</f>
        <v>#DIV/0!</v>
      </c>
      <c r="AK335" t="e">
        <f ca="1">Table13[[#This Row],[Call D1]]-Table13[[#This Row],[IV Calc C]]*SQRT(Table13[[#This Row],[T]])</f>
        <v>#DIV/0!</v>
      </c>
      <c r="AL335" t="e">
        <f ca="1">Table13[[#This Row],[Put D1]]-Table13[[#This Row],[IV Calc P]]*SQRT(Table13[[#This Row],[T]])</f>
        <v>#DIV/0!</v>
      </c>
      <c r="AM335" t="e">
        <f ca="1">EXP(-0.5*Table13[[#This Row],[Call D1]]^2)/SQRT(2*PI())</f>
        <v>#DIV/0!</v>
      </c>
      <c r="AN335" t="e">
        <f ca="1">EXP(-0.5*Table13[[#This Row],[Put D1]]^2)/SQRT(2*PI())</f>
        <v>#DIV/0!</v>
      </c>
      <c r="AO335">
        <f ca="1">IFERROR((EXP(0*Table13[[#This Row],[T]])*Table13[[#This Row],[call N(d1)]]*(Table13[[#This Row],[call d2]]/Table13[[#This Row],[IV Calc C]]))*Table13[[#This Row],[Open.Int]]*Table13[[#This Row],[DeltaC]],0)</f>
        <v>0</v>
      </c>
      <c r="AP335">
        <f ca="1">IFERROR((EXP(0*Table13[[#This Row],[T]])*Table13[[#This Row],[put N(d1)]]*(Table13[[#This Row],[put d2]]/Table13[[#This Row],[IV Calc P]]))*Table13[[#This Row],[Open.Int8]]*Table13[[#This Row],[DeltaP]]*-1,0)</f>
        <v>0</v>
      </c>
      <c r="AQ335">
        <f ca="1">((Table13[[#This Row],[call vanna]]+Table13[[#This Row],[put vanna]])*$A$4)</f>
        <v>0</v>
      </c>
      <c r="AR33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5" s="9" t="str" cm="1">
        <f t="array" ref="AT335">_xlfn.IFS(     $M$1="SPX","SPXW",     $M$1="RUT","RUTW",  $M$1="NDX","NDXP",   TRUE,$M$1 )</f>
        <v>SPXW</v>
      </c>
      <c r="AU335" s="2">
        <f t="shared" si="32"/>
        <v>6915</v>
      </c>
      <c r="AV335" t="str">
        <f t="shared" si="33"/>
        <v>000100</v>
      </c>
      <c r="AY33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5">
        <f>((Table13[[#This Row],[High C]]+Table13[[#This Row],[Low C]])/2)*Table13[[#This Row],[gammac]]*Table13[[#This Row],[Volume]]</f>
        <v>0</v>
      </c>
      <c r="BD335">
        <f>((Table13[[#This Row],[High P]]+Table13[[#This Row],[Low P]])/2)*Table13[[#This Row],[gammap]]*Table13[[#This Row],[Volume9]]*-1</f>
        <v>0</v>
      </c>
      <c r="BE335">
        <f>(Table13[[#This Row],[SgammaC]]+Table13[[#This Row],[SgammaP]])*$A$4*-100</f>
        <v>0</v>
      </c>
      <c r="BF335">
        <f>Table13[[#This Row],[DEXc]]+Table13[[#This Row],[DEXp]]</f>
        <v>0</v>
      </c>
      <c r="BG335">
        <f>IFERROR(Table13[[#This Row],[DeltaC]]*Table13[[#This Row],[Open.Int]]*$A$4,0)</f>
        <v>0</v>
      </c>
      <c r="BH335">
        <f>IFERROR(Table13[[#This Row],[DeltaP]]*Table13[[#This Row],[Open.Int8]]*$A$4,0)</f>
        <v>0</v>
      </c>
      <c r="BI33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5">
        <f ca="1">Table13[[#This Row],[charmc]]+Table13[[#This Row],[charmp]]</f>
        <v>0</v>
      </c>
      <c r="BL33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5" s="78">
        <f ca="1">Table13[[#This Row],[call helper]]+Table13[[#This Row],[put helper]]</f>
        <v>0</v>
      </c>
      <c r="BP335" t="str">
        <f>RTD("tos.rtd", , "STRIKE", "."&amp;Table13[[#This Row],[Ticker]]&amp;Table13[[#This Row],[Expiry]]&amp;""&amp;"C"&amp;Table13[[#This Row],[Spot]]+Table13[[#This Row],[step]])</f>
        <v>N/A</v>
      </c>
    </row>
    <row r="336" spans="1:68" x14ac:dyDescent="0.25">
      <c r="A336" s="14">
        <f t="shared" ca="1" si="29"/>
        <v>-126.14810350076104</v>
      </c>
      <c r="C336" s="17"/>
      <c r="D336" t="b">
        <f>IF(
    ISNUMBER(Table13[[#This Row],[Strike]]),RTD("tos.rtd", , "OPEN_INT", "."&amp;Table13[[#This Row],[Ticker]]&amp;Table13[[#This Row],[Expiry]]&amp;""&amp;"C"&amp;Table13[[#This Row],[Strike]]))</f>
        <v>0</v>
      </c>
      <c r="E33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6" t="b">
        <f>IF(     ISNUMBER(Table13[[#This Row],[Strike]]),RTD("tos.rtd", , "DELTA", "."&amp;Table13[[#This Row],[Ticker]]&amp;Table13[[#This Row],[Expiry]]&amp;""&amp;"C"&amp;Table13[[#This Row],[Strike]]))</f>
        <v>0</v>
      </c>
      <c r="H336" s="17" t="b" cm="1">
        <f t="array" ref="H336">IF(
    ISNUMBER(Table13[[#This Row],[Strike]]),IndividualLegIVCore($A$4, Table13[[#This Row],[Strike]], 0.0411, Table13[[#This Row],[T]], ((Table13[[#This Row],[BIDC]]+Table13[[#This Row],[ASKC]])/2), TRUE))</f>
        <v>0</v>
      </c>
      <c r="I336" t="b">
        <f>IF(     ISNUMBER(Table13[[#This Row],[Strike]]),RTD("tos.rtd", , "BID", "."&amp;Table13[[#This Row],[Ticker]]&amp;Table13[[#This Row],[Expiry]]&amp;""&amp;"C"&amp;Table13[[#This Row],[Strike]]))</f>
        <v>0</v>
      </c>
      <c r="J336" t="b">
        <f>IF(     ISNUMBER(Table13[[#This Row],[Strike]]),RTD("tos.rtd", , "ASK", "."&amp;Table13[[#This Row],[Ticker]]&amp;Table13[[#This Row],[Expiry]]&amp;""&amp;"C"&amp;Table13[[#This Row],[Strike]]))</f>
        <v>0</v>
      </c>
      <c r="K33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6" s="17" cm="1">
        <f t="array" aca="1" ref="L33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6" s="1">
        <f t="shared" si="30"/>
        <v>0</v>
      </c>
      <c r="N336" t="b">
        <f t="shared" si="31"/>
        <v>0</v>
      </c>
      <c r="P336" s="17" t="b" cm="1">
        <f t="array" ref="P336">IF(
    ISNUMBER(Table13[[#This Row],[Strike]]),IndividualLegIVCore($A$4, Table13[[#This Row],[Strike]], 0.0411, Table13[[#This Row],[T]], ((Table13[[#This Row],[BIDP]]+Table13[[#This Row],[ASKP]])/2), FALSE))</f>
        <v>0</v>
      </c>
      <c r="Q336" t="b">
        <f>IF(     ISNUMBER(Table13[[#This Row],[Strike]]),RTD("tos.rtd", , "BID", "."&amp;Table13[[#This Row],[Ticker]]&amp;Table13[[#This Row],[Expiry]]&amp;""&amp;"P"&amp;Table13[[#This Row],[Strike]]))</f>
        <v>0</v>
      </c>
      <c r="R336" t="b">
        <f>IF(     ISNUMBER(Table13[[#This Row],[Strike]]),RTD("tos.rtd", , "ASK", "."&amp;Table13[[#This Row],[Ticker]]&amp;Table13[[#This Row],[Expiry]]&amp;""&amp;"P"&amp;Table13[[#This Row],[Strike]]))</f>
        <v>0</v>
      </c>
      <c r="S336" s="17"/>
      <c r="T336" t="b">
        <f>IF(     ISNUMBER(Table13[[#This Row],[Strike]]),RTD("tos.rtd", , "OPEN_INT", "."&amp;Table13[[#This Row],[Ticker]]&amp;Table13[[#This Row],[Expiry]]&amp;""&amp;"P"&amp;Table13[[#This Row],[Strike]]))</f>
        <v>0</v>
      </c>
      <c r="U33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6" t="b">
        <f>IF(     ISNUMBER(Table13[[#This Row],[Strike]]),RTD("tos.rtd", , "DELTA", "."&amp;Table13[[#This Row],[Ticker]]&amp;Table13[[#This Row],[Expiry]]&amp;""&amp;"P"&amp;Table13[[#This Row],[Strike]]))</f>
        <v>0</v>
      </c>
      <c r="Y336" s="19">
        <f>11.5* IF($M$1="NDX", 10, IF(OR($M$1="SPX", $M$1="RUT"), 2, 1))</f>
        <v>23</v>
      </c>
      <c r="Z336">
        <f ca="1">IFERROR(Table13[[#This Row],[call gamma]]*(Table13[[#This Row],[Open.Int]])*$A$4^2,0)</f>
        <v>0</v>
      </c>
      <c r="AA336">
        <f ca="1">IFERROR(((Table13[[#This Row],[Open.Int8]])*Table13[[#This Row],[Put gamma]])*-1*$A$4^2,0)</f>
        <v>0</v>
      </c>
      <c r="AB336">
        <f ca="1">(Table13[[#This Row],[Call Gex]]+Table13[[#This Row],[Put Gex]])</f>
        <v>0</v>
      </c>
      <c r="AC336">
        <f ca="1">Table13[[#This Row],[put delta adj]]+Table13[[#This Row],[call delta adj]]</f>
        <v>0</v>
      </c>
      <c r="AD336">
        <f ca="1">Table13[[#This Row],[Put Gex]]*Table13[[#This Row],[DeltaP]]*-1</f>
        <v>0</v>
      </c>
      <c r="AE336">
        <f ca="1">Table13[[#This Row],[Call Gex]]*Table13[[#This Row],[DeltaC]]</f>
        <v>0</v>
      </c>
      <c r="AF336">
        <f>IF(Table13[[#This Row],[DeltaC]]-ABS(Table13[[#This Row],[DeltaP]])="0","0.01",Table13[[#This Row],[DeltaC]]-ABS(Table13[[#This Row],[DeltaP]]))</f>
        <v>0</v>
      </c>
      <c r="AG336" t="e">
        <f ca="1">((LN($A$4/Table13[[#This Row],[Strike]]) + (0.411 + 0.5 * Table13[[#This Row],[IV Calc P]]^2) *Table13[[#This Row],[T]])) / (Table13[[#This Row],[IV Calc P]] * SQRT(Table13[[#This Row],[T]]))</f>
        <v>#DIV/0!</v>
      </c>
      <c r="AH336" t="e">
        <f ca="1">(LN($A$4/Table13[[#This Row],[Strike]]) + (0.411-0 + 0.5 * Table13[[#This Row],[IV Calc C]]^2) *Table13[[#This Row],[T]]) / (Table13[[#This Row],[IV Calc C]] * SQRT(Table13[[#This Row],[T]]))</f>
        <v>#DIV/0!</v>
      </c>
      <c r="AI336" t="e">
        <f ca="1">(EXP(-(AG336^2)/2)/SQRT(2*PI())*EXP(0*SQRT(Table13[[#This Row],[T]]))/$A$4*18%*SQRT(SQRT(Table13[[#This Row],[T]])))</f>
        <v>#DIV/0!</v>
      </c>
      <c r="AJ336" t="e">
        <f ca="1">(EXP(-(AH336^2)/2)/SQRT(2*PI())*EXP(0*SQRT(Table13[[#This Row],[T]]))/$A$4*18%*SQRT(SQRT(Table13[[#This Row],[T]])))</f>
        <v>#DIV/0!</v>
      </c>
      <c r="AK336" t="e">
        <f ca="1">Table13[[#This Row],[Call D1]]-Table13[[#This Row],[IV Calc C]]*SQRT(Table13[[#This Row],[T]])</f>
        <v>#DIV/0!</v>
      </c>
      <c r="AL336" t="e">
        <f ca="1">Table13[[#This Row],[Put D1]]-Table13[[#This Row],[IV Calc P]]*SQRT(Table13[[#This Row],[T]])</f>
        <v>#DIV/0!</v>
      </c>
      <c r="AM336" t="e">
        <f ca="1">EXP(-0.5*Table13[[#This Row],[Call D1]]^2)/SQRT(2*PI())</f>
        <v>#DIV/0!</v>
      </c>
      <c r="AN336" t="e">
        <f ca="1">EXP(-0.5*Table13[[#This Row],[Put D1]]^2)/SQRT(2*PI())</f>
        <v>#DIV/0!</v>
      </c>
      <c r="AO336">
        <f ca="1">IFERROR((EXP(0*Table13[[#This Row],[T]])*Table13[[#This Row],[call N(d1)]]*(Table13[[#This Row],[call d2]]/Table13[[#This Row],[IV Calc C]]))*Table13[[#This Row],[Open.Int]]*Table13[[#This Row],[DeltaC]],0)</f>
        <v>0</v>
      </c>
      <c r="AP336">
        <f ca="1">IFERROR((EXP(0*Table13[[#This Row],[T]])*Table13[[#This Row],[put N(d1)]]*(Table13[[#This Row],[put d2]]/Table13[[#This Row],[IV Calc P]]))*Table13[[#This Row],[Open.Int8]]*Table13[[#This Row],[DeltaP]]*-1,0)</f>
        <v>0</v>
      </c>
      <c r="AQ336">
        <f ca="1">((Table13[[#This Row],[call vanna]]+Table13[[#This Row],[put vanna]])*$A$4)</f>
        <v>0</v>
      </c>
      <c r="AR33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6" s="9" t="str" cm="1">
        <f t="array" ref="AT336">_xlfn.IFS(     $M$1="SPX","SPXW",     $M$1="RUT","RUTW",  $M$1="NDX","NDXP",   TRUE,$M$1 )</f>
        <v>SPXW</v>
      </c>
      <c r="AU336" s="2">
        <f t="shared" si="32"/>
        <v>6915</v>
      </c>
      <c r="AV336" t="str">
        <f t="shared" si="33"/>
        <v>000100</v>
      </c>
      <c r="AY33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6">
        <f>((Table13[[#This Row],[High C]]+Table13[[#This Row],[Low C]])/2)*Table13[[#This Row],[gammac]]*Table13[[#This Row],[Volume]]</f>
        <v>0</v>
      </c>
      <c r="BD336">
        <f>((Table13[[#This Row],[High P]]+Table13[[#This Row],[Low P]])/2)*Table13[[#This Row],[gammap]]*Table13[[#This Row],[Volume9]]*-1</f>
        <v>0</v>
      </c>
      <c r="BE336">
        <f>(Table13[[#This Row],[SgammaC]]+Table13[[#This Row],[SgammaP]])*$A$4*-100</f>
        <v>0</v>
      </c>
      <c r="BF336">
        <f>Table13[[#This Row],[DEXc]]+Table13[[#This Row],[DEXp]]</f>
        <v>0</v>
      </c>
      <c r="BG336">
        <f>IFERROR(Table13[[#This Row],[DeltaC]]*Table13[[#This Row],[Open.Int]]*$A$4,0)</f>
        <v>0</v>
      </c>
      <c r="BH336">
        <f>IFERROR(Table13[[#This Row],[DeltaP]]*Table13[[#This Row],[Open.Int8]]*$A$4,0)</f>
        <v>0</v>
      </c>
      <c r="BI33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6">
        <f ca="1">Table13[[#This Row],[charmc]]+Table13[[#This Row],[charmp]]</f>
        <v>0</v>
      </c>
      <c r="BL33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6" s="78">
        <f ca="1">Table13[[#This Row],[call helper]]+Table13[[#This Row],[put helper]]</f>
        <v>0</v>
      </c>
      <c r="BP336" t="str">
        <f>RTD("tos.rtd", , "STRIKE", "."&amp;Table13[[#This Row],[Ticker]]&amp;Table13[[#This Row],[Expiry]]&amp;""&amp;"C"&amp;Table13[[#This Row],[Spot]]+Table13[[#This Row],[step]])</f>
        <v>N/A</v>
      </c>
    </row>
    <row r="337" spans="1:68" x14ac:dyDescent="0.25">
      <c r="A337" s="14">
        <f t="shared" ca="1" si="29"/>
        <v>-126.14810350076104</v>
      </c>
      <c r="C337" s="17"/>
      <c r="D337" t="b">
        <f>IF(
    ISNUMBER(Table13[[#This Row],[Strike]]),RTD("tos.rtd", , "OPEN_INT", "."&amp;Table13[[#This Row],[Ticker]]&amp;Table13[[#This Row],[Expiry]]&amp;""&amp;"C"&amp;Table13[[#This Row],[Strike]]))</f>
        <v>0</v>
      </c>
      <c r="E33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7" t="b">
        <f>IF(     ISNUMBER(Table13[[#This Row],[Strike]]),RTD("tos.rtd", , "DELTA", "."&amp;Table13[[#This Row],[Ticker]]&amp;Table13[[#This Row],[Expiry]]&amp;""&amp;"C"&amp;Table13[[#This Row],[Strike]]))</f>
        <v>0</v>
      </c>
      <c r="H337" s="17" t="b" cm="1">
        <f t="array" ref="H337">IF(
    ISNUMBER(Table13[[#This Row],[Strike]]),IndividualLegIVCore($A$4, Table13[[#This Row],[Strike]], 0.0411, Table13[[#This Row],[T]], ((Table13[[#This Row],[BIDC]]+Table13[[#This Row],[ASKC]])/2), TRUE))</f>
        <v>0</v>
      </c>
      <c r="I337" t="b">
        <f>IF(     ISNUMBER(Table13[[#This Row],[Strike]]),RTD("tos.rtd", , "BID", "."&amp;Table13[[#This Row],[Ticker]]&amp;Table13[[#This Row],[Expiry]]&amp;""&amp;"C"&amp;Table13[[#This Row],[Strike]]))</f>
        <v>0</v>
      </c>
      <c r="J337" t="b">
        <f>IF(     ISNUMBER(Table13[[#This Row],[Strike]]),RTD("tos.rtd", , "ASK", "."&amp;Table13[[#This Row],[Ticker]]&amp;Table13[[#This Row],[Expiry]]&amp;""&amp;"C"&amp;Table13[[#This Row],[Strike]]))</f>
        <v>0</v>
      </c>
      <c r="K33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7" s="17" cm="1">
        <f t="array" aca="1" ref="L33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7" s="1">
        <f t="shared" si="30"/>
        <v>0</v>
      </c>
      <c r="N337" t="b">
        <f t="shared" si="31"/>
        <v>0</v>
      </c>
      <c r="P337" s="17" t="b" cm="1">
        <f t="array" ref="P337">IF(
    ISNUMBER(Table13[[#This Row],[Strike]]),IndividualLegIVCore($A$4, Table13[[#This Row],[Strike]], 0.0411, Table13[[#This Row],[T]], ((Table13[[#This Row],[BIDP]]+Table13[[#This Row],[ASKP]])/2), FALSE))</f>
        <v>0</v>
      </c>
      <c r="Q337" t="b">
        <f>IF(     ISNUMBER(Table13[[#This Row],[Strike]]),RTD("tos.rtd", , "BID", "."&amp;Table13[[#This Row],[Ticker]]&amp;Table13[[#This Row],[Expiry]]&amp;""&amp;"P"&amp;Table13[[#This Row],[Strike]]))</f>
        <v>0</v>
      </c>
      <c r="R337" t="b">
        <f>IF(     ISNUMBER(Table13[[#This Row],[Strike]]),RTD("tos.rtd", , "ASK", "."&amp;Table13[[#This Row],[Ticker]]&amp;Table13[[#This Row],[Expiry]]&amp;""&amp;"P"&amp;Table13[[#This Row],[Strike]]))</f>
        <v>0</v>
      </c>
      <c r="S337" s="17"/>
      <c r="T337" t="b">
        <f>IF(     ISNUMBER(Table13[[#This Row],[Strike]]),RTD("tos.rtd", , "OPEN_INT", "."&amp;Table13[[#This Row],[Ticker]]&amp;Table13[[#This Row],[Expiry]]&amp;""&amp;"P"&amp;Table13[[#This Row],[Strike]]))</f>
        <v>0</v>
      </c>
      <c r="U33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7" t="b">
        <f>IF(     ISNUMBER(Table13[[#This Row],[Strike]]),RTD("tos.rtd", , "DELTA", "."&amp;Table13[[#This Row],[Ticker]]&amp;Table13[[#This Row],[Expiry]]&amp;""&amp;"P"&amp;Table13[[#This Row],[Strike]]))</f>
        <v>0</v>
      </c>
      <c r="Y337" s="19">
        <f>12* IF($M$1="NDX", 10, IF(OR($M$1="SPX", $M$1="RUT"), 2, 1))</f>
        <v>24</v>
      </c>
      <c r="Z337">
        <f ca="1">IFERROR(Table13[[#This Row],[call gamma]]*(Table13[[#This Row],[Open.Int]])*$A$4^2,0)</f>
        <v>0</v>
      </c>
      <c r="AA337">
        <f ca="1">IFERROR(((Table13[[#This Row],[Open.Int8]])*Table13[[#This Row],[Put gamma]])*-1*$A$4^2,0)</f>
        <v>0</v>
      </c>
      <c r="AB337">
        <f ca="1">(Table13[[#This Row],[Call Gex]]+Table13[[#This Row],[Put Gex]])</f>
        <v>0</v>
      </c>
      <c r="AC337">
        <f ca="1">Table13[[#This Row],[put delta adj]]+Table13[[#This Row],[call delta adj]]</f>
        <v>0</v>
      </c>
      <c r="AD337">
        <f ca="1">Table13[[#This Row],[Put Gex]]*Table13[[#This Row],[DeltaP]]*-1</f>
        <v>0</v>
      </c>
      <c r="AE337">
        <f ca="1">Table13[[#This Row],[Call Gex]]*Table13[[#This Row],[DeltaC]]</f>
        <v>0</v>
      </c>
      <c r="AF337">
        <f>IF(Table13[[#This Row],[DeltaC]]-ABS(Table13[[#This Row],[DeltaP]])="0","0.01",Table13[[#This Row],[DeltaC]]-ABS(Table13[[#This Row],[DeltaP]]))</f>
        <v>0</v>
      </c>
      <c r="AG337" t="e">
        <f ca="1">((LN($A$4/Table13[[#This Row],[Strike]]) + (0.411 + 0.5 * Table13[[#This Row],[IV Calc P]]^2) *Table13[[#This Row],[T]])) / (Table13[[#This Row],[IV Calc P]] * SQRT(Table13[[#This Row],[T]]))</f>
        <v>#DIV/0!</v>
      </c>
      <c r="AH337" t="e">
        <f ca="1">(LN($A$4/Table13[[#This Row],[Strike]]) + (0.411-0 + 0.5 * Table13[[#This Row],[IV Calc C]]^2) *Table13[[#This Row],[T]]) / (Table13[[#This Row],[IV Calc C]] * SQRT(Table13[[#This Row],[T]]))</f>
        <v>#DIV/0!</v>
      </c>
      <c r="AI337" t="e">
        <f ca="1">(EXP(-(AG337^2)/2)/SQRT(2*PI())*EXP(0*SQRT(Table13[[#This Row],[T]]))/$A$4*18%*SQRT(SQRT(Table13[[#This Row],[T]])))</f>
        <v>#DIV/0!</v>
      </c>
      <c r="AJ337" t="e">
        <f ca="1">(EXP(-(AH337^2)/2)/SQRT(2*PI())*EXP(0*SQRT(Table13[[#This Row],[T]]))/$A$4*18%*SQRT(SQRT(Table13[[#This Row],[T]])))</f>
        <v>#DIV/0!</v>
      </c>
      <c r="AK337" t="e">
        <f ca="1">Table13[[#This Row],[Call D1]]-Table13[[#This Row],[IV Calc C]]*SQRT(Table13[[#This Row],[T]])</f>
        <v>#DIV/0!</v>
      </c>
      <c r="AL337" t="e">
        <f ca="1">Table13[[#This Row],[Put D1]]-Table13[[#This Row],[IV Calc P]]*SQRT(Table13[[#This Row],[T]])</f>
        <v>#DIV/0!</v>
      </c>
      <c r="AM337" t="e">
        <f ca="1">EXP(-0.5*Table13[[#This Row],[Call D1]]^2)/SQRT(2*PI())</f>
        <v>#DIV/0!</v>
      </c>
      <c r="AN337" t="e">
        <f ca="1">EXP(-0.5*Table13[[#This Row],[Put D1]]^2)/SQRT(2*PI())</f>
        <v>#DIV/0!</v>
      </c>
      <c r="AO337">
        <f ca="1">IFERROR((EXP(0*Table13[[#This Row],[T]])*Table13[[#This Row],[call N(d1)]]*(Table13[[#This Row],[call d2]]/Table13[[#This Row],[IV Calc C]]))*Table13[[#This Row],[Open.Int]]*Table13[[#This Row],[DeltaC]],0)</f>
        <v>0</v>
      </c>
      <c r="AP337">
        <f ca="1">IFERROR((EXP(0*Table13[[#This Row],[T]])*Table13[[#This Row],[put N(d1)]]*(Table13[[#This Row],[put d2]]/Table13[[#This Row],[IV Calc P]]))*Table13[[#This Row],[Open.Int8]]*Table13[[#This Row],[DeltaP]]*-1,0)</f>
        <v>0</v>
      </c>
      <c r="AQ337">
        <f ca="1">((Table13[[#This Row],[call vanna]]+Table13[[#This Row],[put vanna]])*$A$4)</f>
        <v>0</v>
      </c>
      <c r="AR33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7" s="9" t="str" cm="1">
        <f t="array" ref="AT337">_xlfn.IFS(     $M$1="SPX","SPXW",     $M$1="RUT","RUTW",  $M$1="NDX","NDXP",   TRUE,$M$1 )</f>
        <v>SPXW</v>
      </c>
      <c r="AU337" s="2">
        <f t="shared" si="32"/>
        <v>6915</v>
      </c>
      <c r="AV337" t="str">
        <f t="shared" si="33"/>
        <v>000100</v>
      </c>
      <c r="AY33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7">
        <f>((Table13[[#This Row],[High C]]+Table13[[#This Row],[Low C]])/2)*Table13[[#This Row],[gammac]]*Table13[[#This Row],[Volume]]</f>
        <v>0</v>
      </c>
      <c r="BD337">
        <f>((Table13[[#This Row],[High P]]+Table13[[#This Row],[Low P]])/2)*Table13[[#This Row],[gammap]]*Table13[[#This Row],[Volume9]]*-1</f>
        <v>0</v>
      </c>
      <c r="BE337">
        <f>(Table13[[#This Row],[SgammaC]]+Table13[[#This Row],[SgammaP]])*$A$4*-100</f>
        <v>0</v>
      </c>
      <c r="BF337">
        <f>Table13[[#This Row],[DEXc]]+Table13[[#This Row],[DEXp]]</f>
        <v>0</v>
      </c>
      <c r="BG337">
        <f>IFERROR(Table13[[#This Row],[DeltaC]]*Table13[[#This Row],[Open.Int]]*$A$4,0)</f>
        <v>0</v>
      </c>
      <c r="BH337">
        <f>IFERROR(Table13[[#This Row],[DeltaP]]*Table13[[#This Row],[Open.Int8]]*$A$4,0)</f>
        <v>0</v>
      </c>
      <c r="BI33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7">
        <f ca="1">Table13[[#This Row],[charmc]]+Table13[[#This Row],[charmp]]</f>
        <v>0</v>
      </c>
      <c r="BL33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7" s="78">
        <f ca="1">Table13[[#This Row],[call helper]]+Table13[[#This Row],[put helper]]</f>
        <v>0</v>
      </c>
      <c r="BP337" t="str">
        <f>RTD("tos.rtd", , "STRIKE", "."&amp;Table13[[#This Row],[Ticker]]&amp;Table13[[#This Row],[Expiry]]&amp;""&amp;"C"&amp;Table13[[#This Row],[Spot]]+Table13[[#This Row],[step]])</f>
        <v>N/A</v>
      </c>
    </row>
    <row r="338" spans="1:68" x14ac:dyDescent="0.25">
      <c r="A338" s="14">
        <f t="shared" ca="1" si="29"/>
        <v>-126.14810350076104</v>
      </c>
      <c r="C338" s="17"/>
      <c r="D338" t="b">
        <f>IF(
    ISNUMBER(Table13[[#This Row],[Strike]]),RTD("tos.rtd", , "OPEN_INT", "."&amp;Table13[[#This Row],[Ticker]]&amp;Table13[[#This Row],[Expiry]]&amp;""&amp;"C"&amp;Table13[[#This Row],[Strike]]))</f>
        <v>0</v>
      </c>
      <c r="E33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8" t="b">
        <f>IF(     ISNUMBER(Table13[[#This Row],[Strike]]),RTD("tos.rtd", , "DELTA", "."&amp;Table13[[#This Row],[Ticker]]&amp;Table13[[#This Row],[Expiry]]&amp;""&amp;"C"&amp;Table13[[#This Row],[Strike]]))</f>
        <v>0</v>
      </c>
      <c r="H338" s="17" t="b" cm="1">
        <f t="array" ref="H338">IF(
    ISNUMBER(Table13[[#This Row],[Strike]]),IndividualLegIVCore($A$4, Table13[[#This Row],[Strike]], 0.0411, Table13[[#This Row],[T]], ((Table13[[#This Row],[BIDC]]+Table13[[#This Row],[ASKC]])/2), TRUE))</f>
        <v>0</v>
      </c>
      <c r="I338" t="b">
        <f>IF(     ISNUMBER(Table13[[#This Row],[Strike]]),RTD("tos.rtd", , "BID", "."&amp;Table13[[#This Row],[Ticker]]&amp;Table13[[#This Row],[Expiry]]&amp;""&amp;"C"&amp;Table13[[#This Row],[Strike]]))</f>
        <v>0</v>
      </c>
      <c r="J338" t="b">
        <f>IF(     ISNUMBER(Table13[[#This Row],[Strike]]),RTD("tos.rtd", , "ASK", "."&amp;Table13[[#This Row],[Ticker]]&amp;Table13[[#This Row],[Expiry]]&amp;""&amp;"C"&amp;Table13[[#This Row],[Strike]]))</f>
        <v>0</v>
      </c>
      <c r="K33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8" s="17" cm="1">
        <f t="array" aca="1" ref="L33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8" s="1">
        <f t="shared" si="30"/>
        <v>0</v>
      </c>
      <c r="N338" t="b">
        <f t="shared" si="31"/>
        <v>0</v>
      </c>
      <c r="P338" s="17" t="b" cm="1">
        <f t="array" ref="P338">IF(
    ISNUMBER(Table13[[#This Row],[Strike]]),IndividualLegIVCore($A$4, Table13[[#This Row],[Strike]], 0.0411, Table13[[#This Row],[T]], ((Table13[[#This Row],[BIDP]]+Table13[[#This Row],[ASKP]])/2), FALSE))</f>
        <v>0</v>
      </c>
      <c r="Q338" t="b">
        <f>IF(     ISNUMBER(Table13[[#This Row],[Strike]]),RTD("tos.rtd", , "BID", "."&amp;Table13[[#This Row],[Ticker]]&amp;Table13[[#This Row],[Expiry]]&amp;""&amp;"P"&amp;Table13[[#This Row],[Strike]]))</f>
        <v>0</v>
      </c>
      <c r="R338" t="b">
        <f>IF(     ISNUMBER(Table13[[#This Row],[Strike]]),RTD("tos.rtd", , "ASK", "."&amp;Table13[[#This Row],[Ticker]]&amp;Table13[[#This Row],[Expiry]]&amp;""&amp;"P"&amp;Table13[[#This Row],[Strike]]))</f>
        <v>0</v>
      </c>
      <c r="S338" s="17"/>
      <c r="T338" t="b">
        <f>IF(     ISNUMBER(Table13[[#This Row],[Strike]]),RTD("tos.rtd", , "OPEN_INT", "."&amp;Table13[[#This Row],[Ticker]]&amp;Table13[[#This Row],[Expiry]]&amp;""&amp;"P"&amp;Table13[[#This Row],[Strike]]))</f>
        <v>0</v>
      </c>
      <c r="U33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8" t="b">
        <f>IF(     ISNUMBER(Table13[[#This Row],[Strike]]),RTD("tos.rtd", , "DELTA", "."&amp;Table13[[#This Row],[Ticker]]&amp;Table13[[#This Row],[Expiry]]&amp;""&amp;"P"&amp;Table13[[#This Row],[Strike]]))</f>
        <v>0</v>
      </c>
      <c r="Y338" s="19">
        <f>12.5* IF($M$1="NDX", 10, IF(OR($M$1="SPX", $M$1="RUT"), 2, 1))</f>
        <v>25</v>
      </c>
      <c r="Z338">
        <f ca="1">IFERROR(Table13[[#This Row],[call gamma]]*(Table13[[#This Row],[Open.Int]])*$A$4^2,0)</f>
        <v>0</v>
      </c>
      <c r="AA338">
        <f ca="1">IFERROR(((Table13[[#This Row],[Open.Int8]])*Table13[[#This Row],[Put gamma]])*-1*$A$4^2,0)</f>
        <v>0</v>
      </c>
      <c r="AB338">
        <f ca="1">(Table13[[#This Row],[Call Gex]]+Table13[[#This Row],[Put Gex]])</f>
        <v>0</v>
      </c>
      <c r="AC338">
        <f ca="1">Table13[[#This Row],[put delta adj]]+Table13[[#This Row],[call delta adj]]</f>
        <v>0</v>
      </c>
      <c r="AD338">
        <f ca="1">Table13[[#This Row],[Put Gex]]*Table13[[#This Row],[DeltaP]]*-1</f>
        <v>0</v>
      </c>
      <c r="AE338">
        <f ca="1">Table13[[#This Row],[Call Gex]]*Table13[[#This Row],[DeltaC]]</f>
        <v>0</v>
      </c>
      <c r="AF338">
        <f>IF(Table13[[#This Row],[DeltaC]]-ABS(Table13[[#This Row],[DeltaP]])="0","0.01",Table13[[#This Row],[DeltaC]]-ABS(Table13[[#This Row],[DeltaP]]))</f>
        <v>0</v>
      </c>
      <c r="AG338" t="e">
        <f ca="1">((LN($A$4/Table13[[#This Row],[Strike]]) + (0.411 + 0.5 * Table13[[#This Row],[IV Calc P]]^2) *Table13[[#This Row],[T]])) / (Table13[[#This Row],[IV Calc P]] * SQRT(Table13[[#This Row],[T]]))</f>
        <v>#DIV/0!</v>
      </c>
      <c r="AH338" t="e">
        <f ca="1">(LN($A$4/Table13[[#This Row],[Strike]]) + (0.411-0 + 0.5 * Table13[[#This Row],[IV Calc C]]^2) *Table13[[#This Row],[T]]) / (Table13[[#This Row],[IV Calc C]] * SQRT(Table13[[#This Row],[T]]))</f>
        <v>#DIV/0!</v>
      </c>
      <c r="AI338" t="e">
        <f ca="1">(EXP(-(AG338^2)/2)/SQRT(2*PI())*EXP(0*SQRT(Table13[[#This Row],[T]]))/$A$4*18%*SQRT(SQRT(Table13[[#This Row],[T]])))</f>
        <v>#DIV/0!</v>
      </c>
      <c r="AJ338" t="e">
        <f ca="1">(EXP(-(AH338^2)/2)/SQRT(2*PI())*EXP(0*SQRT(Table13[[#This Row],[T]]))/$A$4*18%*SQRT(SQRT(Table13[[#This Row],[T]])))</f>
        <v>#DIV/0!</v>
      </c>
      <c r="AK338" t="e">
        <f ca="1">Table13[[#This Row],[Call D1]]-Table13[[#This Row],[IV Calc C]]*SQRT(Table13[[#This Row],[T]])</f>
        <v>#DIV/0!</v>
      </c>
      <c r="AL338" t="e">
        <f ca="1">Table13[[#This Row],[Put D1]]-Table13[[#This Row],[IV Calc P]]*SQRT(Table13[[#This Row],[T]])</f>
        <v>#DIV/0!</v>
      </c>
      <c r="AM338" t="e">
        <f ca="1">EXP(-0.5*Table13[[#This Row],[Call D1]]^2)/SQRT(2*PI())</f>
        <v>#DIV/0!</v>
      </c>
      <c r="AN338" t="e">
        <f ca="1">EXP(-0.5*Table13[[#This Row],[Put D1]]^2)/SQRT(2*PI())</f>
        <v>#DIV/0!</v>
      </c>
      <c r="AO338">
        <f ca="1">IFERROR((EXP(0*Table13[[#This Row],[T]])*Table13[[#This Row],[call N(d1)]]*(Table13[[#This Row],[call d2]]/Table13[[#This Row],[IV Calc C]]))*Table13[[#This Row],[Open.Int]]*Table13[[#This Row],[DeltaC]],0)</f>
        <v>0</v>
      </c>
      <c r="AP338">
        <f ca="1">IFERROR((EXP(0*Table13[[#This Row],[T]])*Table13[[#This Row],[put N(d1)]]*(Table13[[#This Row],[put d2]]/Table13[[#This Row],[IV Calc P]]))*Table13[[#This Row],[Open.Int8]]*Table13[[#This Row],[DeltaP]]*-1,0)</f>
        <v>0</v>
      </c>
      <c r="AQ338">
        <f ca="1">((Table13[[#This Row],[call vanna]]+Table13[[#This Row],[put vanna]])*$A$4)</f>
        <v>0</v>
      </c>
      <c r="AR33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8" s="9" t="str" cm="1">
        <f t="array" ref="AT338">_xlfn.IFS(     $M$1="SPX","SPXW",     $M$1="RUT","RUTW",  $M$1="NDX","NDXP",   TRUE,$M$1 )</f>
        <v>SPXW</v>
      </c>
      <c r="AU338" s="2">
        <f t="shared" si="32"/>
        <v>6915</v>
      </c>
      <c r="AV338" t="str">
        <f t="shared" si="33"/>
        <v>000100</v>
      </c>
      <c r="AY33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8">
        <f>((Table13[[#This Row],[High C]]+Table13[[#This Row],[Low C]])/2)*Table13[[#This Row],[gammac]]*Table13[[#This Row],[Volume]]</f>
        <v>0</v>
      </c>
      <c r="BD338">
        <f>((Table13[[#This Row],[High P]]+Table13[[#This Row],[Low P]])/2)*Table13[[#This Row],[gammap]]*Table13[[#This Row],[Volume9]]*-1</f>
        <v>0</v>
      </c>
      <c r="BE338">
        <f>(Table13[[#This Row],[SgammaC]]+Table13[[#This Row],[SgammaP]])*$A$4*-100</f>
        <v>0</v>
      </c>
      <c r="BF338">
        <f>Table13[[#This Row],[DEXc]]+Table13[[#This Row],[DEXp]]</f>
        <v>0</v>
      </c>
      <c r="BG338">
        <f>IFERROR(Table13[[#This Row],[DeltaC]]*Table13[[#This Row],[Open.Int]]*$A$4,0)</f>
        <v>0</v>
      </c>
      <c r="BH338">
        <f>IFERROR(Table13[[#This Row],[DeltaP]]*Table13[[#This Row],[Open.Int8]]*$A$4,0)</f>
        <v>0</v>
      </c>
      <c r="BI33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8">
        <f ca="1">Table13[[#This Row],[charmc]]+Table13[[#This Row],[charmp]]</f>
        <v>0</v>
      </c>
      <c r="BL33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8" s="78">
        <f ca="1">Table13[[#This Row],[call helper]]+Table13[[#This Row],[put helper]]</f>
        <v>0</v>
      </c>
      <c r="BP338" t="str">
        <f>RTD("tos.rtd", , "STRIKE", "."&amp;Table13[[#This Row],[Ticker]]&amp;Table13[[#This Row],[Expiry]]&amp;""&amp;"C"&amp;Table13[[#This Row],[Spot]]+Table13[[#This Row],[step]])</f>
        <v>N/A</v>
      </c>
    </row>
    <row r="339" spans="1:68" x14ac:dyDescent="0.25">
      <c r="A339" s="14">
        <f t="shared" ca="1" si="29"/>
        <v>-126.14810350076104</v>
      </c>
      <c r="C339" s="17"/>
      <c r="D339" t="b">
        <f>IF(
    ISNUMBER(Table13[[#This Row],[Strike]]),RTD("tos.rtd", , "OPEN_INT", "."&amp;Table13[[#This Row],[Ticker]]&amp;Table13[[#This Row],[Expiry]]&amp;""&amp;"C"&amp;Table13[[#This Row],[Strike]]))</f>
        <v>0</v>
      </c>
      <c r="E33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9" t="b">
        <f>IF(     ISNUMBER(Table13[[#This Row],[Strike]]),RTD("tos.rtd", , "DELTA", "."&amp;Table13[[#This Row],[Ticker]]&amp;Table13[[#This Row],[Expiry]]&amp;""&amp;"C"&amp;Table13[[#This Row],[Strike]]))</f>
        <v>0</v>
      </c>
      <c r="H339" s="17" t="b" cm="1">
        <f t="array" ref="H339">IF(
    ISNUMBER(Table13[[#This Row],[Strike]]),IndividualLegIVCore($A$4, Table13[[#This Row],[Strike]], 0.0411, Table13[[#This Row],[T]], ((Table13[[#This Row],[BIDC]]+Table13[[#This Row],[ASKC]])/2), TRUE))</f>
        <v>0</v>
      </c>
      <c r="I339" t="b">
        <f>IF(     ISNUMBER(Table13[[#This Row],[Strike]]),RTD("tos.rtd", , "BID", "."&amp;Table13[[#This Row],[Ticker]]&amp;Table13[[#This Row],[Expiry]]&amp;""&amp;"C"&amp;Table13[[#This Row],[Strike]]))</f>
        <v>0</v>
      </c>
      <c r="J339" t="b">
        <f>IF(     ISNUMBER(Table13[[#This Row],[Strike]]),RTD("tos.rtd", , "ASK", "."&amp;Table13[[#This Row],[Ticker]]&amp;Table13[[#This Row],[Expiry]]&amp;""&amp;"C"&amp;Table13[[#This Row],[Strike]]))</f>
        <v>0</v>
      </c>
      <c r="K33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9" s="17" cm="1">
        <f t="array" aca="1" ref="L33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39" s="1">
        <f t="shared" si="30"/>
        <v>0</v>
      </c>
      <c r="N339" t="b">
        <f t="shared" si="31"/>
        <v>0</v>
      </c>
      <c r="P339" s="17" t="b" cm="1">
        <f t="array" ref="P339">IF(
    ISNUMBER(Table13[[#This Row],[Strike]]),IndividualLegIVCore($A$4, Table13[[#This Row],[Strike]], 0.0411, Table13[[#This Row],[T]], ((Table13[[#This Row],[BIDP]]+Table13[[#This Row],[ASKP]])/2), FALSE))</f>
        <v>0</v>
      </c>
      <c r="Q339" t="b">
        <f>IF(     ISNUMBER(Table13[[#This Row],[Strike]]),RTD("tos.rtd", , "BID", "."&amp;Table13[[#This Row],[Ticker]]&amp;Table13[[#This Row],[Expiry]]&amp;""&amp;"P"&amp;Table13[[#This Row],[Strike]]))</f>
        <v>0</v>
      </c>
      <c r="R339" t="b">
        <f>IF(     ISNUMBER(Table13[[#This Row],[Strike]]),RTD("tos.rtd", , "ASK", "."&amp;Table13[[#This Row],[Ticker]]&amp;Table13[[#This Row],[Expiry]]&amp;""&amp;"P"&amp;Table13[[#This Row],[Strike]]))</f>
        <v>0</v>
      </c>
      <c r="S339" s="17"/>
      <c r="T339" t="b">
        <f>IF(     ISNUMBER(Table13[[#This Row],[Strike]]),RTD("tos.rtd", , "OPEN_INT", "."&amp;Table13[[#This Row],[Ticker]]&amp;Table13[[#This Row],[Expiry]]&amp;""&amp;"P"&amp;Table13[[#This Row],[Strike]]))</f>
        <v>0</v>
      </c>
      <c r="U33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9" t="b">
        <f>IF(     ISNUMBER(Table13[[#This Row],[Strike]]),RTD("tos.rtd", , "DELTA", "."&amp;Table13[[#This Row],[Ticker]]&amp;Table13[[#This Row],[Expiry]]&amp;""&amp;"P"&amp;Table13[[#This Row],[Strike]]))</f>
        <v>0</v>
      </c>
      <c r="Y339" s="19">
        <f>13* IF($M$1="NDX", 10, IF(OR($M$1="SPX", $M$1="RUT"), 2, 1))</f>
        <v>26</v>
      </c>
      <c r="Z339">
        <f ca="1">IFERROR(Table13[[#This Row],[call gamma]]*(Table13[[#This Row],[Open.Int]])*$A$4^2,0)</f>
        <v>0</v>
      </c>
      <c r="AA339">
        <f ca="1">IFERROR(((Table13[[#This Row],[Open.Int8]])*Table13[[#This Row],[Put gamma]])*-1*$A$4^2,0)</f>
        <v>0</v>
      </c>
      <c r="AB339">
        <f ca="1">(Table13[[#This Row],[Call Gex]]+Table13[[#This Row],[Put Gex]])</f>
        <v>0</v>
      </c>
      <c r="AC339">
        <f ca="1">Table13[[#This Row],[put delta adj]]+Table13[[#This Row],[call delta adj]]</f>
        <v>0</v>
      </c>
      <c r="AD339">
        <f ca="1">Table13[[#This Row],[Put Gex]]*Table13[[#This Row],[DeltaP]]*-1</f>
        <v>0</v>
      </c>
      <c r="AE339">
        <f ca="1">Table13[[#This Row],[Call Gex]]*Table13[[#This Row],[DeltaC]]</f>
        <v>0</v>
      </c>
      <c r="AF339">
        <f>IF(Table13[[#This Row],[DeltaC]]-ABS(Table13[[#This Row],[DeltaP]])="0","0.01",Table13[[#This Row],[DeltaC]]-ABS(Table13[[#This Row],[DeltaP]]))</f>
        <v>0</v>
      </c>
      <c r="AG339" t="e">
        <f ca="1">((LN($A$4/Table13[[#This Row],[Strike]]) + (0.411 + 0.5 * Table13[[#This Row],[IV Calc P]]^2) *Table13[[#This Row],[T]])) / (Table13[[#This Row],[IV Calc P]] * SQRT(Table13[[#This Row],[T]]))</f>
        <v>#DIV/0!</v>
      </c>
      <c r="AH339" t="e">
        <f ca="1">(LN($A$4/Table13[[#This Row],[Strike]]) + (0.411-0 + 0.5 * Table13[[#This Row],[IV Calc C]]^2) *Table13[[#This Row],[T]]) / (Table13[[#This Row],[IV Calc C]] * SQRT(Table13[[#This Row],[T]]))</f>
        <v>#DIV/0!</v>
      </c>
      <c r="AI339" t="e">
        <f ca="1">(EXP(-(AG339^2)/2)/SQRT(2*PI())*EXP(0*SQRT(Table13[[#This Row],[T]]))/$A$4*18%*SQRT(SQRT(Table13[[#This Row],[T]])))</f>
        <v>#DIV/0!</v>
      </c>
      <c r="AJ339" t="e">
        <f ca="1">(EXP(-(AH339^2)/2)/SQRT(2*PI())*EXP(0*SQRT(Table13[[#This Row],[T]]))/$A$4*18%*SQRT(SQRT(Table13[[#This Row],[T]])))</f>
        <v>#DIV/0!</v>
      </c>
      <c r="AK339" t="e">
        <f ca="1">Table13[[#This Row],[Call D1]]-Table13[[#This Row],[IV Calc C]]*SQRT(Table13[[#This Row],[T]])</f>
        <v>#DIV/0!</v>
      </c>
      <c r="AL339" t="e">
        <f ca="1">Table13[[#This Row],[Put D1]]-Table13[[#This Row],[IV Calc P]]*SQRT(Table13[[#This Row],[T]])</f>
        <v>#DIV/0!</v>
      </c>
      <c r="AM339" t="e">
        <f ca="1">EXP(-0.5*Table13[[#This Row],[Call D1]]^2)/SQRT(2*PI())</f>
        <v>#DIV/0!</v>
      </c>
      <c r="AN339" t="e">
        <f ca="1">EXP(-0.5*Table13[[#This Row],[Put D1]]^2)/SQRT(2*PI())</f>
        <v>#DIV/0!</v>
      </c>
      <c r="AO339">
        <f ca="1">IFERROR((EXP(0*Table13[[#This Row],[T]])*Table13[[#This Row],[call N(d1)]]*(Table13[[#This Row],[call d2]]/Table13[[#This Row],[IV Calc C]]))*Table13[[#This Row],[Open.Int]]*Table13[[#This Row],[DeltaC]],0)</f>
        <v>0</v>
      </c>
      <c r="AP339">
        <f ca="1">IFERROR((EXP(0*Table13[[#This Row],[T]])*Table13[[#This Row],[put N(d1)]]*(Table13[[#This Row],[put d2]]/Table13[[#This Row],[IV Calc P]]))*Table13[[#This Row],[Open.Int8]]*Table13[[#This Row],[DeltaP]]*-1,0)</f>
        <v>0</v>
      </c>
      <c r="AQ339">
        <f ca="1">((Table13[[#This Row],[call vanna]]+Table13[[#This Row],[put vanna]])*$A$4)</f>
        <v>0</v>
      </c>
      <c r="AR33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9" s="9" t="str" cm="1">
        <f t="array" ref="AT339">_xlfn.IFS(     $M$1="SPX","SPXW",     $M$1="RUT","RUTW",  $M$1="NDX","NDXP",   TRUE,$M$1 )</f>
        <v>SPXW</v>
      </c>
      <c r="AU339" s="2">
        <f t="shared" si="32"/>
        <v>6915</v>
      </c>
      <c r="AV339" t="str">
        <f t="shared" si="33"/>
        <v>000100</v>
      </c>
      <c r="AY33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9">
        <f>((Table13[[#This Row],[High C]]+Table13[[#This Row],[Low C]])/2)*Table13[[#This Row],[gammac]]*Table13[[#This Row],[Volume]]</f>
        <v>0</v>
      </c>
      <c r="BD339">
        <f>((Table13[[#This Row],[High P]]+Table13[[#This Row],[Low P]])/2)*Table13[[#This Row],[gammap]]*Table13[[#This Row],[Volume9]]*-1</f>
        <v>0</v>
      </c>
      <c r="BE339">
        <f>(Table13[[#This Row],[SgammaC]]+Table13[[#This Row],[SgammaP]])*$A$4*-100</f>
        <v>0</v>
      </c>
      <c r="BF339">
        <f>Table13[[#This Row],[DEXc]]+Table13[[#This Row],[DEXp]]</f>
        <v>0</v>
      </c>
      <c r="BG339">
        <f>IFERROR(Table13[[#This Row],[DeltaC]]*Table13[[#This Row],[Open.Int]]*$A$4,0)</f>
        <v>0</v>
      </c>
      <c r="BH339">
        <f>IFERROR(Table13[[#This Row],[DeltaP]]*Table13[[#This Row],[Open.Int8]]*$A$4,0)</f>
        <v>0</v>
      </c>
      <c r="BI33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9">
        <f ca="1">Table13[[#This Row],[charmc]]+Table13[[#This Row],[charmp]]</f>
        <v>0</v>
      </c>
      <c r="BL33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9" s="78">
        <f ca="1">Table13[[#This Row],[call helper]]+Table13[[#This Row],[put helper]]</f>
        <v>0</v>
      </c>
      <c r="BP339" t="str">
        <f>RTD("tos.rtd", , "STRIKE", "."&amp;Table13[[#This Row],[Ticker]]&amp;Table13[[#This Row],[Expiry]]&amp;""&amp;"C"&amp;Table13[[#This Row],[Spot]]+Table13[[#This Row],[step]])</f>
        <v>N/A</v>
      </c>
    </row>
    <row r="340" spans="1:68" x14ac:dyDescent="0.25">
      <c r="A340" s="14">
        <f t="shared" ca="1" si="29"/>
        <v>-126.14810350076104</v>
      </c>
      <c r="C340" s="17"/>
      <c r="D340" t="b">
        <f>IF(
    ISNUMBER(Table13[[#This Row],[Strike]]),RTD("tos.rtd", , "OPEN_INT", "."&amp;Table13[[#This Row],[Ticker]]&amp;Table13[[#This Row],[Expiry]]&amp;""&amp;"C"&amp;Table13[[#This Row],[Strike]]))</f>
        <v>0</v>
      </c>
      <c r="E34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0" t="b">
        <f>IF(     ISNUMBER(Table13[[#This Row],[Strike]]),RTD("tos.rtd", , "DELTA", "."&amp;Table13[[#This Row],[Ticker]]&amp;Table13[[#This Row],[Expiry]]&amp;""&amp;"C"&amp;Table13[[#This Row],[Strike]]))</f>
        <v>0</v>
      </c>
      <c r="H340" s="17" t="b" cm="1">
        <f t="array" ref="H340">IF(
    ISNUMBER(Table13[[#This Row],[Strike]]),IndividualLegIVCore($A$4, Table13[[#This Row],[Strike]], 0.0411, Table13[[#This Row],[T]], ((Table13[[#This Row],[BIDC]]+Table13[[#This Row],[ASKC]])/2), TRUE))</f>
        <v>0</v>
      </c>
      <c r="I340" t="b">
        <f>IF(     ISNUMBER(Table13[[#This Row],[Strike]]),RTD("tos.rtd", , "BID", "."&amp;Table13[[#This Row],[Ticker]]&amp;Table13[[#This Row],[Expiry]]&amp;""&amp;"C"&amp;Table13[[#This Row],[Strike]]))</f>
        <v>0</v>
      </c>
      <c r="J340" t="b">
        <f>IF(     ISNUMBER(Table13[[#This Row],[Strike]]),RTD("tos.rtd", , "ASK", "."&amp;Table13[[#This Row],[Ticker]]&amp;Table13[[#This Row],[Expiry]]&amp;""&amp;"C"&amp;Table13[[#This Row],[Strike]]))</f>
        <v>0</v>
      </c>
      <c r="K34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0" s="17" cm="1">
        <f t="array" aca="1" ref="L34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0" s="1">
        <f t="shared" si="30"/>
        <v>0</v>
      </c>
      <c r="N340" t="b">
        <f t="shared" si="31"/>
        <v>0</v>
      </c>
      <c r="P340" s="17" t="b" cm="1">
        <f t="array" ref="P340">IF(
    ISNUMBER(Table13[[#This Row],[Strike]]),IndividualLegIVCore($A$4, Table13[[#This Row],[Strike]], 0.0411, Table13[[#This Row],[T]], ((Table13[[#This Row],[BIDP]]+Table13[[#This Row],[ASKP]])/2), FALSE))</f>
        <v>0</v>
      </c>
      <c r="Q340" t="b">
        <f>IF(     ISNUMBER(Table13[[#This Row],[Strike]]),RTD("tos.rtd", , "BID", "."&amp;Table13[[#This Row],[Ticker]]&amp;Table13[[#This Row],[Expiry]]&amp;""&amp;"P"&amp;Table13[[#This Row],[Strike]]))</f>
        <v>0</v>
      </c>
      <c r="R340" t="b">
        <f>IF(     ISNUMBER(Table13[[#This Row],[Strike]]),RTD("tos.rtd", , "ASK", "."&amp;Table13[[#This Row],[Ticker]]&amp;Table13[[#This Row],[Expiry]]&amp;""&amp;"P"&amp;Table13[[#This Row],[Strike]]))</f>
        <v>0</v>
      </c>
      <c r="S340" s="17"/>
      <c r="T340" t="b">
        <f>IF(     ISNUMBER(Table13[[#This Row],[Strike]]),RTD("tos.rtd", , "OPEN_INT", "."&amp;Table13[[#This Row],[Ticker]]&amp;Table13[[#This Row],[Expiry]]&amp;""&amp;"P"&amp;Table13[[#This Row],[Strike]]))</f>
        <v>0</v>
      </c>
      <c r="U34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0" t="b">
        <f>IF(     ISNUMBER(Table13[[#This Row],[Strike]]),RTD("tos.rtd", , "DELTA", "."&amp;Table13[[#This Row],[Ticker]]&amp;Table13[[#This Row],[Expiry]]&amp;""&amp;"P"&amp;Table13[[#This Row],[Strike]]))</f>
        <v>0</v>
      </c>
      <c r="Y340" s="19">
        <f>13.5* IF($M$1="NDX", 10, IF(OR($M$1="SPX", $M$1="RUT"), 2, 1))</f>
        <v>27</v>
      </c>
      <c r="Z340">
        <f ca="1">IFERROR(Table13[[#This Row],[call gamma]]*(Table13[[#This Row],[Open.Int]])*$A$4^2,0)</f>
        <v>0</v>
      </c>
      <c r="AA340">
        <f ca="1">IFERROR(((Table13[[#This Row],[Open.Int8]])*Table13[[#This Row],[Put gamma]])*-1*$A$4^2,0)</f>
        <v>0</v>
      </c>
      <c r="AB340">
        <f ca="1">(Table13[[#This Row],[Call Gex]]+Table13[[#This Row],[Put Gex]])</f>
        <v>0</v>
      </c>
      <c r="AC340">
        <f ca="1">Table13[[#This Row],[put delta adj]]+Table13[[#This Row],[call delta adj]]</f>
        <v>0</v>
      </c>
      <c r="AD340">
        <f ca="1">Table13[[#This Row],[Put Gex]]*Table13[[#This Row],[DeltaP]]*-1</f>
        <v>0</v>
      </c>
      <c r="AE340">
        <f ca="1">Table13[[#This Row],[Call Gex]]*Table13[[#This Row],[DeltaC]]</f>
        <v>0</v>
      </c>
      <c r="AF340">
        <f>IF(Table13[[#This Row],[DeltaC]]-ABS(Table13[[#This Row],[DeltaP]])="0","0.01",Table13[[#This Row],[DeltaC]]-ABS(Table13[[#This Row],[DeltaP]]))</f>
        <v>0</v>
      </c>
      <c r="AG340" t="e">
        <f ca="1">((LN($A$4/Table13[[#This Row],[Strike]]) + (0.411 + 0.5 * Table13[[#This Row],[IV Calc P]]^2) *Table13[[#This Row],[T]])) / (Table13[[#This Row],[IV Calc P]] * SQRT(Table13[[#This Row],[T]]))</f>
        <v>#DIV/0!</v>
      </c>
      <c r="AH340" t="e">
        <f ca="1">(LN($A$4/Table13[[#This Row],[Strike]]) + (0.411-0 + 0.5 * Table13[[#This Row],[IV Calc C]]^2) *Table13[[#This Row],[T]]) / (Table13[[#This Row],[IV Calc C]] * SQRT(Table13[[#This Row],[T]]))</f>
        <v>#DIV/0!</v>
      </c>
      <c r="AI340" t="e">
        <f ca="1">(EXP(-(AG340^2)/2)/SQRT(2*PI())*EXP(0*SQRT(Table13[[#This Row],[T]]))/$A$4*18%*SQRT(SQRT(Table13[[#This Row],[T]])))</f>
        <v>#DIV/0!</v>
      </c>
      <c r="AJ340" t="e">
        <f ca="1">(EXP(-(AH340^2)/2)/SQRT(2*PI())*EXP(0*SQRT(Table13[[#This Row],[T]]))/$A$4*18%*SQRT(SQRT(Table13[[#This Row],[T]])))</f>
        <v>#DIV/0!</v>
      </c>
      <c r="AK340" t="e">
        <f ca="1">Table13[[#This Row],[Call D1]]-Table13[[#This Row],[IV Calc C]]*SQRT(Table13[[#This Row],[T]])</f>
        <v>#DIV/0!</v>
      </c>
      <c r="AL340" t="e">
        <f ca="1">Table13[[#This Row],[Put D1]]-Table13[[#This Row],[IV Calc P]]*SQRT(Table13[[#This Row],[T]])</f>
        <v>#DIV/0!</v>
      </c>
      <c r="AM340" t="e">
        <f ca="1">EXP(-0.5*Table13[[#This Row],[Call D1]]^2)/SQRT(2*PI())</f>
        <v>#DIV/0!</v>
      </c>
      <c r="AN340" t="e">
        <f ca="1">EXP(-0.5*Table13[[#This Row],[Put D1]]^2)/SQRT(2*PI())</f>
        <v>#DIV/0!</v>
      </c>
      <c r="AO340">
        <f ca="1">IFERROR((EXP(0*Table13[[#This Row],[T]])*Table13[[#This Row],[call N(d1)]]*(Table13[[#This Row],[call d2]]/Table13[[#This Row],[IV Calc C]]))*Table13[[#This Row],[Open.Int]]*Table13[[#This Row],[DeltaC]],0)</f>
        <v>0</v>
      </c>
      <c r="AP340">
        <f ca="1">IFERROR((EXP(0*Table13[[#This Row],[T]])*Table13[[#This Row],[put N(d1)]]*(Table13[[#This Row],[put d2]]/Table13[[#This Row],[IV Calc P]]))*Table13[[#This Row],[Open.Int8]]*Table13[[#This Row],[DeltaP]]*-1,0)</f>
        <v>0</v>
      </c>
      <c r="AQ340">
        <f ca="1">((Table13[[#This Row],[call vanna]]+Table13[[#This Row],[put vanna]])*$A$4)</f>
        <v>0</v>
      </c>
      <c r="AR34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0" s="9" t="str" cm="1">
        <f t="array" ref="AT340">_xlfn.IFS(     $M$1="SPX","SPXW",     $M$1="RUT","RUTW",  $M$1="NDX","NDXP",   TRUE,$M$1 )</f>
        <v>SPXW</v>
      </c>
      <c r="AU340" s="2">
        <f t="shared" si="32"/>
        <v>6915</v>
      </c>
      <c r="AV340" t="str">
        <f t="shared" si="33"/>
        <v>000100</v>
      </c>
      <c r="AY34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0">
        <f>((Table13[[#This Row],[High C]]+Table13[[#This Row],[Low C]])/2)*Table13[[#This Row],[gammac]]*Table13[[#This Row],[Volume]]</f>
        <v>0</v>
      </c>
      <c r="BD340">
        <f>((Table13[[#This Row],[High P]]+Table13[[#This Row],[Low P]])/2)*Table13[[#This Row],[gammap]]*Table13[[#This Row],[Volume9]]*-1</f>
        <v>0</v>
      </c>
      <c r="BE340">
        <f>(Table13[[#This Row],[SgammaC]]+Table13[[#This Row],[SgammaP]])*$A$4*-100</f>
        <v>0</v>
      </c>
      <c r="BF340">
        <f>Table13[[#This Row],[DEXc]]+Table13[[#This Row],[DEXp]]</f>
        <v>0</v>
      </c>
      <c r="BG340">
        <f>IFERROR(Table13[[#This Row],[DeltaC]]*Table13[[#This Row],[Open.Int]]*$A$4,0)</f>
        <v>0</v>
      </c>
      <c r="BH340">
        <f>IFERROR(Table13[[#This Row],[DeltaP]]*Table13[[#This Row],[Open.Int8]]*$A$4,0)</f>
        <v>0</v>
      </c>
      <c r="BI34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0">
        <f ca="1">Table13[[#This Row],[charmc]]+Table13[[#This Row],[charmp]]</f>
        <v>0</v>
      </c>
      <c r="BL34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0" s="78">
        <f ca="1">Table13[[#This Row],[call helper]]+Table13[[#This Row],[put helper]]</f>
        <v>0</v>
      </c>
      <c r="BP340" t="str">
        <f>RTD("tos.rtd", , "STRIKE", "."&amp;Table13[[#This Row],[Ticker]]&amp;Table13[[#This Row],[Expiry]]&amp;""&amp;"C"&amp;Table13[[#This Row],[Spot]]+Table13[[#This Row],[step]])</f>
        <v>N/A</v>
      </c>
    </row>
    <row r="341" spans="1:68" x14ac:dyDescent="0.25">
      <c r="A341" s="14">
        <f t="shared" ref="A341:A404" ca="1" si="34">$P$3</f>
        <v>-126.14810350076104</v>
      </c>
      <c r="C341" s="17"/>
      <c r="D341" t="b">
        <f>IF(
    ISNUMBER(Table13[[#This Row],[Strike]]),RTD("tos.rtd", , "OPEN_INT", "."&amp;Table13[[#This Row],[Ticker]]&amp;Table13[[#This Row],[Expiry]]&amp;""&amp;"C"&amp;Table13[[#This Row],[Strike]]))</f>
        <v>0</v>
      </c>
      <c r="E34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1" t="b">
        <f>IF(     ISNUMBER(Table13[[#This Row],[Strike]]),RTD("tos.rtd", , "DELTA", "."&amp;Table13[[#This Row],[Ticker]]&amp;Table13[[#This Row],[Expiry]]&amp;""&amp;"C"&amp;Table13[[#This Row],[Strike]]))</f>
        <v>0</v>
      </c>
      <c r="H341" s="17" t="b" cm="1">
        <f t="array" ref="H341">IF(
    ISNUMBER(Table13[[#This Row],[Strike]]),IndividualLegIVCore($A$4, Table13[[#This Row],[Strike]], 0.0411, Table13[[#This Row],[T]], ((Table13[[#This Row],[BIDC]]+Table13[[#This Row],[ASKC]])/2), TRUE))</f>
        <v>0</v>
      </c>
      <c r="I341" t="b">
        <f>IF(     ISNUMBER(Table13[[#This Row],[Strike]]),RTD("tos.rtd", , "BID", "."&amp;Table13[[#This Row],[Ticker]]&amp;Table13[[#This Row],[Expiry]]&amp;""&amp;"C"&amp;Table13[[#This Row],[Strike]]))</f>
        <v>0</v>
      </c>
      <c r="J341" t="b">
        <f>IF(     ISNUMBER(Table13[[#This Row],[Strike]]),RTD("tos.rtd", , "ASK", "."&amp;Table13[[#This Row],[Ticker]]&amp;Table13[[#This Row],[Expiry]]&amp;""&amp;"C"&amp;Table13[[#This Row],[Strike]]))</f>
        <v>0</v>
      </c>
      <c r="K34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1" s="17" cm="1">
        <f t="array" aca="1" ref="L34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1" s="1">
        <f t="shared" ref="M341:M404" si="35">$P$1</f>
        <v>0</v>
      </c>
      <c r="N341" t="b">
        <f t="shared" ref="N341:N404" si="36">IF(ISNUMBER($BP341), $BP341, FALSE)</f>
        <v>0</v>
      </c>
      <c r="P341" s="17" t="b" cm="1">
        <f t="array" ref="P341">IF(
    ISNUMBER(Table13[[#This Row],[Strike]]),IndividualLegIVCore($A$4, Table13[[#This Row],[Strike]], 0.0411, Table13[[#This Row],[T]], ((Table13[[#This Row],[BIDP]]+Table13[[#This Row],[ASKP]])/2), FALSE))</f>
        <v>0</v>
      </c>
      <c r="Q341" t="b">
        <f>IF(     ISNUMBER(Table13[[#This Row],[Strike]]),RTD("tos.rtd", , "BID", "."&amp;Table13[[#This Row],[Ticker]]&amp;Table13[[#This Row],[Expiry]]&amp;""&amp;"P"&amp;Table13[[#This Row],[Strike]]))</f>
        <v>0</v>
      </c>
      <c r="R341" t="b">
        <f>IF(     ISNUMBER(Table13[[#This Row],[Strike]]),RTD("tos.rtd", , "ASK", "."&amp;Table13[[#This Row],[Ticker]]&amp;Table13[[#This Row],[Expiry]]&amp;""&amp;"P"&amp;Table13[[#This Row],[Strike]]))</f>
        <v>0</v>
      </c>
      <c r="S341" s="17"/>
      <c r="T341" t="b">
        <f>IF(     ISNUMBER(Table13[[#This Row],[Strike]]),RTD("tos.rtd", , "OPEN_INT", "."&amp;Table13[[#This Row],[Ticker]]&amp;Table13[[#This Row],[Expiry]]&amp;""&amp;"P"&amp;Table13[[#This Row],[Strike]]))</f>
        <v>0</v>
      </c>
      <c r="U34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1" t="b">
        <f>IF(     ISNUMBER(Table13[[#This Row],[Strike]]),RTD("tos.rtd", , "DELTA", "."&amp;Table13[[#This Row],[Ticker]]&amp;Table13[[#This Row],[Expiry]]&amp;""&amp;"P"&amp;Table13[[#This Row],[Strike]]))</f>
        <v>0</v>
      </c>
      <c r="Y341" s="19">
        <f>14* IF($M$1="NDX", 10, IF(OR($M$1="SPX", $M$1="RUT"), 2, 1))</f>
        <v>28</v>
      </c>
      <c r="Z341">
        <f ca="1">IFERROR(Table13[[#This Row],[call gamma]]*(Table13[[#This Row],[Open.Int]])*$A$4^2,0)</f>
        <v>0</v>
      </c>
      <c r="AA341">
        <f ca="1">IFERROR(((Table13[[#This Row],[Open.Int8]])*Table13[[#This Row],[Put gamma]])*-1*$A$4^2,0)</f>
        <v>0</v>
      </c>
      <c r="AB341">
        <f ca="1">(Table13[[#This Row],[Call Gex]]+Table13[[#This Row],[Put Gex]])</f>
        <v>0</v>
      </c>
      <c r="AC341">
        <f ca="1">Table13[[#This Row],[put delta adj]]+Table13[[#This Row],[call delta adj]]</f>
        <v>0</v>
      </c>
      <c r="AD341">
        <f ca="1">Table13[[#This Row],[Put Gex]]*Table13[[#This Row],[DeltaP]]*-1</f>
        <v>0</v>
      </c>
      <c r="AE341">
        <f ca="1">Table13[[#This Row],[Call Gex]]*Table13[[#This Row],[DeltaC]]</f>
        <v>0</v>
      </c>
      <c r="AF341">
        <f>IF(Table13[[#This Row],[DeltaC]]-ABS(Table13[[#This Row],[DeltaP]])="0","0.01",Table13[[#This Row],[DeltaC]]-ABS(Table13[[#This Row],[DeltaP]]))</f>
        <v>0</v>
      </c>
      <c r="AG341" t="e">
        <f ca="1">((LN($A$4/Table13[[#This Row],[Strike]]) + (0.411 + 0.5 * Table13[[#This Row],[IV Calc P]]^2) *Table13[[#This Row],[T]])) / (Table13[[#This Row],[IV Calc P]] * SQRT(Table13[[#This Row],[T]]))</f>
        <v>#DIV/0!</v>
      </c>
      <c r="AH341" t="e">
        <f ca="1">(LN($A$4/Table13[[#This Row],[Strike]]) + (0.411-0 + 0.5 * Table13[[#This Row],[IV Calc C]]^2) *Table13[[#This Row],[T]]) / (Table13[[#This Row],[IV Calc C]] * SQRT(Table13[[#This Row],[T]]))</f>
        <v>#DIV/0!</v>
      </c>
      <c r="AI341" t="e">
        <f ca="1">(EXP(-(AG341^2)/2)/SQRT(2*PI())*EXP(0*SQRT(Table13[[#This Row],[T]]))/$A$4*18%*SQRT(SQRT(Table13[[#This Row],[T]])))</f>
        <v>#DIV/0!</v>
      </c>
      <c r="AJ341" t="e">
        <f ca="1">(EXP(-(AH341^2)/2)/SQRT(2*PI())*EXP(0*SQRT(Table13[[#This Row],[T]]))/$A$4*18%*SQRT(SQRT(Table13[[#This Row],[T]])))</f>
        <v>#DIV/0!</v>
      </c>
      <c r="AK341" t="e">
        <f ca="1">Table13[[#This Row],[Call D1]]-Table13[[#This Row],[IV Calc C]]*SQRT(Table13[[#This Row],[T]])</f>
        <v>#DIV/0!</v>
      </c>
      <c r="AL341" t="e">
        <f ca="1">Table13[[#This Row],[Put D1]]-Table13[[#This Row],[IV Calc P]]*SQRT(Table13[[#This Row],[T]])</f>
        <v>#DIV/0!</v>
      </c>
      <c r="AM341" t="e">
        <f ca="1">EXP(-0.5*Table13[[#This Row],[Call D1]]^2)/SQRT(2*PI())</f>
        <v>#DIV/0!</v>
      </c>
      <c r="AN341" t="e">
        <f ca="1">EXP(-0.5*Table13[[#This Row],[Put D1]]^2)/SQRT(2*PI())</f>
        <v>#DIV/0!</v>
      </c>
      <c r="AO341">
        <f ca="1">IFERROR((EXP(0*Table13[[#This Row],[T]])*Table13[[#This Row],[call N(d1)]]*(Table13[[#This Row],[call d2]]/Table13[[#This Row],[IV Calc C]]))*Table13[[#This Row],[Open.Int]]*Table13[[#This Row],[DeltaC]],0)</f>
        <v>0</v>
      </c>
      <c r="AP341">
        <f ca="1">IFERROR((EXP(0*Table13[[#This Row],[T]])*Table13[[#This Row],[put N(d1)]]*(Table13[[#This Row],[put d2]]/Table13[[#This Row],[IV Calc P]]))*Table13[[#This Row],[Open.Int8]]*Table13[[#This Row],[DeltaP]]*-1,0)</f>
        <v>0</v>
      </c>
      <c r="AQ341">
        <f ca="1">((Table13[[#This Row],[call vanna]]+Table13[[#This Row],[put vanna]])*$A$4)</f>
        <v>0</v>
      </c>
      <c r="AR34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1" s="9" t="str" cm="1">
        <f t="array" ref="AT341">_xlfn.IFS(     $M$1="SPX","SPXW",     $M$1="RUT","RUTW",  $M$1="NDX","NDXP",   TRUE,$M$1 )</f>
        <v>SPXW</v>
      </c>
      <c r="AU341" s="2">
        <f t="shared" ref="AU341:AU404" si="37">$N$1</f>
        <v>6915</v>
      </c>
      <c r="AV341" t="str">
        <f t="shared" ref="AV341:AV404" si="38">$P$2</f>
        <v>000100</v>
      </c>
      <c r="AY34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1">
        <f>((Table13[[#This Row],[High C]]+Table13[[#This Row],[Low C]])/2)*Table13[[#This Row],[gammac]]*Table13[[#This Row],[Volume]]</f>
        <v>0</v>
      </c>
      <c r="BD341">
        <f>((Table13[[#This Row],[High P]]+Table13[[#This Row],[Low P]])/2)*Table13[[#This Row],[gammap]]*Table13[[#This Row],[Volume9]]*-1</f>
        <v>0</v>
      </c>
      <c r="BE341">
        <f>(Table13[[#This Row],[SgammaC]]+Table13[[#This Row],[SgammaP]])*$A$4*-100</f>
        <v>0</v>
      </c>
      <c r="BF341">
        <f>Table13[[#This Row],[DEXc]]+Table13[[#This Row],[DEXp]]</f>
        <v>0</v>
      </c>
      <c r="BG341">
        <f>IFERROR(Table13[[#This Row],[DeltaC]]*Table13[[#This Row],[Open.Int]]*$A$4,0)</f>
        <v>0</v>
      </c>
      <c r="BH341">
        <f>IFERROR(Table13[[#This Row],[DeltaP]]*Table13[[#This Row],[Open.Int8]]*$A$4,0)</f>
        <v>0</v>
      </c>
      <c r="BI34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1">
        <f ca="1">Table13[[#This Row],[charmc]]+Table13[[#This Row],[charmp]]</f>
        <v>0</v>
      </c>
      <c r="BL34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1" s="78">
        <f ca="1">Table13[[#This Row],[call helper]]+Table13[[#This Row],[put helper]]</f>
        <v>0</v>
      </c>
      <c r="BP341" t="str">
        <f>RTD("tos.rtd", , "STRIKE", "."&amp;Table13[[#This Row],[Ticker]]&amp;Table13[[#This Row],[Expiry]]&amp;""&amp;"C"&amp;Table13[[#This Row],[Spot]]+Table13[[#This Row],[step]])</f>
        <v>N/A</v>
      </c>
    </row>
    <row r="342" spans="1:68" x14ac:dyDescent="0.25">
      <c r="A342" s="14">
        <f t="shared" ca="1" si="34"/>
        <v>-126.14810350076104</v>
      </c>
      <c r="C342" s="17"/>
      <c r="D342" t="b">
        <f>IF(
    ISNUMBER(Table13[[#This Row],[Strike]]),RTD("tos.rtd", , "OPEN_INT", "."&amp;Table13[[#This Row],[Ticker]]&amp;Table13[[#This Row],[Expiry]]&amp;""&amp;"C"&amp;Table13[[#This Row],[Strike]]))</f>
        <v>0</v>
      </c>
      <c r="E34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2" t="b">
        <f>IF(     ISNUMBER(Table13[[#This Row],[Strike]]),RTD("tos.rtd", , "DELTA", "."&amp;Table13[[#This Row],[Ticker]]&amp;Table13[[#This Row],[Expiry]]&amp;""&amp;"C"&amp;Table13[[#This Row],[Strike]]))</f>
        <v>0</v>
      </c>
      <c r="H342" s="17" t="b" cm="1">
        <f t="array" ref="H342">IF(
    ISNUMBER(Table13[[#This Row],[Strike]]),IndividualLegIVCore($A$4, Table13[[#This Row],[Strike]], 0.0411, Table13[[#This Row],[T]], ((Table13[[#This Row],[BIDC]]+Table13[[#This Row],[ASKC]])/2), TRUE))</f>
        <v>0</v>
      </c>
      <c r="I342" t="b">
        <f>IF(     ISNUMBER(Table13[[#This Row],[Strike]]),RTD("tos.rtd", , "BID", "."&amp;Table13[[#This Row],[Ticker]]&amp;Table13[[#This Row],[Expiry]]&amp;""&amp;"C"&amp;Table13[[#This Row],[Strike]]))</f>
        <v>0</v>
      </c>
      <c r="J342" t="b">
        <f>IF(     ISNUMBER(Table13[[#This Row],[Strike]]),RTD("tos.rtd", , "ASK", "."&amp;Table13[[#This Row],[Ticker]]&amp;Table13[[#This Row],[Expiry]]&amp;""&amp;"C"&amp;Table13[[#This Row],[Strike]]))</f>
        <v>0</v>
      </c>
      <c r="K34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2" s="17" cm="1">
        <f t="array" aca="1" ref="L34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2" s="1">
        <f t="shared" si="35"/>
        <v>0</v>
      </c>
      <c r="N342" t="b">
        <f t="shared" si="36"/>
        <v>0</v>
      </c>
      <c r="P342" s="17" t="b" cm="1">
        <f t="array" ref="P342">IF(
    ISNUMBER(Table13[[#This Row],[Strike]]),IndividualLegIVCore($A$4, Table13[[#This Row],[Strike]], 0.0411, Table13[[#This Row],[T]], ((Table13[[#This Row],[BIDP]]+Table13[[#This Row],[ASKP]])/2), FALSE))</f>
        <v>0</v>
      </c>
      <c r="Q342" t="b">
        <f>IF(     ISNUMBER(Table13[[#This Row],[Strike]]),RTD("tos.rtd", , "BID", "."&amp;Table13[[#This Row],[Ticker]]&amp;Table13[[#This Row],[Expiry]]&amp;""&amp;"P"&amp;Table13[[#This Row],[Strike]]))</f>
        <v>0</v>
      </c>
      <c r="R342" t="b">
        <f>IF(     ISNUMBER(Table13[[#This Row],[Strike]]),RTD("tos.rtd", , "ASK", "."&amp;Table13[[#This Row],[Ticker]]&amp;Table13[[#This Row],[Expiry]]&amp;""&amp;"P"&amp;Table13[[#This Row],[Strike]]))</f>
        <v>0</v>
      </c>
      <c r="S342" s="17"/>
      <c r="T342" t="b">
        <f>IF(     ISNUMBER(Table13[[#This Row],[Strike]]),RTD("tos.rtd", , "OPEN_INT", "."&amp;Table13[[#This Row],[Ticker]]&amp;Table13[[#This Row],[Expiry]]&amp;""&amp;"P"&amp;Table13[[#This Row],[Strike]]))</f>
        <v>0</v>
      </c>
      <c r="U34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2" t="b">
        <f>IF(     ISNUMBER(Table13[[#This Row],[Strike]]),RTD("tos.rtd", , "DELTA", "."&amp;Table13[[#This Row],[Ticker]]&amp;Table13[[#This Row],[Expiry]]&amp;""&amp;"P"&amp;Table13[[#This Row],[Strike]]))</f>
        <v>0</v>
      </c>
      <c r="Y342" s="19">
        <f>14.5* IF($M$1="NDX", 10, IF(OR($M$1="SPX", $M$1="RUT"), 2, 1))</f>
        <v>29</v>
      </c>
      <c r="Z342">
        <f ca="1">IFERROR(Table13[[#This Row],[call gamma]]*(Table13[[#This Row],[Open.Int]])*$A$4^2,0)</f>
        <v>0</v>
      </c>
      <c r="AA342">
        <f ca="1">IFERROR(((Table13[[#This Row],[Open.Int8]])*Table13[[#This Row],[Put gamma]])*-1*$A$4^2,0)</f>
        <v>0</v>
      </c>
      <c r="AB342">
        <f ca="1">(Table13[[#This Row],[Call Gex]]+Table13[[#This Row],[Put Gex]])</f>
        <v>0</v>
      </c>
      <c r="AC342">
        <f ca="1">Table13[[#This Row],[put delta adj]]+Table13[[#This Row],[call delta adj]]</f>
        <v>0</v>
      </c>
      <c r="AD342">
        <f ca="1">Table13[[#This Row],[Put Gex]]*Table13[[#This Row],[DeltaP]]*-1</f>
        <v>0</v>
      </c>
      <c r="AE342">
        <f ca="1">Table13[[#This Row],[Call Gex]]*Table13[[#This Row],[DeltaC]]</f>
        <v>0</v>
      </c>
      <c r="AF342">
        <f>IF(Table13[[#This Row],[DeltaC]]-ABS(Table13[[#This Row],[DeltaP]])="0","0.01",Table13[[#This Row],[DeltaC]]-ABS(Table13[[#This Row],[DeltaP]]))</f>
        <v>0</v>
      </c>
      <c r="AG342" t="e">
        <f ca="1">((LN($A$4/Table13[[#This Row],[Strike]]) + (0.411 + 0.5 * Table13[[#This Row],[IV Calc P]]^2) *Table13[[#This Row],[T]])) / (Table13[[#This Row],[IV Calc P]] * SQRT(Table13[[#This Row],[T]]))</f>
        <v>#DIV/0!</v>
      </c>
      <c r="AH342" t="e">
        <f ca="1">(LN($A$4/Table13[[#This Row],[Strike]]) + (0.411-0 + 0.5 * Table13[[#This Row],[IV Calc C]]^2) *Table13[[#This Row],[T]]) / (Table13[[#This Row],[IV Calc C]] * SQRT(Table13[[#This Row],[T]]))</f>
        <v>#DIV/0!</v>
      </c>
      <c r="AI342" t="e">
        <f ca="1">(EXP(-(AG342^2)/2)/SQRT(2*PI())*EXP(0*SQRT(Table13[[#This Row],[T]]))/$A$4*18%*SQRT(SQRT(Table13[[#This Row],[T]])))</f>
        <v>#DIV/0!</v>
      </c>
      <c r="AJ342" t="e">
        <f ca="1">(EXP(-(AH342^2)/2)/SQRT(2*PI())*EXP(0*SQRT(Table13[[#This Row],[T]]))/$A$4*18%*SQRT(SQRT(Table13[[#This Row],[T]])))</f>
        <v>#DIV/0!</v>
      </c>
      <c r="AK342" t="e">
        <f ca="1">Table13[[#This Row],[Call D1]]-Table13[[#This Row],[IV Calc C]]*SQRT(Table13[[#This Row],[T]])</f>
        <v>#DIV/0!</v>
      </c>
      <c r="AL342" t="e">
        <f ca="1">Table13[[#This Row],[Put D1]]-Table13[[#This Row],[IV Calc P]]*SQRT(Table13[[#This Row],[T]])</f>
        <v>#DIV/0!</v>
      </c>
      <c r="AM342" t="e">
        <f ca="1">EXP(-0.5*Table13[[#This Row],[Call D1]]^2)/SQRT(2*PI())</f>
        <v>#DIV/0!</v>
      </c>
      <c r="AN342" t="e">
        <f ca="1">EXP(-0.5*Table13[[#This Row],[Put D1]]^2)/SQRT(2*PI())</f>
        <v>#DIV/0!</v>
      </c>
      <c r="AO342">
        <f ca="1">IFERROR((EXP(0*Table13[[#This Row],[T]])*Table13[[#This Row],[call N(d1)]]*(Table13[[#This Row],[call d2]]/Table13[[#This Row],[IV Calc C]]))*Table13[[#This Row],[Open.Int]]*Table13[[#This Row],[DeltaC]],0)</f>
        <v>0</v>
      </c>
      <c r="AP342">
        <f ca="1">IFERROR((EXP(0*Table13[[#This Row],[T]])*Table13[[#This Row],[put N(d1)]]*(Table13[[#This Row],[put d2]]/Table13[[#This Row],[IV Calc P]]))*Table13[[#This Row],[Open.Int8]]*Table13[[#This Row],[DeltaP]]*-1,0)</f>
        <v>0</v>
      </c>
      <c r="AQ342">
        <f ca="1">((Table13[[#This Row],[call vanna]]+Table13[[#This Row],[put vanna]])*$A$4)</f>
        <v>0</v>
      </c>
      <c r="AR34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2" s="9" t="str" cm="1">
        <f t="array" ref="AT342">_xlfn.IFS(     $M$1="SPX","SPXW",     $M$1="RUT","RUTW",  $M$1="NDX","NDXP",   TRUE,$M$1 )</f>
        <v>SPXW</v>
      </c>
      <c r="AU342" s="2">
        <f t="shared" si="37"/>
        <v>6915</v>
      </c>
      <c r="AV342" t="str">
        <f t="shared" si="38"/>
        <v>000100</v>
      </c>
      <c r="AY34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2">
        <f>((Table13[[#This Row],[High C]]+Table13[[#This Row],[Low C]])/2)*Table13[[#This Row],[gammac]]*Table13[[#This Row],[Volume]]</f>
        <v>0</v>
      </c>
      <c r="BD342">
        <f>((Table13[[#This Row],[High P]]+Table13[[#This Row],[Low P]])/2)*Table13[[#This Row],[gammap]]*Table13[[#This Row],[Volume9]]*-1</f>
        <v>0</v>
      </c>
      <c r="BE342">
        <f>(Table13[[#This Row],[SgammaC]]+Table13[[#This Row],[SgammaP]])*$A$4*-100</f>
        <v>0</v>
      </c>
      <c r="BF342">
        <f>Table13[[#This Row],[DEXc]]+Table13[[#This Row],[DEXp]]</f>
        <v>0</v>
      </c>
      <c r="BG342">
        <f>IFERROR(Table13[[#This Row],[DeltaC]]*Table13[[#This Row],[Open.Int]]*$A$4,0)</f>
        <v>0</v>
      </c>
      <c r="BH342">
        <f>IFERROR(Table13[[#This Row],[DeltaP]]*Table13[[#This Row],[Open.Int8]]*$A$4,0)</f>
        <v>0</v>
      </c>
      <c r="BI34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2">
        <f ca="1">Table13[[#This Row],[charmc]]+Table13[[#This Row],[charmp]]</f>
        <v>0</v>
      </c>
      <c r="BL34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2" s="78">
        <f ca="1">Table13[[#This Row],[call helper]]+Table13[[#This Row],[put helper]]</f>
        <v>0</v>
      </c>
      <c r="BP342" t="str">
        <f>RTD("tos.rtd", , "STRIKE", "."&amp;Table13[[#This Row],[Ticker]]&amp;Table13[[#This Row],[Expiry]]&amp;""&amp;"C"&amp;Table13[[#This Row],[Spot]]+Table13[[#This Row],[step]])</f>
        <v>N/A</v>
      </c>
    </row>
    <row r="343" spans="1:68" x14ac:dyDescent="0.25">
      <c r="A343" s="14">
        <f t="shared" ca="1" si="34"/>
        <v>-126.14810350076104</v>
      </c>
      <c r="C343" s="17"/>
      <c r="D343" t="b">
        <f>IF(
    ISNUMBER(Table13[[#This Row],[Strike]]),RTD("tos.rtd", , "OPEN_INT", "."&amp;Table13[[#This Row],[Ticker]]&amp;Table13[[#This Row],[Expiry]]&amp;""&amp;"C"&amp;Table13[[#This Row],[Strike]]))</f>
        <v>0</v>
      </c>
      <c r="E34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3" t="b">
        <f>IF(     ISNUMBER(Table13[[#This Row],[Strike]]),RTD("tos.rtd", , "DELTA", "."&amp;Table13[[#This Row],[Ticker]]&amp;Table13[[#This Row],[Expiry]]&amp;""&amp;"C"&amp;Table13[[#This Row],[Strike]]))</f>
        <v>0</v>
      </c>
      <c r="H343" s="17" t="b" cm="1">
        <f t="array" ref="H343">IF(
    ISNUMBER(Table13[[#This Row],[Strike]]),IndividualLegIVCore($A$4, Table13[[#This Row],[Strike]], 0.0411, Table13[[#This Row],[T]], ((Table13[[#This Row],[BIDC]]+Table13[[#This Row],[ASKC]])/2), TRUE))</f>
        <v>0</v>
      </c>
      <c r="I343" t="b">
        <f>IF(     ISNUMBER(Table13[[#This Row],[Strike]]),RTD("tos.rtd", , "BID", "."&amp;Table13[[#This Row],[Ticker]]&amp;Table13[[#This Row],[Expiry]]&amp;""&amp;"C"&amp;Table13[[#This Row],[Strike]]))</f>
        <v>0</v>
      </c>
      <c r="J343" t="b">
        <f>IF(     ISNUMBER(Table13[[#This Row],[Strike]]),RTD("tos.rtd", , "ASK", "."&amp;Table13[[#This Row],[Ticker]]&amp;Table13[[#This Row],[Expiry]]&amp;""&amp;"C"&amp;Table13[[#This Row],[Strike]]))</f>
        <v>0</v>
      </c>
      <c r="K34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3" s="17" cm="1">
        <f t="array" aca="1" ref="L34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3" s="1">
        <f t="shared" si="35"/>
        <v>0</v>
      </c>
      <c r="N343" t="b">
        <f t="shared" si="36"/>
        <v>0</v>
      </c>
      <c r="P343" s="17" t="b" cm="1">
        <f t="array" ref="P343">IF(
    ISNUMBER(Table13[[#This Row],[Strike]]),IndividualLegIVCore($A$4, Table13[[#This Row],[Strike]], 0.0411, Table13[[#This Row],[T]], ((Table13[[#This Row],[BIDP]]+Table13[[#This Row],[ASKP]])/2), FALSE))</f>
        <v>0</v>
      </c>
      <c r="Q343" t="b">
        <f>IF(     ISNUMBER(Table13[[#This Row],[Strike]]),RTD("tos.rtd", , "BID", "."&amp;Table13[[#This Row],[Ticker]]&amp;Table13[[#This Row],[Expiry]]&amp;""&amp;"P"&amp;Table13[[#This Row],[Strike]]))</f>
        <v>0</v>
      </c>
      <c r="R343" t="b">
        <f>IF(     ISNUMBER(Table13[[#This Row],[Strike]]),RTD("tos.rtd", , "ASK", "."&amp;Table13[[#This Row],[Ticker]]&amp;Table13[[#This Row],[Expiry]]&amp;""&amp;"P"&amp;Table13[[#This Row],[Strike]]))</f>
        <v>0</v>
      </c>
      <c r="S343" s="17"/>
      <c r="T343" t="b">
        <f>IF(     ISNUMBER(Table13[[#This Row],[Strike]]),RTD("tos.rtd", , "OPEN_INT", "."&amp;Table13[[#This Row],[Ticker]]&amp;Table13[[#This Row],[Expiry]]&amp;""&amp;"P"&amp;Table13[[#This Row],[Strike]]))</f>
        <v>0</v>
      </c>
      <c r="U34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3" t="b">
        <f>IF(     ISNUMBER(Table13[[#This Row],[Strike]]),RTD("tos.rtd", , "DELTA", "."&amp;Table13[[#This Row],[Ticker]]&amp;Table13[[#This Row],[Expiry]]&amp;""&amp;"P"&amp;Table13[[#This Row],[Strike]]))</f>
        <v>0</v>
      </c>
      <c r="Y343" s="19">
        <f>15* IF($M$1="NDX", 10, IF(OR($M$1="SPX", $M$1="RUT"), 2, 1))</f>
        <v>30</v>
      </c>
      <c r="Z343">
        <f ca="1">IFERROR(Table13[[#This Row],[call gamma]]*(Table13[[#This Row],[Open.Int]])*$A$4^2,0)</f>
        <v>0</v>
      </c>
      <c r="AA343">
        <f ca="1">IFERROR(((Table13[[#This Row],[Open.Int8]])*Table13[[#This Row],[Put gamma]])*-1*$A$4^2,0)</f>
        <v>0</v>
      </c>
      <c r="AB343">
        <f ca="1">(Table13[[#This Row],[Call Gex]]+Table13[[#This Row],[Put Gex]])</f>
        <v>0</v>
      </c>
      <c r="AC343">
        <f ca="1">Table13[[#This Row],[put delta adj]]+Table13[[#This Row],[call delta adj]]</f>
        <v>0</v>
      </c>
      <c r="AD343">
        <f ca="1">Table13[[#This Row],[Put Gex]]*Table13[[#This Row],[DeltaP]]*-1</f>
        <v>0</v>
      </c>
      <c r="AE343">
        <f ca="1">Table13[[#This Row],[Call Gex]]*Table13[[#This Row],[DeltaC]]</f>
        <v>0</v>
      </c>
      <c r="AF343">
        <f>IF(Table13[[#This Row],[DeltaC]]-ABS(Table13[[#This Row],[DeltaP]])="0","0.01",Table13[[#This Row],[DeltaC]]-ABS(Table13[[#This Row],[DeltaP]]))</f>
        <v>0</v>
      </c>
      <c r="AG343" t="e">
        <f ca="1">((LN($A$4/Table13[[#This Row],[Strike]]) + (0.411 + 0.5 * Table13[[#This Row],[IV Calc P]]^2) *Table13[[#This Row],[T]])) / (Table13[[#This Row],[IV Calc P]] * SQRT(Table13[[#This Row],[T]]))</f>
        <v>#DIV/0!</v>
      </c>
      <c r="AH343" t="e">
        <f ca="1">(LN($A$4/Table13[[#This Row],[Strike]]) + (0.411-0 + 0.5 * Table13[[#This Row],[IV Calc C]]^2) *Table13[[#This Row],[T]]) / (Table13[[#This Row],[IV Calc C]] * SQRT(Table13[[#This Row],[T]]))</f>
        <v>#DIV/0!</v>
      </c>
      <c r="AI343" t="e">
        <f ca="1">(EXP(-(AG343^2)/2)/SQRT(2*PI())*EXP(0*SQRT(Table13[[#This Row],[T]]))/$A$4*18%*SQRT(SQRT(Table13[[#This Row],[T]])))</f>
        <v>#DIV/0!</v>
      </c>
      <c r="AJ343" t="e">
        <f ca="1">(EXP(-(AH343^2)/2)/SQRT(2*PI())*EXP(0*SQRT(Table13[[#This Row],[T]]))/$A$4*18%*SQRT(SQRT(Table13[[#This Row],[T]])))</f>
        <v>#DIV/0!</v>
      </c>
      <c r="AK343" t="e">
        <f ca="1">Table13[[#This Row],[Call D1]]-Table13[[#This Row],[IV Calc C]]*SQRT(Table13[[#This Row],[T]])</f>
        <v>#DIV/0!</v>
      </c>
      <c r="AL343" t="e">
        <f ca="1">Table13[[#This Row],[Put D1]]-Table13[[#This Row],[IV Calc P]]*SQRT(Table13[[#This Row],[T]])</f>
        <v>#DIV/0!</v>
      </c>
      <c r="AM343" t="e">
        <f ca="1">EXP(-0.5*Table13[[#This Row],[Call D1]]^2)/SQRT(2*PI())</f>
        <v>#DIV/0!</v>
      </c>
      <c r="AN343" t="e">
        <f ca="1">EXP(-0.5*Table13[[#This Row],[Put D1]]^2)/SQRT(2*PI())</f>
        <v>#DIV/0!</v>
      </c>
      <c r="AO343">
        <f ca="1">IFERROR((EXP(0*Table13[[#This Row],[T]])*Table13[[#This Row],[call N(d1)]]*(Table13[[#This Row],[call d2]]/Table13[[#This Row],[IV Calc C]]))*Table13[[#This Row],[Open.Int]]*Table13[[#This Row],[DeltaC]],0)</f>
        <v>0</v>
      </c>
      <c r="AP343">
        <f ca="1">IFERROR((EXP(0*Table13[[#This Row],[T]])*Table13[[#This Row],[put N(d1)]]*(Table13[[#This Row],[put d2]]/Table13[[#This Row],[IV Calc P]]))*Table13[[#This Row],[Open.Int8]]*Table13[[#This Row],[DeltaP]]*-1,0)</f>
        <v>0</v>
      </c>
      <c r="AQ343">
        <f ca="1">((Table13[[#This Row],[call vanna]]+Table13[[#This Row],[put vanna]])*$A$4)</f>
        <v>0</v>
      </c>
      <c r="AR34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3" s="9" t="str" cm="1">
        <f t="array" ref="AT343">_xlfn.IFS(     $M$1="SPX","SPXW",     $M$1="RUT","RUTW",  $M$1="NDX","NDXP",   TRUE,$M$1 )</f>
        <v>SPXW</v>
      </c>
      <c r="AU343" s="2">
        <f t="shared" si="37"/>
        <v>6915</v>
      </c>
      <c r="AV343" t="str">
        <f t="shared" si="38"/>
        <v>000100</v>
      </c>
      <c r="AY34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3">
        <f>((Table13[[#This Row],[High C]]+Table13[[#This Row],[Low C]])/2)*Table13[[#This Row],[gammac]]*Table13[[#This Row],[Volume]]</f>
        <v>0</v>
      </c>
      <c r="BD343">
        <f>((Table13[[#This Row],[High P]]+Table13[[#This Row],[Low P]])/2)*Table13[[#This Row],[gammap]]*Table13[[#This Row],[Volume9]]*-1</f>
        <v>0</v>
      </c>
      <c r="BE343">
        <f>(Table13[[#This Row],[SgammaC]]+Table13[[#This Row],[SgammaP]])*$A$4*-100</f>
        <v>0</v>
      </c>
      <c r="BF343">
        <f>Table13[[#This Row],[DEXc]]+Table13[[#This Row],[DEXp]]</f>
        <v>0</v>
      </c>
      <c r="BG343">
        <f>IFERROR(Table13[[#This Row],[DeltaC]]*Table13[[#This Row],[Open.Int]]*$A$4,0)</f>
        <v>0</v>
      </c>
      <c r="BH343">
        <f>IFERROR(Table13[[#This Row],[DeltaP]]*Table13[[#This Row],[Open.Int8]]*$A$4,0)</f>
        <v>0</v>
      </c>
      <c r="BI34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3">
        <f ca="1">Table13[[#This Row],[charmc]]+Table13[[#This Row],[charmp]]</f>
        <v>0</v>
      </c>
      <c r="BL34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3" s="78">
        <f ca="1">Table13[[#This Row],[call helper]]+Table13[[#This Row],[put helper]]</f>
        <v>0</v>
      </c>
      <c r="BP343" t="str">
        <f>RTD("tos.rtd", , "STRIKE", "."&amp;Table13[[#This Row],[Ticker]]&amp;Table13[[#This Row],[Expiry]]&amp;""&amp;"C"&amp;Table13[[#This Row],[Spot]]+Table13[[#This Row],[step]])</f>
        <v>N/A</v>
      </c>
    </row>
    <row r="344" spans="1:68" x14ac:dyDescent="0.25">
      <c r="A344" s="14">
        <f t="shared" ca="1" si="34"/>
        <v>-126.14810350076104</v>
      </c>
      <c r="C344" s="17"/>
      <c r="D344" t="b">
        <f>IF(
    ISNUMBER(Table13[[#This Row],[Strike]]),RTD("tos.rtd", , "OPEN_INT", "."&amp;Table13[[#This Row],[Ticker]]&amp;Table13[[#This Row],[Expiry]]&amp;""&amp;"C"&amp;Table13[[#This Row],[Strike]]))</f>
        <v>0</v>
      </c>
      <c r="E34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4" t="b">
        <f>IF(     ISNUMBER(Table13[[#This Row],[Strike]]),RTD("tos.rtd", , "DELTA", "."&amp;Table13[[#This Row],[Ticker]]&amp;Table13[[#This Row],[Expiry]]&amp;""&amp;"C"&amp;Table13[[#This Row],[Strike]]))</f>
        <v>0</v>
      </c>
      <c r="H344" s="17" t="b" cm="1">
        <f t="array" ref="H344">IF(
    ISNUMBER(Table13[[#This Row],[Strike]]),IndividualLegIVCore($A$4, Table13[[#This Row],[Strike]], 0.0411, Table13[[#This Row],[T]], ((Table13[[#This Row],[BIDC]]+Table13[[#This Row],[ASKC]])/2), TRUE))</f>
        <v>0</v>
      </c>
      <c r="I344" t="b">
        <f>IF(     ISNUMBER(Table13[[#This Row],[Strike]]),RTD("tos.rtd", , "BID", "."&amp;Table13[[#This Row],[Ticker]]&amp;Table13[[#This Row],[Expiry]]&amp;""&amp;"C"&amp;Table13[[#This Row],[Strike]]))</f>
        <v>0</v>
      </c>
      <c r="J344" t="b">
        <f>IF(     ISNUMBER(Table13[[#This Row],[Strike]]),RTD("tos.rtd", , "ASK", "."&amp;Table13[[#This Row],[Ticker]]&amp;Table13[[#This Row],[Expiry]]&amp;""&amp;"C"&amp;Table13[[#This Row],[Strike]]))</f>
        <v>0</v>
      </c>
      <c r="K34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4" s="17" cm="1">
        <f t="array" aca="1" ref="L34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4" s="1">
        <f t="shared" si="35"/>
        <v>0</v>
      </c>
      <c r="N344" t="b">
        <f t="shared" si="36"/>
        <v>0</v>
      </c>
      <c r="P344" s="17" t="b" cm="1">
        <f t="array" ref="P344">IF(
    ISNUMBER(Table13[[#This Row],[Strike]]),IndividualLegIVCore($A$4, Table13[[#This Row],[Strike]], 0.0411, Table13[[#This Row],[T]], ((Table13[[#This Row],[BIDP]]+Table13[[#This Row],[ASKP]])/2), FALSE))</f>
        <v>0</v>
      </c>
      <c r="Q344" t="b">
        <f>IF(     ISNUMBER(Table13[[#This Row],[Strike]]),RTD("tos.rtd", , "BID", "."&amp;Table13[[#This Row],[Ticker]]&amp;Table13[[#This Row],[Expiry]]&amp;""&amp;"P"&amp;Table13[[#This Row],[Strike]]))</f>
        <v>0</v>
      </c>
      <c r="R344" t="b">
        <f>IF(     ISNUMBER(Table13[[#This Row],[Strike]]),RTD("tos.rtd", , "ASK", "."&amp;Table13[[#This Row],[Ticker]]&amp;Table13[[#This Row],[Expiry]]&amp;""&amp;"P"&amp;Table13[[#This Row],[Strike]]))</f>
        <v>0</v>
      </c>
      <c r="S344" s="17"/>
      <c r="T344" t="b">
        <f>IF(     ISNUMBER(Table13[[#This Row],[Strike]]),RTD("tos.rtd", , "OPEN_INT", "."&amp;Table13[[#This Row],[Ticker]]&amp;Table13[[#This Row],[Expiry]]&amp;""&amp;"P"&amp;Table13[[#This Row],[Strike]]))</f>
        <v>0</v>
      </c>
      <c r="U34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4" t="b">
        <f>IF(     ISNUMBER(Table13[[#This Row],[Strike]]),RTD("tos.rtd", , "DELTA", "."&amp;Table13[[#This Row],[Ticker]]&amp;Table13[[#This Row],[Expiry]]&amp;""&amp;"P"&amp;Table13[[#This Row],[Strike]]))</f>
        <v>0</v>
      </c>
      <c r="Y344" s="19">
        <f>15.5* IF($M$1="NDX", 10, IF(OR($M$1="SPX", $M$1="RUT"), 2, 1))</f>
        <v>31</v>
      </c>
      <c r="Z344">
        <f ca="1">IFERROR(Table13[[#This Row],[call gamma]]*(Table13[[#This Row],[Open.Int]])*$A$4^2,0)</f>
        <v>0</v>
      </c>
      <c r="AA344">
        <f ca="1">IFERROR(((Table13[[#This Row],[Open.Int8]])*Table13[[#This Row],[Put gamma]])*-1*$A$4^2,0)</f>
        <v>0</v>
      </c>
      <c r="AB344">
        <f ca="1">(Table13[[#This Row],[Call Gex]]+Table13[[#This Row],[Put Gex]])</f>
        <v>0</v>
      </c>
      <c r="AC344">
        <f ca="1">Table13[[#This Row],[put delta adj]]+Table13[[#This Row],[call delta adj]]</f>
        <v>0</v>
      </c>
      <c r="AD344">
        <f ca="1">Table13[[#This Row],[Put Gex]]*Table13[[#This Row],[DeltaP]]*-1</f>
        <v>0</v>
      </c>
      <c r="AE344">
        <f ca="1">Table13[[#This Row],[Call Gex]]*Table13[[#This Row],[DeltaC]]</f>
        <v>0</v>
      </c>
      <c r="AF344">
        <f>IF(Table13[[#This Row],[DeltaC]]-ABS(Table13[[#This Row],[DeltaP]])="0","0.01",Table13[[#This Row],[DeltaC]]-ABS(Table13[[#This Row],[DeltaP]]))</f>
        <v>0</v>
      </c>
      <c r="AG344" t="e">
        <f ca="1">((LN($A$4/Table13[[#This Row],[Strike]]) + (0.411 + 0.5 * Table13[[#This Row],[IV Calc P]]^2) *Table13[[#This Row],[T]])) / (Table13[[#This Row],[IV Calc P]] * SQRT(Table13[[#This Row],[T]]))</f>
        <v>#DIV/0!</v>
      </c>
      <c r="AH344" t="e">
        <f ca="1">(LN($A$4/Table13[[#This Row],[Strike]]) + (0.411-0 + 0.5 * Table13[[#This Row],[IV Calc C]]^2) *Table13[[#This Row],[T]]) / (Table13[[#This Row],[IV Calc C]] * SQRT(Table13[[#This Row],[T]]))</f>
        <v>#DIV/0!</v>
      </c>
      <c r="AI344" t="e">
        <f ca="1">(EXP(-(AG344^2)/2)/SQRT(2*PI())*EXP(0*SQRT(Table13[[#This Row],[T]]))/$A$4*18%*SQRT(SQRT(Table13[[#This Row],[T]])))</f>
        <v>#DIV/0!</v>
      </c>
      <c r="AJ344" t="e">
        <f ca="1">(EXP(-(AH344^2)/2)/SQRT(2*PI())*EXP(0*SQRT(Table13[[#This Row],[T]]))/$A$4*18%*SQRT(SQRT(Table13[[#This Row],[T]])))</f>
        <v>#DIV/0!</v>
      </c>
      <c r="AK344" t="e">
        <f ca="1">Table13[[#This Row],[Call D1]]-Table13[[#This Row],[IV Calc C]]*SQRT(Table13[[#This Row],[T]])</f>
        <v>#DIV/0!</v>
      </c>
      <c r="AL344" t="e">
        <f ca="1">Table13[[#This Row],[Put D1]]-Table13[[#This Row],[IV Calc P]]*SQRT(Table13[[#This Row],[T]])</f>
        <v>#DIV/0!</v>
      </c>
      <c r="AM344" t="e">
        <f ca="1">EXP(-0.5*Table13[[#This Row],[Call D1]]^2)/SQRT(2*PI())</f>
        <v>#DIV/0!</v>
      </c>
      <c r="AN344" t="e">
        <f ca="1">EXP(-0.5*Table13[[#This Row],[Put D1]]^2)/SQRT(2*PI())</f>
        <v>#DIV/0!</v>
      </c>
      <c r="AO344">
        <f ca="1">IFERROR((EXP(0*Table13[[#This Row],[T]])*Table13[[#This Row],[call N(d1)]]*(Table13[[#This Row],[call d2]]/Table13[[#This Row],[IV Calc C]]))*Table13[[#This Row],[Open.Int]]*Table13[[#This Row],[DeltaC]],0)</f>
        <v>0</v>
      </c>
      <c r="AP344">
        <f ca="1">IFERROR((EXP(0*Table13[[#This Row],[T]])*Table13[[#This Row],[put N(d1)]]*(Table13[[#This Row],[put d2]]/Table13[[#This Row],[IV Calc P]]))*Table13[[#This Row],[Open.Int8]]*Table13[[#This Row],[DeltaP]]*-1,0)</f>
        <v>0</v>
      </c>
      <c r="AQ344">
        <f ca="1">((Table13[[#This Row],[call vanna]]+Table13[[#This Row],[put vanna]])*$A$4)</f>
        <v>0</v>
      </c>
      <c r="AR34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4" s="9" t="str" cm="1">
        <f t="array" ref="AT344">_xlfn.IFS(     $M$1="SPX","SPXW",     $M$1="RUT","RUTW",  $M$1="NDX","NDXP",   TRUE,$M$1 )</f>
        <v>SPXW</v>
      </c>
      <c r="AU344" s="2">
        <f t="shared" si="37"/>
        <v>6915</v>
      </c>
      <c r="AV344" t="str">
        <f t="shared" si="38"/>
        <v>000100</v>
      </c>
      <c r="AY34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4">
        <f>((Table13[[#This Row],[High C]]+Table13[[#This Row],[Low C]])/2)*Table13[[#This Row],[gammac]]*Table13[[#This Row],[Volume]]</f>
        <v>0</v>
      </c>
      <c r="BD344">
        <f>((Table13[[#This Row],[High P]]+Table13[[#This Row],[Low P]])/2)*Table13[[#This Row],[gammap]]*Table13[[#This Row],[Volume9]]*-1</f>
        <v>0</v>
      </c>
      <c r="BE344">
        <f>(Table13[[#This Row],[SgammaC]]+Table13[[#This Row],[SgammaP]])*$A$4*-100</f>
        <v>0</v>
      </c>
      <c r="BF344">
        <f>Table13[[#This Row],[DEXc]]+Table13[[#This Row],[DEXp]]</f>
        <v>0</v>
      </c>
      <c r="BG344">
        <f>IFERROR(Table13[[#This Row],[DeltaC]]*Table13[[#This Row],[Open.Int]]*$A$4,0)</f>
        <v>0</v>
      </c>
      <c r="BH344">
        <f>IFERROR(Table13[[#This Row],[DeltaP]]*Table13[[#This Row],[Open.Int8]]*$A$4,0)</f>
        <v>0</v>
      </c>
      <c r="BI34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4">
        <f ca="1">Table13[[#This Row],[charmc]]+Table13[[#This Row],[charmp]]</f>
        <v>0</v>
      </c>
      <c r="BL34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4" s="78">
        <f ca="1">Table13[[#This Row],[call helper]]+Table13[[#This Row],[put helper]]</f>
        <v>0</v>
      </c>
      <c r="BP344" t="str">
        <f>RTD("tos.rtd", , "STRIKE", "."&amp;Table13[[#This Row],[Ticker]]&amp;Table13[[#This Row],[Expiry]]&amp;""&amp;"C"&amp;Table13[[#This Row],[Spot]]+Table13[[#This Row],[step]])</f>
        <v>N/A</v>
      </c>
    </row>
    <row r="345" spans="1:68" x14ac:dyDescent="0.25">
      <c r="A345" s="14">
        <f t="shared" ca="1" si="34"/>
        <v>-126.14810350076104</v>
      </c>
      <c r="C345" s="17"/>
      <c r="D345" t="b">
        <f>IF(
    ISNUMBER(Table13[[#This Row],[Strike]]),RTD("tos.rtd", , "OPEN_INT", "."&amp;Table13[[#This Row],[Ticker]]&amp;Table13[[#This Row],[Expiry]]&amp;""&amp;"C"&amp;Table13[[#This Row],[Strike]]))</f>
        <v>0</v>
      </c>
      <c r="E34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5" t="b">
        <f>IF(     ISNUMBER(Table13[[#This Row],[Strike]]),RTD("tos.rtd", , "DELTA", "."&amp;Table13[[#This Row],[Ticker]]&amp;Table13[[#This Row],[Expiry]]&amp;""&amp;"C"&amp;Table13[[#This Row],[Strike]]))</f>
        <v>0</v>
      </c>
      <c r="H345" s="17" t="b" cm="1">
        <f t="array" ref="H345">IF(
    ISNUMBER(Table13[[#This Row],[Strike]]),IndividualLegIVCore($A$4, Table13[[#This Row],[Strike]], 0.0411, Table13[[#This Row],[T]], ((Table13[[#This Row],[BIDC]]+Table13[[#This Row],[ASKC]])/2), TRUE))</f>
        <v>0</v>
      </c>
      <c r="I345" t="b">
        <f>IF(     ISNUMBER(Table13[[#This Row],[Strike]]),RTD("tos.rtd", , "BID", "."&amp;Table13[[#This Row],[Ticker]]&amp;Table13[[#This Row],[Expiry]]&amp;""&amp;"C"&amp;Table13[[#This Row],[Strike]]))</f>
        <v>0</v>
      </c>
      <c r="J345" t="b">
        <f>IF(     ISNUMBER(Table13[[#This Row],[Strike]]),RTD("tos.rtd", , "ASK", "."&amp;Table13[[#This Row],[Ticker]]&amp;Table13[[#This Row],[Expiry]]&amp;""&amp;"C"&amp;Table13[[#This Row],[Strike]]))</f>
        <v>0</v>
      </c>
      <c r="K34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5" s="17" cm="1">
        <f t="array" aca="1" ref="L34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5" s="1">
        <f t="shared" si="35"/>
        <v>0</v>
      </c>
      <c r="N345" t="b">
        <f t="shared" si="36"/>
        <v>0</v>
      </c>
      <c r="P345" s="17" t="b" cm="1">
        <f t="array" ref="P345">IF(
    ISNUMBER(Table13[[#This Row],[Strike]]),IndividualLegIVCore($A$4, Table13[[#This Row],[Strike]], 0.0411, Table13[[#This Row],[T]], ((Table13[[#This Row],[BIDP]]+Table13[[#This Row],[ASKP]])/2), FALSE))</f>
        <v>0</v>
      </c>
      <c r="Q345" t="b">
        <f>IF(     ISNUMBER(Table13[[#This Row],[Strike]]),RTD("tos.rtd", , "BID", "."&amp;Table13[[#This Row],[Ticker]]&amp;Table13[[#This Row],[Expiry]]&amp;""&amp;"P"&amp;Table13[[#This Row],[Strike]]))</f>
        <v>0</v>
      </c>
      <c r="R345" t="b">
        <f>IF(     ISNUMBER(Table13[[#This Row],[Strike]]),RTD("tos.rtd", , "ASK", "."&amp;Table13[[#This Row],[Ticker]]&amp;Table13[[#This Row],[Expiry]]&amp;""&amp;"P"&amp;Table13[[#This Row],[Strike]]))</f>
        <v>0</v>
      </c>
      <c r="S345" s="17"/>
      <c r="T345" t="b">
        <f>IF(     ISNUMBER(Table13[[#This Row],[Strike]]),RTD("tos.rtd", , "OPEN_INT", "."&amp;Table13[[#This Row],[Ticker]]&amp;Table13[[#This Row],[Expiry]]&amp;""&amp;"P"&amp;Table13[[#This Row],[Strike]]))</f>
        <v>0</v>
      </c>
      <c r="U34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5" t="b">
        <f>IF(     ISNUMBER(Table13[[#This Row],[Strike]]),RTD("tos.rtd", , "DELTA", "."&amp;Table13[[#This Row],[Ticker]]&amp;Table13[[#This Row],[Expiry]]&amp;""&amp;"P"&amp;Table13[[#This Row],[Strike]]))</f>
        <v>0</v>
      </c>
      <c r="Y345" s="19">
        <f>16* IF($M$1="NDX", 10, IF(OR($M$1="SPX", $M$1="RUT"), 2, 1))</f>
        <v>32</v>
      </c>
      <c r="Z345">
        <f ca="1">IFERROR(Table13[[#This Row],[call gamma]]*(Table13[[#This Row],[Open.Int]])*$A$4^2,0)</f>
        <v>0</v>
      </c>
      <c r="AA345">
        <f ca="1">IFERROR(((Table13[[#This Row],[Open.Int8]])*Table13[[#This Row],[Put gamma]])*-1*$A$4^2,0)</f>
        <v>0</v>
      </c>
      <c r="AB345">
        <f ca="1">(Table13[[#This Row],[Call Gex]]+Table13[[#This Row],[Put Gex]])</f>
        <v>0</v>
      </c>
      <c r="AC345">
        <f ca="1">Table13[[#This Row],[put delta adj]]+Table13[[#This Row],[call delta adj]]</f>
        <v>0</v>
      </c>
      <c r="AD345">
        <f ca="1">Table13[[#This Row],[Put Gex]]*Table13[[#This Row],[DeltaP]]*-1</f>
        <v>0</v>
      </c>
      <c r="AE345">
        <f ca="1">Table13[[#This Row],[Call Gex]]*Table13[[#This Row],[DeltaC]]</f>
        <v>0</v>
      </c>
      <c r="AF345">
        <f>IF(Table13[[#This Row],[DeltaC]]-ABS(Table13[[#This Row],[DeltaP]])="0","0.01",Table13[[#This Row],[DeltaC]]-ABS(Table13[[#This Row],[DeltaP]]))</f>
        <v>0</v>
      </c>
      <c r="AG345" t="e">
        <f ca="1">((LN($A$4/Table13[[#This Row],[Strike]]) + (0.411 + 0.5 * Table13[[#This Row],[IV Calc P]]^2) *Table13[[#This Row],[T]])) / (Table13[[#This Row],[IV Calc P]] * SQRT(Table13[[#This Row],[T]]))</f>
        <v>#DIV/0!</v>
      </c>
      <c r="AH345" t="e">
        <f ca="1">(LN($A$4/Table13[[#This Row],[Strike]]) + (0.411-0 + 0.5 * Table13[[#This Row],[IV Calc C]]^2) *Table13[[#This Row],[T]]) / (Table13[[#This Row],[IV Calc C]] * SQRT(Table13[[#This Row],[T]]))</f>
        <v>#DIV/0!</v>
      </c>
      <c r="AI345" t="e">
        <f ca="1">(EXP(-(AG345^2)/2)/SQRT(2*PI())*EXP(0*SQRT(Table13[[#This Row],[T]]))/$A$4*18%*SQRT(SQRT(Table13[[#This Row],[T]])))</f>
        <v>#DIV/0!</v>
      </c>
      <c r="AJ345" t="e">
        <f ca="1">(EXP(-(AH345^2)/2)/SQRT(2*PI())*EXP(0*SQRT(Table13[[#This Row],[T]]))/$A$4*18%*SQRT(SQRT(Table13[[#This Row],[T]])))</f>
        <v>#DIV/0!</v>
      </c>
      <c r="AK345" t="e">
        <f ca="1">Table13[[#This Row],[Call D1]]-Table13[[#This Row],[IV Calc C]]*SQRT(Table13[[#This Row],[T]])</f>
        <v>#DIV/0!</v>
      </c>
      <c r="AL345" t="e">
        <f ca="1">Table13[[#This Row],[Put D1]]-Table13[[#This Row],[IV Calc P]]*SQRT(Table13[[#This Row],[T]])</f>
        <v>#DIV/0!</v>
      </c>
      <c r="AM345" t="e">
        <f ca="1">EXP(-0.5*Table13[[#This Row],[Call D1]]^2)/SQRT(2*PI())</f>
        <v>#DIV/0!</v>
      </c>
      <c r="AN345" t="e">
        <f ca="1">EXP(-0.5*Table13[[#This Row],[Put D1]]^2)/SQRT(2*PI())</f>
        <v>#DIV/0!</v>
      </c>
      <c r="AO345">
        <f ca="1">IFERROR((EXP(0*Table13[[#This Row],[T]])*Table13[[#This Row],[call N(d1)]]*(Table13[[#This Row],[call d2]]/Table13[[#This Row],[IV Calc C]]))*Table13[[#This Row],[Open.Int]]*Table13[[#This Row],[DeltaC]],0)</f>
        <v>0</v>
      </c>
      <c r="AP345">
        <f ca="1">IFERROR((EXP(0*Table13[[#This Row],[T]])*Table13[[#This Row],[put N(d1)]]*(Table13[[#This Row],[put d2]]/Table13[[#This Row],[IV Calc P]]))*Table13[[#This Row],[Open.Int8]]*Table13[[#This Row],[DeltaP]]*-1,0)</f>
        <v>0</v>
      </c>
      <c r="AQ345">
        <f ca="1">((Table13[[#This Row],[call vanna]]+Table13[[#This Row],[put vanna]])*$A$4)</f>
        <v>0</v>
      </c>
      <c r="AR34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5" s="9" t="str" cm="1">
        <f t="array" ref="AT345">_xlfn.IFS(     $M$1="SPX","SPXW",     $M$1="RUT","RUTW",  $M$1="NDX","NDXP",   TRUE,$M$1 )</f>
        <v>SPXW</v>
      </c>
      <c r="AU345" s="2">
        <f t="shared" si="37"/>
        <v>6915</v>
      </c>
      <c r="AV345" t="str">
        <f t="shared" si="38"/>
        <v>000100</v>
      </c>
      <c r="AY34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5">
        <f>((Table13[[#This Row],[High C]]+Table13[[#This Row],[Low C]])/2)*Table13[[#This Row],[gammac]]*Table13[[#This Row],[Volume]]</f>
        <v>0</v>
      </c>
      <c r="BD345">
        <f>((Table13[[#This Row],[High P]]+Table13[[#This Row],[Low P]])/2)*Table13[[#This Row],[gammap]]*Table13[[#This Row],[Volume9]]*-1</f>
        <v>0</v>
      </c>
      <c r="BE345">
        <f>(Table13[[#This Row],[SgammaC]]+Table13[[#This Row],[SgammaP]])*$A$4*-100</f>
        <v>0</v>
      </c>
      <c r="BF345">
        <f>Table13[[#This Row],[DEXc]]+Table13[[#This Row],[DEXp]]</f>
        <v>0</v>
      </c>
      <c r="BG345">
        <f>IFERROR(Table13[[#This Row],[DeltaC]]*Table13[[#This Row],[Open.Int]]*$A$4,0)</f>
        <v>0</v>
      </c>
      <c r="BH345">
        <f>IFERROR(Table13[[#This Row],[DeltaP]]*Table13[[#This Row],[Open.Int8]]*$A$4,0)</f>
        <v>0</v>
      </c>
      <c r="BI34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5">
        <f ca="1">Table13[[#This Row],[charmc]]+Table13[[#This Row],[charmp]]</f>
        <v>0</v>
      </c>
      <c r="BL34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5" s="78">
        <f ca="1">Table13[[#This Row],[call helper]]+Table13[[#This Row],[put helper]]</f>
        <v>0</v>
      </c>
      <c r="BP345" t="str">
        <f>RTD("tos.rtd", , "STRIKE", "."&amp;Table13[[#This Row],[Ticker]]&amp;Table13[[#This Row],[Expiry]]&amp;""&amp;"C"&amp;Table13[[#This Row],[Spot]]+Table13[[#This Row],[step]])</f>
        <v>N/A</v>
      </c>
    </row>
    <row r="346" spans="1:68" x14ac:dyDescent="0.25">
      <c r="A346" s="14">
        <f t="shared" ca="1" si="34"/>
        <v>-126.14810350076104</v>
      </c>
      <c r="C346" s="17"/>
      <c r="D346" t="b">
        <f>IF(
    ISNUMBER(Table13[[#This Row],[Strike]]),RTD("tos.rtd", , "OPEN_INT", "."&amp;Table13[[#This Row],[Ticker]]&amp;Table13[[#This Row],[Expiry]]&amp;""&amp;"C"&amp;Table13[[#This Row],[Strike]]))</f>
        <v>0</v>
      </c>
      <c r="E34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6" t="b">
        <f>IF(     ISNUMBER(Table13[[#This Row],[Strike]]),RTD("tos.rtd", , "DELTA", "."&amp;Table13[[#This Row],[Ticker]]&amp;Table13[[#This Row],[Expiry]]&amp;""&amp;"C"&amp;Table13[[#This Row],[Strike]]))</f>
        <v>0</v>
      </c>
      <c r="H346" s="17" t="b" cm="1">
        <f t="array" ref="H346">IF(
    ISNUMBER(Table13[[#This Row],[Strike]]),IndividualLegIVCore($A$4, Table13[[#This Row],[Strike]], 0.0411, Table13[[#This Row],[T]], ((Table13[[#This Row],[BIDC]]+Table13[[#This Row],[ASKC]])/2), TRUE))</f>
        <v>0</v>
      </c>
      <c r="I346" t="b">
        <f>IF(     ISNUMBER(Table13[[#This Row],[Strike]]),RTD("tos.rtd", , "BID", "."&amp;Table13[[#This Row],[Ticker]]&amp;Table13[[#This Row],[Expiry]]&amp;""&amp;"C"&amp;Table13[[#This Row],[Strike]]))</f>
        <v>0</v>
      </c>
      <c r="J346" t="b">
        <f>IF(     ISNUMBER(Table13[[#This Row],[Strike]]),RTD("tos.rtd", , "ASK", "."&amp;Table13[[#This Row],[Ticker]]&amp;Table13[[#This Row],[Expiry]]&amp;""&amp;"C"&amp;Table13[[#This Row],[Strike]]))</f>
        <v>0</v>
      </c>
      <c r="K34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6" s="17" cm="1">
        <f t="array" aca="1" ref="L34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6" s="1">
        <f t="shared" si="35"/>
        <v>0</v>
      </c>
      <c r="N346" t="b">
        <f t="shared" si="36"/>
        <v>0</v>
      </c>
      <c r="P346" s="17" t="b" cm="1">
        <f t="array" ref="P346">IF(
    ISNUMBER(Table13[[#This Row],[Strike]]),IndividualLegIVCore($A$4, Table13[[#This Row],[Strike]], 0.0411, Table13[[#This Row],[T]], ((Table13[[#This Row],[BIDP]]+Table13[[#This Row],[ASKP]])/2), FALSE))</f>
        <v>0</v>
      </c>
      <c r="Q346" t="b">
        <f>IF(     ISNUMBER(Table13[[#This Row],[Strike]]),RTD("tos.rtd", , "BID", "."&amp;Table13[[#This Row],[Ticker]]&amp;Table13[[#This Row],[Expiry]]&amp;""&amp;"P"&amp;Table13[[#This Row],[Strike]]))</f>
        <v>0</v>
      </c>
      <c r="R346" t="b">
        <f>IF(     ISNUMBER(Table13[[#This Row],[Strike]]),RTD("tos.rtd", , "ASK", "."&amp;Table13[[#This Row],[Ticker]]&amp;Table13[[#This Row],[Expiry]]&amp;""&amp;"P"&amp;Table13[[#This Row],[Strike]]))</f>
        <v>0</v>
      </c>
      <c r="S346" s="17"/>
      <c r="T346" t="b">
        <f>IF(     ISNUMBER(Table13[[#This Row],[Strike]]),RTD("tos.rtd", , "OPEN_INT", "."&amp;Table13[[#This Row],[Ticker]]&amp;Table13[[#This Row],[Expiry]]&amp;""&amp;"P"&amp;Table13[[#This Row],[Strike]]))</f>
        <v>0</v>
      </c>
      <c r="U34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6" t="b">
        <f>IF(     ISNUMBER(Table13[[#This Row],[Strike]]),RTD("tos.rtd", , "DELTA", "."&amp;Table13[[#This Row],[Ticker]]&amp;Table13[[#This Row],[Expiry]]&amp;""&amp;"P"&amp;Table13[[#This Row],[Strike]]))</f>
        <v>0</v>
      </c>
      <c r="Y346" s="19">
        <f>16.5* IF($M$1="NDX", 10, IF(OR($M$1="SPX", $M$1="RUT"), 2, 1))</f>
        <v>33</v>
      </c>
      <c r="Z346">
        <f ca="1">IFERROR(Table13[[#This Row],[call gamma]]*(Table13[[#This Row],[Open.Int]])*$A$4^2,0)</f>
        <v>0</v>
      </c>
      <c r="AA346">
        <f ca="1">IFERROR(((Table13[[#This Row],[Open.Int8]])*Table13[[#This Row],[Put gamma]])*-1*$A$4^2,0)</f>
        <v>0</v>
      </c>
      <c r="AB346">
        <f ca="1">(Table13[[#This Row],[Call Gex]]+Table13[[#This Row],[Put Gex]])</f>
        <v>0</v>
      </c>
      <c r="AC346">
        <f ca="1">Table13[[#This Row],[put delta adj]]+Table13[[#This Row],[call delta adj]]</f>
        <v>0</v>
      </c>
      <c r="AD346">
        <f ca="1">Table13[[#This Row],[Put Gex]]*Table13[[#This Row],[DeltaP]]*-1</f>
        <v>0</v>
      </c>
      <c r="AE346">
        <f ca="1">Table13[[#This Row],[Call Gex]]*Table13[[#This Row],[DeltaC]]</f>
        <v>0</v>
      </c>
      <c r="AF346">
        <f>IF(Table13[[#This Row],[DeltaC]]-ABS(Table13[[#This Row],[DeltaP]])="0","0.01",Table13[[#This Row],[DeltaC]]-ABS(Table13[[#This Row],[DeltaP]]))</f>
        <v>0</v>
      </c>
      <c r="AG346" t="e">
        <f ca="1">((LN($A$4/Table13[[#This Row],[Strike]]) + (0.411 + 0.5 * Table13[[#This Row],[IV Calc P]]^2) *Table13[[#This Row],[T]])) / (Table13[[#This Row],[IV Calc P]] * SQRT(Table13[[#This Row],[T]]))</f>
        <v>#DIV/0!</v>
      </c>
      <c r="AH346" t="e">
        <f ca="1">(LN($A$4/Table13[[#This Row],[Strike]]) + (0.411-0 + 0.5 * Table13[[#This Row],[IV Calc C]]^2) *Table13[[#This Row],[T]]) / (Table13[[#This Row],[IV Calc C]] * SQRT(Table13[[#This Row],[T]]))</f>
        <v>#DIV/0!</v>
      </c>
      <c r="AI346" t="e">
        <f ca="1">(EXP(-(AG346^2)/2)/SQRT(2*PI())*EXP(0*SQRT(Table13[[#This Row],[T]]))/$A$4*18%*SQRT(SQRT(Table13[[#This Row],[T]])))</f>
        <v>#DIV/0!</v>
      </c>
      <c r="AJ346" t="e">
        <f ca="1">(EXP(-(AH346^2)/2)/SQRT(2*PI())*EXP(0*SQRT(Table13[[#This Row],[T]]))/$A$4*18%*SQRT(SQRT(Table13[[#This Row],[T]])))</f>
        <v>#DIV/0!</v>
      </c>
      <c r="AK346" t="e">
        <f ca="1">Table13[[#This Row],[Call D1]]-Table13[[#This Row],[IV Calc C]]*SQRT(Table13[[#This Row],[T]])</f>
        <v>#DIV/0!</v>
      </c>
      <c r="AL346" t="e">
        <f ca="1">Table13[[#This Row],[Put D1]]-Table13[[#This Row],[IV Calc P]]*SQRT(Table13[[#This Row],[T]])</f>
        <v>#DIV/0!</v>
      </c>
      <c r="AM346" t="e">
        <f ca="1">EXP(-0.5*Table13[[#This Row],[Call D1]]^2)/SQRT(2*PI())</f>
        <v>#DIV/0!</v>
      </c>
      <c r="AN346" t="e">
        <f ca="1">EXP(-0.5*Table13[[#This Row],[Put D1]]^2)/SQRT(2*PI())</f>
        <v>#DIV/0!</v>
      </c>
      <c r="AO346">
        <f ca="1">IFERROR((EXP(0*Table13[[#This Row],[T]])*Table13[[#This Row],[call N(d1)]]*(Table13[[#This Row],[call d2]]/Table13[[#This Row],[IV Calc C]]))*Table13[[#This Row],[Open.Int]]*Table13[[#This Row],[DeltaC]],0)</f>
        <v>0</v>
      </c>
      <c r="AP346">
        <f ca="1">IFERROR((EXP(0*Table13[[#This Row],[T]])*Table13[[#This Row],[put N(d1)]]*(Table13[[#This Row],[put d2]]/Table13[[#This Row],[IV Calc P]]))*Table13[[#This Row],[Open.Int8]]*Table13[[#This Row],[DeltaP]]*-1,0)</f>
        <v>0</v>
      </c>
      <c r="AQ346">
        <f ca="1">((Table13[[#This Row],[call vanna]]+Table13[[#This Row],[put vanna]])*$A$4)</f>
        <v>0</v>
      </c>
      <c r="AR34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6" s="9" t="str" cm="1">
        <f t="array" ref="AT346">_xlfn.IFS(     $M$1="SPX","SPXW",     $M$1="RUT","RUTW",  $M$1="NDX","NDXP",   TRUE,$M$1 )</f>
        <v>SPXW</v>
      </c>
      <c r="AU346" s="2">
        <f t="shared" si="37"/>
        <v>6915</v>
      </c>
      <c r="AV346" t="str">
        <f t="shared" si="38"/>
        <v>000100</v>
      </c>
      <c r="AY34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6">
        <f>((Table13[[#This Row],[High C]]+Table13[[#This Row],[Low C]])/2)*Table13[[#This Row],[gammac]]*Table13[[#This Row],[Volume]]</f>
        <v>0</v>
      </c>
      <c r="BD346">
        <f>((Table13[[#This Row],[High P]]+Table13[[#This Row],[Low P]])/2)*Table13[[#This Row],[gammap]]*Table13[[#This Row],[Volume9]]*-1</f>
        <v>0</v>
      </c>
      <c r="BE346">
        <f>(Table13[[#This Row],[SgammaC]]+Table13[[#This Row],[SgammaP]])*$A$4*-100</f>
        <v>0</v>
      </c>
      <c r="BF346">
        <f>Table13[[#This Row],[DEXc]]+Table13[[#This Row],[DEXp]]</f>
        <v>0</v>
      </c>
      <c r="BG346">
        <f>IFERROR(Table13[[#This Row],[DeltaC]]*Table13[[#This Row],[Open.Int]]*$A$4,0)</f>
        <v>0</v>
      </c>
      <c r="BH346">
        <f>IFERROR(Table13[[#This Row],[DeltaP]]*Table13[[#This Row],[Open.Int8]]*$A$4,0)</f>
        <v>0</v>
      </c>
      <c r="BI34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6">
        <f ca="1">Table13[[#This Row],[charmc]]+Table13[[#This Row],[charmp]]</f>
        <v>0</v>
      </c>
      <c r="BL34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6" s="78">
        <f ca="1">Table13[[#This Row],[call helper]]+Table13[[#This Row],[put helper]]</f>
        <v>0</v>
      </c>
      <c r="BP346" t="str">
        <f>RTD("tos.rtd", , "STRIKE", "."&amp;Table13[[#This Row],[Ticker]]&amp;Table13[[#This Row],[Expiry]]&amp;""&amp;"C"&amp;Table13[[#This Row],[Spot]]+Table13[[#This Row],[step]])</f>
        <v>N/A</v>
      </c>
    </row>
    <row r="347" spans="1:68" x14ac:dyDescent="0.25">
      <c r="A347" s="14">
        <f t="shared" ca="1" si="34"/>
        <v>-126.14810350076104</v>
      </c>
      <c r="C347" s="17"/>
      <c r="D347" t="b">
        <f>IF(
    ISNUMBER(Table13[[#This Row],[Strike]]),RTD("tos.rtd", , "OPEN_INT", "."&amp;Table13[[#This Row],[Ticker]]&amp;Table13[[#This Row],[Expiry]]&amp;""&amp;"C"&amp;Table13[[#This Row],[Strike]]))</f>
        <v>0</v>
      </c>
      <c r="E34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7" t="b">
        <f>IF(     ISNUMBER(Table13[[#This Row],[Strike]]),RTD("tos.rtd", , "DELTA", "."&amp;Table13[[#This Row],[Ticker]]&amp;Table13[[#This Row],[Expiry]]&amp;""&amp;"C"&amp;Table13[[#This Row],[Strike]]))</f>
        <v>0</v>
      </c>
      <c r="H347" s="17" t="b" cm="1">
        <f t="array" ref="H347">IF(
    ISNUMBER(Table13[[#This Row],[Strike]]),IndividualLegIVCore($A$4, Table13[[#This Row],[Strike]], 0.0411, Table13[[#This Row],[T]], ((Table13[[#This Row],[BIDC]]+Table13[[#This Row],[ASKC]])/2), TRUE))</f>
        <v>0</v>
      </c>
      <c r="I347" t="b">
        <f>IF(     ISNUMBER(Table13[[#This Row],[Strike]]),RTD("tos.rtd", , "BID", "."&amp;Table13[[#This Row],[Ticker]]&amp;Table13[[#This Row],[Expiry]]&amp;""&amp;"C"&amp;Table13[[#This Row],[Strike]]))</f>
        <v>0</v>
      </c>
      <c r="J347" t="b">
        <f>IF(     ISNUMBER(Table13[[#This Row],[Strike]]),RTD("tos.rtd", , "ASK", "."&amp;Table13[[#This Row],[Ticker]]&amp;Table13[[#This Row],[Expiry]]&amp;""&amp;"C"&amp;Table13[[#This Row],[Strike]]))</f>
        <v>0</v>
      </c>
      <c r="K34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7" s="17" cm="1">
        <f t="array" aca="1" ref="L34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7" s="1">
        <f t="shared" si="35"/>
        <v>0</v>
      </c>
      <c r="N347" t="b">
        <f t="shared" si="36"/>
        <v>0</v>
      </c>
      <c r="P347" s="17" t="b" cm="1">
        <f t="array" ref="P347">IF(
    ISNUMBER(Table13[[#This Row],[Strike]]),IndividualLegIVCore($A$4, Table13[[#This Row],[Strike]], 0.0411, Table13[[#This Row],[T]], ((Table13[[#This Row],[BIDP]]+Table13[[#This Row],[ASKP]])/2), FALSE))</f>
        <v>0</v>
      </c>
      <c r="Q347" t="b">
        <f>IF(     ISNUMBER(Table13[[#This Row],[Strike]]),RTD("tos.rtd", , "BID", "."&amp;Table13[[#This Row],[Ticker]]&amp;Table13[[#This Row],[Expiry]]&amp;""&amp;"P"&amp;Table13[[#This Row],[Strike]]))</f>
        <v>0</v>
      </c>
      <c r="R347" t="b">
        <f>IF(     ISNUMBER(Table13[[#This Row],[Strike]]),RTD("tos.rtd", , "ASK", "."&amp;Table13[[#This Row],[Ticker]]&amp;Table13[[#This Row],[Expiry]]&amp;""&amp;"P"&amp;Table13[[#This Row],[Strike]]))</f>
        <v>0</v>
      </c>
      <c r="S347" s="17"/>
      <c r="T347" t="b">
        <f>IF(     ISNUMBER(Table13[[#This Row],[Strike]]),RTD("tos.rtd", , "OPEN_INT", "."&amp;Table13[[#This Row],[Ticker]]&amp;Table13[[#This Row],[Expiry]]&amp;""&amp;"P"&amp;Table13[[#This Row],[Strike]]))</f>
        <v>0</v>
      </c>
      <c r="U34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7" t="b">
        <f>IF(     ISNUMBER(Table13[[#This Row],[Strike]]),RTD("tos.rtd", , "DELTA", "."&amp;Table13[[#This Row],[Ticker]]&amp;Table13[[#This Row],[Expiry]]&amp;""&amp;"P"&amp;Table13[[#This Row],[Strike]]))</f>
        <v>0</v>
      </c>
      <c r="Y347" s="19">
        <f>17* IF($M$1="NDX", 10, IF(OR($M$1="SPX", $M$1="RUT"), 2, 1))</f>
        <v>34</v>
      </c>
      <c r="Z347">
        <f ca="1">IFERROR(Table13[[#This Row],[call gamma]]*(Table13[[#This Row],[Open.Int]])*$A$4^2,0)</f>
        <v>0</v>
      </c>
      <c r="AA347">
        <f ca="1">IFERROR(((Table13[[#This Row],[Open.Int8]])*Table13[[#This Row],[Put gamma]])*-1*$A$4^2,0)</f>
        <v>0</v>
      </c>
      <c r="AB347">
        <f ca="1">(Table13[[#This Row],[Call Gex]]+Table13[[#This Row],[Put Gex]])</f>
        <v>0</v>
      </c>
      <c r="AC347">
        <f ca="1">Table13[[#This Row],[put delta adj]]+Table13[[#This Row],[call delta adj]]</f>
        <v>0</v>
      </c>
      <c r="AD347">
        <f ca="1">Table13[[#This Row],[Put Gex]]*Table13[[#This Row],[DeltaP]]*-1</f>
        <v>0</v>
      </c>
      <c r="AE347">
        <f ca="1">Table13[[#This Row],[Call Gex]]*Table13[[#This Row],[DeltaC]]</f>
        <v>0</v>
      </c>
      <c r="AF347">
        <f>IF(Table13[[#This Row],[DeltaC]]-ABS(Table13[[#This Row],[DeltaP]])="0","0.01",Table13[[#This Row],[DeltaC]]-ABS(Table13[[#This Row],[DeltaP]]))</f>
        <v>0</v>
      </c>
      <c r="AG347" t="e">
        <f ca="1">((LN($A$4/Table13[[#This Row],[Strike]]) + (0.411 + 0.5 * Table13[[#This Row],[IV Calc P]]^2) *Table13[[#This Row],[T]])) / (Table13[[#This Row],[IV Calc P]] * SQRT(Table13[[#This Row],[T]]))</f>
        <v>#DIV/0!</v>
      </c>
      <c r="AH347" t="e">
        <f ca="1">(LN($A$4/Table13[[#This Row],[Strike]]) + (0.411-0 + 0.5 * Table13[[#This Row],[IV Calc C]]^2) *Table13[[#This Row],[T]]) / (Table13[[#This Row],[IV Calc C]] * SQRT(Table13[[#This Row],[T]]))</f>
        <v>#DIV/0!</v>
      </c>
      <c r="AI347" t="e">
        <f ca="1">(EXP(-(AG347^2)/2)/SQRT(2*PI())*EXP(0*SQRT(Table13[[#This Row],[T]]))/$A$4*18%*SQRT(SQRT(Table13[[#This Row],[T]])))</f>
        <v>#DIV/0!</v>
      </c>
      <c r="AJ347" t="e">
        <f ca="1">(EXP(-(AH347^2)/2)/SQRT(2*PI())*EXP(0*SQRT(Table13[[#This Row],[T]]))/$A$4*18%*SQRT(SQRT(Table13[[#This Row],[T]])))</f>
        <v>#DIV/0!</v>
      </c>
      <c r="AK347" t="e">
        <f ca="1">Table13[[#This Row],[Call D1]]-Table13[[#This Row],[IV Calc C]]*SQRT(Table13[[#This Row],[T]])</f>
        <v>#DIV/0!</v>
      </c>
      <c r="AL347" t="e">
        <f ca="1">Table13[[#This Row],[Put D1]]-Table13[[#This Row],[IV Calc P]]*SQRT(Table13[[#This Row],[T]])</f>
        <v>#DIV/0!</v>
      </c>
      <c r="AM347" t="e">
        <f ca="1">EXP(-0.5*Table13[[#This Row],[Call D1]]^2)/SQRT(2*PI())</f>
        <v>#DIV/0!</v>
      </c>
      <c r="AN347" t="e">
        <f ca="1">EXP(-0.5*Table13[[#This Row],[Put D1]]^2)/SQRT(2*PI())</f>
        <v>#DIV/0!</v>
      </c>
      <c r="AO347">
        <f ca="1">IFERROR((EXP(0*Table13[[#This Row],[T]])*Table13[[#This Row],[call N(d1)]]*(Table13[[#This Row],[call d2]]/Table13[[#This Row],[IV Calc C]]))*Table13[[#This Row],[Open.Int]]*Table13[[#This Row],[DeltaC]],0)</f>
        <v>0</v>
      </c>
      <c r="AP347">
        <f ca="1">IFERROR((EXP(0*Table13[[#This Row],[T]])*Table13[[#This Row],[put N(d1)]]*(Table13[[#This Row],[put d2]]/Table13[[#This Row],[IV Calc P]]))*Table13[[#This Row],[Open.Int8]]*Table13[[#This Row],[DeltaP]]*-1,0)</f>
        <v>0</v>
      </c>
      <c r="AQ347">
        <f ca="1">((Table13[[#This Row],[call vanna]]+Table13[[#This Row],[put vanna]])*$A$4)</f>
        <v>0</v>
      </c>
      <c r="AR34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7" s="9" t="str" cm="1">
        <f t="array" ref="AT347">_xlfn.IFS(     $M$1="SPX","SPXW",     $M$1="RUT","RUTW",  $M$1="NDX","NDXP",   TRUE,$M$1 )</f>
        <v>SPXW</v>
      </c>
      <c r="AU347" s="2">
        <f t="shared" si="37"/>
        <v>6915</v>
      </c>
      <c r="AV347" t="str">
        <f t="shared" si="38"/>
        <v>000100</v>
      </c>
      <c r="AY34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7">
        <f>((Table13[[#This Row],[High C]]+Table13[[#This Row],[Low C]])/2)*Table13[[#This Row],[gammac]]*Table13[[#This Row],[Volume]]</f>
        <v>0</v>
      </c>
      <c r="BD347">
        <f>((Table13[[#This Row],[High P]]+Table13[[#This Row],[Low P]])/2)*Table13[[#This Row],[gammap]]*Table13[[#This Row],[Volume9]]*-1</f>
        <v>0</v>
      </c>
      <c r="BE347">
        <f>(Table13[[#This Row],[SgammaC]]+Table13[[#This Row],[SgammaP]])*$A$4*-100</f>
        <v>0</v>
      </c>
      <c r="BF347">
        <f>Table13[[#This Row],[DEXc]]+Table13[[#This Row],[DEXp]]</f>
        <v>0</v>
      </c>
      <c r="BG347">
        <f>IFERROR(Table13[[#This Row],[DeltaC]]*Table13[[#This Row],[Open.Int]]*$A$4,0)</f>
        <v>0</v>
      </c>
      <c r="BH347">
        <f>IFERROR(Table13[[#This Row],[DeltaP]]*Table13[[#This Row],[Open.Int8]]*$A$4,0)</f>
        <v>0</v>
      </c>
      <c r="BI34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7">
        <f ca="1">Table13[[#This Row],[charmc]]+Table13[[#This Row],[charmp]]</f>
        <v>0</v>
      </c>
      <c r="BL34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7" s="78">
        <f ca="1">Table13[[#This Row],[call helper]]+Table13[[#This Row],[put helper]]</f>
        <v>0</v>
      </c>
      <c r="BP347" t="str">
        <f>RTD("tos.rtd", , "STRIKE", "."&amp;Table13[[#This Row],[Ticker]]&amp;Table13[[#This Row],[Expiry]]&amp;""&amp;"C"&amp;Table13[[#This Row],[Spot]]+Table13[[#This Row],[step]])</f>
        <v>N/A</v>
      </c>
    </row>
    <row r="348" spans="1:68" x14ac:dyDescent="0.25">
      <c r="A348" s="14">
        <f t="shared" ca="1" si="34"/>
        <v>-126.14810350076104</v>
      </c>
      <c r="C348" s="17"/>
      <c r="D348" t="b">
        <f>IF(
    ISNUMBER(Table13[[#This Row],[Strike]]),RTD("tos.rtd", , "OPEN_INT", "."&amp;Table13[[#This Row],[Ticker]]&amp;Table13[[#This Row],[Expiry]]&amp;""&amp;"C"&amp;Table13[[#This Row],[Strike]]))</f>
        <v>0</v>
      </c>
      <c r="E34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8" t="b">
        <f>IF(     ISNUMBER(Table13[[#This Row],[Strike]]),RTD("tos.rtd", , "DELTA", "."&amp;Table13[[#This Row],[Ticker]]&amp;Table13[[#This Row],[Expiry]]&amp;""&amp;"C"&amp;Table13[[#This Row],[Strike]]))</f>
        <v>0</v>
      </c>
      <c r="H348" s="17" t="b" cm="1">
        <f t="array" ref="H348">IF(
    ISNUMBER(Table13[[#This Row],[Strike]]),IndividualLegIVCore($A$4, Table13[[#This Row],[Strike]], 0.0411, Table13[[#This Row],[T]], ((Table13[[#This Row],[BIDC]]+Table13[[#This Row],[ASKC]])/2), TRUE))</f>
        <v>0</v>
      </c>
      <c r="I348" t="b">
        <f>IF(     ISNUMBER(Table13[[#This Row],[Strike]]),RTD("tos.rtd", , "BID", "."&amp;Table13[[#This Row],[Ticker]]&amp;Table13[[#This Row],[Expiry]]&amp;""&amp;"C"&amp;Table13[[#This Row],[Strike]]))</f>
        <v>0</v>
      </c>
      <c r="J348" t="b">
        <f>IF(     ISNUMBER(Table13[[#This Row],[Strike]]),RTD("tos.rtd", , "ASK", "."&amp;Table13[[#This Row],[Ticker]]&amp;Table13[[#This Row],[Expiry]]&amp;""&amp;"C"&amp;Table13[[#This Row],[Strike]]))</f>
        <v>0</v>
      </c>
      <c r="K34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8" s="17" cm="1">
        <f t="array" aca="1" ref="L34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8" s="1">
        <f t="shared" si="35"/>
        <v>0</v>
      </c>
      <c r="N348" t="b">
        <f t="shared" si="36"/>
        <v>0</v>
      </c>
      <c r="P348" s="17" t="b" cm="1">
        <f t="array" ref="P348">IF(
    ISNUMBER(Table13[[#This Row],[Strike]]),IndividualLegIVCore($A$4, Table13[[#This Row],[Strike]], 0.0411, Table13[[#This Row],[T]], ((Table13[[#This Row],[BIDP]]+Table13[[#This Row],[ASKP]])/2), FALSE))</f>
        <v>0</v>
      </c>
      <c r="Q348" t="b">
        <f>IF(     ISNUMBER(Table13[[#This Row],[Strike]]),RTD("tos.rtd", , "BID", "."&amp;Table13[[#This Row],[Ticker]]&amp;Table13[[#This Row],[Expiry]]&amp;""&amp;"P"&amp;Table13[[#This Row],[Strike]]))</f>
        <v>0</v>
      </c>
      <c r="R348" t="b">
        <f>IF(     ISNUMBER(Table13[[#This Row],[Strike]]),RTD("tos.rtd", , "ASK", "."&amp;Table13[[#This Row],[Ticker]]&amp;Table13[[#This Row],[Expiry]]&amp;""&amp;"P"&amp;Table13[[#This Row],[Strike]]))</f>
        <v>0</v>
      </c>
      <c r="S348" s="17"/>
      <c r="T348" t="b">
        <f>IF(     ISNUMBER(Table13[[#This Row],[Strike]]),RTD("tos.rtd", , "OPEN_INT", "."&amp;Table13[[#This Row],[Ticker]]&amp;Table13[[#This Row],[Expiry]]&amp;""&amp;"P"&amp;Table13[[#This Row],[Strike]]))</f>
        <v>0</v>
      </c>
      <c r="U34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8" t="b">
        <f>IF(     ISNUMBER(Table13[[#This Row],[Strike]]),RTD("tos.rtd", , "DELTA", "."&amp;Table13[[#This Row],[Ticker]]&amp;Table13[[#This Row],[Expiry]]&amp;""&amp;"P"&amp;Table13[[#This Row],[Strike]]))</f>
        <v>0</v>
      </c>
      <c r="Y348" s="19">
        <f>17.5* IF($M$1="NDX", 10, IF(OR($M$1="SPX", $M$1="RUT"), 2, 1))</f>
        <v>35</v>
      </c>
      <c r="Z348">
        <f ca="1">IFERROR(Table13[[#This Row],[call gamma]]*(Table13[[#This Row],[Open.Int]])*$A$4^2,0)</f>
        <v>0</v>
      </c>
      <c r="AA348">
        <f ca="1">IFERROR(((Table13[[#This Row],[Open.Int8]])*Table13[[#This Row],[Put gamma]])*-1*$A$4^2,0)</f>
        <v>0</v>
      </c>
      <c r="AB348">
        <f ca="1">(Table13[[#This Row],[Call Gex]]+Table13[[#This Row],[Put Gex]])</f>
        <v>0</v>
      </c>
      <c r="AC348">
        <f ca="1">Table13[[#This Row],[put delta adj]]+Table13[[#This Row],[call delta adj]]</f>
        <v>0</v>
      </c>
      <c r="AD348">
        <f ca="1">Table13[[#This Row],[Put Gex]]*Table13[[#This Row],[DeltaP]]*-1</f>
        <v>0</v>
      </c>
      <c r="AE348">
        <f ca="1">Table13[[#This Row],[Call Gex]]*Table13[[#This Row],[DeltaC]]</f>
        <v>0</v>
      </c>
      <c r="AF348">
        <f>IF(Table13[[#This Row],[DeltaC]]-ABS(Table13[[#This Row],[DeltaP]])="0","0.01",Table13[[#This Row],[DeltaC]]-ABS(Table13[[#This Row],[DeltaP]]))</f>
        <v>0</v>
      </c>
      <c r="AG348" t="e">
        <f ca="1">((LN($A$4/Table13[[#This Row],[Strike]]) + (0.411 + 0.5 * Table13[[#This Row],[IV Calc P]]^2) *Table13[[#This Row],[T]])) / (Table13[[#This Row],[IV Calc P]] * SQRT(Table13[[#This Row],[T]]))</f>
        <v>#DIV/0!</v>
      </c>
      <c r="AH348" t="e">
        <f ca="1">(LN($A$4/Table13[[#This Row],[Strike]]) + (0.411-0 + 0.5 * Table13[[#This Row],[IV Calc C]]^2) *Table13[[#This Row],[T]]) / (Table13[[#This Row],[IV Calc C]] * SQRT(Table13[[#This Row],[T]]))</f>
        <v>#DIV/0!</v>
      </c>
      <c r="AI348" t="e">
        <f ca="1">(EXP(-(AG348^2)/2)/SQRT(2*PI())*EXP(0*SQRT(Table13[[#This Row],[T]]))/$A$4*18%*SQRT(SQRT(Table13[[#This Row],[T]])))</f>
        <v>#DIV/0!</v>
      </c>
      <c r="AJ348" t="e">
        <f ca="1">(EXP(-(AH348^2)/2)/SQRT(2*PI())*EXP(0*SQRT(Table13[[#This Row],[T]]))/$A$4*18%*SQRT(SQRT(Table13[[#This Row],[T]])))</f>
        <v>#DIV/0!</v>
      </c>
      <c r="AK348" t="e">
        <f ca="1">Table13[[#This Row],[Call D1]]-Table13[[#This Row],[IV Calc C]]*SQRT(Table13[[#This Row],[T]])</f>
        <v>#DIV/0!</v>
      </c>
      <c r="AL348" t="e">
        <f ca="1">Table13[[#This Row],[Put D1]]-Table13[[#This Row],[IV Calc P]]*SQRT(Table13[[#This Row],[T]])</f>
        <v>#DIV/0!</v>
      </c>
      <c r="AM348" t="e">
        <f ca="1">EXP(-0.5*Table13[[#This Row],[Call D1]]^2)/SQRT(2*PI())</f>
        <v>#DIV/0!</v>
      </c>
      <c r="AN348" t="e">
        <f ca="1">EXP(-0.5*Table13[[#This Row],[Put D1]]^2)/SQRT(2*PI())</f>
        <v>#DIV/0!</v>
      </c>
      <c r="AO348">
        <f ca="1">IFERROR((EXP(0*Table13[[#This Row],[T]])*Table13[[#This Row],[call N(d1)]]*(Table13[[#This Row],[call d2]]/Table13[[#This Row],[IV Calc C]]))*Table13[[#This Row],[Open.Int]]*Table13[[#This Row],[DeltaC]],0)</f>
        <v>0</v>
      </c>
      <c r="AP348">
        <f ca="1">IFERROR((EXP(0*Table13[[#This Row],[T]])*Table13[[#This Row],[put N(d1)]]*(Table13[[#This Row],[put d2]]/Table13[[#This Row],[IV Calc P]]))*Table13[[#This Row],[Open.Int8]]*Table13[[#This Row],[DeltaP]]*-1,0)</f>
        <v>0</v>
      </c>
      <c r="AQ348">
        <f ca="1">((Table13[[#This Row],[call vanna]]+Table13[[#This Row],[put vanna]])*$A$4)</f>
        <v>0</v>
      </c>
      <c r="AR34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8" s="9" t="str" cm="1">
        <f t="array" ref="AT348">_xlfn.IFS(     $M$1="SPX","SPXW",     $M$1="RUT","RUTW",  $M$1="NDX","NDXP",   TRUE,$M$1 )</f>
        <v>SPXW</v>
      </c>
      <c r="AU348" s="2">
        <f t="shared" si="37"/>
        <v>6915</v>
      </c>
      <c r="AV348" t="str">
        <f t="shared" si="38"/>
        <v>000100</v>
      </c>
      <c r="AY34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8">
        <f>((Table13[[#This Row],[High C]]+Table13[[#This Row],[Low C]])/2)*Table13[[#This Row],[gammac]]*Table13[[#This Row],[Volume]]</f>
        <v>0</v>
      </c>
      <c r="BD348">
        <f>((Table13[[#This Row],[High P]]+Table13[[#This Row],[Low P]])/2)*Table13[[#This Row],[gammap]]*Table13[[#This Row],[Volume9]]*-1</f>
        <v>0</v>
      </c>
      <c r="BE348">
        <f>(Table13[[#This Row],[SgammaC]]+Table13[[#This Row],[SgammaP]])*$A$4*-100</f>
        <v>0</v>
      </c>
      <c r="BF348">
        <f>Table13[[#This Row],[DEXc]]+Table13[[#This Row],[DEXp]]</f>
        <v>0</v>
      </c>
      <c r="BG348">
        <f>IFERROR(Table13[[#This Row],[DeltaC]]*Table13[[#This Row],[Open.Int]]*$A$4,0)</f>
        <v>0</v>
      </c>
      <c r="BH348">
        <f>IFERROR(Table13[[#This Row],[DeltaP]]*Table13[[#This Row],[Open.Int8]]*$A$4,0)</f>
        <v>0</v>
      </c>
      <c r="BI34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8">
        <f ca="1">Table13[[#This Row],[charmc]]+Table13[[#This Row],[charmp]]</f>
        <v>0</v>
      </c>
      <c r="BL34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8" s="78">
        <f ca="1">Table13[[#This Row],[call helper]]+Table13[[#This Row],[put helper]]</f>
        <v>0</v>
      </c>
      <c r="BP348" t="str">
        <f>RTD("tos.rtd", , "STRIKE", "."&amp;Table13[[#This Row],[Ticker]]&amp;Table13[[#This Row],[Expiry]]&amp;""&amp;"C"&amp;Table13[[#This Row],[Spot]]+Table13[[#This Row],[step]])</f>
        <v>N/A</v>
      </c>
    </row>
    <row r="349" spans="1:68" x14ac:dyDescent="0.25">
      <c r="A349" s="14">
        <f t="shared" ca="1" si="34"/>
        <v>-126.14810350076104</v>
      </c>
      <c r="C349" s="17"/>
      <c r="D349" t="b">
        <f>IF(
    ISNUMBER(Table13[[#This Row],[Strike]]),RTD("tos.rtd", , "OPEN_INT", "."&amp;Table13[[#This Row],[Ticker]]&amp;Table13[[#This Row],[Expiry]]&amp;""&amp;"C"&amp;Table13[[#This Row],[Strike]]))</f>
        <v>0</v>
      </c>
      <c r="E34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9" t="b">
        <f>IF(     ISNUMBER(Table13[[#This Row],[Strike]]),RTD("tos.rtd", , "DELTA", "."&amp;Table13[[#This Row],[Ticker]]&amp;Table13[[#This Row],[Expiry]]&amp;""&amp;"C"&amp;Table13[[#This Row],[Strike]]))</f>
        <v>0</v>
      </c>
      <c r="H349" s="17" t="b" cm="1">
        <f t="array" ref="H349">IF(
    ISNUMBER(Table13[[#This Row],[Strike]]),IndividualLegIVCore($A$4, Table13[[#This Row],[Strike]], 0.0411, Table13[[#This Row],[T]], ((Table13[[#This Row],[BIDC]]+Table13[[#This Row],[ASKC]])/2), TRUE))</f>
        <v>0</v>
      </c>
      <c r="I349" t="b">
        <f>IF(     ISNUMBER(Table13[[#This Row],[Strike]]),RTD("tos.rtd", , "BID", "."&amp;Table13[[#This Row],[Ticker]]&amp;Table13[[#This Row],[Expiry]]&amp;""&amp;"C"&amp;Table13[[#This Row],[Strike]]))</f>
        <v>0</v>
      </c>
      <c r="J349" t="b">
        <f>IF(     ISNUMBER(Table13[[#This Row],[Strike]]),RTD("tos.rtd", , "ASK", "."&amp;Table13[[#This Row],[Ticker]]&amp;Table13[[#This Row],[Expiry]]&amp;""&amp;"C"&amp;Table13[[#This Row],[Strike]]))</f>
        <v>0</v>
      </c>
      <c r="K34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9" s="17" cm="1">
        <f t="array" aca="1" ref="L34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49" s="1">
        <f t="shared" si="35"/>
        <v>0</v>
      </c>
      <c r="N349" t="b">
        <f t="shared" si="36"/>
        <v>0</v>
      </c>
      <c r="P349" s="17" t="b" cm="1">
        <f t="array" ref="P349">IF(
    ISNUMBER(Table13[[#This Row],[Strike]]),IndividualLegIVCore($A$4, Table13[[#This Row],[Strike]], 0.0411, Table13[[#This Row],[T]], ((Table13[[#This Row],[BIDP]]+Table13[[#This Row],[ASKP]])/2), FALSE))</f>
        <v>0</v>
      </c>
      <c r="Q349" t="b">
        <f>IF(     ISNUMBER(Table13[[#This Row],[Strike]]),RTD("tos.rtd", , "BID", "."&amp;Table13[[#This Row],[Ticker]]&amp;Table13[[#This Row],[Expiry]]&amp;""&amp;"P"&amp;Table13[[#This Row],[Strike]]))</f>
        <v>0</v>
      </c>
      <c r="R349" t="b">
        <f>IF(     ISNUMBER(Table13[[#This Row],[Strike]]),RTD("tos.rtd", , "ASK", "."&amp;Table13[[#This Row],[Ticker]]&amp;Table13[[#This Row],[Expiry]]&amp;""&amp;"P"&amp;Table13[[#This Row],[Strike]]))</f>
        <v>0</v>
      </c>
      <c r="S349" s="17"/>
      <c r="T349" t="b">
        <f>IF(     ISNUMBER(Table13[[#This Row],[Strike]]),RTD("tos.rtd", , "OPEN_INT", "."&amp;Table13[[#This Row],[Ticker]]&amp;Table13[[#This Row],[Expiry]]&amp;""&amp;"P"&amp;Table13[[#This Row],[Strike]]))</f>
        <v>0</v>
      </c>
      <c r="U34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9" t="b">
        <f>IF(     ISNUMBER(Table13[[#This Row],[Strike]]),RTD("tos.rtd", , "DELTA", "."&amp;Table13[[#This Row],[Ticker]]&amp;Table13[[#This Row],[Expiry]]&amp;""&amp;"P"&amp;Table13[[#This Row],[Strike]]))</f>
        <v>0</v>
      </c>
      <c r="Y349" s="19">
        <f>18* IF($M$1="NDX", 10, IF(OR($M$1="SPX", $M$1="RUT"), 2, 1))</f>
        <v>36</v>
      </c>
      <c r="Z349">
        <f ca="1">IFERROR(Table13[[#This Row],[call gamma]]*(Table13[[#This Row],[Open.Int]])*$A$4^2,0)</f>
        <v>0</v>
      </c>
      <c r="AA349">
        <f ca="1">IFERROR(((Table13[[#This Row],[Open.Int8]])*Table13[[#This Row],[Put gamma]])*-1*$A$4^2,0)</f>
        <v>0</v>
      </c>
      <c r="AB349">
        <f ca="1">(Table13[[#This Row],[Call Gex]]+Table13[[#This Row],[Put Gex]])</f>
        <v>0</v>
      </c>
      <c r="AC349">
        <f ca="1">Table13[[#This Row],[put delta adj]]+Table13[[#This Row],[call delta adj]]</f>
        <v>0</v>
      </c>
      <c r="AD349">
        <f ca="1">Table13[[#This Row],[Put Gex]]*Table13[[#This Row],[DeltaP]]*-1</f>
        <v>0</v>
      </c>
      <c r="AE349">
        <f ca="1">Table13[[#This Row],[Call Gex]]*Table13[[#This Row],[DeltaC]]</f>
        <v>0</v>
      </c>
      <c r="AF349">
        <f>IF(Table13[[#This Row],[DeltaC]]-ABS(Table13[[#This Row],[DeltaP]])="0","0.01",Table13[[#This Row],[DeltaC]]-ABS(Table13[[#This Row],[DeltaP]]))</f>
        <v>0</v>
      </c>
      <c r="AG349" t="e">
        <f ca="1">((LN($A$4/Table13[[#This Row],[Strike]]) + (0.411 + 0.5 * Table13[[#This Row],[IV Calc P]]^2) *Table13[[#This Row],[T]])) / (Table13[[#This Row],[IV Calc P]] * SQRT(Table13[[#This Row],[T]]))</f>
        <v>#DIV/0!</v>
      </c>
      <c r="AH349" t="e">
        <f ca="1">(LN($A$4/Table13[[#This Row],[Strike]]) + (0.411-0 + 0.5 * Table13[[#This Row],[IV Calc C]]^2) *Table13[[#This Row],[T]]) / (Table13[[#This Row],[IV Calc C]] * SQRT(Table13[[#This Row],[T]]))</f>
        <v>#DIV/0!</v>
      </c>
      <c r="AI349" t="e">
        <f ca="1">(EXP(-(AG349^2)/2)/SQRT(2*PI())*EXP(0*SQRT(Table13[[#This Row],[T]]))/$A$4*18%*SQRT(SQRT(Table13[[#This Row],[T]])))</f>
        <v>#DIV/0!</v>
      </c>
      <c r="AJ349" t="e">
        <f ca="1">(EXP(-(AH349^2)/2)/SQRT(2*PI())*EXP(0*SQRT(Table13[[#This Row],[T]]))/$A$4*18%*SQRT(SQRT(Table13[[#This Row],[T]])))</f>
        <v>#DIV/0!</v>
      </c>
      <c r="AK349" t="e">
        <f ca="1">Table13[[#This Row],[Call D1]]-Table13[[#This Row],[IV Calc C]]*SQRT(Table13[[#This Row],[T]])</f>
        <v>#DIV/0!</v>
      </c>
      <c r="AL349" t="e">
        <f ca="1">Table13[[#This Row],[Put D1]]-Table13[[#This Row],[IV Calc P]]*SQRT(Table13[[#This Row],[T]])</f>
        <v>#DIV/0!</v>
      </c>
      <c r="AM349" t="e">
        <f ca="1">EXP(-0.5*Table13[[#This Row],[Call D1]]^2)/SQRT(2*PI())</f>
        <v>#DIV/0!</v>
      </c>
      <c r="AN349" t="e">
        <f ca="1">EXP(-0.5*Table13[[#This Row],[Put D1]]^2)/SQRT(2*PI())</f>
        <v>#DIV/0!</v>
      </c>
      <c r="AO349">
        <f ca="1">IFERROR((EXP(0*Table13[[#This Row],[T]])*Table13[[#This Row],[call N(d1)]]*(Table13[[#This Row],[call d2]]/Table13[[#This Row],[IV Calc C]]))*Table13[[#This Row],[Open.Int]]*Table13[[#This Row],[DeltaC]],0)</f>
        <v>0</v>
      </c>
      <c r="AP349">
        <f ca="1">IFERROR((EXP(0*Table13[[#This Row],[T]])*Table13[[#This Row],[put N(d1)]]*(Table13[[#This Row],[put d2]]/Table13[[#This Row],[IV Calc P]]))*Table13[[#This Row],[Open.Int8]]*Table13[[#This Row],[DeltaP]]*-1,0)</f>
        <v>0</v>
      </c>
      <c r="AQ349">
        <f ca="1">((Table13[[#This Row],[call vanna]]+Table13[[#This Row],[put vanna]])*$A$4)</f>
        <v>0</v>
      </c>
      <c r="AR34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9" s="9" t="str" cm="1">
        <f t="array" ref="AT349">_xlfn.IFS(     $M$1="SPX","SPXW",     $M$1="RUT","RUTW",  $M$1="NDX","NDXP",   TRUE,$M$1 )</f>
        <v>SPXW</v>
      </c>
      <c r="AU349" s="2">
        <f t="shared" si="37"/>
        <v>6915</v>
      </c>
      <c r="AV349" t="str">
        <f t="shared" si="38"/>
        <v>000100</v>
      </c>
      <c r="AY34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9">
        <f>((Table13[[#This Row],[High C]]+Table13[[#This Row],[Low C]])/2)*Table13[[#This Row],[gammac]]*Table13[[#This Row],[Volume]]</f>
        <v>0</v>
      </c>
      <c r="BD349">
        <f>((Table13[[#This Row],[High P]]+Table13[[#This Row],[Low P]])/2)*Table13[[#This Row],[gammap]]*Table13[[#This Row],[Volume9]]*-1</f>
        <v>0</v>
      </c>
      <c r="BE349">
        <f>(Table13[[#This Row],[SgammaC]]+Table13[[#This Row],[SgammaP]])*$A$4*-100</f>
        <v>0</v>
      </c>
      <c r="BF349">
        <f>Table13[[#This Row],[DEXc]]+Table13[[#This Row],[DEXp]]</f>
        <v>0</v>
      </c>
      <c r="BG349">
        <f>IFERROR(Table13[[#This Row],[DeltaC]]*Table13[[#This Row],[Open.Int]]*$A$4,0)</f>
        <v>0</v>
      </c>
      <c r="BH349">
        <f>IFERROR(Table13[[#This Row],[DeltaP]]*Table13[[#This Row],[Open.Int8]]*$A$4,0)</f>
        <v>0</v>
      </c>
      <c r="BI34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9">
        <f ca="1">Table13[[#This Row],[charmc]]+Table13[[#This Row],[charmp]]</f>
        <v>0</v>
      </c>
      <c r="BL34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9" s="78">
        <f ca="1">Table13[[#This Row],[call helper]]+Table13[[#This Row],[put helper]]</f>
        <v>0</v>
      </c>
      <c r="BP349" t="str">
        <f>RTD("tos.rtd", , "STRIKE", "."&amp;Table13[[#This Row],[Ticker]]&amp;Table13[[#This Row],[Expiry]]&amp;""&amp;"C"&amp;Table13[[#This Row],[Spot]]+Table13[[#This Row],[step]])</f>
        <v>N/A</v>
      </c>
    </row>
    <row r="350" spans="1:68" x14ac:dyDescent="0.25">
      <c r="A350" s="14">
        <f t="shared" ca="1" si="34"/>
        <v>-126.14810350076104</v>
      </c>
      <c r="C350" s="17"/>
      <c r="D350" t="b">
        <f>IF(
    ISNUMBER(Table13[[#This Row],[Strike]]),RTD("tos.rtd", , "OPEN_INT", "."&amp;Table13[[#This Row],[Ticker]]&amp;Table13[[#This Row],[Expiry]]&amp;""&amp;"C"&amp;Table13[[#This Row],[Strike]]))</f>
        <v>0</v>
      </c>
      <c r="E35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0" t="b">
        <f>IF(     ISNUMBER(Table13[[#This Row],[Strike]]),RTD("tos.rtd", , "DELTA", "."&amp;Table13[[#This Row],[Ticker]]&amp;Table13[[#This Row],[Expiry]]&amp;""&amp;"C"&amp;Table13[[#This Row],[Strike]]))</f>
        <v>0</v>
      </c>
      <c r="H350" s="17" t="b" cm="1">
        <f t="array" ref="H350">IF(
    ISNUMBER(Table13[[#This Row],[Strike]]),IndividualLegIVCore($A$4, Table13[[#This Row],[Strike]], 0.0411, Table13[[#This Row],[T]], ((Table13[[#This Row],[BIDC]]+Table13[[#This Row],[ASKC]])/2), TRUE))</f>
        <v>0</v>
      </c>
      <c r="I350" t="b">
        <f>IF(     ISNUMBER(Table13[[#This Row],[Strike]]),RTD("tos.rtd", , "BID", "."&amp;Table13[[#This Row],[Ticker]]&amp;Table13[[#This Row],[Expiry]]&amp;""&amp;"C"&amp;Table13[[#This Row],[Strike]]))</f>
        <v>0</v>
      </c>
      <c r="J350" t="b">
        <f>IF(     ISNUMBER(Table13[[#This Row],[Strike]]),RTD("tos.rtd", , "ASK", "."&amp;Table13[[#This Row],[Ticker]]&amp;Table13[[#This Row],[Expiry]]&amp;""&amp;"C"&amp;Table13[[#This Row],[Strike]]))</f>
        <v>0</v>
      </c>
      <c r="K35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0" s="17" cm="1">
        <f t="array" aca="1" ref="L35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0" s="1">
        <f t="shared" si="35"/>
        <v>0</v>
      </c>
      <c r="N350" t="b">
        <f t="shared" si="36"/>
        <v>0</v>
      </c>
      <c r="P350" s="17" t="b" cm="1">
        <f t="array" ref="P350">IF(
    ISNUMBER(Table13[[#This Row],[Strike]]),IndividualLegIVCore($A$4, Table13[[#This Row],[Strike]], 0.0411, Table13[[#This Row],[T]], ((Table13[[#This Row],[BIDP]]+Table13[[#This Row],[ASKP]])/2), FALSE))</f>
        <v>0</v>
      </c>
      <c r="Q350" t="b">
        <f>IF(     ISNUMBER(Table13[[#This Row],[Strike]]),RTD("tos.rtd", , "BID", "."&amp;Table13[[#This Row],[Ticker]]&amp;Table13[[#This Row],[Expiry]]&amp;""&amp;"P"&amp;Table13[[#This Row],[Strike]]))</f>
        <v>0</v>
      </c>
      <c r="R350" t="b">
        <f>IF(     ISNUMBER(Table13[[#This Row],[Strike]]),RTD("tos.rtd", , "ASK", "."&amp;Table13[[#This Row],[Ticker]]&amp;Table13[[#This Row],[Expiry]]&amp;""&amp;"P"&amp;Table13[[#This Row],[Strike]]))</f>
        <v>0</v>
      </c>
      <c r="S350" s="17"/>
      <c r="T350" t="b">
        <f>IF(     ISNUMBER(Table13[[#This Row],[Strike]]),RTD("tos.rtd", , "OPEN_INT", "."&amp;Table13[[#This Row],[Ticker]]&amp;Table13[[#This Row],[Expiry]]&amp;""&amp;"P"&amp;Table13[[#This Row],[Strike]]))</f>
        <v>0</v>
      </c>
      <c r="U35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0" t="b">
        <f>IF(     ISNUMBER(Table13[[#This Row],[Strike]]),RTD("tos.rtd", , "DELTA", "."&amp;Table13[[#This Row],[Ticker]]&amp;Table13[[#This Row],[Expiry]]&amp;""&amp;"P"&amp;Table13[[#This Row],[Strike]]))</f>
        <v>0</v>
      </c>
      <c r="Y350" s="19">
        <f>18.5* IF($M$1="NDX", 10, IF(OR($M$1="SPX", $M$1="RUT"), 2, 1))</f>
        <v>37</v>
      </c>
      <c r="Z350">
        <f ca="1">IFERROR(Table13[[#This Row],[call gamma]]*(Table13[[#This Row],[Open.Int]])*$A$4^2,0)</f>
        <v>0</v>
      </c>
      <c r="AA350">
        <f ca="1">IFERROR(((Table13[[#This Row],[Open.Int8]])*Table13[[#This Row],[Put gamma]])*-1*$A$4^2,0)</f>
        <v>0</v>
      </c>
      <c r="AB350">
        <f ca="1">(Table13[[#This Row],[Call Gex]]+Table13[[#This Row],[Put Gex]])</f>
        <v>0</v>
      </c>
      <c r="AC350">
        <f ca="1">Table13[[#This Row],[put delta adj]]+Table13[[#This Row],[call delta adj]]</f>
        <v>0</v>
      </c>
      <c r="AD350">
        <f ca="1">Table13[[#This Row],[Put Gex]]*Table13[[#This Row],[DeltaP]]*-1</f>
        <v>0</v>
      </c>
      <c r="AE350">
        <f ca="1">Table13[[#This Row],[Call Gex]]*Table13[[#This Row],[DeltaC]]</f>
        <v>0</v>
      </c>
      <c r="AF350">
        <f>IF(Table13[[#This Row],[DeltaC]]-ABS(Table13[[#This Row],[DeltaP]])="0","0.01",Table13[[#This Row],[DeltaC]]-ABS(Table13[[#This Row],[DeltaP]]))</f>
        <v>0</v>
      </c>
      <c r="AG350" t="e">
        <f ca="1">((LN($A$4/Table13[[#This Row],[Strike]]) + (0.411 + 0.5 * Table13[[#This Row],[IV Calc P]]^2) *Table13[[#This Row],[T]])) / (Table13[[#This Row],[IV Calc P]] * SQRT(Table13[[#This Row],[T]]))</f>
        <v>#DIV/0!</v>
      </c>
      <c r="AH350" t="e">
        <f ca="1">(LN($A$4/Table13[[#This Row],[Strike]]) + (0.411-0 + 0.5 * Table13[[#This Row],[IV Calc C]]^2) *Table13[[#This Row],[T]]) / (Table13[[#This Row],[IV Calc C]] * SQRT(Table13[[#This Row],[T]]))</f>
        <v>#DIV/0!</v>
      </c>
      <c r="AI350" t="e">
        <f ca="1">(EXP(-(AG350^2)/2)/SQRT(2*PI())*EXP(0*SQRT(Table13[[#This Row],[T]]))/$A$4*18%*SQRT(SQRT(Table13[[#This Row],[T]])))</f>
        <v>#DIV/0!</v>
      </c>
      <c r="AJ350" t="e">
        <f ca="1">(EXP(-(AH350^2)/2)/SQRT(2*PI())*EXP(0*SQRT(Table13[[#This Row],[T]]))/$A$4*18%*SQRT(SQRT(Table13[[#This Row],[T]])))</f>
        <v>#DIV/0!</v>
      </c>
      <c r="AK350" t="e">
        <f ca="1">Table13[[#This Row],[Call D1]]-Table13[[#This Row],[IV Calc C]]*SQRT(Table13[[#This Row],[T]])</f>
        <v>#DIV/0!</v>
      </c>
      <c r="AL350" t="e">
        <f ca="1">Table13[[#This Row],[Put D1]]-Table13[[#This Row],[IV Calc P]]*SQRT(Table13[[#This Row],[T]])</f>
        <v>#DIV/0!</v>
      </c>
      <c r="AM350" t="e">
        <f ca="1">EXP(-0.5*Table13[[#This Row],[Call D1]]^2)/SQRT(2*PI())</f>
        <v>#DIV/0!</v>
      </c>
      <c r="AN350" t="e">
        <f ca="1">EXP(-0.5*Table13[[#This Row],[Put D1]]^2)/SQRT(2*PI())</f>
        <v>#DIV/0!</v>
      </c>
      <c r="AO350">
        <f ca="1">IFERROR((EXP(0*Table13[[#This Row],[T]])*Table13[[#This Row],[call N(d1)]]*(Table13[[#This Row],[call d2]]/Table13[[#This Row],[IV Calc C]]))*Table13[[#This Row],[Open.Int]]*Table13[[#This Row],[DeltaC]],0)</f>
        <v>0</v>
      </c>
      <c r="AP350">
        <f ca="1">IFERROR((EXP(0*Table13[[#This Row],[T]])*Table13[[#This Row],[put N(d1)]]*(Table13[[#This Row],[put d2]]/Table13[[#This Row],[IV Calc P]]))*Table13[[#This Row],[Open.Int8]]*Table13[[#This Row],[DeltaP]]*-1,0)</f>
        <v>0</v>
      </c>
      <c r="AQ350">
        <f ca="1">((Table13[[#This Row],[call vanna]]+Table13[[#This Row],[put vanna]])*$A$4)</f>
        <v>0</v>
      </c>
      <c r="AR35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0" s="9" t="str" cm="1">
        <f t="array" ref="AT350">_xlfn.IFS(     $M$1="SPX","SPXW",     $M$1="RUT","RUTW",  $M$1="NDX","NDXP",   TRUE,$M$1 )</f>
        <v>SPXW</v>
      </c>
      <c r="AU350" s="2">
        <f t="shared" si="37"/>
        <v>6915</v>
      </c>
      <c r="AV350" t="str">
        <f t="shared" si="38"/>
        <v>000100</v>
      </c>
      <c r="AY35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0">
        <f>((Table13[[#This Row],[High C]]+Table13[[#This Row],[Low C]])/2)*Table13[[#This Row],[gammac]]*Table13[[#This Row],[Volume]]</f>
        <v>0</v>
      </c>
      <c r="BD350">
        <f>((Table13[[#This Row],[High P]]+Table13[[#This Row],[Low P]])/2)*Table13[[#This Row],[gammap]]*Table13[[#This Row],[Volume9]]*-1</f>
        <v>0</v>
      </c>
      <c r="BE350">
        <f>(Table13[[#This Row],[SgammaC]]+Table13[[#This Row],[SgammaP]])*$A$4*-100</f>
        <v>0</v>
      </c>
      <c r="BF350">
        <f>Table13[[#This Row],[DEXc]]+Table13[[#This Row],[DEXp]]</f>
        <v>0</v>
      </c>
      <c r="BG350">
        <f>IFERROR(Table13[[#This Row],[DeltaC]]*Table13[[#This Row],[Open.Int]]*$A$4,0)</f>
        <v>0</v>
      </c>
      <c r="BH350">
        <f>IFERROR(Table13[[#This Row],[DeltaP]]*Table13[[#This Row],[Open.Int8]]*$A$4,0)</f>
        <v>0</v>
      </c>
      <c r="BI35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0">
        <f ca="1">Table13[[#This Row],[charmc]]+Table13[[#This Row],[charmp]]</f>
        <v>0</v>
      </c>
      <c r="BL35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0" s="78">
        <f ca="1">Table13[[#This Row],[call helper]]+Table13[[#This Row],[put helper]]</f>
        <v>0</v>
      </c>
      <c r="BP350" t="str">
        <f>RTD("tos.rtd", , "STRIKE", "."&amp;Table13[[#This Row],[Ticker]]&amp;Table13[[#This Row],[Expiry]]&amp;""&amp;"C"&amp;Table13[[#This Row],[Spot]]+Table13[[#This Row],[step]])</f>
        <v>N/A</v>
      </c>
    </row>
    <row r="351" spans="1:68" x14ac:dyDescent="0.25">
      <c r="A351" s="14">
        <f t="shared" ca="1" si="34"/>
        <v>-126.14810350076104</v>
      </c>
      <c r="C351" s="17"/>
      <c r="D351" t="b">
        <f>IF(
    ISNUMBER(Table13[[#This Row],[Strike]]),RTD("tos.rtd", , "OPEN_INT", "."&amp;Table13[[#This Row],[Ticker]]&amp;Table13[[#This Row],[Expiry]]&amp;""&amp;"C"&amp;Table13[[#This Row],[Strike]]))</f>
        <v>0</v>
      </c>
      <c r="E35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1" t="b">
        <f>IF(     ISNUMBER(Table13[[#This Row],[Strike]]),RTD("tos.rtd", , "DELTA", "."&amp;Table13[[#This Row],[Ticker]]&amp;Table13[[#This Row],[Expiry]]&amp;""&amp;"C"&amp;Table13[[#This Row],[Strike]]))</f>
        <v>0</v>
      </c>
      <c r="H351" s="17" t="b" cm="1">
        <f t="array" ref="H351">IF(
    ISNUMBER(Table13[[#This Row],[Strike]]),IndividualLegIVCore($A$4, Table13[[#This Row],[Strike]], 0.0411, Table13[[#This Row],[T]], ((Table13[[#This Row],[BIDC]]+Table13[[#This Row],[ASKC]])/2), TRUE))</f>
        <v>0</v>
      </c>
      <c r="I351" t="b">
        <f>IF(     ISNUMBER(Table13[[#This Row],[Strike]]),RTD("tos.rtd", , "BID", "."&amp;Table13[[#This Row],[Ticker]]&amp;Table13[[#This Row],[Expiry]]&amp;""&amp;"C"&amp;Table13[[#This Row],[Strike]]))</f>
        <v>0</v>
      </c>
      <c r="J351" t="b">
        <f>IF(     ISNUMBER(Table13[[#This Row],[Strike]]),RTD("tos.rtd", , "ASK", "."&amp;Table13[[#This Row],[Ticker]]&amp;Table13[[#This Row],[Expiry]]&amp;""&amp;"C"&amp;Table13[[#This Row],[Strike]]))</f>
        <v>0</v>
      </c>
      <c r="K35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1" s="17" cm="1">
        <f t="array" aca="1" ref="L35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1" s="1">
        <f t="shared" si="35"/>
        <v>0</v>
      </c>
      <c r="N351" t="b">
        <f t="shared" si="36"/>
        <v>0</v>
      </c>
      <c r="P351" s="17" t="b" cm="1">
        <f t="array" ref="P351">IF(
    ISNUMBER(Table13[[#This Row],[Strike]]),IndividualLegIVCore($A$4, Table13[[#This Row],[Strike]], 0.0411, Table13[[#This Row],[T]], ((Table13[[#This Row],[BIDP]]+Table13[[#This Row],[ASKP]])/2), FALSE))</f>
        <v>0</v>
      </c>
      <c r="Q351" t="b">
        <f>IF(     ISNUMBER(Table13[[#This Row],[Strike]]),RTD("tos.rtd", , "BID", "."&amp;Table13[[#This Row],[Ticker]]&amp;Table13[[#This Row],[Expiry]]&amp;""&amp;"P"&amp;Table13[[#This Row],[Strike]]))</f>
        <v>0</v>
      </c>
      <c r="R351" t="b">
        <f>IF(     ISNUMBER(Table13[[#This Row],[Strike]]),RTD("tos.rtd", , "ASK", "."&amp;Table13[[#This Row],[Ticker]]&amp;Table13[[#This Row],[Expiry]]&amp;""&amp;"P"&amp;Table13[[#This Row],[Strike]]))</f>
        <v>0</v>
      </c>
      <c r="S351" s="17"/>
      <c r="T351" t="b">
        <f>IF(     ISNUMBER(Table13[[#This Row],[Strike]]),RTD("tos.rtd", , "OPEN_INT", "."&amp;Table13[[#This Row],[Ticker]]&amp;Table13[[#This Row],[Expiry]]&amp;""&amp;"P"&amp;Table13[[#This Row],[Strike]]))</f>
        <v>0</v>
      </c>
      <c r="U35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1" t="b">
        <f>IF(     ISNUMBER(Table13[[#This Row],[Strike]]),RTD("tos.rtd", , "DELTA", "."&amp;Table13[[#This Row],[Ticker]]&amp;Table13[[#This Row],[Expiry]]&amp;""&amp;"P"&amp;Table13[[#This Row],[Strike]]))</f>
        <v>0</v>
      </c>
      <c r="Y351" s="19">
        <f>19* IF($M$1="NDX", 10, IF(OR($M$1="SPX", $M$1="RUT"), 2, 1))</f>
        <v>38</v>
      </c>
      <c r="Z351">
        <f ca="1">IFERROR(Table13[[#This Row],[call gamma]]*(Table13[[#This Row],[Open.Int]])*$A$4^2,0)</f>
        <v>0</v>
      </c>
      <c r="AA351">
        <f ca="1">IFERROR(((Table13[[#This Row],[Open.Int8]])*Table13[[#This Row],[Put gamma]])*-1*$A$4^2,0)</f>
        <v>0</v>
      </c>
      <c r="AB351">
        <f ca="1">(Table13[[#This Row],[Call Gex]]+Table13[[#This Row],[Put Gex]])</f>
        <v>0</v>
      </c>
      <c r="AC351">
        <f ca="1">Table13[[#This Row],[put delta adj]]+Table13[[#This Row],[call delta adj]]</f>
        <v>0</v>
      </c>
      <c r="AD351">
        <f ca="1">Table13[[#This Row],[Put Gex]]*Table13[[#This Row],[DeltaP]]*-1</f>
        <v>0</v>
      </c>
      <c r="AE351">
        <f ca="1">Table13[[#This Row],[Call Gex]]*Table13[[#This Row],[DeltaC]]</f>
        <v>0</v>
      </c>
      <c r="AF351">
        <f>IF(Table13[[#This Row],[DeltaC]]-ABS(Table13[[#This Row],[DeltaP]])="0","0.01",Table13[[#This Row],[DeltaC]]-ABS(Table13[[#This Row],[DeltaP]]))</f>
        <v>0</v>
      </c>
      <c r="AG351" t="e">
        <f ca="1">((LN($A$4/Table13[[#This Row],[Strike]]) + (0.411 + 0.5 * Table13[[#This Row],[IV Calc P]]^2) *Table13[[#This Row],[T]])) / (Table13[[#This Row],[IV Calc P]] * SQRT(Table13[[#This Row],[T]]))</f>
        <v>#DIV/0!</v>
      </c>
      <c r="AH351" t="e">
        <f ca="1">(LN($A$4/Table13[[#This Row],[Strike]]) + (0.411-0 + 0.5 * Table13[[#This Row],[IV Calc C]]^2) *Table13[[#This Row],[T]]) / (Table13[[#This Row],[IV Calc C]] * SQRT(Table13[[#This Row],[T]]))</f>
        <v>#DIV/0!</v>
      </c>
      <c r="AI351" t="e">
        <f ca="1">(EXP(-(AG351^2)/2)/SQRT(2*PI())*EXP(0*SQRT(Table13[[#This Row],[T]]))/$A$4*18%*SQRT(SQRT(Table13[[#This Row],[T]])))</f>
        <v>#DIV/0!</v>
      </c>
      <c r="AJ351" t="e">
        <f ca="1">(EXP(-(AH351^2)/2)/SQRT(2*PI())*EXP(0*SQRT(Table13[[#This Row],[T]]))/$A$4*18%*SQRT(SQRT(Table13[[#This Row],[T]])))</f>
        <v>#DIV/0!</v>
      </c>
      <c r="AK351" t="e">
        <f ca="1">Table13[[#This Row],[Call D1]]-Table13[[#This Row],[IV Calc C]]*SQRT(Table13[[#This Row],[T]])</f>
        <v>#DIV/0!</v>
      </c>
      <c r="AL351" t="e">
        <f ca="1">Table13[[#This Row],[Put D1]]-Table13[[#This Row],[IV Calc P]]*SQRT(Table13[[#This Row],[T]])</f>
        <v>#DIV/0!</v>
      </c>
      <c r="AM351" t="e">
        <f ca="1">EXP(-0.5*Table13[[#This Row],[Call D1]]^2)/SQRT(2*PI())</f>
        <v>#DIV/0!</v>
      </c>
      <c r="AN351" t="e">
        <f ca="1">EXP(-0.5*Table13[[#This Row],[Put D1]]^2)/SQRT(2*PI())</f>
        <v>#DIV/0!</v>
      </c>
      <c r="AO351">
        <f ca="1">IFERROR((EXP(0*Table13[[#This Row],[T]])*Table13[[#This Row],[call N(d1)]]*(Table13[[#This Row],[call d2]]/Table13[[#This Row],[IV Calc C]]))*Table13[[#This Row],[Open.Int]]*Table13[[#This Row],[DeltaC]],0)</f>
        <v>0</v>
      </c>
      <c r="AP351">
        <f ca="1">IFERROR((EXP(0*Table13[[#This Row],[T]])*Table13[[#This Row],[put N(d1)]]*(Table13[[#This Row],[put d2]]/Table13[[#This Row],[IV Calc P]]))*Table13[[#This Row],[Open.Int8]]*Table13[[#This Row],[DeltaP]]*-1,0)</f>
        <v>0</v>
      </c>
      <c r="AQ351">
        <f ca="1">((Table13[[#This Row],[call vanna]]+Table13[[#This Row],[put vanna]])*$A$4)</f>
        <v>0</v>
      </c>
      <c r="AR35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1" s="9" t="str" cm="1">
        <f t="array" ref="AT351">_xlfn.IFS(     $M$1="SPX","SPXW",     $M$1="RUT","RUTW",  $M$1="NDX","NDXP",   TRUE,$M$1 )</f>
        <v>SPXW</v>
      </c>
      <c r="AU351" s="2">
        <f t="shared" si="37"/>
        <v>6915</v>
      </c>
      <c r="AV351" t="str">
        <f t="shared" si="38"/>
        <v>000100</v>
      </c>
      <c r="AY35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1">
        <f>((Table13[[#This Row],[High C]]+Table13[[#This Row],[Low C]])/2)*Table13[[#This Row],[gammac]]*Table13[[#This Row],[Volume]]</f>
        <v>0</v>
      </c>
      <c r="BD351">
        <f>((Table13[[#This Row],[High P]]+Table13[[#This Row],[Low P]])/2)*Table13[[#This Row],[gammap]]*Table13[[#This Row],[Volume9]]*-1</f>
        <v>0</v>
      </c>
      <c r="BE351">
        <f>(Table13[[#This Row],[SgammaC]]+Table13[[#This Row],[SgammaP]])*$A$4*-100</f>
        <v>0</v>
      </c>
      <c r="BF351">
        <f>Table13[[#This Row],[DEXc]]+Table13[[#This Row],[DEXp]]</f>
        <v>0</v>
      </c>
      <c r="BG351">
        <f>IFERROR(Table13[[#This Row],[DeltaC]]*Table13[[#This Row],[Open.Int]]*$A$4,0)</f>
        <v>0</v>
      </c>
      <c r="BH351">
        <f>IFERROR(Table13[[#This Row],[DeltaP]]*Table13[[#This Row],[Open.Int8]]*$A$4,0)</f>
        <v>0</v>
      </c>
      <c r="BI35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1">
        <f ca="1">Table13[[#This Row],[charmc]]+Table13[[#This Row],[charmp]]</f>
        <v>0</v>
      </c>
      <c r="BL35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1" s="78">
        <f ca="1">Table13[[#This Row],[call helper]]+Table13[[#This Row],[put helper]]</f>
        <v>0</v>
      </c>
      <c r="BP351" t="str">
        <f>RTD("tos.rtd", , "STRIKE", "."&amp;Table13[[#This Row],[Ticker]]&amp;Table13[[#This Row],[Expiry]]&amp;""&amp;"C"&amp;Table13[[#This Row],[Spot]]+Table13[[#This Row],[step]])</f>
        <v>N/A</v>
      </c>
    </row>
    <row r="352" spans="1:68" x14ac:dyDescent="0.25">
      <c r="A352" s="14">
        <f t="shared" ca="1" si="34"/>
        <v>-126.14810350076104</v>
      </c>
      <c r="C352" s="17"/>
      <c r="D352" t="b">
        <f>IF(
    ISNUMBER(Table13[[#This Row],[Strike]]),RTD("tos.rtd", , "OPEN_INT", "."&amp;Table13[[#This Row],[Ticker]]&amp;Table13[[#This Row],[Expiry]]&amp;""&amp;"C"&amp;Table13[[#This Row],[Strike]]))</f>
        <v>0</v>
      </c>
      <c r="E35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2" t="b">
        <f>IF(     ISNUMBER(Table13[[#This Row],[Strike]]),RTD("tos.rtd", , "DELTA", "."&amp;Table13[[#This Row],[Ticker]]&amp;Table13[[#This Row],[Expiry]]&amp;""&amp;"C"&amp;Table13[[#This Row],[Strike]]))</f>
        <v>0</v>
      </c>
      <c r="H352" s="17" t="b" cm="1">
        <f t="array" ref="H352">IF(
    ISNUMBER(Table13[[#This Row],[Strike]]),IndividualLegIVCore($A$4, Table13[[#This Row],[Strike]], 0.0411, Table13[[#This Row],[T]], ((Table13[[#This Row],[BIDC]]+Table13[[#This Row],[ASKC]])/2), TRUE))</f>
        <v>0</v>
      </c>
      <c r="I352" t="b">
        <f>IF(     ISNUMBER(Table13[[#This Row],[Strike]]),RTD("tos.rtd", , "BID", "."&amp;Table13[[#This Row],[Ticker]]&amp;Table13[[#This Row],[Expiry]]&amp;""&amp;"C"&amp;Table13[[#This Row],[Strike]]))</f>
        <v>0</v>
      </c>
      <c r="J352" t="b">
        <f>IF(     ISNUMBER(Table13[[#This Row],[Strike]]),RTD("tos.rtd", , "ASK", "."&amp;Table13[[#This Row],[Ticker]]&amp;Table13[[#This Row],[Expiry]]&amp;""&amp;"C"&amp;Table13[[#This Row],[Strike]]))</f>
        <v>0</v>
      </c>
      <c r="K35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2" s="17" cm="1">
        <f t="array" aca="1" ref="L35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2" s="1">
        <f t="shared" si="35"/>
        <v>0</v>
      </c>
      <c r="N352" t="b">
        <f t="shared" si="36"/>
        <v>0</v>
      </c>
      <c r="P352" s="17" t="b" cm="1">
        <f t="array" ref="P352">IF(
    ISNUMBER(Table13[[#This Row],[Strike]]),IndividualLegIVCore($A$4, Table13[[#This Row],[Strike]], 0.0411, Table13[[#This Row],[T]], ((Table13[[#This Row],[BIDP]]+Table13[[#This Row],[ASKP]])/2), FALSE))</f>
        <v>0</v>
      </c>
      <c r="Q352" t="b">
        <f>IF(     ISNUMBER(Table13[[#This Row],[Strike]]),RTD("tos.rtd", , "BID", "."&amp;Table13[[#This Row],[Ticker]]&amp;Table13[[#This Row],[Expiry]]&amp;""&amp;"P"&amp;Table13[[#This Row],[Strike]]))</f>
        <v>0</v>
      </c>
      <c r="R352" t="b">
        <f>IF(     ISNUMBER(Table13[[#This Row],[Strike]]),RTD("tos.rtd", , "ASK", "."&amp;Table13[[#This Row],[Ticker]]&amp;Table13[[#This Row],[Expiry]]&amp;""&amp;"P"&amp;Table13[[#This Row],[Strike]]))</f>
        <v>0</v>
      </c>
      <c r="S352" s="17"/>
      <c r="T352" t="b">
        <f>IF(     ISNUMBER(Table13[[#This Row],[Strike]]),RTD("tos.rtd", , "OPEN_INT", "."&amp;Table13[[#This Row],[Ticker]]&amp;Table13[[#This Row],[Expiry]]&amp;""&amp;"P"&amp;Table13[[#This Row],[Strike]]))</f>
        <v>0</v>
      </c>
      <c r="U35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2" t="b">
        <f>IF(     ISNUMBER(Table13[[#This Row],[Strike]]),RTD("tos.rtd", , "DELTA", "."&amp;Table13[[#This Row],[Ticker]]&amp;Table13[[#This Row],[Expiry]]&amp;""&amp;"P"&amp;Table13[[#This Row],[Strike]]))</f>
        <v>0</v>
      </c>
      <c r="Y352" s="19">
        <f>19.5* IF($M$1="NDX", 10, IF(OR($M$1="SPX", $M$1="RUT"), 2, 1))</f>
        <v>39</v>
      </c>
      <c r="Z352">
        <f ca="1">IFERROR(Table13[[#This Row],[call gamma]]*(Table13[[#This Row],[Open.Int]])*$A$4^2,0)</f>
        <v>0</v>
      </c>
      <c r="AA352">
        <f ca="1">IFERROR(((Table13[[#This Row],[Open.Int8]])*Table13[[#This Row],[Put gamma]])*-1*$A$4^2,0)</f>
        <v>0</v>
      </c>
      <c r="AB352">
        <f ca="1">(Table13[[#This Row],[Call Gex]]+Table13[[#This Row],[Put Gex]])</f>
        <v>0</v>
      </c>
      <c r="AC352">
        <f ca="1">Table13[[#This Row],[put delta adj]]+Table13[[#This Row],[call delta adj]]</f>
        <v>0</v>
      </c>
      <c r="AD352">
        <f ca="1">Table13[[#This Row],[Put Gex]]*Table13[[#This Row],[DeltaP]]*-1</f>
        <v>0</v>
      </c>
      <c r="AE352">
        <f ca="1">Table13[[#This Row],[Call Gex]]*Table13[[#This Row],[DeltaC]]</f>
        <v>0</v>
      </c>
      <c r="AF352">
        <f>IF(Table13[[#This Row],[DeltaC]]-ABS(Table13[[#This Row],[DeltaP]])="0","0.01",Table13[[#This Row],[DeltaC]]-ABS(Table13[[#This Row],[DeltaP]]))</f>
        <v>0</v>
      </c>
      <c r="AG352" t="e">
        <f ca="1">((LN($A$4/Table13[[#This Row],[Strike]]) + (0.411 + 0.5 * Table13[[#This Row],[IV Calc P]]^2) *Table13[[#This Row],[T]])) / (Table13[[#This Row],[IV Calc P]] * SQRT(Table13[[#This Row],[T]]))</f>
        <v>#DIV/0!</v>
      </c>
      <c r="AH352" t="e">
        <f ca="1">(LN($A$4/Table13[[#This Row],[Strike]]) + (0.411-0 + 0.5 * Table13[[#This Row],[IV Calc C]]^2) *Table13[[#This Row],[T]]) / (Table13[[#This Row],[IV Calc C]] * SQRT(Table13[[#This Row],[T]]))</f>
        <v>#DIV/0!</v>
      </c>
      <c r="AI352" t="e">
        <f ca="1">(EXP(-(AG352^2)/2)/SQRT(2*PI())*EXP(0*SQRT(Table13[[#This Row],[T]]))/$A$4*18%*SQRT(SQRT(Table13[[#This Row],[T]])))</f>
        <v>#DIV/0!</v>
      </c>
      <c r="AJ352" t="e">
        <f ca="1">(EXP(-(AH352^2)/2)/SQRT(2*PI())*EXP(0*SQRT(Table13[[#This Row],[T]]))/$A$4*18%*SQRT(SQRT(Table13[[#This Row],[T]])))</f>
        <v>#DIV/0!</v>
      </c>
      <c r="AK352" t="e">
        <f ca="1">Table13[[#This Row],[Call D1]]-Table13[[#This Row],[IV Calc C]]*SQRT(Table13[[#This Row],[T]])</f>
        <v>#DIV/0!</v>
      </c>
      <c r="AL352" t="e">
        <f ca="1">Table13[[#This Row],[Put D1]]-Table13[[#This Row],[IV Calc P]]*SQRT(Table13[[#This Row],[T]])</f>
        <v>#DIV/0!</v>
      </c>
      <c r="AM352" t="e">
        <f ca="1">EXP(-0.5*Table13[[#This Row],[Call D1]]^2)/SQRT(2*PI())</f>
        <v>#DIV/0!</v>
      </c>
      <c r="AN352" t="e">
        <f ca="1">EXP(-0.5*Table13[[#This Row],[Put D1]]^2)/SQRT(2*PI())</f>
        <v>#DIV/0!</v>
      </c>
      <c r="AO352">
        <f ca="1">IFERROR((EXP(0*Table13[[#This Row],[T]])*Table13[[#This Row],[call N(d1)]]*(Table13[[#This Row],[call d2]]/Table13[[#This Row],[IV Calc C]]))*Table13[[#This Row],[Open.Int]]*Table13[[#This Row],[DeltaC]],0)</f>
        <v>0</v>
      </c>
      <c r="AP352">
        <f ca="1">IFERROR((EXP(0*Table13[[#This Row],[T]])*Table13[[#This Row],[put N(d1)]]*(Table13[[#This Row],[put d2]]/Table13[[#This Row],[IV Calc P]]))*Table13[[#This Row],[Open.Int8]]*Table13[[#This Row],[DeltaP]]*-1,0)</f>
        <v>0</v>
      </c>
      <c r="AQ352">
        <f ca="1">((Table13[[#This Row],[call vanna]]+Table13[[#This Row],[put vanna]])*$A$4)</f>
        <v>0</v>
      </c>
      <c r="AR35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2" s="9" t="str" cm="1">
        <f t="array" ref="AT352">_xlfn.IFS(     $M$1="SPX","SPXW",     $M$1="RUT","RUTW",  $M$1="NDX","NDXP",   TRUE,$M$1 )</f>
        <v>SPXW</v>
      </c>
      <c r="AU352" s="2">
        <f t="shared" si="37"/>
        <v>6915</v>
      </c>
      <c r="AV352" t="str">
        <f t="shared" si="38"/>
        <v>000100</v>
      </c>
      <c r="AY35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2">
        <f>((Table13[[#This Row],[High C]]+Table13[[#This Row],[Low C]])/2)*Table13[[#This Row],[gammac]]*Table13[[#This Row],[Volume]]</f>
        <v>0</v>
      </c>
      <c r="BD352">
        <f>((Table13[[#This Row],[High P]]+Table13[[#This Row],[Low P]])/2)*Table13[[#This Row],[gammap]]*Table13[[#This Row],[Volume9]]*-1</f>
        <v>0</v>
      </c>
      <c r="BE352">
        <f>(Table13[[#This Row],[SgammaC]]+Table13[[#This Row],[SgammaP]])*$A$4*-100</f>
        <v>0</v>
      </c>
      <c r="BF352">
        <f>Table13[[#This Row],[DEXc]]+Table13[[#This Row],[DEXp]]</f>
        <v>0</v>
      </c>
      <c r="BG352">
        <f>IFERROR(Table13[[#This Row],[DeltaC]]*Table13[[#This Row],[Open.Int]]*$A$4,0)</f>
        <v>0</v>
      </c>
      <c r="BH352">
        <f>IFERROR(Table13[[#This Row],[DeltaP]]*Table13[[#This Row],[Open.Int8]]*$A$4,0)</f>
        <v>0</v>
      </c>
      <c r="BI35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2">
        <f ca="1">Table13[[#This Row],[charmc]]+Table13[[#This Row],[charmp]]</f>
        <v>0</v>
      </c>
      <c r="BL35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2" s="78">
        <f ca="1">Table13[[#This Row],[call helper]]+Table13[[#This Row],[put helper]]</f>
        <v>0</v>
      </c>
      <c r="BP352" t="str">
        <f>RTD("tos.rtd", , "STRIKE", "."&amp;Table13[[#This Row],[Ticker]]&amp;Table13[[#This Row],[Expiry]]&amp;""&amp;"C"&amp;Table13[[#This Row],[Spot]]+Table13[[#This Row],[step]])</f>
        <v>N/A</v>
      </c>
    </row>
    <row r="353" spans="1:68" x14ac:dyDescent="0.25">
      <c r="A353" s="14">
        <f t="shared" ca="1" si="34"/>
        <v>-126.14810350076104</v>
      </c>
      <c r="C353" s="17"/>
      <c r="D353" t="b">
        <f>IF(
    ISNUMBER(Table13[[#This Row],[Strike]]),RTD("tos.rtd", , "OPEN_INT", "."&amp;Table13[[#This Row],[Ticker]]&amp;Table13[[#This Row],[Expiry]]&amp;""&amp;"C"&amp;Table13[[#This Row],[Strike]]))</f>
        <v>0</v>
      </c>
      <c r="E35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3" t="b">
        <f>IF(     ISNUMBER(Table13[[#This Row],[Strike]]),RTD("tos.rtd", , "DELTA", "."&amp;Table13[[#This Row],[Ticker]]&amp;Table13[[#This Row],[Expiry]]&amp;""&amp;"C"&amp;Table13[[#This Row],[Strike]]))</f>
        <v>0</v>
      </c>
      <c r="H353" s="17" t="b" cm="1">
        <f t="array" ref="H353">IF(
    ISNUMBER(Table13[[#This Row],[Strike]]),IndividualLegIVCore($A$4, Table13[[#This Row],[Strike]], 0.0411, Table13[[#This Row],[T]], ((Table13[[#This Row],[BIDC]]+Table13[[#This Row],[ASKC]])/2), TRUE))</f>
        <v>0</v>
      </c>
      <c r="I353" t="b">
        <f>IF(     ISNUMBER(Table13[[#This Row],[Strike]]),RTD("tos.rtd", , "BID", "."&amp;Table13[[#This Row],[Ticker]]&amp;Table13[[#This Row],[Expiry]]&amp;""&amp;"C"&amp;Table13[[#This Row],[Strike]]))</f>
        <v>0</v>
      </c>
      <c r="J353" t="b">
        <f>IF(     ISNUMBER(Table13[[#This Row],[Strike]]),RTD("tos.rtd", , "ASK", "."&amp;Table13[[#This Row],[Ticker]]&amp;Table13[[#This Row],[Expiry]]&amp;""&amp;"C"&amp;Table13[[#This Row],[Strike]]))</f>
        <v>0</v>
      </c>
      <c r="K35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3" s="17" cm="1">
        <f t="array" aca="1" ref="L35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3" s="1">
        <f t="shared" si="35"/>
        <v>0</v>
      </c>
      <c r="N353" t="b">
        <f t="shared" si="36"/>
        <v>0</v>
      </c>
      <c r="P353" s="17" t="b" cm="1">
        <f t="array" ref="P353">IF(
    ISNUMBER(Table13[[#This Row],[Strike]]),IndividualLegIVCore($A$4, Table13[[#This Row],[Strike]], 0.0411, Table13[[#This Row],[T]], ((Table13[[#This Row],[BIDP]]+Table13[[#This Row],[ASKP]])/2), FALSE))</f>
        <v>0</v>
      </c>
      <c r="Q353" t="b">
        <f>IF(     ISNUMBER(Table13[[#This Row],[Strike]]),RTD("tos.rtd", , "BID", "."&amp;Table13[[#This Row],[Ticker]]&amp;Table13[[#This Row],[Expiry]]&amp;""&amp;"P"&amp;Table13[[#This Row],[Strike]]))</f>
        <v>0</v>
      </c>
      <c r="R353" t="b">
        <f>IF(     ISNUMBER(Table13[[#This Row],[Strike]]),RTD("tos.rtd", , "ASK", "."&amp;Table13[[#This Row],[Ticker]]&amp;Table13[[#This Row],[Expiry]]&amp;""&amp;"P"&amp;Table13[[#This Row],[Strike]]))</f>
        <v>0</v>
      </c>
      <c r="S353" s="17"/>
      <c r="T353" t="b">
        <f>IF(     ISNUMBER(Table13[[#This Row],[Strike]]),RTD("tos.rtd", , "OPEN_INT", "."&amp;Table13[[#This Row],[Ticker]]&amp;Table13[[#This Row],[Expiry]]&amp;""&amp;"P"&amp;Table13[[#This Row],[Strike]]))</f>
        <v>0</v>
      </c>
      <c r="U35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3" t="b">
        <f>IF(     ISNUMBER(Table13[[#This Row],[Strike]]),RTD("tos.rtd", , "DELTA", "."&amp;Table13[[#This Row],[Ticker]]&amp;Table13[[#This Row],[Expiry]]&amp;""&amp;"P"&amp;Table13[[#This Row],[Strike]]))</f>
        <v>0</v>
      </c>
      <c r="Y353" s="19">
        <f>20* IF($M$1="NDX", 10, IF(OR($M$1="SPX", $M$1="RUT"), 2, 1))</f>
        <v>40</v>
      </c>
      <c r="Z353">
        <f ca="1">IFERROR(Table13[[#This Row],[call gamma]]*(Table13[[#This Row],[Open.Int]])*$A$4^2,0)</f>
        <v>0</v>
      </c>
      <c r="AA353">
        <f ca="1">IFERROR(((Table13[[#This Row],[Open.Int8]])*Table13[[#This Row],[Put gamma]])*-1*$A$4^2,0)</f>
        <v>0</v>
      </c>
      <c r="AB353">
        <f ca="1">(Table13[[#This Row],[Call Gex]]+Table13[[#This Row],[Put Gex]])</f>
        <v>0</v>
      </c>
      <c r="AC353">
        <f ca="1">Table13[[#This Row],[put delta adj]]+Table13[[#This Row],[call delta adj]]</f>
        <v>0</v>
      </c>
      <c r="AD353">
        <f ca="1">Table13[[#This Row],[Put Gex]]*Table13[[#This Row],[DeltaP]]*-1</f>
        <v>0</v>
      </c>
      <c r="AE353">
        <f ca="1">Table13[[#This Row],[Call Gex]]*Table13[[#This Row],[DeltaC]]</f>
        <v>0</v>
      </c>
      <c r="AF353">
        <f>IF(Table13[[#This Row],[DeltaC]]-ABS(Table13[[#This Row],[DeltaP]])="0","0.01",Table13[[#This Row],[DeltaC]]-ABS(Table13[[#This Row],[DeltaP]]))</f>
        <v>0</v>
      </c>
      <c r="AG353" t="e">
        <f ca="1">((LN($A$4/Table13[[#This Row],[Strike]]) + (0.411 + 0.5 * Table13[[#This Row],[IV Calc P]]^2) *Table13[[#This Row],[T]])) / (Table13[[#This Row],[IV Calc P]] * SQRT(Table13[[#This Row],[T]]))</f>
        <v>#DIV/0!</v>
      </c>
      <c r="AH353" t="e">
        <f ca="1">(LN($A$4/Table13[[#This Row],[Strike]]) + (0.411-0 + 0.5 * Table13[[#This Row],[IV Calc C]]^2) *Table13[[#This Row],[T]]) / (Table13[[#This Row],[IV Calc C]] * SQRT(Table13[[#This Row],[T]]))</f>
        <v>#DIV/0!</v>
      </c>
      <c r="AI353" t="e">
        <f ca="1">(EXP(-(AG353^2)/2)/SQRT(2*PI())*EXP(0*SQRT(Table13[[#This Row],[T]]))/$A$4*18%*SQRT(SQRT(Table13[[#This Row],[T]])))</f>
        <v>#DIV/0!</v>
      </c>
      <c r="AJ353" t="e">
        <f ca="1">(EXP(-(AH353^2)/2)/SQRT(2*PI())*EXP(0*SQRT(Table13[[#This Row],[T]]))/$A$4*18%*SQRT(SQRT(Table13[[#This Row],[T]])))</f>
        <v>#DIV/0!</v>
      </c>
      <c r="AK353" t="e">
        <f ca="1">Table13[[#This Row],[Call D1]]-Table13[[#This Row],[IV Calc C]]*SQRT(Table13[[#This Row],[T]])</f>
        <v>#DIV/0!</v>
      </c>
      <c r="AL353" t="e">
        <f ca="1">Table13[[#This Row],[Put D1]]-Table13[[#This Row],[IV Calc P]]*SQRT(Table13[[#This Row],[T]])</f>
        <v>#DIV/0!</v>
      </c>
      <c r="AM353" t="e">
        <f ca="1">EXP(-0.5*Table13[[#This Row],[Call D1]]^2)/SQRT(2*PI())</f>
        <v>#DIV/0!</v>
      </c>
      <c r="AN353" t="e">
        <f ca="1">EXP(-0.5*Table13[[#This Row],[Put D1]]^2)/SQRT(2*PI())</f>
        <v>#DIV/0!</v>
      </c>
      <c r="AO353">
        <f ca="1">IFERROR((EXP(0*Table13[[#This Row],[T]])*Table13[[#This Row],[call N(d1)]]*(Table13[[#This Row],[call d2]]/Table13[[#This Row],[IV Calc C]]))*Table13[[#This Row],[Open.Int]]*Table13[[#This Row],[DeltaC]],0)</f>
        <v>0</v>
      </c>
      <c r="AP353">
        <f ca="1">IFERROR((EXP(0*Table13[[#This Row],[T]])*Table13[[#This Row],[put N(d1)]]*(Table13[[#This Row],[put d2]]/Table13[[#This Row],[IV Calc P]]))*Table13[[#This Row],[Open.Int8]]*Table13[[#This Row],[DeltaP]]*-1,0)</f>
        <v>0</v>
      </c>
      <c r="AQ353">
        <f ca="1">((Table13[[#This Row],[call vanna]]+Table13[[#This Row],[put vanna]])*$A$4)</f>
        <v>0</v>
      </c>
      <c r="AR35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3" s="9" t="str" cm="1">
        <f t="array" ref="AT353">_xlfn.IFS(     $M$1="SPX","SPXW",     $M$1="RUT","RUTW",  $M$1="NDX","NDXP",   TRUE,$M$1 )</f>
        <v>SPXW</v>
      </c>
      <c r="AU353" s="2">
        <f t="shared" si="37"/>
        <v>6915</v>
      </c>
      <c r="AV353" t="str">
        <f t="shared" si="38"/>
        <v>000100</v>
      </c>
      <c r="AY35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3">
        <f>((Table13[[#This Row],[High C]]+Table13[[#This Row],[Low C]])/2)*Table13[[#This Row],[gammac]]*Table13[[#This Row],[Volume]]</f>
        <v>0</v>
      </c>
      <c r="BD353">
        <f>((Table13[[#This Row],[High P]]+Table13[[#This Row],[Low P]])/2)*Table13[[#This Row],[gammap]]*Table13[[#This Row],[Volume9]]*-1</f>
        <v>0</v>
      </c>
      <c r="BE353">
        <f>(Table13[[#This Row],[SgammaC]]+Table13[[#This Row],[SgammaP]])*$A$4*-100</f>
        <v>0</v>
      </c>
      <c r="BF353">
        <f>Table13[[#This Row],[DEXc]]+Table13[[#This Row],[DEXp]]</f>
        <v>0</v>
      </c>
      <c r="BG353">
        <f>IFERROR(Table13[[#This Row],[DeltaC]]*Table13[[#This Row],[Open.Int]]*$A$4,0)</f>
        <v>0</v>
      </c>
      <c r="BH353">
        <f>IFERROR(Table13[[#This Row],[DeltaP]]*Table13[[#This Row],[Open.Int8]]*$A$4,0)</f>
        <v>0</v>
      </c>
      <c r="BI35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3">
        <f ca="1">Table13[[#This Row],[charmc]]+Table13[[#This Row],[charmp]]</f>
        <v>0</v>
      </c>
      <c r="BL35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3" s="78">
        <f ca="1">Table13[[#This Row],[call helper]]+Table13[[#This Row],[put helper]]</f>
        <v>0</v>
      </c>
      <c r="BP353" t="str">
        <f>RTD("tos.rtd", , "STRIKE", "."&amp;Table13[[#This Row],[Ticker]]&amp;Table13[[#This Row],[Expiry]]&amp;""&amp;"C"&amp;Table13[[#This Row],[Spot]]+Table13[[#This Row],[step]])</f>
        <v>N/A</v>
      </c>
    </row>
    <row r="354" spans="1:68" x14ac:dyDescent="0.25">
      <c r="A354" s="14">
        <f t="shared" ca="1" si="34"/>
        <v>-126.14810350076104</v>
      </c>
      <c r="C354" s="17"/>
      <c r="D354" t="b">
        <f>IF(
    ISNUMBER(Table13[[#This Row],[Strike]]),RTD("tos.rtd", , "OPEN_INT", "."&amp;Table13[[#This Row],[Ticker]]&amp;Table13[[#This Row],[Expiry]]&amp;""&amp;"C"&amp;Table13[[#This Row],[Strike]]))</f>
        <v>0</v>
      </c>
      <c r="E35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4" t="b">
        <f>IF(     ISNUMBER(Table13[[#This Row],[Strike]]),RTD("tos.rtd", , "DELTA", "."&amp;Table13[[#This Row],[Ticker]]&amp;Table13[[#This Row],[Expiry]]&amp;""&amp;"C"&amp;Table13[[#This Row],[Strike]]))</f>
        <v>0</v>
      </c>
      <c r="H354" s="17" t="b" cm="1">
        <f t="array" ref="H354">IF(
    ISNUMBER(Table13[[#This Row],[Strike]]),IndividualLegIVCore($A$4, Table13[[#This Row],[Strike]], 0.0411, Table13[[#This Row],[T]], ((Table13[[#This Row],[BIDC]]+Table13[[#This Row],[ASKC]])/2), TRUE))</f>
        <v>0</v>
      </c>
      <c r="I354" t="b">
        <f>IF(     ISNUMBER(Table13[[#This Row],[Strike]]),RTD("tos.rtd", , "BID", "."&amp;Table13[[#This Row],[Ticker]]&amp;Table13[[#This Row],[Expiry]]&amp;""&amp;"C"&amp;Table13[[#This Row],[Strike]]))</f>
        <v>0</v>
      </c>
      <c r="J354" t="b">
        <f>IF(     ISNUMBER(Table13[[#This Row],[Strike]]),RTD("tos.rtd", , "ASK", "."&amp;Table13[[#This Row],[Ticker]]&amp;Table13[[#This Row],[Expiry]]&amp;""&amp;"C"&amp;Table13[[#This Row],[Strike]]))</f>
        <v>0</v>
      </c>
      <c r="K35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4" s="17" cm="1">
        <f t="array" aca="1" ref="L35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4" s="1">
        <f t="shared" si="35"/>
        <v>0</v>
      </c>
      <c r="N354" t="b">
        <f t="shared" si="36"/>
        <v>0</v>
      </c>
      <c r="P354" s="17" t="b" cm="1">
        <f t="array" ref="P354">IF(
    ISNUMBER(Table13[[#This Row],[Strike]]),IndividualLegIVCore($A$4, Table13[[#This Row],[Strike]], 0.0411, Table13[[#This Row],[T]], ((Table13[[#This Row],[BIDP]]+Table13[[#This Row],[ASKP]])/2), FALSE))</f>
        <v>0</v>
      </c>
      <c r="Q354" t="b">
        <f>IF(     ISNUMBER(Table13[[#This Row],[Strike]]),RTD("tos.rtd", , "BID", "."&amp;Table13[[#This Row],[Ticker]]&amp;Table13[[#This Row],[Expiry]]&amp;""&amp;"P"&amp;Table13[[#This Row],[Strike]]))</f>
        <v>0</v>
      </c>
      <c r="R354" t="b">
        <f>IF(     ISNUMBER(Table13[[#This Row],[Strike]]),RTD("tos.rtd", , "ASK", "."&amp;Table13[[#This Row],[Ticker]]&amp;Table13[[#This Row],[Expiry]]&amp;""&amp;"P"&amp;Table13[[#This Row],[Strike]]))</f>
        <v>0</v>
      </c>
      <c r="S354" s="17"/>
      <c r="T354" t="b">
        <f>IF(     ISNUMBER(Table13[[#This Row],[Strike]]),RTD("tos.rtd", , "OPEN_INT", "."&amp;Table13[[#This Row],[Ticker]]&amp;Table13[[#This Row],[Expiry]]&amp;""&amp;"P"&amp;Table13[[#This Row],[Strike]]))</f>
        <v>0</v>
      </c>
      <c r="U35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4" t="b">
        <f>IF(     ISNUMBER(Table13[[#This Row],[Strike]]),RTD("tos.rtd", , "DELTA", "."&amp;Table13[[#This Row],[Ticker]]&amp;Table13[[#This Row],[Expiry]]&amp;""&amp;"P"&amp;Table13[[#This Row],[Strike]]))</f>
        <v>0</v>
      </c>
      <c r="Y354" s="19">
        <f>20.5* IF($M$1="NDX", 10, IF(OR($M$1="SPX", $M$1="RUT"), 2, 1))</f>
        <v>41</v>
      </c>
      <c r="Z354">
        <f ca="1">IFERROR(Table13[[#This Row],[call gamma]]*(Table13[[#This Row],[Open.Int]])*$A$4^2,0)</f>
        <v>0</v>
      </c>
      <c r="AA354">
        <f ca="1">IFERROR(((Table13[[#This Row],[Open.Int8]])*Table13[[#This Row],[Put gamma]])*-1*$A$4^2,0)</f>
        <v>0</v>
      </c>
      <c r="AB354">
        <f ca="1">(Table13[[#This Row],[Call Gex]]+Table13[[#This Row],[Put Gex]])</f>
        <v>0</v>
      </c>
      <c r="AC354">
        <f ca="1">Table13[[#This Row],[put delta adj]]+Table13[[#This Row],[call delta adj]]</f>
        <v>0</v>
      </c>
      <c r="AD354">
        <f ca="1">Table13[[#This Row],[Put Gex]]*Table13[[#This Row],[DeltaP]]*-1</f>
        <v>0</v>
      </c>
      <c r="AE354">
        <f ca="1">Table13[[#This Row],[Call Gex]]*Table13[[#This Row],[DeltaC]]</f>
        <v>0</v>
      </c>
      <c r="AF354">
        <f>IF(Table13[[#This Row],[DeltaC]]-ABS(Table13[[#This Row],[DeltaP]])="0","0.01",Table13[[#This Row],[DeltaC]]-ABS(Table13[[#This Row],[DeltaP]]))</f>
        <v>0</v>
      </c>
      <c r="AG354" t="e">
        <f ca="1">((LN($A$4/Table13[[#This Row],[Strike]]) + (0.411 + 0.5 * Table13[[#This Row],[IV Calc P]]^2) *Table13[[#This Row],[T]])) / (Table13[[#This Row],[IV Calc P]] * SQRT(Table13[[#This Row],[T]]))</f>
        <v>#DIV/0!</v>
      </c>
      <c r="AH354" t="e">
        <f ca="1">(LN($A$4/Table13[[#This Row],[Strike]]) + (0.411-0 + 0.5 * Table13[[#This Row],[IV Calc C]]^2) *Table13[[#This Row],[T]]) / (Table13[[#This Row],[IV Calc C]] * SQRT(Table13[[#This Row],[T]]))</f>
        <v>#DIV/0!</v>
      </c>
      <c r="AI354" t="e">
        <f ca="1">(EXP(-(AG354^2)/2)/SQRT(2*PI())*EXP(0*SQRT(Table13[[#This Row],[T]]))/$A$4*18%*SQRT(SQRT(Table13[[#This Row],[T]])))</f>
        <v>#DIV/0!</v>
      </c>
      <c r="AJ354" t="e">
        <f ca="1">(EXP(-(AH354^2)/2)/SQRT(2*PI())*EXP(0*SQRT(Table13[[#This Row],[T]]))/$A$4*18%*SQRT(SQRT(Table13[[#This Row],[T]])))</f>
        <v>#DIV/0!</v>
      </c>
      <c r="AK354" t="e">
        <f ca="1">Table13[[#This Row],[Call D1]]-Table13[[#This Row],[IV Calc C]]*SQRT(Table13[[#This Row],[T]])</f>
        <v>#DIV/0!</v>
      </c>
      <c r="AL354" t="e">
        <f ca="1">Table13[[#This Row],[Put D1]]-Table13[[#This Row],[IV Calc P]]*SQRT(Table13[[#This Row],[T]])</f>
        <v>#DIV/0!</v>
      </c>
      <c r="AM354" t="e">
        <f ca="1">EXP(-0.5*Table13[[#This Row],[Call D1]]^2)/SQRT(2*PI())</f>
        <v>#DIV/0!</v>
      </c>
      <c r="AN354" t="e">
        <f ca="1">EXP(-0.5*Table13[[#This Row],[Put D1]]^2)/SQRT(2*PI())</f>
        <v>#DIV/0!</v>
      </c>
      <c r="AO354">
        <f ca="1">IFERROR((EXP(0*Table13[[#This Row],[T]])*Table13[[#This Row],[call N(d1)]]*(Table13[[#This Row],[call d2]]/Table13[[#This Row],[IV Calc C]]))*Table13[[#This Row],[Open.Int]]*Table13[[#This Row],[DeltaC]],0)</f>
        <v>0</v>
      </c>
      <c r="AP354">
        <f ca="1">IFERROR((EXP(0*Table13[[#This Row],[T]])*Table13[[#This Row],[put N(d1)]]*(Table13[[#This Row],[put d2]]/Table13[[#This Row],[IV Calc P]]))*Table13[[#This Row],[Open.Int8]]*Table13[[#This Row],[DeltaP]]*-1,0)</f>
        <v>0</v>
      </c>
      <c r="AQ354">
        <f ca="1">((Table13[[#This Row],[call vanna]]+Table13[[#This Row],[put vanna]])*$A$4)</f>
        <v>0</v>
      </c>
      <c r="AR35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4" s="9" t="str" cm="1">
        <f t="array" ref="AT354">_xlfn.IFS(     $M$1="SPX","SPXW",     $M$1="RUT","RUTW",  $M$1="NDX","NDXP",   TRUE,$M$1 )</f>
        <v>SPXW</v>
      </c>
      <c r="AU354" s="2">
        <f t="shared" si="37"/>
        <v>6915</v>
      </c>
      <c r="AV354" t="str">
        <f t="shared" si="38"/>
        <v>000100</v>
      </c>
      <c r="AY35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4">
        <f>((Table13[[#This Row],[High C]]+Table13[[#This Row],[Low C]])/2)*Table13[[#This Row],[gammac]]*Table13[[#This Row],[Volume]]</f>
        <v>0</v>
      </c>
      <c r="BD354">
        <f>((Table13[[#This Row],[High P]]+Table13[[#This Row],[Low P]])/2)*Table13[[#This Row],[gammap]]*Table13[[#This Row],[Volume9]]*-1</f>
        <v>0</v>
      </c>
      <c r="BE354">
        <f>(Table13[[#This Row],[SgammaC]]+Table13[[#This Row],[SgammaP]])*$A$4*-100</f>
        <v>0</v>
      </c>
      <c r="BF354">
        <f>Table13[[#This Row],[DEXc]]+Table13[[#This Row],[DEXp]]</f>
        <v>0</v>
      </c>
      <c r="BG354">
        <f>IFERROR(Table13[[#This Row],[DeltaC]]*Table13[[#This Row],[Open.Int]]*$A$4,0)</f>
        <v>0</v>
      </c>
      <c r="BH354">
        <f>IFERROR(Table13[[#This Row],[DeltaP]]*Table13[[#This Row],[Open.Int8]]*$A$4,0)</f>
        <v>0</v>
      </c>
      <c r="BI35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4">
        <f ca="1">Table13[[#This Row],[charmc]]+Table13[[#This Row],[charmp]]</f>
        <v>0</v>
      </c>
      <c r="BL35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4" s="78">
        <f ca="1">Table13[[#This Row],[call helper]]+Table13[[#This Row],[put helper]]</f>
        <v>0</v>
      </c>
      <c r="BP354" t="str">
        <f>RTD("tos.rtd", , "STRIKE", "."&amp;Table13[[#This Row],[Ticker]]&amp;Table13[[#This Row],[Expiry]]&amp;""&amp;"C"&amp;Table13[[#This Row],[Spot]]+Table13[[#This Row],[step]])</f>
        <v>N/A</v>
      </c>
    </row>
    <row r="355" spans="1:68" x14ac:dyDescent="0.25">
      <c r="A355" s="14">
        <f t="shared" ca="1" si="34"/>
        <v>-126.14810350076104</v>
      </c>
      <c r="C355" s="17"/>
      <c r="D355" t="b">
        <f>IF(
    ISNUMBER(Table13[[#This Row],[Strike]]),RTD("tos.rtd", , "OPEN_INT", "."&amp;Table13[[#This Row],[Ticker]]&amp;Table13[[#This Row],[Expiry]]&amp;""&amp;"C"&amp;Table13[[#This Row],[Strike]]))</f>
        <v>0</v>
      </c>
      <c r="E35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5" t="b">
        <f>IF(     ISNUMBER(Table13[[#This Row],[Strike]]),RTD("tos.rtd", , "DELTA", "."&amp;Table13[[#This Row],[Ticker]]&amp;Table13[[#This Row],[Expiry]]&amp;""&amp;"C"&amp;Table13[[#This Row],[Strike]]))</f>
        <v>0</v>
      </c>
      <c r="H355" s="17" t="b" cm="1">
        <f t="array" ref="H355">IF(
    ISNUMBER(Table13[[#This Row],[Strike]]),IndividualLegIVCore($A$4, Table13[[#This Row],[Strike]], 0.0411, Table13[[#This Row],[T]], ((Table13[[#This Row],[BIDC]]+Table13[[#This Row],[ASKC]])/2), TRUE))</f>
        <v>0</v>
      </c>
      <c r="I355" t="b">
        <f>IF(     ISNUMBER(Table13[[#This Row],[Strike]]),RTD("tos.rtd", , "BID", "."&amp;Table13[[#This Row],[Ticker]]&amp;Table13[[#This Row],[Expiry]]&amp;""&amp;"C"&amp;Table13[[#This Row],[Strike]]))</f>
        <v>0</v>
      </c>
      <c r="J355" t="b">
        <f>IF(     ISNUMBER(Table13[[#This Row],[Strike]]),RTD("tos.rtd", , "ASK", "."&amp;Table13[[#This Row],[Ticker]]&amp;Table13[[#This Row],[Expiry]]&amp;""&amp;"C"&amp;Table13[[#This Row],[Strike]]))</f>
        <v>0</v>
      </c>
      <c r="K35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5" s="17" cm="1">
        <f t="array" aca="1" ref="L35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5" s="1">
        <f t="shared" si="35"/>
        <v>0</v>
      </c>
      <c r="N355" t="b">
        <f t="shared" si="36"/>
        <v>0</v>
      </c>
      <c r="P355" s="17" t="b" cm="1">
        <f t="array" ref="P355">IF(
    ISNUMBER(Table13[[#This Row],[Strike]]),IndividualLegIVCore($A$4, Table13[[#This Row],[Strike]], 0.0411, Table13[[#This Row],[T]], ((Table13[[#This Row],[BIDP]]+Table13[[#This Row],[ASKP]])/2), FALSE))</f>
        <v>0</v>
      </c>
      <c r="Q355" t="b">
        <f>IF(     ISNUMBER(Table13[[#This Row],[Strike]]),RTD("tos.rtd", , "BID", "."&amp;Table13[[#This Row],[Ticker]]&amp;Table13[[#This Row],[Expiry]]&amp;""&amp;"P"&amp;Table13[[#This Row],[Strike]]))</f>
        <v>0</v>
      </c>
      <c r="R355" t="b">
        <f>IF(     ISNUMBER(Table13[[#This Row],[Strike]]),RTD("tos.rtd", , "ASK", "."&amp;Table13[[#This Row],[Ticker]]&amp;Table13[[#This Row],[Expiry]]&amp;""&amp;"P"&amp;Table13[[#This Row],[Strike]]))</f>
        <v>0</v>
      </c>
      <c r="S355" s="17"/>
      <c r="T355" t="b">
        <f>IF(     ISNUMBER(Table13[[#This Row],[Strike]]),RTD("tos.rtd", , "OPEN_INT", "."&amp;Table13[[#This Row],[Ticker]]&amp;Table13[[#This Row],[Expiry]]&amp;""&amp;"P"&amp;Table13[[#This Row],[Strike]]))</f>
        <v>0</v>
      </c>
      <c r="U35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5" t="b">
        <f>IF(     ISNUMBER(Table13[[#This Row],[Strike]]),RTD("tos.rtd", , "DELTA", "."&amp;Table13[[#This Row],[Ticker]]&amp;Table13[[#This Row],[Expiry]]&amp;""&amp;"P"&amp;Table13[[#This Row],[Strike]]))</f>
        <v>0</v>
      </c>
      <c r="Y355" s="19">
        <f>21* IF($M$1="NDX", 10, IF(OR($M$1="SPX", $M$1="RUT"), 2, 1))</f>
        <v>42</v>
      </c>
      <c r="Z355">
        <f ca="1">IFERROR(Table13[[#This Row],[call gamma]]*(Table13[[#This Row],[Open.Int]])*$A$4^2,0)</f>
        <v>0</v>
      </c>
      <c r="AA355">
        <f ca="1">IFERROR(((Table13[[#This Row],[Open.Int8]])*Table13[[#This Row],[Put gamma]])*-1*$A$4^2,0)</f>
        <v>0</v>
      </c>
      <c r="AB355">
        <f ca="1">(Table13[[#This Row],[Call Gex]]+Table13[[#This Row],[Put Gex]])</f>
        <v>0</v>
      </c>
      <c r="AC355">
        <f ca="1">Table13[[#This Row],[put delta adj]]+Table13[[#This Row],[call delta adj]]</f>
        <v>0</v>
      </c>
      <c r="AD355">
        <f ca="1">Table13[[#This Row],[Put Gex]]*Table13[[#This Row],[DeltaP]]*-1</f>
        <v>0</v>
      </c>
      <c r="AE355">
        <f ca="1">Table13[[#This Row],[Call Gex]]*Table13[[#This Row],[DeltaC]]</f>
        <v>0</v>
      </c>
      <c r="AF355">
        <f>IF(Table13[[#This Row],[DeltaC]]-ABS(Table13[[#This Row],[DeltaP]])="0","0.01",Table13[[#This Row],[DeltaC]]-ABS(Table13[[#This Row],[DeltaP]]))</f>
        <v>0</v>
      </c>
      <c r="AG355" t="e">
        <f ca="1">((LN($A$4/Table13[[#This Row],[Strike]]) + (0.411 + 0.5 * Table13[[#This Row],[IV Calc P]]^2) *Table13[[#This Row],[T]])) / (Table13[[#This Row],[IV Calc P]] * SQRT(Table13[[#This Row],[T]]))</f>
        <v>#DIV/0!</v>
      </c>
      <c r="AH355" t="e">
        <f ca="1">(LN($A$4/Table13[[#This Row],[Strike]]) + (0.411-0 + 0.5 * Table13[[#This Row],[IV Calc C]]^2) *Table13[[#This Row],[T]]) / (Table13[[#This Row],[IV Calc C]] * SQRT(Table13[[#This Row],[T]]))</f>
        <v>#DIV/0!</v>
      </c>
      <c r="AI355" t="e">
        <f ca="1">(EXP(-(AG355^2)/2)/SQRT(2*PI())*EXP(0*SQRT(Table13[[#This Row],[T]]))/$A$4*18%*SQRT(SQRT(Table13[[#This Row],[T]])))</f>
        <v>#DIV/0!</v>
      </c>
      <c r="AJ355" t="e">
        <f ca="1">(EXP(-(AH355^2)/2)/SQRT(2*PI())*EXP(0*SQRT(Table13[[#This Row],[T]]))/$A$4*18%*SQRT(SQRT(Table13[[#This Row],[T]])))</f>
        <v>#DIV/0!</v>
      </c>
      <c r="AK355" t="e">
        <f ca="1">Table13[[#This Row],[Call D1]]-Table13[[#This Row],[IV Calc C]]*SQRT(Table13[[#This Row],[T]])</f>
        <v>#DIV/0!</v>
      </c>
      <c r="AL355" t="e">
        <f ca="1">Table13[[#This Row],[Put D1]]-Table13[[#This Row],[IV Calc P]]*SQRT(Table13[[#This Row],[T]])</f>
        <v>#DIV/0!</v>
      </c>
      <c r="AM355" t="e">
        <f ca="1">EXP(-0.5*Table13[[#This Row],[Call D1]]^2)/SQRT(2*PI())</f>
        <v>#DIV/0!</v>
      </c>
      <c r="AN355" t="e">
        <f ca="1">EXP(-0.5*Table13[[#This Row],[Put D1]]^2)/SQRT(2*PI())</f>
        <v>#DIV/0!</v>
      </c>
      <c r="AO355">
        <f ca="1">IFERROR((EXP(0*Table13[[#This Row],[T]])*Table13[[#This Row],[call N(d1)]]*(Table13[[#This Row],[call d2]]/Table13[[#This Row],[IV Calc C]]))*Table13[[#This Row],[Open.Int]]*Table13[[#This Row],[DeltaC]],0)</f>
        <v>0</v>
      </c>
      <c r="AP355">
        <f ca="1">IFERROR((EXP(0*Table13[[#This Row],[T]])*Table13[[#This Row],[put N(d1)]]*(Table13[[#This Row],[put d2]]/Table13[[#This Row],[IV Calc P]]))*Table13[[#This Row],[Open.Int8]]*Table13[[#This Row],[DeltaP]]*-1,0)</f>
        <v>0</v>
      </c>
      <c r="AQ355">
        <f ca="1">((Table13[[#This Row],[call vanna]]+Table13[[#This Row],[put vanna]])*$A$4)</f>
        <v>0</v>
      </c>
      <c r="AR35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5" s="9" t="str" cm="1">
        <f t="array" ref="AT355">_xlfn.IFS(     $M$1="SPX","SPXW",     $M$1="RUT","RUTW",  $M$1="NDX","NDXP",   TRUE,$M$1 )</f>
        <v>SPXW</v>
      </c>
      <c r="AU355" s="2">
        <f t="shared" si="37"/>
        <v>6915</v>
      </c>
      <c r="AV355" t="str">
        <f t="shared" si="38"/>
        <v>000100</v>
      </c>
      <c r="AY35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5">
        <f>((Table13[[#This Row],[High C]]+Table13[[#This Row],[Low C]])/2)*Table13[[#This Row],[gammac]]*Table13[[#This Row],[Volume]]</f>
        <v>0</v>
      </c>
      <c r="BD355">
        <f>((Table13[[#This Row],[High P]]+Table13[[#This Row],[Low P]])/2)*Table13[[#This Row],[gammap]]*Table13[[#This Row],[Volume9]]*-1</f>
        <v>0</v>
      </c>
      <c r="BE355">
        <f>(Table13[[#This Row],[SgammaC]]+Table13[[#This Row],[SgammaP]])*$A$4*-100</f>
        <v>0</v>
      </c>
      <c r="BF355">
        <f>Table13[[#This Row],[DEXc]]+Table13[[#This Row],[DEXp]]</f>
        <v>0</v>
      </c>
      <c r="BG355">
        <f>IFERROR(Table13[[#This Row],[DeltaC]]*Table13[[#This Row],[Open.Int]]*$A$4,0)</f>
        <v>0</v>
      </c>
      <c r="BH355">
        <f>IFERROR(Table13[[#This Row],[DeltaP]]*Table13[[#This Row],[Open.Int8]]*$A$4,0)</f>
        <v>0</v>
      </c>
      <c r="BI35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5">
        <f ca="1">Table13[[#This Row],[charmc]]+Table13[[#This Row],[charmp]]</f>
        <v>0</v>
      </c>
      <c r="BL35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5" s="78">
        <f ca="1">Table13[[#This Row],[call helper]]+Table13[[#This Row],[put helper]]</f>
        <v>0</v>
      </c>
      <c r="BP355" t="str">
        <f>RTD("tos.rtd", , "STRIKE", "."&amp;Table13[[#This Row],[Ticker]]&amp;Table13[[#This Row],[Expiry]]&amp;""&amp;"C"&amp;Table13[[#This Row],[Spot]]+Table13[[#This Row],[step]])</f>
        <v>N/A</v>
      </c>
    </row>
    <row r="356" spans="1:68" x14ac:dyDescent="0.25">
      <c r="A356" s="14">
        <f t="shared" ca="1" si="34"/>
        <v>-126.14810350076104</v>
      </c>
      <c r="C356" s="17"/>
      <c r="D356" t="b">
        <f>IF(
    ISNUMBER(Table13[[#This Row],[Strike]]),RTD("tos.rtd", , "OPEN_INT", "."&amp;Table13[[#This Row],[Ticker]]&amp;Table13[[#This Row],[Expiry]]&amp;""&amp;"C"&amp;Table13[[#This Row],[Strike]]))</f>
        <v>0</v>
      </c>
      <c r="E35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6" t="b">
        <f>IF(     ISNUMBER(Table13[[#This Row],[Strike]]),RTD("tos.rtd", , "DELTA", "."&amp;Table13[[#This Row],[Ticker]]&amp;Table13[[#This Row],[Expiry]]&amp;""&amp;"C"&amp;Table13[[#This Row],[Strike]]))</f>
        <v>0</v>
      </c>
      <c r="H356" s="17" t="b" cm="1">
        <f t="array" ref="H356">IF(
    ISNUMBER(Table13[[#This Row],[Strike]]),IndividualLegIVCore($A$4, Table13[[#This Row],[Strike]], 0.0411, Table13[[#This Row],[T]], ((Table13[[#This Row],[BIDC]]+Table13[[#This Row],[ASKC]])/2), TRUE))</f>
        <v>0</v>
      </c>
      <c r="I356" t="b">
        <f>IF(     ISNUMBER(Table13[[#This Row],[Strike]]),RTD("tos.rtd", , "BID", "."&amp;Table13[[#This Row],[Ticker]]&amp;Table13[[#This Row],[Expiry]]&amp;""&amp;"C"&amp;Table13[[#This Row],[Strike]]))</f>
        <v>0</v>
      </c>
      <c r="J356" t="b">
        <f>IF(     ISNUMBER(Table13[[#This Row],[Strike]]),RTD("tos.rtd", , "ASK", "."&amp;Table13[[#This Row],[Ticker]]&amp;Table13[[#This Row],[Expiry]]&amp;""&amp;"C"&amp;Table13[[#This Row],[Strike]]))</f>
        <v>0</v>
      </c>
      <c r="K35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6" s="17" cm="1">
        <f t="array" aca="1" ref="L35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6" s="1">
        <f t="shared" si="35"/>
        <v>0</v>
      </c>
      <c r="N356" t="b">
        <f t="shared" si="36"/>
        <v>0</v>
      </c>
      <c r="P356" s="17" t="b" cm="1">
        <f t="array" ref="P356">IF(
    ISNUMBER(Table13[[#This Row],[Strike]]),IndividualLegIVCore($A$4, Table13[[#This Row],[Strike]], 0.0411, Table13[[#This Row],[T]], ((Table13[[#This Row],[BIDP]]+Table13[[#This Row],[ASKP]])/2), FALSE))</f>
        <v>0</v>
      </c>
      <c r="Q356" t="b">
        <f>IF(     ISNUMBER(Table13[[#This Row],[Strike]]),RTD("tos.rtd", , "BID", "."&amp;Table13[[#This Row],[Ticker]]&amp;Table13[[#This Row],[Expiry]]&amp;""&amp;"P"&amp;Table13[[#This Row],[Strike]]))</f>
        <v>0</v>
      </c>
      <c r="R356" t="b">
        <f>IF(     ISNUMBER(Table13[[#This Row],[Strike]]),RTD("tos.rtd", , "ASK", "."&amp;Table13[[#This Row],[Ticker]]&amp;Table13[[#This Row],[Expiry]]&amp;""&amp;"P"&amp;Table13[[#This Row],[Strike]]))</f>
        <v>0</v>
      </c>
      <c r="S356" s="17"/>
      <c r="T356" t="b">
        <f>IF(     ISNUMBER(Table13[[#This Row],[Strike]]),RTD("tos.rtd", , "OPEN_INT", "."&amp;Table13[[#This Row],[Ticker]]&amp;Table13[[#This Row],[Expiry]]&amp;""&amp;"P"&amp;Table13[[#This Row],[Strike]]))</f>
        <v>0</v>
      </c>
      <c r="U35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6" t="b">
        <f>IF(     ISNUMBER(Table13[[#This Row],[Strike]]),RTD("tos.rtd", , "DELTA", "."&amp;Table13[[#This Row],[Ticker]]&amp;Table13[[#This Row],[Expiry]]&amp;""&amp;"P"&amp;Table13[[#This Row],[Strike]]))</f>
        <v>0</v>
      </c>
      <c r="Y356" s="19">
        <f>21.5* IF($M$1="NDX", 10, IF(OR($M$1="SPX", $M$1="RUT"), 2, 1))</f>
        <v>43</v>
      </c>
      <c r="Z356">
        <f ca="1">IFERROR(Table13[[#This Row],[call gamma]]*(Table13[[#This Row],[Open.Int]])*$A$4^2,0)</f>
        <v>0</v>
      </c>
      <c r="AA356">
        <f ca="1">IFERROR(((Table13[[#This Row],[Open.Int8]])*Table13[[#This Row],[Put gamma]])*-1*$A$4^2,0)</f>
        <v>0</v>
      </c>
      <c r="AB356">
        <f ca="1">(Table13[[#This Row],[Call Gex]]+Table13[[#This Row],[Put Gex]])</f>
        <v>0</v>
      </c>
      <c r="AC356">
        <f ca="1">Table13[[#This Row],[put delta adj]]+Table13[[#This Row],[call delta adj]]</f>
        <v>0</v>
      </c>
      <c r="AD356">
        <f ca="1">Table13[[#This Row],[Put Gex]]*Table13[[#This Row],[DeltaP]]*-1</f>
        <v>0</v>
      </c>
      <c r="AE356">
        <f ca="1">Table13[[#This Row],[Call Gex]]*Table13[[#This Row],[DeltaC]]</f>
        <v>0</v>
      </c>
      <c r="AF356">
        <f>IF(Table13[[#This Row],[DeltaC]]-ABS(Table13[[#This Row],[DeltaP]])="0","0.01",Table13[[#This Row],[DeltaC]]-ABS(Table13[[#This Row],[DeltaP]]))</f>
        <v>0</v>
      </c>
      <c r="AG356" t="e">
        <f ca="1">((LN($A$4/Table13[[#This Row],[Strike]]) + (0.411 + 0.5 * Table13[[#This Row],[IV Calc P]]^2) *Table13[[#This Row],[T]])) / (Table13[[#This Row],[IV Calc P]] * SQRT(Table13[[#This Row],[T]]))</f>
        <v>#DIV/0!</v>
      </c>
      <c r="AH356" t="e">
        <f ca="1">(LN($A$4/Table13[[#This Row],[Strike]]) + (0.411-0 + 0.5 * Table13[[#This Row],[IV Calc C]]^2) *Table13[[#This Row],[T]]) / (Table13[[#This Row],[IV Calc C]] * SQRT(Table13[[#This Row],[T]]))</f>
        <v>#DIV/0!</v>
      </c>
      <c r="AI356" t="e">
        <f ca="1">(EXP(-(AG356^2)/2)/SQRT(2*PI())*EXP(0*SQRT(Table13[[#This Row],[T]]))/$A$4*18%*SQRT(SQRT(Table13[[#This Row],[T]])))</f>
        <v>#DIV/0!</v>
      </c>
      <c r="AJ356" t="e">
        <f ca="1">(EXP(-(AH356^2)/2)/SQRT(2*PI())*EXP(0*SQRT(Table13[[#This Row],[T]]))/$A$4*18%*SQRT(SQRT(Table13[[#This Row],[T]])))</f>
        <v>#DIV/0!</v>
      </c>
      <c r="AK356" t="e">
        <f ca="1">Table13[[#This Row],[Call D1]]-Table13[[#This Row],[IV Calc C]]*SQRT(Table13[[#This Row],[T]])</f>
        <v>#DIV/0!</v>
      </c>
      <c r="AL356" t="e">
        <f ca="1">Table13[[#This Row],[Put D1]]-Table13[[#This Row],[IV Calc P]]*SQRT(Table13[[#This Row],[T]])</f>
        <v>#DIV/0!</v>
      </c>
      <c r="AM356" t="e">
        <f ca="1">EXP(-0.5*Table13[[#This Row],[Call D1]]^2)/SQRT(2*PI())</f>
        <v>#DIV/0!</v>
      </c>
      <c r="AN356" t="e">
        <f ca="1">EXP(-0.5*Table13[[#This Row],[Put D1]]^2)/SQRT(2*PI())</f>
        <v>#DIV/0!</v>
      </c>
      <c r="AO356">
        <f ca="1">IFERROR((EXP(0*Table13[[#This Row],[T]])*Table13[[#This Row],[call N(d1)]]*(Table13[[#This Row],[call d2]]/Table13[[#This Row],[IV Calc C]]))*Table13[[#This Row],[Open.Int]]*Table13[[#This Row],[DeltaC]],0)</f>
        <v>0</v>
      </c>
      <c r="AP356">
        <f ca="1">IFERROR((EXP(0*Table13[[#This Row],[T]])*Table13[[#This Row],[put N(d1)]]*(Table13[[#This Row],[put d2]]/Table13[[#This Row],[IV Calc P]]))*Table13[[#This Row],[Open.Int8]]*Table13[[#This Row],[DeltaP]]*-1,0)</f>
        <v>0</v>
      </c>
      <c r="AQ356">
        <f ca="1">((Table13[[#This Row],[call vanna]]+Table13[[#This Row],[put vanna]])*$A$4)</f>
        <v>0</v>
      </c>
      <c r="AR35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6" s="9" t="str" cm="1">
        <f t="array" ref="AT356">_xlfn.IFS(     $M$1="SPX","SPXW",     $M$1="RUT","RUTW",  $M$1="NDX","NDXP",   TRUE,$M$1 )</f>
        <v>SPXW</v>
      </c>
      <c r="AU356" s="2">
        <f t="shared" si="37"/>
        <v>6915</v>
      </c>
      <c r="AV356" t="str">
        <f t="shared" si="38"/>
        <v>000100</v>
      </c>
      <c r="AY35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6">
        <f>((Table13[[#This Row],[High C]]+Table13[[#This Row],[Low C]])/2)*Table13[[#This Row],[gammac]]*Table13[[#This Row],[Volume]]</f>
        <v>0</v>
      </c>
      <c r="BD356">
        <f>((Table13[[#This Row],[High P]]+Table13[[#This Row],[Low P]])/2)*Table13[[#This Row],[gammap]]*Table13[[#This Row],[Volume9]]*-1</f>
        <v>0</v>
      </c>
      <c r="BE356">
        <f>(Table13[[#This Row],[SgammaC]]+Table13[[#This Row],[SgammaP]])*$A$4*-100</f>
        <v>0</v>
      </c>
      <c r="BF356">
        <f>Table13[[#This Row],[DEXc]]+Table13[[#This Row],[DEXp]]</f>
        <v>0</v>
      </c>
      <c r="BG356">
        <f>IFERROR(Table13[[#This Row],[DeltaC]]*Table13[[#This Row],[Open.Int]]*$A$4,0)</f>
        <v>0</v>
      </c>
      <c r="BH356">
        <f>IFERROR(Table13[[#This Row],[DeltaP]]*Table13[[#This Row],[Open.Int8]]*$A$4,0)</f>
        <v>0</v>
      </c>
      <c r="BI35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6">
        <f ca="1">Table13[[#This Row],[charmc]]+Table13[[#This Row],[charmp]]</f>
        <v>0</v>
      </c>
      <c r="BL35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6" s="78">
        <f ca="1">Table13[[#This Row],[call helper]]+Table13[[#This Row],[put helper]]</f>
        <v>0</v>
      </c>
      <c r="BP356" t="str">
        <f>RTD("tos.rtd", , "STRIKE", "."&amp;Table13[[#This Row],[Ticker]]&amp;Table13[[#This Row],[Expiry]]&amp;""&amp;"C"&amp;Table13[[#This Row],[Spot]]+Table13[[#This Row],[step]])</f>
        <v>N/A</v>
      </c>
    </row>
    <row r="357" spans="1:68" x14ac:dyDescent="0.25">
      <c r="A357" s="14">
        <f t="shared" ca="1" si="34"/>
        <v>-126.14810350076104</v>
      </c>
      <c r="C357" s="17"/>
      <c r="D357" t="b">
        <f>IF(
    ISNUMBER(Table13[[#This Row],[Strike]]),RTD("tos.rtd", , "OPEN_INT", "."&amp;Table13[[#This Row],[Ticker]]&amp;Table13[[#This Row],[Expiry]]&amp;""&amp;"C"&amp;Table13[[#This Row],[Strike]]))</f>
        <v>0</v>
      </c>
      <c r="E35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7" t="b">
        <f>IF(     ISNUMBER(Table13[[#This Row],[Strike]]),RTD("tos.rtd", , "DELTA", "."&amp;Table13[[#This Row],[Ticker]]&amp;Table13[[#This Row],[Expiry]]&amp;""&amp;"C"&amp;Table13[[#This Row],[Strike]]))</f>
        <v>0</v>
      </c>
      <c r="H357" s="17" t="b" cm="1">
        <f t="array" ref="H357">IF(
    ISNUMBER(Table13[[#This Row],[Strike]]),IndividualLegIVCore($A$4, Table13[[#This Row],[Strike]], 0.0411, Table13[[#This Row],[T]], ((Table13[[#This Row],[BIDC]]+Table13[[#This Row],[ASKC]])/2), TRUE))</f>
        <v>0</v>
      </c>
      <c r="I357" t="b">
        <f>IF(     ISNUMBER(Table13[[#This Row],[Strike]]),RTD("tos.rtd", , "BID", "."&amp;Table13[[#This Row],[Ticker]]&amp;Table13[[#This Row],[Expiry]]&amp;""&amp;"C"&amp;Table13[[#This Row],[Strike]]))</f>
        <v>0</v>
      </c>
      <c r="J357" t="b">
        <f>IF(     ISNUMBER(Table13[[#This Row],[Strike]]),RTD("tos.rtd", , "ASK", "."&amp;Table13[[#This Row],[Ticker]]&amp;Table13[[#This Row],[Expiry]]&amp;""&amp;"C"&amp;Table13[[#This Row],[Strike]]))</f>
        <v>0</v>
      </c>
      <c r="K35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7" s="17" cm="1">
        <f t="array" aca="1" ref="L35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7" s="1">
        <f t="shared" si="35"/>
        <v>0</v>
      </c>
      <c r="N357" t="b">
        <f t="shared" si="36"/>
        <v>0</v>
      </c>
      <c r="P357" s="17" t="b" cm="1">
        <f t="array" ref="P357">IF(
    ISNUMBER(Table13[[#This Row],[Strike]]),IndividualLegIVCore($A$4, Table13[[#This Row],[Strike]], 0.0411, Table13[[#This Row],[T]], ((Table13[[#This Row],[BIDP]]+Table13[[#This Row],[ASKP]])/2), FALSE))</f>
        <v>0</v>
      </c>
      <c r="Q357" t="b">
        <f>IF(     ISNUMBER(Table13[[#This Row],[Strike]]),RTD("tos.rtd", , "BID", "."&amp;Table13[[#This Row],[Ticker]]&amp;Table13[[#This Row],[Expiry]]&amp;""&amp;"P"&amp;Table13[[#This Row],[Strike]]))</f>
        <v>0</v>
      </c>
      <c r="R357" t="b">
        <f>IF(     ISNUMBER(Table13[[#This Row],[Strike]]),RTD("tos.rtd", , "ASK", "."&amp;Table13[[#This Row],[Ticker]]&amp;Table13[[#This Row],[Expiry]]&amp;""&amp;"P"&amp;Table13[[#This Row],[Strike]]))</f>
        <v>0</v>
      </c>
      <c r="S357" s="17"/>
      <c r="T357" t="b">
        <f>IF(     ISNUMBER(Table13[[#This Row],[Strike]]),RTD("tos.rtd", , "OPEN_INT", "."&amp;Table13[[#This Row],[Ticker]]&amp;Table13[[#This Row],[Expiry]]&amp;""&amp;"P"&amp;Table13[[#This Row],[Strike]]))</f>
        <v>0</v>
      </c>
      <c r="U35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7" t="b">
        <f>IF(     ISNUMBER(Table13[[#This Row],[Strike]]),RTD("tos.rtd", , "DELTA", "."&amp;Table13[[#This Row],[Ticker]]&amp;Table13[[#This Row],[Expiry]]&amp;""&amp;"P"&amp;Table13[[#This Row],[Strike]]))</f>
        <v>0</v>
      </c>
      <c r="Y357" s="19">
        <f>22* IF($M$1="NDX", 10, IF(OR($M$1="SPX", $M$1="RUT"), 2, 1))</f>
        <v>44</v>
      </c>
      <c r="Z357">
        <f ca="1">IFERROR(Table13[[#This Row],[call gamma]]*(Table13[[#This Row],[Open.Int]])*$A$4^2,0)</f>
        <v>0</v>
      </c>
      <c r="AA357">
        <f ca="1">IFERROR(((Table13[[#This Row],[Open.Int8]])*Table13[[#This Row],[Put gamma]])*-1*$A$4^2,0)</f>
        <v>0</v>
      </c>
      <c r="AB357">
        <f ca="1">(Table13[[#This Row],[Call Gex]]+Table13[[#This Row],[Put Gex]])</f>
        <v>0</v>
      </c>
      <c r="AC357">
        <f ca="1">Table13[[#This Row],[put delta adj]]+Table13[[#This Row],[call delta adj]]</f>
        <v>0</v>
      </c>
      <c r="AD357">
        <f ca="1">Table13[[#This Row],[Put Gex]]*Table13[[#This Row],[DeltaP]]*-1</f>
        <v>0</v>
      </c>
      <c r="AE357">
        <f ca="1">Table13[[#This Row],[Call Gex]]*Table13[[#This Row],[DeltaC]]</f>
        <v>0</v>
      </c>
      <c r="AF357">
        <f>IF(Table13[[#This Row],[DeltaC]]-ABS(Table13[[#This Row],[DeltaP]])="0","0.01",Table13[[#This Row],[DeltaC]]-ABS(Table13[[#This Row],[DeltaP]]))</f>
        <v>0</v>
      </c>
      <c r="AG357" t="e">
        <f ca="1">((LN($A$4/Table13[[#This Row],[Strike]]) + (0.411 + 0.5 * Table13[[#This Row],[IV Calc P]]^2) *Table13[[#This Row],[T]])) / (Table13[[#This Row],[IV Calc P]] * SQRT(Table13[[#This Row],[T]]))</f>
        <v>#DIV/0!</v>
      </c>
      <c r="AH357" t="e">
        <f ca="1">(LN($A$4/Table13[[#This Row],[Strike]]) + (0.411-0 + 0.5 * Table13[[#This Row],[IV Calc C]]^2) *Table13[[#This Row],[T]]) / (Table13[[#This Row],[IV Calc C]] * SQRT(Table13[[#This Row],[T]]))</f>
        <v>#DIV/0!</v>
      </c>
      <c r="AI357" t="e">
        <f ca="1">(EXP(-(AG357^2)/2)/SQRT(2*PI())*EXP(0*SQRT(Table13[[#This Row],[T]]))/$A$4*18%*SQRT(SQRT(Table13[[#This Row],[T]])))</f>
        <v>#DIV/0!</v>
      </c>
      <c r="AJ357" t="e">
        <f ca="1">(EXP(-(AH357^2)/2)/SQRT(2*PI())*EXP(0*SQRT(Table13[[#This Row],[T]]))/$A$4*18%*SQRT(SQRT(Table13[[#This Row],[T]])))</f>
        <v>#DIV/0!</v>
      </c>
      <c r="AK357" t="e">
        <f ca="1">Table13[[#This Row],[Call D1]]-Table13[[#This Row],[IV Calc C]]*SQRT(Table13[[#This Row],[T]])</f>
        <v>#DIV/0!</v>
      </c>
      <c r="AL357" t="e">
        <f ca="1">Table13[[#This Row],[Put D1]]-Table13[[#This Row],[IV Calc P]]*SQRT(Table13[[#This Row],[T]])</f>
        <v>#DIV/0!</v>
      </c>
      <c r="AM357" t="e">
        <f ca="1">EXP(-0.5*Table13[[#This Row],[Call D1]]^2)/SQRT(2*PI())</f>
        <v>#DIV/0!</v>
      </c>
      <c r="AN357" t="e">
        <f ca="1">EXP(-0.5*Table13[[#This Row],[Put D1]]^2)/SQRT(2*PI())</f>
        <v>#DIV/0!</v>
      </c>
      <c r="AO357">
        <f ca="1">IFERROR((EXP(0*Table13[[#This Row],[T]])*Table13[[#This Row],[call N(d1)]]*(Table13[[#This Row],[call d2]]/Table13[[#This Row],[IV Calc C]]))*Table13[[#This Row],[Open.Int]]*Table13[[#This Row],[DeltaC]],0)</f>
        <v>0</v>
      </c>
      <c r="AP357">
        <f ca="1">IFERROR((EXP(0*Table13[[#This Row],[T]])*Table13[[#This Row],[put N(d1)]]*(Table13[[#This Row],[put d2]]/Table13[[#This Row],[IV Calc P]]))*Table13[[#This Row],[Open.Int8]]*Table13[[#This Row],[DeltaP]]*-1,0)</f>
        <v>0</v>
      </c>
      <c r="AQ357">
        <f ca="1">((Table13[[#This Row],[call vanna]]+Table13[[#This Row],[put vanna]])*$A$4)</f>
        <v>0</v>
      </c>
      <c r="AR35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7" s="9" t="str" cm="1">
        <f t="array" ref="AT357">_xlfn.IFS(     $M$1="SPX","SPXW",     $M$1="RUT","RUTW",  $M$1="NDX","NDXP",   TRUE,$M$1 )</f>
        <v>SPXW</v>
      </c>
      <c r="AU357" s="2">
        <f t="shared" si="37"/>
        <v>6915</v>
      </c>
      <c r="AV357" t="str">
        <f t="shared" si="38"/>
        <v>000100</v>
      </c>
      <c r="AY35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7">
        <f>((Table13[[#This Row],[High C]]+Table13[[#This Row],[Low C]])/2)*Table13[[#This Row],[gammac]]*Table13[[#This Row],[Volume]]</f>
        <v>0</v>
      </c>
      <c r="BD357">
        <f>((Table13[[#This Row],[High P]]+Table13[[#This Row],[Low P]])/2)*Table13[[#This Row],[gammap]]*Table13[[#This Row],[Volume9]]*-1</f>
        <v>0</v>
      </c>
      <c r="BE357">
        <f>(Table13[[#This Row],[SgammaC]]+Table13[[#This Row],[SgammaP]])*$A$4*-100</f>
        <v>0</v>
      </c>
      <c r="BF357">
        <f>Table13[[#This Row],[DEXc]]+Table13[[#This Row],[DEXp]]</f>
        <v>0</v>
      </c>
      <c r="BG357">
        <f>IFERROR(Table13[[#This Row],[DeltaC]]*Table13[[#This Row],[Open.Int]]*$A$4,0)</f>
        <v>0</v>
      </c>
      <c r="BH357">
        <f>IFERROR(Table13[[#This Row],[DeltaP]]*Table13[[#This Row],[Open.Int8]]*$A$4,0)</f>
        <v>0</v>
      </c>
      <c r="BI35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7">
        <f ca="1">Table13[[#This Row],[charmc]]+Table13[[#This Row],[charmp]]</f>
        <v>0</v>
      </c>
      <c r="BL35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7" s="78">
        <f ca="1">Table13[[#This Row],[call helper]]+Table13[[#This Row],[put helper]]</f>
        <v>0</v>
      </c>
      <c r="BP357" t="str">
        <f>RTD("tos.rtd", , "STRIKE", "."&amp;Table13[[#This Row],[Ticker]]&amp;Table13[[#This Row],[Expiry]]&amp;""&amp;"C"&amp;Table13[[#This Row],[Spot]]+Table13[[#This Row],[step]])</f>
        <v>N/A</v>
      </c>
    </row>
    <row r="358" spans="1:68" x14ac:dyDescent="0.25">
      <c r="A358" s="14">
        <f t="shared" ca="1" si="34"/>
        <v>-126.14810350076104</v>
      </c>
      <c r="C358" s="17"/>
      <c r="D358" t="b">
        <f>IF(
    ISNUMBER(Table13[[#This Row],[Strike]]),RTD("tos.rtd", , "OPEN_INT", "."&amp;Table13[[#This Row],[Ticker]]&amp;Table13[[#This Row],[Expiry]]&amp;""&amp;"C"&amp;Table13[[#This Row],[Strike]]))</f>
        <v>0</v>
      </c>
      <c r="E35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8" t="b">
        <f>IF(     ISNUMBER(Table13[[#This Row],[Strike]]),RTD("tos.rtd", , "DELTA", "."&amp;Table13[[#This Row],[Ticker]]&amp;Table13[[#This Row],[Expiry]]&amp;""&amp;"C"&amp;Table13[[#This Row],[Strike]]))</f>
        <v>0</v>
      </c>
      <c r="H358" s="17" t="b" cm="1">
        <f t="array" ref="H358">IF(
    ISNUMBER(Table13[[#This Row],[Strike]]),IndividualLegIVCore($A$4, Table13[[#This Row],[Strike]], 0.0411, Table13[[#This Row],[T]], ((Table13[[#This Row],[BIDC]]+Table13[[#This Row],[ASKC]])/2), TRUE))</f>
        <v>0</v>
      </c>
      <c r="I358" t="b">
        <f>IF(     ISNUMBER(Table13[[#This Row],[Strike]]),RTD("tos.rtd", , "BID", "."&amp;Table13[[#This Row],[Ticker]]&amp;Table13[[#This Row],[Expiry]]&amp;""&amp;"C"&amp;Table13[[#This Row],[Strike]]))</f>
        <v>0</v>
      </c>
      <c r="J358" t="b">
        <f>IF(     ISNUMBER(Table13[[#This Row],[Strike]]),RTD("tos.rtd", , "ASK", "."&amp;Table13[[#This Row],[Ticker]]&amp;Table13[[#This Row],[Expiry]]&amp;""&amp;"C"&amp;Table13[[#This Row],[Strike]]))</f>
        <v>0</v>
      </c>
      <c r="K35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8" s="17" cm="1">
        <f t="array" aca="1" ref="L35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8" s="1">
        <f t="shared" si="35"/>
        <v>0</v>
      </c>
      <c r="N358" t="b">
        <f t="shared" si="36"/>
        <v>0</v>
      </c>
      <c r="P358" s="17" t="b" cm="1">
        <f t="array" ref="P358">IF(
    ISNUMBER(Table13[[#This Row],[Strike]]),IndividualLegIVCore($A$4, Table13[[#This Row],[Strike]], 0.0411, Table13[[#This Row],[T]], ((Table13[[#This Row],[BIDP]]+Table13[[#This Row],[ASKP]])/2), FALSE))</f>
        <v>0</v>
      </c>
      <c r="Q358" t="b">
        <f>IF(     ISNUMBER(Table13[[#This Row],[Strike]]),RTD("tos.rtd", , "BID", "."&amp;Table13[[#This Row],[Ticker]]&amp;Table13[[#This Row],[Expiry]]&amp;""&amp;"P"&amp;Table13[[#This Row],[Strike]]))</f>
        <v>0</v>
      </c>
      <c r="R358" t="b">
        <f>IF(     ISNUMBER(Table13[[#This Row],[Strike]]),RTD("tos.rtd", , "ASK", "."&amp;Table13[[#This Row],[Ticker]]&amp;Table13[[#This Row],[Expiry]]&amp;""&amp;"P"&amp;Table13[[#This Row],[Strike]]))</f>
        <v>0</v>
      </c>
      <c r="S358" s="17"/>
      <c r="T358" t="b">
        <f>IF(     ISNUMBER(Table13[[#This Row],[Strike]]),RTD("tos.rtd", , "OPEN_INT", "."&amp;Table13[[#This Row],[Ticker]]&amp;Table13[[#This Row],[Expiry]]&amp;""&amp;"P"&amp;Table13[[#This Row],[Strike]]))</f>
        <v>0</v>
      </c>
      <c r="U35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8" t="b">
        <f>IF(     ISNUMBER(Table13[[#This Row],[Strike]]),RTD("tos.rtd", , "DELTA", "."&amp;Table13[[#This Row],[Ticker]]&amp;Table13[[#This Row],[Expiry]]&amp;""&amp;"P"&amp;Table13[[#This Row],[Strike]]))</f>
        <v>0</v>
      </c>
      <c r="Y358" s="19">
        <f>22.5* IF($M$1="NDX", 10, IF(OR($M$1="SPX", $M$1="RUT"), 2, 1))</f>
        <v>45</v>
      </c>
      <c r="Z358">
        <f ca="1">IFERROR(Table13[[#This Row],[call gamma]]*(Table13[[#This Row],[Open.Int]])*$A$4^2,0)</f>
        <v>0</v>
      </c>
      <c r="AA358">
        <f ca="1">IFERROR(((Table13[[#This Row],[Open.Int8]])*Table13[[#This Row],[Put gamma]])*-1*$A$4^2,0)</f>
        <v>0</v>
      </c>
      <c r="AB358">
        <f ca="1">(Table13[[#This Row],[Call Gex]]+Table13[[#This Row],[Put Gex]])</f>
        <v>0</v>
      </c>
      <c r="AC358">
        <f ca="1">Table13[[#This Row],[put delta adj]]+Table13[[#This Row],[call delta adj]]</f>
        <v>0</v>
      </c>
      <c r="AD358">
        <f ca="1">Table13[[#This Row],[Put Gex]]*Table13[[#This Row],[DeltaP]]*-1</f>
        <v>0</v>
      </c>
      <c r="AE358">
        <f ca="1">Table13[[#This Row],[Call Gex]]*Table13[[#This Row],[DeltaC]]</f>
        <v>0</v>
      </c>
      <c r="AF358">
        <f>IF(Table13[[#This Row],[DeltaC]]-ABS(Table13[[#This Row],[DeltaP]])="0","0.01",Table13[[#This Row],[DeltaC]]-ABS(Table13[[#This Row],[DeltaP]]))</f>
        <v>0</v>
      </c>
      <c r="AG358" t="e">
        <f ca="1">((LN($A$4/Table13[[#This Row],[Strike]]) + (0.411 + 0.5 * Table13[[#This Row],[IV Calc P]]^2) *Table13[[#This Row],[T]])) / (Table13[[#This Row],[IV Calc P]] * SQRT(Table13[[#This Row],[T]]))</f>
        <v>#DIV/0!</v>
      </c>
      <c r="AH358" t="e">
        <f ca="1">(LN($A$4/Table13[[#This Row],[Strike]]) + (0.411-0 + 0.5 * Table13[[#This Row],[IV Calc C]]^2) *Table13[[#This Row],[T]]) / (Table13[[#This Row],[IV Calc C]] * SQRT(Table13[[#This Row],[T]]))</f>
        <v>#DIV/0!</v>
      </c>
      <c r="AI358" t="e">
        <f ca="1">(EXP(-(AG358^2)/2)/SQRT(2*PI())*EXP(0*SQRT(Table13[[#This Row],[T]]))/$A$4*18%*SQRT(SQRT(Table13[[#This Row],[T]])))</f>
        <v>#DIV/0!</v>
      </c>
      <c r="AJ358" t="e">
        <f ca="1">(EXP(-(AH358^2)/2)/SQRT(2*PI())*EXP(0*SQRT(Table13[[#This Row],[T]]))/$A$4*18%*SQRT(SQRT(Table13[[#This Row],[T]])))</f>
        <v>#DIV/0!</v>
      </c>
      <c r="AK358" t="e">
        <f ca="1">Table13[[#This Row],[Call D1]]-Table13[[#This Row],[IV Calc C]]*SQRT(Table13[[#This Row],[T]])</f>
        <v>#DIV/0!</v>
      </c>
      <c r="AL358" t="e">
        <f ca="1">Table13[[#This Row],[Put D1]]-Table13[[#This Row],[IV Calc P]]*SQRT(Table13[[#This Row],[T]])</f>
        <v>#DIV/0!</v>
      </c>
      <c r="AM358" t="e">
        <f ca="1">EXP(-0.5*Table13[[#This Row],[Call D1]]^2)/SQRT(2*PI())</f>
        <v>#DIV/0!</v>
      </c>
      <c r="AN358" t="e">
        <f ca="1">EXP(-0.5*Table13[[#This Row],[Put D1]]^2)/SQRT(2*PI())</f>
        <v>#DIV/0!</v>
      </c>
      <c r="AO358">
        <f ca="1">IFERROR((EXP(0*Table13[[#This Row],[T]])*Table13[[#This Row],[call N(d1)]]*(Table13[[#This Row],[call d2]]/Table13[[#This Row],[IV Calc C]]))*Table13[[#This Row],[Open.Int]]*Table13[[#This Row],[DeltaC]],0)</f>
        <v>0</v>
      </c>
      <c r="AP358">
        <f ca="1">IFERROR((EXP(0*Table13[[#This Row],[T]])*Table13[[#This Row],[put N(d1)]]*(Table13[[#This Row],[put d2]]/Table13[[#This Row],[IV Calc P]]))*Table13[[#This Row],[Open.Int8]]*Table13[[#This Row],[DeltaP]]*-1,0)</f>
        <v>0</v>
      </c>
      <c r="AQ358">
        <f ca="1">((Table13[[#This Row],[call vanna]]+Table13[[#This Row],[put vanna]])*$A$4)</f>
        <v>0</v>
      </c>
      <c r="AR35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8" s="9" t="str" cm="1">
        <f t="array" ref="AT358">_xlfn.IFS(     $M$1="SPX","SPXW",     $M$1="RUT","RUTW",  $M$1="NDX","NDXP",   TRUE,$M$1 )</f>
        <v>SPXW</v>
      </c>
      <c r="AU358" s="2">
        <f t="shared" si="37"/>
        <v>6915</v>
      </c>
      <c r="AV358" t="str">
        <f t="shared" si="38"/>
        <v>000100</v>
      </c>
      <c r="AY35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8">
        <f>((Table13[[#This Row],[High C]]+Table13[[#This Row],[Low C]])/2)*Table13[[#This Row],[gammac]]*Table13[[#This Row],[Volume]]</f>
        <v>0</v>
      </c>
      <c r="BD358">
        <f>((Table13[[#This Row],[High P]]+Table13[[#This Row],[Low P]])/2)*Table13[[#This Row],[gammap]]*Table13[[#This Row],[Volume9]]*-1</f>
        <v>0</v>
      </c>
      <c r="BE358">
        <f>(Table13[[#This Row],[SgammaC]]+Table13[[#This Row],[SgammaP]])*$A$4*-100</f>
        <v>0</v>
      </c>
      <c r="BF358">
        <f>Table13[[#This Row],[DEXc]]+Table13[[#This Row],[DEXp]]</f>
        <v>0</v>
      </c>
      <c r="BG358">
        <f>IFERROR(Table13[[#This Row],[DeltaC]]*Table13[[#This Row],[Open.Int]]*$A$4,0)</f>
        <v>0</v>
      </c>
      <c r="BH358">
        <f>IFERROR(Table13[[#This Row],[DeltaP]]*Table13[[#This Row],[Open.Int8]]*$A$4,0)</f>
        <v>0</v>
      </c>
      <c r="BI35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8">
        <f ca="1">Table13[[#This Row],[charmc]]+Table13[[#This Row],[charmp]]</f>
        <v>0</v>
      </c>
      <c r="BL35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8" s="78">
        <f ca="1">Table13[[#This Row],[call helper]]+Table13[[#This Row],[put helper]]</f>
        <v>0</v>
      </c>
      <c r="BP358" t="str">
        <f>RTD("tos.rtd", , "STRIKE", "."&amp;Table13[[#This Row],[Ticker]]&amp;Table13[[#This Row],[Expiry]]&amp;""&amp;"C"&amp;Table13[[#This Row],[Spot]]+Table13[[#This Row],[step]])</f>
        <v>N/A</v>
      </c>
    </row>
    <row r="359" spans="1:68" x14ac:dyDescent="0.25">
      <c r="A359" s="14">
        <f t="shared" ca="1" si="34"/>
        <v>-126.14810350076104</v>
      </c>
      <c r="C359" s="17"/>
      <c r="D359" t="b">
        <f>IF(
    ISNUMBER(Table13[[#This Row],[Strike]]),RTD("tos.rtd", , "OPEN_INT", "."&amp;Table13[[#This Row],[Ticker]]&amp;Table13[[#This Row],[Expiry]]&amp;""&amp;"C"&amp;Table13[[#This Row],[Strike]]))</f>
        <v>0</v>
      </c>
      <c r="E35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9" t="b">
        <f>IF(     ISNUMBER(Table13[[#This Row],[Strike]]),RTD("tos.rtd", , "DELTA", "."&amp;Table13[[#This Row],[Ticker]]&amp;Table13[[#This Row],[Expiry]]&amp;""&amp;"C"&amp;Table13[[#This Row],[Strike]]))</f>
        <v>0</v>
      </c>
      <c r="H359" s="17" t="b" cm="1">
        <f t="array" ref="H359">IF(
    ISNUMBER(Table13[[#This Row],[Strike]]),IndividualLegIVCore($A$4, Table13[[#This Row],[Strike]], 0.0411, Table13[[#This Row],[T]], ((Table13[[#This Row],[BIDC]]+Table13[[#This Row],[ASKC]])/2), TRUE))</f>
        <v>0</v>
      </c>
      <c r="I359" t="b">
        <f>IF(     ISNUMBER(Table13[[#This Row],[Strike]]),RTD("tos.rtd", , "BID", "."&amp;Table13[[#This Row],[Ticker]]&amp;Table13[[#This Row],[Expiry]]&amp;""&amp;"C"&amp;Table13[[#This Row],[Strike]]))</f>
        <v>0</v>
      </c>
      <c r="J359" t="b">
        <f>IF(     ISNUMBER(Table13[[#This Row],[Strike]]),RTD("tos.rtd", , "ASK", "."&amp;Table13[[#This Row],[Ticker]]&amp;Table13[[#This Row],[Expiry]]&amp;""&amp;"C"&amp;Table13[[#This Row],[Strike]]))</f>
        <v>0</v>
      </c>
      <c r="K35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9" s="17" cm="1">
        <f t="array" aca="1" ref="L35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59" s="1">
        <f t="shared" si="35"/>
        <v>0</v>
      </c>
      <c r="N359" t="b">
        <f t="shared" si="36"/>
        <v>0</v>
      </c>
      <c r="P359" s="17" t="b" cm="1">
        <f t="array" ref="P359">IF(
    ISNUMBER(Table13[[#This Row],[Strike]]),IndividualLegIVCore($A$4, Table13[[#This Row],[Strike]], 0.0411, Table13[[#This Row],[T]], ((Table13[[#This Row],[BIDP]]+Table13[[#This Row],[ASKP]])/2), FALSE))</f>
        <v>0</v>
      </c>
      <c r="Q359" t="b">
        <f>IF(     ISNUMBER(Table13[[#This Row],[Strike]]),RTD("tos.rtd", , "BID", "."&amp;Table13[[#This Row],[Ticker]]&amp;Table13[[#This Row],[Expiry]]&amp;""&amp;"P"&amp;Table13[[#This Row],[Strike]]))</f>
        <v>0</v>
      </c>
      <c r="R359" t="b">
        <f>IF(     ISNUMBER(Table13[[#This Row],[Strike]]),RTD("tos.rtd", , "ASK", "."&amp;Table13[[#This Row],[Ticker]]&amp;Table13[[#This Row],[Expiry]]&amp;""&amp;"P"&amp;Table13[[#This Row],[Strike]]))</f>
        <v>0</v>
      </c>
      <c r="S359" s="17"/>
      <c r="T359" t="b">
        <f>IF(     ISNUMBER(Table13[[#This Row],[Strike]]),RTD("tos.rtd", , "OPEN_INT", "."&amp;Table13[[#This Row],[Ticker]]&amp;Table13[[#This Row],[Expiry]]&amp;""&amp;"P"&amp;Table13[[#This Row],[Strike]]))</f>
        <v>0</v>
      </c>
      <c r="U35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9" t="b">
        <f>IF(     ISNUMBER(Table13[[#This Row],[Strike]]),RTD("tos.rtd", , "DELTA", "."&amp;Table13[[#This Row],[Ticker]]&amp;Table13[[#This Row],[Expiry]]&amp;""&amp;"P"&amp;Table13[[#This Row],[Strike]]))</f>
        <v>0</v>
      </c>
      <c r="Y359" s="19">
        <f>23* IF($M$1="NDX", 10, IF(OR($M$1="SPX", $M$1="RUT"), 2, 1))</f>
        <v>46</v>
      </c>
      <c r="Z359">
        <f ca="1">IFERROR(Table13[[#This Row],[call gamma]]*(Table13[[#This Row],[Open.Int]])*$A$4^2,0)</f>
        <v>0</v>
      </c>
      <c r="AA359">
        <f ca="1">IFERROR(((Table13[[#This Row],[Open.Int8]])*Table13[[#This Row],[Put gamma]])*-1*$A$4^2,0)</f>
        <v>0</v>
      </c>
      <c r="AB359">
        <f ca="1">(Table13[[#This Row],[Call Gex]]+Table13[[#This Row],[Put Gex]])</f>
        <v>0</v>
      </c>
      <c r="AC359">
        <f ca="1">Table13[[#This Row],[put delta adj]]+Table13[[#This Row],[call delta adj]]</f>
        <v>0</v>
      </c>
      <c r="AD359">
        <f ca="1">Table13[[#This Row],[Put Gex]]*Table13[[#This Row],[DeltaP]]*-1</f>
        <v>0</v>
      </c>
      <c r="AE359">
        <f ca="1">Table13[[#This Row],[Call Gex]]*Table13[[#This Row],[DeltaC]]</f>
        <v>0</v>
      </c>
      <c r="AF359">
        <f>IF(Table13[[#This Row],[DeltaC]]-ABS(Table13[[#This Row],[DeltaP]])="0","0.01",Table13[[#This Row],[DeltaC]]-ABS(Table13[[#This Row],[DeltaP]]))</f>
        <v>0</v>
      </c>
      <c r="AG359" t="e">
        <f ca="1">((LN($A$4/Table13[[#This Row],[Strike]]) + (0.411 + 0.5 * Table13[[#This Row],[IV Calc P]]^2) *Table13[[#This Row],[T]])) / (Table13[[#This Row],[IV Calc P]] * SQRT(Table13[[#This Row],[T]]))</f>
        <v>#DIV/0!</v>
      </c>
      <c r="AH359" t="e">
        <f ca="1">(LN($A$4/Table13[[#This Row],[Strike]]) + (0.411-0 + 0.5 * Table13[[#This Row],[IV Calc C]]^2) *Table13[[#This Row],[T]]) / (Table13[[#This Row],[IV Calc C]] * SQRT(Table13[[#This Row],[T]]))</f>
        <v>#DIV/0!</v>
      </c>
      <c r="AI359" t="e">
        <f ca="1">(EXP(-(AG359^2)/2)/SQRT(2*PI())*EXP(0*SQRT(Table13[[#This Row],[T]]))/$A$4*18%*SQRT(SQRT(Table13[[#This Row],[T]])))</f>
        <v>#DIV/0!</v>
      </c>
      <c r="AJ359" t="e">
        <f ca="1">(EXP(-(AH359^2)/2)/SQRT(2*PI())*EXP(0*SQRT(Table13[[#This Row],[T]]))/$A$4*18%*SQRT(SQRT(Table13[[#This Row],[T]])))</f>
        <v>#DIV/0!</v>
      </c>
      <c r="AK359" t="e">
        <f ca="1">Table13[[#This Row],[Call D1]]-Table13[[#This Row],[IV Calc C]]*SQRT(Table13[[#This Row],[T]])</f>
        <v>#DIV/0!</v>
      </c>
      <c r="AL359" t="e">
        <f ca="1">Table13[[#This Row],[Put D1]]-Table13[[#This Row],[IV Calc P]]*SQRT(Table13[[#This Row],[T]])</f>
        <v>#DIV/0!</v>
      </c>
      <c r="AM359" t="e">
        <f ca="1">EXP(-0.5*Table13[[#This Row],[Call D1]]^2)/SQRT(2*PI())</f>
        <v>#DIV/0!</v>
      </c>
      <c r="AN359" t="e">
        <f ca="1">EXP(-0.5*Table13[[#This Row],[Put D1]]^2)/SQRT(2*PI())</f>
        <v>#DIV/0!</v>
      </c>
      <c r="AO359">
        <f ca="1">IFERROR((EXP(0*Table13[[#This Row],[T]])*Table13[[#This Row],[call N(d1)]]*(Table13[[#This Row],[call d2]]/Table13[[#This Row],[IV Calc C]]))*Table13[[#This Row],[Open.Int]]*Table13[[#This Row],[DeltaC]],0)</f>
        <v>0</v>
      </c>
      <c r="AP359">
        <f ca="1">IFERROR((EXP(0*Table13[[#This Row],[T]])*Table13[[#This Row],[put N(d1)]]*(Table13[[#This Row],[put d2]]/Table13[[#This Row],[IV Calc P]]))*Table13[[#This Row],[Open.Int8]]*Table13[[#This Row],[DeltaP]]*-1,0)</f>
        <v>0</v>
      </c>
      <c r="AQ359">
        <f ca="1">((Table13[[#This Row],[call vanna]]+Table13[[#This Row],[put vanna]])*$A$4)</f>
        <v>0</v>
      </c>
      <c r="AR35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9" s="9" t="str" cm="1">
        <f t="array" ref="AT359">_xlfn.IFS(     $M$1="SPX","SPXW",     $M$1="RUT","RUTW",  $M$1="NDX","NDXP",   TRUE,$M$1 )</f>
        <v>SPXW</v>
      </c>
      <c r="AU359" s="2">
        <f t="shared" si="37"/>
        <v>6915</v>
      </c>
      <c r="AV359" t="str">
        <f t="shared" si="38"/>
        <v>000100</v>
      </c>
      <c r="AY35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9">
        <f>((Table13[[#This Row],[High C]]+Table13[[#This Row],[Low C]])/2)*Table13[[#This Row],[gammac]]*Table13[[#This Row],[Volume]]</f>
        <v>0</v>
      </c>
      <c r="BD359">
        <f>((Table13[[#This Row],[High P]]+Table13[[#This Row],[Low P]])/2)*Table13[[#This Row],[gammap]]*Table13[[#This Row],[Volume9]]*-1</f>
        <v>0</v>
      </c>
      <c r="BE359">
        <f>(Table13[[#This Row],[SgammaC]]+Table13[[#This Row],[SgammaP]])*$A$4*-100</f>
        <v>0</v>
      </c>
      <c r="BF359">
        <f>Table13[[#This Row],[DEXc]]+Table13[[#This Row],[DEXp]]</f>
        <v>0</v>
      </c>
      <c r="BG359">
        <f>IFERROR(Table13[[#This Row],[DeltaC]]*Table13[[#This Row],[Open.Int]]*$A$4,0)</f>
        <v>0</v>
      </c>
      <c r="BH359">
        <f>IFERROR(Table13[[#This Row],[DeltaP]]*Table13[[#This Row],[Open.Int8]]*$A$4,0)</f>
        <v>0</v>
      </c>
      <c r="BI35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9">
        <f ca="1">Table13[[#This Row],[charmc]]+Table13[[#This Row],[charmp]]</f>
        <v>0</v>
      </c>
      <c r="BL35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9" s="78">
        <f ca="1">Table13[[#This Row],[call helper]]+Table13[[#This Row],[put helper]]</f>
        <v>0</v>
      </c>
      <c r="BP359" t="str">
        <f>RTD("tos.rtd", , "STRIKE", "."&amp;Table13[[#This Row],[Ticker]]&amp;Table13[[#This Row],[Expiry]]&amp;""&amp;"C"&amp;Table13[[#This Row],[Spot]]+Table13[[#This Row],[step]])</f>
        <v>N/A</v>
      </c>
    </row>
    <row r="360" spans="1:68" x14ac:dyDescent="0.25">
      <c r="A360" s="14">
        <f t="shared" ca="1" si="34"/>
        <v>-126.14810350076104</v>
      </c>
      <c r="C360" s="17"/>
      <c r="D360" t="b">
        <f>IF(
    ISNUMBER(Table13[[#This Row],[Strike]]),RTD("tos.rtd", , "OPEN_INT", "."&amp;Table13[[#This Row],[Ticker]]&amp;Table13[[#This Row],[Expiry]]&amp;""&amp;"C"&amp;Table13[[#This Row],[Strike]]))</f>
        <v>0</v>
      </c>
      <c r="E36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0" t="b">
        <f>IF(     ISNUMBER(Table13[[#This Row],[Strike]]),RTD("tos.rtd", , "DELTA", "."&amp;Table13[[#This Row],[Ticker]]&amp;Table13[[#This Row],[Expiry]]&amp;""&amp;"C"&amp;Table13[[#This Row],[Strike]]))</f>
        <v>0</v>
      </c>
      <c r="H360" s="17" t="b" cm="1">
        <f t="array" ref="H360">IF(
    ISNUMBER(Table13[[#This Row],[Strike]]),IndividualLegIVCore($A$4, Table13[[#This Row],[Strike]], 0.0411, Table13[[#This Row],[T]], ((Table13[[#This Row],[BIDC]]+Table13[[#This Row],[ASKC]])/2), TRUE))</f>
        <v>0</v>
      </c>
      <c r="I360" t="b">
        <f>IF(     ISNUMBER(Table13[[#This Row],[Strike]]),RTD("tos.rtd", , "BID", "."&amp;Table13[[#This Row],[Ticker]]&amp;Table13[[#This Row],[Expiry]]&amp;""&amp;"C"&amp;Table13[[#This Row],[Strike]]))</f>
        <v>0</v>
      </c>
      <c r="J360" t="b">
        <f>IF(     ISNUMBER(Table13[[#This Row],[Strike]]),RTD("tos.rtd", , "ASK", "."&amp;Table13[[#This Row],[Ticker]]&amp;Table13[[#This Row],[Expiry]]&amp;""&amp;"C"&amp;Table13[[#This Row],[Strike]]))</f>
        <v>0</v>
      </c>
      <c r="K36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0" s="17" cm="1">
        <f t="array" aca="1" ref="L36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0" s="1">
        <f t="shared" si="35"/>
        <v>0</v>
      </c>
      <c r="N360" t="b">
        <f t="shared" si="36"/>
        <v>0</v>
      </c>
      <c r="P360" s="17" t="b" cm="1">
        <f t="array" ref="P360">IF(
    ISNUMBER(Table13[[#This Row],[Strike]]),IndividualLegIVCore($A$4, Table13[[#This Row],[Strike]], 0.0411, Table13[[#This Row],[T]], ((Table13[[#This Row],[BIDP]]+Table13[[#This Row],[ASKP]])/2), FALSE))</f>
        <v>0</v>
      </c>
      <c r="Q360" t="b">
        <f>IF(     ISNUMBER(Table13[[#This Row],[Strike]]),RTD("tos.rtd", , "BID", "."&amp;Table13[[#This Row],[Ticker]]&amp;Table13[[#This Row],[Expiry]]&amp;""&amp;"P"&amp;Table13[[#This Row],[Strike]]))</f>
        <v>0</v>
      </c>
      <c r="R360" t="b">
        <f>IF(     ISNUMBER(Table13[[#This Row],[Strike]]),RTD("tos.rtd", , "ASK", "."&amp;Table13[[#This Row],[Ticker]]&amp;Table13[[#This Row],[Expiry]]&amp;""&amp;"P"&amp;Table13[[#This Row],[Strike]]))</f>
        <v>0</v>
      </c>
      <c r="S360" s="17"/>
      <c r="T360" t="b">
        <f>IF(     ISNUMBER(Table13[[#This Row],[Strike]]),RTD("tos.rtd", , "OPEN_INT", "."&amp;Table13[[#This Row],[Ticker]]&amp;Table13[[#This Row],[Expiry]]&amp;""&amp;"P"&amp;Table13[[#This Row],[Strike]]))</f>
        <v>0</v>
      </c>
      <c r="U36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0" t="b">
        <f>IF(     ISNUMBER(Table13[[#This Row],[Strike]]),RTD("tos.rtd", , "DELTA", "."&amp;Table13[[#This Row],[Ticker]]&amp;Table13[[#This Row],[Expiry]]&amp;""&amp;"P"&amp;Table13[[#This Row],[Strike]]))</f>
        <v>0</v>
      </c>
      <c r="Y360" s="19">
        <f>23.5* IF($M$1="NDX", 10, IF(OR($M$1="SPX", $M$1="RUT"), 2, 1))</f>
        <v>47</v>
      </c>
      <c r="Z360">
        <f ca="1">IFERROR(Table13[[#This Row],[call gamma]]*(Table13[[#This Row],[Open.Int]])*$A$4^2,0)</f>
        <v>0</v>
      </c>
      <c r="AA360">
        <f ca="1">IFERROR(((Table13[[#This Row],[Open.Int8]])*Table13[[#This Row],[Put gamma]])*-1*$A$4^2,0)</f>
        <v>0</v>
      </c>
      <c r="AB360">
        <f ca="1">(Table13[[#This Row],[Call Gex]]+Table13[[#This Row],[Put Gex]])</f>
        <v>0</v>
      </c>
      <c r="AC360">
        <f ca="1">Table13[[#This Row],[put delta adj]]+Table13[[#This Row],[call delta adj]]</f>
        <v>0</v>
      </c>
      <c r="AD360">
        <f ca="1">Table13[[#This Row],[Put Gex]]*Table13[[#This Row],[DeltaP]]*-1</f>
        <v>0</v>
      </c>
      <c r="AE360">
        <f ca="1">Table13[[#This Row],[Call Gex]]*Table13[[#This Row],[DeltaC]]</f>
        <v>0</v>
      </c>
      <c r="AF360">
        <f>IF(Table13[[#This Row],[DeltaC]]-ABS(Table13[[#This Row],[DeltaP]])="0","0.01",Table13[[#This Row],[DeltaC]]-ABS(Table13[[#This Row],[DeltaP]]))</f>
        <v>0</v>
      </c>
      <c r="AG360" t="e">
        <f ca="1">((LN($A$4/Table13[[#This Row],[Strike]]) + (0.411 + 0.5 * Table13[[#This Row],[IV Calc P]]^2) *Table13[[#This Row],[T]])) / (Table13[[#This Row],[IV Calc P]] * SQRT(Table13[[#This Row],[T]]))</f>
        <v>#DIV/0!</v>
      </c>
      <c r="AH360" t="e">
        <f ca="1">(LN($A$4/Table13[[#This Row],[Strike]]) + (0.411-0 + 0.5 * Table13[[#This Row],[IV Calc C]]^2) *Table13[[#This Row],[T]]) / (Table13[[#This Row],[IV Calc C]] * SQRT(Table13[[#This Row],[T]]))</f>
        <v>#DIV/0!</v>
      </c>
      <c r="AI360" t="e">
        <f ca="1">(EXP(-(AG360^2)/2)/SQRT(2*PI())*EXP(0*SQRT(Table13[[#This Row],[T]]))/$A$4*18%*SQRT(SQRT(Table13[[#This Row],[T]])))</f>
        <v>#DIV/0!</v>
      </c>
      <c r="AJ360" t="e">
        <f ca="1">(EXP(-(AH360^2)/2)/SQRT(2*PI())*EXP(0*SQRT(Table13[[#This Row],[T]]))/$A$4*18%*SQRT(SQRT(Table13[[#This Row],[T]])))</f>
        <v>#DIV/0!</v>
      </c>
      <c r="AK360" t="e">
        <f ca="1">Table13[[#This Row],[Call D1]]-Table13[[#This Row],[IV Calc C]]*SQRT(Table13[[#This Row],[T]])</f>
        <v>#DIV/0!</v>
      </c>
      <c r="AL360" t="e">
        <f ca="1">Table13[[#This Row],[Put D1]]-Table13[[#This Row],[IV Calc P]]*SQRT(Table13[[#This Row],[T]])</f>
        <v>#DIV/0!</v>
      </c>
      <c r="AM360" t="e">
        <f ca="1">EXP(-0.5*Table13[[#This Row],[Call D1]]^2)/SQRT(2*PI())</f>
        <v>#DIV/0!</v>
      </c>
      <c r="AN360" t="e">
        <f ca="1">EXP(-0.5*Table13[[#This Row],[Put D1]]^2)/SQRT(2*PI())</f>
        <v>#DIV/0!</v>
      </c>
      <c r="AO360">
        <f ca="1">IFERROR((EXP(0*Table13[[#This Row],[T]])*Table13[[#This Row],[call N(d1)]]*(Table13[[#This Row],[call d2]]/Table13[[#This Row],[IV Calc C]]))*Table13[[#This Row],[Open.Int]]*Table13[[#This Row],[DeltaC]],0)</f>
        <v>0</v>
      </c>
      <c r="AP360">
        <f ca="1">IFERROR((EXP(0*Table13[[#This Row],[T]])*Table13[[#This Row],[put N(d1)]]*(Table13[[#This Row],[put d2]]/Table13[[#This Row],[IV Calc P]]))*Table13[[#This Row],[Open.Int8]]*Table13[[#This Row],[DeltaP]]*-1,0)</f>
        <v>0</v>
      </c>
      <c r="AQ360">
        <f ca="1">((Table13[[#This Row],[call vanna]]+Table13[[#This Row],[put vanna]])*$A$4)</f>
        <v>0</v>
      </c>
      <c r="AR36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0" s="9" t="str" cm="1">
        <f t="array" ref="AT360">_xlfn.IFS(     $M$1="SPX","SPXW",     $M$1="RUT","RUTW",  $M$1="NDX","NDXP",   TRUE,$M$1 )</f>
        <v>SPXW</v>
      </c>
      <c r="AU360" s="2">
        <f t="shared" si="37"/>
        <v>6915</v>
      </c>
      <c r="AV360" t="str">
        <f t="shared" si="38"/>
        <v>000100</v>
      </c>
      <c r="AY36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0">
        <f>((Table13[[#This Row],[High C]]+Table13[[#This Row],[Low C]])/2)*Table13[[#This Row],[gammac]]*Table13[[#This Row],[Volume]]</f>
        <v>0</v>
      </c>
      <c r="BD360">
        <f>((Table13[[#This Row],[High P]]+Table13[[#This Row],[Low P]])/2)*Table13[[#This Row],[gammap]]*Table13[[#This Row],[Volume9]]*-1</f>
        <v>0</v>
      </c>
      <c r="BE360">
        <f>(Table13[[#This Row],[SgammaC]]+Table13[[#This Row],[SgammaP]])*$A$4*-100</f>
        <v>0</v>
      </c>
      <c r="BF360">
        <f>Table13[[#This Row],[DEXc]]+Table13[[#This Row],[DEXp]]</f>
        <v>0</v>
      </c>
      <c r="BG360">
        <f>IFERROR(Table13[[#This Row],[DeltaC]]*Table13[[#This Row],[Open.Int]]*$A$4,0)</f>
        <v>0</v>
      </c>
      <c r="BH360">
        <f>IFERROR(Table13[[#This Row],[DeltaP]]*Table13[[#This Row],[Open.Int8]]*$A$4,0)</f>
        <v>0</v>
      </c>
      <c r="BI36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0">
        <f ca="1">Table13[[#This Row],[charmc]]+Table13[[#This Row],[charmp]]</f>
        <v>0</v>
      </c>
      <c r="BL36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0" s="78">
        <f ca="1">Table13[[#This Row],[call helper]]+Table13[[#This Row],[put helper]]</f>
        <v>0</v>
      </c>
      <c r="BP360" t="str">
        <f>RTD("tos.rtd", , "STRIKE", "."&amp;Table13[[#This Row],[Ticker]]&amp;Table13[[#This Row],[Expiry]]&amp;""&amp;"C"&amp;Table13[[#This Row],[Spot]]+Table13[[#This Row],[step]])</f>
        <v>N/A</v>
      </c>
    </row>
    <row r="361" spans="1:68" x14ac:dyDescent="0.25">
      <c r="A361" s="14">
        <f t="shared" ca="1" si="34"/>
        <v>-126.14810350076104</v>
      </c>
      <c r="C361" s="17"/>
      <c r="D361" t="b">
        <f>IF(
    ISNUMBER(Table13[[#This Row],[Strike]]),RTD("tos.rtd", , "OPEN_INT", "."&amp;Table13[[#This Row],[Ticker]]&amp;Table13[[#This Row],[Expiry]]&amp;""&amp;"C"&amp;Table13[[#This Row],[Strike]]))</f>
        <v>0</v>
      </c>
      <c r="E36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1" t="b">
        <f>IF(     ISNUMBER(Table13[[#This Row],[Strike]]),RTD("tos.rtd", , "DELTA", "."&amp;Table13[[#This Row],[Ticker]]&amp;Table13[[#This Row],[Expiry]]&amp;""&amp;"C"&amp;Table13[[#This Row],[Strike]]))</f>
        <v>0</v>
      </c>
      <c r="H361" s="17" t="b" cm="1">
        <f t="array" ref="H361">IF(
    ISNUMBER(Table13[[#This Row],[Strike]]),IndividualLegIVCore($A$4, Table13[[#This Row],[Strike]], 0.0411, Table13[[#This Row],[T]], ((Table13[[#This Row],[BIDC]]+Table13[[#This Row],[ASKC]])/2), TRUE))</f>
        <v>0</v>
      </c>
      <c r="I361" t="b">
        <f>IF(     ISNUMBER(Table13[[#This Row],[Strike]]),RTD("tos.rtd", , "BID", "."&amp;Table13[[#This Row],[Ticker]]&amp;Table13[[#This Row],[Expiry]]&amp;""&amp;"C"&amp;Table13[[#This Row],[Strike]]))</f>
        <v>0</v>
      </c>
      <c r="J361" t="b">
        <f>IF(     ISNUMBER(Table13[[#This Row],[Strike]]),RTD("tos.rtd", , "ASK", "."&amp;Table13[[#This Row],[Ticker]]&amp;Table13[[#This Row],[Expiry]]&amp;""&amp;"C"&amp;Table13[[#This Row],[Strike]]))</f>
        <v>0</v>
      </c>
      <c r="K36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1" s="17" cm="1">
        <f t="array" aca="1" ref="L36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1" s="1">
        <f t="shared" si="35"/>
        <v>0</v>
      </c>
      <c r="N361" t="b">
        <f t="shared" si="36"/>
        <v>0</v>
      </c>
      <c r="P361" s="17" t="b" cm="1">
        <f t="array" ref="P361">IF(
    ISNUMBER(Table13[[#This Row],[Strike]]),IndividualLegIVCore($A$4, Table13[[#This Row],[Strike]], 0.0411, Table13[[#This Row],[T]], ((Table13[[#This Row],[BIDP]]+Table13[[#This Row],[ASKP]])/2), FALSE))</f>
        <v>0</v>
      </c>
      <c r="Q361" t="b">
        <f>IF(     ISNUMBER(Table13[[#This Row],[Strike]]),RTD("tos.rtd", , "BID", "."&amp;Table13[[#This Row],[Ticker]]&amp;Table13[[#This Row],[Expiry]]&amp;""&amp;"P"&amp;Table13[[#This Row],[Strike]]))</f>
        <v>0</v>
      </c>
      <c r="R361" t="b">
        <f>IF(     ISNUMBER(Table13[[#This Row],[Strike]]),RTD("tos.rtd", , "ASK", "."&amp;Table13[[#This Row],[Ticker]]&amp;Table13[[#This Row],[Expiry]]&amp;""&amp;"P"&amp;Table13[[#This Row],[Strike]]))</f>
        <v>0</v>
      </c>
      <c r="S361" s="17"/>
      <c r="T361" t="b">
        <f>IF(     ISNUMBER(Table13[[#This Row],[Strike]]),RTD("tos.rtd", , "OPEN_INT", "."&amp;Table13[[#This Row],[Ticker]]&amp;Table13[[#This Row],[Expiry]]&amp;""&amp;"P"&amp;Table13[[#This Row],[Strike]]))</f>
        <v>0</v>
      </c>
      <c r="U36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1" t="b">
        <f>IF(     ISNUMBER(Table13[[#This Row],[Strike]]),RTD("tos.rtd", , "DELTA", "."&amp;Table13[[#This Row],[Ticker]]&amp;Table13[[#This Row],[Expiry]]&amp;""&amp;"P"&amp;Table13[[#This Row],[Strike]]))</f>
        <v>0</v>
      </c>
      <c r="Y361" s="19">
        <f>24* IF($M$1="NDX", 10, IF(OR($M$1="SPX", $M$1="RUT"), 2, 1))</f>
        <v>48</v>
      </c>
      <c r="Z361">
        <f ca="1">IFERROR(Table13[[#This Row],[call gamma]]*(Table13[[#This Row],[Open.Int]])*$A$4^2,0)</f>
        <v>0</v>
      </c>
      <c r="AA361">
        <f ca="1">IFERROR(((Table13[[#This Row],[Open.Int8]])*Table13[[#This Row],[Put gamma]])*-1*$A$4^2,0)</f>
        <v>0</v>
      </c>
      <c r="AB361">
        <f ca="1">(Table13[[#This Row],[Call Gex]]+Table13[[#This Row],[Put Gex]])</f>
        <v>0</v>
      </c>
      <c r="AC361">
        <f ca="1">Table13[[#This Row],[put delta adj]]+Table13[[#This Row],[call delta adj]]</f>
        <v>0</v>
      </c>
      <c r="AD361">
        <f ca="1">Table13[[#This Row],[Put Gex]]*Table13[[#This Row],[DeltaP]]*-1</f>
        <v>0</v>
      </c>
      <c r="AE361">
        <f ca="1">Table13[[#This Row],[Call Gex]]*Table13[[#This Row],[DeltaC]]</f>
        <v>0</v>
      </c>
      <c r="AF361">
        <f>IF(Table13[[#This Row],[DeltaC]]-ABS(Table13[[#This Row],[DeltaP]])="0","0.01",Table13[[#This Row],[DeltaC]]-ABS(Table13[[#This Row],[DeltaP]]))</f>
        <v>0</v>
      </c>
      <c r="AG361" t="e">
        <f ca="1">((LN($A$4/Table13[[#This Row],[Strike]]) + (0.411 + 0.5 * Table13[[#This Row],[IV Calc P]]^2) *Table13[[#This Row],[T]])) / (Table13[[#This Row],[IV Calc P]] * SQRT(Table13[[#This Row],[T]]))</f>
        <v>#DIV/0!</v>
      </c>
      <c r="AH361" t="e">
        <f ca="1">(LN($A$4/Table13[[#This Row],[Strike]]) + (0.411-0 + 0.5 * Table13[[#This Row],[IV Calc C]]^2) *Table13[[#This Row],[T]]) / (Table13[[#This Row],[IV Calc C]] * SQRT(Table13[[#This Row],[T]]))</f>
        <v>#DIV/0!</v>
      </c>
      <c r="AI361" t="e">
        <f ca="1">(EXP(-(AG361^2)/2)/SQRT(2*PI())*EXP(0*SQRT(Table13[[#This Row],[T]]))/$A$4*18%*SQRT(SQRT(Table13[[#This Row],[T]])))</f>
        <v>#DIV/0!</v>
      </c>
      <c r="AJ361" t="e">
        <f ca="1">(EXP(-(AH361^2)/2)/SQRT(2*PI())*EXP(0*SQRT(Table13[[#This Row],[T]]))/$A$4*18%*SQRT(SQRT(Table13[[#This Row],[T]])))</f>
        <v>#DIV/0!</v>
      </c>
      <c r="AK361" t="e">
        <f ca="1">Table13[[#This Row],[Call D1]]-Table13[[#This Row],[IV Calc C]]*SQRT(Table13[[#This Row],[T]])</f>
        <v>#DIV/0!</v>
      </c>
      <c r="AL361" t="e">
        <f ca="1">Table13[[#This Row],[Put D1]]-Table13[[#This Row],[IV Calc P]]*SQRT(Table13[[#This Row],[T]])</f>
        <v>#DIV/0!</v>
      </c>
      <c r="AM361" t="e">
        <f ca="1">EXP(-0.5*Table13[[#This Row],[Call D1]]^2)/SQRT(2*PI())</f>
        <v>#DIV/0!</v>
      </c>
      <c r="AN361" t="e">
        <f ca="1">EXP(-0.5*Table13[[#This Row],[Put D1]]^2)/SQRT(2*PI())</f>
        <v>#DIV/0!</v>
      </c>
      <c r="AO361">
        <f ca="1">IFERROR((EXP(0*Table13[[#This Row],[T]])*Table13[[#This Row],[call N(d1)]]*(Table13[[#This Row],[call d2]]/Table13[[#This Row],[IV Calc C]]))*Table13[[#This Row],[Open.Int]]*Table13[[#This Row],[DeltaC]],0)</f>
        <v>0</v>
      </c>
      <c r="AP361">
        <f ca="1">IFERROR((EXP(0*Table13[[#This Row],[T]])*Table13[[#This Row],[put N(d1)]]*(Table13[[#This Row],[put d2]]/Table13[[#This Row],[IV Calc P]]))*Table13[[#This Row],[Open.Int8]]*Table13[[#This Row],[DeltaP]]*-1,0)</f>
        <v>0</v>
      </c>
      <c r="AQ361">
        <f ca="1">((Table13[[#This Row],[call vanna]]+Table13[[#This Row],[put vanna]])*$A$4)</f>
        <v>0</v>
      </c>
      <c r="AR36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1" s="9" t="str" cm="1">
        <f t="array" ref="AT361">_xlfn.IFS(     $M$1="SPX","SPXW",     $M$1="RUT","RUTW",  $M$1="NDX","NDXP",   TRUE,$M$1 )</f>
        <v>SPXW</v>
      </c>
      <c r="AU361" s="2">
        <f t="shared" si="37"/>
        <v>6915</v>
      </c>
      <c r="AV361" t="str">
        <f t="shared" si="38"/>
        <v>000100</v>
      </c>
      <c r="AY36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1">
        <f>((Table13[[#This Row],[High C]]+Table13[[#This Row],[Low C]])/2)*Table13[[#This Row],[gammac]]*Table13[[#This Row],[Volume]]</f>
        <v>0</v>
      </c>
      <c r="BD361">
        <f>((Table13[[#This Row],[High P]]+Table13[[#This Row],[Low P]])/2)*Table13[[#This Row],[gammap]]*Table13[[#This Row],[Volume9]]*-1</f>
        <v>0</v>
      </c>
      <c r="BE361">
        <f>(Table13[[#This Row],[SgammaC]]+Table13[[#This Row],[SgammaP]])*$A$4*-100</f>
        <v>0</v>
      </c>
      <c r="BF361">
        <f>Table13[[#This Row],[DEXc]]+Table13[[#This Row],[DEXp]]</f>
        <v>0</v>
      </c>
      <c r="BG361">
        <f>IFERROR(Table13[[#This Row],[DeltaC]]*Table13[[#This Row],[Open.Int]]*$A$4,0)</f>
        <v>0</v>
      </c>
      <c r="BH361">
        <f>IFERROR(Table13[[#This Row],[DeltaP]]*Table13[[#This Row],[Open.Int8]]*$A$4,0)</f>
        <v>0</v>
      </c>
      <c r="BI36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1">
        <f ca="1">Table13[[#This Row],[charmc]]+Table13[[#This Row],[charmp]]</f>
        <v>0</v>
      </c>
      <c r="BL36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1" s="78">
        <f ca="1">Table13[[#This Row],[call helper]]+Table13[[#This Row],[put helper]]</f>
        <v>0</v>
      </c>
      <c r="BP361" t="str">
        <f>RTD("tos.rtd", , "STRIKE", "."&amp;Table13[[#This Row],[Ticker]]&amp;Table13[[#This Row],[Expiry]]&amp;""&amp;"C"&amp;Table13[[#This Row],[Spot]]+Table13[[#This Row],[step]])</f>
        <v>N/A</v>
      </c>
    </row>
    <row r="362" spans="1:68" x14ac:dyDescent="0.25">
      <c r="A362" s="14">
        <f t="shared" ca="1" si="34"/>
        <v>-126.14810350076104</v>
      </c>
      <c r="C362" s="17"/>
      <c r="D362" t="b">
        <f>IF(
    ISNUMBER(Table13[[#This Row],[Strike]]),RTD("tos.rtd", , "OPEN_INT", "."&amp;Table13[[#This Row],[Ticker]]&amp;Table13[[#This Row],[Expiry]]&amp;""&amp;"C"&amp;Table13[[#This Row],[Strike]]))</f>
        <v>0</v>
      </c>
      <c r="E36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2" t="b">
        <f>IF(     ISNUMBER(Table13[[#This Row],[Strike]]),RTD("tos.rtd", , "DELTA", "."&amp;Table13[[#This Row],[Ticker]]&amp;Table13[[#This Row],[Expiry]]&amp;""&amp;"C"&amp;Table13[[#This Row],[Strike]]))</f>
        <v>0</v>
      </c>
      <c r="H362" s="17" t="b" cm="1">
        <f t="array" ref="H362">IF(
    ISNUMBER(Table13[[#This Row],[Strike]]),IndividualLegIVCore($A$4, Table13[[#This Row],[Strike]], 0.0411, Table13[[#This Row],[T]], ((Table13[[#This Row],[BIDC]]+Table13[[#This Row],[ASKC]])/2), TRUE))</f>
        <v>0</v>
      </c>
      <c r="I362" t="b">
        <f>IF(     ISNUMBER(Table13[[#This Row],[Strike]]),RTD("tos.rtd", , "BID", "."&amp;Table13[[#This Row],[Ticker]]&amp;Table13[[#This Row],[Expiry]]&amp;""&amp;"C"&amp;Table13[[#This Row],[Strike]]))</f>
        <v>0</v>
      </c>
      <c r="J362" t="b">
        <f>IF(     ISNUMBER(Table13[[#This Row],[Strike]]),RTD("tos.rtd", , "ASK", "."&amp;Table13[[#This Row],[Ticker]]&amp;Table13[[#This Row],[Expiry]]&amp;""&amp;"C"&amp;Table13[[#This Row],[Strike]]))</f>
        <v>0</v>
      </c>
      <c r="K36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2" s="17" cm="1">
        <f t="array" aca="1" ref="L36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2" s="1">
        <f t="shared" si="35"/>
        <v>0</v>
      </c>
      <c r="N362" t="b">
        <f t="shared" si="36"/>
        <v>0</v>
      </c>
      <c r="P362" s="17" t="b" cm="1">
        <f t="array" ref="P362">IF(
    ISNUMBER(Table13[[#This Row],[Strike]]),IndividualLegIVCore($A$4, Table13[[#This Row],[Strike]], 0.0411, Table13[[#This Row],[T]], ((Table13[[#This Row],[BIDP]]+Table13[[#This Row],[ASKP]])/2), FALSE))</f>
        <v>0</v>
      </c>
      <c r="Q362" t="b">
        <f>IF(     ISNUMBER(Table13[[#This Row],[Strike]]),RTD("tos.rtd", , "BID", "."&amp;Table13[[#This Row],[Ticker]]&amp;Table13[[#This Row],[Expiry]]&amp;""&amp;"P"&amp;Table13[[#This Row],[Strike]]))</f>
        <v>0</v>
      </c>
      <c r="R362" t="b">
        <f>IF(     ISNUMBER(Table13[[#This Row],[Strike]]),RTD("tos.rtd", , "ASK", "."&amp;Table13[[#This Row],[Ticker]]&amp;Table13[[#This Row],[Expiry]]&amp;""&amp;"P"&amp;Table13[[#This Row],[Strike]]))</f>
        <v>0</v>
      </c>
      <c r="S362" s="17"/>
      <c r="T362" t="b">
        <f>IF(     ISNUMBER(Table13[[#This Row],[Strike]]),RTD("tos.rtd", , "OPEN_INT", "."&amp;Table13[[#This Row],[Ticker]]&amp;Table13[[#This Row],[Expiry]]&amp;""&amp;"P"&amp;Table13[[#This Row],[Strike]]))</f>
        <v>0</v>
      </c>
      <c r="U36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2" t="b">
        <f>IF(     ISNUMBER(Table13[[#This Row],[Strike]]),RTD("tos.rtd", , "DELTA", "."&amp;Table13[[#This Row],[Ticker]]&amp;Table13[[#This Row],[Expiry]]&amp;""&amp;"P"&amp;Table13[[#This Row],[Strike]]))</f>
        <v>0</v>
      </c>
      <c r="Y362" s="19">
        <f>24.5* IF($M$1="NDX", 10, IF(OR($M$1="SPX", $M$1="RUT"), 2, 1))</f>
        <v>49</v>
      </c>
      <c r="Z362">
        <f ca="1">IFERROR(Table13[[#This Row],[call gamma]]*(Table13[[#This Row],[Open.Int]])*$A$4^2,0)</f>
        <v>0</v>
      </c>
      <c r="AA362">
        <f ca="1">IFERROR(((Table13[[#This Row],[Open.Int8]])*Table13[[#This Row],[Put gamma]])*-1*$A$4^2,0)</f>
        <v>0</v>
      </c>
      <c r="AB362">
        <f ca="1">(Table13[[#This Row],[Call Gex]]+Table13[[#This Row],[Put Gex]])</f>
        <v>0</v>
      </c>
      <c r="AC362">
        <f ca="1">Table13[[#This Row],[put delta adj]]+Table13[[#This Row],[call delta adj]]</f>
        <v>0</v>
      </c>
      <c r="AD362">
        <f ca="1">Table13[[#This Row],[Put Gex]]*Table13[[#This Row],[DeltaP]]*-1</f>
        <v>0</v>
      </c>
      <c r="AE362">
        <f ca="1">Table13[[#This Row],[Call Gex]]*Table13[[#This Row],[DeltaC]]</f>
        <v>0</v>
      </c>
      <c r="AF362">
        <f>IF(Table13[[#This Row],[DeltaC]]-ABS(Table13[[#This Row],[DeltaP]])="0","0.01",Table13[[#This Row],[DeltaC]]-ABS(Table13[[#This Row],[DeltaP]]))</f>
        <v>0</v>
      </c>
      <c r="AG362" t="e">
        <f ca="1">((LN($A$4/Table13[[#This Row],[Strike]]) + (0.411 + 0.5 * Table13[[#This Row],[IV Calc P]]^2) *Table13[[#This Row],[T]])) / (Table13[[#This Row],[IV Calc P]] * SQRT(Table13[[#This Row],[T]]))</f>
        <v>#DIV/0!</v>
      </c>
      <c r="AH362" t="e">
        <f ca="1">(LN($A$4/Table13[[#This Row],[Strike]]) + (0.411-0 + 0.5 * Table13[[#This Row],[IV Calc C]]^2) *Table13[[#This Row],[T]]) / (Table13[[#This Row],[IV Calc C]] * SQRT(Table13[[#This Row],[T]]))</f>
        <v>#DIV/0!</v>
      </c>
      <c r="AI362" t="e">
        <f ca="1">(EXP(-(AG362^2)/2)/SQRT(2*PI())*EXP(0*SQRT(Table13[[#This Row],[T]]))/$A$4*18%*SQRT(SQRT(Table13[[#This Row],[T]])))</f>
        <v>#DIV/0!</v>
      </c>
      <c r="AJ362" t="e">
        <f ca="1">(EXP(-(AH362^2)/2)/SQRT(2*PI())*EXP(0*SQRT(Table13[[#This Row],[T]]))/$A$4*18%*SQRT(SQRT(Table13[[#This Row],[T]])))</f>
        <v>#DIV/0!</v>
      </c>
      <c r="AK362" t="e">
        <f ca="1">Table13[[#This Row],[Call D1]]-Table13[[#This Row],[IV Calc C]]*SQRT(Table13[[#This Row],[T]])</f>
        <v>#DIV/0!</v>
      </c>
      <c r="AL362" t="e">
        <f ca="1">Table13[[#This Row],[Put D1]]-Table13[[#This Row],[IV Calc P]]*SQRT(Table13[[#This Row],[T]])</f>
        <v>#DIV/0!</v>
      </c>
      <c r="AM362" t="e">
        <f ca="1">EXP(-0.5*Table13[[#This Row],[Call D1]]^2)/SQRT(2*PI())</f>
        <v>#DIV/0!</v>
      </c>
      <c r="AN362" t="e">
        <f ca="1">EXP(-0.5*Table13[[#This Row],[Put D1]]^2)/SQRT(2*PI())</f>
        <v>#DIV/0!</v>
      </c>
      <c r="AO362">
        <f ca="1">IFERROR((EXP(0*Table13[[#This Row],[T]])*Table13[[#This Row],[call N(d1)]]*(Table13[[#This Row],[call d2]]/Table13[[#This Row],[IV Calc C]]))*Table13[[#This Row],[Open.Int]]*Table13[[#This Row],[DeltaC]],0)</f>
        <v>0</v>
      </c>
      <c r="AP362">
        <f ca="1">IFERROR((EXP(0*Table13[[#This Row],[T]])*Table13[[#This Row],[put N(d1)]]*(Table13[[#This Row],[put d2]]/Table13[[#This Row],[IV Calc P]]))*Table13[[#This Row],[Open.Int8]]*Table13[[#This Row],[DeltaP]]*-1,0)</f>
        <v>0</v>
      </c>
      <c r="AQ362">
        <f ca="1">((Table13[[#This Row],[call vanna]]+Table13[[#This Row],[put vanna]])*$A$4)</f>
        <v>0</v>
      </c>
      <c r="AR36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2" s="9" t="str" cm="1">
        <f t="array" ref="AT362">_xlfn.IFS(     $M$1="SPX","SPXW",     $M$1="RUT","RUTW",  $M$1="NDX","NDXP",   TRUE,$M$1 )</f>
        <v>SPXW</v>
      </c>
      <c r="AU362" s="2">
        <f t="shared" si="37"/>
        <v>6915</v>
      </c>
      <c r="AV362" t="str">
        <f t="shared" si="38"/>
        <v>000100</v>
      </c>
      <c r="AY36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2">
        <f>((Table13[[#This Row],[High C]]+Table13[[#This Row],[Low C]])/2)*Table13[[#This Row],[gammac]]*Table13[[#This Row],[Volume]]</f>
        <v>0</v>
      </c>
      <c r="BD362">
        <f>((Table13[[#This Row],[High P]]+Table13[[#This Row],[Low P]])/2)*Table13[[#This Row],[gammap]]*Table13[[#This Row],[Volume9]]*-1</f>
        <v>0</v>
      </c>
      <c r="BE362">
        <f>(Table13[[#This Row],[SgammaC]]+Table13[[#This Row],[SgammaP]])*$A$4*-100</f>
        <v>0</v>
      </c>
      <c r="BF362">
        <f>Table13[[#This Row],[DEXc]]+Table13[[#This Row],[DEXp]]</f>
        <v>0</v>
      </c>
      <c r="BG362">
        <f>IFERROR(Table13[[#This Row],[DeltaC]]*Table13[[#This Row],[Open.Int]]*$A$4,0)</f>
        <v>0</v>
      </c>
      <c r="BH362">
        <f>IFERROR(Table13[[#This Row],[DeltaP]]*Table13[[#This Row],[Open.Int8]]*$A$4,0)</f>
        <v>0</v>
      </c>
      <c r="BI36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2">
        <f ca="1">Table13[[#This Row],[charmc]]+Table13[[#This Row],[charmp]]</f>
        <v>0</v>
      </c>
      <c r="BL36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2" s="78">
        <f ca="1">Table13[[#This Row],[call helper]]+Table13[[#This Row],[put helper]]</f>
        <v>0</v>
      </c>
      <c r="BP362" t="str">
        <f>RTD("tos.rtd", , "STRIKE", "."&amp;Table13[[#This Row],[Ticker]]&amp;Table13[[#This Row],[Expiry]]&amp;""&amp;"C"&amp;Table13[[#This Row],[Spot]]+Table13[[#This Row],[step]])</f>
        <v>N/A</v>
      </c>
    </row>
    <row r="363" spans="1:68" x14ac:dyDescent="0.25">
      <c r="A363" s="14">
        <f t="shared" ca="1" si="34"/>
        <v>-126.14810350076104</v>
      </c>
      <c r="C363" s="17"/>
      <c r="D363" t="b">
        <f>IF(
    ISNUMBER(Table13[[#This Row],[Strike]]),RTD("tos.rtd", , "OPEN_INT", "."&amp;Table13[[#This Row],[Ticker]]&amp;Table13[[#This Row],[Expiry]]&amp;""&amp;"C"&amp;Table13[[#This Row],[Strike]]))</f>
        <v>0</v>
      </c>
      <c r="E36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3" t="b">
        <f>IF(     ISNUMBER(Table13[[#This Row],[Strike]]),RTD("tos.rtd", , "DELTA", "."&amp;Table13[[#This Row],[Ticker]]&amp;Table13[[#This Row],[Expiry]]&amp;""&amp;"C"&amp;Table13[[#This Row],[Strike]]))</f>
        <v>0</v>
      </c>
      <c r="H363" s="17" t="b" cm="1">
        <f t="array" ref="H363">IF(
    ISNUMBER(Table13[[#This Row],[Strike]]),IndividualLegIVCore($A$4, Table13[[#This Row],[Strike]], 0.0411, Table13[[#This Row],[T]], ((Table13[[#This Row],[BIDC]]+Table13[[#This Row],[ASKC]])/2), TRUE))</f>
        <v>0</v>
      </c>
      <c r="I363" t="b">
        <f>IF(     ISNUMBER(Table13[[#This Row],[Strike]]),RTD("tos.rtd", , "BID", "."&amp;Table13[[#This Row],[Ticker]]&amp;Table13[[#This Row],[Expiry]]&amp;""&amp;"C"&amp;Table13[[#This Row],[Strike]]))</f>
        <v>0</v>
      </c>
      <c r="J363" t="b">
        <f>IF(     ISNUMBER(Table13[[#This Row],[Strike]]),RTD("tos.rtd", , "ASK", "."&amp;Table13[[#This Row],[Ticker]]&amp;Table13[[#This Row],[Expiry]]&amp;""&amp;"C"&amp;Table13[[#This Row],[Strike]]))</f>
        <v>0</v>
      </c>
      <c r="K36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3" s="17" cm="1">
        <f t="array" aca="1" ref="L36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3" s="1">
        <f t="shared" si="35"/>
        <v>0</v>
      </c>
      <c r="N363" t="b">
        <f t="shared" si="36"/>
        <v>0</v>
      </c>
      <c r="P363" s="17" t="b" cm="1">
        <f t="array" ref="P363">IF(
    ISNUMBER(Table13[[#This Row],[Strike]]),IndividualLegIVCore($A$4, Table13[[#This Row],[Strike]], 0.0411, Table13[[#This Row],[T]], ((Table13[[#This Row],[BIDP]]+Table13[[#This Row],[ASKP]])/2), FALSE))</f>
        <v>0</v>
      </c>
      <c r="Q363" t="b">
        <f>IF(     ISNUMBER(Table13[[#This Row],[Strike]]),RTD("tos.rtd", , "BID", "."&amp;Table13[[#This Row],[Ticker]]&amp;Table13[[#This Row],[Expiry]]&amp;""&amp;"P"&amp;Table13[[#This Row],[Strike]]))</f>
        <v>0</v>
      </c>
      <c r="R363" t="b">
        <f>IF(     ISNUMBER(Table13[[#This Row],[Strike]]),RTD("tos.rtd", , "ASK", "."&amp;Table13[[#This Row],[Ticker]]&amp;Table13[[#This Row],[Expiry]]&amp;""&amp;"P"&amp;Table13[[#This Row],[Strike]]))</f>
        <v>0</v>
      </c>
      <c r="S363" s="17"/>
      <c r="T363" t="b">
        <f>IF(     ISNUMBER(Table13[[#This Row],[Strike]]),RTD("tos.rtd", , "OPEN_INT", "."&amp;Table13[[#This Row],[Ticker]]&amp;Table13[[#This Row],[Expiry]]&amp;""&amp;"P"&amp;Table13[[#This Row],[Strike]]))</f>
        <v>0</v>
      </c>
      <c r="U36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3" t="b">
        <f>IF(     ISNUMBER(Table13[[#This Row],[Strike]]),RTD("tos.rtd", , "DELTA", "."&amp;Table13[[#This Row],[Ticker]]&amp;Table13[[#This Row],[Expiry]]&amp;""&amp;"P"&amp;Table13[[#This Row],[Strike]]))</f>
        <v>0</v>
      </c>
      <c r="Y363" s="19">
        <f>25* IF($M$1="NDX", 10, IF(OR($M$1="SPX", $M$1="RUT"), 2, 1))</f>
        <v>50</v>
      </c>
      <c r="Z363">
        <f ca="1">IFERROR(Table13[[#This Row],[call gamma]]*(Table13[[#This Row],[Open.Int]])*$A$4^2,0)</f>
        <v>0</v>
      </c>
      <c r="AA363">
        <f ca="1">IFERROR(((Table13[[#This Row],[Open.Int8]])*Table13[[#This Row],[Put gamma]])*-1*$A$4^2,0)</f>
        <v>0</v>
      </c>
      <c r="AB363">
        <f ca="1">(Table13[[#This Row],[Call Gex]]+Table13[[#This Row],[Put Gex]])</f>
        <v>0</v>
      </c>
      <c r="AC363">
        <f ca="1">Table13[[#This Row],[put delta adj]]+Table13[[#This Row],[call delta adj]]</f>
        <v>0</v>
      </c>
      <c r="AD363">
        <f ca="1">Table13[[#This Row],[Put Gex]]*Table13[[#This Row],[DeltaP]]*-1</f>
        <v>0</v>
      </c>
      <c r="AE363">
        <f ca="1">Table13[[#This Row],[Call Gex]]*Table13[[#This Row],[DeltaC]]</f>
        <v>0</v>
      </c>
      <c r="AF363">
        <f>IF(Table13[[#This Row],[DeltaC]]-ABS(Table13[[#This Row],[DeltaP]])="0","0.01",Table13[[#This Row],[DeltaC]]-ABS(Table13[[#This Row],[DeltaP]]))</f>
        <v>0</v>
      </c>
      <c r="AG363" t="e">
        <f ca="1">((LN($A$4/Table13[[#This Row],[Strike]]) + (0.411 + 0.5 * Table13[[#This Row],[IV Calc P]]^2) *Table13[[#This Row],[T]])) / (Table13[[#This Row],[IV Calc P]] * SQRT(Table13[[#This Row],[T]]))</f>
        <v>#DIV/0!</v>
      </c>
      <c r="AH363" t="e">
        <f ca="1">(LN($A$4/Table13[[#This Row],[Strike]]) + (0.411-0 + 0.5 * Table13[[#This Row],[IV Calc C]]^2) *Table13[[#This Row],[T]]) / (Table13[[#This Row],[IV Calc C]] * SQRT(Table13[[#This Row],[T]]))</f>
        <v>#DIV/0!</v>
      </c>
      <c r="AI363" t="e">
        <f ca="1">(EXP(-(AG363^2)/2)/SQRT(2*PI())*EXP(0*SQRT(Table13[[#This Row],[T]]))/$A$4*18%*SQRT(SQRT(Table13[[#This Row],[T]])))</f>
        <v>#DIV/0!</v>
      </c>
      <c r="AJ363" t="e">
        <f ca="1">(EXP(-(AH363^2)/2)/SQRT(2*PI())*EXP(0*SQRT(Table13[[#This Row],[T]]))/$A$4*18%*SQRT(SQRT(Table13[[#This Row],[T]])))</f>
        <v>#DIV/0!</v>
      </c>
      <c r="AK363" t="e">
        <f ca="1">Table13[[#This Row],[Call D1]]-Table13[[#This Row],[IV Calc C]]*SQRT(Table13[[#This Row],[T]])</f>
        <v>#DIV/0!</v>
      </c>
      <c r="AL363" t="e">
        <f ca="1">Table13[[#This Row],[Put D1]]-Table13[[#This Row],[IV Calc P]]*SQRT(Table13[[#This Row],[T]])</f>
        <v>#DIV/0!</v>
      </c>
      <c r="AM363" t="e">
        <f ca="1">EXP(-0.5*Table13[[#This Row],[Call D1]]^2)/SQRT(2*PI())</f>
        <v>#DIV/0!</v>
      </c>
      <c r="AN363" t="e">
        <f ca="1">EXP(-0.5*Table13[[#This Row],[Put D1]]^2)/SQRT(2*PI())</f>
        <v>#DIV/0!</v>
      </c>
      <c r="AO363">
        <f ca="1">IFERROR((EXP(0*Table13[[#This Row],[T]])*Table13[[#This Row],[call N(d1)]]*(Table13[[#This Row],[call d2]]/Table13[[#This Row],[IV Calc C]]))*Table13[[#This Row],[Open.Int]]*Table13[[#This Row],[DeltaC]],0)</f>
        <v>0</v>
      </c>
      <c r="AP363">
        <f ca="1">IFERROR((EXP(0*Table13[[#This Row],[T]])*Table13[[#This Row],[put N(d1)]]*(Table13[[#This Row],[put d2]]/Table13[[#This Row],[IV Calc P]]))*Table13[[#This Row],[Open.Int8]]*Table13[[#This Row],[DeltaP]]*-1,0)</f>
        <v>0</v>
      </c>
      <c r="AQ363">
        <f ca="1">((Table13[[#This Row],[call vanna]]+Table13[[#This Row],[put vanna]])*$A$4)</f>
        <v>0</v>
      </c>
      <c r="AR36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3" s="9" t="str" cm="1">
        <f t="array" ref="AT363">_xlfn.IFS(     $M$1="SPX","SPXW",     $M$1="RUT","RUTW",  $M$1="NDX","NDXP",   TRUE,$M$1 )</f>
        <v>SPXW</v>
      </c>
      <c r="AU363" s="2">
        <f t="shared" si="37"/>
        <v>6915</v>
      </c>
      <c r="AV363" t="str">
        <f t="shared" si="38"/>
        <v>000100</v>
      </c>
      <c r="AY36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3">
        <f>((Table13[[#This Row],[High C]]+Table13[[#This Row],[Low C]])/2)*Table13[[#This Row],[gammac]]*Table13[[#This Row],[Volume]]</f>
        <v>0</v>
      </c>
      <c r="BD363">
        <f>((Table13[[#This Row],[High P]]+Table13[[#This Row],[Low P]])/2)*Table13[[#This Row],[gammap]]*Table13[[#This Row],[Volume9]]*-1</f>
        <v>0</v>
      </c>
      <c r="BE363">
        <f>(Table13[[#This Row],[SgammaC]]+Table13[[#This Row],[SgammaP]])*$A$4*-100</f>
        <v>0</v>
      </c>
      <c r="BF363">
        <f>Table13[[#This Row],[DEXc]]+Table13[[#This Row],[DEXp]]</f>
        <v>0</v>
      </c>
      <c r="BG363">
        <f>IFERROR(Table13[[#This Row],[DeltaC]]*Table13[[#This Row],[Open.Int]]*$A$4,0)</f>
        <v>0</v>
      </c>
      <c r="BH363">
        <f>IFERROR(Table13[[#This Row],[DeltaP]]*Table13[[#This Row],[Open.Int8]]*$A$4,0)</f>
        <v>0</v>
      </c>
      <c r="BI36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3">
        <f ca="1">Table13[[#This Row],[charmc]]+Table13[[#This Row],[charmp]]</f>
        <v>0</v>
      </c>
      <c r="BL36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3" s="78">
        <f ca="1">Table13[[#This Row],[call helper]]+Table13[[#This Row],[put helper]]</f>
        <v>0</v>
      </c>
      <c r="BP363" t="str">
        <f>RTD("tos.rtd", , "STRIKE", "."&amp;Table13[[#This Row],[Ticker]]&amp;Table13[[#This Row],[Expiry]]&amp;""&amp;"C"&amp;Table13[[#This Row],[Spot]]+Table13[[#This Row],[step]])</f>
        <v>N/A</v>
      </c>
    </row>
    <row r="364" spans="1:68" x14ac:dyDescent="0.25">
      <c r="A364" s="14">
        <f t="shared" ca="1" si="34"/>
        <v>-126.14810350076104</v>
      </c>
      <c r="C364" s="17"/>
      <c r="D364" t="b">
        <f>IF(
    ISNUMBER(Table13[[#This Row],[Strike]]),RTD("tos.rtd", , "OPEN_INT", "."&amp;Table13[[#This Row],[Ticker]]&amp;Table13[[#This Row],[Expiry]]&amp;""&amp;"C"&amp;Table13[[#This Row],[Strike]]))</f>
        <v>0</v>
      </c>
      <c r="E36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4" t="b">
        <f>IF(     ISNUMBER(Table13[[#This Row],[Strike]]),RTD("tos.rtd", , "DELTA", "."&amp;Table13[[#This Row],[Ticker]]&amp;Table13[[#This Row],[Expiry]]&amp;""&amp;"C"&amp;Table13[[#This Row],[Strike]]))</f>
        <v>0</v>
      </c>
      <c r="H364" s="17" t="b" cm="1">
        <f t="array" ref="H364">IF(
    ISNUMBER(Table13[[#This Row],[Strike]]),IndividualLegIVCore($A$4, Table13[[#This Row],[Strike]], 0.0411, Table13[[#This Row],[T]], ((Table13[[#This Row],[BIDC]]+Table13[[#This Row],[ASKC]])/2), TRUE))</f>
        <v>0</v>
      </c>
      <c r="I364" t="b">
        <f>IF(     ISNUMBER(Table13[[#This Row],[Strike]]),RTD("tos.rtd", , "BID", "."&amp;Table13[[#This Row],[Ticker]]&amp;Table13[[#This Row],[Expiry]]&amp;""&amp;"C"&amp;Table13[[#This Row],[Strike]]))</f>
        <v>0</v>
      </c>
      <c r="J364" t="b">
        <f>IF(     ISNUMBER(Table13[[#This Row],[Strike]]),RTD("tos.rtd", , "ASK", "."&amp;Table13[[#This Row],[Ticker]]&amp;Table13[[#This Row],[Expiry]]&amp;""&amp;"C"&amp;Table13[[#This Row],[Strike]]))</f>
        <v>0</v>
      </c>
      <c r="K36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4" s="17" cm="1">
        <f t="array" aca="1" ref="L36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4" s="1">
        <f t="shared" si="35"/>
        <v>0</v>
      </c>
      <c r="N364" t="b">
        <f t="shared" si="36"/>
        <v>0</v>
      </c>
      <c r="P364" s="17" t="b" cm="1">
        <f t="array" ref="P364">IF(
    ISNUMBER(Table13[[#This Row],[Strike]]),IndividualLegIVCore($A$4, Table13[[#This Row],[Strike]], 0.0411, Table13[[#This Row],[T]], ((Table13[[#This Row],[BIDP]]+Table13[[#This Row],[ASKP]])/2), FALSE))</f>
        <v>0</v>
      </c>
      <c r="Q364" t="b">
        <f>IF(     ISNUMBER(Table13[[#This Row],[Strike]]),RTD("tos.rtd", , "BID", "."&amp;Table13[[#This Row],[Ticker]]&amp;Table13[[#This Row],[Expiry]]&amp;""&amp;"P"&amp;Table13[[#This Row],[Strike]]))</f>
        <v>0</v>
      </c>
      <c r="R364" t="b">
        <f>IF(     ISNUMBER(Table13[[#This Row],[Strike]]),RTD("tos.rtd", , "ASK", "."&amp;Table13[[#This Row],[Ticker]]&amp;Table13[[#This Row],[Expiry]]&amp;""&amp;"P"&amp;Table13[[#This Row],[Strike]]))</f>
        <v>0</v>
      </c>
      <c r="S364" s="17"/>
      <c r="T364" t="b">
        <f>IF(     ISNUMBER(Table13[[#This Row],[Strike]]),RTD("tos.rtd", , "OPEN_INT", "."&amp;Table13[[#This Row],[Ticker]]&amp;Table13[[#This Row],[Expiry]]&amp;""&amp;"P"&amp;Table13[[#This Row],[Strike]]))</f>
        <v>0</v>
      </c>
      <c r="U36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4" t="b">
        <f>IF(     ISNUMBER(Table13[[#This Row],[Strike]]),RTD("tos.rtd", , "DELTA", "."&amp;Table13[[#This Row],[Ticker]]&amp;Table13[[#This Row],[Expiry]]&amp;""&amp;"P"&amp;Table13[[#This Row],[Strike]]))</f>
        <v>0</v>
      </c>
      <c r="Y364" s="19">
        <f>25.5* IF($M$1="NDX", 10, IF(OR($M$1="SPX", $M$1="RUT"), 2, 1))</f>
        <v>51</v>
      </c>
      <c r="Z364">
        <f ca="1">IFERROR(Table13[[#This Row],[call gamma]]*(Table13[[#This Row],[Open.Int]])*$A$4^2,0)</f>
        <v>0</v>
      </c>
      <c r="AA364">
        <f ca="1">IFERROR(((Table13[[#This Row],[Open.Int8]])*Table13[[#This Row],[Put gamma]])*-1*$A$4^2,0)</f>
        <v>0</v>
      </c>
      <c r="AB364">
        <f ca="1">(Table13[[#This Row],[Call Gex]]+Table13[[#This Row],[Put Gex]])</f>
        <v>0</v>
      </c>
      <c r="AC364">
        <f ca="1">Table13[[#This Row],[put delta adj]]+Table13[[#This Row],[call delta adj]]</f>
        <v>0</v>
      </c>
      <c r="AD364">
        <f ca="1">Table13[[#This Row],[Put Gex]]*Table13[[#This Row],[DeltaP]]*-1</f>
        <v>0</v>
      </c>
      <c r="AE364">
        <f ca="1">Table13[[#This Row],[Call Gex]]*Table13[[#This Row],[DeltaC]]</f>
        <v>0</v>
      </c>
      <c r="AF364">
        <f>IF(Table13[[#This Row],[DeltaC]]-ABS(Table13[[#This Row],[DeltaP]])="0","0.01",Table13[[#This Row],[DeltaC]]-ABS(Table13[[#This Row],[DeltaP]]))</f>
        <v>0</v>
      </c>
      <c r="AG364" t="e">
        <f ca="1">((LN($A$4/Table13[[#This Row],[Strike]]) + (0.411 + 0.5 * Table13[[#This Row],[IV Calc P]]^2) *Table13[[#This Row],[T]])) / (Table13[[#This Row],[IV Calc P]] * SQRT(Table13[[#This Row],[T]]))</f>
        <v>#DIV/0!</v>
      </c>
      <c r="AH364" t="e">
        <f ca="1">(LN($A$4/Table13[[#This Row],[Strike]]) + (0.411-0 + 0.5 * Table13[[#This Row],[IV Calc C]]^2) *Table13[[#This Row],[T]]) / (Table13[[#This Row],[IV Calc C]] * SQRT(Table13[[#This Row],[T]]))</f>
        <v>#DIV/0!</v>
      </c>
      <c r="AI364" t="e">
        <f ca="1">(EXP(-(AG364^2)/2)/SQRT(2*PI())*EXP(0*SQRT(Table13[[#This Row],[T]]))/$A$4*18%*SQRT(SQRT(Table13[[#This Row],[T]])))</f>
        <v>#DIV/0!</v>
      </c>
      <c r="AJ364" t="e">
        <f ca="1">(EXP(-(AH364^2)/2)/SQRT(2*PI())*EXP(0*SQRT(Table13[[#This Row],[T]]))/$A$4*18%*SQRT(SQRT(Table13[[#This Row],[T]])))</f>
        <v>#DIV/0!</v>
      </c>
      <c r="AK364" t="e">
        <f ca="1">Table13[[#This Row],[Call D1]]-Table13[[#This Row],[IV Calc C]]*SQRT(Table13[[#This Row],[T]])</f>
        <v>#DIV/0!</v>
      </c>
      <c r="AL364" t="e">
        <f ca="1">Table13[[#This Row],[Put D1]]-Table13[[#This Row],[IV Calc P]]*SQRT(Table13[[#This Row],[T]])</f>
        <v>#DIV/0!</v>
      </c>
      <c r="AM364" t="e">
        <f ca="1">EXP(-0.5*Table13[[#This Row],[Call D1]]^2)/SQRT(2*PI())</f>
        <v>#DIV/0!</v>
      </c>
      <c r="AN364" t="e">
        <f ca="1">EXP(-0.5*Table13[[#This Row],[Put D1]]^2)/SQRT(2*PI())</f>
        <v>#DIV/0!</v>
      </c>
      <c r="AO364">
        <f ca="1">IFERROR((EXP(0*Table13[[#This Row],[T]])*Table13[[#This Row],[call N(d1)]]*(Table13[[#This Row],[call d2]]/Table13[[#This Row],[IV Calc C]]))*Table13[[#This Row],[Open.Int]]*Table13[[#This Row],[DeltaC]],0)</f>
        <v>0</v>
      </c>
      <c r="AP364">
        <f ca="1">IFERROR((EXP(0*Table13[[#This Row],[T]])*Table13[[#This Row],[put N(d1)]]*(Table13[[#This Row],[put d2]]/Table13[[#This Row],[IV Calc P]]))*Table13[[#This Row],[Open.Int8]]*Table13[[#This Row],[DeltaP]]*-1,0)</f>
        <v>0</v>
      </c>
      <c r="AQ364">
        <f ca="1">((Table13[[#This Row],[call vanna]]+Table13[[#This Row],[put vanna]])*$A$4)</f>
        <v>0</v>
      </c>
      <c r="AR36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4" s="9" t="str" cm="1">
        <f t="array" ref="AT364">_xlfn.IFS(     $M$1="SPX","SPXW",     $M$1="RUT","RUTW",  $M$1="NDX","NDXP",   TRUE,$M$1 )</f>
        <v>SPXW</v>
      </c>
      <c r="AU364" s="2">
        <f t="shared" si="37"/>
        <v>6915</v>
      </c>
      <c r="AV364" t="str">
        <f t="shared" si="38"/>
        <v>000100</v>
      </c>
      <c r="AY36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4">
        <f>((Table13[[#This Row],[High C]]+Table13[[#This Row],[Low C]])/2)*Table13[[#This Row],[gammac]]*Table13[[#This Row],[Volume]]</f>
        <v>0</v>
      </c>
      <c r="BD364">
        <f>((Table13[[#This Row],[High P]]+Table13[[#This Row],[Low P]])/2)*Table13[[#This Row],[gammap]]*Table13[[#This Row],[Volume9]]*-1</f>
        <v>0</v>
      </c>
      <c r="BE364">
        <f>(Table13[[#This Row],[SgammaC]]+Table13[[#This Row],[SgammaP]])*$A$4*-100</f>
        <v>0</v>
      </c>
      <c r="BF364">
        <f>Table13[[#This Row],[DEXc]]+Table13[[#This Row],[DEXp]]</f>
        <v>0</v>
      </c>
      <c r="BG364">
        <f>IFERROR(Table13[[#This Row],[DeltaC]]*Table13[[#This Row],[Open.Int]]*$A$4,0)</f>
        <v>0</v>
      </c>
      <c r="BH364">
        <f>IFERROR(Table13[[#This Row],[DeltaP]]*Table13[[#This Row],[Open.Int8]]*$A$4,0)</f>
        <v>0</v>
      </c>
      <c r="BI36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4">
        <f ca="1">Table13[[#This Row],[charmc]]+Table13[[#This Row],[charmp]]</f>
        <v>0</v>
      </c>
      <c r="BL36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4" s="78">
        <f ca="1">Table13[[#This Row],[call helper]]+Table13[[#This Row],[put helper]]</f>
        <v>0</v>
      </c>
      <c r="BP364" t="str">
        <f>RTD("tos.rtd", , "STRIKE", "."&amp;Table13[[#This Row],[Ticker]]&amp;Table13[[#This Row],[Expiry]]&amp;""&amp;"C"&amp;Table13[[#This Row],[Spot]]+Table13[[#This Row],[step]])</f>
        <v>N/A</v>
      </c>
    </row>
    <row r="365" spans="1:68" x14ac:dyDescent="0.25">
      <c r="A365" s="14">
        <f t="shared" ca="1" si="34"/>
        <v>-126.14810350076104</v>
      </c>
      <c r="C365" s="17"/>
      <c r="D365" t="b">
        <f>IF(
    ISNUMBER(Table13[[#This Row],[Strike]]),RTD("tos.rtd", , "OPEN_INT", "."&amp;Table13[[#This Row],[Ticker]]&amp;Table13[[#This Row],[Expiry]]&amp;""&amp;"C"&amp;Table13[[#This Row],[Strike]]))</f>
        <v>0</v>
      </c>
      <c r="E36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5" t="b">
        <f>IF(     ISNUMBER(Table13[[#This Row],[Strike]]),RTD("tos.rtd", , "DELTA", "."&amp;Table13[[#This Row],[Ticker]]&amp;Table13[[#This Row],[Expiry]]&amp;""&amp;"C"&amp;Table13[[#This Row],[Strike]]))</f>
        <v>0</v>
      </c>
      <c r="H365" s="17" t="b" cm="1">
        <f t="array" ref="H365">IF(
    ISNUMBER(Table13[[#This Row],[Strike]]),IndividualLegIVCore($A$4, Table13[[#This Row],[Strike]], 0.0411, Table13[[#This Row],[T]], ((Table13[[#This Row],[BIDC]]+Table13[[#This Row],[ASKC]])/2), TRUE))</f>
        <v>0</v>
      </c>
      <c r="I365" t="b">
        <f>IF(     ISNUMBER(Table13[[#This Row],[Strike]]),RTD("tos.rtd", , "BID", "."&amp;Table13[[#This Row],[Ticker]]&amp;Table13[[#This Row],[Expiry]]&amp;""&amp;"C"&amp;Table13[[#This Row],[Strike]]))</f>
        <v>0</v>
      </c>
      <c r="J365" t="b">
        <f>IF(     ISNUMBER(Table13[[#This Row],[Strike]]),RTD("tos.rtd", , "ASK", "."&amp;Table13[[#This Row],[Ticker]]&amp;Table13[[#This Row],[Expiry]]&amp;""&amp;"C"&amp;Table13[[#This Row],[Strike]]))</f>
        <v>0</v>
      </c>
      <c r="K36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5" s="17" cm="1">
        <f t="array" aca="1" ref="L36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5" s="1">
        <f t="shared" si="35"/>
        <v>0</v>
      </c>
      <c r="N365" t="b">
        <f t="shared" si="36"/>
        <v>0</v>
      </c>
      <c r="P365" s="17" t="b" cm="1">
        <f t="array" ref="P365">IF(
    ISNUMBER(Table13[[#This Row],[Strike]]),IndividualLegIVCore($A$4, Table13[[#This Row],[Strike]], 0.0411, Table13[[#This Row],[T]], ((Table13[[#This Row],[BIDP]]+Table13[[#This Row],[ASKP]])/2), FALSE))</f>
        <v>0</v>
      </c>
      <c r="Q365" t="b">
        <f>IF(     ISNUMBER(Table13[[#This Row],[Strike]]),RTD("tos.rtd", , "BID", "."&amp;Table13[[#This Row],[Ticker]]&amp;Table13[[#This Row],[Expiry]]&amp;""&amp;"P"&amp;Table13[[#This Row],[Strike]]))</f>
        <v>0</v>
      </c>
      <c r="R365" t="b">
        <f>IF(     ISNUMBER(Table13[[#This Row],[Strike]]),RTD("tos.rtd", , "ASK", "."&amp;Table13[[#This Row],[Ticker]]&amp;Table13[[#This Row],[Expiry]]&amp;""&amp;"P"&amp;Table13[[#This Row],[Strike]]))</f>
        <v>0</v>
      </c>
      <c r="S365" s="17"/>
      <c r="T365" t="b">
        <f>IF(     ISNUMBER(Table13[[#This Row],[Strike]]),RTD("tos.rtd", , "OPEN_INT", "."&amp;Table13[[#This Row],[Ticker]]&amp;Table13[[#This Row],[Expiry]]&amp;""&amp;"P"&amp;Table13[[#This Row],[Strike]]))</f>
        <v>0</v>
      </c>
      <c r="U36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5" t="b">
        <f>IF(     ISNUMBER(Table13[[#This Row],[Strike]]),RTD("tos.rtd", , "DELTA", "."&amp;Table13[[#This Row],[Ticker]]&amp;Table13[[#This Row],[Expiry]]&amp;""&amp;"P"&amp;Table13[[#This Row],[Strike]]))</f>
        <v>0</v>
      </c>
      <c r="Y365" s="19">
        <f>26* IF($M$1="NDX", 10, IF(OR($M$1="SPX", $M$1="RUT"), 2, 1))</f>
        <v>52</v>
      </c>
      <c r="Z365">
        <f ca="1">IFERROR(Table13[[#This Row],[call gamma]]*(Table13[[#This Row],[Open.Int]])*$A$4^2,0)</f>
        <v>0</v>
      </c>
      <c r="AA365">
        <f ca="1">IFERROR(((Table13[[#This Row],[Open.Int8]])*Table13[[#This Row],[Put gamma]])*-1*$A$4^2,0)</f>
        <v>0</v>
      </c>
      <c r="AB365">
        <f ca="1">(Table13[[#This Row],[Call Gex]]+Table13[[#This Row],[Put Gex]])</f>
        <v>0</v>
      </c>
      <c r="AC365">
        <f ca="1">Table13[[#This Row],[put delta adj]]+Table13[[#This Row],[call delta adj]]</f>
        <v>0</v>
      </c>
      <c r="AD365">
        <f ca="1">Table13[[#This Row],[Put Gex]]*Table13[[#This Row],[DeltaP]]*-1</f>
        <v>0</v>
      </c>
      <c r="AE365">
        <f ca="1">Table13[[#This Row],[Call Gex]]*Table13[[#This Row],[DeltaC]]</f>
        <v>0</v>
      </c>
      <c r="AF365">
        <f>IF(Table13[[#This Row],[DeltaC]]-ABS(Table13[[#This Row],[DeltaP]])="0","0.01",Table13[[#This Row],[DeltaC]]-ABS(Table13[[#This Row],[DeltaP]]))</f>
        <v>0</v>
      </c>
      <c r="AG365" t="e">
        <f ca="1">((LN($A$4/Table13[[#This Row],[Strike]]) + (0.411 + 0.5 * Table13[[#This Row],[IV Calc P]]^2) *Table13[[#This Row],[T]])) / (Table13[[#This Row],[IV Calc P]] * SQRT(Table13[[#This Row],[T]]))</f>
        <v>#DIV/0!</v>
      </c>
      <c r="AH365" t="e">
        <f ca="1">(LN($A$4/Table13[[#This Row],[Strike]]) + (0.411-0 + 0.5 * Table13[[#This Row],[IV Calc C]]^2) *Table13[[#This Row],[T]]) / (Table13[[#This Row],[IV Calc C]] * SQRT(Table13[[#This Row],[T]]))</f>
        <v>#DIV/0!</v>
      </c>
      <c r="AI365" t="e">
        <f ca="1">(EXP(-(AG365^2)/2)/SQRT(2*PI())*EXP(0*SQRT(Table13[[#This Row],[T]]))/$A$4*18%*SQRT(SQRT(Table13[[#This Row],[T]])))</f>
        <v>#DIV/0!</v>
      </c>
      <c r="AJ365" t="e">
        <f ca="1">(EXP(-(AH365^2)/2)/SQRT(2*PI())*EXP(0*SQRT(Table13[[#This Row],[T]]))/$A$4*18%*SQRT(SQRT(Table13[[#This Row],[T]])))</f>
        <v>#DIV/0!</v>
      </c>
      <c r="AK365" t="e">
        <f ca="1">Table13[[#This Row],[Call D1]]-Table13[[#This Row],[IV Calc C]]*SQRT(Table13[[#This Row],[T]])</f>
        <v>#DIV/0!</v>
      </c>
      <c r="AL365" t="e">
        <f ca="1">Table13[[#This Row],[Put D1]]-Table13[[#This Row],[IV Calc P]]*SQRT(Table13[[#This Row],[T]])</f>
        <v>#DIV/0!</v>
      </c>
      <c r="AM365" t="e">
        <f ca="1">EXP(-0.5*Table13[[#This Row],[Call D1]]^2)/SQRT(2*PI())</f>
        <v>#DIV/0!</v>
      </c>
      <c r="AN365" t="e">
        <f ca="1">EXP(-0.5*Table13[[#This Row],[Put D1]]^2)/SQRT(2*PI())</f>
        <v>#DIV/0!</v>
      </c>
      <c r="AO365">
        <f ca="1">IFERROR((EXP(0*Table13[[#This Row],[T]])*Table13[[#This Row],[call N(d1)]]*(Table13[[#This Row],[call d2]]/Table13[[#This Row],[IV Calc C]]))*Table13[[#This Row],[Open.Int]]*Table13[[#This Row],[DeltaC]],0)</f>
        <v>0</v>
      </c>
      <c r="AP365">
        <f ca="1">IFERROR((EXP(0*Table13[[#This Row],[T]])*Table13[[#This Row],[put N(d1)]]*(Table13[[#This Row],[put d2]]/Table13[[#This Row],[IV Calc P]]))*Table13[[#This Row],[Open.Int8]]*Table13[[#This Row],[DeltaP]]*-1,0)</f>
        <v>0</v>
      </c>
      <c r="AQ365">
        <f ca="1">((Table13[[#This Row],[call vanna]]+Table13[[#This Row],[put vanna]])*$A$4)</f>
        <v>0</v>
      </c>
      <c r="AR36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5" s="9" t="str" cm="1">
        <f t="array" ref="AT365">_xlfn.IFS(     $M$1="SPX","SPXW",     $M$1="RUT","RUTW",  $M$1="NDX","NDXP",   TRUE,$M$1 )</f>
        <v>SPXW</v>
      </c>
      <c r="AU365" s="2">
        <f t="shared" si="37"/>
        <v>6915</v>
      </c>
      <c r="AV365" t="str">
        <f t="shared" si="38"/>
        <v>000100</v>
      </c>
      <c r="AY36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5">
        <f>((Table13[[#This Row],[High C]]+Table13[[#This Row],[Low C]])/2)*Table13[[#This Row],[gammac]]*Table13[[#This Row],[Volume]]</f>
        <v>0</v>
      </c>
      <c r="BD365">
        <f>((Table13[[#This Row],[High P]]+Table13[[#This Row],[Low P]])/2)*Table13[[#This Row],[gammap]]*Table13[[#This Row],[Volume9]]*-1</f>
        <v>0</v>
      </c>
      <c r="BE365">
        <f>(Table13[[#This Row],[SgammaC]]+Table13[[#This Row],[SgammaP]])*$A$4*-100</f>
        <v>0</v>
      </c>
      <c r="BF365">
        <f>Table13[[#This Row],[DEXc]]+Table13[[#This Row],[DEXp]]</f>
        <v>0</v>
      </c>
      <c r="BG365">
        <f>IFERROR(Table13[[#This Row],[DeltaC]]*Table13[[#This Row],[Open.Int]]*$A$4,0)</f>
        <v>0</v>
      </c>
      <c r="BH365">
        <f>IFERROR(Table13[[#This Row],[DeltaP]]*Table13[[#This Row],[Open.Int8]]*$A$4,0)</f>
        <v>0</v>
      </c>
      <c r="BI36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5">
        <f ca="1">Table13[[#This Row],[charmc]]+Table13[[#This Row],[charmp]]</f>
        <v>0</v>
      </c>
      <c r="BL36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5" s="78">
        <f ca="1">Table13[[#This Row],[call helper]]+Table13[[#This Row],[put helper]]</f>
        <v>0</v>
      </c>
      <c r="BP365" t="str">
        <f>RTD("tos.rtd", , "STRIKE", "."&amp;Table13[[#This Row],[Ticker]]&amp;Table13[[#This Row],[Expiry]]&amp;""&amp;"C"&amp;Table13[[#This Row],[Spot]]+Table13[[#This Row],[step]])</f>
        <v>N/A</v>
      </c>
    </row>
    <row r="366" spans="1:68" x14ac:dyDescent="0.25">
      <c r="A366" s="14">
        <f t="shared" ca="1" si="34"/>
        <v>-126.14810350076104</v>
      </c>
      <c r="C366" s="17"/>
      <c r="D366" t="b">
        <f>IF(
    ISNUMBER(Table13[[#This Row],[Strike]]),RTD("tos.rtd", , "OPEN_INT", "."&amp;Table13[[#This Row],[Ticker]]&amp;Table13[[#This Row],[Expiry]]&amp;""&amp;"C"&amp;Table13[[#This Row],[Strike]]))</f>
        <v>0</v>
      </c>
      <c r="E36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6" t="b">
        <f>IF(     ISNUMBER(Table13[[#This Row],[Strike]]),RTD("tos.rtd", , "DELTA", "."&amp;Table13[[#This Row],[Ticker]]&amp;Table13[[#This Row],[Expiry]]&amp;""&amp;"C"&amp;Table13[[#This Row],[Strike]]))</f>
        <v>0</v>
      </c>
      <c r="H366" s="17" t="b" cm="1">
        <f t="array" ref="H366">IF(
    ISNUMBER(Table13[[#This Row],[Strike]]),IndividualLegIVCore($A$4, Table13[[#This Row],[Strike]], 0.0411, Table13[[#This Row],[T]], ((Table13[[#This Row],[BIDC]]+Table13[[#This Row],[ASKC]])/2), TRUE))</f>
        <v>0</v>
      </c>
      <c r="I366" t="b">
        <f>IF(     ISNUMBER(Table13[[#This Row],[Strike]]),RTD("tos.rtd", , "BID", "."&amp;Table13[[#This Row],[Ticker]]&amp;Table13[[#This Row],[Expiry]]&amp;""&amp;"C"&amp;Table13[[#This Row],[Strike]]))</f>
        <v>0</v>
      </c>
      <c r="J366" t="b">
        <f>IF(     ISNUMBER(Table13[[#This Row],[Strike]]),RTD("tos.rtd", , "ASK", "."&amp;Table13[[#This Row],[Ticker]]&amp;Table13[[#This Row],[Expiry]]&amp;""&amp;"C"&amp;Table13[[#This Row],[Strike]]))</f>
        <v>0</v>
      </c>
      <c r="K36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6" s="17" cm="1">
        <f t="array" aca="1" ref="L36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6" s="1">
        <f t="shared" si="35"/>
        <v>0</v>
      </c>
      <c r="N366" t="b">
        <f t="shared" si="36"/>
        <v>0</v>
      </c>
      <c r="P366" s="17" t="b" cm="1">
        <f t="array" ref="P366">IF(
    ISNUMBER(Table13[[#This Row],[Strike]]),IndividualLegIVCore($A$4, Table13[[#This Row],[Strike]], 0.0411, Table13[[#This Row],[T]], ((Table13[[#This Row],[BIDP]]+Table13[[#This Row],[ASKP]])/2), FALSE))</f>
        <v>0</v>
      </c>
      <c r="Q366" t="b">
        <f>IF(     ISNUMBER(Table13[[#This Row],[Strike]]),RTD("tos.rtd", , "BID", "."&amp;Table13[[#This Row],[Ticker]]&amp;Table13[[#This Row],[Expiry]]&amp;""&amp;"P"&amp;Table13[[#This Row],[Strike]]))</f>
        <v>0</v>
      </c>
      <c r="R366" t="b">
        <f>IF(     ISNUMBER(Table13[[#This Row],[Strike]]),RTD("tos.rtd", , "ASK", "."&amp;Table13[[#This Row],[Ticker]]&amp;Table13[[#This Row],[Expiry]]&amp;""&amp;"P"&amp;Table13[[#This Row],[Strike]]))</f>
        <v>0</v>
      </c>
      <c r="S366" s="17"/>
      <c r="T366" t="b">
        <f>IF(     ISNUMBER(Table13[[#This Row],[Strike]]),RTD("tos.rtd", , "OPEN_INT", "."&amp;Table13[[#This Row],[Ticker]]&amp;Table13[[#This Row],[Expiry]]&amp;""&amp;"P"&amp;Table13[[#This Row],[Strike]]))</f>
        <v>0</v>
      </c>
      <c r="U36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6" t="b">
        <f>IF(     ISNUMBER(Table13[[#This Row],[Strike]]),RTD("tos.rtd", , "DELTA", "."&amp;Table13[[#This Row],[Ticker]]&amp;Table13[[#This Row],[Expiry]]&amp;""&amp;"P"&amp;Table13[[#This Row],[Strike]]))</f>
        <v>0</v>
      </c>
      <c r="Y366" s="19">
        <f>26.5* IF($M$1="NDX", 10, IF(OR($M$1="SPX", $M$1="RUT"), 2, 1))</f>
        <v>53</v>
      </c>
      <c r="Z366">
        <f ca="1">IFERROR(Table13[[#This Row],[call gamma]]*(Table13[[#This Row],[Open.Int]])*$A$4^2,0)</f>
        <v>0</v>
      </c>
      <c r="AA366">
        <f ca="1">IFERROR(((Table13[[#This Row],[Open.Int8]])*Table13[[#This Row],[Put gamma]])*-1*$A$4^2,0)</f>
        <v>0</v>
      </c>
      <c r="AB366">
        <f ca="1">(Table13[[#This Row],[Call Gex]]+Table13[[#This Row],[Put Gex]])</f>
        <v>0</v>
      </c>
      <c r="AC366">
        <f ca="1">Table13[[#This Row],[put delta adj]]+Table13[[#This Row],[call delta adj]]</f>
        <v>0</v>
      </c>
      <c r="AD366">
        <f ca="1">Table13[[#This Row],[Put Gex]]*Table13[[#This Row],[DeltaP]]*-1</f>
        <v>0</v>
      </c>
      <c r="AE366">
        <f ca="1">Table13[[#This Row],[Call Gex]]*Table13[[#This Row],[DeltaC]]</f>
        <v>0</v>
      </c>
      <c r="AF366">
        <f>IF(Table13[[#This Row],[DeltaC]]-ABS(Table13[[#This Row],[DeltaP]])="0","0.01",Table13[[#This Row],[DeltaC]]-ABS(Table13[[#This Row],[DeltaP]]))</f>
        <v>0</v>
      </c>
      <c r="AG366" t="e">
        <f ca="1">((LN($A$4/Table13[[#This Row],[Strike]]) + (0.411 + 0.5 * Table13[[#This Row],[IV Calc P]]^2) *Table13[[#This Row],[T]])) / (Table13[[#This Row],[IV Calc P]] * SQRT(Table13[[#This Row],[T]]))</f>
        <v>#DIV/0!</v>
      </c>
      <c r="AH366" t="e">
        <f ca="1">(LN($A$4/Table13[[#This Row],[Strike]]) + (0.411-0 + 0.5 * Table13[[#This Row],[IV Calc C]]^2) *Table13[[#This Row],[T]]) / (Table13[[#This Row],[IV Calc C]] * SQRT(Table13[[#This Row],[T]]))</f>
        <v>#DIV/0!</v>
      </c>
      <c r="AI366" t="e">
        <f ca="1">(EXP(-(AG366^2)/2)/SQRT(2*PI())*EXP(0*SQRT(Table13[[#This Row],[T]]))/$A$4*18%*SQRT(SQRT(Table13[[#This Row],[T]])))</f>
        <v>#DIV/0!</v>
      </c>
      <c r="AJ366" t="e">
        <f ca="1">(EXP(-(AH366^2)/2)/SQRT(2*PI())*EXP(0*SQRT(Table13[[#This Row],[T]]))/$A$4*18%*SQRT(SQRT(Table13[[#This Row],[T]])))</f>
        <v>#DIV/0!</v>
      </c>
      <c r="AK366" t="e">
        <f ca="1">Table13[[#This Row],[Call D1]]-Table13[[#This Row],[IV Calc C]]*SQRT(Table13[[#This Row],[T]])</f>
        <v>#DIV/0!</v>
      </c>
      <c r="AL366" t="e">
        <f ca="1">Table13[[#This Row],[Put D1]]-Table13[[#This Row],[IV Calc P]]*SQRT(Table13[[#This Row],[T]])</f>
        <v>#DIV/0!</v>
      </c>
      <c r="AM366" t="e">
        <f ca="1">EXP(-0.5*Table13[[#This Row],[Call D1]]^2)/SQRT(2*PI())</f>
        <v>#DIV/0!</v>
      </c>
      <c r="AN366" t="e">
        <f ca="1">EXP(-0.5*Table13[[#This Row],[Put D1]]^2)/SQRT(2*PI())</f>
        <v>#DIV/0!</v>
      </c>
      <c r="AO366">
        <f ca="1">IFERROR((EXP(0*Table13[[#This Row],[T]])*Table13[[#This Row],[call N(d1)]]*(Table13[[#This Row],[call d2]]/Table13[[#This Row],[IV Calc C]]))*Table13[[#This Row],[Open.Int]]*Table13[[#This Row],[DeltaC]],0)</f>
        <v>0</v>
      </c>
      <c r="AP366">
        <f ca="1">IFERROR((EXP(0*Table13[[#This Row],[T]])*Table13[[#This Row],[put N(d1)]]*(Table13[[#This Row],[put d2]]/Table13[[#This Row],[IV Calc P]]))*Table13[[#This Row],[Open.Int8]]*Table13[[#This Row],[DeltaP]]*-1,0)</f>
        <v>0</v>
      </c>
      <c r="AQ366">
        <f ca="1">((Table13[[#This Row],[call vanna]]+Table13[[#This Row],[put vanna]])*$A$4)</f>
        <v>0</v>
      </c>
      <c r="AR36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6" s="9" t="str" cm="1">
        <f t="array" ref="AT366">_xlfn.IFS(     $M$1="SPX","SPXW",     $M$1="RUT","RUTW",  $M$1="NDX","NDXP",   TRUE,$M$1 )</f>
        <v>SPXW</v>
      </c>
      <c r="AU366" s="2">
        <f t="shared" si="37"/>
        <v>6915</v>
      </c>
      <c r="AV366" t="str">
        <f t="shared" si="38"/>
        <v>000100</v>
      </c>
      <c r="AY36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6">
        <f>((Table13[[#This Row],[High C]]+Table13[[#This Row],[Low C]])/2)*Table13[[#This Row],[gammac]]*Table13[[#This Row],[Volume]]</f>
        <v>0</v>
      </c>
      <c r="BD366">
        <f>((Table13[[#This Row],[High P]]+Table13[[#This Row],[Low P]])/2)*Table13[[#This Row],[gammap]]*Table13[[#This Row],[Volume9]]*-1</f>
        <v>0</v>
      </c>
      <c r="BE366">
        <f>(Table13[[#This Row],[SgammaC]]+Table13[[#This Row],[SgammaP]])*$A$4*-100</f>
        <v>0</v>
      </c>
      <c r="BF366">
        <f>Table13[[#This Row],[DEXc]]+Table13[[#This Row],[DEXp]]</f>
        <v>0</v>
      </c>
      <c r="BG366">
        <f>IFERROR(Table13[[#This Row],[DeltaC]]*Table13[[#This Row],[Open.Int]]*$A$4,0)</f>
        <v>0</v>
      </c>
      <c r="BH366">
        <f>IFERROR(Table13[[#This Row],[DeltaP]]*Table13[[#This Row],[Open.Int8]]*$A$4,0)</f>
        <v>0</v>
      </c>
      <c r="BI36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6">
        <f ca="1">Table13[[#This Row],[charmc]]+Table13[[#This Row],[charmp]]</f>
        <v>0</v>
      </c>
      <c r="BL36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6" s="78">
        <f ca="1">Table13[[#This Row],[call helper]]+Table13[[#This Row],[put helper]]</f>
        <v>0</v>
      </c>
      <c r="BP366" t="str">
        <f>RTD("tos.rtd", , "STRIKE", "."&amp;Table13[[#This Row],[Ticker]]&amp;Table13[[#This Row],[Expiry]]&amp;""&amp;"C"&amp;Table13[[#This Row],[Spot]]+Table13[[#This Row],[step]])</f>
        <v>N/A</v>
      </c>
    </row>
    <row r="367" spans="1:68" x14ac:dyDescent="0.25">
      <c r="A367" s="14">
        <f t="shared" ca="1" si="34"/>
        <v>-126.14810350076104</v>
      </c>
      <c r="C367" s="17"/>
      <c r="D367" t="b">
        <f>IF(
    ISNUMBER(Table13[[#This Row],[Strike]]),RTD("tos.rtd", , "OPEN_INT", "."&amp;Table13[[#This Row],[Ticker]]&amp;Table13[[#This Row],[Expiry]]&amp;""&amp;"C"&amp;Table13[[#This Row],[Strike]]))</f>
        <v>0</v>
      </c>
      <c r="E36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7" t="b">
        <f>IF(     ISNUMBER(Table13[[#This Row],[Strike]]),RTD("tos.rtd", , "DELTA", "."&amp;Table13[[#This Row],[Ticker]]&amp;Table13[[#This Row],[Expiry]]&amp;""&amp;"C"&amp;Table13[[#This Row],[Strike]]))</f>
        <v>0</v>
      </c>
      <c r="H367" s="17" t="b" cm="1">
        <f t="array" ref="H367">IF(
    ISNUMBER(Table13[[#This Row],[Strike]]),IndividualLegIVCore($A$4, Table13[[#This Row],[Strike]], 0.0411, Table13[[#This Row],[T]], ((Table13[[#This Row],[BIDC]]+Table13[[#This Row],[ASKC]])/2), TRUE))</f>
        <v>0</v>
      </c>
      <c r="I367" t="b">
        <f>IF(     ISNUMBER(Table13[[#This Row],[Strike]]),RTD("tos.rtd", , "BID", "."&amp;Table13[[#This Row],[Ticker]]&amp;Table13[[#This Row],[Expiry]]&amp;""&amp;"C"&amp;Table13[[#This Row],[Strike]]))</f>
        <v>0</v>
      </c>
      <c r="J367" t="b">
        <f>IF(     ISNUMBER(Table13[[#This Row],[Strike]]),RTD("tos.rtd", , "ASK", "."&amp;Table13[[#This Row],[Ticker]]&amp;Table13[[#This Row],[Expiry]]&amp;""&amp;"C"&amp;Table13[[#This Row],[Strike]]))</f>
        <v>0</v>
      </c>
      <c r="K36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7" s="17" cm="1">
        <f t="array" aca="1" ref="L36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7" s="1">
        <f t="shared" si="35"/>
        <v>0</v>
      </c>
      <c r="N367" t="b">
        <f t="shared" si="36"/>
        <v>0</v>
      </c>
      <c r="P367" s="17" t="b" cm="1">
        <f t="array" ref="P367">IF(
    ISNUMBER(Table13[[#This Row],[Strike]]),IndividualLegIVCore($A$4, Table13[[#This Row],[Strike]], 0.0411, Table13[[#This Row],[T]], ((Table13[[#This Row],[BIDP]]+Table13[[#This Row],[ASKP]])/2), FALSE))</f>
        <v>0</v>
      </c>
      <c r="Q367" t="b">
        <f>IF(     ISNUMBER(Table13[[#This Row],[Strike]]),RTD("tos.rtd", , "BID", "."&amp;Table13[[#This Row],[Ticker]]&amp;Table13[[#This Row],[Expiry]]&amp;""&amp;"P"&amp;Table13[[#This Row],[Strike]]))</f>
        <v>0</v>
      </c>
      <c r="R367" t="b">
        <f>IF(     ISNUMBER(Table13[[#This Row],[Strike]]),RTD("tos.rtd", , "ASK", "."&amp;Table13[[#This Row],[Ticker]]&amp;Table13[[#This Row],[Expiry]]&amp;""&amp;"P"&amp;Table13[[#This Row],[Strike]]))</f>
        <v>0</v>
      </c>
      <c r="S367" s="17"/>
      <c r="T367" t="b">
        <f>IF(     ISNUMBER(Table13[[#This Row],[Strike]]),RTD("tos.rtd", , "OPEN_INT", "."&amp;Table13[[#This Row],[Ticker]]&amp;Table13[[#This Row],[Expiry]]&amp;""&amp;"P"&amp;Table13[[#This Row],[Strike]]))</f>
        <v>0</v>
      </c>
      <c r="U36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7" t="b">
        <f>IF(     ISNUMBER(Table13[[#This Row],[Strike]]),RTD("tos.rtd", , "DELTA", "."&amp;Table13[[#This Row],[Ticker]]&amp;Table13[[#This Row],[Expiry]]&amp;""&amp;"P"&amp;Table13[[#This Row],[Strike]]))</f>
        <v>0</v>
      </c>
      <c r="Y367" s="19">
        <f>27* IF($M$1="NDX", 10, IF(OR($M$1="SPX", $M$1="RUT"), 2, 1))</f>
        <v>54</v>
      </c>
      <c r="Z367">
        <f ca="1">IFERROR(Table13[[#This Row],[call gamma]]*(Table13[[#This Row],[Open.Int]])*$A$4^2,0)</f>
        <v>0</v>
      </c>
      <c r="AA367">
        <f ca="1">IFERROR(((Table13[[#This Row],[Open.Int8]])*Table13[[#This Row],[Put gamma]])*-1*$A$4^2,0)</f>
        <v>0</v>
      </c>
      <c r="AB367">
        <f ca="1">(Table13[[#This Row],[Call Gex]]+Table13[[#This Row],[Put Gex]])</f>
        <v>0</v>
      </c>
      <c r="AC367">
        <f ca="1">Table13[[#This Row],[put delta adj]]+Table13[[#This Row],[call delta adj]]</f>
        <v>0</v>
      </c>
      <c r="AD367">
        <f ca="1">Table13[[#This Row],[Put Gex]]*Table13[[#This Row],[DeltaP]]*-1</f>
        <v>0</v>
      </c>
      <c r="AE367">
        <f ca="1">Table13[[#This Row],[Call Gex]]*Table13[[#This Row],[DeltaC]]</f>
        <v>0</v>
      </c>
      <c r="AF367">
        <f>IF(Table13[[#This Row],[DeltaC]]-ABS(Table13[[#This Row],[DeltaP]])="0","0.01",Table13[[#This Row],[DeltaC]]-ABS(Table13[[#This Row],[DeltaP]]))</f>
        <v>0</v>
      </c>
      <c r="AG367" t="e">
        <f ca="1">((LN($A$4/Table13[[#This Row],[Strike]]) + (0.411 + 0.5 * Table13[[#This Row],[IV Calc P]]^2) *Table13[[#This Row],[T]])) / (Table13[[#This Row],[IV Calc P]] * SQRT(Table13[[#This Row],[T]]))</f>
        <v>#DIV/0!</v>
      </c>
      <c r="AH367" t="e">
        <f ca="1">(LN($A$4/Table13[[#This Row],[Strike]]) + (0.411-0 + 0.5 * Table13[[#This Row],[IV Calc C]]^2) *Table13[[#This Row],[T]]) / (Table13[[#This Row],[IV Calc C]] * SQRT(Table13[[#This Row],[T]]))</f>
        <v>#DIV/0!</v>
      </c>
      <c r="AI367" t="e">
        <f ca="1">(EXP(-(AG367^2)/2)/SQRT(2*PI())*EXP(0*SQRT(Table13[[#This Row],[T]]))/$A$4*18%*SQRT(SQRT(Table13[[#This Row],[T]])))</f>
        <v>#DIV/0!</v>
      </c>
      <c r="AJ367" t="e">
        <f ca="1">(EXP(-(AH367^2)/2)/SQRT(2*PI())*EXP(0*SQRT(Table13[[#This Row],[T]]))/$A$4*18%*SQRT(SQRT(Table13[[#This Row],[T]])))</f>
        <v>#DIV/0!</v>
      </c>
      <c r="AK367" t="e">
        <f ca="1">Table13[[#This Row],[Call D1]]-Table13[[#This Row],[IV Calc C]]*SQRT(Table13[[#This Row],[T]])</f>
        <v>#DIV/0!</v>
      </c>
      <c r="AL367" t="e">
        <f ca="1">Table13[[#This Row],[Put D1]]-Table13[[#This Row],[IV Calc P]]*SQRT(Table13[[#This Row],[T]])</f>
        <v>#DIV/0!</v>
      </c>
      <c r="AM367" t="e">
        <f ca="1">EXP(-0.5*Table13[[#This Row],[Call D1]]^2)/SQRT(2*PI())</f>
        <v>#DIV/0!</v>
      </c>
      <c r="AN367" t="e">
        <f ca="1">EXP(-0.5*Table13[[#This Row],[Put D1]]^2)/SQRT(2*PI())</f>
        <v>#DIV/0!</v>
      </c>
      <c r="AO367">
        <f ca="1">IFERROR((EXP(0*Table13[[#This Row],[T]])*Table13[[#This Row],[call N(d1)]]*(Table13[[#This Row],[call d2]]/Table13[[#This Row],[IV Calc C]]))*Table13[[#This Row],[Open.Int]]*Table13[[#This Row],[DeltaC]],0)</f>
        <v>0</v>
      </c>
      <c r="AP367">
        <f ca="1">IFERROR((EXP(0*Table13[[#This Row],[T]])*Table13[[#This Row],[put N(d1)]]*(Table13[[#This Row],[put d2]]/Table13[[#This Row],[IV Calc P]]))*Table13[[#This Row],[Open.Int8]]*Table13[[#This Row],[DeltaP]]*-1,0)</f>
        <v>0</v>
      </c>
      <c r="AQ367">
        <f ca="1">((Table13[[#This Row],[call vanna]]+Table13[[#This Row],[put vanna]])*$A$4)</f>
        <v>0</v>
      </c>
      <c r="AR36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7" s="9" t="str" cm="1">
        <f t="array" ref="AT367">_xlfn.IFS(     $M$1="SPX","SPXW",     $M$1="RUT","RUTW",  $M$1="NDX","NDXP",   TRUE,$M$1 )</f>
        <v>SPXW</v>
      </c>
      <c r="AU367" s="2">
        <f t="shared" si="37"/>
        <v>6915</v>
      </c>
      <c r="AV367" t="str">
        <f t="shared" si="38"/>
        <v>000100</v>
      </c>
      <c r="AY36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7">
        <f>((Table13[[#This Row],[High C]]+Table13[[#This Row],[Low C]])/2)*Table13[[#This Row],[gammac]]*Table13[[#This Row],[Volume]]</f>
        <v>0</v>
      </c>
      <c r="BD367">
        <f>((Table13[[#This Row],[High P]]+Table13[[#This Row],[Low P]])/2)*Table13[[#This Row],[gammap]]*Table13[[#This Row],[Volume9]]*-1</f>
        <v>0</v>
      </c>
      <c r="BE367">
        <f>(Table13[[#This Row],[SgammaC]]+Table13[[#This Row],[SgammaP]])*$A$4*-100</f>
        <v>0</v>
      </c>
      <c r="BF367">
        <f>Table13[[#This Row],[DEXc]]+Table13[[#This Row],[DEXp]]</f>
        <v>0</v>
      </c>
      <c r="BG367">
        <f>IFERROR(Table13[[#This Row],[DeltaC]]*Table13[[#This Row],[Open.Int]]*$A$4,0)</f>
        <v>0</v>
      </c>
      <c r="BH367">
        <f>IFERROR(Table13[[#This Row],[DeltaP]]*Table13[[#This Row],[Open.Int8]]*$A$4,0)</f>
        <v>0</v>
      </c>
      <c r="BI36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7">
        <f ca="1">Table13[[#This Row],[charmc]]+Table13[[#This Row],[charmp]]</f>
        <v>0</v>
      </c>
      <c r="BL36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7" s="78">
        <f ca="1">Table13[[#This Row],[call helper]]+Table13[[#This Row],[put helper]]</f>
        <v>0</v>
      </c>
      <c r="BP367" t="str">
        <f>RTD("tos.rtd", , "STRIKE", "."&amp;Table13[[#This Row],[Ticker]]&amp;Table13[[#This Row],[Expiry]]&amp;""&amp;"C"&amp;Table13[[#This Row],[Spot]]+Table13[[#This Row],[step]])</f>
        <v>N/A</v>
      </c>
    </row>
    <row r="368" spans="1:68" x14ac:dyDescent="0.25">
      <c r="A368" s="14">
        <f t="shared" ca="1" si="34"/>
        <v>-126.14810350076104</v>
      </c>
      <c r="C368" s="17"/>
      <c r="D368" t="b">
        <f>IF(
    ISNUMBER(Table13[[#This Row],[Strike]]),RTD("tos.rtd", , "OPEN_INT", "."&amp;Table13[[#This Row],[Ticker]]&amp;Table13[[#This Row],[Expiry]]&amp;""&amp;"C"&amp;Table13[[#This Row],[Strike]]))</f>
        <v>0</v>
      </c>
      <c r="E36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8" t="b">
        <f>IF(     ISNUMBER(Table13[[#This Row],[Strike]]),RTD("tos.rtd", , "DELTA", "."&amp;Table13[[#This Row],[Ticker]]&amp;Table13[[#This Row],[Expiry]]&amp;""&amp;"C"&amp;Table13[[#This Row],[Strike]]))</f>
        <v>0</v>
      </c>
      <c r="H368" s="17" t="b" cm="1">
        <f t="array" ref="H368">IF(
    ISNUMBER(Table13[[#This Row],[Strike]]),IndividualLegIVCore($A$4, Table13[[#This Row],[Strike]], 0.0411, Table13[[#This Row],[T]], ((Table13[[#This Row],[BIDC]]+Table13[[#This Row],[ASKC]])/2), TRUE))</f>
        <v>0</v>
      </c>
      <c r="I368" t="b">
        <f>IF(     ISNUMBER(Table13[[#This Row],[Strike]]),RTD("tos.rtd", , "BID", "."&amp;Table13[[#This Row],[Ticker]]&amp;Table13[[#This Row],[Expiry]]&amp;""&amp;"C"&amp;Table13[[#This Row],[Strike]]))</f>
        <v>0</v>
      </c>
      <c r="J368" t="b">
        <f>IF(     ISNUMBER(Table13[[#This Row],[Strike]]),RTD("tos.rtd", , "ASK", "."&amp;Table13[[#This Row],[Ticker]]&amp;Table13[[#This Row],[Expiry]]&amp;""&amp;"C"&amp;Table13[[#This Row],[Strike]]))</f>
        <v>0</v>
      </c>
      <c r="K36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8" s="17" cm="1">
        <f t="array" aca="1" ref="L36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8" s="1">
        <f t="shared" si="35"/>
        <v>0</v>
      </c>
      <c r="N368" t="b">
        <f t="shared" si="36"/>
        <v>0</v>
      </c>
      <c r="P368" s="17" t="b" cm="1">
        <f t="array" ref="P368">IF(
    ISNUMBER(Table13[[#This Row],[Strike]]),IndividualLegIVCore($A$4, Table13[[#This Row],[Strike]], 0.0411, Table13[[#This Row],[T]], ((Table13[[#This Row],[BIDP]]+Table13[[#This Row],[ASKP]])/2), FALSE))</f>
        <v>0</v>
      </c>
      <c r="Q368" t="b">
        <f>IF(     ISNUMBER(Table13[[#This Row],[Strike]]),RTD("tos.rtd", , "BID", "."&amp;Table13[[#This Row],[Ticker]]&amp;Table13[[#This Row],[Expiry]]&amp;""&amp;"P"&amp;Table13[[#This Row],[Strike]]))</f>
        <v>0</v>
      </c>
      <c r="R368" t="b">
        <f>IF(     ISNUMBER(Table13[[#This Row],[Strike]]),RTD("tos.rtd", , "ASK", "."&amp;Table13[[#This Row],[Ticker]]&amp;Table13[[#This Row],[Expiry]]&amp;""&amp;"P"&amp;Table13[[#This Row],[Strike]]))</f>
        <v>0</v>
      </c>
      <c r="S368" s="17"/>
      <c r="T368" t="b">
        <f>IF(     ISNUMBER(Table13[[#This Row],[Strike]]),RTD("tos.rtd", , "OPEN_INT", "."&amp;Table13[[#This Row],[Ticker]]&amp;Table13[[#This Row],[Expiry]]&amp;""&amp;"P"&amp;Table13[[#This Row],[Strike]]))</f>
        <v>0</v>
      </c>
      <c r="U36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8" t="b">
        <f>IF(     ISNUMBER(Table13[[#This Row],[Strike]]),RTD("tos.rtd", , "DELTA", "."&amp;Table13[[#This Row],[Ticker]]&amp;Table13[[#This Row],[Expiry]]&amp;""&amp;"P"&amp;Table13[[#This Row],[Strike]]))</f>
        <v>0</v>
      </c>
      <c r="Y368" s="19">
        <f>27.5* IF($M$1="NDX", 10, IF(OR($M$1="SPX", $M$1="RUT"), 2, 1))</f>
        <v>55</v>
      </c>
      <c r="Z368">
        <f ca="1">IFERROR(Table13[[#This Row],[call gamma]]*(Table13[[#This Row],[Open.Int]])*$A$4^2,0)</f>
        <v>0</v>
      </c>
      <c r="AA368">
        <f ca="1">IFERROR(((Table13[[#This Row],[Open.Int8]])*Table13[[#This Row],[Put gamma]])*-1*$A$4^2,0)</f>
        <v>0</v>
      </c>
      <c r="AB368">
        <f ca="1">(Table13[[#This Row],[Call Gex]]+Table13[[#This Row],[Put Gex]])</f>
        <v>0</v>
      </c>
      <c r="AC368">
        <f ca="1">Table13[[#This Row],[put delta adj]]+Table13[[#This Row],[call delta adj]]</f>
        <v>0</v>
      </c>
      <c r="AD368">
        <f ca="1">Table13[[#This Row],[Put Gex]]*Table13[[#This Row],[DeltaP]]*-1</f>
        <v>0</v>
      </c>
      <c r="AE368">
        <f ca="1">Table13[[#This Row],[Call Gex]]*Table13[[#This Row],[DeltaC]]</f>
        <v>0</v>
      </c>
      <c r="AF368">
        <f>IF(Table13[[#This Row],[DeltaC]]-ABS(Table13[[#This Row],[DeltaP]])="0","0.01",Table13[[#This Row],[DeltaC]]-ABS(Table13[[#This Row],[DeltaP]]))</f>
        <v>0</v>
      </c>
      <c r="AG368" t="e">
        <f ca="1">((LN($A$4/Table13[[#This Row],[Strike]]) + (0.411 + 0.5 * Table13[[#This Row],[IV Calc P]]^2) *Table13[[#This Row],[T]])) / (Table13[[#This Row],[IV Calc P]] * SQRT(Table13[[#This Row],[T]]))</f>
        <v>#DIV/0!</v>
      </c>
      <c r="AH368" t="e">
        <f ca="1">(LN($A$4/Table13[[#This Row],[Strike]]) + (0.411-0 + 0.5 * Table13[[#This Row],[IV Calc C]]^2) *Table13[[#This Row],[T]]) / (Table13[[#This Row],[IV Calc C]] * SQRT(Table13[[#This Row],[T]]))</f>
        <v>#DIV/0!</v>
      </c>
      <c r="AI368" t="e">
        <f ca="1">(EXP(-(AG368^2)/2)/SQRT(2*PI())*EXP(0*SQRT(Table13[[#This Row],[T]]))/$A$4*18%*SQRT(SQRT(Table13[[#This Row],[T]])))</f>
        <v>#DIV/0!</v>
      </c>
      <c r="AJ368" t="e">
        <f ca="1">(EXP(-(AH368^2)/2)/SQRT(2*PI())*EXP(0*SQRT(Table13[[#This Row],[T]]))/$A$4*18%*SQRT(SQRT(Table13[[#This Row],[T]])))</f>
        <v>#DIV/0!</v>
      </c>
      <c r="AK368" t="e">
        <f ca="1">Table13[[#This Row],[Call D1]]-Table13[[#This Row],[IV Calc C]]*SQRT(Table13[[#This Row],[T]])</f>
        <v>#DIV/0!</v>
      </c>
      <c r="AL368" t="e">
        <f ca="1">Table13[[#This Row],[Put D1]]-Table13[[#This Row],[IV Calc P]]*SQRT(Table13[[#This Row],[T]])</f>
        <v>#DIV/0!</v>
      </c>
      <c r="AM368" t="e">
        <f ca="1">EXP(-0.5*Table13[[#This Row],[Call D1]]^2)/SQRT(2*PI())</f>
        <v>#DIV/0!</v>
      </c>
      <c r="AN368" t="e">
        <f ca="1">EXP(-0.5*Table13[[#This Row],[Put D1]]^2)/SQRT(2*PI())</f>
        <v>#DIV/0!</v>
      </c>
      <c r="AO368">
        <f ca="1">IFERROR((EXP(0*Table13[[#This Row],[T]])*Table13[[#This Row],[call N(d1)]]*(Table13[[#This Row],[call d2]]/Table13[[#This Row],[IV Calc C]]))*Table13[[#This Row],[Open.Int]]*Table13[[#This Row],[DeltaC]],0)</f>
        <v>0</v>
      </c>
      <c r="AP368">
        <f ca="1">IFERROR((EXP(0*Table13[[#This Row],[T]])*Table13[[#This Row],[put N(d1)]]*(Table13[[#This Row],[put d2]]/Table13[[#This Row],[IV Calc P]]))*Table13[[#This Row],[Open.Int8]]*Table13[[#This Row],[DeltaP]]*-1,0)</f>
        <v>0</v>
      </c>
      <c r="AQ368">
        <f ca="1">((Table13[[#This Row],[call vanna]]+Table13[[#This Row],[put vanna]])*$A$4)</f>
        <v>0</v>
      </c>
      <c r="AR36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8" s="9" t="str" cm="1">
        <f t="array" ref="AT368">_xlfn.IFS(     $M$1="SPX","SPXW",     $M$1="RUT","RUTW",  $M$1="NDX","NDXP",   TRUE,$M$1 )</f>
        <v>SPXW</v>
      </c>
      <c r="AU368" s="2">
        <f t="shared" si="37"/>
        <v>6915</v>
      </c>
      <c r="AV368" t="str">
        <f t="shared" si="38"/>
        <v>000100</v>
      </c>
      <c r="AY36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8">
        <f>((Table13[[#This Row],[High C]]+Table13[[#This Row],[Low C]])/2)*Table13[[#This Row],[gammac]]*Table13[[#This Row],[Volume]]</f>
        <v>0</v>
      </c>
      <c r="BD368">
        <f>((Table13[[#This Row],[High P]]+Table13[[#This Row],[Low P]])/2)*Table13[[#This Row],[gammap]]*Table13[[#This Row],[Volume9]]*-1</f>
        <v>0</v>
      </c>
      <c r="BE368">
        <f>(Table13[[#This Row],[SgammaC]]+Table13[[#This Row],[SgammaP]])*$A$4*-100</f>
        <v>0</v>
      </c>
      <c r="BF368">
        <f>Table13[[#This Row],[DEXc]]+Table13[[#This Row],[DEXp]]</f>
        <v>0</v>
      </c>
      <c r="BG368">
        <f>IFERROR(Table13[[#This Row],[DeltaC]]*Table13[[#This Row],[Open.Int]]*$A$4,0)</f>
        <v>0</v>
      </c>
      <c r="BH368">
        <f>IFERROR(Table13[[#This Row],[DeltaP]]*Table13[[#This Row],[Open.Int8]]*$A$4,0)</f>
        <v>0</v>
      </c>
      <c r="BI36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8">
        <f ca="1">Table13[[#This Row],[charmc]]+Table13[[#This Row],[charmp]]</f>
        <v>0</v>
      </c>
      <c r="BL36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8" s="78">
        <f ca="1">Table13[[#This Row],[call helper]]+Table13[[#This Row],[put helper]]</f>
        <v>0</v>
      </c>
      <c r="BP368" t="str">
        <f>RTD("tos.rtd", , "STRIKE", "."&amp;Table13[[#This Row],[Ticker]]&amp;Table13[[#This Row],[Expiry]]&amp;""&amp;"C"&amp;Table13[[#This Row],[Spot]]+Table13[[#This Row],[step]])</f>
        <v>N/A</v>
      </c>
    </row>
    <row r="369" spans="1:68" x14ac:dyDescent="0.25">
      <c r="A369" s="14">
        <f t="shared" ca="1" si="34"/>
        <v>-126.14810350076104</v>
      </c>
      <c r="C369" s="17"/>
      <c r="D369" t="b">
        <f>IF(
    ISNUMBER(Table13[[#This Row],[Strike]]),RTD("tos.rtd", , "OPEN_INT", "."&amp;Table13[[#This Row],[Ticker]]&amp;Table13[[#This Row],[Expiry]]&amp;""&amp;"C"&amp;Table13[[#This Row],[Strike]]))</f>
        <v>0</v>
      </c>
      <c r="E36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9" t="b">
        <f>IF(     ISNUMBER(Table13[[#This Row],[Strike]]),RTD("tos.rtd", , "DELTA", "."&amp;Table13[[#This Row],[Ticker]]&amp;Table13[[#This Row],[Expiry]]&amp;""&amp;"C"&amp;Table13[[#This Row],[Strike]]))</f>
        <v>0</v>
      </c>
      <c r="H369" s="17" t="b" cm="1">
        <f t="array" ref="H369">IF(
    ISNUMBER(Table13[[#This Row],[Strike]]),IndividualLegIVCore($A$4, Table13[[#This Row],[Strike]], 0.0411, Table13[[#This Row],[T]], ((Table13[[#This Row],[BIDC]]+Table13[[#This Row],[ASKC]])/2), TRUE))</f>
        <v>0</v>
      </c>
      <c r="I369" t="b">
        <f>IF(     ISNUMBER(Table13[[#This Row],[Strike]]),RTD("tos.rtd", , "BID", "."&amp;Table13[[#This Row],[Ticker]]&amp;Table13[[#This Row],[Expiry]]&amp;""&amp;"C"&amp;Table13[[#This Row],[Strike]]))</f>
        <v>0</v>
      </c>
      <c r="J369" t="b">
        <f>IF(     ISNUMBER(Table13[[#This Row],[Strike]]),RTD("tos.rtd", , "ASK", "."&amp;Table13[[#This Row],[Ticker]]&amp;Table13[[#This Row],[Expiry]]&amp;""&amp;"C"&amp;Table13[[#This Row],[Strike]]))</f>
        <v>0</v>
      </c>
      <c r="K36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9" s="17" cm="1">
        <f t="array" aca="1" ref="L36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69" s="1">
        <f t="shared" si="35"/>
        <v>0</v>
      </c>
      <c r="N369" t="b">
        <f t="shared" si="36"/>
        <v>0</v>
      </c>
      <c r="P369" s="17" t="b" cm="1">
        <f t="array" ref="P369">IF(
    ISNUMBER(Table13[[#This Row],[Strike]]),IndividualLegIVCore($A$4, Table13[[#This Row],[Strike]], 0.0411, Table13[[#This Row],[T]], ((Table13[[#This Row],[BIDP]]+Table13[[#This Row],[ASKP]])/2), FALSE))</f>
        <v>0</v>
      </c>
      <c r="Q369" t="b">
        <f>IF(     ISNUMBER(Table13[[#This Row],[Strike]]),RTD("tos.rtd", , "BID", "."&amp;Table13[[#This Row],[Ticker]]&amp;Table13[[#This Row],[Expiry]]&amp;""&amp;"P"&amp;Table13[[#This Row],[Strike]]))</f>
        <v>0</v>
      </c>
      <c r="R369" t="b">
        <f>IF(     ISNUMBER(Table13[[#This Row],[Strike]]),RTD("tos.rtd", , "ASK", "."&amp;Table13[[#This Row],[Ticker]]&amp;Table13[[#This Row],[Expiry]]&amp;""&amp;"P"&amp;Table13[[#This Row],[Strike]]))</f>
        <v>0</v>
      </c>
      <c r="S369" s="17"/>
      <c r="T369" t="b">
        <f>IF(     ISNUMBER(Table13[[#This Row],[Strike]]),RTD("tos.rtd", , "OPEN_INT", "."&amp;Table13[[#This Row],[Ticker]]&amp;Table13[[#This Row],[Expiry]]&amp;""&amp;"P"&amp;Table13[[#This Row],[Strike]]))</f>
        <v>0</v>
      </c>
      <c r="U36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9" t="b">
        <f>IF(     ISNUMBER(Table13[[#This Row],[Strike]]),RTD("tos.rtd", , "DELTA", "."&amp;Table13[[#This Row],[Ticker]]&amp;Table13[[#This Row],[Expiry]]&amp;""&amp;"P"&amp;Table13[[#This Row],[Strike]]))</f>
        <v>0</v>
      </c>
      <c r="Y369" s="19">
        <f>28* IF($M$1="NDX", 10, IF(OR($M$1="SPX", $M$1="RUT"), 2, 1))</f>
        <v>56</v>
      </c>
      <c r="Z369">
        <f ca="1">IFERROR(Table13[[#This Row],[call gamma]]*(Table13[[#This Row],[Open.Int]])*$A$4^2,0)</f>
        <v>0</v>
      </c>
      <c r="AA369">
        <f ca="1">IFERROR(((Table13[[#This Row],[Open.Int8]])*Table13[[#This Row],[Put gamma]])*-1*$A$4^2,0)</f>
        <v>0</v>
      </c>
      <c r="AB369">
        <f ca="1">(Table13[[#This Row],[Call Gex]]+Table13[[#This Row],[Put Gex]])</f>
        <v>0</v>
      </c>
      <c r="AC369">
        <f ca="1">Table13[[#This Row],[put delta adj]]+Table13[[#This Row],[call delta adj]]</f>
        <v>0</v>
      </c>
      <c r="AD369">
        <f ca="1">Table13[[#This Row],[Put Gex]]*Table13[[#This Row],[DeltaP]]*-1</f>
        <v>0</v>
      </c>
      <c r="AE369">
        <f ca="1">Table13[[#This Row],[Call Gex]]*Table13[[#This Row],[DeltaC]]</f>
        <v>0</v>
      </c>
      <c r="AF369">
        <f>IF(Table13[[#This Row],[DeltaC]]-ABS(Table13[[#This Row],[DeltaP]])="0","0.01",Table13[[#This Row],[DeltaC]]-ABS(Table13[[#This Row],[DeltaP]]))</f>
        <v>0</v>
      </c>
      <c r="AG369" t="e">
        <f ca="1">((LN($A$4/Table13[[#This Row],[Strike]]) + (0.411 + 0.5 * Table13[[#This Row],[IV Calc P]]^2) *Table13[[#This Row],[T]])) / (Table13[[#This Row],[IV Calc P]] * SQRT(Table13[[#This Row],[T]]))</f>
        <v>#DIV/0!</v>
      </c>
      <c r="AH369" t="e">
        <f ca="1">(LN($A$4/Table13[[#This Row],[Strike]]) + (0.411-0 + 0.5 * Table13[[#This Row],[IV Calc C]]^2) *Table13[[#This Row],[T]]) / (Table13[[#This Row],[IV Calc C]] * SQRT(Table13[[#This Row],[T]]))</f>
        <v>#DIV/0!</v>
      </c>
      <c r="AI369" t="e">
        <f ca="1">(EXP(-(AG369^2)/2)/SQRT(2*PI())*EXP(0*SQRT(Table13[[#This Row],[T]]))/$A$4*18%*SQRT(SQRT(Table13[[#This Row],[T]])))</f>
        <v>#DIV/0!</v>
      </c>
      <c r="AJ369" t="e">
        <f ca="1">(EXP(-(AH369^2)/2)/SQRT(2*PI())*EXP(0*SQRT(Table13[[#This Row],[T]]))/$A$4*18%*SQRT(SQRT(Table13[[#This Row],[T]])))</f>
        <v>#DIV/0!</v>
      </c>
      <c r="AK369" t="e">
        <f ca="1">Table13[[#This Row],[Call D1]]-Table13[[#This Row],[IV Calc C]]*SQRT(Table13[[#This Row],[T]])</f>
        <v>#DIV/0!</v>
      </c>
      <c r="AL369" t="e">
        <f ca="1">Table13[[#This Row],[Put D1]]-Table13[[#This Row],[IV Calc P]]*SQRT(Table13[[#This Row],[T]])</f>
        <v>#DIV/0!</v>
      </c>
      <c r="AM369" t="e">
        <f ca="1">EXP(-0.5*Table13[[#This Row],[Call D1]]^2)/SQRT(2*PI())</f>
        <v>#DIV/0!</v>
      </c>
      <c r="AN369" t="e">
        <f ca="1">EXP(-0.5*Table13[[#This Row],[Put D1]]^2)/SQRT(2*PI())</f>
        <v>#DIV/0!</v>
      </c>
      <c r="AO369">
        <f ca="1">IFERROR((EXP(0*Table13[[#This Row],[T]])*Table13[[#This Row],[call N(d1)]]*(Table13[[#This Row],[call d2]]/Table13[[#This Row],[IV Calc C]]))*Table13[[#This Row],[Open.Int]]*Table13[[#This Row],[DeltaC]],0)</f>
        <v>0</v>
      </c>
      <c r="AP369">
        <f ca="1">IFERROR((EXP(0*Table13[[#This Row],[T]])*Table13[[#This Row],[put N(d1)]]*(Table13[[#This Row],[put d2]]/Table13[[#This Row],[IV Calc P]]))*Table13[[#This Row],[Open.Int8]]*Table13[[#This Row],[DeltaP]]*-1,0)</f>
        <v>0</v>
      </c>
      <c r="AQ369">
        <f ca="1">((Table13[[#This Row],[call vanna]]+Table13[[#This Row],[put vanna]])*$A$4)</f>
        <v>0</v>
      </c>
      <c r="AR36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9" s="9" t="str" cm="1">
        <f t="array" ref="AT369">_xlfn.IFS(     $M$1="SPX","SPXW",     $M$1="RUT","RUTW",  $M$1="NDX","NDXP",   TRUE,$M$1 )</f>
        <v>SPXW</v>
      </c>
      <c r="AU369" s="2">
        <f t="shared" si="37"/>
        <v>6915</v>
      </c>
      <c r="AV369" t="str">
        <f t="shared" si="38"/>
        <v>000100</v>
      </c>
      <c r="AY36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9">
        <f>((Table13[[#This Row],[High C]]+Table13[[#This Row],[Low C]])/2)*Table13[[#This Row],[gammac]]*Table13[[#This Row],[Volume]]</f>
        <v>0</v>
      </c>
      <c r="BD369">
        <f>((Table13[[#This Row],[High P]]+Table13[[#This Row],[Low P]])/2)*Table13[[#This Row],[gammap]]*Table13[[#This Row],[Volume9]]*-1</f>
        <v>0</v>
      </c>
      <c r="BE369">
        <f>(Table13[[#This Row],[SgammaC]]+Table13[[#This Row],[SgammaP]])*$A$4*-100</f>
        <v>0</v>
      </c>
      <c r="BF369">
        <f>Table13[[#This Row],[DEXc]]+Table13[[#This Row],[DEXp]]</f>
        <v>0</v>
      </c>
      <c r="BG369">
        <f>IFERROR(Table13[[#This Row],[DeltaC]]*Table13[[#This Row],[Open.Int]]*$A$4,0)</f>
        <v>0</v>
      </c>
      <c r="BH369">
        <f>IFERROR(Table13[[#This Row],[DeltaP]]*Table13[[#This Row],[Open.Int8]]*$A$4,0)</f>
        <v>0</v>
      </c>
      <c r="BI36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9">
        <f ca="1">Table13[[#This Row],[charmc]]+Table13[[#This Row],[charmp]]</f>
        <v>0</v>
      </c>
      <c r="BL36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9" s="78">
        <f ca="1">Table13[[#This Row],[call helper]]+Table13[[#This Row],[put helper]]</f>
        <v>0</v>
      </c>
      <c r="BP369" t="str">
        <f>RTD("tos.rtd", , "STRIKE", "."&amp;Table13[[#This Row],[Ticker]]&amp;Table13[[#This Row],[Expiry]]&amp;""&amp;"C"&amp;Table13[[#This Row],[Spot]]+Table13[[#This Row],[step]])</f>
        <v>N/A</v>
      </c>
    </row>
    <row r="370" spans="1:68" x14ac:dyDescent="0.25">
      <c r="A370" s="14">
        <f t="shared" ca="1" si="34"/>
        <v>-126.14810350076104</v>
      </c>
      <c r="C370" s="17"/>
      <c r="D370" t="b">
        <f>IF(
    ISNUMBER(Table13[[#This Row],[Strike]]),RTD("tos.rtd", , "OPEN_INT", "."&amp;Table13[[#This Row],[Ticker]]&amp;Table13[[#This Row],[Expiry]]&amp;""&amp;"C"&amp;Table13[[#This Row],[Strike]]))</f>
        <v>0</v>
      </c>
      <c r="E37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0" t="b">
        <f>IF(     ISNUMBER(Table13[[#This Row],[Strike]]),RTD("tos.rtd", , "DELTA", "."&amp;Table13[[#This Row],[Ticker]]&amp;Table13[[#This Row],[Expiry]]&amp;""&amp;"C"&amp;Table13[[#This Row],[Strike]]))</f>
        <v>0</v>
      </c>
      <c r="H370" s="17" t="b" cm="1">
        <f t="array" ref="H370">IF(
    ISNUMBER(Table13[[#This Row],[Strike]]),IndividualLegIVCore($A$4, Table13[[#This Row],[Strike]], 0.0411, Table13[[#This Row],[T]], ((Table13[[#This Row],[BIDC]]+Table13[[#This Row],[ASKC]])/2), TRUE))</f>
        <v>0</v>
      </c>
      <c r="I370" t="b">
        <f>IF(     ISNUMBER(Table13[[#This Row],[Strike]]),RTD("tos.rtd", , "BID", "."&amp;Table13[[#This Row],[Ticker]]&amp;Table13[[#This Row],[Expiry]]&amp;""&amp;"C"&amp;Table13[[#This Row],[Strike]]))</f>
        <v>0</v>
      </c>
      <c r="J370" t="b">
        <f>IF(     ISNUMBER(Table13[[#This Row],[Strike]]),RTD("tos.rtd", , "ASK", "."&amp;Table13[[#This Row],[Ticker]]&amp;Table13[[#This Row],[Expiry]]&amp;""&amp;"C"&amp;Table13[[#This Row],[Strike]]))</f>
        <v>0</v>
      </c>
      <c r="K37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0" s="17" cm="1">
        <f t="array" aca="1" ref="L37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0" s="1">
        <f t="shared" si="35"/>
        <v>0</v>
      </c>
      <c r="N370" t="b">
        <f t="shared" si="36"/>
        <v>0</v>
      </c>
      <c r="P370" s="17" t="b" cm="1">
        <f t="array" ref="P370">IF(
    ISNUMBER(Table13[[#This Row],[Strike]]),IndividualLegIVCore($A$4, Table13[[#This Row],[Strike]], 0.0411, Table13[[#This Row],[T]], ((Table13[[#This Row],[BIDP]]+Table13[[#This Row],[ASKP]])/2), FALSE))</f>
        <v>0</v>
      </c>
      <c r="Q370" t="b">
        <f>IF(     ISNUMBER(Table13[[#This Row],[Strike]]),RTD("tos.rtd", , "BID", "."&amp;Table13[[#This Row],[Ticker]]&amp;Table13[[#This Row],[Expiry]]&amp;""&amp;"P"&amp;Table13[[#This Row],[Strike]]))</f>
        <v>0</v>
      </c>
      <c r="R370" t="b">
        <f>IF(     ISNUMBER(Table13[[#This Row],[Strike]]),RTD("tos.rtd", , "ASK", "."&amp;Table13[[#This Row],[Ticker]]&amp;Table13[[#This Row],[Expiry]]&amp;""&amp;"P"&amp;Table13[[#This Row],[Strike]]))</f>
        <v>0</v>
      </c>
      <c r="S370" s="17"/>
      <c r="T370" t="b">
        <f>IF(     ISNUMBER(Table13[[#This Row],[Strike]]),RTD("tos.rtd", , "OPEN_INT", "."&amp;Table13[[#This Row],[Ticker]]&amp;Table13[[#This Row],[Expiry]]&amp;""&amp;"P"&amp;Table13[[#This Row],[Strike]]))</f>
        <v>0</v>
      </c>
      <c r="U37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0" t="b">
        <f>IF(     ISNUMBER(Table13[[#This Row],[Strike]]),RTD("tos.rtd", , "DELTA", "."&amp;Table13[[#This Row],[Ticker]]&amp;Table13[[#This Row],[Expiry]]&amp;""&amp;"P"&amp;Table13[[#This Row],[Strike]]))</f>
        <v>0</v>
      </c>
      <c r="Y370" s="19">
        <f>28.5* IF($M$1="NDX", 10, IF(OR($M$1="SPX", $M$1="RUT"), 2, 1))</f>
        <v>57</v>
      </c>
      <c r="Z370">
        <f ca="1">IFERROR(Table13[[#This Row],[call gamma]]*(Table13[[#This Row],[Open.Int]])*$A$4^2,0)</f>
        <v>0</v>
      </c>
      <c r="AA370">
        <f ca="1">IFERROR(((Table13[[#This Row],[Open.Int8]])*Table13[[#This Row],[Put gamma]])*-1*$A$4^2,0)</f>
        <v>0</v>
      </c>
      <c r="AB370">
        <f ca="1">(Table13[[#This Row],[Call Gex]]+Table13[[#This Row],[Put Gex]])</f>
        <v>0</v>
      </c>
      <c r="AC370">
        <f ca="1">Table13[[#This Row],[put delta adj]]+Table13[[#This Row],[call delta adj]]</f>
        <v>0</v>
      </c>
      <c r="AD370">
        <f ca="1">Table13[[#This Row],[Put Gex]]*Table13[[#This Row],[DeltaP]]*-1</f>
        <v>0</v>
      </c>
      <c r="AE370">
        <f ca="1">Table13[[#This Row],[Call Gex]]*Table13[[#This Row],[DeltaC]]</f>
        <v>0</v>
      </c>
      <c r="AF370">
        <f>IF(Table13[[#This Row],[DeltaC]]-ABS(Table13[[#This Row],[DeltaP]])="0","0.01",Table13[[#This Row],[DeltaC]]-ABS(Table13[[#This Row],[DeltaP]]))</f>
        <v>0</v>
      </c>
      <c r="AG370" t="e">
        <f ca="1">((LN($A$4/Table13[[#This Row],[Strike]]) + (0.411 + 0.5 * Table13[[#This Row],[IV Calc P]]^2) *Table13[[#This Row],[T]])) / (Table13[[#This Row],[IV Calc P]] * SQRT(Table13[[#This Row],[T]]))</f>
        <v>#DIV/0!</v>
      </c>
      <c r="AH370" t="e">
        <f ca="1">(LN($A$4/Table13[[#This Row],[Strike]]) + (0.411-0 + 0.5 * Table13[[#This Row],[IV Calc C]]^2) *Table13[[#This Row],[T]]) / (Table13[[#This Row],[IV Calc C]] * SQRT(Table13[[#This Row],[T]]))</f>
        <v>#DIV/0!</v>
      </c>
      <c r="AI370" t="e">
        <f ca="1">(EXP(-(AG370^2)/2)/SQRT(2*PI())*EXP(0*SQRT(Table13[[#This Row],[T]]))/$A$4*18%*SQRT(SQRT(Table13[[#This Row],[T]])))</f>
        <v>#DIV/0!</v>
      </c>
      <c r="AJ370" t="e">
        <f ca="1">(EXP(-(AH370^2)/2)/SQRT(2*PI())*EXP(0*SQRT(Table13[[#This Row],[T]]))/$A$4*18%*SQRT(SQRT(Table13[[#This Row],[T]])))</f>
        <v>#DIV/0!</v>
      </c>
      <c r="AK370" t="e">
        <f ca="1">Table13[[#This Row],[Call D1]]-Table13[[#This Row],[IV Calc C]]*SQRT(Table13[[#This Row],[T]])</f>
        <v>#DIV/0!</v>
      </c>
      <c r="AL370" t="e">
        <f ca="1">Table13[[#This Row],[Put D1]]-Table13[[#This Row],[IV Calc P]]*SQRT(Table13[[#This Row],[T]])</f>
        <v>#DIV/0!</v>
      </c>
      <c r="AM370" t="e">
        <f ca="1">EXP(-0.5*Table13[[#This Row],[Call D1]]^2)/SQRT(2*PI())</f>
        <v>#DIV/0!</v>
      </c>
      <c r="AN370" t="e">
        <f ca="1">EXP(-0.5*Table13[[#This Row],[Put D1]]^2)/SQRT(2*PI())</f>
        <v>#DIV/0!</v>
      </c>
      <c r="AO370">
        <f ca="1">IFERROR((EXP(0*Table13[[#This Row],[T]])*Table13[[#This Row],[call N(d1)]]*(Table13[[#This Row],[call d2]]/Table13[[#This Row],[IV Calc C]]))*Table13[[#This Row],[Open.Int]]*Table13[[#This Row],[DeltaC]],0)</f>
        <v>0</v>
      </c>
      <c r="AP370">
        <f ca="1">IFERROR((EXP(0*Table13[[#This Row],[T]])*Table13[[#This Row],[put N(d1)]]*(Table13[[#This Row],[put d2]]/Table13[[#This Row],[IV Calc P]]))*Table13[[#This Row],[Open.Int8]]*Table13[[#This Row],[DeltaP]]*-1,0)</f>
        <v>0</v>
      </c>
      <c r="AQ370">
        <f ca="1">((Table13[[#This Row],[call vanna]]+Table13[[#This Row],[put vanna]])*$A$4)</f>
        <v>0</v>
      </c>
      <c r="AR37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0" s="9" t="str" cm="1">
        <f t="array" ref="AT370">_xlfn.IFS(     $M$1="SPX","SPXW",     $M$1="RUT","RUTW",  $M$1="NDX","NDXP",   TRUE,$M$1 )</f>
        <v>SPXW</v>
      </c>
      <c r="AU370" s="2">
        <f t="shared" si="37"/>
        <v>6915</v>
      </c>
      <c r="AV370" t="str">
        <f t="shared" si="38"/>
        <v>000100</v>
      </c>
      <c r="AY37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0">
        <f>((Table13[[#This Row],[High C]]+Table13[[#This Row],[Low C]])/2)*Table13[[#This Row],[gammac]]*Table13[[#This Row],[Volume]]</f>
        <v>0</v>
      </c>
      <c r="BD370">
        <f>((Table13[[#This Row],[High P]]+Table13[[#This Row],[Low P]])/2)*Table13[[#This Row],[gammap]]*Table13[[#This Row],[Volume9]]*-1</f>
        <v>0</v>
      </c>
      <c r="BE370">
        <f>(Table13[[#This Row],[SgammaC]]+Table13[[#This Row],[SgammaP]])*$A$4*-100</f>
        <v>0</v>
      </c>
      <c r="BF370">
        <f>Table13[[#This Row],[DEXc]]+Table13[[#This Row],[DEXp]]</f>
        <v>0</v>
      </c>
      <c r="BG370">
        <f>IFERROR(Table13[[#This Row],[DeltaC]]*Table13[[#This Row],[Open.Int]]*$A$4,0)</f>
        <v>0</v>
      </c>
      <c r="BH370">
        <f>IFERROR(Table13[[#This Row],[DeltaP]]*Table13[[#This Row],[Open.Int8]]*$A$4,0)</f>
        <v>0</v>
      </c>
      <c r="BI37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0">
        <f ca="1">Table13[[#This Row],[charmc]]+Table13[[#This Row],[charmp]]</f>
        <v>0</v>
      </c>
      <c r="BL37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0" s="78">
        <f ca="1">Table13[[#This Row],[call helper]]+Table13[[#This Row],[put helper]]</f>
        <v>0</v>
      </c>
      <c r="BP370" t="str">
        <f>RTD("tos.rtd", , "STRIKE", "."&amp;Table13[[#This Row],[Ticker]]&amp;Table13[[#This Row],[Expiry]]&amp;""&amp;"C"&amp;Table13[[#This Row],[Spot]]+Table13[[#This Row],[step]])</f>
        <v>N/A</v>
      </c>
    </row>
    <row r="371" spans="1:68" x14ac:dyDescent="0.25">
      <c r="A371" s="24">
        <f t="shared" ca="1" si="34"/>
        <v>-126.14810350076104</v>
      </c>
      <c r="B371" s="13"/>
      <c r="C371" s="17"/>
      <c r="D371" t="b">
        <f>IF(
    ISNUMBER(Table13[[#This Row],[Strike]]),RTD("tos.rtd", , "OPEN_INT", "."&amp;Table13[[#This Row],[Ticker]]&amp;Table13[[#This Row],[Expiry]]&amp;""&amp;"C"&amp;Table13[[#This Row],[Strike]]))</f>
        <v>0</v>
      </c>
      <c r="E37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1" t="b">
        <f>IF(     ISNUMBER(Table13[[#This Row],[Strike]]),RTD("tos.rtd", , "DELTA", "."&amp;Table13[[#This Row],[Ticker]]&amp;Table13[[#This Row],[Expiry]]&amp;""&amp;"C"&amp;Table13[[#This Row],[Strike]]))</f>
        <v>0</v>
      </c>
      <c r="H371" s="17" t="b" cm="1">
        <f t="array" ref="H371">IF(
    ISNUMBER(Table13[[#This Row],[Strike]]),IndividualLegIVCore($A$4, Table13[[#This Row],[Strike]], 0.0411, Table13[[#This Row],[T]], ((Table13[[#This Row],[BIDC]]+Table13[[#This Row],[ASKC]])/2), TRUE))</f>
        <v>0</v>
      </c>
      <c r="I371" t="b">
        <f>IF(     ISNUMBER(Table13[[#This Row],[Strike]]),RTD("tos.rtd", , "BID", "."&amp;Table13[[#This Row],[Ticker]]&amp;Table13[[#This Row],[Expiry]]&amp;""&amp;"C"&amp;Table13[[#This Row],[Strike]]))</f>
        <v>0</v>
      </c>
      <c r="J371" t="b">
        <f>IF(     ISNUMBER(Table13[[#This Row],[Strike]]),RTD("tos.rtd", , "ASK", "."&amp;Table13[[#This Row],[Ticker]]&amp;Table13[[#This Row],[Expiry]]&amp;""&amp;"C"&amp;Table13[[#This Row],[Strike]]))</f>
        <v>0</v>
      </c>
      <c r="K37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1" s="17" cm="1">
        <f t="array" aca="1" ref="L37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1" s="1">
        <f t="shared" si="35"/>
        <v>0</v>
      </c>
      <c r="N371" t="b">
        <f t="shared" si="36"/>
        <v>0</v>
      </c>
      <c r="P371" s="17" t="b" cm="1">
        <f t="array" ref="P371">IF(
    ISNUMBER(Table13[[#This Row],[Strike]]),IndividualLegIVCore($A$4, Table13[[#This Row],[Strike]], 0.0411, Table13[[#This Row],[T]], ((Table13[[#This Row],[BIDP]]+Table13[[#This Row],[ASKP]])/2), FALSE))</f>
        <v>0</v>
      </c>
      <c r="Q371" t="b">
        <f>IF(     ISNUMBER(Table13[[#This Row],[Strike]]),RTD("tos.rtd", , "BID", "."&amp;Table13[[#This Row],[Ticker]]&amp;Table13[[#This Row],[Expiry]]&amp;""&amp;"P"&amp;Table13[[#This Row],[Strike]]))</f>
        <v>0</v>
      </c>
      <c r="R371" t="b">
        <f>IF(     ISNUMBER(Table13[[#This Row],[Strike]]),RTD("tos.rtd", , "ASK", "."&amp;Table13[[#This Row],[Ticker]]&amp;Table13[[#This Row],[Expiry]]&amp;""&amp;"P"&amp;Table13[[#This Row],[Strike]]))</f>
        <v>0</v>
      </c>
      <c r="S371" s="17"/>
      <c r="T371" t="b">
        <f>IF(     ISNUMBER(Table13[[#This Row],[Strike]]),RTD("tos.rtd", , "OPEN_INT", "."&amp;Table13[[#This Row],[Ticker]]&amp;Table13[[#This Row],[Expiry]]&amp;""&amp;"P"&amp;Table13[[#This Row],[Strike]]))</f>
        <v>0</v>
      </c>
      <c r="U37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1" t="b">
        <f>IF(     ISNUMBER(Table13[[#This Row],[Strike]]),RTD("tos.rtd", , "DELTA", "."&amp;Table13[[#This Row],[Ticker]]&amp;Table13[[#This Row],[Expiry]]&amp;""&amp;"P"&amp;Table13[[#This Row],[Strike]]))</f>
        <v>0</v>
      </c>
      <c r="X371" s="13"/>
      <c r="Y371" s="19">
        <f>29* IF($M$1="NDX", 10, IF(OR($M$1="SPX", $M$1="RUT"), 2, 1))</f>
        <v>58</v>
      </c>
      <c r="Z371">
        <f ca="1">IFERROR(Table13[[#This Row],[call gamma]]*(Table13[[#This Row],[Open.Int]])*$A$4^2,0)</f>
        <v>0</v>
      </c>
      <c r="AA371">
        <f ca="1">IFERROR(((Table13[[#This Row],[Open.Int8]])*Table13[[#This Row],[Put gamma]])*-1*$A$4^2,0)</f>
        <v>0</v>
      </c>
      <c r="AB371">
        <f ca="1">(Table13[[#This Row],[Call Gex]]+Table13[[#This Row],[Put Gex]])</f>
        <v>0</v>
      </c>
      <c r="AC371">
        <f ca="1">Table13[[#This Row],[put delta adj]]+Table13[[#This Row],[call delta adj]]</f>
        <v>0</v>
      </c>
      <c r="AD371">
        <f ca="1">Table13[[#This Row],[Put Gex]]*Table13[[#This Row],[DeltaP]]*-1</f>
        <v>0</v>
      </c>
      <c r="AE371">
        <f ca="1">Table13[[#This Row],[Call Gex]]*Table13[[#This Row],[DeltaC]]</f>
        <v>0</v>
      </c>
      <c r="AF371">
        <f>IF(Table13[[#This Row],[DeltaC]]-ABS(Table13[[#This Row],[DeltaP]])="0","0.01",Table13[[#This Row],[DeltaC]]-ABS(Table13[[#This Row],[DeltaP]]))</f>
        <v>0</v>
      </c>
      <c r="AG371" t="e">
        <f ca="1">((LN($A$4/Table13[[#This Row],[Strike]]) + (0.411 + 0.5 * Table13[[#This Row],[IV Calc P]]^2) *Table13[[#This Row],[T]])) / (Table13[[#This Row],[IV Calc P]] * SQRT(Table13[[#This Row],[T]]))</f>
        <v>#DIV/0!</v>
      </c>
      <c r="AH371" t="e">
        <f ca="1">(LN($A$4/Table13[[#This Row],[Strike]]) + (0.411-0 + 0.5 * Table13[[#This Row],[IV Calc C]]^2) *Table13[[#This Row],[T]]) / (Table13[[#This Row],[IV Calc C]] * SQRT(Table13[[#This Row],[T]]))</f>
        <v>#DIV/0!</v>
      </c>
      <c r="AI371" t="e">
        <f ca="1">(EXP(-(AG371^2)/2)/SQRT(2*PI())*EXP(0*SQRT(Table13[[#This Row],[T]]))/$A$4*18%*SQRT(SQRT(Table13[[#This Row],[T]])))</f>
        <v>#DIV/0!</v>
      </c>
      <c r="AJ371" t="e">
        <f ca="1">(EXP(-(AH371^2)/2)/SQRT(2*PI())*EXP(0*SQRT(Table13[[#This Row],[T]]))/$A$4*18%*SQRT(SQRT(Table13[[#This Row],[T]])))</f>
        <v>#DIV/0!</v>
      </c>
      <c r="AK371" t="e">
        <f ca="1">Table13[[#This Row],[Call D1]]-Table13[[#This Row],[IV Calc C]]*SQRT(Table13[[#This Row],[T]])</f>
        <v>#DIV/0!</v>
      </c>
      <c r="AL371" t="e">
        <f ca="1">Table13[[#This Row],[Put D1]]-Table13[[#This Row],[IV Calc P]]*SQRT(Table13[[#This Row],[T]])</f>
        <v>#DIV/0!</v>
      </c>
      <c r="AM371" t="e">
        <f ca="1">EXP(-0.5*Table13[[#This Row],[Call D1]]^2)/SQRT(2*PI())</f>
        <v>#DIV/0!</v>
      </c>
      <c r="AN371" t="e">
        <f ca="1">EXP(-0.5*Table13[[#This Row],[Put D1]]^2)/SQRT(2*PI())</f>
        <v>#DIV/0!</v>
      </c>
      <c r="AO371">
        <f ca="1">IFERROR((EXP(0*Table13[[#This Row],[T]])*Table13[[#This Row],[call N(d1)]]*(Table13[[#This Row],[call d2]]/Table13[[#This Row],[IV Calc C]]))*Table13[[#This Row],[Open.Int]]*Table13[[#This Row],[DeltaC]],0)</f>
        <v>0</v>
      </c>
      <c r="AP371">
        <f ca="1">IFERROR((EXP(0*Table13[[#This Row],[T]])*Table13[[#This Row],[put N(d1)]]*(Table13[[#This Row],[put d2]]/Table13[[#This Row],[IV Calc P]]))*Table13[[#This Row],[Open.Int8]]*Table13[[#This Row],[DeltaP]]*-1,0)</f>
        <v>0</v>
      </c>
      <c r="AQ371">
        <f ca="1">((Table13[[#This Row],[call vanna]]+Table13[[#This Row],[put vanna]])*$A$4)</f>
        <v>0</v>
      </c>
      <c r="AR37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1" s="22" t="str" cm="1">
        <f t="array" ref="AT371">_xlfn.IFS(     $M$1="SPX","SPXW",     $M$1="RUT","RUTW",  $M$1="NDX","NDXP",   TRUE,$M$1 )</f>
        <v>SPXW</v>
      </c>
      <c r="AU371" s="23">
        <f t="shared" si="37"/>
        <v>6915</v>
      </c>
      <c r="AV371" s="13" t="str">
        <f t="shared" si="38"/>
        <v>000100</v>
      </c>
      <c r="AY37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1">
        <f>((Table13[[#This Row],[High C]]+Table13[[#This Row],[Low C]])/2)*Table13[[#This Row],[gammac]]*Table13[[#This Row],[Volume]]</f>
        <v>0</v>
      </c>
      <c r="BD371">
        <f>((Table13[[#This Row],[High P]]+Table13[[#This Row],[Low P]])/2)*Table13[[#This Row],[gammap]]*Table13[[#This Row],[Volume9]]*-1</f>
        <v>0</v>
      </c>
      <c r="BE371">
        <f>(Table13[[#This Row],[SgammaC]]+Table13[[#This Row],[SgammaP]])*$A$4*-100</f>
        <v>0</v>
      </c>
      <c r="BF371">
        <f>Table13[[#This Row],[DEXc]]+Table13[[#This Row],[DEXp]]</f>
        <v>0</v>
      </c>
      <c r="BG371">
        <f>IFERROR(Table13[[#This Row],[DeltaC]]*Table13[[#This Row],[Open.Int]]*$A$4,0)</f>
        <v>0</v>
      </c>
      <c r="BH371">
        <f>IFERROR(Table13[[#This Row],[DeltaP]]*Table13[[#This Row],[Open.Int8]]*$A$4,0)</f>
        <v>0</v>
      </c>
      <c r="BI37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1">
        <f ca="1">Table13[[#This Row],[charmc]]+Table13[[#This Row],[charmp]]</f>
        <v>0</v>
      </c>
      <c r="BL37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1" s="78">
        <f ca="1">Table13[[#This Row],[call helper]]+Table13[[#This Row],[put helper]]</f>
        <v>0</v>
      </c>
      <c r="BP371" t="str">
        <f>RTD("tos.rtd", , "STRIKE", "."&amp;Table13[[#This Row],[Ticker]]&amp;Table13[[#This Row],[Expiry]]&amp;""&amp;"C"&amp;Table13[[#This Row],[Spot]]+Table13[[#This Row],[step]])</f>
        <v>N/A</v>
      </c>
    </row>
    <row r="372" spans="1:68" x14ac:dyDescent="0.25">
      <c r="A372" s="14">
        <f t="shared" ca="1" si="34"/>
        <v>-126.14810350076104</v>
      </c>
      <c r="C372" s="17"/>
      <c r="D372" t="b">
        <f>IF(
    ISNUMBER(Table13[[#This Row],[Strike]]),RTD("tos.rtd", , "OPEN_INT", "."&amp;Table13[[#This Row],[Ticker]]&amp;Table13[[#This Row],[Expiry]]&amp;""&amp;"C"&amp;Table13[[#This Row],[Strike]]))</f>
        <v>0</v>
      </c>
      <c r="E37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2" t="b">
        <f>IF(     ISNUMBER(Table13[[#This Row],[Strike]]),RTD("tos.rtd", , "DELTA", "."&amp;Table13[[#This Row],[Ticker]]&amp;Table13[[#This Row],[Expiry]]&amp;""&amp;"C"&amp;Table13[[#This Row],[Strike]]))</f>
        <v>0</v>
      </c>
      <c r="H372" s="17" t="b" cm="1">
        <f t="array" ref="H372">IF(
    ISNUMBER(Table13[[#This Row],[Strike]]),IndividualLegIVCore($A$4, Table13[[#This Row],[Strike]], 0.0411, Table13[[#This Row],[T]], ((Table13[[#This Row],[BIDC]]+Table13[[#This Row],[ASKC]])/2), TRUE))</f>
        <v>0</v>
      </c>
      <c r="I372" t="b">
        <f>IF(     ISNUMBER(Table13[[#This Row],[Strike]]),RTD("tos.rtd", , "BID", "."&amp;Table13[[#This Row],[Ticker]]&amp;Table13[[#This Row],[Expiry]]&amp;""&amp;"C"&amp;Table13[[#This Row],[Strike]]))</f>
        <v>0</v>
      </c>
      <c r="J372" t="b">
        <f>IF(     ISNUMBER(Table13[[#This Row],[Strike]]),RTD("tos.rtd", , "ASK", "."&amp;Table13[[#This Row],[Ticker]]&amp;Table13[[#This Row],[Expiry]]&amp;""&amp;"C"&amp;Table13[[#This Row],[Strike]]))</f>
        <v>0</v>
      </c>
      <c r="K37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2" s="17" cm="1">
        <f t="array" aca="1" ref="L37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2" s="1">
        <f t="shared" si="35"/>
        <v>0</v>
      </c>
      <c r="N372" t="b">
        <f t="shared" si="36"/>
        <v>0</v>
      </c>
      <c r="P372" s="17" t="b" cm="1">
        <f t="array" ref="P372">IF(
    ISNUMBER(Table13[[#This Row],[Strike]]),IndividualLegIVCore($A$4, Table13[[#This Row],[Strike]], 0.0411, Table13[[#This Row],[T]], ((Table13[[#This Row],[BIDP]]+Table13[[#This Row],[ASKP]])/2), FALSE))</f>
        <v>0</v>
      </c>
      <c r="Q372" t="b">
        <f>IF(     ISNUMBER(Table13[[#This Row],[Strike]]),RTD("tos.rtd", , "BID", "."&amp;Table13[[#This Row],[Ticker]]&amp;Table13[[#This Row],[Expiry]]&amp;""&amp;"P"&amp;Table13[[#This Row],[Strike]]))</f>
        <v>0</v>
      </c>
      <c r="R372" t="b">
        <f>IF(     ISNUMBER(Table13[[#This Row],[Strike]]),RTD("tos.rtd", , "ASK", "."&amp;Table13[[#This Row],[Ticker]]&amp;Table13[[#This Row],[Expiry]]&amp;""&amp;"P"&amp;Table13[[#This Row],[Strike]]))</f>
        <v>0</v>
      </c>
      <c r="S372" s="17"/>
      <c r="T372" t="b">
        <f>IF(     ISNUMBER(Table13[[#This Row],[Strike]]),RTD("tos.rtd", , "OPEN_INT", "."&amp;Table13[[#This Row],[Ticker]]&amp;Table13[[#This Row],[Expiry]]&amp;""&amp;"P"&amp;Table13[[#This Row],[Strike]]))</f>
        <v>0</v>
      </c>
      <c r="U37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2" t="b">
        <f>IF(     ISNUMBER(Table13[[#This Row],[Strike]]),RTD("tos.rtd", , "DELTA", "."&amp;Table13[[#This Row],[Ticker]]&amp;Table13[[#This Row],[Expiry]]&amp;""&amp;"P"&amp;Table13[[#This Row],[Strike]]))</f>
        <v>0</v>
      </c>
      <c r="Y372" s="19">
        <f>29.5* IF($M$1="NDX", 10, IF(OR($M$1="SPX", $M$1="RUT"), 2, 1))</f>
        <v>59</v>
      </c>
      <c r="Z372">
        <f ca="1">IFERROR(Table13[[#This Row],[call gamma]]*(Table13[[#This Row],[Open.Int]])*$A$4^2,0)</f>
        <v>0</v>
      </c>
      <c r="AA372">
        <f ca="1">IFERROR(((Table13[[#This Row],[Open.Int8]])*Table13[[#This Row],[Put gamma]])*-1*$A$4^2,0)</f>
        <v>0</v>
      </c>
      <c r="AB372">
        <f ca="1">(Table13[[#This Row],[Call Gex]]+Table13[[#This Row],[Put Gex]])</f>
        <v>0</v>
      </c>
      <c r="AC372">
        <f ca="1">Table13[[#This Row],[put delta adj]]+Table13[[#This Row],[call delta adj]]</f>
        <v>0</v>
      </c>
      <c r="AD372">
        <f ca="1">Table13[[#This Row],[Put Gex]]*Table13[[#This Row],[DeltaP]]*-1</f>
        <v>0</v>
      </c>
      <c r="AE372">
        <f ca="1">Table13[[#This Row],[Call Gex]]*Table13[[#This Row],[DeltaC]]</f>
        <v>0</v>
      </c>
      <c r="AF372">
        <f>IF(Table13[[#This Row],[DeltaC]]-ABS(Table13[[#This Row],[DeltaP]])="0","0.01",Table13[[#This Row],[DeltaC]]-ABS(Table13[[#This Row],[DeltaP]]))</f>
        <v>0</v>
      </c>
      <c r="AG372" t="e">
        <f ca="1">((LN($A$4/Table13[[#This Row],[Strike]]) + (0.411 + 0.5 * Table13[[#This Row],[IV Calc P]]^2) *Table13[[#This Row],[T]])) / (Table13[[#This Row],[IV Calc P]] * SQRT(Table13[[#This Row],[T]]))</f>
        <v>#DIV/0!</v>
      </c>
      <c r="AH372" t="e">
        <f ca="1">(LN($A$4/Table13[[#This Row],[Strike]]) + (0.411-0 + 0.5 * Table13[[#This Row],[IV Calc C]]^2) *Table13[[#This Row],[T]]) / (Table13[[#This Row],[IV Calc C]] * SQRT(Table13[[#This Row],[T]]))</f>
        <v>#DIV/0!</v>
      </c>
      <c r="AI372" t="e">
        <f ca="1">(EXP(-(AG372^2)/2)/SQRT(2*PI())*EXP(0*SQRT(Table13[[#This Row],[T]]))/$A$4*18%*SQRT(SQRT(Table13[[#This Row],[T]])))</f>
        <v>#DIV/0!</v>
      </c>
      <c r="AJ372" t="e">
        <f ca="1">(EXP(-(AH372^2)/2)/SQRT(2*PI())*EXP(0*SQRT(Table13[[#This Row],[T]]))/$A$4*18%*SQRT(SQRT(Table13[[#This Row],[T]])))</f>
        <v>#DIV/0!</v>
      </c>
      <c r="AK372" t="e">
        <f ca="1">Table13[[#This Row],[Call D1]]-Table13[[#This Row],[IV Calc C]]*SQRT(Table13[[#This Row],[T]])</f>
        <v>#DIV/0!</v>
      </c>
      <c r="AL372" t="e">
        <f ca="1">Table13[[#This Row],[Put D1]]-Table13[[#This Row],[IV Calc P]]*SQRT(Table13[[#This Row],[T]])</f>
        <v>#DIV/0!</v>
      </c>
      <c r="AM372" t="e">
        <f ca="1">EXP(-0.5*Table13[[#This Row],[Call D1]]^2)/SQRT(2*PI())</f>
        <v>#DIV/0!</v>
      </c>
      <c r="AN372" t="e">
        <f ca="1">EXP(-0.5*Table13[[#This Row],[Put D1]]^2)/SQRT(2*PI())</f>
        <v>#DIV/0!</v>
      </c>
      <c r="AO372">
        <f ca="1">IFERROR((EXP(0*Table13[[#This Row],[T]])*Table13[[#This Row],[call N(d1)]]*(Table13[[#This Row],[call d2]]/Table13[[#This Row],[IV Calc C]]))*Table13[[#This Row],[Open.Int]]*Table13[[#This Row],[DeltaC]],0)</f>
        <v>0</v>
      </c>
      <c r="AP372">
        <f ca="1">IFERROR((EXP(0*Table13[[#This Row],[T]])*Table13[[#This Row],[put N(d1)]]*(Table13[[#This Row],[put d2]]/Table13[[#This Row],[IV Calc P]]))*Table13[[#This Row],[Open.Int8]]*Table13[[#This Row],[DeltaP]]*-1,0)</f>
        <v>0</v>
      </c>
      <c r="AQ372">
        <f ca="1">((Table13[[#This Row],[call vanna]]+Table13[[#This Row],[put vanna]])*$A$4)</f>
        <v>0</v>
      </c>
      <c r="AR37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2" s="9" t="str" cm="1">
        <f t="array" ref="AT372">_xlfn.IFS(     $M$1="SPX","SPXW",     $M$1="RUT","RUTW",  $M$1="NDX","NDXP",   TRUE,$M$1 )</f>
        <v>SPXW</v>
      </c>
      <c r="AU372" s="2">
        <f t="shared" si="37"/>
        <v>6915</v>
      </c>
      <c r="AV372" t="str">
        <f t="shared" si="38"/>
        <v>000100</v>
      </c>
      <c r="AY37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2">
        <f>((Table13[[#This Row],[High C]]+Table13[[#This Row],[Low C]])/2)*Table13[[#This Row],[gammac]]*Table13[[#This Row],[Volume]]</f>
        <v>0</v>
      </c>
      <c r="BD372">
        <f>((Table13[[#This Row],[High P]]+Table13[[#This Row],[Low P]])/2)*Table13[[#This Row],[gammap]]*Table13[[#This Row],[Volume9]]*-1</f>
        <v>0</v>
      </c>
      <c r="BE372">
        <f>(Table13[[#This Row],[SgammaC]]+Table13[[#This Row],[SgammaP]])*$A$4*-100</f>
        <v>0</v>
      </c>
      <c r="BF372">
        <f>Table13[[#This Row],[DEXc]]+Table13[[#This Row],[DEXp]]</f>
        <v>0</v>
      </c>
      <c r="BG372">
        <f>IFERROR(Table13[[#This Row],[DeltaC]]*Table13[[#This Row],[Open.Int]]*$A$4,0)</f>
        <v>0</v>
      </c>
      <c r="BH372">
        <f>IFERROR(Table13[[#This Row],[DeltaP]]*Table13[[#This Row],[Open.Int8]]*$A$4,0)</f>
        <v>0</v>
      </c>
      <c r="BI37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2">
        <f ca="1">Table13[[#This Row],[charmc]]+Table13[[#This Row],[charmp]]</f>
        <v>0</v>
      </c>
      <c r="BL37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2" s="78">
        <f ca="1">Table13[[#This Row],[call helper]]+Table13[[#This Row],[put helper]]</f>
        <v>0</v>
      </c>
      <c r="BP372" t="str">
        <f>RTD("tos.rtd", , "STRIKE", "."&amp;Table13[[#This Row],[Ticker]]&amp;Table13[[#This Row],[Expiry]]&amp;""&amp;"C"&amp;Table13[[#This Row],[Spot]]+Table13[[#This Row],[step]])</f>
        <v>N/A</v>
      </c>
    </row>
    <row r="373" spans="1:68" x14ac:dyDescent="0.25">
      <c r="A373" s="14">
        <f t="shared" ca="1" si="34"/>
        <v>-126.14810350076104</v>
      </c>
      <c r="C373" s="17"/>
      <c r="D373" t="b">
        <f>IF(
    ISNUMBER(Table13[[#This Row],[Strike]]),RTD("tos.rtd", , "OPEN_INT", "."&amp;Table13[[#This Row],[Ticker]]&amp;Table13[[#This Row],[Expiry]]&amp;""&amp;"C"&amp;Table13[[#This Row],[Strike]]))</f>
        <v>0</v>
      </c>
      <c r="E37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3" t="b">
        <f>IF(     ISNUMBER(Table13[[#This Row],[Strike]]),RTD("tos.rtd", , "DELTA", "."&amp;Table13[[#This Row],[Ticker]]&amp;Table13[[#This Row],[Expiry]]&amp;""&amp;"C"&amp;Table13[[#This Row],[Strike]]))</f>
        <v>0</v>
      </c>
      <c r="H373" s="17" t="b" cm="1">
        <f t="array" ref="H373">IF(
    ISNUMBER(Table13[[#This Row],[Strike]]),IndividualLegIVCore($A$4, Table13[[#This Row],[Strike]], 0.0411, Table13[[#This Row],[T]], ((Table13[[#This Row],[BIDC]]+Table13[[#This Row],[ASKC]])/2), TRUE))</f>
        <v>0</v>
      </c>
      <c r="I373" t="b">
        <f>IF(     ISNUMBER(Table13[[#This Row],[Strike]]),RTD("tos.rtd", , "BID", "."&amp;Table13[[#This Row],[Ticker]]&amp;Table13[[#This Row],[Expiry]]&amp;""&amp;"C"&amp;Table13[[#This Row],[Strike]]))</f>
        <v>0</v>
      </c>
      <c r="J373" t="b">
        <f>IF(     ISNUMBER(Table13[[#This Row],[Strike]]),RTD("tos.rtd", , "ASK", "."&amp;Table13[[#This Row],[Ticker]]&amp;Table13[[#This Row],[Expiry]]&amp;""&amp;"C"&amp;Table13[[#This Row],[Strike]]))</f>
        <v>0</v>
      </c>
      <c r="K37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3" s="17" cm="1">
        <f t="array" aca="1" ref="L37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3" s="1">
        <f t="shared" si="35"/>
        <v>0</v>
      </c>
      <c r="N373" t="b">
        <f t="shared" si="36"/>
        <v>0</v>
      </c>
      <c r="P373" s="17" t="b" cm="1">
        <f t="array" ref="P373">IF(
    ISNUMBER(Table13[[#This Row],[Strike]]),IndividualLegIVCore($A$4, Table13[[#This Row],[Strike]], 0.0411, Table13[[#This Row],[T]], ((Table13[[#This Row],[BIDP]]+Table13[[#This Row],[ASKP]])/2), FALSE))</f>
        <v>0</v>
      </c>
      <c r="Q373" t="b">
        <f>IF(     ISNUMBER(Table13[[#This Row],[Strike]]),RTD("tos.rtd", , "BID", "."&amp;Table13[[#This Row],[Ticker]]&amp;Table13[[#This Row],[Expiry]]&amp;""&amp;"P"&amp;Table13[[#This Row],[Strike]]))</f>
        <v>0</v>
      </c>
      <c r="R373" t="b">
        <f>IF(     ISNUMBER(Table13[[#This Row],[Strike]]),RTD("tos.rtd", , "ASK", "."&amp;Table13[[#This Row],[Ticker]]&amp;Table13[[#This Row],[Expiry]]&amp;""&amp;"P"&amp;Table13[[#This Row],[Strike]]))</f>
        <v>0</v>
      </c>
      <c r="S373" s="17"/>
      <c r="T373" t="b">
        <f>IF(     ISNUMBER(Table13[[#This Row],[Strike]]),RTD("tos.rtd", , "OPEN_INT", "."&amp;Table13[[#This Row],[Ticker]]&amp;Table13[[#This Row],[Expiry]]&amp;""&amp;"P"&amp;Table13[[#This Row],[Strike]]))</f>
        <v>0</v>
      </c>
      <c r="U37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3" t="b">
        <f>IF(     ISNUMBER(Table13[[#This Row],[Strike]]),RTD("tos.rtd", , "DELTA", "."&amp;Table13[[#This Row],[Ticker]]&amp;Table13[[#This Row],[Expiry]]&amp;""&amp;"P"&amp;Table13[[#This Row],[Strike]]))</f>
        <v>0</v>
      </c>
      <c r="Y373" s="21">
        <f>30* IF($M$1="NDX", 10, IF(OR($M$1="SPX", $M$1="RUT"), 2, 1))</f>
        <v>60</v>
      </c>
      <c r="Z373">
        <f ca="1">IFERROR(Table13[[#This Row],[call gamma]]*(Table13[[#This Row],[Open.Int]])*$A$4^2,0)</f>
        <v>0</v>
      </c>
      <c r="AA373">
        <f ca="1">IFERROR(((Table13[[#This Row],[Open.Int8]])*Table13[[#This Row],[Put gamma]])*-1*$A$4^2,0)</f>
        <v>0</v>
      </c>
      <c r="AB373">
        <f ca="1">(Table13[[#This Row],[Call Gex]]+Table13[[#This Row],[Put Gex]])</f>
        <v>0</v>
      </c>
      <c r="AC373">
        <f ca="1">Table13[[#This Row],[put delta adj]]+Table13[[#This Row],[call delta adj]]</f>
        <v>0</v>
      </c>
      <c r="AD373">
        <f ca="1">Table13[[#This Row],[Put Gex]]*Table13[[#This Row],[DeltaP]]*-1</f>
        <v>0</v>
      </c>
      <c r="AE373">
        <f ca="1">Table13[[#This Row],[Call Gex]]*Table13[[#This Row],[DeltaC]]</f>
        <v>0</v>
      </c>
      <c r="AF373">
        <f>IF(Table13[[#This Row],[DeltaC]]-ABS(Table13[[#This Row],[DeltaP]])="0","0.01",Table13[[#This Row],[DeltaC]]-ABS(Table13[[#This Row],[DeltaP]]))</f>
        <v>0</v>
      </c>
      <c r="AG373" t="e">
        <f ca="1">((LN($A$4/Table13[[#This Row],[Strike]]) + (0.411 + 0.5 * Table13[[#This Row],[IV Calc P]]^2) *Table13[[#This Row],[T]])) / (Table13[[#This Row],[IV Calc P]] * SQRT(Table13[[#This Row],[T]]))</f>
        <v>#DIV/0!</v>
      </c>
      <c r="AH373" t="e">
        <f ca="1">(LN($A$4/Table13[[#This Row],[Strike]]) + (0.411-0 + 0.5 * Table13[[#This Row],[IV Calc C]]^2) *Table13[[#This Row],[T]]) / (Table13[[#This Row],[IV Calc C]] * SQRT(Table13[[#This Row],[T]]))</f>
        <v>#DIV/0!</v>
      </c>
      <c r="AI373" t="e">
        <f ca="1">(EXP(-(AG373^2)/2)/SQRT(2*PI())*EXP(0*SQRT(Table13[[#This Row],[T]]))/$A$4*18%*SQRT(SQRT(Table13[[#This Row],[T]])))</f>
        <v>#DIV/0!</v>
      </c>
      <c r="AJ373" t="e">
        <f ca="1">(EXP(-(AH373^2)/2)/SQRT(2*PI())*EXP(0*SQRT(Table13[[#This Row],[T]]))/$A$4*18%*SQRT(SQRT(Table13[[#This Row],[T]])))</f>
        <v>#DIV/0!</v>
      </c>
      <c r="AK373" t="e">
        <f ca="1">Table13[[#This Row],[Call D1]]-Table13[[#This Row],[IV Calc C]]*SQRT(Table13[[#This Row],[T]])</f>
        <v>#DIV/0!</v>
      </c>
      <c r="AL373" t="e">
        <f ca="1">Table13[[#This Row],[Put D1]]-Table13[[#This Row],[IV Calc P]]*SQRT(Table13[[#This Row],[T]])</f>
        <v>#DIV/0!</v>
      </c>
      <c r="AM373" t="e">
        <f ca="1">EXP(-0.5*Table13[[#This Row],[Call D1]]^2)/SQRT(2*PI())</f>
        <v>#DIV/0!</v>
      </c>
      <c r="AN373" t="e">
        <f ca="1">EXP(-0.5*Table13[[#This Row],[Put D1]]^2)/SQRT(2*PI())</f>
        <v>#DIV/0!</v>
      </c>
      <c r="AO373">
        <f ca="1">IFERROR((EXP(0*Table13[[#This Row],[T]])*Table13[[#This Row],[call N(d1)]]*(Table13[[#This Row],[call d2]]/Table13[[#This Row],[IV Calc C]]))*Table13[[#This Row],[Open.Int]]*Table13[[#This Row],[DeltaC]],0)</f>
        <v>0</v>
      </c>
      <c r="AP373">
        <f ca="1">IFERROR((EXP(0*Table13[[#This Row],[T]])*Table13[[#This Row],[put N(d1)]]*(Table13[[#This Row],[put d2]]/Table13[[#This Row],[IV Calc P]]))*Table13[[#This Row],[Open.Int8]]*Table13[[#This Row],[DeltaP]]*-1,0)</f>
        <v>0</v>
      </c>
      <c r="AQ373">
        <f ca="1">((Table13[[#This Row],[call vanna]]+Table13[[#This Row],[put vanna]])*$A$4)</f>
        <v>0</v>
      </c>
      <c r="AR37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3" s="9" t="str" cm="1">
        <f t="array" ref="AT373">_xlfn.IFS(     $M$1="SPX","SPXW",     $M$1="RUT","RUTW",  $M$1="NDX","NDXP",   TRUE,$M$1 )</f>
        <v>SPXW</v>
      </c>
      <c r="AU373" s="2">
        <f t="shared" si="37"/>
        <v>6915</v>
      </c>
      <c r="AV373" t="str">
        <f t="shared" si="38"/>
        <v>000100</v>
      </c>
      <c r="AY37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3">
        <f>((Table13[[#This Row],[High C]]+Table13[[#This Row],[Low C]])/2)*Table13[[#This Row],[gammac]]*Table13[[#This Row],[Volume]]</f>
        <v>0</v>
      </c>
      <c r="BD373">
        <f>((Table13[[#This Row],[High P]]+Table13[[#This Row],[Low P]])/2)*Table13[[#This Row],[gammap]]*Table13[[#This Row],[Volume9]]*-1</f>
        <v>0</v>
      </c>
      <c r="BE373">
        <f>(Table13[[#This Row],[SgammaC]]+Table13[[#This Row],[SgammaP]])*$A$4*-100</f>
        <v>0</v>
      </c>
      <c r="BF373">
        <f>Table13[[#This Row],[DEXc]]+Table13[[#This Row],[DEXp]]</f>
        <v>0</v>
      </c>
      <c r="BG373">
        <f>IFERROR(Table13[[#This Row],[DeltaC]]*Table13[[#This Row],[Open.Int]]*$A$4,0)</f>
        <v>0</v>
      </c>
      <c r="BH373">
        <f>IFERROR(Table13[[#This Row],[DeltaP]]*Table13[[#This Row],[Open.Int8]]*$A$4,0)</f>
        <v>0</v>
      </c>
      <c r="BI37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3">
        <f ca="1">Table13[[#This Row],[charmc]]+Table13[[#This Row],[charmp]]</f>
        <v>0</v>
      </c>
      <c r="BL37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3" s="78">
        <f ca="1">Table13[[#This Row],[call helper]]+Table13[[#This Row],[put helper]]</f>
        <v>0</v>
      </c>
      <c r="BP373" t="str">
        <f>RTD("tos.rtd", , "STRIKE", "."&amp;Table13[[#This Row],[Ticker]]&amp;Table13[[#This Row],[Expiry]]&amp;""&amp;"C"&amp;Table13[[#This Row],[Spot]]+Table13[[#This Row],[step]])</f>
        <v>N/A</v>
      </c>
    </row>
    <row r="374" spans="1:68" x14ac:dyDescent="0.25">
      <c r="A374" s="14">
        <f t="shared" ca="1" si="34"/>
        <v>-126.14810350076104</v>
      </c>
      <c r="C374" s="17"/>
      <c r="D374" t="b">
        <f>IF(
    ISNUMBER(Table13[[#This Row],[Strike]]),RTD("tos.rtd", , "OPEN_INT", "."&amp;Table13[[#This Row],[Ticker]]&amp;Table13[[#This Row],[Expiry]]&amp;""&amp;"C"&amp;Table13[[#This Row],[Strike]]))</f>
        <v>0</v>
      </c>
      <c r="E37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4" t="b">
        <f>IF(     ISNUMBER(Table13[[#This Row],[Strike]]),RTD("tos.rtd", , "DELTA", "."&amp;Table13[[#This Row],[Ticker]]&amp;Table13[[#This Row],[Expiry]]&amp;""&amp;"C"&amp;Table13[[#This Row],[Strike]]))</f>
        <v>0</v>
      </c>
      <c r="H374" s="17" t="b" cm="1">
        <f t="array" ref="H374">IF(
    ISNUMBER(Table13[[#This Row],[Strike]]),IndividualLegIVCore($A$4, Table13[[#This Row],[Strike]], 0.0411, Table13[[#This Row],[T]], ((Table13[[#This Row],[BIDC]]+Table13[[#This Row],[ASKC]])/2), TRUE))</f>
        <v>0</v>
      </c>
      <c r="I374" t="b">
        <f>IF(     ISNUMBER(Table13[[#This Row],[Strike]]),RTD("tos.rtd", , "BID", "."&amp;Table13[[#This Row],[Ticker]]&amp;Table13[[#This Row],[Expiry]]&amp;""&amp;"C"&amp;Table13[[#This Row],[Strike]]))</f>
        <v>0</v>
      </c>
      <c r="J374" t="b">
        <f>IF(     ISNUMBER(Table13[[#This Row],[Strike]]),RTD("tos.rtd", , "ASK", "."&amp;Table13[[#This Row],[Ticker]]&amp;Table13[[#This Row],[Expiry]]&amp;""&amp;"C"&amp;Table13[[#This Row],[Strike]]))</f>
        <v>0</v>
      </c>
      <c r="K37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4" s="17" cm="1">
        <f t="array" aca="1" ref="L37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4" s="1">
        <f t="shared" si="35"/>
        <v>0</v>
      </c>
      <c r="N374" t="b">
        <f t="shared" si="36"/>
        <v>0</v>
      </c>
      <c r="P374" s="17" t="b" cm="1">
        <f t="array" ref="P374">IF(
    ISNUMBER(Table13[[#This Row],[Strike]]),IndividualLegIVCore($A$4, Table13[[#This Row],[Strike]], 0.0411, Table13[[#This Row],[T]], ((Table13[[#This Row],[BIDP]]+Table13[[#This Row],[ASKP]])/2), FALSE))</f>
        <v>0</v>
      </c>
      <c r="Q374" t="b">
        <f>IF(     ISNUMBER(Table13[[#This Row],[Strike]]),RTD("tos.rtd", , "BID", "."&amp;Table13[[#This Row],[Ticker]]&amp;Table13[[#This Row],[Expiry]]&amp;""&amp;"P"&amp;Table13[[#This Row],[Strike]]))</f>
        <v>0</v>
      </c>
      <c r="R374" t="b">
        <f>IF(     ISNUMBER(Table13[[#This Row],[Strike]]),RTD("tos.rtd", , "ASK", "."&amp;Table13[[#This Row],[Ticker]]&amp;Table13[[#This Row],[Expiry]]&amp;""&amp;"P"&amp;Table13[[#This Row],[Strike]]))</f>
        <v>0</v>
      </c>
      <c r="S374" s="17"/>
      <c r="T374" t="b">
        <f>IF(     ISNUMBER(Table13[[#This Row],[Strike]]),RTD("tos.rtd", , "OPEN_INT", "."&amp;Table13[[#This Row],[Ticker]]&amp;Table13[[#This Row],[Expiry]]&amp;""&amp;"P"&amp;Table13[[#This Row],[Strike]]))</f>
        <v>0</v>
      </c>
      <c r="U37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4" t="b">
        <f>IF(     ISNUMBER(Table13[[#This Row],[Strike]]),RTD("tos.rtd", , "DELTA", "."&amp;Table13[[#This Row],[Ticker]]&amp;Table13[[#This Row],[Expiry]]&amp;""&amp;"P"&amp;Table13[[#This Row],[Strike]]))</f>
        <v>0</v>
      </c>
      <c r="Y374" s="19">
        <f>30.5* IF($M$1="NDX", 10, IF(OR($M$1="SPX", $M$1="RUT"), 2, 1))</f>
        <v>61</v>
      </c>
      <c r="Z374">
        <f ca="1">IFERROR(Table13[[#This Row],[call gamma]]*(Table13[[#This Row],[Open.Int]])*$A$4^2,0)</f>
        <v>0</v>
      </c>
      <c r="AA374">
        <f ca="1">IFERROR(((Table13[[#This Row],[Open.Int8]])*Table13[[#This Row],[Put gamma]])*-1*$A$4^2,0)</f>
        <v>0</v>
      </c>
      <c r="AB374">
        <f ca="1">(Table13[[#This Row],[Call Gex]]+Table13[[#This Row],[Put Gex]])</f>
        <v>0</v>
      </c>
      <c r="AC374">
        <f ca="1">Table13[[#This Row],[put delta adj]]+Table13[[#This Row],[call delta adj]]</f>
        <v>0</v>
      </c>
      <c r="AD374">
        <f ca="1">Table13[[#This Row],[Put Gex]]*Table13[[#This Row],[DeltaP]]*-1</f>
        <v>0</v>
      </c>
      <c r="AE374">
        <f ca="1">Table13[[#This Row],[Call Gex]]*Table13[[#This Row],[DeltaC]]</f>
        <v>0</v>
      </c>
      <c r="AF374">
        <f>IF(Table13[[#This Row],[DeltaC]]-ABS(Table13[[#This Row],[DeltaP]])="0","0.01",Table13[[#This Row],[DeltaC]]-ABS(Table13[[#This Row],[DeltaP]]))</f>
        <v>0</v>
      </c>
      <c r="AG374" t="e">
        <f ca="1">((LN($A$4/Table13[[#This Row],[Strike]]) + (0.411 + 0.5 * Table13[[#This Row],[IV Calc P]]^2) *Table13[[#This Row],[T]])) / (Table13[[#This Row],[IV Calc P]] * SQRT(Table13[[#This Row],[T]]))</f>
        <v>#DIV/0!</v>
      </c>
      <c r="AH374" t="e">
        <f ca="1">(LN($A$4/Table13[[#This Row],[Strike]]) + (0.411-0 + 0.5 * Table13[[#This Row],[IV Calc C]]^2) *Table13[[#This Row],[T]]) / (Table13[[#This Row],[IV Calc C]] * SQRT(Table13[[#This Row],[T]]))</f>
        <v>#DIV/0!</v>
      </c>
      <c r="AI374" t="e">
        <f ca="1">(EXP(-(AG374^2)/2)/SQRT(2*PI())*EXP(0*SQRT(Table13[[#This Row],[T]]))/$A$4*18%*SQRT(SQRT(Table13[[#This Row],[T]])))</f>
        <v>#DIV/0!</v>
      </c>
      <c r="AJ374" t="e">
        <f ca="1">(EXP(-(AH374^2)/2)/SQRT(2*PI())*EXP(0*SQRT(Table13[[#This Row],[T]]))/$A$4*18%*SQRT(SQRT(Table13[[#This Row],[T]])))</f>
        <v>#DIV/0!</v>
      </c>
      <c r="AK374" t="e">
        <f ca="1">Table13[[#This Row],[Call D1]]-Table13[[#This Row],[IV Calc C]]*SQRT(Table13[[#This Row],[T]])</f>
        <v>#DIV/0!</v>
      </c>
      <c r="AL374" t="e">
        <f ca="1">Table13[[#This Row],[Put D1]]-Table13[[#This Row],[IV Calc P]]*SQRT(Table13[[#This Row],[T]])</f>
        <v>#DIV/0!</v>
      </c>
      <c r="AM374" t="e">
        <f ca="1">EXP(-0.5*Table13[[#This Row],[Call D1]]^2)/SQRT(2*PI())</f>
        <v>#DIV/0!</v>
      </c>
      <c r="AN374" t="e">
        <f ca="1">EXP(-0.5*Table13[[#This Row],[Put D1]]^2)/SQRT(2*PI())</f>
        <v>#DIV/0!</v>
      </c>
      <c r="AO374">
        <f ca="1">IFERROR((EXP(0*Table13[[#This Row],[T]])*Table13[[#This Row],[call N(d1)]]*(Table13[[#This Row],[call d2]]/Table13[[#This Row],[IV Calc C]]))*Table13[[#This Row],[Open.Int]]*Table13[[#This Row],[DeltaC]],0)</f>
        <v>0</v>
      </c>
      <c r="AP374">
        <f ca="1">IFERROR((EXP(0*Table13[[#This Row],[T]])*Table13[[#This Row],[put N(d1)]]*(Table13[[#This Row],[put d2]]/Table13[[#This Row],[IV Calc P]]))*Table13[[#This Row],[Open.Int8]]*Table13[[#This Row],[DeltaP]]*-1,0)</f>
        <v>0</v>
      </c>
      <c r="AQ374">
        <f ca="1">((Table13[[#This Row],[call vanna]]+Table13[[#This Row],[put vanna]])*$A$4)</f>
        <v>0</v>
      </c>
      <c r="AR37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4" s="9" t="str" cm="1">
        <f t="array" ref="AT374">_xlfn.IFS(     $M$1="SPX","SPXW",     $M$1="RUT","RUTW",  $M$1="NDX","NDXP",   TRUE,$M$1 )</f>
        <v>SPXW</v>
      </c>
      <c r="AU374" s="2">
        <f t="shared" si="37"/>
        <v>6915</v>
      </c>
      <c r="AV374" t="str">
        <f t="shared" si="38"/>
        <v>000100</v>
      </c>
      <c r="AY37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4">
        <f>((Table13[[#This Row],[High C]]+Table13[[#This Row],[Low C]])/2)*Table13[[#This Row],[gammac]]*Table13[[#This Row],[Volume]]</f>
        <v>0</v>
      </c>
      <c r="BD374">
        <f>((Table13[[#This Row],[High P]]+Table13[[#This Row],[Low P]])/2)*Table13[[#This Row],[gammap]]*Table13[[#This Row],[Volume9]]*-1</f>
        <v>0</v>
      </c>
      <c r="BE374">
        <f>(Table13[[#This Row],[SgammaC]]+Table13[[#This Row],[SgammaP]])*$A$4*-100</f>
        <v>0</v>
      </c>
      <c r="BF374">
        <f>Table13[[#This Row],[DEXc]]+Table13[[#This Row],[DEXp]]</f>
        <v>0</v>
      </c>
      <c r="BG374">
        <f>IFERROR(Table13[[#This Row],[DeltaC]]*Table13[[#This Row],[Open.Int]]*$A$4,0)</f>
        <v>0</v>
      </c>
      <c r="BH374">
        <f>IFERROR(Table13[[#This Row],[DeltaP]]*Table13[[#This Row],[Open.Int8]]*$A$4,0)</f>
        <v>0</v>
      </c>
      <c r="BI37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4">
        <f ca="1">Table13[[#This Row],[charmc]]+Table13[[#This Row],[charmp]]</f>
        <v>0</v>
      </c>
      <c r="BL37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4" s="78">
        <f ca="1">Table13[[#This Row],[call helper]]+Table13[[#This Row],[put helper]]</f>
        <v>0</v>
      </c>
      <c r="BP374" t="str">
        <f>RTD("tos.rtd", , "STRIKE", "."&amp;Table13[[#This Row],[Ticker]]&amp;Table13[[#This Row],[Expiry]]&amp;""&amp;"C"&amp;Table13[[#This Row],[Spot]]+Table13[[#This Row],[step]])</f>
        <v>N/A</v>
      </c>
    </row>
    <row r="375" spans="1:68" x14ac:dyDescent="0.25">
      <c r="A375" s="14">
        <f t="shared" ca="1" si="34"/>
        <v>-126.14810350076104</v>
      </c>
      <c r="C375" s="17"/>
      <c r="D375" t="b">
        <f>IF(
    ISNUMBER(Table13[[#This Row],[Strike]]),RTD("tos.rtd", , "OPEN_INT", "."&amp;Table13[[#This Row],[Ticker]]&amp;Table13[[#This Row],[Expiry]]&amp;""&amp;"C"&amp;Table13[[#This Row],[Strike]]))</f>
        <v>0</v>
      </c>
      <c r="E37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5" t="b">
        <f>IF(     ISNUMBER(Table13[[#This Row],[Strike]]),RTD("tos.rtd", , "DELTA", "."&amp;Table13[[#This Row],[Ticker]]&amp;Table13[[#This Row],[Expiry]]&amp;""&amp;"C"&amp;Table13[[#This Row],[Strike]]))</f>
        <v>0</v>
      </c>
      <c r="H375" s="17" t="b" cm="1">
        <f t="array" ref="H375">IF(
    ISNUMBER(Table13[[#This Row],[Strike]]),IndividualLegIVCore($A$4, Table13[[#This Row],[Strike]], 0.0411, Table13[[#This Row],[T]], ((Table13[[#This Row],[BIDC]]+Table13[[#This Row],[ASKC]])/2), TRUE))</f>
        <v>0</v>
      </c>
      <c r="I375" t="b">
        <f>IF(     ISNUMBER(Table13[[#This Row],[Strike]]),RTD("tos.rtd", , "BID", "."&amp;Table13[[#This Row],[Ticker]]&amp;Table13[[#This Row],[Expiry]]&amp;""&amp;"C"&amp;Table13[[#This Row],[Strike]]))</f>
        <v>0</v>
      </c>
      <c r="J375" t="b">
        <f>IF(     ISNUMBER(Table13[[#This Row],[Strike]]),RTD("tos.rtd", , "ASK", "."&amp;Table13[[#This Row],[Ticker]]&amp;Table13[[#This Row],[Expiry]]&amp;""&amp;"C"&amp;Table13[[#This Row],[Strike]]))</f>
        <v>0</v>
      </c>
      <c r="K37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5" s="17" cm="1">
        <f t="array" aca="1" ref="L37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5" s="1">
        <f t="shared" si="35"/>
        <v>0</v>
      </c>
      <c r="N375" t="b">
        <f t="shared" si="36"/>
        <v>0</v>
      </c>
      <c r="P375" s="17" t="b" cm="1">
        <f t="array" ref="P375">IF(
    ISNUMBER(Table13[[#This Row],[Strike]]),IndividualLegIVCore($A$4, Table13[[#This Row],[Strike]], 0.0411, Table13[[#This Row],[T]], ((Table13[[#This Row],[BIDP]]+Table13[[#This Row],[ASKP]])/2), FALSE))</f>
        <v>0</v>
      </c>
      <c r="Q375" t="b">
        <f>IF(     ISNUMBER(Table13[[#This Row],[Strike]]),RTD("tos.rtd", , "BID", "."&amp;Table13[[#This Row],[Ticker]]&amp;Table13[[#This Row],[Expiry]]&amp;""&amp;"P"&amp;Table13[[#This Row],[Strike]]))</f>
        <v>0</v>
      </c>
      <c r="R375" t="b">
        <f>IF(     ISNUMBER(Table13[[#This Row],[Strike]]),RTD("tos.rtd", , "ASK", "."&amp;Table13[[#This Row],[Ticker]]&amp;Table13[[#This Row],[Expiry]]&amp;""&amp;"P"&amp;Table13[[#This Row],[Strike]]))</f>
        <v>0</v>
      </c>
      <c r="S375" s="17"/>
      <c r="T375" t="b">
        <f>IF(     ISNUMBER(Table13[[#This Row],[Strike]]),RTD("tos.rtd", , "OPEN_INT", "."&amp;Table13[[#This Row],[Ticker]]&amp;Table13[[#This Row],[Expiry]]&amp;""&amp;"P"&amp;Table13[[#This Row],[Strike]]))</f>
        <v>0</v>
      </c>
      <c r="U37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5" t="b">
        <f>IF(     ISNUMBER(Table13[[#This Row],[Strike]]),RTD("tos.rtd", , "DELTA", "."&amp;Table13[[#This Row],[Ticker]]&amp;Table13[[#This Row],[Expiry]]&amp;""&amp;"P"&amp;Table13[[#This Row],[Strike]]))</f>
        <v>0</v>
      </c>
      <c r="Y375" s="19">
        <f>31* IF($M$1="NDX", 10, IF(OR($M$1="SPX", $M$1="RUT"), 2, 1))</f>
        <v>62</v>
      </c>
      <c r="Z375">
        <f ca="1">IFERROR(Table13[[#This Row],[call gamma]]*(Table13[[#This Row],[Open.Int]])*$A$4^2,0)</f>
        <v>0</v>
      </c>
      <c r="AA375">
        <f ca="1">IFERROR(((Table13[[#This Row],[Open.Int8]])*Table13[[#This Row],[Put gamma]])*-1*$A$4^2,0)</f>
        <v>0</v>
      </c>
      <c r="AB375">
        <f ca="1">(Table13[[#This Row],[Call Gex]]+Table13[[#This Row],[Put Gex]])</f>
        <v>0</v>
      </c>
      <c r="AC375">
        <f ca="1">Table13[[#This Row],[put delta adj]]+Table13[[#This Row],[call delta adj]]</f>
        <v>0</v>
      </c>
      <c r="AD375">
        <f ca="1">Table13[[#This Row],[Put Gex]]*Table13[[#This Row],[DeltaP]]*-1</f>
        <v>0</v>
      </c>
      <c r="AE375">
        <f ca="1">Table13[[#This Row],[Call Gex]]*Table13[[#This Row],[DeltaC]]</f>
        <v>0</v>
      </c>
      <c r="AF375">
        <f>IF(Table13[[#This Row],[DeltaC]]-ABS(Table13[[#This Row],[DeltaP]])="0","0.01",Table13[[#This Row],[DeltaC]]-ABS(Table13[[#This Row],[DeltaP]]))</f>
        <v>0</v>
      </c>
      <c r="AG375" t="e">
        <f ca="1">((LN($A$4/Table13[[#This Row],[Strike]]) + (0.411 + 0.5 * Table13[[#This Row],[IV Calc P]]^2) *Table13[[#This Row],[T]])) / (Table13[[#This Row],[IV Calc P]] * SQRT(Table13[[#This Row],[T]]))</f>
        <v>#DIV/0!</v>
      </c>
      <c r="AH375" t="e">
        <f ca="1">(LN($A$4/Table13[[#This Row],[Strike]]) + (0.411-0 + 0.5 * Table13[[#This Row],[IV Calc C]]^2) *Table13[[#This Row],[T]]) / (Table13[[#This Row],[IV Calc C]] * SQRT(Table13[[#This Row],[T]]))</f>
        <v>#DIV/0!</v>
      </c>
      <c r="AI375" t="e">
        <f ca="1">(EXP(-(AG375^2)/2)/SQRT(2*PI())*EXP(0*SQRT(Table13[[#This Row],[T]]))/$A$4*18%*SQRT(SQRT(Table13[[#This Row],[T]])))</f>
        <v>#DIV/0!</v>
      </c>
      <c r="AJ375" t="e">
        <f ca="1">(EXP(-(AH375^2)/2)/SQRT(2*PI())*EXP(0*SQRT(Table13[[#This Row],[T]]))/$A$4*18%*SQRT(SQRT(Table13[[#This Row],[T]])))</f>
        <v>#DIV/0!</v>
      </c>
      <c r="AK375" t="e">
        <f ca="1">Table13[[#This Row],[Call D1]]-Table13[[#This Row],[IV Calc C]]*SQRT(Table13[[#This Row],[T]])</f>
        <v>#DIV/0!</v>
      </c>
      <c r="AL375" t="e">
        <f ca="1">Table13[[#This Row],[Put D1]]-Table13[[#This Row],[IV Calc P]]*SQRT(Table13[[#This Row],[T]])</f>
        <v>#DIV/0!</v>
      </c>
      <c r="AM375" t="e">
        <f ca="1">EXP(-0.5*Table13[[#This Row],[Call D1]]^2)/SQRT(2*PI())</f>
        <v>#DIV/0!</v>
      </c>
      <c r="AN375" t="e">
        <f ca="1">EXP(-0.5*Table13[[#This Row],[Put D1]]^2)/SQRT(2*PI())</f>
        <v>#DIV/0!</v>
      </c>
      <c r="AO375">
        <f ca="1">IFERROR((EXP(0*Table13[[#This Row],[T]])*Table13[[#This Row],[call N(d1)]]*(Table13[[#This Row],[call d2]]/Table13[[#This Row],[IV Calc C]]))*Table13[[#This Row],[Open.Int]]*Table13[[#This Row],[DeltaC]],0)</f>
        <v>0</v>
      </c>
      <c r="AP375">
        <f ca="1">IFERROR((EXP(0*Table13[[#This Row],[T]])*Table13[[#This Row],[put N(d1)]]*(Table13[[#This Row],[put d2]]/Table13[[#This Row],[IV Calc P]]))*Table13[[#This Row],[Open.Int8]]*Table13[[#This Row],[DeltaP]]*-1,0)</f>
        <v>0</v>
      </c>
      <c r="AQ375">
        <f ca="1">((Table13[[#This Row],[call vanna]]+Table13[[#This Row],[put vanna]])*$A$4)</f>
        <v>0</v>
      </c>
      <c r="AR37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5" s="9" t="str" cm="1">
        <f t="array" ref="AT375">_xlfn.IFS(     $M$1="SPX","SPXW",     $M$1="RUT","RUTW",  $M$1="NDX","NDXP",   TRUE,$M$1 )</f>
        <v>SPXW</v>
      </c>
      <c r="AU375" s="2">
        <f t="shared" si="37"/>
        <v>6915</v>
      </c>
      <c r="AV375" t="str">
        <f t="shared" si="38"/>
        <v>000100</v>
      </c>
      <c r="AY37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5">
        <f>((Table13[[#This Row],[High C]]+Table13[[#This Row],[Low C]])/2)*Table13[[#This Row],[gammac]]*Table13[[#This Row],[Volume]]</f>
        <v>0</v>
      </c>
      <c r="BD375">
        <f>((Table13[[#This Row],[High P]]+Table13[[#This Row],[Low P]])/2)*Table13[[#This Row],[gammap]]*Table13[[#This Row],[Volume9]]*-1</f>
        <v>0</v>
      </c>
      <c r="BE375">
        <f>(Table13[[#This Row],[SgammaC]]+Table13[[#This Row],[SgammaP]])*$A$4*-100</f>
        <v>0</v>
      </c>
      <c r="BF375">
        <f>Table13[[#This Row],[DEXc]]+Table13[[#This Row],[DEXp]]</f>
        <v>0</v>
      </c>
      <c r="BG375">
        <f>IFERROR(Table13[[#This Row],[DeltaC]]*Table13[[#This Row],[Open.Int]]*$A$4,0)</f>
        <v>0</v>
      </c>
      <c r="BH375">
        <f>IFERROR(Table13[[#This Row],[DeltaP]]*Table13[[#This Row],[Open.Int8]]*$A$4,0)</f>
        <v>0</v>
      </c>
      <c r="BI37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5">
        <f ca="1">Table13[[#This Row],[charmc]]+Table13[[#This Row],[charmp]]</f>
        <v>0</v>
      </c>
      <c r="BL37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5" s="78">
        <f ca="1">Table13[[#This Row],[call helper]]+Table13[[#This Row],[put helper]]</f>
        <v>0</v>
      </c>
      <c r="BP375" t="str">
        <f>RTD("tos.rtd", , "STRIKE", "."&amp;Table13[[#This Row],[Ticker]]&amp;Table13[[#This Row],[Expiry]]&amp;""&amp;"C"&amp;Table13[[#This Row],[Spot]]+Table13[[#This Row],[step]])</f>
        <v>N/A</v>
      </c>
    </row>
    <row r="376" spans="1:68" x14ac:dyDescent="0.25">
      <c r="A376" s="14">
        <f t="shared" ca="1" si="34"/>
        <v>-126.14810350076104</v>
      </c>
      <c r="C376" s="17"/>
      <c r="D376" t="b">
        <f>IF(
    ISNUMBER(Table13[[#This Row],[Strike]]),RTD("tos.rtd", , "OPEN_INT", "."&amp;Table13[[#This Row],[Ticker]]&amp;Table13[[#This Row],[Expiry]]&amp;""&amp;"C"&amp;Table13[[#This Row],[Strike]]))</f>
        <v>0</v>
      </c>
      <c r="E37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6" t="b">
        <f>IF(     ISNUMBER(Table13[[#This Row],[Strike]]),RTD("tos.rtd", , "DELTA", "."&amp;Table13[[#This Row],[Ticker]]&amp;Table13[[#This Row],[Expiry]]&amp;""&amp;"C"&amp;Table13[[#This Row],[Strike]]))</f>
        <v>0</v>
      </c>
      <c r="H376" s="17" t="b" cm="1">
        <f t="array" ref="H376">IF(
    ISNUMBER(Table13[[#This Row],[Strike]]),IndividualLegIVCore($A$4, Table13[[#This Row],[Strike]], 0.0411, Table13[[#This Row],[T]], ((Table13[[#This Row],[BIDC]]+Table13[[#This Row],[ASKC]])/2), TRUE))</f>
        <v>0</v>
      </c>
      <c r="I376" t="b">
        <f>IF(     ISNUMBER(Table13[[#This Row],[Strike]]),RTD("tos.rtd", , "BID", "."&amp;Table13[[#This Row],[Ticker]]&amp;Table13[[#This Row],[Expiry]]&amp;""&amp;"C"&amp;Table13[[#This Row],[Strike]]))</f>
        <v>0</v>
      </c>
      <c r="J376" t="b">
        <f>IF(     ISNUMBER(Table13[[#This Row],[Strike]]),RTD("tos.rtd", , "ASK", "."&amp;Table13[[#This Row],[Ticker]]&amp;Table13[[#This Row],[Expiry]]&amp;""&amp;"C"&amp;Table13[[#This Row],[Strike]]))</f>
        <v>0</v>
      </c>
      <c r="K37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6" s="17" cm="1">
        <f t="array" aca="1" ref="L37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6" s="1">
        <f t="shared" si="35"/>
        <v>0</v>
      </c>
      <c r="N376" t="b">
        <f t="shared" si="36"/>
        <v>0</v>
      </c>
      <c r="P376" s="17" t="b" cm="1">
        <f t="array" ref="P376">IF(
    ISNUMBER(Table13[[#This Row],[Strike]]),IndividualLegIVCore($A$4, Table13[[#This Row],[Strike]], 0.0411, Table13[[#This Row],[T]], ((Table13[[#This Row],[BIDP]]+Table13[[#This Row],[ASKP]])/2), FALSE))</f>
        <v>0</v>
      </c>
      <c r="Q376" t="b">
        <f>IF(     ISNUMBER(Table13[[#This Row],[Strike]]),RTD("tos.rtd", , "BID", "."&amp;Table13[[#This Row],[Ticker]]&amp;Table13[[#This Row],[Expiry]]&amp;""&amp;"P"&amp;Table13[[#This Row],[Strike]]))</f>
        <v>0</v>
      </c>
      <c r="R376" t="b">
        <f>IF(     ISNUMBER(Table13[[#This Row],[Strike]]),RTD("tos.rtd", , "ASK", "."&amp;Table13[[#This Row],[Ticker]]&amp;Table13[[#This Row],[Expiry]]&amp;""&amp;"P"&amp;Table13[[#This Row],[Strike]]))</f>
        <v>0</v>
      </c>
      <c r="S376" s="17"/>
      <c r="T376" t="b">
        <f>IF(     ISNUMBER(Table13[[#This Row],[Strike]]),RTD("tos.rtd", , "OPEN_INT", "."&amp;Table13[[#This Row],[Ticker]]&amp;Table13[[#This Row],[Expiry]]&amp;""&amp;"P"&amp;Table13[[#This Row],[Strike]]))</f>
        <v>0</v>
      </c>
      <c r="U37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6" t="b">
        <f>IF(     ISNUMBER(Table13[[#This Row],[Strike]]),RTD("tos.rtd", , "DELTA", "."&amp;Table13[[#This Row],[Ticker]]&amp;Table13[[#This Row],[Expiry]]&amp;""&amp;"P"&amp;Table13[[#This Row],[Strike]]))</f>
        <v>0</v>
      </c>
      <c r="Y376" s="19">
        <f>31.5* IF($M$1="NDX", 10, IF(OR($M$1="SPX", $M$1="RUT"), 2, 1))</f>
        <v>63</v>
      </c>
      <c r="Z376">
        <f ca="1">IFERROR(Table13[[#This Row],[call gamma]]*(Table13[[#This Row],[Open.Int]])*$A$4^2,0)</f>
        <v>0</v>
      </c>
      <c r="AA376">
        <f ca="1">IFERROR(((Table13[[#This Row],[Open.Int8]])*Table13[[#This Row],[Put gamma]])*-1*$A$4^2,0)</f>
        <v>0</v>
      </c>
      <c r="AB376">
        <f ca="1">(Table13[[#This Row],[Call Gex]]+Table13[[#This Row],[Put Gex]])</f>
        <v>0</v>
      </c>
      <c r="AC376">
        <f ca="1">Table13[[#This Row],[put delta adj]]+Table13[[#This Row],[call delta adj]]</f>
        <v>0</v>
      </c>
      <c r="AD376">
        <f ca="1">Table13[[#This Row],[Put Gex]]*Table13[[#This Row],[DeltaP]]*-1</f>
        <v>0</v>
      </c>
      <c r="AE376">
        <f ca="1">Table13[[#This Row],[Call Gex]]*Table13[[#This Row],[DeltaC]]</f>
        <v>0</v>
      </c>
      <c r="AF376">
        <f>IF(Table13[[#This Row],[DeltaC]]-ABS(Table13[[#This Row],[DeltaP]])="0","0.01",Table13[[#This Row],[DeltaC]]-ABS(Table13[[#This Row],[DeltaP]]))</f>
        <v>0</v>
      </c>
      <c r="AG376" t="e">
        <f ca="1">((LN($A$4/Table13[[#This Row],[Strike]]) + (0.411 + 0.5 * Table13[[#This Row],[IV Calc P]]^2) *Table13[[#This Row],[T]])) / (Table13[[#This Row],[IV Calc P]] * SQRT(Table13[[#This Row],[T]]))</f>
        <v>#DIV/0!</v>
      </c>
      <c r="AH376" t="e">
        <f ca="1">(LN($A$4/Table13[[#This Row],[Strike]]) + (0.411-0 + 0.5 * Table13[[#This Row],[IV Calc C]]^2) *Table13[[#This Row],[T]]) / (Table13[[#This Row],[IV Calc C]] * SQRT(Table13[[#This Row],[T]]))</f>
        <v>#DIV/0!</v>
      </c>
      <c r="AI376" t="e">
        <f ca="1">(EXP(-(AG376^2)/2)/SQRT(2*PI())*EXP(0*SQRT(Table13[[#This Row],[T]]))/$A$4*18%*SQRT(SQRT(Table13[[#This Row],[T]])))</f>
        <v>#DIV/0!</v>
      </c>
      <c r="AJ376" t="e">
        <f ca="1">(EXP(-(AH376^2)/2)/SQRT(2*PI())*EXP(0*SQRT(Table13[[#This Row],[T]]))/$A$4*18%*SQRT(SQRT(Table13[[#This Row],[T]])))</f>
        <v>#DIV/0!</v>
      </c>
      <c r="AK376" t="e">
        <f ca="1">Table13[[#This Row],[Call D1]]-Table13[[#This Row],[IV Calc C]]*SQRT(Table13[[#This Row],[T]])</f>
        <v>#DIV/0!</v>
      </c>
      <c r="AL376" t="e">
        <f ca="1">Table13[[#This Row],[Put D1]]-Table13[[#This Row],[IV Calc P]]*SQRT(Table13[[#This Row],[T]])</f>
        <v>#DIV/0!</v>
      </c>
      <c r="AM376" t="e">
        <f ca="1">EXP(-0.5*Table13[[#This Row],[Call D1]]^2)/SQRT(2*PI())</f>
        <v>#DIV/0!</v>
      </c>
      <c r="AN376" t="e">
        <f ca="1">EXP(-0.5*Table13[[#This Row],[Put D1]]^2)/SQRT(2*PI())</f>
        <v>#DIV/0!</v>
      </c>
      <c r="AO376">
        <f ca="1">IFERROR((EXP(0*Table13[[#This Row],[T]])*Table13[[#This Row],[call N(d1)]]*(Table13[[#This Row],[call d2]]/Table13[[#This Row],[IV Calc C]]))*Table13[[#This Row],[Open.Int]]*Table13[[#This Row],[DeltaC]],0)</f>
        <v>0</v>
      </c>
      <c r="AP376">
        <f ca="1">IFERROR((EXP(0*Table13[[#This Row],[T]])*Table13[[#This Row],[put N(d1)]]*(Table13[[#This Row],[put d2]]/Table13[[#This Row],[IV Calc P]]))*Table13[[#This Row],[Open.Int8]]*Table13[[#This Row],[DeltaP]]*-1,0)</f>
        <v>0</v>
      </c>
      <c r="AQ376">
        <f ca="1">((Table13[[#This Row],[call vanna]]+Table13[[#This Row],[put vanna]])*$A$4)</f>
        <v>0</v>
      </c>
      <c r="AR37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6" s="9" t="str" cm="1">
        <f t="array" ref="AT376">_xlfn.IFS(     $M$1="SPX","SPXW",     $M$1="RUT","RUTW",  $M$1="NDX","NDXP",   TRUE,$M$1 )</f>
        <v>SPXW</v>
      </c>
      <c r="AU376" s="2">
        <f t="shared" si="37"/>
        <v>6915</v>
      </c>
      <c r="AV376" t="str">
        <f t="shared" si="38"/>
        <v>000100</v>
      </c>
      <c r="AY37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6">
        <f>((Table13[[#This Row],[High C]]+Table13[[#This Row],[Low C]])/2)*Table13[[#This Row],[gammac]]*Table13[[#This Row],[Volume]]</f>
        <v>0</v>
      </c>
      <c r="BD376">
        <f>((Table13[[#This Row],[High P]]+Table13[[#This Row],[Low P]])/2)*Table13[[#This Row],[gammap]]*Table13[[#This Row],[Volume9]]*-1</f>
        <v>0</v>
      </c>
      <c r="BE376">
        <f>(Table13[[#This Row],[SgammaC]]+Table13[[#This Row],[SgammaP]])*$A$4*-100</f>
        <v>0</v>
      </c>
      <c r="BF376">
        <f>Table13[[#This Row],[DEXc]]+Table13[[#This Row],[DEXp]]</f>
        <v>0</v>
      </c>
      <c r="BG376">
        <f>IFERROR(Table13[[#This Row],[DeltaC]]*Table13[[#This Row],[Open.Int]]*$A$4,0)</f>
        <v>0</v>
      </c>
      <c r="BH376">
        <f>IFERROR(Table13[[#This Row],[DeltaP]]*Table13[[#This Row],[Open.Int8]]*$A$4,0)</f>
        <v>0</v>
      </c>
      <c r="BI37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6">
        <f ca="1">Table13[[#This Row],[charmc]]+Table13[[#This Row],[charmp]]</f>
        <v>0</v>
      </c>
      <c r="BL37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6" s="78">
        <f ca="1">Table13[[#This Row],[call helper]]+Table13[[#This Row],[put helper]]</f>
        <v>0</v>
      </c>
      <c r="BP376" t="str">
        <f>RTD("tos.rtd", , "STRIKE", "."&amp;Table13[[#This Row],[Ticker]]&amp;Table13[[#This Row],[Expiry]]&amp;""&amp;"C"&amp;Table13[[#This Row],[Spot]]+Table13[[#This Row],[step]])</f>
        <v>N/A</v>
      </c>
    </row>
    <row r="377" spans="1:68" x14ac:dyDescent="0.25">
      <c r="A377" s="14">
        <f t="shared" ca="1" si="34"/>
        <v>-126.14810350076104</v>
      </c>
      <c r="C377" s="17"/>
      <c r="D377" t="b">
        <f>IF(
    ISNUMBER(Table13[[#This Row],[Strike]]),RTD("tos.rtd", , "OPEN_INT", "."&amp;Table13[[#This Row],[Ticker]]&amp;Table13[[#This Row],[Expiry]]&amp;""&amp;"C"&amp;Table13[[#This Row],[Strike]]))</f>
        <v>0</v>
      </c>
      <c r="E37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7" t="b">
        <f>IF(     ISNUMBER(Table13[[#This Row],[Strike]]),RTD("tos.rtd", , "DELTA", "."&amp;Table13[[#This Row],[Ticker]]&amp;Table13[[#This Row],[Expiry]]&amp;""&amp;"C"&amp;Table13[[#This Row],[Strike]]))</f>
        <v>0</v>
      </c>
      <c r="H377" s="17" t="b" cm="1">
        <f t="array" ref="H377">IF(
    ISNUMBER(Table13[[#This Row],[Strike]]),IndividualLegIVCore($A$4, Table13[[#This Row],[Strike]], 0.0411, Table13[[#This Row],[T]], ((Table13[[#This Row],[BIDC]]+Table13[[#This Row],[ASKC]])/2), TRUE))</f>
        <v>0</v>
      </c>
      <c r="I377" t="b">
        <f>IF(     ISNUMBER(Table13[[#This Row],[Strike]]),RTD("tos.rtd", , "BID", "."&amp;Table13[[#This Row],[Ticker]]&amp;Table13[[#This Row],[Expiry]]&amp;""&amp;"C"&amp;Table13[[#This Row],[Strike]]))</f>
        <v>0</v>
      </c>
      <c r="J377" t="b">
        <f>IF(     ISNUMBER(Table13[[#This Row],[Strike]]),RTD("tos.rtd", , "ASK", "."&amp;Table13[[#This Row],[Ticker]]&amp;Table13[[#This Row],[Expiry]]&amp;""&amp;"C"&amp;Table13[[#This Row],[Strike]]))</f>
        <v>0</v>
      </c>
      <c r="K37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7" s="17" cm="1">
        <f t="array" aca="1" ref="L37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7" s="1">
        <f t="shared" si="35"/>
        <v>0</v>
      </c>
      <c r="N377" t="b">
        <f t="shared" si="36"/>
        <v>0</v>
      </c>
      <c r="P377" s="17" t="b" cm="1">
        <f t="array" ref="P377">IF(
    ISNUMBER(Table13[[#This Row],[Strike]]),IndividualLegIVCore($A$4, Table13[[#This Row],[Strike]], 0.0411, Table13[[#This Row],[T]], ((Table13[[#This Row],[BIDP]]+Table13[[#This Row],[ASKP]])/2), FALSE))</f>
        <v>0</v>
      </c>
      <c r="Q377" t="b">
        <f>IF(     ISNUMBER(Table13[[#This Row],[Strike]]),RTD("tos.rtd", , "BID", "."&amp;Table13[[#This Row],[Ticker]]&amp;Table13[[#This Row],[Expiry]]&amp;""&amp;"P"&amp;Table13[[#This Row],[Strike]]))</f>
        <v>0</v>
      </c>
      <c r="R377" t="b">
        <f>IF(     ISNUMBER(Table13[[#This Row],[Strike]]),RTD("tos.rtd", , "ASK", "."&amp;Table13[[#This Row],[Ticker]]&amp;Table13[[#This Row],[Expiry]]&amp;""&amp;"P"&amp;Table13[[#This Row],[Strike]]))</f>
        <v>0</v>
      </c>
      <c r="S377" s="17"/>
      <c r="T377" t="b">
        <f>IF(     ISNUMBER(Table13[[#This Row],[Strike]]),RTD("tos.rtd", , "OPEN_INT", "."&amp;Table13[[#This Row],[Ticker]]&amp;Table13[[#This Row],[Expiry]]&amp;""&amp;"P"&amp;Table13[[#This Row],[Strike]]))</f>
        <v>0</v>
      </c>
      <c r="U37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7" t="b">
        <f>IF(     ISNUMBER(Table13[[#This Row],[Strike]]),RTD("tos.rtd", , "DELTA", "."&amp;Table13[[#This Row],[Ticker]]&amp;Table13[[#This Row],[Expiry]]&amp;""&amp;"P"&amp;Table13[[#This Row],[Strike]]))</f>
        <v>0</v>
      </c>
      <c r="Y377" s="19">
        <f>32* IF($M$1="NDX", 10, IF(OR($M$1="SPX", $M$1="RUT"), 2, 1))</f>
        <v>64</v>
      </c>
      <c r="Z377">
        <f ca="1">IFERROR(Table13[[#This Row],[call gamma]]*(Table13[[#This Row],[Open.Int]])*$A$4^2,0)</f>
        <v>0</v>
      </c>
      <c r="AA377">
        <f ca="1">IFERROR(((Table13[[#This Row],[Open.Int8]])*Table13[[#This Row],[Put gamma]])*-1*$A$4^2,0)</f>
        <v>0</v>
      </c>
      <c r="AB377">
        <f ca="1">(Table13[[#This Row],[Call Gex]]+Table13[[#This Row],[Put Gex]])</f>
        <v>0</v>
      </c>
      <c r="AC377">
        <f ca="1">Table13[[#This Row],[put delta adj]]+Table13[[#This Row],[call delta adj]]</f>
        <v>0</v>
      </c>
      <c r="AD377">
        <f ca="1">Table13[[#This Row],[Put Gex]]*Table13[[#This Row],[DeltaP]]*-1</f>
        <v>0</v>
      </c>
      <c r="AE377">
        <f ca="1">Table13[[#This Row],[Call Gex]]*Table13[[#This Row],[DeltaC]]</f>
        <v>0</v>
      </c>
      <c r="AF377">
        <f>IF(Table13[[#This Row],[DeltaC]]-ABS(Table13[[#This Row],[DeltaP]])="0","0.01",Table13[[#This Row],[DeltaC]]-ABS(Table13[[#This Row],[DeltaP]]))</f>
        <v>0</v>
      </c>
      <c r="AG377" t="e">
        <f ca="1">((LN($A$4/Table13[[#This Row],[Strike]]) + (0.411 + 0.5 * Table13[[#This Row],[IV Calc P]]^2) *Table13[[#This Row],[T]])) / (Table13[[#This Row],[IV Calc P]] * SQRT(Table13[[#This Row],[T]]))</f>
        <v>#DIV/0!</v>
      </c>
      <c r="AH377" t="e">
        <f ca="1">(LN($A$4/Table13[[#This Row],[Strike]]) + (0.411-0 + 0.5 * Table13[[#This Row],[IV Calc C]]^2) *Table13[[#This Row],[T]]) / (Table13[[#This Row],[IV Calc C]] * SQRT(Table13[[#This Row],[T]]))</f>
        <v>#DIV/0!</v>
      </c>
      <c r="AI377" t="e">
        <f ca="1">(EXP(-(AG377^2)/2)/SQRT(2*PI())*EXP(0*SQRT(Table13[[#This Row],[T]]))/$A$4*18%*SQRT(SQRT(Table13[[#This Row],[T]])))</f>
        <v>#DIV/0!</v>
      </c>
      <c r="AJ377" t="e">
        <f ca="1">(EXP(-(AH377^2)/2)/SQRT(2*PI())*EXP(0*SQRT(Table13[[#This Row],[T]]))/$A$4*18%*SQRT(SQRT(Table13[[#This Row],[T]])))</f>
        <v>#DIV/0!</v>
      </c>
      <c r="AK377" t="e">
        <f ca="1">Table13[[#This Row],[Call D1]]-Table13[[#This Row],[IV Calc C]]*SQRT(Table13[[#This Row],[T]])</f>
        <v>#DIV/0!</v>
      </c>
      <c r="AL377" t="e">
        <f ca="1">Table13[[#This Row],[Put D1]]-Table13[[#This Row],[IV Calc P]]*SQRT(Table13[[#This Row],[T]])</f>
        <v>#DIV/0!</v>
      </c>
      <c r="AM377" t="e">
        <f ca="1">EXP(-0.5*Table13[[#This Row],[Call D1]]^2)/SQRT(2*PI())</f>
        <v>#DIV/0!</v>
      </c>
      <c r="AN377" t="e">
        <f ca="1">EXP(-0.5*Table13[[#This Row],[Put D1]]^2)/SQRT(2*PI())</f>
        <v>#DIV/0!</v>
      </c>
      <c r="AO377">
        <f ca="1">IFERROR((EXP(0*Table13[[#This Row],[T]])*Table13[[#This Row],[call N(d1)]]*(Table13[[#This Row],[call d2]]/Table13[[#This Row],[IV Calc C]]))*Table13[[#This Row],[Open.Int]]*Table13[[#This Row],[DeltaC]],0)</f>
        <v>0</v>
      </c>
      <c r="AP377">
        <f ca="1">IFERROR((EXP(0*Table13[[#This Row],[T]])*Table13[[#This Row],[put N(d1)]]*(Table13[[#This Row],[put d2]]/Table13[[#This Row],[IV Calc P]]))*Table13[[#This Row],[Open.Int8]]*Table13[[#This Row],[DeltaP]]*-1,0)</f>
        <v>0</v>
      </c>
      <c r="AQ377">
        <f ca="1">((Table13[[#This Row],[call vanna]]+Table13[[#This Row],[put vanna]])*$A$4)</f>
        <v>0</v>
      </c>
      <c r="AR37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7" s="9" t="str" cm="1">
        <f t="array" ref="AT377">_xlfn.IFS(     $M$1="SPX","SPXW",     $M$1="RUT","RUTW",  $M$1="NDX","NDXP",   TRUE,$M$1 )</f>
        <v>SPXW</v>
      </c>
      <c r="AU377" s="2">
        <f t="shared" si="37"/>
        <v>6915</v>
      </c>
      <c r="AV377" t="str">
        <f t="shared" si="38"/>
        <v>000100</v>
      </c>
      <c r="AY37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7">
        <f>((Table13[[#This Row],[High C]]+Table13[[#This Row],[Low C]])/2)*Table13[[#This Row],[gammac]]*Table13[[#This Row],[Volume]]</f>
        <v>0</v>
      </c>
      <c r="BD377">
        <f>((Table13[[#This Row],[High P]]+Table13[[#This Row],[Low P]])/2)*Table13[[#This Row],[gammap]]*Table13[[#This Row],[Volume9]]*-1</f>
        <v>0</v>
      </c>
      <c r="BE377">
        <f>(Table13[[#This Row],[SgammaC]]+Table13[[#This Row],[SgammaP]])*$A$4*-100</f>
        <v>0</v>
      </c>
      <c r="BF377">
        <f>Table13[[#This Row],[DEXc]]+Table13[[#This Row],[DEXp]]</f>
        <v>0</v>
      </c>
      <c r="BG377">
        <f>IFERROR(Table13[[#This Row],[DeltaC]]*Table13[[#This Row],[Open.Int]]*$A$4,0)</f>
        <v>0</v>
      </c>
      <c r="BH377">
        <f>IFERROR(Table13[[#This Row],[DeltaP]]*Table13[[#This Row],[Open.Int8]]*$A$4,0)</f>
        <v>0</v>
      </c>
      <c r="BI37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7">
        <f ca="1">Table13[[#This Row],[charmc]]+Table13[[#This Row],[charmp]]</f>
        <v>0</v>
      </c>
      <c r="BL37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7" s="78">
        <f ca="1">Table13[[#This Row],[call helper]]+Table13[[#This Row],[put helper]]</f>
        <v>0</v>
      </c>
      <c r="BP377" t="str">
        <f>RTD("tos.rtd", , "STRIKE", "."&amp;Table13[[#This Row],[Ticker]]&amp;Table13[[#This Row],[Expiry]]&amp;""&amp;"C"&amp;Table13[[#This Row],[Spot]]+Table13[[#This Row],[step]])</f>
        <v>N/A</v>
      </c>
    </row>
    <row r="378" spans="1:68" x14ac:dyDescent="0.25">
      <c r="A378" s="14">
        <f t="shared" ca="1" si="34"/>
        <v>-126.14810350076104</v>
      </c>
      <c r="C378" s="17"/>
      <c r="D378" t="b">
        <f>IF(
    ISNUMBER(Table13[[#This Row],[Strike]]),RTD("tos.rtd", , "OPEN_INT", "."&amp;Table13[[#This Row],[Ticker]]&amp;Table13[[#This Row],[Expiry]]&amp;""&amp;"C"&amp;Table13[[#This Row],[Strike]]))</f>
        <v>0</v>
      </c>
      <c r="E37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8" t="b">
        <f>IF(     ISNUMBER(Table13[[#This Row],[Strike]]),RTD("tos.rtd", , "DELTA", "."&amp;Table13[[#This Row],[Ticker]]&amp;Table13[[#This Row],[Expiry]]&amp;""&amp;"C"&amp;Table13[[#This Row],[Strike]]))</f>
        <v>0</v>
      </c>
      <c r="H378" s="17" t="b" cm="1">
        <f t="array" ref="H378">IF(
    ISNUMBER(Table13[[#This Row],[Strike]]),IndividualLegIVCore($A$4, Table13[[#This Row],[Strike]], 0.0411, Table13[[#This Row],[T]], ((Table13[[#This Row],[BIDC]]+Table13[[#This Row],[ASKC]])/2), TRUE))</f>
        <v>0</v>
      </c>
      <c r="I378" t="b">
        <f>IF(     ISNUMBER(Table13[[#This Row],[Strike]]),RTD("tos.rtd", , "BID", "."&amp;Table13[[#This Row],[Ticker]]&amp;Table13[[#This Row],[Expiry]]&amp;""&amp;"C"&amp;Table13[[#This Row],[Strike]]))</f>
        <v>0</v>
      </c>
      <c r="J378" t="b">
        <f>IF(     ISNUMBER(Table13[[#This Row],[Strike]]),RTD("tos.rtd", , "ASK", "."&amp;Table13[[#This Row],[Ticker]]&amp;Table13[[#This Row],[Expiry]]&amp;""&amp;"C"&amp;Table13[[#This Row],[Strike]]))</f>
        <v>0</v>
      </c>
      <c r="K37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8" s="17" cm="1">
        <f t="array" aca="1" ref="L37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8" s="1">
        <f t="shared" si="35"/>
        <v>0</v>
      </c>
      <c r="N378" t="b">
        <f t="shared" si="36"/>
        <v>0</v>
      </c>
      <c r="P378" s="17" t="b" cm="1">
        <f t="array" ref="P378">IF(
    ISNUMBER(Table13[[#This Row],[Strike]]),IndividualLegIVCore($A$4, Table13[[#This Row],[Strike]], 0.0411, Table13[[#This Row],[T]], ((Table13[[#This Row],[BIDP]]+Table13[[#This Row],[ASKP]])/2), FALSE))</f>
        <v>0</v>
      </c>
      <c r="Q378" t="b">
        <f>IF(     ISNUMBER(Table13[[#This Row],[Strike]]),RTD("tos.rtd", , "BID", "."&amp;Table13[[#This Row],[Ticker]]&amp;Table13[[#This Row],[Expiry]]&amp;""&amp;"P"&amp;Table13[[#This Row],[Strike]]))</f>
        <v>0</v>
      </c>
      <c r="R378" t="b">
        <f>IF(     ISNUMBER(Table13[[#This Row],[Strike]]),RTD("tos.rtd", , "ASK", "."&amp;Table13[[#This Row],[Ticker]]&amp;Table13[[#This Row],[Expiry]]&amp;""&amp;"P"&amp;Table13[[#This Row],[Strike]]))</f>
        <v>0</v>
      </c>
      <c r="S378" s="17"/>
      <c r="T378" t="b">
        <f>IF(     ISNUMBER(Table13[[#This Row],[Strike]]),RTD("tos.rtd", , "OPEN_INT", "."&amp;Table13[[#This Row],[Ticker]]&amp;Table13[[#This Row],[Expiry]]&amp;""&amp;"P"&amp;Table13[[#This Row],[Strike]]))</f>
        <v>0</v>
      </c>
      <c r="U37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8" t="b">
        <f>IF(     ISNUMBER(Table13[[#This Row],[Strike]]),RTD("tos.rtd", , "DELTA", "."&amp;Table13[[#This Row],[Ticker]]&amp;Table13[[#This Row],[Expiry]]&amp;""&amp;"P"&amp;Table13[[#This Row],[Strike]]))</f>
        <v>0</v>
      </c>
      <c r="Y378" s="19">
        <f>32.5* IF($M$1="NDX", 10, IF(OR($M$1="SPX", $M$1="RUT"), 2, 1))</f>
        <v>65</v>
      </c>
      <c r="Z378">
        <f ca="1">IFERROR(Table13[[#This Row],[call gamma]]*(Table13[[#This Row],[Open.Int]])*$A$4^2,0)</f>
        <v>0</v>
      </c>
      <c r="AA378">
        <f ca="1">IFERROR(((Table13[[#This Row],[Open.Int8]])*Table13[[#This Row],[Put gamma]])*-1*$A$4^2,0)</f>
        <v>0</v>
      </c>
      <c r="AB378">
        <f ca="1">(Table13[[#This Row],[Call Gex]]+Table13[[#This Row],[Put Gex]])</f>
        <v>0</v>
      </c>
      <c r="AC378">
        <f ca="1">Table13[[#This Row],[put delta adj]]+Table13[[#This Row],[call delta adj]]</f>
        <v>0</v>
      </c>
      <c r="AD378">
        <f ca="1">Table13[[#This Row],[Put Gex]]*Table13[[#This Row],[DeltaP]]*-1</f>
        <v>0</v>
      </c>
      <c r="AE378">
        <f ca="1">Table13[[#This Row],[Call Gex]]*Table13[[#This Row],[DeltaC]]</f>
        <v>0</v>
      </c>
      <c r="AF378">
        <f>IF(Table13[[#This Row],[DeltaC]]-ABS(Table13[[#This Row],[DeltaP]])="0","0.01",Table13[[#This Row],[DeltaC]]-ABS(Table13[[#This Row],[DeltaP]]))</f>
        <v>0</v>
      </c>
      <c r="AG378" t="e">
        <f ca="1">((LN($A$4/Table13[[#This Row],[Strike]]) + (0.411 + 0.5 * Table13[[#This Row],[IV Calc P]]^2) *Table13[[#This Row],[T]])) / (Table13[[#This Row],[IV Calc P]] * SQRT(Table13[[#This Row],[T]]))</f>
        <v>#DIV/0!</v>
      </c>
      <c r="AH378" t="e">
        <f ca="1">(LN($A$4/Table13[[#This Row],[Strike]]) + (0.411-0 + 0.5 * Table13[[#This Row],[IV Calc C]]^2) *Table13[[#This Row],[T]]) / (Table13[[#This Row],[IV Calc C]] * SQRT(Table13[[#This Row],[T]]))</f>
        <v>#DIV/0!</v>
      </c>
      <c r="AI378" t="e">
        <f ca="1">(EXP(-(AG378^2)/2)/SQRT(2*PI())*EXP(0*SQRT(Table13[[#This Row],[T]]))/$A$4*18%*SQRT(SQRT(Table13[[#This Row],[T]])))</f>
        <v>#DIV/0!</v>
      </c>
      <c r="AJ378" t="e">
        <f ca="1">(EXP(-(AH378^2)/2)/SQRT(2*PI())*EXP(0*SQRT(Table13[[#This Row],[T]]))/$A$4*18%*SQRT(SQRT(Table13[[#This Row],[T]])))</f>
        <v>#DIV/0!</v>
      </c>
      <c r="AK378" t="e">
        <f ca="1">Table13[[#This Row],[Call D1]]-Table13[[#This Row],[IV Calc C]]*SQRT(Table13[[#This Row],[T]])</f>
        <v>#DIV/0!</v>
      </c>
      <c r="AL378" t="e">
        <f ca="1">Table13[[#This Row],[Put D1]]-Table13[[#This Row],[IV Calc P]]*SQRT(Table13[[#This Row],[T]])</f>
        <v>#DIV/0!</v>
      </c>
      <c r="AM378" t="e">
        <f ca="1">EXP(-0.5*Table13[[#This Row],[Call D1]]^2)/SQRT(2*PI())</f>
        <v>#DIV/0!</v>
      </c>
      <c r="AN378" t="e">
        <f ca="1">EXP(-0.5*Table13[[#This Row],[Put D1]]^2)/SQRT(2*PI())</f>
        <v>#DIV/0!</v>
      </c>
      <c r="AO378">
        <f ca="1">IFERROR((EXP(0*Table13[[#This Row],[T]])*Table13[[#This Row],[call N(d1)]]*(Table13[[#This Row],[call d2]]/Table13[[#This Row],[IV Calc C]]))*Table13[[#This Row],[Open.Int]]*Table13[[#This Row],[DeltaC]],0)</f>
        <v>0</v>
      </c>
      <c r="AP378">
        <f ca="1">IFERROR((EXP(0*Table13[[#This Row],[T]])*Table13[[#This Row],[put N(d1)]]*(Table13[[#This Row],[put d2]]/Table13[[#This Row],[IV Calc P]]))*Table13[[#This Row],[Open.Int8]]*Table13[[#This Row],[DeltaP]]*-1,0)</f>
        <v>0</v>
      </c>
      <c r="AQ378">
        <f ca="1">((Table13[[#This Row],[call vanna]]+Table13[[#This Row],[put vanna]])*$A$4)</f>
        <v>0</v>
      </c>
      <c r="AR37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8" s="9" t="str" cm="1">
        <f t="array" ref="AT378">_xlfn.IFS(     $M$1="SPX","SPXW",     $M$1="RUT","RUTW",  $M$1="NDX","NDXP",   TRUE,$M$1 )</f>
        <v>SPXW</v>
      </c>
      <c r="AU378" s="2">
        <f t="shared" si="37"/>
        <v>6915</v>
      </c>
      <c r="AV378" t="str">
        <f t="shared" si="38"/>
        <v>000100</v>
      </c>
      <c r="AY37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8">
        <f>((Table13[[#This Row],[High C]]+Table13[[#This Row],[Low C]])/2)*Table13[[#This Row],[gammac]]*Table13[[#This Row],[Volume]]</f>
        <v>0</v>
      </c>
      <c r="BD378">
        <f>((Table13[[#This Row],[High P]]+Table13[[#This Row],[Low P]])/2)*Table13[[#This Row],[gammap]]*Table13[[#This Row],[Volume9]]*-1</f>
        <v>0</v>
      </c>
      <c r="BE378">
        <f>(Table13[[#This Row],[SgammaC]]+Table13[[#This Row],[SgammaP]])*$A$4*-100</f>
        <v>0</v>
      </c>
      <c r="BF378">
        <f>Table13[[#This Row],[DEXc]]+Table13[[#This Row],[DEXp]]</f>
        <v>0</v>
      </c>
      <c r="BG378">
        <f>IFERROR(Table13[[#This Row],[DeltaC]]*Table13[[#This Row],[Open.Int]]*$A$4,0)</f>
        <v>0</v>
      </c>
      <c r="BH378">
        <f>IFERROR(Table13[[#This Row],[DeltaP]]*Table13[[#This Row],[Open.Int8]]*$A$4,0)</f>
        <v>0</v>
      </c>
      <c r="BI37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8">
        <f ca="1">Table13[[#This Row],[charmc]]+Table13[[#This Row],[charmp]]</f>
        <v>0</v>
      </c>
      <c r="BL37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8" s="78">
        <f ca="1">Table13[[#This Row],[call helper]]+Table13[[#This Row],[put helper]]</f>
        <v>0</v>
      </c>
      <c r="BP378" t="str">
        <f>RTD("tos.rtd", , "STRIKE", "."&amp;Table13[[#This Row],[Ticker]]&amp;Table13[[#This Row],[Expiry]]&amp;""&amp;"C"&amp;Table13[[#This Row],[Spot]]+Table13[[#This Row],[step]])</f>
        <v>N/A</v>
      </c>
    </row>
    <row r="379" spans="1:68" x14ac:dyDescent="0.25">
      <c r="A379" s="14">
        <f t="shared" ca="1" si="34"/>
        <v>-126.14810350076104</v>
      </c>
      <c r="C379" s="17"/>
      <c r="D379" t="b">
        <f>IF(
    ISNUMBER(Table13[[#This Row],[Strike]]),RTD("tos.rtd", , "OPEN_INT", "."&amp;Table13[[#This Row],[Ticker]]&amp;Table13[[#This Row],[Expiry]]&amp;""&amp;"C"&amp;Table13[[#This Row],[Strike]]))</f>
        <v>0</v>
      </c>
      <c r="E37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9" t="b">
        <f>IF(     ISNUMBER(Table13[[#This Row],[Strike]]),RTD("tos.rtd", , "DELTA", "."&amp;Table13[[#This Row],[Ticker]]&amp;Table13[[#This Row],[Expiry]]&amp;""&amp;"C"&amp;Table13[[#This Row],[Strike]]))</f>
        <v>0</v>
      </c>
      <c r="H379" s="17" t="b" cm="1">
        <f t="array" ref="H379">IF(
    ISNUMBER(Table13[[#This Row],[Strike]]),IndividualLegIVCore($A$4, Table13[[#This Row],[Strike]], 0.0411, Table13[[#This Row],[T]], ((Table13[[#This Row],[BIDC]]+Table13[[#This Row],[ASKC]])/2), TRUE))</f>
        <v>0</v>
      </c>
      <c r="I379" t="b">
        <f>IF(     ISNUMBER(Table13[[#This Row],[Strike]]),RTD("tos.rtd", , "BID", "."&amp;Table13[[#This Row],[Ticker]]&amp;Table13[[#This Row],[Expiry]]&amp;""&amp;"C"&amp;Table13[[#This Row],[Strike]]))</f>
        <v>0</v>
      </c>
      <c r="J379" t="b">
        <f>IF(     ISNUMBER(Table13[[#This Row],[Strike]]),RTD("tos.rtd", , "ASK", "."&amp;Table13[[#This Row],[Ticker]]&amp;Table13[[#This Row],[Expiry]]&amp;""&amp;"C"&amp;Table13[[#This Row],[Strike]]))</f>
        <v>0</v>
      </c>
      <c r="K37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9" s="17" cm="1">
        <f t="array" aca="1" ref="L37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79" s="1">
        <f t="shared" si="35"/>
        <v>0</v>
      </c>
      <c r="N379" t="b">
        <f t="shared" si="36"/>
        <v>0</v>
      </c>
      <c r="P379" s="17" t="b" cm="1">
        <f t="array" ref="P379">IF(
    ISNUMBER(Table13[[#This Row],[Strike]]),IndividualLegIVCore($A$4, Table13[[#This Row],[Strike]], 0.0411, Table13[[#This Row],[T]], ((Table13[[#This Row],[BIDP]]+Table13[[#This Row],[ASKP]])/2), FALSE))</f>
        <v>0</v>
      </c>
      <c r="Q379" t="b">
        <f>IF(     ISNUMBER(Table13[[#This Row],[Strike]]),RTD("tos.rtd", , "BID", "."&amp;Table13[[#This Row],[Ticker]]&amp;Table13[[#This Row],[Expiry]]&amp;""&amp;"P"&amp;Table13[[#This Row],[Strike]]))</f>
        <v>0</v>
      </c>
      <c r="R379" t="b">
        <f>IF(     ISNUMBER(Table13[[#This Row],[Strike]]),RTD("tos.rtd", , "ASK", "."&amp;Table13[[#This Row],[Ticker]]&amp;Table13[[#This Row],[Expiry]]&amp;""&amp;"P"&amp;Table13[[#This Row],[Strike]]))</f>
        <v>0</v>
      </c>
      <c r="S379" s="17"/>
      <c r="T379" t="b">
        <f>IF(     ISNUMBER(Table13[[#This Row],[Strike]]),RTD("tos.rtd", , "OPEN_INT", "."&amp;Table13[[#This Row],[Ticker]]&amp;Table13[[#This Row],[Expiry]]&amp;""&amp;"P"&amp;Table13[[#This Row],[Strike]]))</f>
        <v>0</v>
      </c>
      <c r="U37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9" t="b">
        <f>IF(     ISNUMBER(Table13[[#This Row],[Strike]]),RTD("tos.rtd", , "DELTA", "."&amp;Table13[[#This Row],[Ticker]]&amp;Table13[[#This Row],[Expiry]]&amp;""&amp;"P"&amp;Table13[[#This Row],[Strike]]))</f>
        <v>0</v>
      </c>
      <c r="Y379" s="19">
        <f>33* IF($M$1="NDX", 10, IF(OR($M$1="SPX", $M$1="RUT"), 2, 1))</f>
        <v>66</v>
      </c>
      <c r="Z379">
        <f ca="1">IFERROR(Table13[[#This Row],[call gamma]]*(Table13[[#This Row],[Open.Int]])*$A$4^2,0)</f>
        <v>0</v>
      </c>
      <c r="AA379">
        <f ca="1">IFERROR(((Table13[[#This Row],[Open.Int8]])*Table13[[#This Row],[Put gamma]])*-1*$A$4^2,0)</f>
        <v>0</v>
      </c>
      <c r="AB379">
        <f ca="1">(Table13[[#This Row],[Call Gex]]+Table13[[#This Row],[Put Gex]])</f>
        <v>0</v>
      </c>
      <c r="AC379">
        <f ca="1">Table13[[#This Row],[put delta adj]]+Table13[[#This Row],[call delta adj]]</f>
        <v>0</v>
      </c>
      <c r="AD379">
        <f ca="1">Table13[[#This Row],[Put Gex]]*Table13[[#This Row],[DeltaP]]*-1</f>
        <v>0</v>
      </c>
      <c r="AE379">
        <f ca="1">Table13[[#This Row],[Call Gex]]*Table13[[#This Row],[DeltaC]]</f>
        <v>0</v>
      </c>
      <c r="AF379">
        <f>IF(Table13[[#This Row],[DeltaC]]-ABS(Table13[[#This Row],[DeltaP]])="0","0.01",Table13[[#This Row],[DeltaC]]-ABS(Table13[[#This Row],[DeltaP]]))</f>
        <v>0</v>
      </c>
      <c r="AG379" t="e">
        <f ca="1">((LN($A$4/Table13[[#This Row],[Strike]]) + (0.411 + 0.5 * Table13[[#This Row],[IV Calc P]]^2) *Table13[[#This Row],[T]])) / (Table13[[#This Row],[IV Calc P]] * SQRT(Table13[[#This Row],[T]]))</f>
        <v>#DIV/0!</v>
      </c>
      <c r="AH379" t="e">
        <f ca="1">(LN($A$4/Table13[[#This Row],[Strike]]) + (0.411-0 + 0.5 * Table13[[#This Row],[IV Calc C]]^2) *Table13[[#This Row],[T]]) / (Table13[[#This Row],[IV Calc C]] * SQRT(Table13[[#This Row],[T]]))</f>
        <v>#DIV/0!</v>
      </c>
      <c r="AI379" t="e">
        <f ca="1">(EXP(-(AG379^2)/2)/SQRT(2*PI())*EXP(0*SQRT(Table13[[#This Row],[T]]))/$A$4*18%*SQRT(SQRT(Table13[[#This Row],[T]])))</f>
        <v>#DIV/0!</v>
      </c>
      <c r="AJ379" t="e">
        <f ca="1">(EXP(-(AH379^2)/2)/SQRT(2*PI())*EXP(0*SQRT(Table13[[#This Row],[T]]))/$A$4*18%*SQRT(SQRT(Table13[[#This Row],[T]])))</f>
        <v>#DIV/0!</v>
      </c>
      <c r="AK379" t="e">
        <f ca="1">Table13[[#This Row],[Call D1]]-Table13[[#This Row],[IV Calc C]]*SQRT(Table13[[#This Row],[T]])</f>
        <v>#DIV/0!</v>
      </c>
      <c r="AL379" t="e">
        <f ca="1">Table13[[#This Row],[Put D1]]-Table13[[#This Row],[IV Calc P]]*SQRT(Table13[[#This Row],[T]])</f>
        <v>#DIV/0!</v>
      </c>
      <c r="AM379" t="e">
        <f ca="1">EXP(-0.5*Table13[[#This Row],[Call D1]]^2)/SQRT(2*PI())</f>
        <v>#DIV/0!</v>
      </c>
      <c r="AN379" t="e">
        <f ca="1">EXP(-0.5*Table13[[#This Row],[Put D1]]^2)/SQRT(2*PI())</f>
        <v>#DIV/0!</v>
      </c>
      <c r="AO379">
        <f ca="1">IFERROR((EXP(0*Table13[[#This Row],[T]])*Table13[[#This Row],[call N(d1)]]*(Table13[[#This Row],[call d2]]/Table13[[#This Row],[IV Calc C]]))*Table13[[#This Row],[Open.Int]]*Table13[[#This Row],[DeltaC]],0)</f>
        <v>0</v>
      </c>
      <c r="AP379">
        <f ca="1">IFERROR((EXP(0*Table13[[#This Row],[T]])*Table13[[#This Row],[put N(d1)]]*(Table13[[#This Row],[put d2]]/Table13[[#This Row],[IV Calc P]]))*Table13[[#This Row],[Open.Int8]]*Table13[[#This Row],[DeltaP]]*-1,0)</f>
        <v>0</v>
      </c>
      <c r="AQ379">
        <f ca="1">((Table13[[#This Row],[call vanna]]+Table13[[#This Row],[put vanna]])*$A$4)</f>
        <v>0</v>
      </c>
      <c r="AR37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9" s="9" t="str" cm="1">
        <f t="array" ref="AT379">_xlfn.IFS(     $M$1="SPX","SPXW",     $M$1="RUT","RUTW",  $M$1="NDX","NDXP",   TRUE,$M$1 )</f>
        <v>SPXW</v>
      </c>
      <c r="AU379" s="2">
        <f t="shared" si="37"/>
        <v>6915</v>
      </c>
      <c r="AV379" t="str">
        <f t="shared" si="38"/>
        <v>000100</v>
      </c>
      <c r="AY37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9">
        <f>((Table13[[#This Row],[High C]]+Table13[[#This Row],[Low C]])/2)*Table13[[#This Row],[gammac]]*Table13[[#This Row],[Volume]]</f>
        <v>0</v>
      </c>
      <c r="BD379">
        <f>((Table13[[#This Row],[High P]]+Table13[[#This Row],[Low P]])/2)*Table13[[#This Row],[gammap]]*Table13[[#This Row],[Volume9]]*-1</f>
        <v>0</v>
      </c>
      <c r="BE379">
        <f>(Table13[[#This Row],[SgammaC]]+Table13[[#This Row],[SgammaP]])*$A$4*-100</f>
        <v>0</v>
      </c>
      <c r="BF379">
        <f>Table13[[#This Row],[DEXc]]+Table13[[#This Row],[DEXp]]</f>
        <v>0</v>
      </c>
      <c r="BG379">
        <f>IFERROR(Table13[[#This Row],[DeltaC]]*Table13[[#This Row],[Open.Int]]*$A$4,0)</f>
        <v>0</v>
      </c>
      <c r="BH379">
        <f>IFERROR(Table13[[#This Row],[DeltaP]]*Table13[[#This Row],[Open.Int8]]*$A$4,0)</f>
        <v>0</v>
      </c>
      <c r="BI37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9">
        <f ca="1">Table13[[#This Row],[charmc]]+Table13[[#This Row],[charmp]]</f>
        <v>0</v>
      </c>
      <c r="BL37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9" s="78">
        <f ca="1">Table13[[#This Row],[call helper]]+Table13[[#This Row],[put helper]]</f>
        <v>0</v>
      </c>
      <c r="BP379" t="str">
        <f>RTD("tos.rtd", , "STRIKE", "."&amp;Table13[[#This Row],[Ticker]]&amp;Table13[[#This Row],[Expiry]]&amp;""&amp;"C"&amp;Table13[[#This Row],[Spot]]+Table13[[#This Row],[step]])</f>
        <v>N/A</v>
      </c>
    </row>
    <row r="380" spans="1:68" x14ac:dyDescent="0.25">
      <c r="A380" s="14">
        <f t="shared" ca="1" si="34"/>
        <v>-126.14810350076104</v>
      </c>
      <c r="C380" s="17"/>
      <c r="D380" t="b">
        <f>IF(
    ISNUMBER(Table13[[#This Row],[Strike]]),RTD("tos.rtd", , "OPEN_INT", "."&amp;Table13[[#This Row],[Ticker]]&amp;Table13[[#This Row],[Expiry]]&amp;""&amp;"C"&amp;Table13[[#This Row],[Strike]]))</f>
        <v>0</v>
      </c>
      <c r="E38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0" t="b">
        <f>IF(     ISNUMBER(Table13[[#This Row],[Strike]]),RTD("tos.rtd", , "DELTA", "."&amp;Table13[[#This Row],[Ticker]]&amp;Table13[[#This Row],[Expiry]]&amp;""&amp;"C"&amp;Table13[[#This Row],[Strike]]))</f>
        <v>0</v>
      </c>
      <c r="H380" s="17" t="b" cm="1">
        <f t="array" ref="H380">IF(
    ISNUMBER(Table13[[#This Row],[Strike]]),IndividualLegIVCore($A$4, Table13[[#This Row],[Strike]], 0.0411, Table13[[#This Row],[T]], ((Table13[[#This Row],[BIDC]]+Table13[[#This Row],[ASKC]])/2), TRUE))</f>
        <v>0</v>
      </c>
      <c r="I380" t="b">
        <f>IF(     ISNUMBER(Table13[[#This Row],[Strike]]),RTD("tos.rtd", , "BID", "."&amp;Table13[[#This Row],[Ticker]]&amp;Table13[[#This Row],[Expiry]]&amp;""&amp;"C"&amp;Table13[[#This Row],[Strike]]))</f>
        <v>0</v>
      </c>
      <c r="J380" t="b">
        <f>IF(     ISNUMBER(Table13[[#This Row],[Strike]]),RTD("tos.rtd", , "ASK", "."&amp;Table13[[#This Row],[Ticker]]&amp;Table13[[#This Row],[Expiry]]&amp;""&amp;"C"&amp;Table13[[#This Row],[Strike]]))</f>
        <v>0</v>
      </c>
      <c r="K38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0" s="17" cm="1">
        <f t="array" aca="1" ref="L38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0" s="1">
        <f t="shared" si="35"/>
        <v>0</v>
      </c>
      <c r="N380" t="b">
        <f t="shared" si="36"/>
        <v>0</v>
      </c>
      <c r="P380" s="17" t="b" cm="1">
        <f t="array" ref="P380">IF(
    ISNUMBER(Table13[[#This Row],[Strike]]),IndividualLegIVCore($A$4, Table13[[#This Row],[Strike]], 0.0411, Table13[[#This Row],[T]], ((Table13[[#This Row],[BIDP]]+Table13[[#This Row],[ASKP]])/2), FALSE))</f>
        <v>0</v>
      </c>
      <c r="Q380" t="b">
        <f>IF(     ISNUMBER(Table13[[#This Row],[Strike]]),RTD("tos.rtd", , "BID", "."&amp;Table13[[#This Row],[Ticker]]&amp;Table13[[#This Row],[Expiry]]&amp;""&amp;"P"&amp;Table13[[#This Row],[Strike]]))</f>
        <v>0</v>
      </c>
      <c r="R380" t="b">
        <f>IF(     ISNUMBER(Table13[[#This Row],[Strike]]),RTD("tos.rtd", , "ASK", "."&amp;Table13[[#This Row],[Ticker]]&amp;Table13[[#This Row],[Expiry]]&amp;""&amp;"P"&amp;Table13[[#This Row],[Strike]]))</f>
        <v>0</v>
      </c>
      <c r="S380" s="17"/>
      <c r="T380" t="b">
        <f>IF(     ISNUMBER(Table13[[#This Row],[Strike]]),RTD("tos.rtd", , "OPEN_INT", "."&amp;Table13[[#This Row],[Ticker]]&amp;Table13[[#This Row],[Expiry]]&amp;""&amp;"P"&amp;Table13[[#This Row],[Strike]]))</f>
        <v>0</v>
      </c>
      <c r="U38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0" t="b">
        <f>IF(     ISNUMBER(Table13[[#This Row],[Strike]]),RTD("tos.rtd", , "DELTA", "."&amp;Table13[[#This Row],[Ticker]]&amp;Table13[[#This Row],[Expiry]]&amp;""&amp;"P"&amp;Table13[[#This Row],[Strike]]))</f>
        <v>0</v>
      </c>
      <c r="Y380" s="19">
        <f>33.5* IF($M$1="NDX", 10, IF(OR($M$1="SPX", $M$1="RUT"), 2, 1))</f>
        <v>67</v>
      </c>
      <c r="Z380">
        <f ca="1">IFERROR(Table13[[#This Row],[call gamma]]*(Table13[[#This Row],[Open.Int]])*$A$4^2,0)</f>
        <v>0</v>
      </c>
      <c r="AA380">
        <f ca="1">IFERROR(((Table13[[#This Row],[Open.Int8]])*Table13[[#This Row],[Put gamma]])*-1*$A$4^2,0)</f>
        <v>0</v>
      </c>
      <c r="AB380">
        <f ca="1">(Table13[[#This Row],[Call Gex]]+Table13[[#This Row],[Put Gex]])</f>
        <v>0</v>
      </c>
      <c r="AC380">
        <f ca="1">Table13[[#This Row],[put delta adj]]+Table13[[#This Row],[call delta adj]]</f>
        <v>0</v>
      </c>
      <c r="AD380">
        <f ca="1">Table13[[#This Row],[Put Gex]]*Table13[[#This Row],[DeltaP]]*-1</f>
        <v>0</v>
      </c>
      <c r="AE380">
        <f ca="1">Table13[[#This Row],[Call Gex]]*Table13[[#This Row],[DeltaC]]</f>
        <v>0</v>
      </c>
      <c r="AF380">
        <f>IF(Table13[[#This Row],[DeltaC]]-ABS(Table13[[#This Row],[DeltaP]])="0","0.01",Table13[[#This Row],[DeltaC]]-ABS(Table13[[#This Row],[DeltaP]]))</f>
        <v>0</v>
      </c>
      <c r="AG380" t="e">
        <f ca="1">((LN($A$4/Table13[[#This Row],[Strike]]) + (0.411 + 0.5 * Table13[[#This Row],[IV Calc P]]^2) *Table13[[#This Row],[T]])) / (Table13[[#This Row],[IV Calc P]] * SQRT(Table13[[#This Row],[T]]))</f>
        <v>#DIV/0!</v>
      </c>
      <c r="AH380" t="e">
        <f ca="1">(LN($A$4/Table13[[#This Row],[Strike]]) + (0.411-0 + 0.5 * Table13[[#This Row],[IV Calc C]]^2) *Table13[[#This Row],[T]]) / (Table13[[#This Row],[IV Calc C]] * SQRT(Table13[[#This Row],[T]]))</f>
        <v>#DIV/0!</v>
      </c>
      <c r="AI380" t="e">
        <f ca="1">(EXP(-(AG380^2)/2)/SQRT(2*PI())*EXP(0*SQRT(Table13[[#This Row],[T]]))/$A$4*18%*SQRT(SQRT(Table13[[#This Row],[T]])))</f>
        <v>#DIV/0!</v>
      </c>
      <c r="AJ380" t="e">
        <f ca="1">(EXP(-(AH380^2)/2)/SQRT(2*PI())*EXP(0*SQRT(Table13[[#This Row],[T]]))/$A$4*18%*SQRT(SQRT(Table13[[#This Row],[T]])))</f>
        <v>#DIV/0!</v>
      </c>
      <c r="AK380" t="e">
        <f ca="1">Table13[[#This Row],[Call D1]]-Table13[[#This Row],[IV Calc C]]*SQRT(Table13[[#This Row],[T]])</f>
        <v>#DIV/0!</v>
      </c>
      <c r="AL380" t="e">
        <f ca="1">Table13[[#This Row],[Put D1]]-Table13[[#This Row],[IV Calc P]]*SQRT(Table13[[#This Row],[T]])</f>
        <v>#DIV/0!</v>
      </c>
      <c r="AM380" t="e">
        <f ca="1">EXP(-0.5*Table13[[#This Row],[Call D1]]^2)/SQRT(2*PI())</f>
        <v>#DIV/0!</v>
      </c>
      <c r="AN380" t="e">
        <f ca="1">EXP(-0.5*Table13[[#This Row],[Put D1]]^2)/SQRT(2*PI())</f>
        <v>#DIV/0!</v>
      </c>
      <c r="AO380">
        <f ca="1">IFERROR((EXP(0*Table13[[#This Row],[T]])*Table13[[#This Row],[call N(d1)]]*(Table13[[#This Row],[call d2]]/Table13[[#This Row],[IV Calc C]]))*Table13[[#This Row],[Open.Int]]*Table13[[#This Row],[DeltaC]],0)</f>
        <v>0</v>
      </c>
      <c r="AP380">
        <f ca="1">IFERROR((EXP(0*Table13[[#This Row],[T]])*Table13[[#This Row],[put N(d1)]]*(Table13[[#This Row],[put d2]]/Table13[[#This Row],[IV Calc P]]))*Table13[[#This Row],[Open.Int8]]*Table13[[#This Row],[DeltaP]]*-1,0)</f>
        <v>0</v>
      </c>
      <c r="AQ380">
        <f ca="1">((Table13[[#This Row],[call vanna]]+Table13[[#This Row],[put vanna]])*$A$4)</f>
        <v>0</v>
      </c>
      <c r="AR38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0" s="9" t="str" cm="1">
        <f t="array" ref="AT380">_xlfn.IFS(     $M$1="SPX","SPXW",     $M$1="RUT","RUTW",  $M$1="NDX","NDXP",   TRUE,$M$1 )</f>
        <v>SPXW</v>
      </c>
      <c r="AU380" s="2">
        <f t="shared" si="37"/>
        <v>6915</v>
      </c>
      <c r="AV380" t="str">
        <f t="shared" si="38"/>
        <v>000100</v>
      </c>
      <c r="AY38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0">
        <f>((Table13[[#This Row],[High C]]+Table13[[#This Row],[Low C]])/2)*Table13[[#This Row],[gammac]]*Table13[[#This Row],[Volume]]</f>
        <v>0</v>
      </c>
      <c r="BD380">
        <f>((Table13[[#This Row],[High P]]+Table13[[#This Row],[Low P]])/2)*Table13[[#This Row],[gammap]]*Table13[[#This Row],[Volume9]]*-1</f>
        <v>0</v>
      </c>
      <c r="BE380">
        <f>(Table13[[#This Row],[SgammaC]]+Table13[[#This Row],[SgammaP]])*$A$4*-100</f>
        <v>0</v>
      </c>
      <c r="BF380">
        <f>Table13[[#This Row],[DEXc]]+Table13[[#This Row],[DEXp]]</f>
        <v>0</v>
      </c>
      <c r="BG380">
        <f>IFERROR(Table13[[#This Row],[DeltaC]]*Table13[[#This Row],[Open.Int]]*$A$4,0)</f>
        <v>0</v>
      </c>
      <c r="BH380">
        <f>IFERROR(Table13[[#This Row],[DeltaP]]*Table13[[#This Row],[Open.Int8]]*$A$4,0)</f>
        <v>0</v>
      </c>
      <c r="BI38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0">
        <f ca="1">Table13[[#This Row],[charmc]]+Table13[[#This Row],[charmp]]</f>
        <v>0</v>
      </c>
      <c r="BL38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0" s="78">
        <f ca="1">Table13[[#This Row],[call helper]]+Table13[[#This Row],[put helper]]</f>
        <v>0</v>
      </c>
      <c r="BP380" t="str">
        <f>RTD("tos.rtd", , "STRIKE", "."&amp;Table13[[#This Row],[Ticker]]&amp;Table13[[#This Row],[Expiry]]&amp;""&amp;"C"&amp;Table13[[#This Row],[Spot]]+Table13[[#This Row],[step]])</f>
        <v>N/A</v>
      </c>
    </row>
    <row r="381" spans="1:68" x14ac:dyDescent="0.25">
      <c r="A381" s="14">
        <f t="shared" ca="1" si="34"/>
        <v>-126.14810350076104</v>
      </c>
      <c r="C381" s="17"/>
      <c r="D381" t="b">
        <f>IF(
    ISNUMBER(Table13[[#This Row],[Strike]]),RTD("tos.rtd", , "OPEN_INT", "."&amp;Table13[[#This Row],[Ticker]]&amp;Table13[[#This Row],[Expiry]]&amp;""&amp;"C"&amp;Table13[[#This Row],[Strike]]))</f>
        <v>0</v>
      </c>
      <c r="E38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1" t="b">
        <f>IF(     ISNUMBER(Table13[[#This Row],[Strike]]),RTD("tos.rtd", , "DELTA", "."&amp;Table13[[#This Row],[Ticker]]&amp;Table13[[#This Row],[Expiry]]&amp;""&amp;"C"&amp;Table13[[#This Row],[Strike]]))</f>
        <v>0</v>
      </c>
      <c r="H381" s="17" t="b" cm="1">
        <f t="array" ref="H381">IF(
    ISNUMBER(Table13[[#This Row],[Strike]]),IndividualLegIVCore($A$4, Table13[[#This Row],[Strike]], 0.0411, Table13[[#This Row],[T]], ((Table13[[#This Row],[BIDC]]+Table13[[#This Row],[ASKC]])/2), TRUE))</f>
        <v>0</v>
      </c>
      <c r="I381" t="b">
        <f>IF(     ISNUMBER(Table13[[#This Row],[Strike]]),RTD("tos.rtd", , "BID", "."&amp;Table13[[#This Row],[Ticker]]&amp;Table13[[#This Row],[Expiry]]&amp;""&amp;"C"&amp;Table13[[#This Row],[Strike]]))</f>
        <v>0</v>
      </c>
      <c r="J381" t="b">
        <f>IF(     ISNUMBER(Table13[[#This Row],[Strike]]),RTD("tos.rtd", , "ASK", "."&amp;Table13[[#This Row],[Ticker]]&amp;Table13[[#This Row],[Expiry]]&amp;""&amp;"C"&amp;Table13[[#This Row],[Strike]]))</f>
        <v>0</v>
      </c>
      <c r="K38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1" s="17" cm="1">
        <f t="array" aca="1" ref="L38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1" s="1">
        <f t="shared" si="35"/>
        <v>0</v>
      </c>
      <c r="N381" t="b">
        <f t="shared" si="36"/>
        <v>0</v>
      </c>
      <c r="P381" s="17" t="b" cm="1">
        <f t="array" ref="P381">IF(
    ISNUMBER(Table13[[#This Row],[Strike]]),IndividualLegIVCore($A$4, Table13[[#This Row],[Strike]], 0.0411, Table13[[#This Row],[T]], ((Table13[[#This Row],[BIDP]]+Table13[[#This Row],[ASKP]])/2), FALSE))</f>
        <v>0</v>
      </c>
      <c r="Q381" t="b">
        <f>IF(     ISNUMBER(Table13[[#This Row],[Strike]]),RTD("tos.rtd", , "BID", "."&amp;Table13[[#This Row],[Ticker]]&amp;Table13[[#This Row],[Expiry]]&amp;""&amp;"P"&amp;Table13[[#This Row],[Strike]]))</f>
        <v>0</v>
      </c>
      <c r="R381" t="b">
        <f>IF(     ISNUMBER(Table13[[#This Row],[Strike]]),RTD("tos.rtd", , "ASK", "."&amp;Table13[[#This Row],[Ticker]]&amp;Table13[[#This Row],[Expiry]]&amp;""&amp;"P"&amp;Table13[[#This Row],[Strike]]))</f>
        <v>0</v>
      </c>
      <c r="S381" s="17"/>
      <c r="T381" t="b">
        <f>IF(     ISNUMBER(Table13[[#This Row],[Strike]]),RTD("tos.rtd", , "OPEN_INT", "."&amp;Table13[[#This Row],[Ticker]]&amp;Table13[[#This Row],[Expiry]]&amp;""&amp;"P"&amp;Table13[[#This Row],[Strike]]))</f>
        <v>0</v>
      </c>
      <c r="U38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1" t="b">
        <f>IF(     ISNUMBER(Table13[[#This Row],[Strike]]),RTD("tos.rtd", , "DELTA", "."&amp;Table13[[#This Row],[Ticker]]&amp;Table13[[#This Row],[Expiry]]&amp;""&amp;"P"&amp;Table13[[#This Row],[Strike]]))</f>
        <v>0</v>
      </c>
      <c r="Y381" s="19">
        <f>34* IF($M$1="NDX", 10, IF(OR($M$1="SPX", $M$1="RUT"), 2, 1))</f>
        <v>68</v>
      </c>
      <c r="Z381">
        <f ca="1">IFERROR(Table13[[#This Row],[call gamma]]*(Table13[[#This Row],[Open.Int]])*$A$4^2,0)</f>
        <v>0</v>
      </c>
      <c r="AA381">
        <f ca="1">IFERROR(((Table13[[#This Row],[Open.Int8]])*Table13[[#This Row],[Put gamma]])*-1*$A$4^2,0)</f>
        <v>0</v>
      </c>
      <c r="AB381">
        <f ca="1">(Table13[[#This Row],[Call Gex]]+Table13[[#This Row],[Put Gex]])</f>
        <v>0</v>
      </c>
      <c r="AC381">
        <f ca="1">Table13[[#This Row],[put delta adj]]+Table13[[#This Row],[call delta adj]]</f>
        <v>0</v>
      </c>
      <c r="AD381">
        <f ca="1">Table13[[#This Row],[Put Gex]]*Table13[[#This Row],[DeltaP]]*-1</f>
        <v>0</v>
      </c>
      <c r="AE381">
        <f ca="1">Table13[[#This Row],[Call Gex]]*Table13[[#This Row],[DeltaC]]</f>
        <v>0</v>
      </c>
      <c r="AF381">
        <f>IF(Table13[[#This Row],[DeltaC]]-ABS(Table13[[#This Row],[DeltaP]])="0","0.01",Table13[[#This Row],[DeltaC]]-ABS(Table13[[#This Row],[DeltaP]]))</f>
        <v>0</v>
      </c>
      <c r="AG381" t="e">
        <f ca="1">((LN($A$4/Table13[[#This Row],[Strike]]) + (0.411 + 0.5 * Table13[[#This Row],[IV Calc P]]^2) *Table13[[#This Row],[T]])) / (Table13[[#This Row],[IV Calc P]] * SQRT(Table13[[#This Row],[T]]))</f>
        <v>#DIV/0!</v>
      </c>
      <c r="AH381" t="e">
        <f ca="1">(LN($A$4/Table13[[#This Row],[Strike]]) + (0.411-0 + 0.5 * Table13[[#This Row],[IV Calc C]]^2) *Table13[[#This Row],[T]]) / (Table13[[#This Row],[IV Calc C]] * SQRT(Table13[[#This Row],[T]]))</f>
        <v>#DIV/0!</v>
      </c>
      <c r="AI381" t="e">
        <f ca="1">(EXP(-(AG381^2)/2)/SQRT(2*PI())*EXP(0*SQRT(Table13[[#This Row],[T]]))/$A$4*18%*SQRT(SQRT(Table13[[#This Row],[T]])))</f>
        <v>#DIV/0!</v>
      </c>
      <c r="AJ381" t="e">
        <f ca="1">(EXP(-(AH381^2)/2)/SQRT(2*PI())*EXP(0*SQRT(Table13[[#This Row],[T]]))/$A$4*18%*SQRT(SQRT(Table13[[#This Row],[T]])))</f>
        <v>#DIV/0!</v>
      </c>
      <c r="AK381" t="e">
        <f ca="1">Table13[[#This Row],[Call D1]]-Table13[[#This Row],[IV Calc C]]*SQRT(Table13[[#This Row],[T]])</f>
        <v>#DIV/0!</v>
      </c>
      <c r="AL381" t="e">
        <f ca="1">Table13[[#This Row],[Put D1]]-Table13[[#This Row],[IV Calc P]]*SQRT(Table13[[#This Row],[T]])</f>
        <v>#DIV/0!</v>
      </c>
      <c r="AM381" t="e">
        <f ca="1">EXP(-0.5*Table13[[#This Row],[Call D1]]^2)/SQRT(2*PI())</f>
        <v>#DIV/0!</v>
      </c>
      <c r="AN381" t="e">
        <f ca="1">EXP(-0.5*Table13[[#This Row],[Put D1]]^2)/SQRT(2*PI())</f>
        <v>#DIV/0!</v>
      </c>
      <c r="AO381">
        <f ca="1">IFERROR((EXP(0*Table13[[#This Row],[T]])*Table13[[#This Row],[call N(d1)]]*(Table13[[#This Row],[call d2]]/Table13[[#This Row],[IV Calc C]]))*Table13[[#This Row],[Open.Int]]*Table13[[#This Row],[DeltaC]],0)</f>
        <v>0</v>
      </c>
      <c r="AP381">
        <f ca="1">IFERROR((EXP(0*Table13[[#This Row],[T]])*Table13[[#This Row],[put N(d1)]]*(Table13[[#This Row],[put d2]]/Table13[[#This Row],[IV Calc P]]))*Table13[[#This Row],[Open.Int8]]*Table13[[#This Row],[DeltaP]]*-1,0)</f>
        <v>0</v>
      </c>
      <c r="AQ381">
        <f ca="1">((Table13[[#This Row],[call vanna]]+Table13[[#This Row],[put vanna]])*$A$4)</f>
        <v>0</v>
      </c>
      <c r="AR38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1" s="9" t="str" cm="1">
        <f t="array" ref="AT381">_xlfn.IFS(     $M$1="SPX","SPXW",     $M$1="RUT","RUTW",  $M$1="NDX","NDXP",   TRUE,$M$1 )</f>
        <v>SPXW</v>
      </c>
      <c r="AU381" s="2">
        <f t="shared" si="37"/>
        <v>6915</v>
      </c>
      <c r="AV381" t="str">
        <f t="shared" si="38"/>
        <v>000100</v>
      </c>
      <c r="AY38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1">
        <f>((Table13[[#This Row],[High C]]+Table13[[#This Row],[Low C]])/2)*Table13[[#This Row],[gammac]]*Table13[[#This Row],[Volume]]</f>
        <v>0</v>
      </c>
      <c r="BD381">
        <f>((Table13[[#This Row],[High P]]+Table13[[#This Row],[Low P]])/2)*Table13[[#This Row],[gammap]]*Table13[[#This Row],[Volume9]]*-1</f>
        <v>0</v>
      </c>
      <c r="BE381">
        <f>(Table13[[#This Row],[SgammaC]]+Table13[[#This Row],[SgammaP]])*$A$4*-100</f>
        <v>0</v>
      </c>
      <c r="BF381">
        <f>Table13[[#This Row],[DEXc]]+Table13[[#This Row],[DEXp]]</f>
        <v>0</v>
      </c>
      <c r="BG381">
        <f>IFERROR(Table13[[#This Row],[DeltaC]]*Table13[[#This Row],[Open.Int]]*$A$4,0)</f>
        <v>0</v>
      </c>
      <c r="BH381">
        <f>IFERROR(Table13[[#This Row],[DeltaP]]*Table13[[#This Row],[Open.Int8]]*$A$4,0)</f>
        <v>0</v>
      </c>
      <c r="BI38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1">
        <f ca="1">Table13[[#This Row],[charmc]]+Table13[[#This Row],[charmp]]</f>
        <v>0</v>
      </c>
      <c r="BL38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1" s="78">
        <f ca="1">Table13[[#This Row],[call helper]]+Table13[[#This Row],[put helper]]</f>
        <v>0</v>
      </c>
      <c r="BP381" t="str">
        <f>RTD("tos.rtd", , "STRIKE", "."&amp;Table13[[#This Row],[Ticker]]&amp;Table13[[#This Row],[Expiry]]&amp;""&amp;"C"&amp;Table13[[#This Row],[Spot]]+Table13[[#This Row],[step]])</f>
        <v>N/A</v>
      </c>
    </row>
    <row r="382" spans="1:68" x14ac:dyDescent="0.25">
      <c r="A382" s="14">
        <f t="shared" ca="1" si="34"/>
        <v>-126.14810350076104</v>
      </c>
      <c r="C382" s="17"/>
      <c r="D382" t="b">
        <f>IF(
    ISNUMBER(Table13[[#This Row],[Strike]]),RTD("tos.rtd", , "OPEN_INT", "."&amp;Table13[[#This Row],[Ticker]]&amp;Table13[[#This Row],[Expiry]]&amp;""&amp;"C"&amp;Table13[[#This Row],[Strike]]))</f>
        <v>0</v>
      </c>
      <c r="E38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2" t="b">
        <f>IF(     ISNUMBER(Table13[[#This Row],[Strike]]),RTD("tos.rtd", , "DELTA", "."&amp;Table13[[#This Row],[Ticker]]&amp;Table13[[#This Row],[Expiry]]&amp;""&amp;"C"&amp;Table13[[#This Row],[Strike]]))</f>
        <v>0</v>
      </c>
      <c r="H382" s="17" t="b" cm="1">
        <f t="array" ref="H382">IF(
    ISNUMBER(Table13[[#This Row],[Strike]]),IndividualLegIVCore($A$4, Table13[[#This Row],[Strike]], 0.0411, Table13[[#This Row],[T]], ((Table13[[#This Row],[BIDC]]+Table13[[#This Row],[ASKC]])/2), TRUE))</f>
        <v>0</v>
      </c>
      <c r="I382" t="b">
        <f>IF(     ISNUMBER(Table13[[#This Row],[Strike]]),RTD("tos.rtd", , "BID", "."&amp;Table13[[#This Row],[Ticker]]&amp;Table13[[#This Row],[Expiry]]&amp;""&amp;"C"&amp;Table13[[#This Row],[Strike]]))</f>
        <v>0</v>
      </c>
      <c r="J382" t="b">
        <f>IF(     ISNUMBER(Table13[[#This Row],[Strike]]),RTD("tos.rtd", , "ASK", "."&amp;Table13[[#This Row],[Ticker]]&amp;Table13[[#This Row],[Expiry]]&amp;""&amp;"C"&amp;Table13[[#This Row],[Strike]]))</f>
        <v>0</v>
      </c>
      <c r="K38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2" s="17" cm="1">
        <f t="array" aca="1" ref="L38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2" s="1">
        <f t="shared" si="35"/>
        <v>0</v>
      </c>
      <c r="N382" t="b">
        <f t="shared" si="36"/>
        <v>0</v>
      </c>
      <c r="P382" s="17" t="b" cm="1">
        <f t="array" ref="P382">IF(
    ISNUMBER(Table13[[#This Row],[Strike]]),IndividualLegIVCore($A$4, Table13[[#This Row],[Strike]], 0.0411, Table13[[#This Row],[T]], ((Table13[[#This Row],[BIDP]]+Table13[[#This Row],[ASKP]])/2), FALSE))</f>
        <v>0</v>
      </c>
      <c r="Q382" t="b">
        <f>IF(     ISNUMBER(Table13[[#This Row],[Strike]]),RTD("tos.rtd", , "BID", "."&amp;Table13[[#This Row],[Ticker]]&amp;Table13[[#This Row],[Expiry]]&amp;""&amp;"P"&amp;Table13[[#This Row],[Strike]]))</f>
        <v>0</v>
      </c>
      <c r="R382" t="b">
        <f>IF(     ISNUMBER(Table13[[#This Row],[Strike]]),RTD("tos.rtd", , "ASK", "."&amp;Table13[[#This Row],[Ticker]]&amp;Table13[[#This Row],[Expiry]]&amp;""&amp;"P"&amp;Table13[[#This Row],[Strike]]))</f>
        <v>0</v>
      </c>
      <c r="S382" s="17"/>
      <c r="T382" t="b">
        <f>IF(     ISNUMBER(Table13[[#This Row],[Strike]]),RTD("tos.rtd", , "OPEN_INT", "."&amp;Table13[[#This Row],[Ticker]]&amp;Table13[[#This Row],[Expiry]]&amp;""&amp;"P"&amp;Table13[[#This Row],[Strike]]))</f>
        <v>0</v>
      </c>
      <c r="U38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2" t="b">
        <f>IF(     ISNUMBER(Table13[[#This Row],[Strike]]),RTD("tos.rtd", , "DELTA", "."&amp;Table13[[#This Row],[Ticker]]&amp;Table13[[#This Row],[Expiry]]&amp;""&amp;"P"&amp;Table13[[#This Row],[Strike]]))</f>
        <v>0</v>
      </c>
      <c r="Y382" s="19">
        <f>34.5* IF($M$1="NDX", 10, IF(OR($M$1="SPX", $M$1="RUT"), 2, 1))</f>
        <v>69</v>
      </c>
      <c r="Z382">
        <f ca="1">IFERROR(Table13[[#This Row],[call gamma]]*(Table13[[#This Row],[Open.Int]])*$A$4^2,0)</f>
        <v>0</v>
      </c>
      <c r="AA382">
        <f ca="1">IFERROR(((Table13[[#This Row],[Open.Int8]])*Table13[[#This Row],[Put gamma]])*-1*$A$4^2,0)</f>
        <v>0</v>
      </c>
      <c r="AB382">
        <f ca="1">(Table13[[#This Row],[Call Gex]]+Table13[[#This Row],[Put Gex]])</f>
        <v>0</v>
      </c>
      <c r="AC382">
        <f ca="1">Table13[[#This Row],[put delta adj]]+Table13[[#This Row],[call delta adj]]</f>
        <v>0</v>
      </c>
      <c r="AD382">
        <f ca="1">Table13[[#This Row],[Put Gex]]*Table13[[#This Row],[DeltaP]]*-1</f>
        <v>0</v>
      </c>
      <c r="AE382">
        <f ca="1">Table13[[#This Row],[Call Gex]]*Table13[[#This Row],[DeltaC]]</f>
        <v>0</v>
      </c>
      <c r="AF382">
        <f>IF(Table13[[#This Row],[DeltaC]]-ABS(Table13[[#This Row],[DeltaP]])="0","0.01",Table13[[#This Row],[DeltaC]]-ABS(Table13[[#This Row],[DeltaP]]))</f>
        <v>0</v>
      </c>
      <c r="AG382" t="e">
        <f ca="1">((LN($A$4/Table13[[#This Row],[Strike]]) + (0.411 + 0.5 * Table13[[#This Row],[IV Calc P]]^2) *Table13[[#This Row],[T]])) / (Table13[[#This Row],[IV Calc P]] * SQRT(Table13[[#This Row],[T]]))</f>
        <v>#DIV/0!</v>
      </c>
      <c r="AH382" t="e">
        <f ca="1">(LN($A$4/Table13[[#This Row],[Strike]]) + (0.411-0 + 0.5 * Table13[[#This Row],[IV Calc C]]^2) *Table13[[#This Row],[T]]) / (Table13[[#This Row],[IV Calc C]] * SQRT(Table13[[#This Row],[T]]))</f>
        <v>#DIV/0!</v>
      </c>
      <c r="AI382" t="e">
        <f ca="1">(EXP(-(AG382^2)/2)/SQRT(2*PI())*EXP(0*SQRT(Table13[[#This Row],[T]]))/$A$4*18%*SQRT(SQRT(Table13[[#This Row],[T]])))</f>
        <v>#DIV/0!</v>
      </c>
      <c r="AJ382" t="e">
        <f ca="1">(EXP(-(AH382^2)/2)/SQRT(2*PI())*EXP(0*SQRT(Table13[[#This Row],[T]]))/$A$4*18%*SQRT(SQRT(Table13[[#This Row],[T]])))</f>
        <v>#DIV/0!</v>
      </c>
      <c r="AK382" t="e">
        <f ca="1">Table13[[#This Row],[Call D1]]-Table13[[#This Row],[IV Calc C]]*SQRT(Table13[[#This Row],[T]])</f>
        <v>#DIV/0!</v>
      </c>
      <c r="AL382" t="e">
        <f ca="1">Table13[[#This Row],[Put D1]]-Table13[[#This Row],[IV Calc P]]*SQRT(Table13[[#This Row],[T]])</f>
        <v>#DIV/0!</v>
      </c>
      <c r="AM382" t="e">
        <f ca="1">EXP(-0.5*Table13[[#This Row],[Call D1]]^2)/SQRT(2*PI())</f>
        <v>#DIV/0!</v>
      </c>
      <c r="AN382" t="e">
        <f ca="1">EXP(-0.5*Table13[[#This Row],[Put D1]]^2)/SQRT(2*PI())</f>
        <v>#DIV/0!</v>
      </c>
      <c r="AO382">
        <f ca="1">IFERROR((EXP(0*Table13[[#This Row],[T]])*Table13[[#This Row],[call N(d1)]]*(Table13[[#This Row],[call d2]]/Table13[[#This Row],[IV Calc C]]))*Table13[[#This Row],[Open.Int]]*Table13[[#This Row],[DeltaC]],0)</f>
        <v>0</v>
      </c>
      <c r="AP382">
        <f ca="1">IFERROR((EXP(0*Table13[[#This Row],[T]])*Table13[[#This Row],[put N(d1)]]*(Table13[[#This Row],[put d2]]/Table13[[#This Row],[IV Calc P]]))*Table13[[#This Row],[Open.Int8]]*Table13[[#This Row],[DeltaP]]*-1,0)</f>
        <v>0</v>
      </c>
      <c r="AQ382">
        <f ca="1">((Table13[[#This Row],[call vanna]]+Table13[[#This Row],[put vanna]])*$A$4)</f>
        <v>0</v>
      </c>
      <c r="AR38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2" s="9" t="str" cm="1">
        <f t="array" ref="AT382">_xlfn.IFS(     $M$1="SPX","SPXW",     $M$1="RUT","RUTW",  $M$1="NDX","NDXP",   TRUE,$M$1 )</f>
        <v>SPXW</v>
      </c>
      <c r="AU382" s="2">
        <f t="shared" si="37"/>
        <v>6915</v>
      </c>
      <c r="AV382" t="str">
        <f t="shared" si="38"/>
        <v>000100</v>
      </c>
      <c r="AY38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2">
        <f>((Table13[[#This Row],[High C]]+Table13[[#This Row],[Low C]])/2)*Table13[[#This Row],[gammac]]*Table13[[#This Row],[Volume]]</f>
        <v>0</v>
      </c>
      <c r="BD382">
        <f>((Table13[[#This Row],[High P]]+Table13[[#This Row],[Low P]])/2)*Table13[[#This Row],[gammap]]*Table13[[#This Row],[Volume9]]*-1</f>
        <v>0</v>
      </c>
      <c r="BE382">
        <f>(Table13[[#This Row],[SgammaC]]+Table13[[#This Row],[SgammaP]])*$A$4*-100</f>
        <v>0</v>
      </c>
      <c r="BF382">
        <f>Table13[[#This Row],[DEXc]]+Table13[[#This Row],[DEXp]]</f>
        <v>0</v>
      </c>
      <c r="BG382">
        <f>IFERROR(Table13[[#This Row],[DeltaC]]*Table13[[#This Row],[Open.Int]]*$A$4,0)</f>
        <v>0</v>
      </c>
      <c r="BH382">
        <f>IFERROR(Table13[[#This Row],[DeltaP]]*Table13[[#This Row],[Open.Int8]]*$A$4,0)</f>
        <v>0</v>
      </c>
      <c r="BI38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2">
        <f ca="1">Table13[[#This Row],[charmc]]+Table13[[#This Row],[charmp]]</f>
        <v>0</v>
      </c>
      <c r="BL38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2" s="78">
        <f ca="1">Table13[[#This Row],[call helper]]+Table13[[#This Row],[put helper]]</f>
        <v>0</v>
      </c>
      <c r="BP382" t="str">
        <f>RTD("tos.rtd", , "STRIKE", "."&amp;Table13[[#This Row],[Ticker]]&amp;Table13[[#This Row],[Expiry]]&amp;""&amp;"C"&amp;Table13[[#This Row],[Spot]]+Table13[[#This Row],[step]])</f>
        <v>N/A</v>
      </c>
    </row>
    <row r="383" spans="1:68" x14ac:dyDescent="0.25">
      <c r="A383" s="14">
        <f t="shared" ca="1" si="34"/>
        <v>-126.14810350076104</v>
      </c>
      <c r="C383" s="17"/>
      <c r="D383" t="b">
        <f>IF(
    ISNUMBER(Table13[[#This Row],[Strike]]),RTD("tos.rtd", , "OPEN_INT", "."&amp;Table13[[#This Row],[Ticker]]&amp;Table13[[#This Row],[Expiry]]&amp;""&amp;"C"&amp;Table13[[#This Row],[Strike]]))</f>
        <v>0</v>
      </c>
      <c r="E38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3" t="b">
        <f>IF(     ISNUMBER(Table13[[#This Row],[Strike]]),RTD("tos.rtd", , "DELTA", "."&amp;Table13[[#This Row],[Ticker]]&amp;Table13[[#This Row],[Expiry]]&amp;""&amp;"C"&amp;Table13[[#This Row],[Strike]]))</f>
        <v>0</v>
      </c>
      <c r="H383" s="17" t="b" cm="1">
        <f t="array" ref="H383">IF(
    ISNUMBER(Table13[[#This Row],[Strike]]),IndividualLegIVCore($A$4, Table13[[#This Row],[Strike]], 0.0411, Table13[[#This Row],[T]], ((Table13[[#This Row],[BIDC]]+Table13[[#This Row],[ASKC]])/2), TRUE))</f>
        <v>0</v>
      </c>
      <c r="I383" t="b">
        <f>IF(     ISNUMBER(Table13[[#This Row],[Strike]]),RTD("tos.rtd", , "BID", "."&amp;Table13[[#This Row],[Ticker]]&amp;Table13[[#This Row],[Expiry]]&amp;""&amp;"C"&amp;Table13[[#This Row],[Strike]]))</f>
        <v>0</v>
      </c>
      <c r="J383" t="b">
        <f>IF(     ISNUMBER(Table13[[#This Row],[Strike]]),RTD("tos.rtd", , "ASK", "."&amp;Table13[[#This Row],[Ticker]]&amp;Table13[[#This Row],[Expiry]]&amp;""&amp;"C"&amp;Table13[[#This Row],[Strike]]))</f>
        <v>0</v>
      </c>
      <c r="K38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3" s="17" cm="1">
        <f t="array" aca="1" ref="L38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3" s="1">
        <f t="shared" si="35"/>
        <v>0</v>
      </c>
      <c r="N383" t="b">
        <f t="shared" si="36"/>
        <v>0</v>
      </c>
      <c r="P383" s="17" t="b" cm="1">
        <f t="array" ref="P383">IF(
    ISNUMBER(Table13[[#This Row],[Strike]]),IndividualLegIVCore($A$4, Table13[[#This Row],[Strike]], 0.0411, Table13[[#This Row],[T]], ((Table13[[#This Row],[BIDP]]+Table13[[#This Row],[ASKP]])/2), FALSE))</f>
        <v>0</v>
      </c>
      <c r="Q383" t="b">
        <f>IF(     ISNUMBER(Table13[[#This Row],[Strike]]),RTD("tos.rtd", , "BID", "."&amp;Table13[[#This Row],[Ticker]]&amp;Table13[[#This Row],[Expiry]]&amp;""&amp;"P"&amp;Table13[[#This Row],[Strike]]))</f>
        <v>0</v>
      </c>
      <c r="R383" t="b">
        <f>IF(     ISNUMBER(Table13[[#This Row],[Strike]]),RTD("tos.rtd", , "ASK", "."&amp;Table13[[#This Row],[Ticker]]&amp;Table13[[#This Row],[Expiry]]&amp;""&amp;"P"&amp;Table13[[#This Row],[Strike]]))</f>
        <v>0</v>
      </c>
      <c r="S383" s="17"/>
      <c r="T383" t="b">
        <f>IF(     ISNUMBER(Table13[[#This Row],[Strike]]),RTD("tos.rtd", , "OPEN_INT", "."&amp;Table13[[#This Row],[Ticker]]&amp;Table13[[#This Row],[Expiry]]&amp;""&amp;"P"&amp;Table13[[#This Row],[Strike]]))</f>
        <v>0</v>
      </c>
      <c r="U38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3" t="b">
        <f>IF(     ISNUMBER(Table13[[#This Row],[Strike]]),RTD("tos.rtd", , "DELTA", "."&amp;Table13[[#This Row],[Ticker]]&amp;Table13[[#This Row],[Expiry]]&amp;""&amp;"P"&amp;Table13[[#This Row],[Strike]]))</f>
        <v>0</v>
      </c>
      <c r="Y383" s="19">
        <f>35* IF($M$1="NDX", 10, IF(OR($M$1="SPX", $M$1="RUT"), 2, 1))</f>
        <v>70</v>
      </c>
      <c r="Z383">
        <f ca="1">IFERROR(Table13[[#This Row],[call gamma]]*(Table13[[#This Row],[Open.Int]])*$A$4^2,0)</f>
        <v>0</v>
      </c>
      <c r="AA383">
        <f ca="1">IFERROR(((Table13[[#This Row],[Open.Int8]])*Table13[[#This Row],[Put gamma]])*-1*$A$4^2,0)</f>
        <v>0</v>
      </c>
      <c r="AB383">
        <f ca="1">(Table13[[#This Row],[Call Gex]]+Table13[[#This Row],[Put Gex]])</f>
        <v>0</v>
      </c>
      <c r="AC383">
        <f ca="1">Table13[[#This Row],[put delta adj]]+Table13[[#This Row],[call delta adj]]</f>
        <v>0</v>
      </c>
      <c r="AD383">
        <f ca="1">Table13[[#This Row],[Put Gex]]*Table13[[#This Row],[DeltaP]]*-1</f>
        <v>0</v>
      </c>
      <c r="AE383">
        <f ca="1">Table13[[#This Row],[Call Gex]]*Table13[[#This Row],[DeltaC]]</f>
        <v>0</v>
      </c>
      <c r="AF383">
        <f>IF(Table13[[#This Row],[DeltaC]]-ABS(Table13[[#This Row],[DeltaP]])="0","0.01",Table13[[#This Row],[DeltaC]]-ABS(Table13[[#This Row],[DeltaP]]))</f>
        <v>0</v>
      </c>
      <c r="AG383" t="e">
        <f ca="1">((LN($A$4/Table13[[#This Row],[Strike]]) + (0.411 + 0.5 * Table13[[#This Row],[IV Calc P]]^2) *Table13[[#This Row],[T]])) / (Table13[[#This Row],[IV Calc P]] * SQRT(Table13[[#This Row],[T]]))</f>
        <v>#DIV/0!</v>
      </c>
      <c r="AH383" t="e">
        <f ca="1">(LN($A$4/Table13[[#This Row],[Strike]]) + (0.411-0 + 0.5 * Table13[[#This Row],[IV Calc C]]^2) *Table13[[#This Row],[T]]) / (Table13[[#This Row],[IV Calc C]] * SQRT(Table13[[#This Row],[T]]))</f>
        <v>#DIV/0!</v>
      </c>
      <c r="AI383" t="e">
        <f ca="1">(EXP(-(AG383^2)/2)/SQRT(2*PI())*EXP(0*SQRT(Table13[[#This Row],[T]]))/$A$4*18%*SQRT(SQRT(Table13[[#This Row],[T]])))</f>
        <v>#DIV/0!</v>
      </c>
      <c r="AJ383" t="e">
        <f ca="1">(EXP(-(AH383^2)/2)/SQRT(2*PI())*EXP(0*SQRT(Table13[[#This Row],[T]]))/$A$4*18%*SQRT(SQRT(Table13[[#This Row],[T]])))</f>
        <v>#DIV/0!</v>
      </c>
      <c r="AK383" t="e">
        <f ca="1">Table13[[#This Row],[Call D1]]-Table13[[#This Row],[IV Calc C]]*SQRT(Table13[[#This Row],[T]])</f>
        <v>#DIV/0!</v>
      </c>
      <c r="AL383" t="e">
        <f ca="1">Table13[[#This Row],[Put D1]]-Table13[[#This Row],[IV Calc P]]*SQRT(Table13[[#This Row],[T]])</f>
        <v>#DIV/0!</v>
      </c>
      <c r="AM383" t="e">
        <f ca="1">EXP(-0.5*Table13[[#This Row],[Call D1]]^2)/SQRT(2*PI())</f>
        <v>#DIV/0!</v>
      </c>
      <c r="AN383" t="e">
        <f ca="1">EXP(-0.5*Table13[[#This Row],[Put D1]]^2)/SQRT(2*PI())</f>
        <v>#DIV/0!</v>
      </c>
      <c r="AO383">
        <f ca="1">IFERROR((EXP(0*Table13[[#This Row],[T]])*Table13[[#This Row],[call N(d1)]]*(Table13[[#This Row],[call d2]]/Table13[[#This Row],[IV Calc C]]))*Table13[[#This Row],[Open.Int]]*Table13[[#This Row],[DeltaC]],0)</f>
        <v>0</v>
      </c>
      <c r="AP383">
        <f ca="1">IFERROR((EXP(0*Table13[[#This Row],[T]])*Table13[[#This Row],[put N(d1)]]*(Table13[[#This Row],[put d2]]/Table13[[#This Row],[IV Calc P]]))*Table13[[#This Row],[Open.Int8]]*Table13[[#This Row],[DeltaP]]*-1,0)</f>
        <v>0</v>
      </c>
      <c r="AQ383">
        <f ca="1">((Table13[[#This Row],[call vanna]]+Table13[[#This Row],[put vanna]])*$A$4)</f>
        <v>0</v>
      </c>
      <c r="AR38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3" s="9" t="str" cm="1">
        <f t="array" ref="AT383">_xlfn.IFS(     $M$1="SPX","SPXW",     $M$1="RUT","RUTW",  $M$1="NDX","NDXP",   TRUE,$M$1 )</f>
        <v>SPXW</v>
      </c>
      <c r="AU383" s="2">
        <f t="shared" si="37"/>
        <v>6915</v>
      </c>
      <c r="AV383" t="str">
        <f t="shared" si="38"/>
        <v>000100</v>
      </c>
      <c r="AY38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3">
        <f>((Table13[[#This Row],[High C]]+Table13[[#This Row],[Low C]])/2)*Table13[[#This Row],[gammac]]*Table13[[#This Row],[Volume]]</f>
        <v>0</v>
      </c>
      <c r="BD383">
        <f>((Table13[[#This Row],[High P]]+Table13[[#This Row],[Low P]])/2)*Table13[[#This Row],[gammap]]*Table13[[#This Row],[Volume9]]*-1</f>
        <v>0</v>
      </c>
      <c r="BE383">
        <f>(Table13[[#This Row],[SgammaC]]+Table13[[#This Row],[SgammaP]])*$A$4*-100</f>
        <v>0</v>
      </c>
      <c r="BF383">
        <f>Table13[[#This Row],[DEXc]]+Table13[[#This Row],[DEXp]]</f>
        <v>0</v>
      </c>
      <c r="BG383">
        <f>IFERROR(Table13[[#This Row],[DeltaC]]*Table13[[#This Row],[Open.Int]]*$A$4,0)</f>
        <v>0</v>
      </c>
      <c r="BH383">
        <f>IFERROR(Table13[[#This Row],[DeltaP]]*Table13[[#This Row],[Open.Int8]]*$A$4,0)</f>
        <v>0</v>
      </c>
      <c r="BI38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3">
        <f ca="1">Table13[[#This Row],[charmc]]+Table13[[#This Row],[charmp]]</f>
        <v>0</v>
      </c>
      <c r="BL38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3" s="78">
        <f ca="1">Table13[[#This Row],[call helper]]+Table13[[#This Row],[put helper]]</f>
        <v>0</v>
      </c>
      <c r="BP383" t="str">
        <f>RTD("tos.rtd", , "STRIKE", "."&amp;Table13[[#This Row],[Ticker]]&amp;Table13[[#This Row],[Expiry]]&amp;""&amp;"C"&amp;Table13[[#This Row],[Spot]]+Table13[[#This Row],[step]])</f>
        <v>N/A</v>
      </c>
    </row>
    <row r="384" spans="1:68" x14ac:dyDescent="0.25">
      <c r="A384" s="14">
        <f t="shared" ca="1" si="34"/>
        <v>-126.14810350076104</v>
      </c>
      <c r="C384" s="17"/>
      <c r="D384" t="b">
        <f>IF(
    ISNUMBER(Table13[[#This Row],[Strike]]),RTD("tos.rtd", , "OPEN_INT", "."&amp;Table13[[#This Row],[Ticker]]&amp;Table13[[#This Row],[Expiry]]&amp;""&amp;"C"&amp;Table13[[#This Row],[Strike]]))</f>
        <v>0</v>
      </c>
      <c r="E38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4" t="b">
        <f>IF(     ISNUMBER(Table13[[#This Row],[Strike]]),RTD("tos.rtd", , "DELTA", "."&amp;Table13[[#This Row],[Ticker]]&amp;Table13[[#This Row],[Expiry]]&amp;""&amp;"C"&amp;Table13[[#This Row],[Strike]]))</f>
        <v>0</v>
      </c>
      <c r="H384" s="17" t="b" cm="1">
        <f t="array" ref="H384">IF(
    ISNUMBER(Table13[[#This Row],[Strike]]),IndividualLegIVCore($A$4, Table13[[#This Row],[Strike]], 0.0411, Table13[[#This Row],[T]], ((Table13[[#This Row],[BIDC]]+Table13[[#This Row],[ASKC]])/2), TRUE))</f>
        <v>0</v>
      </c>
      <c r="I384" t="b">
        <f>IF(     ISNUMBER(Table13[[#This Row],[Strike]]),RTD("tos.rtd", , "BID", "."&amp;Table13[[#This Row],[Ticker]]&amp;Table13[[#This Row],[Expiry]]&amp;""&amp;"C"&amp;Table13[[#This Row],[Strike]]))</f>
        <v>0</v>
      </c>
      <c r="J384" t="b">
        <f>IF(     ISNUMBER(Table13[[#This Row],[Strike]]),RTD("tos.rtd", , "ASK", "."&amp;Table13[[#This Row],[Ticker]]&amp;Table13[[#This Row],[Expiry]]&amp;""&amp;"C"&amp;Table13[[#This Row],[Strike]]))</f>
        <v>0</v>
      </c>
      <c r="K38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4" s="17" cm="1">
        <f t="array" aca="1" ref="L38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4" s="1">
        <f t="shared" si="35"/>
        <v>0</v>
      </c>
      <c r="N384" t="b">
        <f t="shared" si="36"/>
        <v>0</v>
      </c>
      <c r="P384" s="17" t="b" cm="1">
        <f t="array" ref="P384">IF(
    ISNUMBER(Table13[[#This Row],[Strike]]),IndividualLegIVCore($A$4, Table13[[#This Row],[Strike]], 0.0411, Table13[[#This Row],[T]], ((Table13[[#This Row],[BIDP]]+Table13[[#This Row],[ASKP]])/2), FALSE))</f>
        <v>0</v>
      </c>
      <c r="Q384" t="b">
        <f>IF(     ISNUMBER(Table13[[#This Row],[Strike]]),RTD("tos.rtd", , "BID", "."&amp;Table13[[#This Row],[Ticker]]&amp;Table13[[#This Row],[Expiry]]&amp;""&amp;"P"&amp;Table13[[#This Row],[Strike]]))</f>
        <v>0</v>
      </c>
      <c r="R384" t="b">
        <f>IF(     ISNUMBER(Table13[[#This Row],[Strike]]),RTD("tos.rtd", , "ASK", "."&amp;Table13[[#This Row],[Ticker]]&amp;Table13[[#This Row],[Expiry]]&amp;""&amp;"P"&amp;Table13[[#This Row],[Strike]]))</f>
        <v>0</v>
      </c>
      <c r="S384" s="17"/>
      <c r="T384" t="b">
        <f>IF(     ISNUMBER(Table13[[#This Row],[Strike]]),RTD("tos.rtd", , "OPEN_INT", "."&amp;Table13[[#This Row],[Ticker]]&amp;Table13[[#This Row],[Expiry]]&amp;""&amp;"P"&amp;Table13[[#This Row],[Strike]]))</f>
        <v>0</v>
      </c>
      <c r="U38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4" t="b">
        <f>IF(     ISNUMBER(Table13[[#This Row],[Strike]]),RTD("tos.rtd", , "DELTA", "."&amp;Table13[[#This Row],[Ticker]]&amp;Table13[[#This Row],[Expiry]]&amp;""&amp;"P"&amp;Table13[[#This Row],[Strike]]))</f>
        <v>0</v>
      </c>
      <c r="Y384" s="19">
        <f>35.5* IF($M$1="NDX", 10, IF(OR($M$1="SPX", $M$1="RUT"), 2, 1))</f>
        <v>71</v>
      </c>
      <c r="Z384">
        <f ca="1">IFERROR(Table13[[#This Row],[call gamma]]*(Table13[[#This Row],[Open.Int]])*$A$4^2,0)</f>
        <v>0</v>
      </c>
      <c r="AA384">
        <f ca="1">IFERROR(((Table13[[#This Row],[Open.Int8]])*Table13[[#This Row],[Put gamma]])*-1*$A$4^2,0)</f>
        <v>0</v>
      </c>
      <c r="AB384">
        <f ca="1">(Table13[[#This Row],[Call Gex]]+Table13[[#This Row],[Put Gex]])</f>
        <v>0</v>
      </c>
      <c r="AC384">
        <f ca="1">Table13[[#This Row],[put delta adj]]+Table13[[#This Row],[call delta adj]]</f>
        <v>0</v>
      </c>
      <c r="AD384">
        <f ca="1">Table13[[#This Row],[Put Gex]]*Table13[[#This Row],[DeltaP]]*-1</f>
        <v>0</v>
      </c>
      <c r="AE384">
        <f ca="1">Table13[[#This Row],[Call Gex]]*Table13[[#This Row],[DeltaC]]</f>
        <v>0</v>
      </c>
      <c r="AF384">
        <f>IF(Table13[[#This Row],[DeltaC]]-ABS(Table13[[#This Row],[DeltaP]])="0","0.01",Table13[[#This Row],[DeltaC]]-ABS(Table13[[#This Row],[DeltaP]]))</f>
        <v>0</v>
      </c>
      <c r="AG384" t="e">
        <f ca="1">((LN($A$4/Table13[[#This Row],[Strike]]) + (0.411 + 0.5 * Table13[[#This Row],[IV Calc P]]^2) *Table13[[#This Row],[T]])) / (Table13[[#This Row],[IV Calc P]] * SQRT(Table13[[#This Row],[T]]))</f>
        <v>#DIV/0!</v>
      </c>
      <c r="AH384" t="e">
        <f ca="1">(LN($A$4/Table13[[#This Row],[Strike]]) + (0.411-0 + 0.5 * Table13[[#This Row],[IV Calc C]]^2) *Table13[[#This Row],[T]]) / (Table13[[#This Row],[IV Calc C]] * SQRT(Table13[[#This Row],[T]]))</f>
        <v>#DIV/0!</v>
      </c>
      <c r="AI384" t="e">
        <f ca="1">(EXP(-(AG384^2)/2)/SQRT(2*PI())*EXP(0*SQRT(Table13[[#This Row],[T]]))/$A$4*18%*SQRT(SQRT(Table13[[#This Row],[T]])))</f>
        <v>#DIV/0!</v>
      </c>
      <c r="AJ384" t="e">
        <f ca="1">(EXP(-(AH384^2)/2)/SQRT(2*PI())*EXP(0*SQRT(Table13[[#This Row],[T]]))/$A$4*18%*SQRT(SQRT(Table13[[#This Row],[T]])))</f>
        <v>#DIV/0!</v>
      </c>
      <c r="AK384" t="e">
        <f ca="1">Table13[[#This Row],[Call D1]]-Table13[[#This Row],[IV Calc C]]*SQRT(Table13[[#This Row],[T]])</f>
        <v>#DIV/0!</v>
      </c>
      <c r="AL384" t="e">
        <f ca="1">Table13[[#This Row],[Put D1]]-Table13[[#This Row],[IV Calc P]]*SQRT(Table13[[#This Row],[T]])</f>
        <v>#DIV/0!</v>
      </c>
      <c r="AM384" t="e">
        <f ca="1">EXP(-0.5*Table13[[#This Row],[Call D1]]^2)/SQRT(2*PI())</f>
        <v>#DIV/0!</v>
      </c>
      <c r="AN384" t="e">
        <f ca="1">EXP(-0.5*Table13[[#This Row],[Put D1]]^2)/SQRT(2*PI())</f>
        <v>#DIV/0!</v>
      </c>
      <c r="AO384">
        <f ca="1">IFERROR((EXP(0*Table13[[#This Row],[T]])*Table13[[#This Row],[call N(d1)]]*(Table13[[#This Row],[call d2]]/Table13[[#This Row],[IV Calc C]]))*Table13[[#This Row],[Open.Int]]*Table13[[#This Row],[DeltaC]],0)</f>
        <v>0</v>
      </c>
      <c r="AP384">
        <f ca="1">IFERROR((EXP(0*Table13[[#This Row],[T]])*Table13[[#This Row],[put N(d1)]]*(Table13[[#This Row],[put d2]]/Table13[[#This Row],[IV Calc P]]))*Table13[[#This Row],[Open.Int8]]*Table13[[#This Row],[DeltaP]]*-1,0)</f>
        <v>0</v>
      </c>
      <c r="AQ384">
        <f ca="1">((Table13[[#This Row],[call vanna]]+Table13[[#This Row],[put vanna]])*$A$4)</f>
        <v>0</v>
      </c>
      <c r="AR38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4" s="9" t="str" cm="1">
        <f t="array" ref="AT384">_xlfn.IFS(     $M$1="SPX","SPXW",     $M$1="RUT","RUTW",  $M$1="NDX","NDXP",   TRUE,$M$1 )</f>
        <v>SPXW</v>
      </c>
      <c r="AU384" s="2">
        <f t="shared" si="37"/>
        <v>6915</v>
      </c>
      <c r="AV384" t="str">
        <f t="shared" si="38"/>
        <v>000100</v>
      </c>
      <c r="AY38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4">
        <f>((Table13[[#This Row],[High C]]+Table13[[#This Row],[Low C]])/2)*Table13[[#This Row],[gammac]]*Table13[[#This Row],[Volume]]</f>
        <v>0</v>
      </c>
      <c r="BD384">
        <f>((Table13[[#This Row],[High P]]+Table13[[#This Row],[Low P]])/2)*Table13[[#This Row],[gammap]]*Table13[[#This Row],[Volume9]]*-1</f>
        <v>0</v>
      </c>
      <c r="BE384">
        <f>(Table13[[#This Row],[SgammaC]]+Table13[[#This Row],[SgammaP]])*$A$4*-100</f>
        <v>0</v>
      </c>
      <c r="BF384">
        <f>Table13[[#This Row],[DEXc]]+Table13[[#This Row],[DEXp]]</f>
        <v>0</v>
      </c>
      <c r="BG384">
        <f>IFERROR(Table13[[#This Row],[DeltaC]]*Table13[[#This Row],[Open.Int]]*$A$4,0)</f>
        <v>0</v>
      </c>
      <c r="BH384">
        <f>IFERROR(Table13[[#This Row],[DeltaP]]*Table13[[#This Row],[Open.Int8]]*$A$4,0)</f>
        <v>0</v>
      </c>
      <c r="BI38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4">
        <f ca="1">Table13[[#This Row],[charmc]]+Table13[[#This Row],[charmp]]</f>
        <v>0</v>
      </c>
      <c r="BL38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4" s="78">
        <f ca="1">Table13[[#This Row],[call helper]]+Table13[[#This Row],[put helper]]</f>
        <v>0</v>
      </c>
      <c r="BP384" t="str">
        <f>RTD("tos.rtd", , "STRIKE", "."&amp;Table13[[#This Row],[Ticker]]&amp;Table13[[#This Row],[Expiry]]&amp;""&amp;"C"&amp;Table13[[#This Row],[Spot]]+Table13[[#This Row],[step]])</f>
        <v>N/A</v>
      </c>
    </row>
    <row r="385" spans="1:68" x14ac:dyDescent="0.25">
      <c r="A385" s="14">
        <f t="shared" ca="1" si="34"/>
        <v>-126.14810350076104</v>
      </c>
      <c r="C385" s="17"/>
      <c r="D385" t="b">
        <f>IF(
    ISNUMBER(Table13[[#This Row],[Strike]]),RTD("tos.rtd", , "OPEN_INT", "."&amp;Table13[[#This Row],[Ticker]]&amp;Table13[[#This Row],[Expiry]]&amp;""&amp;"C"&amp;Table13[[#This Row],[Strike]]))</f>
        <v>0</v>
      </c>
      <c r="E38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5" t="b">
        <f>IF(     ISNUMBER(Table13[[#This Row],[Strike]]),RTD("tos.rtd", , "DELTA", "."&amp;Table13[[#This Row],[Ticker]]&amp;Table13[[#This Row],[Expiry]]&amp;""&amp;"C"&amp;Table13[[#This Row],[Strike]]))</f>
        <v>0</v>
      </c>
      <c r="H385" s="17" t="b" cm="1">
        <f t="array" ref="H385">IF(
    ISNUMBER(Table13[[#This Row],[Strike]]),IndividualLegIVCore($A$4, Table13[[#This Row],[Strike]], 0.0411, Table13[[#This Row],[T]], ((Table13[[#This Row],[BIDC]]+Table13[[#This Row],[ASKC]])/2), TRUE))</f>
        <v>0</v>
      </c>
      <c r="I385" t="b">
        <f>IF(     ISNUMBER(Table13[[#This Row],[Strike]]),RTD("tos.rtd", , "BID", "."&amp;Table13[[#This Row],[Ticker]]&amp;Table13[[#This Row],[Expiry]]&amp;""&amp;"C"&amp;Table13[[#This Row],[Strike]]))</f>
        <v>0</v>
      </c>
      <c r="J385" t="b">
        <f>IF(     ISNUMBER(Table13[[#This Row],[Strike]]),RTD("tos.rtd", , "ASK", "."&amp;Table13[[#This Row],[Ticker]]&amp;Table13[[#This Row],[Expiry]]&amp;""&amp;"C"&amp;Table13[[#This Row],[Strike]]))</f>
        <v>0</v>
      </c>
      <c r="K38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5" s="17" cm="1">
        <f t="array" aca="1" ref="L38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5" s="1">
        <f t="shared" si="35"/>
        <v>0</v>
      </c>
      <c r="N385" t="b">
        <f t="shared" si="36"/>
        <v>0</v>
      </c>
      <c r="P385" s="17" t="b" cm="1">
        <f t="array" ref="P385">IF(
    ISNUMBER(Table13[[#This Row],[Strike]]),IndividualLegIVCore($A$4, Table13[[#This Row],[Strike]], 0.0411, Table13[[#This Row],[T]], ((Table13[[#This Row],[BIDP]]+Table13[[#This Row],[ASKP]])/2), FALSE))</f>
        <v>0</v>
      </c>
      <c r="Q385" t="b">
        <f>IF(     ISNUMBER(Table13[[#This Row],[Strike]]),RTD("tos.rtd", , "BID", "."&amp;Table13[[#This Row],[Ticker]]&amp;Table13[[#This Row],[Expiry]]&amp;""&amp;"P"&amp;Table13[[#This Row],[Strike]]))</f>
        <v>0</v>
      </c>
      <c r="R385" t="b">
        <f>IF(     ISNUMBER(Table13[[#This Row],[Strike]]),RTD("tos.rtd", , "ASK", "."&amp;Table13[[#This Row],[Ticker]]&amp;Table13[[#This Row],[Expiry]]&amp;""&amp;"P"&amp;Table13[[#This Row],[Strike]]))</f>
        <v>0</v>
      </c>
      <c r="S385" s="17"/>
      <c r="T385" t="b">
        <f>IF(     ISNUMBER(Table13[[#This Row],[Strike]]),RTD("tos.rtd", , "OPEN_INT", "."&amp;Table13[[#This Row],[Ticker]]&amp;Table13[[#This Row],[Expiry]]&amp;""&amp;"P"&amp;Table13[[#This Row],[Strike]]))</f>
        <v>0</v>
      </c>
      <c r="U38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5" t="b">
        <f>IF(     ISNUMBER(Table13[[#This Row],[Strike]]),RTD("tos.rtd", , "DELTA", "."&amp;Table13[[#This Row],[Ticker]]&amp;Table13[[#This Row],[Expiry]]&amp;""&amp;"P"&amp;Table13[[#This Row],[Strike]]))</f>
        <v>0</v>
      </c>
      <c r="Y385" s="19">
        <f>36* IF($M$1="NDX", 10, IF(OR($M$1="SPX", $M$1="RUT"), 2, 1))</f>
        <v>72</v>
      </c>
      <c r="Z385">
        <f ca="1">IFERROR(Table13[[#This Row],[call gamma]]*(Table13[[#This Row],[Open.Int]])*$A$4^2,0)</f>
        <v>0</v>
      </c>
      <c r="AA385">
        <f ca="1">IFERROR(((Table13[[#This Row],[Open.Int8]])*Table13[[#This Row],[Put gamma]])*-1*$A$4^2,0)</f>
        <v>0</v>
      </c>
      <c r="AB385">
        <f ca="1">(Table13[[#This Row],[Call Gex]]+Table13[[#This Row],[Put Gex]])</f>
        <v>0</v>
      </c>
      <c r="AC385">
        <f ca="1">Table13[[#This Row],[put delta adj]]+Table13[[#This Row],[call delta adj]]</f>
        <v>0</v>
      </c>
      <c r="AD385">
        <f ca="1">Table13[[#This Row],[Put Gex]]*Table13[[#This Row],[DeltaP]]*-1</f>
        <v>0</v>
      </c>
      <c r="AE385">
        <f ca="1">Table13[[#This Row],[Call Gex]]*Table13[[#This Row],[DeltaC]]</f>
        <v>0</v>
      </c>
      <c r="AF385">
        <f>IF(Table13[[#This Row],[DeltaC]]-ABS(Table13[[#This Row],[DeltaP]])="0","0.01",Table13[[#This Row],[DeltaC]]-ABS(Table13[[#This Row],[DeltaP]]))</f>
        <v>0</v>
      </c>
      <c r="AG385" t="e">
        <f ca="1">((LN($A$4/Table13[[#This Row],[Strike]]) + (0.411 + 0.5 * Table13[[#This Row],[IV Calc P]]^2) *Table13[[#This Row],[T]])) / (Table13[[#This Row],[IV Calc P]] * SQRT(Table13[[#This Row],[T]]))</f>
        <v>#DIV/0!</v>
      </c>
      <c r="AH385" t="e">
        <f ca="1">(LN($A$4/Table13[[#This Row],[Strike]]) + (0.411-0 + 0.5 * Table13[[#This Row],[IV Calc C]]^2) *Table13[[#This Row],[T]]) / (Table13[[#This Row],[IV Calc C]] * SQRT(Table13[[#This Row],[T]]))</f>
        <v>#DIV/0!</v>
      </c>
      <c r="AI385" t="e">
        <f ca="1">(EXP(-(AG385^2)/2)/SQRT(2*PI())*EXP(0*SQRT(Table13[[#This Row],[T]]))/$A$4*18%*SQRT(SQRT(Table13[[#This Row],[T]])))</f>
        <v>#DIV/0!</v>
      </c>
      <c r="AJ385" t="e">
        <f ca="1">(EXP(-(AH385^2)/2)/SQRT(2*PI())*EXP(0*SQRT(Table13[[#This Row],[T]]))/$A$4*18%*SQRT(SQRT(Table13[[#This Row],[T]])))</f>
        <v>#DIV/0!</v>
      </c>
      <c r="AK385" t="e">
        <f ca="1">Table13[[#This Row],[Call D1]]-Table13[[#This Row],[IV Calc C]]*SQRT(Table13[[#This Row],[T]])</f>
        <v>#DIV/0!</v>
      </c>
      <c r="AL385" t="e">
        <f ca="1">Table13[[#This Row],[Put D1]]-Table13[[#This Row],[IV Calc P]]*SQRT(Table13[[#This Row],[T]])</f>
        <v>#DIV/0!</v>
      </c>
      <c r="AM385" t="e">
        <f ca="1">EXP(-0.5*Table13[[#This Row],[Call D1]]^2)/SQRT(2*PI())</f>
        <v>#DIV/0!</v>
      </c>
      <c r="AN385" t="e">
        <f ca="1">EXP(-0.5*Table13[[#This Row],[Put D1]]^2)/SQRT(2*PI())</f>
        <v>#DIV/0!</v>
      </c>
      <c r="AO385">
        <f ca="1">IFERROR((EXP(0*Table13[[#This Row],[T]])*Table13[[#This Row],[call N(d1)]]*(Table13[[#This Row],[call d2]]/Table13[[#This Row],[IV Calc C]]))*Table13[[#This Row],[Open.Int]]*Table13[[#This Row],[DeltaC]],0)</f>
        <v>0</v>
      </c>
      <c r="AP385">
        <f ca="1">IFERROR((EXP(0*Table13[[#This Row],[T]])*Table13[[#This Row],[put N(d1)]]*(Table13[[#This Row],[put d2]]/Table13[[#This Row],[IV Calc P]]))*Table13[[#This Row],[Open.Int8]]*Table13[[#This Row],[DeltaP]]*-1,0)</f>
        <v>0</v>
      </c>
      <c r="AQ385">
        <f ca="1">((Table13[[#This Row],[call vanna]]+Table13[[#This Row],[put vanna]])*$A$4)</f>
        <v>0</v>
      </c>
      <c r="AR38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5" s="9" t="str" cm="1">
        <f t="array" ref="AT385">_xlfn.IFS(     $M$1="SPX","SPXW",     $M$1="RUT","RUTW",  $M$1="NDX","NDXP",   TRUE,$M$1 )</f>
        <v>SPXW</v>
      </c>
      <c r="AU385" s="2">
        <f t="shared" si="37"/>
        <v>6915</v>
      </c>
      <c r="AV385" t="str">
        <f t="shared" si="38"/>
        <v>000100</v>
      </c>
      <c r="AY38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5">
        <f>((Table13[[#This Row],[High C]]+Table13[[#This Row],[Low C]])/2)*Table13[[#This Row],[gammac]]*Table13[[#This Row],[Volume]]</f>
        <v>0</v>
      </c>
      <c r="BD385">
        <f>((Table13[[#This Row],[High P]]+Table13[[#This Row],[Low P]])/2)*Table13[[#This Row],[gammap]]*Table13[[#This Row],[Volume9]]*-1</f>
        <v>0</v>
      </c>
      <c r="BE385">
        <f>(Table13[[#This Row],[SgammaC]]+Table13[[#This Row],[SgammaP]])*$A$4*-100</f>
        <v>0</v>
      </c>
      <c r="BF385">
        <f>Table13[[#This Row],[DEXc]]+Table13[[#This Row],[DEXp]]</f>
        <v>0</v>
      </c>
      <c r="BG385">
        <f>IFERROR(Table13[[#This Row],[DeltaC]]*Table13[[#This Row],[Open.Int]]*$A$4,0)</f>
        <v>0</v>
      </c>
      <c r="BH385">
        <f>IFERROR(Table13[[#This Row],[DeltaP]]*Table13[[#This Row],[Open.Int8]]*$A$4,0)</f>
        <v>0</v>
      </c>
      <c r="BI38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5">
        <f ca="1">Table13[[#This Row],[charmc]]+Table13[[#This Row],[charmp]]</f>
        <v>0</v>
      </c>
      <c r="BL38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5" s="78">
        <f ca="1">Table13[[#This Row],[call helper]]+Table13[[#This Row],[put helper]]</f>
        <v>0</v>
      </c>
      <c r="BP385" t="str">
        <f>RTD("tos.rtd", , "STRIKE", "."&amp;Table13[[#This Row],[Ticker]]&amp;Table13[[#This Row],[Expiry]]&amp;""&amp;"C"&amp;Table13[[#This Row],[Spot]]+Table13[[#This Row],[step]])</f>
        <v>N/A</v>
      </c>
    </row>
    <row r="386" spans="1:68" x14ac:dyDescent="0.25">
      <c r="A386" s="14">
        <f t="shared" ca="1" si="34"/>
        <v>-126.14810350076104</v>
      </c>
      <c r="C386" s="17"/>
      <c r="D386" t="b">
        <f>IF(
    ISNUMBER(Table13[[#This Row],[Strike]]),RTD("tos.rtd", , "OPEN_INT", "."&amp;Table13[[#This Row],[Ticker]]&amp;Table13[[#This Row],[Expiry]]&amp;""&amp;"C"&amp;Table13[[#This Row],[Strike]]))</f>
        <v>0</v>
      </c>
      <c r="E38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6" t="b">
        <f>IF(     ISNUMBER(Table13[[#This Row],[Strike]]),RTD("tos.rtd", , "DELTA", "."&amp;Table13[[#This Row],[Ticker]]&amp;Table13[[#This Row],[Expiry]]&amp;""&amp;"C"&amp;Table13[[#This Row],[Strike]]))</f>
        <v>0</v>
      </c>
      <c r="H386" s="17" t="b" cm="1">
        <f t="array" ref="H386">IF(
    ISNUMBER(Table13[[#This Row],[Strike]]),IndividualLegIVCore($A$4, Table13[[#This Row],[Strike]], 0.0411, Table13[[#This Row],[T]], ((Table13[[#This Row],[BIDC]]+Table13[[#This Row],[ASKC]])/2), TRUE))</f>
        <v>0</v>
      </c>
      <c r="I386" t="b">
        <f>IF(     ISNUMBER(Table13[[#This Row],[Strike]]),RTD("tos.rtd", , "BID", "."&amp;Table13[[#This Row],[Ticker]]&amp;Table13[[#This Row],[Expiry]]&amp;""&amp;"C"&amp;Table13[[#This Row],[Strike]]))</f>
        <v>0</v>
      </c>
      <c r="J386" t="b">
        <f>IF(     ISNUMBER(Table13[[#This Row],[Strike]]),RTD("tos.rtd", , "ASK", "."&amp;Table13[[#This Row],[Ticker]]&amp;Table13[[#This Row],[Expiry]]&amp;""&amp;"C"&amp;Table13[[#This Row],[Strike]]))</f>
        <v>0</v>
      </c>
      <c r="K38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6" s="17" cm="1">
        <f t="array" aca="1" ref="L38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6" s="1">
        <f t="shared" si="35"/>
        <v>0</v>
      </c>
      <c r="N386" t="b">
        <f t="shared" si="36"/>
        <v>0</v>
      </c>
      <c r="P386" s="17" t="b" cm="1">
        <f t="array" ref="P386">IF(
    ISNUMBER(Table13[[#This Row],[Strike]]),IndividualLegIVCore($A$4, Table13[[#This Row],[Strike]], 0.0411, Table13[[#This Row],[T]], ((Table13[[#This Row],[BIDP]]+Table13[[#This Row],[ASKP]])/2), FALSE))</f>
        <v>0</v>
      </c>
      <c r="Q386" t="b">
        <f>IF(     ISNUMBER(Table13[[#This Row],[Strike]]),RTD("tos.rtd", , "BID", "."&amp;Table13[[#This Row],[Ticker]]&amp;Table13[[#This Row],[Expiry]]&amp;""&amp;"P"&amp;Table13[[#This Row],[Strike]]))</f>
        <v>0</v>
      </c>
      <c r="R386" t="b">
        <f>IF(     ISNUMBER(Table13[[#This Row],[Strike]]),RTD("tos.rtd", , "ASK", "."&amp;Table13[[#This Row],[Ticker]]&amp;Table13[[#This Row],[Expiry]]&amp;""&amp;"P"&amp;Table13[[#This Row],[Strike]]))</f>
        <v>0</v>
      </c>
      <c r="S386" s="17"/>
      <c r="T386" t="b">
        <f>IF(     ISNUMBER(Table13[[#This Row],[Strike]]),RTD("tos.rtd", , "OPEN_INT", "."&amp;Table13[[#This Row],[Ticker]]&amp;Table13[[#This Row],[Expiry]]&amp;""&amp;"P"&amp;Table13[[#This Row],[Strike]]))</f>
        <v>0</v>
      </c>
      <c r="U38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6" t="b">
        <f>IF(     ISNUMBER(Table13[[#This Row],[Strike]]),RTD("tos.rtd", , "DELTA", "."&amp;Table13[[#This Row],[Ticker]]&amp;Table13[[#This Row],[Expiry]]&amp;""&amp;"P"&amp;Table13[[#This Row],[Strike]]))</f>
        <v>0</v>
      </c>
      <c r="Y386" s="19">
        <f>36.5* IF($M$1="NDX", 10, IF(OR($M$1="SPX", $M$1="RUT"), 2, 1))</f>
        <v>73</v>
      </c>
      <c r="Z386">
        <f ca="1">IFERROR(Table13[[#This Row],[call gamma]]*(Table13[[#This Row],[Open.Int]])*$A$4^2,0)</f>
        <v>0</v>
      </c>
      <c r="AA386">
        <f ca="1">IFERROR(((Table13[[#This Row],[Open.Int8]])*Table13[[#This Row],[Put gamma]])*-1*$A$4^2,0)</f>
        <v>0</v>
      </c>
      <c r="AB386">
        <f ca="1">(Table13[[#This Row],[Call Gex]]+Table13[[#This Row],[Put Gex]])</f>
        <v>0</v>
      </c>
      <c r="AC386">
        <f ca="1">Table13[[#This Row],[put delta adj]]+Table13[[#This Row],[call delta adj]]</f>
        <v>0</v>
      </c>
      <c r="AD386">
        <f ca="1">Table13[[#This Row],[Put Gex]]*Table13[[#This Row],[DeltaP]]*-1</f>
        <v>0</v>
      </c>
      <c r="AE386">
        <f ca="1">Table13[[#This Row],[Call Gex]]*Table13[[#This Row],[DeltaC]]</f>
        <v>0</v>
      </c>
      <c r="AF386">
        <f>IF(Table13[[#This Row],[DeltaC]]-ABS(Table13[[#This Row],[DeltaP]])="0","0.01",Table13[[#This Row],[DeltaC]]-ABS(Table13[[#This Row],[DeltaP]]))</f>
        <v>0</v>
      </c>
      <c r="AG386" t="e">
        <f ca="1">((LN($A$4/Table13[[#This Row],[Strike]]) + (0.411 + 0.5 * Table13[[#This Row],[IV Calc P]]^2) *Table13[[#This Row],[T]])) / (Table13[[#This Row],[IV Calc P]] * SQRT(Table13[[#This Row],[T]]))</f>
        <v>#DIV/0!</v>
      </c>
      <c r="AH386" t="e">
        <f ca="1">(LN($A$4/Table13[[#This Row],[Strike]]) + (0.411-0 + 0.5 * Table13[[#This Row],[IV Calc C]]^2) *Table13[[#This Row],[T]]) / (Table13[[#This Row],[IV Calc C]] * SQRT(Table13[[#This Row],[T]]))</f>
        <v>#DIV/0!</v>
      </c>
      <c r="AI386" t="e">
        <f ca="1">(EXP(-(AG386^2)/2)/SQRT(2*PI())*EXP(0*SQRT(Table13[[#This Row],[T]]))/$A$4*18%*SQRT(SQRT(Table13[[#This Row],[T]])))</f>
        <v>#DIV/0!</v>
      </c>
      <c r="AJ386" t="e">
        <f ca="1">(EXP(-(AH386^2)/2)/SQRT(2*PI())*EXP(0*SQRT(Table13[[#This Row],[T]]))/$A$4*18%*SQRT(SQRT(Table13[[#This Row],[T]])))</f>
        <v>#DIV/0!</v>
      </c>
      <c r="AK386" t="e">
        <f ca="1">Table13[[#This Row],[Call D1]]-Table13[[#This Row],[IV Calc C]]*SQRT(Table13[[#This Row],[T]])</f>
        <v>#DIV/0!</v>
      </c>
      <c r="AL386" t="e">
        <f ca="1">Table13[[#This Row],[Put D1]]-Table13[[#This Row],[IV Calc P]]*SQRT(Table13[[#This Row],[T]])</f>
        <v>#DIV/0!</v>
      </c>
      <c r="AM386" t="e">
        <f ca="1">EXP(-0.5*Table13[[#This Row],[Call D1]]^2)/SQRT(2*PI())</f>
        <v>#DIV/0!</v>
      </c>
      <c r="AN386" t="e">
        <f ca="1">EXP(-0.5*Table13[[#This Row],[Put D1]]^2)/SQRT(2*PI())</f>
        <v>#DIV/0!</v>
      </c>
      <c r="AO386">
        <f ca="1">IFERROR((EXP(0*Table13[[#This Row],[T]])*Table13[[#This Row],[call N(d1)]]*(Table13[[#This Row],[call d2]]/Table13[[#This Row],[IV Calc C]]))*Table13[[#This Row],[Open.Int]]*Table13[[#This Row],[DeltaC]],0)</f>
        <v>0</v>
      </c>
      <c r="AP386">
        <f ca="1">IFERROR((EXP(0*Table13[[#This Row],[T]])*Table13[[#This Row],[put N(d1)]]*(Table13[[#This Row],[put d2]]/Table13[[#This Row],[IV Calc P]]))*Table13[[#This Row],[Open.Int8]]*Table13[[#This Row],[DeltaP]]*-1,0)</f>
        <v>0</v>
      </c>
      <c r="AQ386">
        <f ca="1">((Table13[[#This Row],[call vanna]]+Table13[[#This Row],[put vanna]])*$A$4)</f>
        <v>0</v>
      </c>
      <c r="AR38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6" s="9" t="str" cm="1">
        <f t="array" ref="AT386">_xlfn.IFS(     $M$1="SPX","SPXW",     $M$1="RUT","RUTW",  $M$1="NDX","NDXP",   TRUE,$M$1 )</f>
        <v>SPXW</v>
      </c>
      <c r="AU386" s="2">
        <f t="shared" si="37"/>
        <v>6915</v>
      </c>
      <c r="AV386" t="str">
        <f t="shared" si="38"/>
        <v>000100</v>
      </c>
      <c r="AY38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6">
        <f>((Table13[[#This Row],[High C]]+Table13[[#This Row],[Low C]])/2)*Table13[[#This Row],[gammac]]*Table13[[#This Row],[Volume]]</f>
        <v>0</v>
      </c>
      <c r="BD386">
        <f>((Table13[[#This Row],[High P]]+Table13[[#This Row],[Low P]])/2)*Table13[[#This Row],[gammap]]*Table13[[#This Row],[Volume9]]*-1</f>
        <v>0</v>
      </c>
      <c r="BE386">
        <f>(Table13[[#This Row],[SgammaC]]+Table13[[#This Row],[SgammaP]])*$A$4*-100</f>
        <v>0</v>
      </c>
      <c r="BF386">
        <f>Table13[[#This Row],[DEXc]]+Table13[[#This Row],[DEXp]]</f>
        <v>0</v>
      </c>
      <c r="BG386">
        <f>IFERROR(Table13[[#This Row],[DeltaC]]*Table13[[#This Row],[Open.Int]]*$A$4,0)</f>
        <v>0</v>
      </c>
      <c r="BH386">
        <f>IFERROR(Table13[[#This Row],[DeltaP]]*Table13[[#This Row],[Open.Int8]]*$A$4,0)</f>
        <v>0</v>
      </c>
      <c r="BI38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6">
        <f ca="1">Table13[[#This Row],[charmc]]+Table13[[#This Row],[charmp]]</f>
        <v>0</v>
      </c>
      <c r="BL38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6" s="78">
        <f ca="1">Table13[[#This Row],[call helper]]+Table13[[#This Row],[put helper]]</f>
        <v>0</v>
      </c>
      <c r="BP386" t="str">
        <f>RTD("tos.rtd", , "STRIKE", "."&amp;Table13[[#This Row],[Ticker]]&amp;Table13[[#This Row],[Expiry]]&amp;""&amp;"C"&amp;Table13[[#This Row],[Spot]]+Table13[[#This Row],[step]])</f>
        <v>N/A</v>
      </c>
    </row>
    <row r="387" spans="1:68" x14ac:dyDescent="0.25">
      <c r="A387" s="14">
        <f t="shared" ca="1" si="34"/>
        <v>-126.14810350076104</v>
      </c>
      <c r="C387" s="17"/>
      <c r="D387" t="b">
        <f>IF(
    ISNUMBER(Table13[[#This Row],[Strike]]),RTD("tos.rtd", , "OPEN_INT", "."&amp;Table13[[#This Row],[Ticker]]&amp;Table13[[#This Row],[Expiry]]&amp;""&amp;"C"&amp;Table13[[#This Row],[Strike]]))</f>
        <v>0</v>
      </c>
      <c r="E38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7" t="b">
        <f>IF(     ISNUMBER(Table13[[#This Row],[Strike]]),RTD("tos.rtd", , "DELTA", "."&amp;Table13[[#This Row],[Ticker]]&amp;Table13[[#This Row],[Expiry]]&amp;""&amp;"C"&amp;Table13[[#This Row],[Strike]]))</f>
        <v>0</v>
      </c>
      <c r="H387" s="17" t="b" cm="1">
        <f t="array" ref="H387">IF(
    ISNUMBER(Table13[[#This Row],[Strike]]),IndividualLegIVCore($A$4, Table13[[#This Row],[Strike]], 0.0411, Table13[[#This Row],[T]], ((Table13[[#This Row],[BIDC]]+Table13[[#This Row],[ASKC]])/2), TRUE))</f>
        <v>0</v>
      </c>
      <c r="I387" t="b">
        <f>IF(     ISNUMBER(Table13[[#This Row],[Strike]]),RTD("tos.rtd", , "BID", "."&amp;Table13[[#This Row],[Ticker]]&amp;Table13[[#This Row],[Expiry]]&amp;""&amp;"C"&amp;Table13[[#This Row],[Strike]]))</f>
        <v>0</v>
      </c>
      <c r="J387" t="b">
        <f>IF(     ISNUMBER(Table13[[#This Row],[Strike]]),RTD("tos.rtd", , "ASK", "."&amp;Table13[[#This Row],[Ticker]]&amp;Table13[[#This Row],[Expiry]]&amp;""&amp;"C"&amp;Table13[[#This Row],[Strike]]))</f>
        <v>0</v>
      </c>
      <c r="K38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7" s="17" cm="1">
        <f t="array" aca="1" ref="L38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7" s="1">
        <f t="shared" si="35"/>
        <v>0</v>
      </c>
      <c r="N387" t="b">
        <f t="shared" si="36"/>
        <v>0</v>
      </c>
      <c r="P387" s="17" t="b" cm="1">
        <f t="array" ref="P387">IF(
    ISNUMBER(Table13[[#This Row],[Strike]]),IndividualLegIVCore($A$4, Table13[[#This Row],[Strike]], 0.0411, Table13[[#This Row],[T]], ((Table13[[#This Row],[BIDP]]+Table13[[#This Row],[ASKP]])/2), FALSE))</f>
        <v>0</v>
      </c>
      <c r="Q387" t="b">
        <f>IF(     ISNUMBER(Table13[[#This Row],[Strike]]),RTD("tos.rtd", , "BID", "."&amp;Table13[[#This Row],[Ticker]]&amp;Table13[[#This Row],[Expiry]]&amp;""&amp;"P"&amp;Table13[[#This Row],[Strike]]))</f>
        <v>0</v>
      </c>
      <c r="R387" t="b">
        <f>IF(     ISNUMBER(Table13[[#This Row],[Strike]]),RTD("tos.rtd", , "ASK", "."&amp;Table13[[#This Row],[Ticker]]&amp;Table13[[#This Row],[Expiry]]&amp;""&amp;"P"&amp;Table13[[#This Row],[Strike]]))</f>
        <v>0</v>
      </c>
      <c r="S387" s="17"/>
      <c r="T387" t="b">
        <f>IF(     ISNUMBER(Table13[[#This Row],[Strike]]),RTD("tos.rtd", , "OPEN_INT", "."&amp;Table13[[#This Row],[Ticker]]&amp;Table13[[#This Row],[Expiry]]&amp;""&amp;"P"&amp;Table13[[#This Row],[Strike]]))</f>
        <v>0</v>
      </c>
      <c r="U38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7" t="b">
        <f>IF(     ISNUMBER(Table13[[#This Row],[Strike]]),RTD("tos.rtd", , "DELTA", "."&amp;Table13[[#This Row],[Ticker]]&amp;Table13[[#This Row],[Expiry]]&amp;""&amp;"P"&amp;Table13[[#This Row],[Strike]]))</f>
        <v>0</v>
      </c>
      <c r="Y387" s="19">
        <f>37* IF($M$1="NDX", 10, IF(OR($M$1="SPX", $M$1="RUT"), 2, 1))</f>
        <v>74</v>
      </c>
      <c r="Z387">
        <f ca="1">IFERROR(Table13[[#This Row],[call gamma]]*(Table13[[#This Row],[Open.Int]])*$A$4^2,0)</f>
        <v>0</v>
      </c>
      <c r="AA387">
        <f ca="1">IFERROR(((Table13[[#This Row],[Open.Int8]])*Table13[[#This Row],[Put gamma]])*-1*$A$4^2,0)</f>
        <v>0</v>
      </c>
      <c r="AB387">
        <f ca="1">(Table13[[#This Row],[Call Gex]]+Table13[[#This Row],[Put Gex]])</f>
        <v>0</v>
      </c>
      <c r="AC387">
        <f ca="1">Table13[[#This Row],[put delta adj]]+Table13[[#This Row],[call delta adj]]</f>
        <v>0</v>
      </c>
      <c r="AD387">
        <f ca="1">Table13[[#This Row],[Put Gex]]*Table13[[#This Row],[DeltaP]]*-1</f>
        <v>0</v>
      </c>
      <c r="AE387">
        <f ca="1">Table13[[#This Row],[Call Gex]]*Table13[[#This Row],[DeltaC]]</f>
        <v>0</v>
      </c>
      <c r="AF387">
        <f>IF(Table13[[#This Row],[DeltaC]]-ABS(Table13[[#This Row],[DeltaP]])="0","0.01",Table13[[#This Row],[DeltaC]]-ABS(Table13[[#This Row],[DeltaP]]))</f>
        <v>0</v>
      </c>
      <c r="AG387" t="e">
        <f ca="1">((LN($A$4/Table13[[#This Row],[Strike]]) + (0.411 + 0.5 * Table13[[#This Row],[IV Calc P]]^2) *Table13[[#This Row],[T]])) / (Table13[[#This Row],[IV Calc P]] * SQRT(Table13[[#This Row],[T]]))</f>
        <v>#DIV/0!</v>
      </c>
      <c r="AH387" t="e">
        <f ca="1">(LN($A$4/Table13[[#This Row],[Strike]]) + (0.411-0 + 0.5 * Table13[[#This Row],[IV Calc C]]^2) *Table13[[#This Row],[T]]) / (Table13[[#This Row],[IV Calc C]] * SQRT(Table13[[#This Row],[T]]))</f>
        <v>#DIV/0!</v>
      </c>
      <c r="AI387" t="e">
        <f ca="1">(EXP(-(AG387^2)/2)/SQRT(2*PI())*EXP(0*SQRT(Table13[[#This Row],[T]]))/$A$4*18%*SQRT(SQRT(Table13[[#This Row],[T]])))</f>
        <v>#DIV/0!</v>
      </c>
      <c r="AJ387" t="e">
        <f ca="1">(EXP(-(AH387^2)/2)/SQRT(2*PI())*EXP(0*SQRT(Table13[[#This Row],[T]]))/$A$4*18%*SQRT(SQRT(Table13[[#This Row],[T]])))</f>
        <v>#DIV/0!</v>
      </c>
      <c r="AK387" t="e">
        <f ca="1">Table13[[#This Row],[Call D1]]-Table13[[#This Row],[IV Calc C]]*SQRT(Table13[[#This Row],[T]])</f>
        <v>#DIV/0!</v>
      </c>
      <c r="AL387" t="e">
        <f ca="1">Table13[[#This Row],[Put D1]]-Table13[[#This Row],[IV Calc P]]*SQRT(Table13[[#This Row],[T]])</f>
        <v>#DIV/0!</v>
      </c>
      <c r="AM387" t="e">
        <f ca="1">EXP(-0.5*Table13[[#This Row],[Call D1]]^2)/SQRT(2*PI())</f>
        <v>#DIV/0!</v>
      </c>
      <c r="AN387" t="e">
        <f ca="1">EXP(-0.5*Table13[[#This Row],[Put D1]]^2)/SQRT(2*PI())</f>
        <v>#DIV/0!</v>
      </c>
      <c r="AO387">
        <f ca="1">IFERROR((EXP(0*Table13[[#This Row],[T]])*Table13[[#This Row],[call N(d1)]]*(Table13[[#This Row],[call d2]]/Table13[[#This Row],[IV Calc C]]))*Table13[[#This Row],[Open.Int]]*Table13[[#This Row],[DeltaC]],0)</f>
        <v>0</v>
      </c>
      <c r="AP387">
        <f ca="1">IFERROR((EXP(0*Table13[[#This Row],[T]])*Table13[[#This Row],[put N(d1)]]*(Table13[[#This Row],[put d2]]/Table13[[#This Row],[IV Calc P]]))*Table13[[#This Row],[Open.Int8]]*Table13[[#This Row],[DeltaP]]*-1,0)</f>
        <v>0</v>
      </c>
      <c r="AQ387">
        <f ca="1">((Table13[[#This Row],[call vanna]]+Table13[[#This Row],[put vanna]])*$A$4)</f>
        <v>0</v>
      </c>
      <c r="AR38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7" s="9" t="str" cm="1">
        <f t="array" ref="AT387">_xlfn.IFS(     $M$1="SPX","SPXW",     $M$1="RUT","RUTW",  $M$1="NDX","NDXP",   TRUE,$M$1 )</f>
        <v>SPXW</v>
      </c>
      <c r="AU387" s="2">
        <f t="shared" si="37"/>
        <v>6915</v>
      </c>
      <c r="AV387" t="str">
        <f t="shared" si="38"/>
        <v>000100</v>
      </c>
      <c r="AY38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7">
        <f>((Table13[[#This Row],[High C]]+Table13[[#This Row],[Low C]])/2)*Table13[[#This Row],[gammac]]*Table13[[#This Row],[Volume]]</f>
        <v>0</v>
      </c>
      <c r="BD387">
        <f>((Table13[[#This Row],[High P]]+Table13[[#This Row],[Low P]])/2)*Table13[[#This Row],[gammap]]*Table13[[#This Row],[Volume9]]*-1</f>
        <v>0</v>
      </c>
      <c r="BE387">
        <f>(Table13[[#This Row],[SgammaC]]+Table13[[#This Row],[SgammaP]])*$A$4*-100</f>
        <v>0</v>
      </c>
      <c r="BF387">
        <f>Table13[[#This Row],[DEXc]]+Table13[[#This Row],[DEXp]]</f>
        <v>0</v>
      </c>
      <c r="BG387">
        <f>IFERROR(Table13[[#This Row],[DeltaC]]*Table13[[#This Row],[Open.Int]]*$A$4,0)</f>
        <v>0</v>
      </c>
      <c r="BH387">
        <f>IFERROR(Table13[[#This Row],[DeltaP]]*Table13[[#This Row],[Open.Int8]]*$A$4,0)</f>
        <v>0</v>
      </c>
      <c r="BI38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7">
        <f ca="1">Table13[[#This Row],[charmc]]+Table13[[#This Row],[charmp]]</f>
        <v>0</v>
      </c>
      <c r="BL38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7" s="78">
        <f ca="1">Table13[[#This Row],[call helper]]+Table13[[#This Row],[put helper]]</f>
        <v>0</v>
      </c>
      <c r="BP387" t="str">
        <f>RTD("tos.rtd", , "STRIKE", "."&amp;Table13[[#This Row],[Ticker]]&amp;Table13[[#This Row],[Expiry]]&amp;""&amp;"C"&amp;Table13[[#This Row],[Spot]]+Table13[[#This Row],[step]])</f>
        <v>N/A</v>
      </c>
    </row>
    <row r="388" spans="1:68" x14ac:dyDescent="0.25">
      <c r="A388" s="14">
        <f t="shared" ca="1" si="34"/>
        <v>-126.14810350076104</v>
      </c>
      <c r="C388" s="17"/>
      <c r="D388" t="b">
        <f>IF(
    ISNUMBER(Table13[[#This Row],[Strike]]),RTD("tos.rtd", , "OPEN_INT", "."&amp;Table13[[#This Row],[Ticker]]&amp;Table13[[#This Row],[Expiry]]&amp;""&amp;"C"&amp;Table13[[#This Row],[Strike]]))</f>
        <v>0</v>
      </c>
      <c r="E38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8" t="b">
        <f>IF(     ISNUMBER(Table13[[#This Row],[Strike]]),RTD("tos.rtd", , "DELTA", "."&amp;Table13[[#This Row],[Ticker]]&amp;Table13[[#This Row],[Expiry]]&amp;""&amp;"C"&amp;Table13[[#This Row],[Strike]]))</f>
        <v>0</v>
      </c>
      <c r="H388" s="17" t="b" cm="1">
        <f t="array" ref="H388">IF(
    ISNUMBER(Table13[[#This Row],[Strike]]),IndividualLegIVCore($A$4, Table13[[#This Row],[Strike]], 0.0411, Table13[[#This Row],[T]], ((Table13[[#This Row],[BIDC]]+Table13[[#This Row],[ASKC]])/2), TRUE))</f>
        <v>0</v>
      </c>
      <c r="I388" t="b">
        <f>IF(     ISNUMBER(Table13[[#This Row],[Strike]]),RTD("tos.rtd", , "BID", "."&amp;Table13[[#This Row],[Ticker]]&amp;Table13[[#This Row],[Expiry]]&amp;""&amp;"C"&amp;Table13[[#This Row],[Strike]]))</f>
        <v>0</v>
      </c>
      <c r="J388" t="b">
        <f>IF(     ISNUMBER(Table13[[#This Row],[Strike]]),RTD("tos.rtd", , "ASK", "."&amp;Table13[[#This Row],[Ticker]]&amp;Table13[[#This Row],[Expiry]]&amp;""&amp;"C"&amp;Table13[[#This Row],[Strike]]))</f>
        <v>0</v>
      </c>
      <c r="K38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8" s="17" cm="1">
        <f t="array" aca="1" ref="L38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8" s="1">
        <f t="shared" si="35"/>
        <v>0</v>
      </c>
      <c r="N388" t="b">
        <f t="shared" si="36"/>
        <v>0</v>
      </c>
      <c r="P388" s="17" t="b" cm="1">
        <f t="array" ref="P388">IF(
    ISNUMBER(Table13[[#This Row],[Strike]]),IndividualLegIVCore($A$4, Table13[[#This Row],[Strike]], 0.0411, Table13[[#This Row],[T]], ((Table13[[#This Row],[BIDP]]+Table13[[#This Row],[ASKP]])/2), FALSE))</f>
        <v>0</v>
      </c>
      <c r="Q388" t="b">
        <f>IF(     ISNUMBER(Table13[[#This Row],[Strike]]),RTD("tos.rtd", , "BID", "."&amp;Table13[[#This Row],[Ticker]]&amp;Table13[[#This Row],[Expiry]]&amp;""&amp;"P"&amp;Table13[[#This Row],[Strike]]))</f>
        <v>0</v>
      </c>
      <c r="R388" t="b">
        <f>IF(     ISNUMBER(Table13[[#This Row],[Strike]]),RTD("tos.rtd", , "ASK", "."&amp;Table13[[#This Row],[Ticker]]&amp;Table13[[#This Row],[Expiry]]&amp;""&amp;"P"&amp;Table13[[#This Row],[Strike]]))</f>
        <v>0</v>
      </c>
      <c r="S388" s="17"/>
      <c r="T388" t="b">
        <f>IF(     ISNUMBER(Table13[[#This Row],[Strike]]),RTD("tos.rtd", , "OPEN_INT", "."&amp;Table13[[#This Row],[Ticker]]&amp;Table13[[#This Row],[Expiry]]&amp;""&amp;"P"&amp;Table13[[#This Row],[Strike]]))</f>
        <v>0</v>
      </c>
      <c r="U38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8" t="b">
        <f>IF(     ISNUMBER(Table13[[#This Row],[Strike]]),RTD("tos.rtd", , "DELTA", "."&amp;Table13[[#This Row],[Ticker]]&amp;Table13[[#This Row],[Expiry]]&amp;""&amp;"P"&amp;Table13[[#This Row],[Strike]]))</f>
        <v>0</v>
      </c>
      <c r="Y388" s="19">
        <f>37.5* IF($M$1="NDX", 10, IF(OR($M$1="SPX", $M$1="RUT"), 2, 1))</f>
        <v>75</v>
      </c>
      <c r="Z388">
        <f ca="1">IFERROR(Table13[[#This Row],[call gamma]]*(Table13[[#This Row],[Open.Int]])*$A$4^2,0)</f>
        <v>0</v>
      </c>
      <c r="AA388">
        <f ca="1">IFERROR(((Table13[[#This Row],[Open.Int8]])*Table13[[#This Row],[Put gamma]])*-1*$A$4^2,0)</f>
        <v>0</v>
      </c>
      <c r="AB388">
        <f ca="1">(Table13[[#This Row],[Call Gex]]+Table13[[#This Row],[Put Gex]])</f>
        <v>0</v>
      </c>
      <c r="AC388">
        <f ca="1">Table13[[#This Row],[put delta adj]]+Table13[[#This Row],[call delta adj]]</f>
        <v>0</v>
      </c>
      <c r="AD388">
        <f ca="1">Table13[[#This Row],[Put Gex]]*Table13[[#This Row],[DeltaP]]*-1</f>
        <v>0</v>
      </c>
      <c r="AE388">
        <f ca="1">Table13[[#This Row],[Call Gex]]*Table13[[#This Row],[DeltaC]]</f>
        <v>0</v>
      </c>
      <c r="AF388">
        <f>IF(Table13[[#This Row],[DeltaC]]-ABS(Table13[[#This Row],[DeltaP]])="0","0.01",Table13[[#This Row],[DeltaC]]-ABS(Table13[[#This Row],[DeltaP]]))</f>
        <v>0</v>
      </c>
      <c r="AG388" t="e">
        <f ca="1">((LN($A$4/Table13[[#This Row],[Strike]]) + (0.411 + 0.5 * Table13[[#This Row],[IV Calc P]]^2) *Table13[[#This Row],[T]])) / (Table13[[#This Row],[IV Calc P]] * SQRT(Table13[[#This Row],[T]]))</f>
        <v>#DIV/0!</v>
      </c>
      <c r="AH388" t="e">
        <f ca="1">(LN($A$4/Table13[[#This Row],[Strike]]) + (0.411-0 + 0.5 * Table13[[#This Row],[IV Calc C]]^2) *Table13[[#This Row],[T]]) / (Table13[[#This Row],[IV Calc C]] * SQRT(Table13[[#This Row],[T]]))</f>
        <v>#DIV/0!</v>
      </c>
      <c r="AI388" t="e">
        <f ca="1">(EXP(-(AG388^2)/2)/SQRT(2*PI())*EXP(0*SQRT(Table13[[#This Row],[T]]))/$A$4*18%*SQRT(SQRT(Table13[[#This Row],[T]])))</f>
        <v>#DIV/0!</v>
      </c>
      <c r="AJ388" t="e">
        <f ca="1">(EXP(-(AH388^2)/2)/SQRT(2*PI())*EXP(0*SQRT(Table13[[#This Row],[T]]))/$A$4*18%*SQRT(SQRT(Table13[[#This Row],[T]])))</f>
        <v>#DIV/0!</v>
      </c>
      <c r="AK388" t="e">
        <f ca="1">Table13[[#This Row],[Call D1]]-Table13[[#This Row],[IV Calc C]]*SQRT(Table13[[#This Row],[T]])</f>
        <v>#DIV/0!</v>
      </c>
      <c r="AL388" t="e">
        <f ca="1">Table13[[#This Row],[Put D1]]-Table13[[#This Row],[IV Calc P]]*SQRT(Table13[[#This Row],[T]])</f>
        <v>#DIV/0!</v>
      </c>
      <c r="AM388" t="e">
        <f ca="1">EXP(-0.5*Table13[[#This Row],[Call D1]]^2)/SQRT(2*PI())</f>
        <v>#DIV/0!</v>
      </c>
      <c r="AN388" t="e">
        <f ca="1">EXP(-0.5*Table13[[#This Row],[Put D1]]^2)/SQRT(2*PI())</f>
        <v>#DIV/0!</v>
      </c>
      <c r="AO388">
        <f ca="1">IFERROR((EXP(0*Table13[[#This Row],[T]])*Table13[[#This Row],[call N(d1)]]*(Table13[[#This Row],[call d2]]/Table13[[#This Row],[IV Calc C]]))*Table13[[#This Row],[Open.Int]]*Table13[[#This Row],[DeltaC]],0)</f>
        <v>0</v>
      </c>
      <c r="AP388">
        <f ca="1">IFERROR((EXP(0*Table13[[#This Row],[T]])*Table13[[#This Row],[put N(d1)]]*(Table13[[#This Row],[put d2]]/Table13[[#This Row],[IV Calc P]]))*Table13[[#This Row],[Open.Int8]]*Table13[[#This Row],[DeltaP]]*-1,0)</f>
        <v>0</v>
      </c>
      <c r="AQ388">
        <f ca="1">((Table13[[#This Row],[call vanna]]+Table13[[#This Row],[put vanna]])*$A$4)</f>
        <v>0</v>
      </c>
      <c r="AR38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8" s="9" t="str" cm="1">
        <f t="array" ref="AT388">_xlfn.IFS(     $M$1="SPX","SPXW",     $M$1="RUT","RUTW",  $M$1="NDX","NDXP",   TRUE,$M$1 )</f>
        <v>SPXW</v>
      </c>
      <c r="AU388" s="2">
        <f t="shared" si="37"/>
        <v>6915</v>
      </c>
      <c r="AV388" t="str">
        <f t="shared" si="38"/>
        <v>000100</v>
      </c>
      <c r="AY38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8">
        <f>((Table13[[#This Row],[High C]]+Table13[[#This Row],[Low C]])/2)*Table13[[#This Row],[gammac]]*Table13[[#This Row],[Volume]]</f>
        <v>0</v>
      </c>
      <c r="BD388">
        <f>((Table13[[#This Row],[High P]]+Table13[[#This Row],[Low P]])/2)*Table13[[#This Row],[gammap]]*Table13[[#This Row],[Volume9]]*-1</f>
        <v>0</v>
      </c>
      <c r="BE388">
        <f>(Table13[[#This Row],[SgammaC]]+Table13[[#This Row],[SgammaP]])*$A$4*-100</f>
        <v>0</v>
      </c>
      <c r="BF388">
        <f>Table13[[#This Row],[DEXc]]+Table13[[#This Row],[DEXp]]</f>
        <v>0</v>
      </c>
      <c r="BG388">
        <f>IFERROR(Table13[[#This Row],[DeltaC]]*Table13[[#This Row],[Open.Int]]*$A$4,0)</f>
        <v>0</v>
      </c>
      <c r="BH388">
        <f>IFERROR(Table13[[#This Row],[DeltaP]]*Table13[[#This Row],[Open.Int8]]*$A$4,0)</f>
        <v>0</v>
      </c>
      <c r="BI38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8">
        <f ca="1">Table13[[#This Row],[charmc]]+Table13[[#This Row],[charmp]]</f>
        <v>0</v>
      </c>
      <c r="BL38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8" s="78">
        <f ca="1">Table13[[#This Row],[call helper]]+Table13[[#This Row],[put helper]]</f>
        <v>0</v>
      </c>
      <c r="BP388" t="str">
        <f>RTD("tos.rtd", , "STRIKE", "."&amp;Table13[[#This Row],[Ticker]]&amp;Table13[[#This Row],[Expiry]]&amp;""&amp;"C"&amp;Table13[[#This Row],[Spot]]+Table13[[#This Row],[step]])</f>
        <v>N/A</v>
      </c>
    </row>
    <row r="389" spans="1:68" x14ac:dyDescent="0.25">
      <c r="A389" s="14">
        <f t="shared" ca="1" si="34"/>
        <v>-126.14810350076104</v>
      </c>
      <c r="C389" s="17"/>
      <c r="D389" t="b">
        <f>IF(
    ISNUMBER(Table13[[#This Row],[Strike]]),RTD("tos.rtd", , "OPEN_INT", "."&amp;Table13[[#This Row],[Ticker]]&amp;Table13[[#This Row],[Expiry]]&amp;""&amp;"C"&amp;Table13[[#This Row],[Strike]]))</f>
        <v>0</v>
      </c>
      <c r="E38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9" t="b">
        <f>IF(     ISNUMBER(Table13[[#This Row],[Strike]]),RTD("tos.rtd", , "DELTA", "."&amp;Table13[[#This Row],[Ticker]]&amp;Table13[[#This Row],[Expiry]]&amp;""&amp;"C"&amp;Table13[[#This Row],[Strike]]))</f>
        <v>0</v>
      </c>
      <c r="H389" s="17" t="b" cm="1">
        <f t="array" ref="H389">IF(
    ISNUMBER(Table13[[#This Row],[Strike]]),IndividualLegIVCore($A$4, Table13[[#This Row],[Strike]], 0.0411, Table13[[#This Row],[T]], ((Table13[[#This Row],[BIDC]]+Table13[[#This Row],[ASKC]])/2), TRUE))</f>
        <v>0</v>
      </c>
      <c r="I389" t="b">
        <f>IF(     ISNUMBER(Table13[[#This Row],[Strike]]),RTD("tos.rtd", , "BID", "."&amp;Table13[[#This Row],[Ticker]]&amp;Table13[[#This Row],[Expiry]]&amp;""&amp;"C"&amp;Table13[[#This Row],[Strike]]))</f>
        <v>0</v>
      </c>
      <c r="J389" t="b">
        <f>IF(     ISNUMBER(Table13[[#This Row],[Strike]]),RTD("tos.rtd", , "ASK", "."&amp;Table13[[#This Row],[Ticker]]&amp;Table13[[#This Row],[Expiry]]&amp;""&amp;"C"&amp;Table13[[#This Row],[Strike]]))</f>
        <v>0</v>
      </c>
      <c r="K38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9" s="17" cm="1">
        <f t="array" aca="1" ref="L38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89" s="1">
        <f t="shared" si="35"/>
        <v>0</v>
      </c>
      <c r="N389" t="b">
        <f t="shared" si="36"/>
        <v>0</v>
      </c>
      <c r="P389" s="17" t="b" cm="1">
        <f t="array" ref="P389">IF(
    ISNUMBER(Table13[[#This Row],[Strike]]),IndividualLegIVCore($A$4, Table13[[#This Row],[Strike]], 0.0411, Table13[[#This Row],[T]], ((Table13[[#This Row],[BIDP]]+Table13[[#This Row],[ASKP]])/2), FALSE))</f>
        <v>0</v>
      </c>
      <c r="Q389" t="b">
        <f>IF(     ISNUMBER(Table13[[#This Row],[Strike]]),RTD("tos.rtd", , "BID", "."&amp;Table13[[#This Row],[Ticker]]&amp;Table13[[#This Row],[Expiry]]&amp;""&amp;"P"&amp;Table13[[#This Row],[Strike]]))</f>
        <v>0</v>
      </c>
      <c r="R389" t="b">
        <f>IF(     ISNUMBER(Table13[[#This Row],[Strike]]),RTD("tos.rtd", , "ASK", "."&amp;Table13[[#This Row],[Ticker]]&amp;Table13[[#This Row],[Expiry]]&amp;""&amp;"P"&amp;Table13[[#This Row],[Strike]]))</f>
        <v>0</v>
      </c>
      <c r="S389" s="17"/>
      <c r="T389" t="b">
        <f>IF(     ISNUMBER(Table13[[#This Row],[Strike]]),RTD("tos.rtd", , "OPEN_INT", "."&amp;Table13[[#This Row],[Ticker]]&amp;Table13[[#This Row],[Expiry]]&amp;""&amp;"P"&amp;Table13[[#This Row],[Strike]]))</f>
        <v>0</v>
      </c>
      <c r="U38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9" t="b">
        <f>IF(     ISNUMBER(Table13[[#This Row],[Strike]]),RTD("tos.rtd", , "DELTA", "."&amp;Table13[[#This Row],[Ticker]]&amp;Table13[[#This Row],[Expiry]]&amp;""&amp;"P"&amp;Table13[[#This Row],[Strike]]))</f>
        <v>0</v>
      </c>
      <c r="Y389" s="19">
        <f>38* IF($M$1="NDX", 10, IF(OR($M$1="SPX", $M$1="RUT"), 2, 1))</f>
        <v>76</v>
      </c>
      <c r="Z389">
        <f ca="1">IFERROR(Table13[[#This Row],[call gamma]]*(Table13[[#This Row],[Open.Int]])*$A$4^2,0)</f>
        <v>0</v>
      </c>
      <c r="AA389">
        <f ca="1">IFERROR(((Table13[[#This Row],[Open.Int8]])*Table13[[#This Row],[Put gamma]])*-1*$A$4^2,0)</f>
        <v>0</v>
      </c>
      <c r="AB389">
        <f ca="1">(Table13[[#This Row],[Call Gex]]+Table13[[#This Row],[Put Gex]])</f>
        <v>0</v>
      </c>
      <c r="AC389">
        <f ca="1">Table13[[#This Row],[put delta adj]]+Table13[[#This Row],[call delta adj]]</f>
        <v>0</v>
      </c>
      <c r="AD389">
        <f ca="1">Table13[[#This Row],[Put Gex]]*Table13[[#This Row],[DeltaP]]*-1</f>
        <v>0</v>
      </c>
      <c r="AE389">
        <f ca="1">Table13[[#This Row],[Call Gex]]*Table13[[#This Row],[DeltaC]]</f>
        <v>0</v>
      </c>
      <c r="AF389">
        <f>IF(Table13[[#This Row],[DeltaC]]-ABS(Table13[[#This Row],[DeltaP]])="0","0.01",Table13[[#This Row],[DeltaC]]-ABS(Table13[[#This Row],[DeltaP]]))</f>
        <v>0</v>
      </c>
      <c r="AG389" t="e">
        <f ca="1">((LN($A$4/Table13[[#This Row],[Strike]]) + (0.411 + 0.5 * Table13[[#This Row],[IV Calc P]]^2) *Table13[[#This Row],[T]])) / (Table13[[#This Row],[IV Calc P]] * SQRT(Table13[[#This Row],[T]]))</f>
        <v>#DIV/0!</v>
      </c>
      <c r="AH389" t="e">
        <f ca="1">(LN($A$4/Table13[[#This Row],[Strike]]) + (0.411-0 + 0.5 * Table13[[#This Row],[IV Calc C]]^2) *Table13[[#This Row],[T]]) / (Table13[[#This Row],[IV Calc C]] * SQRT(Table13[[#This Row],[T]]))</f>
        <v>#DIV/0!</v>
      </c>
      <c r="AI389" t="e">
        <f ca="1">(EXP(-(AG389^2)/2)/SQRT(2*PI())*EXP(0*SQRT(Table13[[#This Row],[T]]))/$A$4*18%*SQRT(SQRT(Table13[[#This Row],[T]])))</f>
        <v>#DIV/0!</v>
      </c>
      <c r="AJ389" t="e">
        <f ca="1">(EXP(-(AH389^2)/2)/SQRT(2*PI())*EXP(0*SQRT(Table13[[#This Row],[T]]))/$A$4*18%*SQRT(SQRT(Table13[[#This Row],[T]])))</f>
        <v>#DIV/0!</v>
      </c>
      <c r="AK389" t="e">
        <f ca="1">Table13[[#This Row],[Call D1]]-Table13[[#This Row],[IV Calc C]]*SQRT(Table13[[#This Row],[T]])</f>
        <v>#DIV/0!</v>
      </c>
      <c r="AL389" t="e">
        <f ca="1">Table13[[#This Row],[Put D1]]-Table13[[#This Row],[IV Calc P]]*SQRT(Table13[[#This Row],[T]])</f>
        <v>#DIV/0!</v>
      </c>
      <c r="AM389" t="e">
        <f ca="1">EXP(-0.5*Table13[[#This Row],[Call D1]]^2)/SQRT(2*PI())</f>
        <v>#DIV/0!</v>
      </c>
      <c r="AN389" t="e">
        <f ca="1">EXP(-0.5*Table13[[#This Row],[Put D1]]^2)/SQRT(2*PI())</f>
        <v>#DIV/0!</v>
      </c>
      <c r="AO389">
        <f ca="1">IFERROR((EXP(0*Table13[[#This Row],[T]])*Table13[[#This Row],[call N(d1)]]*(Table13[[#This Row],[call d2]]/Table13[[#This Row],[IV Calc C]]))*Table13[[#This Row],[Open.Int]]*Table13[[#This Row],[DeltaC]],0)</f>
        <v>0</v>
      </c>
      <c r="AP389">
        <f ca="1">IFERROR((EXP(0*Table13[[#This Row],[T]])*Table13[[#This Row],[put N(d1)]]*(Table13[[#This Row],[put d2]]/Table13[[#This Row],[IV Calc P]]))*Table13[[#This Row],[Open.Int8]]*Table13[[#This Row],[DeltaP]]*-1,0)</f>
        <v>0</v>
      </c>
      <c r="AQ389">
        <f ca="1">((Table13[[#This Row],[call vanna]]+Table13[[#This Row],[put vanna]])*$A$4)</f>
        <v>0</v>
      </c>
      <c r="AR38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9" s="9" t="str" cm="1">
        <f t="array" ref="AT389">_xlfn.IFS(     $M$1="SPX","SPXW",     $M$1="RUT","RUTW",  $M$1="NDX","NDXP",   TRUE,$M$1 )</f>
        <v>SPXW</v>
      </c>
      <c r="AU389" s="2">
        <f t="shared" si="37"/>
        <v>6915</v>
      </c>
      <c r="AV389" t="str">
        <f t="shared" si="38"/>
        <v>000100</v>
      </c>
      <c r="AY38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9">
        <f>((Table13[[#This Row],[High C]]+Table13[[#This Row],[Low C]])/2)*Table13[[#This Row],[gammac]]*Table13[[#This Row],[Volume]]</f>
        <v>0</v>
      </c>
      <c r="BD389">
        <f>((Table13[[#This Row],[High P]]+Table13[[#This Row],[Low P]])/2)*Table13[[#This Row],[gammap]]*Table13[[#This Row],[Volume9]]*-1</f>
        <v>0</v>
      </c>
      <c r="BE389">
        <f>(Table13[[#This Row],[SgammaC]]+Table13[[#This Row],[SgammaP]])*$A$4*-100</f>
        <v>0</v>
      </c>
      <c r="BF389">
        <f>Table13[[#This Row],[DEXc]]+Table13[[#This Row],[DEXp]]</f>
        <v>0</v>
      </c>
      <c r="BG389">
        <f>IFERROR(Table13[[#This Row],[DeltaC]]*Table13[[#This Row],[Open.Int]]*$A$4,0)</f>
        <v>0</v>
      </c>
      <c r="BH389">
        <f>IFERROR(Table13[[#This Row],[DeltaP]]*Table13[[#This Row],[Open.Int8]]*$A$4,0)</f>
        <v>0</v>
      </c>
      <c r="BI38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9">
        <f ca="1">Table13[[#This Row],[charmc]]+Table13[[#This Row],[charmp]]</f>
        <v>0</v>
      </c>
      <c r="BL38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9" s="78">
        <f ca="1">Table13[[#This Row],[call helper]]+Table13[[#This Row],[put helper]]</f>
        <v>0</v>
      </c>
      <c r="BP389" t="str">
        <f>RTD("tos.rtd", , "STRIKE", "."&amp;Table13[[#This Row],[Ticker]]&amp;Table13[[#This Row],[Expiry]]&amp;""&amp;"C"&amp;Table13[[#This Row],[Spot]]+Table13[[#This Row],[step]])</f>
        <v>N/A</v>
      </c>
    </row>
    <row r="390" spans="1:68" x14ac:dyDescent="0.25">
      <c r="A390" s="14">
        <f t="shared" ca="1" si="34"/>
        <v>-126.14810350076104</v>
      </c>
      <c r="C390" s="17"/>
      <c r="D390" t="b">
        <f>IF(
    ISNUMBER(Table13[[#This Row],[Strike]]),RTD("tos.rtd", , "OPEN_INT", "."&amp;Table13[[#This Row],[Ticker]]&amp;Table13[[#This Row],[Expiry]]&amp;""&amp;"C"&amp;Table13[[#This Row],[Strike]]))</f>
        <v>0</v>
      </c>
      <c r="E39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0" t="b">
        <f>IF(     ISNUMBER(Table13[[#This Row],[Strike]]),RTD("tos.rtd", , "DELTA", "."&amp;Table13[[#This Row],[Ticker]]&amp;Table13[[#This Row],[Expiry]]&amp;""&amp;"C"&amp;Table13[[#This Row],[Strike]]))</f>
        <v>0</v>
      </c>
      <c r="H390" s="17" t="b" cm="1">
        <f t="array" ref="H390">IF(
    ISNUMBER(Table13[[#This Row],[Strike]]),IndividualLegIVCore($A$4, Table13[[#This Row],[Strike]], 0.0411, Table13[[#This Row],[T]], ((Table13[[#This Row],[BIDC]]+Table13[[#This Row],[ASKC]])/2), TRUE))</f>
        <v>0</v>
      </c>
      <c r="I390" t="b">
        <f>IF(     ISNUMBER(Table13[[#This Row],[Strike]]),RTD("tos.rtd", , "BID", "."&amp;Table13[[#This Row],[Ticker]]&amp;Table13[[#This Row],[Expiry]]&amp;""&amp;"C"&amp;Table13[[#This Row],[Strike]]))</f>
        <v>0</v>
      </c>
      <c r="J390" t="b">
        <f>IF(     ISNUMBER(Table13[[#This Row],[Strike]]),RTD("tos.rtd", , "ASK", "."&amp;Table13[[#This Row],[Ticker]]&amp;Table13[[#This Row],[Expiry]]&amp;""&amp;"C"&amp;Table13[[#This Row],[Strike]]))</f>
        <v>0</v>
      </c>
      <c r="K39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0" s="17" cm="1">
        <f t="array" aca="1" ref="L39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0" s="1">
        <f t="shared" si="35"/>
        <v>0</v>
      </c>
      <c r="N390" t="b">
        <f t="shared" si="36"/>
        <v>0</v>
      </c>
      <c r="P390" s="17" t="b" cm="1">
        <f t="array" ref="P390">IF(
    ISNUMBER(Table13[[#This Row],[Strike]]),IndividualLegIVCore($A$4, Table13[[#This Row],[Strike]], 0.0411, Table13[[#This Row],[T]], ((Table13[[#This Row],[BIDP]]+Table13[[#This Row],[ASKP]])/2), FALSE))</f>
        <v>0</v>
      </c>
      <c r="Q390" t="b">
        <f>IF(     ISNUMBER(Table13[[#This Row],[Strike]]),RTD("tos.rtd", , "BID", "."&amp;Table13[[#This Row],[Ticker]]&amp;Table13[[#This Row],[Expiry]]&amp;""&amp;"P"&amp;Table13[[#This Row],[Strike]]))</f>
        <v>0</v>
      </c>
      <c r="R390" t="b">
        <f>IF(     ISNUMBER(Table13[[#This Row],[Strike]]),RTD("tos.rtd", , "ASK", "."&amp;Table13[[#This Row],[Ticker]]&amp;Table13[[#This Row],[Expiry]]&amp;""&amp;"P"&amp;Table13[[#This Row],[Strike]]))</f>
        <v>0</v>
      </c>
      <c r="S390" s="17"/>
      <c r="T390" t="b">
        <f>IF(     ISNUMBER(Table13[[#This Row],[Strike]]),RTD("tos.rtd", , "OPEN_INT", "."&amp;Table13[[#This Row],[Ticker]]&amp;Table13[[#This Row],[Expiry]]&amp;""&amp;"P"&amp;Table13[[#This Row],[Strike]]))</f>
        <v>0</v>
      </c>
      <c r="U39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0" t="b">
        <f>IF(     ISNUMBER(Table13[[#This Row],[Strike]]),RTD("tos.rtd", , "DELTA", "."&amp;Table13[[#This Row],[Ticker]]&amp;Table13[[#This Row],[Expiry]]&amp;""&amp;"P"&amp;Table13[[#This Row],[Strike]]))</f>
        <v>0</v>
      </c>
      <c r="Y390" s="19">
        <f>38.5* IF($M$1="NDX", 10, IF(OR($M$1="SPX", $M$1="RUT"), 2, 1))</f>
        <v>77</v>
      </c>
      <c r="Z390">
        <f ca="1">IFERROR(Table13[[#This Row],[call gamma]]*(Table13[[#This Row],[Open.Int]])*$A$4^2,0)</f>
        <v>0</v>
      </c>
      <c r="AA390">
        <f ca="1">IFERROR(((Table13[[#This Row],[Open.Int8]])*Table13[[#This Row],[Put gamma]])*-1*$A$4^2,0)</f>
        <v>0</v>
      </c>
      <c r="AB390">
        <f ca="1">(Table13[[#This Row],[Call Gex]]+Table13[[#This Row],[Put Gex]])</f>
        <v>0</v>
      </c>
      <c r="AC390">
        <f ca="1">Table13[[#This Row],[put delta adj]]+Table13[[#This Row],[call delta adj]]</f>
        <v>0</v>
      </c>
      <c r="AD390">
        <f ca="1">Table13[[#This Row],[Put Gex]]*Table13[[#This Row],[DeltaP]]*-1</f>
        <v>0</v>
      </c>
      <c r="AE390">
        <f ca="1">Table13[[#This Row],[Call Gex]]*Table13[[#This Row],[DeltaC]]</f>
        <v>0</v>
      </c>
      <c r="AF390">
        <f>IF(Table13[[#This Row],[DeltaC]]-ABS(Table13[[#This Row],[DeltaP]])="0","0.01",Table13[[#This Row],[DeltaC]]-ABS(Table13[[#This Row],[DeltaP]]))</f>
        <v>0</v>
      </c>
      <c r="AG390" t="e">
        <f ca="1">((LN($A$4/Table13[[#This Row],[Strike]]) + (0.411 + 0.5 * Table13[[#This Row],[IV Calc P]]^2) *Table13[[#This Row],[T]])) / (Table13[[#This Row],[IV Calc P]] * SQRT(Table13[[#This Row],[T]]))</f>
        <v>#DIV/0!</v>
      </c>
      <c r="AH390" t="e">
        <f ca="1">(LN($A$4/Table13[[#This Row],[Strike]]) + (0.411-0 + 0.5 * Table13[[#This Row],[IV Calc C]]^2) *Table13[[#This Row],[T]]) / (Table13[[#This Row],[IV Calc C]] * SQRT(Table13[[#This Row],[T]]))</f>
        <v>#DIV/0!</v>
      </c>
      <c r="AI390" t="e">
        <f ca="1">(EXP(-(AG390^2)/2)/SQRT(2*PI())*EXP(0*SQRT(Table13[[#This Row],[T]]))/$A$4*18%*SQRT(SQRT(Table13[[#This Row],[T]])))</f>
        <v>#DIV/0!</v>
      </c>
      <c r="AJ390" t="e">
        <f ca="1">(EXP(-(AH390^2)/2)/SQRT(2*PI())*EXP(0*SQRT(Table13[[#This Row],[T]]))/$A$4*18%*SQRT(SQRT(Table13[[#This Row],[T]])))</f>
        <v>#DIV/0!</v>
      </c>
      <c r="AK390" t="e">
        <f ca="1">Table13[[#This Row],[Call D1]]-Table13[[#This Row],[IV Calc C]]*SQRT(Table13[[#This Row],[T]])</f>
        <v>#DIV/0!</v>
      </c>
      <c r="AL390" t="e">
        <f ca="1">Table13[[#This Row],[Put D1]]-Table13[[#This Row],[IV Calc P]]*SQRT(Table13[[#This Row],[T]])</f>
        <v>#DIV/0!</v>
      </c>
      <c r="AM390" t="e">
        <f ca="1">EXP(-0.5*Table13[[#This Row],[Call D1]]^2)/SQRT(2*PI())</f>
        <v>#DIV/0!</v>
      </c>
      <c r="AN390" t="e">
        <f ca="1">EXP(-0.5*Table13[[#This Row],[Put D1]]^2)/SQRT(2*PI())</f>
        <v>#DIV/0!</v>
      </c>
      <c r="AO390">
        <f ca="1">IFERROR((EXP(0*Table13[[#This Row],[T]])*Table13[[#This Row],[call N(d1)]]*(Table13[[#This Row],[call d2]]/Table13[[#This Row],[IV Calc C]]))*Table13[[#This Row],[Open.Int]]*Table13[[#This Row],[DeltaC]],0)</f>
        <v>0</v>
      </c>
      <c r="AP390">
        <f ca="1">IFERROR((EXP(0*Table13[[#This Row],[T]])*Table13[[#This Row],[put N(d1)]]*(Table13[[#This Row],[put d2]]/Table13[[#This Row],[IV Calc P]]))*Table13[[#This Row],[Open.Int8]]*Table13[[#This Row],[DeltaP]]*-1,0)</f>
        <v>0</v>
      </c>
      <c r="AQ390">
        <f ca="1">((Table13[[#This Row],[call vanna]]+Table13[[#This Row],[put vanna]])*$A$4)</f>
        <v>0</v>
      </c>
      <c r="AR39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0" s="9" t="str" cm="1">
        <f t="array" ref="AT390">_xlfn.IFS(     $M$1="SPX","SPXW",     $M$1="RUT","RUTW",  $M$1="NDX","NDXP",   TRUE,$M$1 )</f>
        <v>SPXW</v>
      </c>
      <c r="AU390" s="2">
        <f t="shared" si="37"/>
        <v>6915</v>
      </c>
      <c r="AV390" t="str">
        <f t="shared" si="38"/>
        <v>000100</v>
      </c>
      <c r="AY39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0">
        <f>((Table13[[#This Row],[High C]]+Table13[[#This Row],[Low C]])/2)*Table13[[#This Row],[gammac]]*Table13[[#This Row],[Volume]]</f>
        <v>0</v>
      </c>
      <c r="BD390">
        <f>((Table13[[#This Row],[High P]]+Table13[[#This Row],[Low P]])/2)*Table13[[#This Row],[gammap]]*Table13[[#This Row],[Volume9]]*-1</f>
        <v>0</v>
      </c>
      <c r="BE390">
        <f>(Table13[[#This Row],[SgammaC]]+Table13[[#This Row],[SgammaP]])*$A$4*-100</f>
        <v>0</v>
      </c>
      <c r="BF390">
        <f>Table13[[#This Row],[DEXc]]+Table13[[#This Row],[DEXp]]</f>
        <v>0</v>
      </c>
      <c r="BG390">
        <f>IFERROR(Table13[[#This Row],[DeltaC]]*Table13[[#This Row],[Open.Int]]*$A$4,0)</f>
        <v>0</v>
      </c>
      <c r="BH390">
        <f>IFERROR(Table13[[#This Row],[DeltaP]]*Table13[[#This Row],[Open.Int8]]*$A$4,0)</f>
        <v>0</v>
      </c>
      <c r="BI39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0">
        <f ca="1">Table13[[#This Row],[charmc]]+Table13[[#This Row],[charmp]]</f>
        <v>0</v>
      </c>
      <c r="BL39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0" s="78">
        <f ca="1">Table13[[#This Row],[call helper]]+Table13[[#This Row],[put helper]]</f>
        <v>0</v>
      </c>
      <c r="BP390" t="str">
        <f>RTD("tos.rtd", , "STRIKE", "."&amp;Table13[[#This Row],[Ticker]]&amp;Table13[[#This Row],[Expiry]]&amp;""&amp;"C"&amp;Table13[[#This Row],[Spot]]+Table13[[#This Row],[step]])</f>
        <v>N/A</v>
      </c>
    </row>
    <row r="391" spans="1:68" x14ac:dyDescent="0.25">
      <c r="A391" s="14">
        <f t="shared" ca="1" si="34"/>
        <v>-126.14810350076104</v>
      </c>
      <c r="C391" s="17"/>
      <c r="D391" t="b">
        <f>IF(
    ISNUMBER(Table13[[#This Row],[Strike]]),RTD("tos.rtd", , "OPEN_INT", "."&amp;Table13[[#This Row],[Ticker]]&amp;Table13[[#This Row],[Expiry]]&amp;""&amp;"C"&amp;Table13[[#This Row],[Strike]]))</f>
        <v>0</v>
      </c>
      <c r="E39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1" t="b">
        <f>IF(     ISNUMBER(Table13[[#This Row],[Strike]]),RTD("tos.rtd", , "DELTA", "."&amp;Table13[[#This Row],[Ticker]]&amp;Table13[[#This Row],[Expiry]]&amp;""&amp;"C"&amp;Table13[[#This Row],[Strike]]))</f>
        <v>0</v>
      </c>
      <c r="H391" s="17" t="b" cm="1">
        <f t="array" ref="H391">IF(
    ISNUMBER(Table13[[#This Row],[Strike]]),IndividualLegIVCore($A$4, Table13[[#This Row],[Strike]], 0.0411, Table13[[#This Row],[T]], ((Table13[[#This Row],[BIDC]]+Table13[[#This Row],[ASKC]])/2), TRUE))</f>
        <v>0</v>
      </c>
      <c r="I391" t="b">
        <f>IF(     ISNUMBER(Table13[[#This Row],[Strike]]),RTD("tos.rtd", , "BID", "."&amp;Table13[[#This Row],[Ticker]]&amp;Table13[[#This Row],[Expiry]]&amp;""&amp;"C"&amp;Table13[[#This Row],[Strike]]))</f>
        <v>0</v>
      </c>
      <c r="J391" t="b">
        <f>IF(     ISNUMBER(Table13[[#This Row],[Strike]]),RTD("tos.rtd", , "ASK", "."&amp;Table13[[#This Row],[Ticker]]&amp;Table13[[#This Row],[Expiry]]&amp;""&amp;"C"&amp;Table13[[#This Row],[Strike]]))</f>
        <v>0</v>
      </c>
      <c r="K39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1" s="17" cm="1">
        <f t="array" aca="1" ref="L39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1" s="1">
        <f t="shared" si="35"/>
        <v>0</v>
      </c>
      <c r="N391" t="b">
        <f t="shared" si="36"/>
        <v>0</v>
      </c>
      <c r="P391" s="17" t="b" cm="1">
        <f t="array" ref="P391">IF(
    ISNUMBER(Table13[[#This Row],[Strike]]),IndividualLegIVCore($A$4, Table13[[#This Row],[Strike]], 0.0411, Table13[[#This Row],[T]], ((Table13[[#This Row],[BIDP]]+Table13[[#This Row],[ASKP]])/2), FALSE))</f>
        <v>0</v>
      </c>
      <c r="Q391" t="b">
        <f>IF(     ISNUMBER(Table13[[#This Row],[Strike]]),RTD("tos.rtd", , "BID", "."&amp;Table13[[#This Row],[Ticker]]&amp;Table13[[#This Row],[Expiry]]&amp;""&amp;"P"&amp;Table13[[#This Row],[Strike]]))</f>
        <v>0</v>
      </c>
      <c r="R391" t="b">
        <f>IF(     ISNUMBER(Table13[[#This Row],[Strike]]),RTD("tos.rtd", , "ASK", "."&amp;Table13[[#This Row],[Ticker]]&amp;Table13[[#This Row],[Expiry]]&amp;""&amp;"P"&amp;Table13[[#This Row],[Strike]]))</f>
        <v>0</v>
      </c>
      <c r="S391" s="17"/>
      <c r="T391" t="b">
        <f>IF(     ISNUMBER(Table13[[#This Row],[Strike]]),RTD("tos.rtd", , "OPEN_INT", "."&amp;Table13[[#This Row],[Ticker]]&amp;Table13[[#This Row],[Expiry]]&amp;""&amp;"P"&amp;Table13[[#This Row],[Strike]]))</f>
        <v>0</v>
      </c>
      <c r="U39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1" t="b">
        <f>IF(     ISNUMBER(Table13[[#This Row],[Strike]]),RTD("tos.rtd", , "DELTA", "."&amp;Table13[[#This Row],[Ticker]]&amp;Table13[[#This Row],[Expiry]]&amp;""&amp;"P"&amp;Table13[[#This Row],[Strike]]))</f>
        <v>0</v>
      </c>
      <c r="Y391" s="19">
        <f>39* IF($M$1="NDX", 10, IF(OR($M$1="SPX", $M$1="RUT"), 2, 1))</f>
        <v>78</v>
      </c>
      <c r="Z391">
        <f ca="1">IFERROR(Table13[[#This Row],[call gamma]]*(Table13[[#This Row],[Open.Int]])*$A$4^2,0)</f>
        <v>0</v>
      </c>
      <c r="AA391">
        <f ca="1">IFERROR(((Table13[[#This Row],[Open.Int8]])*Table13[[#This Row],[Put gamma]])*-1*$A$4^2,0)</f>
        <v>0</v>
      </c>
      <c r="AB391">
        <f ca="1">(Table13[[#This Row],[Call Gex]]+Table13[[#This Row],[Put Gex]])</f>
        <v>0</v>
      </c>
      <c r="AC391">
        <f ca="1">Table13[[#This Row],[put delta adj]]+Table13[[#This Row],[call delta adj]]</f>
        <v>0</v>
      </c>
      <c r="AD391">
        <f ca="1">Table13[[#This Row],[Put Gex]]*Table13[[#This Row],[DeltaP]]*-1</f>
        <v>0</v>
      </c>
      <c r="AE391">
        <f ca="1">Table13[[#This Row],[Call Gex]]*Table13[[#This Row],[DeltaC]]</f>
        <v>0</v>
      </c>
      <c r="AF391">
        <f>IF(Table13[[#This Row],[DeltaC]]-ABS(Table13[[#This Row],[DeltaP]])="0","0.01",Table13[[#This Row],[DeltaC]]-ABS(Table13[[#This Row],[DeltaP]]))</f>
        <v>0</v>
      </c>
      <c r="AG391" t="e">
        <f ca="1">((LN($A$4/Table13[[#This Row],[Strike]]) + (0.411 + 0.5 * Table13[[#This Row],[IV Calc P]]^2) *Table13[[#This Row],[T]])) / (Table13[[#This Row],[IV Calc P]] * SQRT(Table13[[#This Row],[T]]))</f>
        <v>#DIV/0!</v>
      </c>
      <c r="AH391" t="e">
        <f ca="1">(LN($A$4/Table13[[#This Row],[Strike]]) + (0.411-0 + 0.5 * Table13[[#This Row],[IV Calc C]]^2) *Table13[[#This Row],[T]]) / (Table13[[#This Row],[IV Calc C]] * SQRT(Table13[[#This Row],[T]]))</f>
        <v>#DIV/0!</v>
      </c>
      <c r="AI391" t="e">
        <f ca="1">(EXP(-(AG391^2)/2)/SQRT(2*PI())*EXP(0*SQRT(Table13[[#This Row],[T]]))/$A$4*18%*SQRT(SQRT(Table13[[#This Row],[T]])))</f>
        <v>#DIV/0!</v>
      </c>
      <c r="AJ391" t="e">
        <f ca="1">(EXP(-(AH391^2)/2)/SQRT(2*PI())*EXP(0*SQRT(Table13[[#This Row],[T]]))/$A$4*18%*SQRT(SQRT(Table13[[#This Row],[T]])))</f>
        <v>#DIV/0!</v>
      </c>
      <c r="AK391" t="e">
        <f ca="1">Table13[[#This Row],[Call D1]]-Table13[[#This Row],[IV Calc C]]*SQRT(Table13[[#This Row],[T]])</f>
        <v>#DIV/0!</v>
      </c>
      <c r="AL391" t="e">
        <f ca="1">Table13[[#This Row],[Put D1]]-Table13[[#This Row],[IV Calc P]]*SQRT(Table13[[#This Row],[T]])</f>
        <v>#DIV/0!</v>
      </c>
      <c r="AM391" t="e">
        <f ca="1">EXP(-0.5*Table13[[#This Row],[Call D1]]^2)/SQRT(2*PI())</f>
        <v>#DIV/0!</v>
      </c>
      <c r="AN391" t="e">
        <f ca="1">EXP(-0.5*Table13[[#This Row],[Put D1]]^2)/SQRT(2*PI())</f>
        <v>#DIV/0!</v>
      </c>
      <c r="AO391">
        <f ca="1">IFERROR((EXP(0*Table13[[#This Row],[T]])*Table13[[#This Row],[call N(d1)]]*(Table13[[#This Row],[call d2]]/Table13[[#This Row],[IV Calc C]]))*Table13[[#This Row],[Open.Int]]*Table13[[#This Row],[DeltaC]],0)</f>
        <v>0</v>
      </c>
      <c r="AP391">
        <f ca="1">IFERROR((EXP(0*Table13[[#This Row],[T]])*Table13[[#This Row],[put N(d1)]]*(Table13[[#This Row],[put d2]]/Table13[[#This Row],[IV Calc P]]))*Table13[[#This Row],[Open.Int8]]*Table13[[#This Row],[DeltaP]]*-1,0)</f>
        <v>0</v>
      </c>
      <c r="AQ391">
        <f ca="1">((Table13[[#This Row],[call vanna]]+Table13[[#This Row],[put vanna]])*$A$4)</f>
        <v>0</v>
      </c>
      <c r="AR39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1" s="9" t="str" cm="1">
        <f t="array" ref="AT391">_xlfn.IFS(     $M$1="SPX","SPXW",     $M$1="RUT","RUTW",  $M$1="NDX","NDXP",   TRUE,$M$1 )</f>
        <v>SPXW</v>
      </c>
      <c r="AU391" s="2">
        <f t="shared" si="37"/>
        <v>6915</v>
      </c>
      <c r="AV391" t="str">
        <f t="shared" si="38"/>
        <v>000100</v>
      </c>
      <c r="AY39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1">
        <f>((Table13[[#This Row],[High C]]+Table13[[#This Row],[Low C]])/2)*Table13[[#This Row],[gammac]]*Table13[[#This Row],[Volume]]</f>
        <v>0</v>
      </c>
      <c r="BD391">
        <f>((Table13[[#This Row],[High P]]+Table13[[#This Row],[Low P]])/2)*Table13[[#This Row],[gammap]]*Table13[[#This Row],[Volume9]]*-1</f>
        <v>0</v>
      </c>
      <c r="BE391">
        <f>(Table13[[#This Row],[SgammaC]]+Table13[[#This Row],[SgammaP]])*$A$4*-100</f>
        <v>0</v>
      </c>
      <c r="BF391">
        <f>Table13[[#This Row],[DEXc]]+Table13[[#This Row],[DEXp]]</f>
        <v>0</v>
      </c>
      <c r="BG391">
        <f>IFERROR(Table13[[#This Row],[DeltaC]]*Table13[[#This Row],[Open.Int]]*$A$4,0)</f>
        <v>0</v>
      </c>
      <c r="BH391">
        <f>IFERROR(Table13[[#This Row],[DeltaP]]*Table13[[#This Row],[Open.Int8]]*$A$4,0)</f>
        <v>0</v>
      </c>
      <c r="BI39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1">
        <f ca="1">Table13[[#This Row],[charmc]]+Table13[[#This Row],[charmp]]</f>
        <v>0</v>
      </c>
      <c r="BL39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1" s="78">
        <f ca="1">Table13[[#This Row],[call helper]]+Table13[[#This Row],[put helper]]</f>
        <v>0</v>
      </c>
      <c r="BP391" t="str">
        <f>RTD("tos.rtd", , "STRIKE", "."&amp;Table13[[#This Row],[Ticker]]&amp;Table13[[#This Row],[Expiry]]&amp;""&amp;"C"&amp;Table13[[#This Row],[Spot]]+Table13[[#This Row],[step]])</f>
        <v>N/A</v>
      </c>
    </row>
    <row r="392" spans="1:68" x14ac:dyDescent="0.25">
      <c r="A392" s="14">
        <f t="shared" ca="1" si="34"/>
        <v>-126.14810350076104</v>
      </c>
      <c r="C392" s="17"/>
      <c r="D392" t="b">
        <f>IF(
    ISNUMBER(Table13[[#This Row],[Strike]]),RTD("tos.rtd", , "OPEN_INT", "."&amp;Table13[[#This Row],[Ticker]]&amp;Table13[[#This Row],[Expiry]]&amp;""&amp;"C"&amp;Table13[[#This Row],[Strike]]))</f>
        <v>0</v>
      </c>
      <c r="E39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2" t="b">
        <f>IF(     ISNUMBER(Table13[[#This Row],[Strike]]),RTD("tos.rtd", , "DELTA", "."&amp;Table13[[#This Row],[Ticker]]&amp;Table13[[#This Row],[Expiry]]&amp;""&amp;"C"&amp;Table13[[#This Row],[Strike]]))</f>
        <v>0</v>
      </c>
      <c r="H392" s="17" t="b" cm="1">
        <f t="array" ref="H392">IF(
    ISNUMBER(Table13[[#This Row],[Strike]]),IndividualLegIVCore($A$4, Table13[[#This Row],[Strike]], 0.0411, Table13[[#This Row],[T]], ((Table13[[#This Row],[BIDC]]+Table13[[#This Row],[ASKC]])/2), TRUE))</f>
        <v>0</v>
      </c>
      <c r="I392" t="b">
        <f>IF(     ISNUMBER(Table13[[#This Row],[Strike]]),RTD("tos.rtd", , "BID", "."&amp;Table13[[#This Row],[Ticker]]&amp;Table13[[#This Row],[Expiry]]&amp;""&amp;"C"&amp;Table13[[#This Row],[Strike]]))</f>
        <v>0</v>
      </c>
      <c r="J392" t="b">
        <f>IF(     ISNUMBER(Table13[[#This Row],[Strike]]),RTD("tos.rtd", , "ASK", "."&amp;Table13[[#This Row],[Ticker]]&amp;Table13[[#This Row],[Expiry]]&amp;""&amp;"C"&amp;Table13[[#This Row],[Strike]]))</f>
        <v>0</v>
      </c>
      <c r="K39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2" s="17" cm="1">
        <f t="array" aca="1" ref="L39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2" s="1">
        <f t="shared" si="35"/>
        <v>0</v>
      </c>
      <c r="N392" t="b">
        <f t="shared" si="36"/>
        <v>0</v>
      </c>
      <c r="P392" s="17" t="b" cm="1">
        <f t="array" ref="P392">IF(
    ISNUMBER(Table13[[#This Row],[Strike]]),IndividualLegIVCore($A$4, Table13[[#This Row],[Strike]], 0.0411, Table13[[#This Row],[T]], ((Table13[[#This Row],[BIDP]]+Table13[[#This Row],[ASKP]])/2), FALSE))</f>
        <v>0</v>
      </c>
      <c r="Q392" t="b">
        <f>IF(     ISNUMBER(Table13[[#This Row],[Strike]]),RTD("tos.rtd", , "BID", "."&amp;Table13[[#This Row],[Ticker]]&amp;Table13[[#This Row],[Expiry]]&amp;""&amp;"P"&amp;Table13[[#This Row],[Strike]]))</f>
        <v>0</v>
      </c>
      <c r="R392" t="b">
        <f>IF(     ISNUMBER(Table13[[#This Row],[Strike]]),RTD("tos.rtd", , "ASK", "."&amp;Table13[[#This Row],[Ticker]]&amp;Table13[[#This Row],[Expiry]]&amp;""&amp;"P"&amp;Table13[[#This Row],[Strike]]))</f>
        <v>0</v>
      </c>
      <c r="S392" s="17"/>
      <c r="T392" t="b">
        <f>IF(     ISNUMBER(Table13[[#This Row],[Strike]]),RTD("tos.rtd", , "OPEN_INT", "."&amp;Table13[[#This Row],[Ticker]]&amp;Table13[[#This Row],[Expiry]]&amp;""&amp;"P"&amp;Table13[[#This Row],[Strike]]))</f>
        <v>0</v>
      </c>
      <c r="U39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2" t="b">
        <f>IF(     ISNUMBER(Table13[[#This Row],[Strike]]),RTD("tos.rtd", , "DELTA", "."&amp;Table13[[#This Row],[Ticker]]&amp;Table13[[#This Row],[Expiry]]&amp;""&amp;"P"&amp;Table13[[#This Row],[Strike]]))</f>
        <v>0</v>
      </c>
      <c r="Y392" s="19">
        <f>39.5* IF($M$1="NDX", 10, IF(OR($M$1="SPX", $M$1="RUT"), 2, 1))</f>
        <v>79</v>
      </c>
      <c r="Z392">
        <f ca="1">IFERROR(Table13[[#This Row],[call gamma]]*(Table13[[#This Row],[Open.Int]])*$A$4^2,0)</f>
        <v>0</v>
      </c>
      <c r="AA392">
        <f ca="1">IFERROR(((Table13[[#This Row],[Open.Int8]])*Table13[[#This Row],[Put gamma]])*-1*$A$4^2,0)</f>
        <v>0</v>
      </c>
      <c r="AB392">
        <f ca="1">(Table13[[#This Row],[Call Gex]]+Table13[[#This Row],[Put Gex]])</f>
        <v>0</v>
      </c>
      <c r="AC392">
        <f ca="1">Table13[[#This Row],[put delta adj]]+Table13[[#This Row],[call delta adj]]</f>
        <v>0</v>
      </c>
      <c r="AD392">
        <f ca="1">Table13[[#This Row],[Put Gex]]*Table13[[#This Row],[DeltaP]]*-1</f>
        <v>0</v>
      </c>
      <c r="AE392">
        <f ca="1">Table13[[#This Row],[Call Gex]]*Table13[[#This Row],[DeltaC]]</f>
        <v>0</v>
      </c>
      <c r="AF392">
        <f>IF(Table13[[#This Row],[DeltaC]]-ABS(Table13[[#This Row],[DeltaP]])="0","0.01",Table13[[#This Row],[DeltaC]]-ABS(Table13[[#This Row],[DeltaP]]))</f>
        <v>0</v>
      </c>
      <c r="AG392" t="e">
        <f ca="1">((LN($A$4/Table13[[#This Row],[Strike]]) + (0.411 + 0.5 * Table13[[#This Row],[IV Calc P]]^2) *Table13[[#This Row],[T]])) / (Table13[[#This Row],[IV Calc P]] * SQRT(Table13[[#This Row],[T]]))</f>
        <v>#DIV/0!</v>
      </c>
      <c r="AH392" t="e">
        <f ca="1">(LN($A$4/Table13[[#This Row],[Strike]]) + (0.411-0 + 0.5 * Table13[[#This Row],[IV Calc C]]^2) *Table13[[#This Row],[T]]) / (Table13[[#This Row],[IV Calc C]] * SQRT(Table13[[#This Row],[T]]))</f>
        <v>#DIV/0!</v>
      </c>
      <c r="AI392" t="e">
        <f ca="1">(EXP(-(AG392^2)/2)/SQRT(2*PI())*EXP(0*SQRT(Table13[[#This Row],[T]]))/$A$4*18%*SQRT(SQRT(Table13[[#This Row],[T]])))</f>
        <v>#DIV/0!</v>
      </c>
      <c r="AJ392" t="e">
        <f ca="1">(EXP(-(AH392^2)/2)/SQRT(2*PI())*EXP(0*SQRT(Table13[[#This Row],[T]]))/$A$4*18%*SQRT(SQRT(Table13[[#This Row],[T]])))</f>
        <v>#DIV/0!</v>
      </c>
      <c r="AK392" t="e">
        <f ca="1">Table13[[#This Row],[Call D1]]-Table13[[#This Row],[IV Calc C]]*SQRT(Table13[[#This Row],[T]])</f>
        <v>#DIV/0!</v>
      </c>
      <c r="AL392" t="e">
        <f ca="1">Table13[[#This Row],[Put D1]]-Table13[[#This Row],[IV Calc P]]*SQRT(Table13[[#This Row],[T]])</f>
        <v>#DIV/0!</v>
      </c>
      <c r="AM392" t="e">
        <f ca="1">EXP(-0.5*Table13[[#This Row],[Call D1]]^2)/SQRT(2*PI())</f>
        <v>#DIV/0!</v>
      </c>
      <c r="AN392" t="e">
        <f ca="1">EXP(-0.5*Table13[[#This Row],[Put D1]]^2)/SQRT(2*PI())</f>
        <v>#DIV/0!</v>
      </c>
      <c r="AO392">
        <f ca="1">IFERROR((EXP(0*Table13[[#This Row],[T]])*Table13[[#This Row],[call N(d1)]]*(Table13[[#This Row],[call d2]]/Table13[[#This Row],[IV Calc C]]))*Table13[[#This Row],[Open.Int]]*Table13[[#This Row],[DeltaC]],0)</f>
        <v>0</v>
      </c>
      <c r="AP392">
        <f ca="1">IFERROR((EXP(0*Table13[[#This Row],[T]])*Table13[[#This Row],[put N(d1)]]*(Table13[[#This Row],[put d2]]/Table13[[#This Row],[IV Calc P]]))*Table13[[#This Row],[Open.Int8]]*Table13[[#This Row],[DeltaP]]*-1,0)</f>
        <v>0</v>
      </c>
      <c r="AQ392">
        <f ca="1">((Table13[[#This Row],[call vanna]]+Table13[[#This Row],[put vanna]])*$A$4)</f>
        <v>0</v>
      </c>
      <c r="AR39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2" s="9" t="str" cm="1">
        <f t="array" ref="AT392">_xlfn.IFS(     $M$1="SPX","SPXW",     $M$1="RUT","RUTW",  $M$1="NDX","NDXP",   TRUE,$M$1 )</f>
        <v>SPXW</v>
      </c>
      <c r="AU392" s="2">
        <f t="shared" si="37"/>
        <v>6915</v>
      </c>
      <c r="AV392" t="str">
        <f t="shared" si="38"/>
        <v>000100</v>
      </c>
      <c r="AY39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2">
        <f>((Table13[[#This Row],[High C]]+Table13[[#This Row],[Low C]])/2)*Table13[[#This Row],[gammac]]*Table13[[#This Row],[Volume]]</f>
        <v>0</v>
      </c>
      <c r="BD392">
        <f>((Table13[[#This Row],[High P]]+Table13[[#This Row],[Low P]])/2)*Table13[[#This Row],[gammap]]*Table13[[#This Row],[Volume9]]*-1</f>
        <v>0</v>
      </c>
      <c r="BE392">
        <f>(Table13[[#This Row],[SgammaC]]+Table13[[#This Row],[SgammaP]])*$A$4*-100</f>
        <v>0</v>
      </c>
      <c r="BF392">
        <f>Table13[[#This Row],[DEXc]]+Table13[[#This Row],[DEXp]]</f>
        <v>0</v>
      </c>
      <c r="BG392">
        <f>IFERROR(Table13[[#This Row],[DeltaC]]*Table13[[#This Row],[Open.Int]]*$A$4,0)</f>
        <v>0</v>
      </c>
      <c r="BH392">
        <f>IFERROR(Table13[[#This Row],[DeltaP]]*Table13[[#This Row],[Open.Int8]]*$A$4,0)</f>
        <v>0</v>
      </c>
      <c r="BI39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2">
        <f ca="1">Table13[[#This Row],[charmc]]+Table13[[#This Row],[charmp]]</f>
        <v>0</v>
      </c>
      <c r="BL39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2" s="78">
        <f ca="1">Table13[[#This Row],[call helper]]+Table13[[#This Row],[put helper]]</f>
        <v>0</v>
      </c>
      <c r="BP392" t="str">
        <f>RTD("tos.rtd", , "STRIKE", "."&amp;Table13[[#This Row],[Ticker]]&amp;Table13[[#This Row],[Expiry]]&amp;""&amp;"C"&amp;Table13[[#This Row],[Spot]]+Table13[[#This Row],[step]])</f>
        <v>N/A</v>
      </c>
    </row>
    <row r="393" spans="1:68" x14ac:dyDescent="0.25">
      <c r="A393" s="14">
        <f t="shared" ca="1" si="34"/>
        <v>-126.14810350076104</v>
      </c>
      <c r="C393" s="17"/>
      <c r="D393" t="b">
        <f>IF(
    ISNUMBER(Table13[[#This Row],[Strike]]),RTD("tos.rtd", , "OPEN_INT", "."&amp;Table13[[#This Row],[Ticker]]&amp;Table13[[#This Row],[Expiry]]&amp;""&amp;"C"&amp;Table13[[#This Row],[Strike]]))</f>
        <v>0</v>
      </c>
      <c r="E39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3" t="b">
        <f>IF(     ISNUMBER(Table13[[#This Row],[Strike]]),RTD("tos.rtd", , "DELTA", "."&amp;Table13[[#This Row],[Ticker]]&amp;Table13[[#This Row],[Expiry]]&amp;""&amp;"C"&amp;Table13[[#This Row],[Strike]]))</f>
        <v>0</v>
      </c>
      <c r="H393" s="17" t="b" cm="1">
        <f t="array" ref="H393">IF(
    ISNUMBER(Table13[[#This Row],[Strike]]),IndividualLegIVCore($A$4, Table13[[#This Row],[Strike]], 0.0411, Table13[[#This Row],[T]], ((Table13[[#This Row],[BIDC]]+Table13[[#This Row],[ASKC]])/2), TRUE))</f>
        <v>0</v>
      </c>
      <c r="I393" t="b">
        <f>IF(     ISNUMBER(Table13[[#This Row],[Strike]]),RTD("tos.rtd", , "BID", "."&amp;Table13[[#This Row],[Ticker]]&amp;Table13[[#This Row],[Expiry]]&amp;""&amp;"C"&amp;Table13[[#This Row],[Strike]]))</f>
        <v>0</v>
      </c>
      <c r="J393" t="b">
        <f>IF(     ISNUMBER(Table13[[#This Row],[Strike]]),RTD("tos.rtd", , "ASK", "."&amp;Table13[[#This Row],[Ticker]]&amp;Table13[[#This Row],[Expiry]]&amp;""&amp;"C"&amp;Table13[[#This Row],[Strike]]))</f>
        <v>0</v>
      </c>
      <c r="K39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3" s="17" cm="1">
        <f t="array" aca="1" ref="L39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3" s="1">
        <f t="shared" si="35"/>
        <v>0</v>
      </c>
      <c r="N393" t="b">
        <f t="shared" si="36"/>
        <v>0</v>
      </c>
      <c r="P393" s="17" t="b" cm="1">
        <f t="array" ref="P393">IF(
    ISNUMBER(Table13[[#This Row],[Strike]]),IndividualLegIVCore($A$4, Table13[[#This Row],[Strike]], 0.0411, Table13[[#This Row],[T]], ((Table13[[#This Row],[BIDP]]+Table13[[#This Row],[ASKP]])/2), FALSE))</f>
        <v>0</v>
      </c>
      <c r="Q393" t="b">
        <f>IF(     ISNUMBER(Table13[[#This Row],[Strike]]),RTD("tos.rtd", , "BID", "."&amp;Table13[[#This Row],[Ticker]]&amp;Table13[[#This Row],[Expiry]]&amp;""&amp;"P"&amp;Table13[[#This Row],[Strike]]))</f>
        <v>0</v>
      </c>
      <c r="R393" t="b">
        <f>IF(     ISNUMBER(Table13[[#This Row],[Strike]]),RTD("tos.rtd", , "ASK", "."&amp;Table13[[#This Row],[Ticker]]&amp;Table13[[#This Row],[Expiry]]&amp;""&amp;"P"&amp;Table13[[#This Row],[Strike]]))</f>
        <v>0</v>
      </c>
      <c r="S393" s="17"/>
      <c r="T393" t="b">
        <f>IF(     ISNUMBER(Table13[[#This Row],[Strike]]),RTD("tos.rtd", , "OPEN_INT", "."&amp;Table13[[#This Row],[Ticker]]&amp;Table13[[#This Row],[Expiry]]&amp;""&amp;"P"&amp;Table13[[#This Row],[Strike]]))</f>
        <v>0</v>
      </c>
      <c r="U39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3" t="b">
        <f>IF(     ISNUMBER(Table13[[#This Row],[Strike]]),RTD("tos.rtd", , "DELTA", "."&amp;Table13[[#This Row],[Ticker]]&amp;Table13[[#This Row],[Expiry]]&amp;""&amp;"P"&amp;Table13[[#This Row],[Strike]]))</f>
        <v>0</v>
      </c>
      <c r="Y393" s="19">
        <f>40* IF($M$1="NDX", 10, IF(OR($M$1="SPX", $M$1="RUT"), 2, 1))</f>
        <v>80</v>
      </c>
      <c r="Z393">
        <f ca="1">IFERROR(Table13[[#This Row],[call gamma]]*(Table13[[#This Row],[Open.Int]])*$A$4^2,0)</f>
        <v>0</v>
      </c>
      <c r="AA393">
        <f ca="1">IFERROR(((Table13[[#This Row],[Open.Int8]])*Table13[[#This Row],[Put gamma]])*-1*$A$4^2,0)</f>
        <v>0</v>
      </c>
      <c r="AB393">
        <f ca="1">(Table13[[#This Row],[Call Gex]]+Table13[[#This Row],[Put Gex]])</f>
        <v>0</v>
      </c>
      <c r="AC393">
        <f ca="1">Table13[[#This Row],[put delta adj]]+Table13[[#This Row],[call delta adj]]</f>
        <v>0</v>
      </c>
      <c r="AD393">
        <f ca="1">Table13[[#This Row],[Put Gex]]*Table13[[#This Row],[DeltaP]]*-1</f>
        <v>0</v>
      </c>
      <c r="AE393">
        <f ca="1">Table13[[#This Row],[Call Gex]]*Table13[[#This Row],[DeltaC]]</f>
        <v>0</v>
      </c>
      <c r="AF393">
        <f>IF(Table13[[#This Row],[DeltaC]]-ABS(Table13[[#This Row],[DeltaP]])="0","0.01",Table13[[#This Row],[DeltaC]]-ABS(Table13[[#This Row],[DeltaP]]))</f>
        <v>0</v>
      </c>
      <c r="AG393" t="e">
        <f ca="1">((LN($A$4/Table13[[#This Row],[Strike]]) + (0.411 + 0.5 * Table13[[#This Row],[IV Calc P]]^2) *Table13[[#This Row],[T]])) / (Table13[[#This Row],[IV Calc P]] * SQRT(Table13[[#This Row],[T]]))</f>
        <v>#DIV/0!</v>
      </c>
      <c r="AH393" t="e">
        <f ca="1">(LN($A$4/Table13[[#This Row],[Strike]]) + (0.411-0 + 0.5 * Table13[[#This Row],[IV Calc C]]^2) *Table13[[#This Row],[T]]) / (Table13[[#This Row],[IV Calc C]] * SQRT(Table13[[#This Row],[T]]))</f>
        <v>#DIV/0!</v>
      </c>
      <c r="AI393" t="e">
        <f ca="1">(EXP(-(AG393^2)/2)/SQRT(2*PI())*EXP(0*SQRT(Table13[[#This Row],[T]]))/$A$4*18%*SQRT(SQRT(Table13[[#This Row],[T]])))</f>
        <v>#DIV/0!</v>
      </c>
      <c r="AJ393" t="e">
        <f ca="1">(EXP(-(AH393^2)/2)/SQRT(2*PI())*EXP(0*SQRT(Table13[[#This Row],[T]]))/$A$4*18%*SQRT(SQRT(Table13[[#This Row],[T]])))</f>
        <v>#DIV/0!</v>
      </c>
      <c r="AK393" t="e">
        <f ca="1">Table13[[#This Row],[Call D1]]-Table13[[#This Row],[IV Calc C]]*SQRT(Table13[[#This Row],[T]])</f>
        <v>#DIV/0!</v>
      </c>
      <c r="AL393" t="e">
        <f ca="1">Table13[[#This Row],[Put D1]]-Table13[[#This Row],[IV Calc P]]*SQRT(Table13[[#This Row],[T]])</f>
        <v>#DIV/0!</v>
      </c>
      <c r="AM393" t="e">
        <f ca="1">EXP(-0.5*Table13[[#This Row],[Call D1]]^2)/SQRT(2*PI())</f>
        <v>#DIV/0!</v>
      </c>
      <c r="AN393" t="e">
        <f ca="1">EXP(-0.5*Table13[[#This Row],[Put D1]]^2)/SQRT(2*PI())</f>
        <v>#DIV/0!</v>
      </c>
      <c r="AO393">
        <f ca="1">IFERROR((EXP(0*Table13[[#This Row],[T]])*Table13[[#This Row],[call N(d1)]]*(Table13[[#This Row],[call d2]]/Table13[[#This Row],[IV Calc C]]))*Table13[[#This Row],[Open.Int]]*Table13[[#This Row],[DeltaC]],0)</f>
        <v>0</v>
      </c>
      <c r="AP393">
        <f ca="1">IFERROR((EXP(0*Table13[[#This Row],[T]])*Table13[[#This Row],[put N(d1)]]*(Table13[[#This Row],[put d2]]/Table13[[#This Row],[IV Calc P]]))*Table13[[#This Row],[Open.Int8]]*Table13[[#This Row],[DeltaP]]*-1,0)</f>
        <v>0</v>
      </c>
      <c r="AQ393">
        <f ca="1">((Table13[[#This Row],[call vanna]]+Table13[[#This Row],[put vanna]])*$A$4)</f>
        <v>0</v>
      </c>
      <c r="AR39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3" s="9" t="str" cm="1">
        <f t="array" ref="AT393">_xlfn.IFS(     $M$1="SPX","SPXW",     $M$1="RUT","RUTW",  $M$1="NDX","NDXP",   TRUE,$M$1 )</f>
        <v>SPXW</v>
      </c>
      <c r="AU393" s="2">
        <f t="shared" si="37"/>
        <v>6915</v>
      </c>
      <c r="AV393" t="str">
        <f t="shared" si="38"/>
        <v>000100</v>
      </c>
      <c r="AY39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3">
        <f>((Table13[[#This Row],[High C]]+Table13[[#This Row],[Low C]])/2)*Table13[[#This Row],[gammac]]*Table13[[#This Row],[Volume]]</f>
        <v>0</v>
      </c>
      <c r="BD393">
        <f>((Table13[[#This Row],[High P]]+Table13[[#This Row],[Low P]])/2)*Table13[[#This Row],[gammap]]*Table13[[#This Row],[Volume9]]*-1</f>
        <v>0</v>
      </c>
      <c r="BE393">
        <f>(Table13[[#This Row],[SgammaC]]+Table13[[#This Row],[SgammaP]])*$A$4*-100</f>
        <v>0</v>
      </c>
      <c r="BF393">
        <f>Table13[[#This Row],[DEXc]]+Table13[[#This Row],[DEXp]]</f>
        <v>0</v>
      </c>
      <c r="BG393">
        <f>IFERROR(Table13[[#This Row],[DeltaC]]*Table13[[#This Row],[Open.Int]]*$A$4,0)</f>
        <v>0</v>
      </c>
      <c r="BH393">
        <f>IFERROR(Table13[[#This Row],[DeltaP]]*Table13[[#This Row],[Open.Int8]]*$A$4,0)</f>
        <v>0</v>
      </c>
      <c r="BI39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3">
        <f ca="1">Table13[[#This Row],[charmc]]+Table13[[#This Row],[charmp]]</f>
        <v>0</v>
      </c>
      <c r="BL39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3" s="78">
        <f ca="1">Table13[[#This Row],[call helper]]+Table13[[#This Row],[put helper]]</f>
        <v>0</v>
      </c>
      <c r="BP393" t="str">
        <f>RTD("tos.rtd", , "STRIKE", "."&amp;Table13[[#This Row],[Ticker]]&amp;Table13[[#This Row],[Expiry]]&amp;""&amp;"C"&amp;Table13[[#This Row],[Spot]]+Table13[[#This Row],[step]])</f>
        <v>N/A</v>
      </c>
    </row>
    <row r="394" spans="1:68" x14ac:dyDescent="0.25">
      <c r="A394" s="14">
        <f t="shared" ca="1" si="34"/>
        <v>-126.14810350076104</v>
      </c>
      <c r="C394" s="17"/>
      <c r="D394" t="b">
        <f>IF(
    ISNUMBER(Table13[[#This Row],[Strike]]),RTD("tos.rtd", , "OPEN_INT", "."&amp;Table13[[#This Row],[Ticker]]&amp;Table13[[#This Row],[Expiry]]&amp;""&amp;"C"&amp;Table13[[#This Row],[Strike]]))</f>
        <v>0</v>
      </c>
      <c r="E39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4" t="b">
        <f>IF(     ISNUMBER(Table13[[#This Row],[Strike]]),RTD("tos.rtd", , "DELTA", "."&amp;Table13[[#This Row],[Ticker]]&amp;Table13[[#This Row],[Expiry]]&amp;""&amp;"C"&amp;Table13[[#This Row],[Strike]]))</f>
        <v>0</v>
      </c>
      <c r="H394" s="17" t="b" cm="1">
        <f t="array" ref="H394">IF(
    ISNUMBER(Table13[[#This Row],[Strike]]),IndividualLegIVCore($A$4, Table13[[#This Row],[Strike]], 0.0411, Table13[[#This Row],[T]], ((Table13[[#This Row],[BIDC]]+Table13[[#This Row],[ASKC]])/2), TRUE))</f>
        <v>0</v>
      </c>
      <c r="I394" t="b">
        <f>IF(     ISNUMBER(Table13[[#This Row],[Strike]]),RTD("tos.rtd", , "BID", "."&amp;Table13[[#This Row],[Ticker]]&amp;Table13[[#This Row],[Expiry]]&amp;""&amp;"C"&amp;Table13[[#This Row],[Strike]]))</f>
        <v>0</v>
      </c>
      <c r="J394" t="b">
        <f>IF(     ISNUMBER(Table13[[#This Row],[Strike]]),RTD("tos.rtd", , "ASK", "."&amp;Table13[[#This Row],[Ticker]]&amp;Table13[[#This Row],[Expiry]]&amp;""&amp;"C"&amp;Table13[[#This Row],[Strike]]))</f>
        <v>0</v>
      </c>
      <c r="K39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4" s="17" cm="1">
        <f t="array" aca="1" ref="L39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4" s="1">
        <f t="shared" si="35"/>
        <v>0</v>
      </c>
      <c r="N394" t="b">
        <f t="shared" si="36"/>
        <v>0</v>
      </c>
      <c r="P394" s="17" t="b" cm="1">
        <f t="array" ref="P394">IF(
    ISNUMBER(Table13[[#This Row],[Strike]]),IndividualLegIVCore($A$4, Table13[[#This Row],[Strike]], 0.0411, Table13[[#This Row],[T]], ((Table13[[#This Row],[BIDP]]+Table13[[#This Row],[ASKP]])/2), FALSE))</f>
        <v>0</v>
      </c>
      <c r="Q394" t="b">
        <f>IF(     ISNUMBER(Table13[[#This Row],[Strike]]),RTD("tos.rtd", , "BID", "."&amp;Table13[[#This Row],[Ticker]]&amp;Table13[[#This Row],[Expiry]]&amp;""&amp;"P"&amp;Table13[[#This Row],[Strike]]))</f>
        <v>0</v>
      </c>
      <c r="R394" t="b">
        <f>IF(     ISNUMBER(Table13[[#This Row],[Strike]]),RTD("tos.rtd", , "ASK", "."&amp;Table13[[#This Row],[Ticker]]&amp;Table13[[#This Row],[Expiry]]&amp;""&amp;"P"&amp;Table13[[#This Row],[Strike]]))</f>
        <v>0</v>
      </c>
      <c r="S394" s="17"/>
      <c r="T394" t="b">
        <f>IF(     ISNUMBER(Table13[[#This Row],[Strike]]),RTD("tos.rtd", , "OPEN_INT", "."&amp;Table13[[#This Row],[Ticker]]&amp;Table13[[#This Row],[Expiry]]&amp;""&amp;"P"&amp;Table13[[#This Row],[Strike]]))</f>
        <v>0</v>
      </c>
      <c r="U39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4" t="b">
        <f>IF(     ISNUMBER(Table13[[#This Row],[Strike]]),RTD("tos.rtd", , "DELTA", "."&amp;Table13[[#This Row],[Ticker]]&amp;Table13[[#This Row],[Expiry]]&amp;""&amp;"P"&amp;Table13[[#This Row],[Strike]]))</f>
        <v>0</v>
      </c>
      <c r="Y394" s="19">
        <f>40.5* IF($M$1="NDX", 10, IF(OR($M$1="SPX", $M$1="RUT"), 2, 1))</f>
        <v>81</v>
      </c>
      <c r="Z394">
        <f ca="1">IFERROR(Table13[[#This Row],[call gamma]]*(Table13[[#This Row],[Open.Int]])*$A$4^2,0)</f>
        <v>0</v>
      </c>
      <c r="AA394">
        <f ca="1">IFERROR(((Table13[[#This Row],[Open.Int8]])*Table13[[#This Row],[Put gamma]])*-1*$A$4^2,0)</f>
        <v>0</v>
      </c>
      <c r="AB394">
        <f ca="1">(Table13[[#This Row],[Call Gex]]+Table13[[#This Row],[Put Gex]])</f>
        <v>0</v>
      </c>
      <c r="AC394">
        <f ca="1">Table13[[#This Row],[put delta adj]]+Table13[[#This Row],[call delta adj]]</f>
        <v>0</v>
      </c>
      <c r="AD394">
        <f ca="1">Table13[[#This Row],[Put Gex]]*Table13[[#This Row],[DeltaP]]*-1</f>
        <v>0</v>
      </c>
      <c r="AE394">
        <f ca="1">Table13[[#This Row],[Call Gex]]*Table13[[#This Row],[DeltaC]]</f>
        <v>0</v>
      </c>
      <c r="AF394">
        <f>IF(Table13[[#This Row],[DeltaC]]-ABS(Table13[[#This Row],[DeltaP]])="0","0.01",Table13[[#This Row],[DeltaC]]-ABS(Table13[[#This Row],[DeltaP]]))</f>
        <v>0</v>
      </c>
      <c r="AG394" t="e">
        <f ca="1">((LN($A$4/Table13[[#This Row],[Strike]]) + (0.411 + 0.5 * Table13[[#This Row],[IV Calc P]]^2) *Table13[[#This Row],[T]])) / (Table13[[#This Row],[IV Calc P]] * SQRT(Table13[[#This Row],[T]]))</f>
        <v>#DIV/0!</v>
      </c>
      <c r="AH394" t="e">
        <f ca="1">(LN($A$4/Table13[[#This Row],[Strike]]) + (0.411-0 + 0.5 * Table13[[#This Row],[IV Calc C]]^2) *Table13[[#This Row],[T]]) / (Table13[[#This Row],[IV Calc C]] * SQRT(Table13[[#This Row],[T]]))</f>
        <v>#DIV/0!</v>
      </c>
      <c r="AI394" t="e">
        <f ca="1">(EXP(-(AG394^2)/2)/SQRT(2*PI())*EXP(0*SQRT(Table13[[#This Row],[T]]))/$A$4*18%*SQRT(SQRT(Table13[[#This Row],[T]])))</f>
        <v>#DIV/0!</v>
      </c>
      <c r="AJ394" t="e">
        <f ca="1">(EXP(-(AH394^2)/2)/SQRT(2*PI())*EXP(0*SQRT(Table13[[#This Row],[T]]))/$A$4*18%*SQRT(SQRT(Table13[[#This Row],[T]])))</f>
        <v>#DIV/0!</v>
      </c>
      <c r="AK394" t="e">
        <f ca="1">Table13[[#This Row],[Call D1]]-Table13[[#This Row],[IV Calc C]]*SQRT(Table13[[#This Row],[T]])</f>
        <v>#DIV/0!</v>
      </c>
      <c r="AL394" t="e">
        <f ca="1">Table13[[#This Row],[Put D1]]-Table13[[#This Row],[IV Calc P]]*SQRT(Table13[[#This Row],[T]])</f>
        <v>#DIV/0!</v>
      </c>
      <c r="AM394" t="e">
        <f ca="1">EXP(-0.5*Table13[[#This Row],[Call D1]]^2)/SQRT(2*PI())</f>
        <v>#DIV/0!</v>
      </c>
      <c r="AN394" t="e">
        <f ca="1">EXP(-0.5*Table13[[#This Row],[Put D1]]^2)/SQRT(2*PI())</f>
        <v>#DIV/0!</v>
      </c>
      <c r="AO394">
        <f ca="1">IFERROR((EXP(0*Table13[[#This Row],[T]])*Table13[[#This Row],[call N(d1)]]*(Table13[[#This Row],[call d2]]/Table13[[#This Row],[IV Calc C]]))*Table13[[#This Row],[Open.Int]]*Table13[[#This Row],[DeltaC]],0)</f>
        <v>0</v>
      </c>
      <c r="AP394">
        <f ca="1">IFERROR((EXP(0*Table13[[#This Row],[T]])*Table13[[#This Row],[put N(d1)]]*(Table13[[#This Row],[put d2]]/Table13[[#This Row],[IV Calc P]]))*Table13[[#This Row],[Open.Int8]]*Table13[[#This Row],[DeltaP]]*-1,0)</f>
        <v>0</v>
      </c>
      <c r="AQ394">
        <f ca="1">((Table13[[#This Row],[call vanna]]+Table13[[#This Row],[put vanna]])*$A$4)</f>
        <v>0</v>
      </c>
      <c r="AR39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4" s="9" t="str" cm="1">
        <f t="array" ref="AT394">_xlfn.IFS(     $M$1="SPX","SPXW",     $M$1="RUT","RUTW",  $M$1="NDX","NDXP",   TRUE,$M$1 )</f>
        <v>SPXW</v>
      </c>
      <c r="AU394" s="2">
        <f t="shared" si="37"/>
        <v>6915</v>
      </c>
      <c r="AV394" t="str">
        <f t="shared" si="38"/>
        <v>000100</v>
      </c>
      <c r="AY39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4">
        <f>((Table13[[#This Row],[High C]]+Table13[[#This Row],[Low C]])/2)*Table13[[#This Row],[gammac]]*Table13[[#This Row],[Volume]]</f>
        <v>0</v>
      </c>
      <c r="BD394">
        <f>((Table13[[#This Row],[High P]]+Table13[[#This Row],[Low P]])/2)*Table13[[#This Row],[gammap]]*Table13[[#This Row],[Volume9]]*-1</f>
        <v>0</v>
      </c>
      <c r="BE394">
        <f>(Table13[[#This Row],[SgammaC]]+Table13[[#This Row],[SgammaP]])*$A$4*-100</f>
        <v>0</v>
      </c>
      <c r="BF394">
        <f>Table13[[#This Row],[DEXc]]+Table13[[#This Row],[DEXp]]</f>
        <v>0</v>
      </c>
      <c r="BG394">
        <f>IFERROR(Table13[[#This Row],[DeltaC]]*Table13[[#This Row],[Open.Int]]*$A$4,0)</f>
        <v>0</v>
      </c>
      <c r="BH394">
        <f>IFERROR(Table13[[#This Row],[DeltaP]]*Table13[[#This Row],[Open.Int8]]*$A$4,0)</f>
        <v>0</v>
      </c>
      <c r="BI39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4">
        <f ca="1">Table13[[#This Row],[charmc]]+Table13[[#This Row],[charmp]]</f>
        <v>0</v>
      </c>
      <c r="BL39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4" s="78">
        <f ca="1">Table13[[#This Row],[call helper]]+Table13[[#This Row],[put helper]]</f>
        <v>0</v>
      </c>
      <c r="BP394" t="str">
        <f>RTD("tos.rtd", , "STRIKE", "."&amp;Table13[[#This Row],[Ticker]]&amp;Table13[[#This Row],[Expiry]]&amp;""&amp;"C"&amp;Table13[[#This Row],[Spot]]+Table13[[#This Row],[step]])</f>
        <v>N/A</v>
      </c>
    </row>
    <row r="395" spans="1:68" x14ac:dyDescent="0.25">
      <c r="A395" s="14">
        <f t="shared" ca="1" si="34"/>
        <v>-126.14810350076104</v>
      </c>
      <c r="C395" s="17"/>
      <c r="D395" t="b">
        <f>IF(
    ISNUMBER(Table13[[#This Row],[Strike]]),RTD("tos.rtd", , "OPEN_INT", "."&amp;Table13[[#This Row],[Ticker]]&amp;Table13[[#This Row],[Expiry]]&amp;""&amp;"C"&amp;Table13[[#This Row],[Strike]]))</f>
        <v>0</v>
      </c>
      <c r="E39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5" t="b">
        <f>IF(     ISNUMBER(Table13[[#This Row],[Strike]]),RTD("tos.rtd", , "DELTA", "."&amp;Table13[[#This Row],[Ticker]]&amp;Table13[[#This Row],[Expiry]]&amp;""&amp;"C"&amp;Table13[[#This Row],[Strike]]))</f>
        <v>0</v>
      </c>
      <c r="H395" s="17" t="b" cm="1">
        <f t="array" ref="H395">IF(
    ISNUMBER(Table13[[#This Row],[Strike]]),IndividualLegIVCore($A$4, Table13[[#This Row],[Strike]], 0.0411, Table13[[#This Row],[T]], ((Table13[[#This Row],[BIDC]]+Table13[[#This Row],[ASKC]])/2), TRUE))</f>
        <v>0</v>
      </c>
      <c r="I395" t="b">
        <f>IF(     ISNUMBER(Table13[[#This Row],[Strike]]),RTD("tos.rtd", , "BID", "."&amp;Table13[[#This Row],[Ticker]]&amp;Table13[[#This Row],[Expiry]]&amp;""&amp;"C"&amp;Table13[[#This Row],[Strike]]))</f>
        <v>0</v>
      </c>
      <c r="J395" t="b">
        <f>IF(     ISNUMBER(Table13[[#This Row],[Strike]]),RTD("tos.rtd", , "ASK", "."&amp;Table13[[#This Row],[Ticker]]&amp;Table13[[#This Row],[Expiry]]&amp;""&amp;"C"&amp;Table13[[#This Row],[Strike]]))</f>
        <v>0</v>
      </c>
      <c r="K39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5" s="17" cm="1">
        <f t="array" aca="1" ref="L39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5" s="1">
        <f t="shared" si="35"/>
        <v>0</v>
      </c>
      <c r="N395" t="b">
        <f t="shared" si="36"/>
        <v>0</v>
      </c>
      <c r="P395" s="17" t="b" cm="1">
        <f t="array" ref="P395">IF(
    ISNUMBER(Table13[[#This Row],[Strike]]),IndividualLegIVCore($A$4, Table13[[#This Row],[Strike]], 0.0411, Table13[[#This Row],[T]], ((Table13[[#This Row],[BIDP]]+Table13[[#This Row],[ASKP]])/2), FALSE))</f>
        <v>0</v>
      </c>
      <c r="Q395" t="b">
        <f>IF(     ISNUMBER(Table13[[#This Row],[Strike]]),RTD("tos.rtd", , "BID", "."&amp;Table13[[#This Row],[Ticker]]&amp;Table13[[#This Row],[Expiry]]&amp;""&amp;"P"&amp;Table13[[#This Row],[Strike]]))</f>
        <v>0</v>
      </c>
      <c r="R395" t="b">
        <f>IF(     ISNUMBER(Table13[[#This Row],[Strike]]),RTD("tos.rtd", , "ASK", "."&amp;Table13[[#This Row],[Ticker]]&amp;Table13[[#This Row],[Expiry]]&amp;""&amp;"P"&amp;Table13[[#This Row],[Strike]]))</f>
        <v>0</v>
      </c>
      <c r="S395" s="17"/>
      <c r="T395" t="b">
        <f>IF(     ISNUMBER(Table13[[#This Row],[Strike]]),RTD("tos.rtd", , "OPEN_INT", "."&amp;Table13[[#This Row],[Ticker]]&amp;Table13[[#This Row],[Expiry]]&amp;""&amp;"P"&amp;Table13[[#This Row],[Strike]]))</f>
        <v>0</v>
      </c>
      <c r="U39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5" t="b">
        <f>IF(     ISNUMBER(Table13[[#This Row],[Strike]]),RTD("tos.rtd", , "DELTA", "."&amp;Table13[[#This Row],[Ticker]]&amp;Table13[[#This Row],[Expiry]]&amp;""&amp;"P"&amp;Table13[[#This Row],[Strike]]))</f>
        <v>0</v>
      </c>
      <c r="Y395" s="19">
        <f>41* IF($M$1="NDX", 10, IF(OR($M$1="SPX", $M$1="RUT"), 2, 1))</f>
        <v>82</v>
      </c>
      <c r="Z395">
        <f ca="1">IFERROR(Table13[[#This Row],[call gamma]]*(Table13[[#This Row],[Open.Int]])*$A$4^2,0)</f>
        <v>0</v>
      </c>
      <c r="AA395">
        <f ca="1">IFERROR(((Table13[[#This Row],[Open.Int8]])*Table13[[#This Row],[Put gamma]])*-1*$A$4^2,0)</f>
        <v>0</v>
      </c>
      <c r="AB395">
        <f ca="1">(Table13[[#This Row],[Call Gex]]+Table13[[#This Row],[Put Gex]])</f>
        <v>0</v>
      </c>
      <c r="AC395">
        <f ca="1">Table13[[#This Row],[put delta adj]]+Table13[[#This Row],[call delta adj]]</f>
        <v>0</v>
      </c>
      <c r="AD395">
        <f ca="1">Table13[[#This Row],[Put Gex]]*Table13[[#This Row],[DeltaP]]*-1</f>
        <v>0</v>
      </c>
      <c r="AE395">
        <f ca="1">Table13[[#This Row],[Call Gex]]*Table13[[#This Row],[DeltaC]]</f>
        <v>0</v>
      </c>
      <c r="AF395">
        <f>IF(Table13[[#This Row],[DeltaC]]-ABS(Table13[[#This Row],[DeltaP]])="0","0.01",Table13[[#This Row],[DeltaC]]-ABS(Table13[[#This Row],[DeltaP]]))</f>
        <v>0</v>
      </c>
      <c r="AG395" t="e">
        <f ca="1">((LN($A$4/Table13[[#This Row],[Strike]]) + (0.411 + 0.5 * Table13[[#This Row],[IV Calc P]]^2) *Table13[[#This Row],[T]])) / (Table13[[#This Row],[IV Calc P]] * SQRT(Table13[[#This Row],[T]]))</f>
        <v>#DIV/0!</v>
      </c>
      <c r="AH395" t="e">
        <f ca="1">(LN($A$4/Table13[[#This Row],[Strike]]) + (0.411-0 + 0.5 * Table13[[#This Row],[IV Calc C]]^2) *Table13[[#This Row],[T]]) / (Table13[[#This Row],[IV Calc C]] * SQRT(Table13[[#This Row],[T]]))</f>
        <v>#DIV/0!</v>
      </c>
      <c r="AI395" t="e">
        <f ca="1">(EXP(-(AG395^2)/2)/SQRT(2*PI())*EXP(0*SQRT(Table13[[#This Row],[T]]))/$A$4*18%*SQRT(SQRT(Table13[[#This Row],[T]])))</f>
        <v>#DIV/0!</v>
      </c>
      <c r="AJ395" t="e">
        <f ca="1">(EXP(-(AH395^2)/2)/SQRT(2*PI())*EXP(0*SQRT(Table13[[#This Row],[T]]))/$A$4*18%*SQRT(SQRT(Table13[[#This Row],[T]])))</f>
        <v>#DIV/0!</v>
      </c>
      <c r="AK395" t="e">
        <f ca="1">Table13[[#This Row],[Call D1]]-Table13[[#This Row],[IV Calc C]]*SQRT(Table13[[#This Row],[T]])</f>
        <v>#DIV/0!</v>
      </c>
      <c r="AL395" t="e">
        <f ca="1">Table13[[#This Row],[Put D1]]-Table13[[#This Row],[IV Calc P]]*SQRT(Table13[[#This Row],[T]])</f>
        <v>#DIV/0!</v>
      </c>
      <c r="AM395" t="e">
        <f ca="1">EXP(-0.5*Table13[[#This Row],[Call D1]]^2)/SQRT(2*PI())</f>
        <v>#DIV/0!</v>
      </c>
      <c r="AN395" t="e">
        <f ca="1">EXP(-0.5*Table13[[#This Row],[Put D1]]^2)/SQRT(2*PI())</f>
        <v>#DIV/0!</v>
      </c>
      <c r="AO395">
        <f ca="1">IFERROR((EXP(0*Table13[[#This Row],[T]])*Table13[[#This Row],[call N(d1)]]*(Table13[[#This Row],[call d2]]/Table13[[#This Row],[IV Calc C]]))*Table13[[#This Row],[Open.Int]]*Table13[[#This Row],[DeltaC]],0)</f>
        <v>0</v>
      </c>
      <c r="AP395">
        <f ca="1">IFERROR((EXP(0*Table13[[#This Row],[T]])*Table13[[#This Row],[put N(d1)]]*(Table13[[#This Row],[put d2]]/Table13[[#This Row],[IV Calc P]]))*Table13[[#This Row],[Open.Int8]]*Table13[[#This Row],[DeltaP]]*-1,0)</f>
        <v>0</v>
      </c>
      <c r="AQ395">
        <f ca="1">((Table13[[#This Row],[call vanna]]+Table13[[#This Row],[put vanna]])*$A$4)</f>
        <v>0</v>
      </c>
      <c r="AR39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5" s="9" t="str" cm="1">
        <f t="array" ref="AT395">_xlfn.IFS(     $M$1="SPX","SPXW",     $M$1="RUT","RUTW",  $M$1="NDX","NDXP",   TRUE,$M$1 )</f>
        <v>SPXW</v>
      </c>
      <c r="AU395" s="2">
        <f t="shared" si="37"/>
        <v>6915</v>
      </c>
      <c r="AV395" t="str">
        <f t="shared" si="38"/>
        <v>000100</v>
      </c>
      <c r="AY39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5">
        <f>((Table13[[#This Row],[High C]]+Table13[[#This Row],[Low C]])/2)*Table13[[#This Row],[gammac]]*Table13[[#This Row],[Volume]]</f>
        <v>0</v>
      </c>
      <c r="BD395">
        <f>((Table13[[#This Row],[High P]]+Table13[[#This Row],[Low P]])/2)*Table13[[#This Row],[gammap]]*Table13[[#This Row],[Volume9]]*-1</f>
        <v>0</v>
      </c>
      <c r="BE395">
        <f>(Table13[[#This Row],[SgammaC]]+Table13[[#This Row],[SgammaP]])*$A$4*-100</f>
        <v>0</v>
      </c>
      <c r="BF395">
        <f>Table13[[#This Row],[DEXc]]+Table13[[#This Row],[DEXp]]</f>
        <v>0</v>
      </c>
      <c r="BG395">
        <f>IFERROR(Table13[[#This Row],[DeltaC]]*Table13[[#This Row],[Open.Int]]*$A$4,0)</f>
        <v>0</v>
      </c>
      <c r="BH395">
        <f>IFERROR(Table13[[#This Row],[DeltaP]]*Table13[[#This Row],[Open.Int8]]*$A$4,0)</f>
        <v>0</v>
      </c>
      <c r="BI39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5">
        <f ca="1">Table13[[#This Row],[charmc]]+Table13[[#This Row],[charmp]]</f>
        <v>0</v>
      </c>
      <c r="BL39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5" s="78">
        <f ca="1">Table13[[#This Row],[call helper]]+Table13[[#This Row],[put helper]]</f>
        <v>0</v>
      </c>
      <c r="BP395" t="str">
        <f>RTD("tos.rtd", , "STRIKE", "."&amp;Table13[[#This Row],[Ticker]]&amp;Table13[[#This Row],[Expiry]]&amp;""&amp;"C"&amp;Table13[[#This Row],[Spot]]+Table13[[#This Row],[step]])</f>
        <v>N/A</v>
      </c>
    </row>
    <row r="396" spans="1:68" x14ac:dyDescent="0.25">
      <c r="A396" s="14">
        <f t="shared" ca="1" si="34"/>
        <v>-126.14810350076104</v>
      </c>
      <c r="C396" s="17"/>
      <c r="D396" t="b">
        <f>IF(
    ISNUMBER(Table13[[#This Row],[Strike]]),RTD("tos.rtd", , "OPEN_INT", "."&amp;Table13[[#This Row],[Ticker]]&amp;Table13[[#This Row],[Expiry]]&amp;""&amp;"C"&amp;Table13[[#This Row],[Strike]]))</f>
        <v>0</v>
      </c>
      <c r="E39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6" t="b">
        <f>IF(     ISNUMBER(Table13[[#This Row],[Strike]]),RTD("tos.rtd", , "DELTA", "."&amp;Table13[[#This Row],[Ticker]]&amp;Table13[[#This Row],[Expiry]]&amp;""&amp;"C"&amp;Table13[[#This Row],[Strike]]))</f>
        <v>0</v>
      </c>
      <c r="H396" s="17" t="b" cm="1">
        <f t="array" ref="H396">IF(
    ISNUMBER(Table13[[#This Row],[Strike]]),IndividualLegIVCore($A$4, Table13[[#This Row],[Strike]], 0.0411, Table13[[#This Row],[T]], ((Table13[[#This Row],[BIDC]]+Table13[[#This Row],[ASKC]])/2), TRUE))</f>
        <v>0</v>
      </c>
      <c r="I396" t="b">
        <f>IF(     ISNUMBER(Table13[[#This Row],[Strike]]),RTD("tos.rtd", , "BID", "."&amp;Table13[[#This Row],[Ticker]]&amp;Table13[[#This Row],[Expiry]]&amp;""&amp;"C"&amp;Table13[[#This Row],[Strike]]))</f>
        <v>0</v>
      </c>
      <c r="J396" t="b">
        <f>IF(     ISNUMBER(Table13[[#This Row],[Strike]]),RTD("tos.rtd", , "ASK", "."&amp;Table13[[#This Row],[Ticker]]&amp;Table13[[#This Row],[Expiry]]&amp;""&amp;"C"&amp;Table13[[#This Row],[Strike]]))</f>
        <v>0</v>
      </c>
      <c r="K39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6" s="17" cm="1">
        <f t="array" aca="1" ref="L39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6" s="1">
        <f t="shared" si="35"/>
        <v>0</v>
      </c>
      <c r="N396" t="b">
        <f t="shared" si="36"/>
        <v>0</v>
      </c>
      <c r="P396" s="17" t="b" cm="1">
        <f t="array" ref="P396">IF(
    ISNUMBER(Table13[[#This Row],[Strike]]),IndividualLegIVCore($A$4, Table13[[#This Row],[Strike]], 0.0411, Table13[[#This Row],[T]], ((Table13[[#This Row],[BIDP]]+Table13[[#This Row],[ASKP]])/2), FALSE))</f>
        <v>0</v>
      </c>
      <c r="Q396" t="b">
        <f>IF(     ISNUMBER(Table13[[#This Row],[Strike]]),RTD("tos.rtd", , "BID", "."&amp;Table13[[#This Row],[Ticker]]&amp;Table13[[#This Row],[Expiry]]&amp;""&amp;"P"&amp;Table13[[#This Row],[Strike]]))</f>
        <v>0</v>
      </c>
      <c r="R396" t="b">
        <f>IF(     ISNUMBER(Table13[[#This Row],[Strike]]),RTD("tos.rtd", , "ASK", "."&amp;Table13[[#This Row],[Ticker]]&amp;Table13[[#This Row],[Expiry]]&amp;""&amp;"P"&amp;Table13[[#This Row],[Strike]]))</f>
        <v>0</v>
      </c>
      <c r="S396" s="17"/>
      <c r="T396" t="b">
        <f>IF(     ISNUMBER(Table13[[#This Row],[Strike]]),RTD("tos.rtd", , "OPEN_INT", "."&amp;Table13[[#This Row],[Ticker]]&amp;Table13[[#This Row],[Expiry]]&amp;""&amp;"P"&amp;Table13[[#This Row],[Strike]]))</f>
        <v>0</v>
      </c>
      <c r="U39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6" t="b">
        <f>IF(     ISNUMBER(Table13[[#This Row],[Strike]]),RTD("tos.rtd", , "DELTA", "."&amp;Table13[[#This Row],[Ticker]]&amp;Table13[[#This Row],[Expiry]]&amp;""&amp;"P"&amp;Table13[[#This Row],[Strike]]))</f>
        <v>0</v>
      </c>
      <c r="Y396" s="19">
        <f>41.5* IF($M$1="NDX", 10, IF(OR($M$1="SPX", $M$1="RUT"), 2, 1))</f>
        <v>83</v>
      </c>
      <c r="Z396">
        <f ca="1">IFERROR(Table13[[#This Row],[call gamma]]*(Table13[[#This Row],[Open.Int]])*$A$4^2,0)</f>
        <v>0</v>
      </c>
      <c r="AA396">
        <f ca="1">IFERROR(((Table13[[#This Row],[Open.Int8]])*Table13[[#This Row],[Put gamma]])*-1*$A$4^2,0)</f>
        <v>0</v>
      </c>
      <c r="AB396">
        <f ca="1">(Table13[[#This Row],[Call Gex]]+Table13[[#This Row],[Put Gex]])</f>
        <v>0</v>
      </c>
      <c r="AC396">
        <f ca="1">Table13[[#This Row],[put delta adj]]+Table13[[#This Row],[call delta adj]]</f>
        <v>0</v>
      </c>
      <c r="AD396">
        <f ca="1">Table13[[#This Row],[Put Gex]]*Table13[[#This Row],[DeltaP]]*-1</f>
        <v>0</v>
      </c>
      <c r="AE396">
        <f ca="1">Table13[[#This Row],[Call Gex]]*Table13[[#This Row],[DeltaC]]</f>
        <v>0</v>
      </c>
      <c r="AF396">
        <f>IF(Table13[[#This Row],[DeltaC]]-ABS(Table13[[#This Row],[DeltaP]])="0","0.01",Table13[[#This Row],[DeltaC]]-ABS(Table13[[#This Row],[DeltaP]]))</f>
        <v>0</v>
      </c>
      <c r="AG396" t="e">
        <f ca="1">((LN($A$4/Table13[[#This Row],[Strike]]) + (0.411 + 0.5 * Table13[[#This Row],[IV Calc P]]^2) *Table13[[#This Row],[T]])) / (Table13[[#This Row],[IV Calc P]] * SQRT(Table13[[#This Row],[T]]))</f>
        <v>#DIV/0!</v>
      </c>
      <c r="AH396" t="e">
        <f ca="1">(LN($A$4/Table13[[#This Row],[Strike]]) + (0.411-0 + 0.5 * Table13[[#This Row],[IV Calc C]]^2) *Table13[[#This Row],[T]]) / (Table13[[#This Row],[IV Calc C]] * SQRT(Table13[[#This Row],[T]]))</f>
        <v>#DIV/0!</v>
      </c>
      <c r="AI396" t="e">
        <f ca="1">(EXP(-(AG396^2)/2)/SQRT(2*PI())*EXP(0*SQRT(Table13[[#This Row],[T]]))/$A$4*18%*SQRT(SQRT(Table13[[#This Row],[T]])))</f>
        <v>#DIV/0!</v>
      </c>
      <c r="AJ396" t="e">
        <f ca="1">(EXP(-(AH396^2)/2)/SQRT(2*PI())*EXP(0*SQRT(Table13[[#This Row],[T]]))/$A$4*18%*SQRT(SQRT(Table13[[#This Row],[T]])))</f>
        <v>#DIV/0!</v>
      </c>
      <c r="AK396" t="e">
        <f ca="1">Table13[[#This Row],[Call D1]]-Table13[[#This Row],[IV Calc C]]*SQRT(Table13[[#This Row],[T]])</f>
        <v>#DIV/0!</v>
      </c>
      <c r="AL396" t="e">
        <f ca="1">Table13[[#This Row],[Put D1]]-Table13[[#This Row],[IV Calc P]]*SQRT(Table13[[#This Row],[T]])</f>
        <v>#DIV/0!</v>
      </c>
      <c r="AM396" t="e">
        <f ca="1">EXP(-0.5*Table13[[#This Row],[Call D1]]^2)/SQRT(2*PI())</f>
        <v>#DIV/0!</v>
      </c>
      <c r="AN396" t="e">
        <f ca="1">EXP(-0.5*Table13[[#This Row],[Put D1]]^2)/SQRT(2*PI())</f>
        <v>#DIV/0!</v>
      </c>
      <c r="AO396">
        <f ca="1">IFERROR((EXP(0*Table13[[#This Row],[T]])*Table13[[#This Row],[call N(d1)]]*(Table13[[#This Row],[call d2]]/Table13[[#This Row],[IV Calc C]]))*Table13[[#This Row],[Open.Int]]*Table13[[#This Row],[DeltaC]],0)</f>
        <v>0</v>
      </c>
      <c r="AP396">
        <f ca="1">IFERROR((EXP(0*Table13[[#This Row],[T]])*Table13[[#This Row],[put N(d1)]]*(Table13[[#This Row],[put d2]]/Table13[[#This Row],[IV Calc P]]))*Table13[[#This Row],[Open.Int8]]*Table13[[#This Row],[DeltaP]]*-1,0)</f>
        <v>0</v>
      </c>
      <c r="AQ396">
        <f ca="1">((Table13[[#This Row],[call vanna]]+Table13[[#This Row],[put vanna]])*$A$4)</f>
        <v>0</v>
      </c>
      <c r="AR39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6" s="9" t="str" cm="1">
        <f t="array" ref="AT396">_xlfn.IFS(     $M$1="SPX","SPXW",     $M$1="RUT","RUTW",  $M$1="NDX","NDXP",   TRUE,$M$1 )</f>
        <v>SPXW</v>
      </c>
      <c r="AU396" s="2">
        <f t="shared" si="37"/>
        <v>6915</v>
      </c>
      <c r="AV396" t="str">
        <f t="shared" si="38"/>
        <v>000100</v>
      </c>
      <c r="AY39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6">
        <f>((Table13[[#This Row],[High C]]+Table13[[#This Row],[Low C]])/2)*Table13[[#This Row],[gammac]]*Table13[[#This Row],[Volume]]</f>
        <v>0</v>
      </c>
      <c r="BD396">
        <f>((Table13[[#This Row],[High P]]+Table13[[#This Row],[Low P]])/2)*Table13[[#This Row],[gammap]]*Table13[[#This Row],[Volume9]]*-1</f>
        <v>0</v>
      </c>
      <c r="BE396">
        <f>(Table13[[#This Row],[SgammaC]]+Table13[[#This Row],[SgammaP]])*$A$4*-100</f>
        <v>0</v>
      </c>
      <c r="BF396">
        <f>Table13[[#This Row],[DEXc]]+Table13[[#This Row],[DEXp]]</f>
        <v>0</v>
      </c>
      <c r="BG396">
        <f>IFERROR(Table13[[#This Row],[DeltaC]]*Table13[[#This Row],[Open.Int]]*$A$4,0)</f>
        <v>0</v>
      </c>
      <c r="BH396">
        <f>IFERROR(Table13[[#This Row],[DeltaP]]*Table13[[#This Row],[Open.Int8]]*$A$4,0)</f>
        <v>0</v>
      </c>
      <c r="BI39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6">
        <f ca="1">Table13[[#This Row],[charmc]]+Table13[[#This Row],[charmp]]</f>
        <v>0</v>
      </c>
      <c r="BL39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6" s="78">
        <f ca="1">Table13[[#This Row],[call helper]]+Table13[[#This Row],[put helper]]</f>
        <v>0</v>
      </c>
      <c r="BP396" t="str">
        <f>RTD("tos.rtd", , "STRIKE", "."&amp;Table13[[#This Row],[Ticker]]&amp;Table13[[#This Row],[Expiry]]&amp;""&amp;"C"&amp;Table13[[#This Row],[Spot]]+Table13[[#This Row],[step]])</f>
        <v>N/A</v>
      </c>
    </row>
    <row r="397" spans="1:68" x14ac:dyDescent="0.25">
      <c r="A397" s="14">
        <f t="shared" ca="1" si="34"/>
        <v>-126.14810350076104</v>
      </c>
      <c r="C397" s="17"/>
      <c r="D397" t="b">
        <f>IF(
    ISNUMBER(Table13[[#This Row],[Strike]]),RTD("tos.rtd", , "OPEN_INT", "."&amp;Table13[[#This Row],[Ticker]]&amp;Table13[[#This Row],[Expiry]]&amp;""&amp;"C"&amp;Table13[[#This Row],[Strike]]))</f>
        <v>0</v>
      </c>
      <c r="E39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7" t="b">
        <f>IF(     ISNUMBER(Table13[[#This Row],[Strike]]),RTD("tos.rtd", , "DELTA", "."&amp;Table13[[#This Row],[Ticker]]&amp;Table13[[#This Row],[Expiry]]&amp;""&amp;"C"&amp;Table13[[#This Row],[Strike]]))</f>
        <v>0</v>
      </c>
      <c r="H397" s="17" t="b" cm="1">
        <f t="array" ref="H397">IF(
    ISNUMBER(Table13[[#This Row],[Strike]]),IndividualLegIVCore($A$4, Table13[[#This Row],[Strike]], 0.0411, Table13[[#This Row],[T]], ((Table13[[#This Row],[BIDC]]+Table13[[#This Row],[ASKC]])/2), TRUE))</f>
        <v>0</v>
      </c>
      <c r="I397" t="b">
        <f>IF(     ISNUMBER(Table13[[#This Row],[Strike]]),RTD("tos.rtd", , "BID", "."&amp;Table13[[#This Row],[Ticker]]&amp;Table13[[#This Row],[Expiry]]&amp;""&amp;"C"&amp;Table13[[#This Row],[Strike]]))</f>
        <v>0</v>
      </c>
      <c r="J397" t="b">
        <f>IF(     ISNUMBER(Table13[[#This Row],[Strike]]),RTD("tos.rtd", , "ASK", "."&amp;Table13[[#This Row],[Ticker]]&amp;Table13[[#This Row],[Expiry]]&amp;""&amp;"C"&amp;Table13[[#This Row],[Strike]]))</f>
        <v>0</v>
      </c>
      <c r="K39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7" s="17" cm="1">
        <f t="array" aca="1" ref="L39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7" s="1">
        <f t="shared" si="35"/>
        <v>0</v>
      </c>
      <c r="N397" t="b">
        <f t="shared" si="36"/>
        <v>0</v>
      </c>
      <c r="P397" s="17" t="b" cm="1">
        <f t="array" ref="P397">IF(
    ISNUMBER(Table13[[#This Row],[Strike]]),IndividualLegIVCore($A$4, Table13[[#This Row],[Strike]], 0.0411, Table13[[#This Row],[T]], ((Table13[[#This Row],[BIDP]]+Table13[[#This Row],[ASKP]])/2), FALSE))</f>
        <v>0</v>
      </c>
      <c r="Q397" t="b">
        <f>IF(     ISNUMBER(Table13[[#This Row],[Strike]]),RTD("tos.rtd", , "BID", "."&amp;Table13[[#This Row],[Ticker]]&amp;Table13[[#This Row],[Expiry]]&amp;""&amp;"P"&amp;Table13[[#This Row],[Strike]]))</f>
        <v>0</v>
      </c>
      <c r="R397" t="b">
        <f>IF(     ISNUMBER(Table13[[#This Row],[Strike]]),RTD("tos.rtd", , "ASK", "."&amp;Table13[[#This Row],[Ticker]]&amp;Table13[[#This Row],[Expiry]]&amp;""&amp;"P"&amp;Table13[[#This Row],[Strike]]))</f>
        <v>0</v>
      </c>
      <c r="S397" s="17"/>
      <c r="T397" t="b">
        <f>IF(     ISNUMBER(Table13[[#This Row],[Strike]]),RTD("tos.rtd", , "OPEN_INT", "."&amp;Table13[[#This Row],[Ticker]]&amp;Table13[[#This Row],[Expiry]]&amp;""&amp;"P"&amp;Table13[[#This Row],[Strike]]))</f>
        <v>0</v>
      </c>
      <c r="U39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7" t="b">
        <f>IF(     ISNUMBER(Table13[[#This Row],[Strike]]),RTD("tos.rtd", , "DELTA", "."&amp;Table13[[#This Row],[Ticker]]&amp;Table13[[#This Row],[Expiry]]&amp;""&amp;"P"&amp;Table13[[#This Row],[Strike]]))</f>
        <v>0</v>
      </c>
      <c r="Y397" s="19">
        <f>42* IF($M$1="NDX", 10, IF(OR($M$1="SPX", $M$1="RUT"), 2, 1))</f>
        <v>84</v>
      </c>
      <c r="Z397">
        <f ca="1">IFERROR(Table13[[#This Row],[call gamma]]*(Table13[[#This Row],[Open.Int]])*$A$4^2,0)</f>
        <v>0</v>
      </c>
      <c r="AA397">
        <f ca="1">IFERROR(((Table13[[#This Row],[Open.Int8]])*Table13[[#This Row],[Put gamma]])*-1*$A$4^2,0)</f>
        <v>0</v>
      </c>
      <c r="AB397">
        <f ca="1">(Table13[[#This Row],[Call Gex]]+Table13[[#This Row],[Put Gex]])</f>
        <v>0</v>
      </c>
      <c r="AC397">
        <f ca="1">Table13[[#This Row],[put delta adj]]+Table13[[#This Row],[call delta adj]]</f>
        <v>0</v>
      </c>
      <c r="AD397">
        <f ca="1">Table13[[#This Row],[Put Gex]]*Table13[[#This Row],[DeltaP]]*-1</f>
        <v>0</v>
      </c>
      <c r="AE397">
        <f ca="1">Table13[[#This Row],[Call Gex]]*Table13[[#This Row],[DeltaC]]</f>
        <v>0</v>
      </c>
      <c r="AF397">
        <f>IF(Table13[[#This Row],[DeltaC]]-ABS(Table13[[#This Row],[DeltaP]])="0","0.01",Table13[[#This Row],[DeltaC]]-ABS(Table13[[#This Row],[DeltaP]]))</f>
        <v>0</v>
      </c>
      <c r="AG397" t="e">
        <f ca="1">((LN($A$4/Table13[[#This Row],[Strike]]) + (0.411 + 0.5 * Table13[[#This Row],[IV Calc P]]^2) *Table13[[#This Row],[T]])) / (Table13[[#This Row],[IV Calc P]] * SQRT(Table13[[#This Row],[T]]))</f>
        <v>#DIV/0!</v>
      </c>
      <c r="AH397" t="e">
        <f ca="1">(LN($A$4/Table13[[#This Row],[Strike]]) + (0.411-0 + 0.5 * Table13[[#This Row],[IV Calc C]]^2) *Table13[[#This Row],[T]]) / (Table13[[#This Row],[IV Calc C]] * SQRT(Table13[[#This Row],[T]]))</f>
        <v>#DIV/0!</v>
      </c>
      <c r="AI397" t="e">
        <f ca="1">(EXP(-(AG397^2)/2)/SQRT(2*PI())*EXP(0*SQRT(Table13[[#This Row],[T]]))/$A$4*18%*SQRT(SQRT(Table13[[#This Row],[T]])))</f>
        <v>#DIV/0!</v>
      </c>
      <c r="AJ397" t="e">
        <f ca="1">(EXP(-(AH397^2)/2)/SQRT(2*PI())*EXP(0*SQRT(Table13[[#This Row],[T]]))/$A$4*18%*SQRT(SQRT(Table13[[#This Row],[T]])))</f>
        <v>#DIV/0!</v>
      </c>
      <c r="AK397" t="e">
        <f ca="1">Table13[[#This Row],[Call D1]]-Table13[[#This Row],[IV Calc C]]*SQRT(Table13[[#This Row],[T]])</f>
        <v>#DIV/0!</v>
      </c>
      <c r="AL397" t="e">
        <f ca="1">Table13[[#This Row],[Put D1]]-Table13[[#This Row],[IV Calc P]]*SQRT(Table13[[#This Row],[T]])</f>
        <v>#DIV/0!</v>
      </c>
      <c r="AM397" t="e">
        <f ca="1">EXP(-0.5*Table13[[#This Row],[Call D1]]^2)/SQRT(2*PI())</f>
        <v>#DIV/0!</v>
      </c>
      <c r="AN397" t="e">
        <f ca="1">EXP(-0.5*Table13[[#This Row],[Put D1]]^2)/SQRT(2*PI())</f>
        <v>#DIV/0!</v>
      </c>
      <c r="AO397">
        <f ca="1">IFERROR((EXP(0*Table13[[#This Row],[T]])*Table13[[#This Row],[call N(d1)]]*(Table13[[#This Row],[call d2]]/Table13[[#This Row],[IV Calc C]]))*Table13[[#This Row],[Open.Int]]*Table13[[#This Row],[DeltaC]],0)</f>
        <v>0</v>
      </c>
      <c r="AP397">
        <f ca="1">IFERROR((EXP(0*Table13[[#This Row],[T]])*Table13[[#This Row],[put N(d1)]]*(Table13[[#This Row],[put d2]]/Table13[[#This Row],[IV Calc P]]))*Table13[[#This Row],[Open.Int8]]*Table13[[#This Row],[DeltaP]]*-1,0)</f>
        <v>0</v>
      </c>
      <c r="AQ397">
        <f ca="1">((Table13[[#This Row],[call vanna]]+Table13[[#This Row],[put vanna]])*$A$4)</f>
        <v>0</v>
      </c>
      <c r="AR39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7" s="9" t="str" cm="1">
        <f t="array" ref="AT397">_xlfn.IFS(     $M$1="SPX","SPXW",     $M$1="RUT","RUTW",  $M$1="NDX","NDXP",   TRUE,$M$1 )</f>
        <v>SPXW</v>
      </c>
      <c r="AU397" s="2">
        <f t="shared" si="37"/>
        <v>6915</v>
      </c>
      <c r="AV397" t="str">
        <f t="shared" si="38"/>
        <v>000100</v>
      </c>
      <c r="AY39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7">
        <f>((Table13[[#This Row],[High C]]+Table13[[#This Row],[Low C]])/2)*Table13[[#This Row],[gammac]]*Table13[[#This Row],[Volume]]</f>
        <v>0</v>
      </c>
      <c r="BD397">
        <f>((Table13[[#This Row],[High P]]+Table13[[#This Row],[Low P]])/2)*Table13[[#This Row],[gammap]]*Table13[[#This Row],[Volume9]]*-1</f>
        <v>0</v>
      </c>
      <c r="BE397">
        <f>(Table13[[#This Row],[SgammaC]]+Table13[[#This Row],[SgammaP]])*$A$4*-100</f>
        <v>0</v>
      </c>
      <c r="BF397">
        <f>Table13[[#This Row],[DEXc]]+Table13[[#This Row],[DEXp]]</f>
        <v>0</v>
      </c>
      <c r="BG397">
        <f>IFERROR(Table13[[#This Row],[DeltaC]]*Table13[[#This Row],[Open.Int]]*$A$4,0)</f>
        <v>0</v>
      </c>
      <c r="BH397">
        <f>IFERROR(Table13[[#This Row],[DeltaP]]*Table13[[#This Row],[Open.Int8]]*$A$4,0)</f>
        <v>0</v>
      </c>
      <c r="BI39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7">
        <f ca="1">Table13[[#This Row],[charmc]]+Table13[[#This Row],[charmp]]</f>
        <v>0</v>
      </c>
      <c r="BL39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7" s="78">
        <f ca="1">Table13[[#This Row],[call helper]]+Table13[[#This Row],[put helper]]</f>
        <v>0</v>
      </c>
      <c r="BP397" t="str">
        <f>RTD("tos.rtd", , "STRIKE", "."&amp;Table13[[#This Row],[Ticker]]&amp;Table13[[#This Row],[Expiry]]&amp;""&amp;"C"&amp;Table13[[#This Row],[Spot]]+Table13[[#This Row],[step]])</f>
        <v>N/A</v>
      </c>
    </row>
    <row r="398" spans="1:68" x14ac:dyDescent="0.25">
      <c r="A398" s="14">
        <f t="shared" ca="1" si="34"/>
        <v>-126.14810350076104</v>
      </c>
      <c r="C398" s="17"/>
      <c r="D398" t="b">
        <f>IF(
    ISNUMBER(Table13[[#This Row],[Strike]]),RTD("tos.rtd", , "OPEN_INT", "."&amp;Table13[[#This Row],[Ticker]]&amp;Table13[[#This Row],[Expiry]]&amp;""&amp;"C"&amp;Table13[[#This Row],[Strike]]))</f>
        <v>0</v>
      </c>
      <c r="E39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8" t="b">
        <f>IF(     ISNUMBER(Table13[[#This Row],[Strike]]),RTD("tos.rtd", , "DELTA", "."&amp;Table13[[#This Row],[Ticker]]&amp;Table13[[#This Row],[Expiry]]&amp;""&amp;"C"&amp;Table13[[#This Row],[Strike]]))</f>
        <v>0</v>
      </c>
      <c r="H398" s="17" t="b" cm="1">
        <f t="array" ref="H398">IF(
    ISNUMBER(Table13[[#This Row],[Strike]]),IndividualLegIVCore($A$4, Table13[[#This Row],[Strike]], 0.0411, Table13[[#This Row],[T]], ((Table13[[#This Row],[BIDC]]+Table13[[#This Row],[ASKC]])/2), TRUE))</f>
        <v>0</v>
      </c>
      <c r="I398" t="b">
        <f>IF(     ISNUMBER(Table13[[#This Row],[Strike]]),RTD("tos.rtd", , "BID", "."&amp;Table13[[#This Row],[Ticker]]&amp;Table13[[#This Row],[Expiry]]&amp;""&amp;"C"&amp;Table13[[#This Row],[Strike]]))</f>
        <v>0</v>
      </c>
      <c r="J398" t="b">
        <f>IF(     ISNUMBER(Table13[[#This Row],[Strike]]),RTD("tos.rtd", , "ASK", "."&amp;Table13[[#This Row],[Ticker]]&amp;Table13[[#This Row],[Expiry]]&amp;""&amp;"C"&amp;Table13[[#This Row],[Strike]]))</f>
        <v>0</v>
      </c>
      <c r="K39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8" s="17" cm="1">
        <f t="array" aca="1" ref="L39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8" s="1">
        <f t="shared" si="35"/>
        <v>0</v>
      </c>
      <c r="N398" t="b">
        <f t="shared" si="36"/>
        <v>0</v>
      </c>
      <c r="P398" s="17" t="b" cm="1">
        <f t="array" ref="P398">IF(
    ISNUMBER(Table13[[#This Row],[Strike]]),IndividualLegIVCore($A$4, Table13[[#This Row],[Strike]], 0.0411, Table13[[#This Row],[T]], ((Table13[[#This Row],[BIDP]]+Table13[[#This Row],[ASKP]])/2), FALSE))</f>
        <v>0</v>
      </c>
      <c r="Q398" t="b">
        <f>IF(     ISNUMBER(Table13[[#This Row],[Strike]]),RTD("tos.rtd", , "BID", "."&amp;Table13[[#This Row],[Ticker]]&amp;Table13[[#This Row],[Expiry]]&amp;""&amp;"P"&amp;Table13[[#This Row],[Strike]]))</f>
        <v>0</v>
      </c>
      <c r="R398" t="b">
        <f>IF(     ISNUMBER(Table13[[#This Row],[Strike]]),RTD("tos.rtd", , "ASK", "."&amp;Table13[[#This Row],[Ticker]]&amp;Table13[[#This Row],[Expiry]]&amp;""&amp;"P"&amp;Table13[[#This Row],[Strike]]))</f>
        <v>0</v>
      </c>
      <c r="S398" s="17"/>
      <c r="T398" t="b">
        <f>IF(     ISNUMBER(Table13[[#This Row],[Strike]]),RTD("tos.rtd", , "OPEN_INT", "."&amp;Table13[[#This Row],[Ticker]]&amp;Table13[[#This Row],[Expiry]]&amp;""&amp;"P"&amp;Table13[[#This Row],[Strike]]))</f>
        <v>0</v>
      </c>
      <c r="U39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8" t="b">
        <f>IF(     ISNUMBER(Table13[[#This Row],[Strike]]),RTD("tos.rtd", , "DELTA", "."&amp;Table13[[#This Row],[Ticker]]&amp;Table13[[#This Row],[Expiry]]&amp;""&amp;"P"&amp;Table13[[#This Row],[Strike]]))</f>
        <v>0</v>
      </c>
      <c r="Y398" s="19">
        <f>42.5* IF($M$1="NDX", 10, IF(OR($M$1="SPX", $M$1="RUT"), 2, 1))</f>
        <v>85</v>
      </c>
      <c r="Z398">
        <f ca="1">IFERROR(Table13[[#This Row],[call gamma]]*(Table13[[#This Row],[Open.Int]])*$A$4^2,0)</f>
        <v>0</v>
      </c>
      <c r="AA398">
        <f ca="1">IFERROR(((Table13[[#This Row],[Open.Int8]])*Table13[[#This Row],[Put gamma]])*-1*$A$4^2,0)</f>
        <v>0</v>
      </c>
      <c r="AB398">
        <f ca="1">(Table13[[#This Row],[Call Gex]]+Table13[[#This Row],[Put Gex]])</f>
        <v>0</v>
      </c>
      <c r="AC398">
        <f ca="1">Table13[[#This Row],[put delta adj]]+Table13[[#This Row],[call delta adj]]</f>
        <v>0</v>
      </c>
      <c r="AD398">
        <f ca="1">Table13[[#This Row],[Put Gex]]*Table13[[#This Row],[DeltaP]]*-1</f>
        <v>0</v>
      </c>
      <c r="AE398">
        <f ca="1">Table13[[#This Row],[Call Gex]]*Table13[[#This Row],[DeltaC]]</f>
        <v>0</v>
      </c>
      <c r="AF398">
        <f>IF(Table13[[#This Row],[DeltaC]]-ABS(Table13[[#This Row],[DeltaP]])="0","0.01",Table13[[#This Row],[DeltaC]]-ABS(Table13[[#This Row],[DeltaP]]))</f>
        <v>0</v>
      </c>
      <c r="AG398" t="e">
        <f ca="1">((LN($A$4/Table13[[#This Row],[Strike]]) + (0.411 + 0.5 * Table13[[#This Row],[IV Calc P]]^2) *Table13[[#This Row],[T]])) / (Table13[[#This Row],[IV Calc P]] * SQRT(Table13[[#This Row],[T]]))</f>
        <v>#DIV/0!</v>
      </c>
      <c r="AH398" t="e">
        <f ca="1">(LN($A$4/Table13[[#This Row],[Strike]]) + (0.411-0 + 0.5 * Table13[[#This Row],[IV Calc C]]^2) *Table13[[#This Row],[T]]) / (Table13[[#This Row],[IV Calc C]] * SQRT(Table13[[#This Row],[T]]))</f>
        <v>#DIV/0!</v>
      </c>
      <c r="AI398" t="e">
        <f ca="1">(EXP(-(AG398^2)/2)/SQRT(2*PI())*EXP(0*SQRT(Table13[[#This Row],[T]]))/$A$4*18%*SQRT(SQRT(Table13[[#This Row],[T]])))</f>
        <v>#DIV/0!</v>
      </c>
      <c r="AJ398" t="e">
        <f ca="1">(EXP(-(AH398^2)/2)/SQRT(2*PI())*EXP(0*SQRT(Table13[[#This Row],[T]]))/$A$4*18%*SQRT(SQRT(Table13[[#This Row],[T]])))</f>
        <v>#DIV/0!</v>
      </c>
      <c r="AK398" t="e">
        <f ca="1">Table13[[#This Row],[Call D1]]-Table13[[#This Row],[IV Calc C]]*SQRT(Table13[[#This Row],[T]])</f>
        <v>#DIV/0!</v>
      </c>
      <c r="AL398" t="e">
        <f ca="1">Table13[[#This Row],[Put D1]]-Table13[[#This Row],[IV Calc P]]*SQRT(Table13[[#This Row],[T]])</f>
        <v>#DIV/0!</v>
      </c>
      <c r="AM398" t="e">
        <f ca="1">EXP(-0.5*Table13[[#This Row],[Call D1]]^2)/SQRT(2*PI())</f>
        <v>#DIV/0!</v>
      </c>
      <c r="AN398" t="e">
        <f ca="1">EXP(-0.5*Table13[[#This Row],[Put D1]]^2)/SQRT(2*PI())</f>
        <v>#DIV/0!</v>
      </c>
      <c r="AO398">
        <f ca="1">IFERROR((EXP(0*Table13[[#This Row],[T]])*Table13[[#This Row],[call N(d1)]]*(Table13[[#This Row],[call d2]]/Table13[[#This Row],[IV Calc C]]))*Table13[[#This Row],[Open.Int]]*Table13[[#This Row],[DeltaC]],0)</f>
        <v>0</v>
      </c>
      <c r="AP398">
        <f ca="1">IFERROR((EXP(0*Table13[[#This Row],[T]])*Table13[[#This Row],[put N(d1)]]*(Table13[[#This Row],[put d2]]/Table13[[#This Row],[IV Calc P]]))*Table13[[#This Row],[Open.Int8]]*Table13[[#This Row],[DeltaP]]*-1,0)</f>
        <v>0</v>
      </c>
      <c r="AQ398">
        <f ca="1">((Table13[[#This Row],[call vanna]]+Table13[[#This Row],[put vanna]])*$A$4)</f>
        <v>0</v>
      </c>
      <c r="AR39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8" s="9" t="str" cm="1">
        <f t="array" ref="AT398">_xlfn.IFS(     $M$1="SPX","SPXW",     $M$1="RUT","RUTW",  $M$1="NDX","NDXP",   TRUE,$M$1 )</f>
        <v>SPXW</v>
      </c>
      <c r="AU398" s="2">
        <f t="shared" si="37"/>
        <v>6915</v>
      </c>
      <c r="AV398" t="str">
        <f t="shared" si="38"/>
        <v>000100</v>
      </c>
      <c r="AY39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8">
        <f>((Table13[[#This Row],[High C]]+Table13[[#This Row],[Low C]])/2)*Table13[[#This Row],[gammac]]*Table13[[#This Row],[Volume]]</f>
        <v>0</v>
      </c>
      <c r="BD398">
        <f>((Table13[[#This Row],[High P]]+Table13[[#This Row],[Low P]])/2)*Table13[[#This Row],[gammap]]*Table13[[#This Row],[Volume9]]*-1</f>
        <v>0</v>
      </c>
      <c r="BE398">
        <f>(Table13[[#This Row],[SgammaC]]+Table13[[#This Row],[SgammaP]])*$A$4*-100</f>
        <v>0</v>
      </c>
      <c r="BF398">
        <f>Table13[[#This Row],[DEXc]]+Table13[[#This Row],[DEXp]]</f>
        <v>0</v>
      </c>
      <c r="BG398">
        <f>IFERROR(Table13[[#This Row],[DeltaC]]*Table13[[#This Row],[Open.Int]]*$A$4,0)</f>
        <v>0</v>
      </c>
      <c r="BH398">
        <f>IFERROR(Table13[[#This Row],[DeltaP]]*Table13[[#This Row],[Open.Int8]]*$A$4,0)</f>
        <v>0</v>
      </c>
      <c r="BI39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8">
        <f ca="1">Table13[[#This Row],[charmc]]+Table13[[#This Row],[charmp]]</f>
        <v>0</v>
      </c>
      <c r="BL39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8" s="78">
        <f ca="1">Table13[[#This Row],[call helper]]+Table13[[#This Row],[put helper]]</f>
        <v>0</v>
      </c>
      <c r="BP398" t="str">
        <f>RTD("tos.rtd", , "STRIKE", "."&amp;Table13[[#This Row],[Ticker]]&amp;Table13[[#This Row],[Expiry]]&amp;""&amp;"C"&amp;Table13[[#This Row],[Spot]]+Table13[[#This Row],[step]])</f>
        <v>N/A</v>
      </c>
    </row>
    <row r="399" spans="1:68" x14ac:dyDescent="0.25">
      <c r="A399" s="14">
        <f t="shared" ca="1" si="34"/>
        <v>-126.14810350076104</v>
      </c>
      <c r="C399" s="17"/>
      <c r="D399" t="b">
        <f>IF(
    ISNUMBER(Table13[[#This Row],[Strike]]),RTD("tos.rtd", , "OPEN_INT", "."&amp;Table13[[#This Row],[Ticker]]&amp;Table13[[#This Row],[Expiry]]&amp;""&amp;"C"&amp;Table13[[#This Row],[Strike]]))</f>
        <v>0</v>
      </c>
      <c r="E39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9" t="b">
        <f>IF(     ISNUMBER(Table13[[#This Row],[Strike]]),RTD("tos.rtd", , "DELTA", "."&amp;Table13[[#This Row],[Ticker]]&amp;Table13[[#This Row],[Expiry]]&amp;""&amp;"C"&amp;Table13[[#This Row],[Strike]]))</f>
        <v>0</v>
      </c>
      <c r="H399" s="17" t="b" cm="1">
        <f t="array" ref="H399">IF(
    ISNUMBER(Table13[[#This Row],[Strike]]),IndividualLegIVCore($A$4, Table13[[#This Row],[Strike]], 0.0411, Table13[[#This Row],[T]], ((Table13[[#This Row],[BIDC]]+Table13[[#This Row],[ASKC]])/2), TRUE))</f>
        <v>0</v>
      </c>
      <c r="I399" t="b">
        <f>IF(     ISNUMBER(Table13[[#This Row],[Strike]]),RTD("tos.rtd", , "BID", "."&amp;Table13[[#This Row],[Ticker]]&amp;Table13[[#This Row],[Expiry]]&amp;""&amp;"C"&amp;Table13[[#This Row],[Strike]]))</f>
        <v>0</v>
      </c>
      <c r="J399" t="b">
        <f>IF(     ISNUMBER(Table13[[#This Row],[Strike]]),RTD("tos.rtd", , "ASK", "."&amp;Table13[[#This Row],[Ticker]]&amp;Table13[[#This Row],[Expiry]]&amp;""&amp;"C"&amp;Table13[[#This Row],[Strike]]))</f>
        <v>0</v>
      </c>
      <c r="K39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9" s="17" cm="1">
        <f t="array" aca="1" ref="L39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399" s="1">
        <f t="shared" si="35"/>
        <v>0</v>
      </c>
      <c r="N399" t="b">
        <f t="shared" si="36"/>
        <v>0</v>
      </c>
      <c r="P399" s="17" t="b" cm="1">
        <f t="array" ref="P399">IF(
    ISNUMBER(Table13[[#This Row],[Strike]]),IndividualLegIVCore($A$4, Table13[[#This Row],[Strike]], 0.0411, Table13[[#This Row],[T]], ((Table13[[#This Row],[BIDP]]+Table13[[#This Row],[ASKP]])/2), FALSE))</f>
        <v>0</v>
      </c>
      <c r="Q399" t="b">
        <f>IF(     ISNUMBER(Table13[[#This Row],[Strike]]),RTD("tos.rtd", , "BID", "."&amp;Table13[[#This Row],[Ticker]]&amp;Table13[[#This Row],[Expiry]]&amp;""&amp;"P"&amp;Table13[[#This Row],[Strike]]))</f>
        <v>0</v>
      </c>
      <c r="R399" t="b">
        <f>IF(     ISNUMBER(Table13[[#This Row],[Strike]]),RTD("tos.rtd", , "ASK", "."&amp;Table13[[#This Row],[Ticker]]&amp;Table13[[#This Row],[Expiry]]&amp;""&amp;"P"&amp;Table13[[#This Row],[Strike]]))</f>
        <v>0</v>
      </c>
      <c r="S399" s="17"/>
      <c r="T399" t="b">
        <f>IF(     ISNUMBER(Table13[[#This Row],[Strike]]),RTD("tos.rtd", , "OPEN_INT", "."&amp;Table13[[#This Row],[Ticker]]&amp;Table13[[#This Row],[Expiry]]&amp;""&amp;"P"&amp;Table13[[#This Row],[Strike]]))</f>
        <v>0</v>
      </c>
      <c r="U39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9" t="b">
        <f>IF(     ISNUMBER(Table13[[#This Row],[Strike]]),RTD("tos.rtd", , "DELTA", "."&amp;Table13[[#This Row],[Ticker]]&amp;Table13[[#This Row],[Expiry]]&amp;""&amp;"P"&amp;Table13[[#This Row],[Strike]]))</f>
        <v>0</v>
      </c>
      <c r="Y399" s="19">
        <f>43* IF($M$1="NDX", 10, IF(OR($M$1="SPX", $M$1="RUT"), 2, 1))</f>
        <v>86</v>
      </c>
      <c r="Z399">
        <f ca="1">IFERROR(Table13[[#This Row],[call gamma]]*(Table13[[#This Row],[Open.Int]])*$A$4^2,0)</f>
        <v>0</v>
      </c>
      <c r="AA399">
        <f ca="1">IFERROR(((Table13[[#This Row],[Open.Int8]])*Table13[[#This Row],[Put gamma]])*-1*$A$4^2,0)</f>
        <v>0</v>
      </c>
      <c r="AB399">
        <f ca="1">(Table13[[#This Row],[Call Gex]]+Table13[[#This Row],[Put Gex]])</f>
        <v>0</v>
      </c>
      <c r="AC399">
        <f ca="1">Table13[[#This Row],[put delta adj]]+Table13[[#This Row],[call delta adj]]</f>
        <v>0</v>
      </c>
      <c r="AD399">
        <f ca="1">Table13[[#This Row],[Put Gex]]*Table13[[#This Row],[DeltaP]]*-1</f>
        <v>0</v>
      </c>
      <c r="AE399">
        <f ca="1">Table13[[#This Row],[Call Gex]]*Table13[[#This Row],[DeltaC]]</f>
        <v>0</v>
      </c>
      <c r="AF399">
        <f>IF(Table13[[#This Row],[DeltaC]]-ABS(Table13[[#This Row],[DeltaP]])="0","0.01",Table13[[#This Row],[DeltaC]]-ABS(Table13[[#This Row],[DeltaP]]))</f>
        <v>0</v>
      </c>
      <c r="AG399" t="e">
        <f ca="1">((LN($A$4/Table13[[#This Row],[Strike]]) + (0.411 + 0.5 * Table13[[#This Row],[IV Calc P]]^2) *Table13[[#This Row],[T]])) / (Table13[[#This Row],[IV Calc P]] * SQRT(Table13[[#This Row],[T]]))</f>
        <v>#DIV/0!</v>
      </c>
      <c r="AH399" t="e">
        <f ca="1">(LN($A$4/Table13[[#This Row],[Strike]]) + (0.411-0 + 0.5 * Table13[[#This Row],[IV Calc C]]^2) *Table13[[#This Row],[T]]) / (Table13[[#This Row],[IV Calc C]] * SQRT(Table13[[#This Row],[T]]))</f>
        <v>#DIV/0!</v>
      </c>
      <c r="AI399" t="e">
        <f ca="1">(EXP(-(AG399^2)/2)/SQRT(2*PI())*EXP(0*SQRT(Table13[[#This Row],[T]]))/$A$4*18%*SQRT(SQRT(Table13[[#This Row],[T]])))</f>
        <v>#DIV/0!</v>
      </c>
      <c r="AJ399" t="e">
        <f ca="1">(EXP(-(AH399^2)/2)/SQRT(2*PI())*EXP(0*SQRT(Table13[[#This Row],[T]]))/$A$4*18%*SQRT(SQRT(Table13[[#This Row],[T]])))</f>
        <v>#DIV/0!</v>
      </c>
      <c r="AK399" t="e">
        <f ca="1">Table13[[#This Row],[Call D1]]-Table13[[#This Row],[IV Calc C]]*SQRT(Table13[[#This Row],[T]])</f>
        <v>#DIV/0!</v>
      </c>
      <c r="AL399" t="e">
        <f ca="1">Table13[[#This Row],[Put D1]]-Table13[[#This Row],[IV Calc P]]*SQRT(Table13[[#This Row],[T]])</f>
        <v>#DIV/0!</v>
      </c>
      <c r="AM399" t="e">
        <f ca="1">EXP(-0.5*Table13[[#This Row],[Call D1]]^2)/SQRT(2*PI())</f>
        <v>#DIV/0!</v>
      </c>
      <c r="AN399" t="e">
        <f ca="1">EXP(-0.5*Table13[[#This Row],[Put D1]]^2)/SQRT(2*PI())</f>
        <v>#DIV/0!</v>
      </c>
      <c r="AO399">
        <f ca="1">IFERROR((EXP(0*Table13[[#This Row],[T]])*Table13[[#This Row],[call N(d1)]]*(Table13[[#This Row],[call d2]]/Table13[[#This Row],[IV Calc C]]))*Table13[[#This Row],[Open.Int]]*Table13[[#This Row],[DeltaC]],0)</f>
        <v>0</v>
      </c>
      <c r="AP399">
        <f ca="1">IFERROR((EXP(0*Table13[[#This Row],[T]])*Table13[[#This Row],[put N(d1)]]*(Table13[[#This Row],[put d2]]/Table13[[#This Row],[IV Calc P]]))*Table13[[#This Row],[Open.Int8]]*Table13[[#This Row],[DeltaP]]*-1,0)</f>
        <v>0</v>
      </c>
      <c r="AQ399">
        <f ca="1">((Table13[[#This Row],[call vanna]]+Table13[[#This Row],[put vanna]])*$A$4)</f>
        <v>0</v>
      </c>
      <c r="AR39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9" s="9" t="str" cm="1">
        <f t="array" ref="AT399">_xlfn.IFS(     $M$1="SPX","SPXW",     $M$1="RUT","RUTW",  $M$1="NDX","NDXP",   TRUE,$M$1 )</f>
        <v>SPXW</v>
      </c>
      <c r="AU399" s="2">
        <f t="shared" si="37"/>
        <v>6915</v>
      </c>
      <c r="AV399" t="str">
        <f t="shared" si="38"/>
        <v>000100</v>
      </c>
      <c r="AY39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9">
        <f>((Table13[[#This Row],[High C]]+Table13[[#This Row],[Low C]])/2)*Table13[[#This Row],[gammac]]*Table13[[#This Row],[Volume]]</f>
        <v>0</v>
      </c>
      <c r="BD399">
        <f>((Table13[[#This Row],[High P]]+Table13[[#This Row],[Low P]])/2)*Table13[[#This Row],[gammap]]*Table13[[#This Row],[Volume9]]*-1</f>
        <v>0</v>
      </c>
      <c r="BE399">
        <f>(Table13[[#This Row],[SgammaC]]+Table13[[#This Row],[SgammaP]])*$A$4*-100</f>
        <v>0</v>
      </c>
      <c r="BF399">
        <f>Table13[[#This Row],[DEXc]]+Table13[[#This Row],[DEXp]]</f>
        <v>0</v>
      </c>
      <c r="BG399">
        <f>IFERROR(Table13[[#This Row],[DeltaC]]*Table13[[#This Row],[Open.Int]]*$A$4,0)</f>
        <v>0</v>
      </c>
      <c r="BH399">
        <f>IFERROR(Table13[[#This Row],[DeltaP]]*Table13[[#This Row],[Open.Int8]]*$A$4,0)</f>
        <v>0</v>
      </c>
      <c r="BI39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9">
        <f ca="1">Table13[[#This Row],[charmc]]+Table13[[#This Row],[charmp]]</f>
        <v>0</v>
      </c>
      <c r="BL39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9" s="78">
        <f ca="1">Table13[[#This Row],[call helper]]+Table13[[#This Row],[put helper]]</f>
        <v>0</v>
      </c>
      <c r="BP399" t="str">
        <f>RTD("tos.rtd", , "STRIKE", "."&amp;Table13[[#This Row],[Ticker]]&amp;Table13[[#This Row],[Expiry]]&amp;""&amp;"C"&amp;Table13[[#This Row],[Spot]]+Table13[[#This Row],[step]])</f>
        <v>N/A</v>
      </c>
    </row>
    <row r="400" spans="1:68" x14ac:dyDescent="0.25">
      <c r="A400" s="14">
        <f t="shared" ca="1" si="34"/>
        <v>-126.14810350076104</v>
      </c>
      <c r="C400" s="17"/>
      <c r="D400" t="b">
        <f>IF(
    ISNUMBER(Table13[[#This Row],[Strike]]),RTD("tos.rtd", , "OPEN_INT", "."&amp;Table13[[#This Row],[Ticker]]&amp;Table13[[#This Row],[Expiry]]&amp;""&amp;"C"&amp;Table13[[#This Row],[Strike]]))</f>
        <v>0</v>
      </c>
      <c r="E40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0" t="b">
        <f>IF(     ISNUMBER(Table13[[#This Row],[Strike]]),RTD("tos.rtd", , "DELTA", "."&amp;Table13[[#This Row],[Ticker]]&amp;Table13[[#This Row],[Expiry]]&amp;""&amp;"C"&amp;Table13[[#This Row],[Strike]]))</f>
        <v>0</v>
      </c>
      <c r="H400" s="17" t="b" cm="1">
        <f t="array" ref="H400">IF(
    ISNUMBER(Table13[[#This Row],[Strike]]),IndividualLegIVCore($A$4, Table13[[#This Row],[Strike]], 0.0411, Table13[[#This Row],[T]], ((Table13[[#This Row],[BIDC]]+Table13[[#This Row],[ASKC]])/2), TRUE))</f>
        <v>0</v>
      </c>
      <c r="I400" t="b">
        <f>IF(     ISNUMBER(Table13[[#This Row],[Strike]]),RTD("tos.rtd", , "BID", "."&amp;Table13[[#This Row],[Ticker]]&amp;Table13[[#This Row],[Expiry]]&amp;""&amp;"C"&amp;Table13[[#This Row],[Strike]]))</f>
        <v>0</v>
      </c>
      <c r="J400" t="b">
        <f>IF(     ISNUMBER(Table13[[#This Row],[Strike]]),RTD("tos.rtd", , "ASK", "."&amp;Table13[[#This Row],[Ticker]]&amp;Table13[[#This Row],[Expiry]]&amp;""&amp;"C"&amp;Table13[[#This Row],[Strike]]))</f>
        <v>0</v>
      </c>
      <c r="K40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0" s="17" cm="1">
        <f t="array" aca="1" ref="L40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0" s="1">
        <f t="shared" si="35"/>
        <v>0</v>
      </c>
      <c r="N400" t="b">
        <f t="shared" si="36"/>
        <v>0</v>
      </c>
      <c r="P400" s="17" t="b" cm="1">
        <f t="array" ref="P400">IF(
    ISNUMBER(Table13[[#This Row],[Strike]]),IndividualLegIVCore($A$4, Table13[[#This Row],[Strike]], 0.0411, Table13[[#This Row],[T]], ((Table13[[#This Row],[BIDP]]+Table13[[#This Row],[ASKP]])/2), FALSE))</f>
        <v>0</v>
      </c>
      <c r="Q400" t="b">
        <f>IF(     ISNUMBER(Table13[[#This Row],[Strike]]),RTD("tos.rtd", , "BID", "."&amp;Table13[[#This Row],[Ticker]]&amp;Table13[[#This Row],[Expiry]]&amp;""&amp;"P"&amp;Table13[[#This Row],[Strike]]))</f>
        <v>0</v>
      </c>
      <c r="R400" t="b">
        <f>IF(     ISNUMBER(Table13[[#This Row],[Strike]]),RTD("tos.rtd", , "ASK", "."&amp;Table13[[#This Row],[Ticker]]&amp;Table13[[#This Row],[Expiry]]&amp;""&amp;"P"&amp;Table13[[#This Row],[Strike]]))</f>
        <v>0</v>
      </c>
      <c r="S400" s="17"/>
      <c r="T400" t="b">
        <f>IF(     ISNUMBER(Table13[[#This Row],[Strike]]),RTD("tos.rtd", , "OPEN_INT", "."&amp;Table13[[#This Row],[Ticker]]&amp;Table13[[#This Row],[Expiry]]&amp;""&amp;"P"&amp;Table13[[#This Row],[Strike]]))</f>
        <v>0</v>
      </c>
      <c r="U40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0" t="b">
        <f>IF(     ISNUMBER(Table13[[#This Row],[Strike]]),RTD("tos.rtd", , "DELTA", "."&amp;Table13[[#This Row],[Ticker]]&amp;Table13[[#This Row],[Expiry]]&amp;""&amp;"P"&amp;Table13[[#This Row],[Strike]]))</f>
        <v>0</v>
      </c>
      <c r="Y400" s="19">
        <f>43.5* IF($M$1="NDX", 10, IF(OR($M$1="SPX", $M$1="RUT"), 2, 1))</f>
        <v>87</v>
      </c>
      <c r="Z400">
        <f ca="1">IFERROR(Table13[[#This Row],[call gamma]]*(Table13[[#This Row],[Open.Int]])*$A$4^2,0)</f>
        <v>0</v>
      </c>
      <c r="AA400">
        <f ca="1">IFERROR(((Table13[[#This Row],[Open.Int8]])*Table13[[#This Row],[Put gamma]])*-1*$A$4^2,0)</f>
        <v>0</v>
      </c>
      <c r="AB400">
        <f ca="1">(Table13[[#This Row],[Call Gex]]+Table13[[#This Row],[Put Gex]])</f>
        <v>0</v>
      </c>
      <c r="AC400">
        <f ca="1">Table13[[#This Row],[put delta adj]]+Table13[[#This Row],[call delta adj]]</f>
        <v>0</v>
      </c>
      <c r="AD400">
        <f ca="1">Table13[[#This Row],[Put Gex]]*Table13[[#This Row],[DeltaP]]*-1</f>
        <v>0</v>
      </c>
      <c r="AE400">
        <f ca="1">Table13[[#This Row],[Call Gex]]*Table13[[#This Row],[DeltaC]]</f>
        <v>0</v>
      </c>
      <c r="AF400">
        <f>IF(Table13[[#This Row],[DeltaC]]-ABS(Table13[[#This Row],[DeltaP]])="0","0.01",Table13[[#This Row],[DeltaC]]-ABS(Table13[[#This Row],[DeltaP]]))</f>
        <v>0</v>
      </c>
      <c r="AG400" t="e">
        <f ca="1">((LN($A$4/Table13[[#This Row],[Strike]]) + (0.411 + 0.5 * Table13[[#This Row],[IV Calc P]]^2) *Table13[[#This Row],[T]])) / (Table13[[#This Row],[IV Calc P]] * SQRT(Table13[[#This Row],[T]]))</f>
        <v>#DIV/0!</v>
      </c>
      <c r="AH400" t="e">
        <f ca="1">(LN($A$4/Table13[[#This Row],[Strike]]) + (0.411-0 + 0.5 * Table13[[#This Row],[IV Calc C]]^2) *Table13[[#This Row],[T]]) / (Table13[[#This Row],[IV Calc C]] * SQRT(Table13[[#This Row],[T]]))</f>
        <v>#DIV/0!</v>
      </c>
      <c r="AI400" t="e">
        <f ca="1">(EXP(-(AG400^2)/2)/SQRT(2*PI())*EXP(0*SQRT(Table13[[#This Row],[T]]))/$A$4*18%*SQRT(SQRT(Table13[[#This Row],[T]])))</f>
        <v>#DIV/0!</v>
      </c>
      <c r="AJ400" t="e">
        <f ca="1">(EXP(-(AH400^2)/2)/SQRT(2*PI())*EXP(0*SQRT(Table13[[#This Row],[T]]))/$A$4*18%*SQRT(SQRT(Table13[[#This Row],[T]])))</f>
        <v>#DIV/0!</v>
      </c>
      <c r="AK400" t="e">
        <f ca="1">Table13[[#This Row],[Call D1]]-Table13[[#This Row],[IV Calc C]]*SQRT(Table13[[#This Row],[T]])</f>
        <v>#DIV/0!</v>
      </c>
      <c r="AL400" t="e">
        <f ca="1">Table13[[#This Row],[Put D1]]-Table13[[#This Row],[IV Calc P]]*SQRT(Table13[[#This Row],[T]])</f>
        <v>#DIV/0!</v>
      </c>
      <c r="AM400" t="e">
        <f ca="1">EXP(-0.5*Table13[[#This Row],[Call D1]]^2)/SQRT(2*PI())</f>
        <v>#DIV/0!</v>
      </c>
      <c r="AN400" t="e">
        <f ca="1">EXP(-0.5*Table13[[#This Row],[Put D1]]^2)/SQRT(2*PI())</f>
        <v>#DIV/0!</v>
      </c>
      <c r="AO400">
        <f ca="1">IFERROR((EXP(0*Table13[[#This Row],[T]])*Table13[[#This Row],[call N(d1)]]*(Table13[[#This Row],[call d2]]/Table13[[#This Row],[IV Calc C]]))*Table13[[#This Row],[Open.Int]]*Table13[[#This Row],[DeltaC]],0)</f>
        <v>0</v>
      </c>
      <c r="AP400">
        <f ca="1">IFERROR((EXP(0*Table13[[#This Row],[T]])*Table13[[#This Row],[put N(d1)]]*(Table13[[#This Row],[put d2]]/Table13[[#This Row],[IV Calc P]]))*Table13[[#This Row],[Open.Int8]]*Table13[[#This Row],[DeltaP]]*-1,0)</f>
        <v>0</v>
      </c>
      <c r="AQ400">
        <f ca="1">((Table13[[#This Row],[call vanna]]+Table13[[#This Row],[put vanna]])*$A$4)</f>
        <v>0</v>
      </c>
      <c r="AR40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0" s="9" t="str" cm="1">
        <f t="array" ref="AT400">_xlfn.IFS(     $M$1="SPX","SPXW",     $M$1="RUT","RUTW",  $M$1="NDX","NDXP",   TRUE,$M$1 )</f>
        <v>SPXW</v>
      </c>
      <c r="AU400" s="2">
        <f t="shared" si="37"/>
        <v>6915</v>
      </c>
      <c r="AV400" t="str">
        <f t="shared" si="38"/>
        <v>000100</v>
      </c>
      <c r="AY40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0">
        <f>((Table13[[#This Row],[High C]]+Table13[[#This Row],[Low C]])/2)*Table13[[#This Row],[gammac]]*Table13[[#This Row],[Volume]]</f>
        <v>0</v>
      </c>
      <c r="BD400">
        <f>((Table13[[#This Row],[High P]]+Table13[[#This Row],[Low P]])/2)*Table13[[#This Row],[gammap]]*Table13[[#This Row],[Volume9]]*-1</f>
        <v>0</v>
      </c>
      <c r="BE400">
        <f>(Table13[[#This Row],[SgammaC]]+Table13[[#This Row],[SgammaP]])*$A$4*-100</f>
        <v>0</v>
      </c>
      <c r="BF400">
        <f>Table13[[#This Row],[DEXc]]+Table13[[#This Row],[DEXp]]</f>
        <v>0</v>
      </c>
      <c r="BG400">
        <f>IFERROR(Table13[[#This Row],[DeltaC]]*Table13[[#This Row],[Open.Int]]*$A$4,0)</f>
        <v>0</v>
      </c>
      <c r="BH400">
        <f>IFERROR(Table13[[#This Row],[DeltaP]]*Table13[[#This Row],[Open.Int8]]*$A$4,0)</f>
        <v>0</v>
      </c>
      <c r="BI40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0">
        <f ca="1">Table13[[#This Row],[charmc]]+Table13[[#This Row],[charmp]]</f>
        <v>0</v>
      </c>
      <c r="BL40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0" s="78">
        <f ca="1">Table13[[#This Row],[call helper]]+Table13[[#This Row],[put helper]]</f>
        <v>0</v>
      </c>
      <c r="BP400" t="str">
        <f>RTD("tos.rtd", , "STRIKE", "."&amp;Table13[[#This Row],[Ticker]]&amp;Table13[[#This Row],[Expiry]]&amp;""&amp;"C"&amp;Table13[[#This Row],[Spot]]+Table13[[#This Row],[step]])</f>
        <v>N/A</v>
      </c>
    </row>
    <row r="401" spans="1:69" x14ac:dyDescent="0.25">
      <c r="A401" s="14">
        <f t="shared" ca="1" si="34"/>
        <v>-126.14810350076104</v>
      </c>
      <c r="C401" s="17"/>
      <c r="D401" t="b">
        <f>IF(
    ISNUMBER(Table13[[#This Row],[Strike]]),RTD("tos.rtd", , "OPEN_INT", "."&amp;Table13[[#This Row],[Ticker]]&amp;Table13[[#This Row],[Expiry]]&amp;""&amp;"C"&amp;Table13[[#This Row],[Strike]]))</f>
        <v>0</v>
      </c>
      <c r="E40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1" t="b">
        <f>IF(     ISNUMBER(Table13[[#This Row],[Strike]]),RTD("tos.rtd", , "DELTA", "."&amp;Table13[[#This Row],[Ticker]]&amp;Table13[[#This Row],[Expiry]]&amp;""&amp;"C"&amp;Table13[[#This Row],[Strike]]))</f>
        <v>0</v>
      </c>
      <c r="H401" s="17" t="b" cm="1">
        <f t="array" ref="H401">IF(
    ISNUMBER(Table13[[#This Row],[Strike]]),IndividualLegIVCore($A$4, Table13[[#This Row],[Strike]], 0.0411, Table13[[#This Row],[T]], ((Table13[[#This Row],[BIDC]]+Table13[[#This Row],[ASKC]])/2), TRUE))</f>
        <v>0</v>
      </c>
      <c r="I401" t="b">
        <f>IF(     ISNUMBER(Table13[[#This Row],[Strike]]),RTD("tos.rtd", , "BID", "."&amp;Table13[[#This Row],[Ticker]]&amp;Table13[[#This Row],[Expiry]]&amp;""&amp;"C"&amp;Table13[[#This Row],[Strike]]))</f>
        <v>0</v>
      </c>
      <c r="J401" t="b">
        <f>IF(     ISNUMBER(Table13[[#This Row],[Strike]]),RTD("tos.rtd", , "ASK", "."&amp;Table13[[#This Row],[Ticker]]&amp;Table13[[#This Row],[Expiry]]&amp;""&amp;"C"&amp;Table13[[#This Row],[Strike]]))</f>
        <v>0</v>
      </c>
      <c r="K40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1" s="17" cm="1">
        <f t="array" aca="1" ref="L40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1" s="1">
        <f t="shared" si="35"/>
        <v>0</v>
      </c>
      <c r="N401" t="b">
        <f t="shared" si="36"/>
        <v>0</v>
      </c>
      <c r="P401" s="17" t="b" cm="1">
        <f t="array" ref="P401">IF(
    ISNUMBER(Table13[[#This Row],[Strike]]),IndividualLegIVCore($A$4, Table13[[#This Row],[Strike]], 0.0411, Table13[[#This Row],[T]], ((Table13[[#This Row],[BIDP]]+Table13[[#This Row],[ASKP]])/2), FALSE))</f>
        <v>0</v>
      </c>
      <c r="Q401" t="b">
        <f>IF(     ISNUMBER(Table13[[#This Row],[Strike]]),RTD("tos.rtd", , "BID", "."&amp;Table13[[#This Row],[Ticker]]&amp;Table13[[#This Row],[Expiry]]&amp;""&amp;"P"&amp;Table13[[#This Row],[Strike]]))</f>
        <v>0</v>
      </c>
      <c r="R401" t="b">
        <f>IF(     ISNUMBER(Table13[[#This Row],[Strike]]),RTD("tos.rtd", , "ASK", "."&amp;Table13[[#This Row],[Ticker]]&amp;Table13[[#This Row],[Expiry]]&amp;""&amp;"P"&amp;Table13[[#This Row],[Strike]]))</f>
        <v>0</v>
      </c>
      <c r="S401" s="17"/>
      <c r="T401" t="b">
        <f>IF(     ISNUMBER(Table13[[#This Row],[Strike]]),RTD("tos.rtd", , "OPEN_INT", "."&amp;Table13[[#This Row],[Ticker]]&amp;Table13[[#This Row],[Expiry]]&amp;""&amp;"P"&amp;Table13[[#This Row],[Strike]]))</f>
        <v>0</v>
      </c>
      <c r="U40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1" t="b">
        <f>IF(     ISNUMBER(Table13[[#This Row],[Strike]]),RTD("tos.rtd", , "DELTA", "."&amp;Table13[[#This Row],[Ticker]]&amp;Table13[[#This Row],[Expiry]]&amp;""&amp;"P"&amp;Table13[[#This Row],[Strike]]))</f>
        <v>0</v>
      </c>
      <c r="Y401" s="19">
        <f>44* IF($M$1="NDX", 10, IF(OR($M$1="SPX", $M$1="RUT"), 2, 1))</f>
        <v>88</v>
      </c>
      <c r="Z401">
        <f ca="1">IFERROR(Table13[[#This Row],[call gamma]]*(Table13[[#This Row],[Open.Int]])*$A$4^2,0)</f>
        <v>0</v>
      </c>
      <c r="AA401">
        <f ca="1">IFERROR(((Table13[[#This Row],[Open.Int8]])*Table13[[#This Row],[Put gamma]])*-1*$A$4^2,0)</f>
        <v>0</v>
      </c>
      <c r="AB401">
        <f ca="1">(Table13[[#This Row],[Call Gex]]+Table13[[#This Row],[Put Gex]])</f>
        <v>0</v>
      </c>
      <c r="AC401">
        <f ca="1">Table13[[#This Row],[put delta adj]]+Table13[[#This Row],[call delta adj]]</f>
        <v>0</v>
      </c>
      <c r="AD401">
        <f ca="1">Table13[[#This Row],[Put Gex]]*Table13[[#This Row],[DeltaP]]*-1</f>
        <v>0</v>
      </c>
      <c r="AE401">
        <f ca="1">Table13[[#This Row],[Call Gex]]*Table13[[#This Row],[DeltaC]]</f>
        <v>0</v>
      </c>
      <c r="AF401">
        <f>IF(Table13[[#This Row],[DeltaC]]-ABS(Table13[[#This Row],[DeltaP]])="0","0.01",Table13[[#This Row],[DeltaC]]-ABS(Table13[[#This Row],[DeltaP]]))</f>
        <v>0</v>
      </c>
      <c r="AG401" t="e">
        <f ca="1">((LN($A$4/Table13[[#This Row],[Strike]]) + (0.411 + 0.5 * Table13[[#This Row],[IV Calc P]]^2) *Table13[[#This Row],[T]])) / (Table13[[#This Row],[IV Calc P]] * SQRT(Table13[[#This Row],[T]]))</f>
        <v>#DIV/0!</v>
      </c>
      <c r="AH401" t="e">
        <f ca="1">(LN($A$4/Table13[[#This Row],[Strike]]) + (0.411-0 + 0.5 * Table13[[#This Row],[IV Calc C]]^2) *Table13[[#This Row],[T]]) / (Table13[[#This Row],[IV Calc C]] * SQRT(Table13[[#This Row],[T]]))</f>
        <v>#DIV/0!</v>
      </c>
      <c r="AI401" t="e">
        <f ca="1">(EXP(-(AG401^2)/2)/SQRT(2*PI())*EXP(0*SQRT(Table13[[#This Row],[T]]))/$A$4*18%*SQRT(SQRT(Table13[[#This Row],[T]])))</f>
        <v>#DIV/0!</v>
      </c>
      <c r="AJ401" t="e">
        <f ca="1">(EXP(-(AH401^2)/2)/SQRT(2*PI())*EXP(0*SQRT(Table13[[#This Row],[T]]))/$A$4*18%*SQRT(SQRT(Table13[[#This Row],[T]])))</f>
        <v>#DIV/0!</v>
      </c>
      <c r="AK401" t="e">
        <f ca="1">Table13[[#This Row],[Call D1]]-Table13[[#This Row],[IV Calc C]]*SQRT(Table13[[#This Row],[T]])</f>
        <v>#DIV/0!</v>
      </c>
      <c r="AL401" t="e">
        <f ca="1">Table13[[#This Row],[Put D1]]-Table13[[#This Row],[IV Calc P]]*SQRT(Table13[[#This Row],[T]])</f>
        <v>#DIV/0!</v>
      </c>
      <c r="AM401" t="e">
        <f ca="1">EXP(-0.5*Table13[[#This Row],[Call D1]]^2)/SQRT(2*PI())</f>
        <v>#DIV/0!</v>
      </c>
      <c r="AN401" t="e">
        <f ca="1">EXP(-0.5*Table13[[#This Row],[Put D1]]^2)/SQRT(2*PI())</f>
        <v>#DIV/0!</v>
      </c>
      <c r="AO401">
        <f ca="1">IFERROR((EXP(0*Table13[[#This Row],[T]])*Table13[[#This Row],[call N(d1)]]*(Table13[[#This Row],[call d2]]/Table13[[#This Row],[IV Calc C]]))*Table13[[#This Row],[Open.Int]]*Table13[[#This Row],[DeltaC]],0)</f>
        <v>0</v>
      </c>
      <c r="AP401">
        <f ca="1">IFERROR((EXP(0*Table13[[#This Row],[T]])*Table13[[#This Row],[put N(d1)]]*(Table13[[#This Row],[put d2]]/Table13[[#This Row],[IV Calc P]]))*Table13[[#This Row],[Open.Int8]]*Table13[[#This Row],[DeltaP]]*-1,0)</f>
        <v>0</v>
      </c>
      <c r="AQ401">
        <f ca="1">((Table13[[#This Row],[call vanna]]+Table13[[#This Row],[put vanna]])*$A$4)</f>
        <v>0</v>
      </c>
      <c r="AR40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1" s="9" t="str" cm="1">
        <f t="array" ref="AT401">_xlfn.IFS(     $M$1="SPX","SPXW",     $M$1="RUT","RUTW",  $M$1="NDX","NDXP",   TRUE,$M$1 )</f>
        <v>SPXW</v>
      </c>
      <c r="AU401" s="2">
        <f t="shared" si="37"/>
        <v>6915</v>
      </c>
      <c r="AV401" t="str">
        <f t="shared" si="38"/>
        <v>000100</v>
      </c>
      <c r="AY40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1">
        <f>((Table13[[#This Row],[High C]]+Table13[[#This Row],[Low C]])/2)*Table13[[#This Row],[gammac]]*Table13[[#This Row],[Volume]]</f>
        <v>0</v>
      </c>
      <c r="BD401">
        <f>((Table13[[#This Row],[High P]]+Table13[[#This Row],[Low P]])/2)*Table13[[#This Row],[gammap]]*Table13[[#This Row],[Volume9]]*-1</f>
        <v>0</v>
      </c>
      <c r="BE401">
        <f>(Table13[[#This Row],[SgammaC]]+Table13[[#This Row],[SgammaP]])*$A$4*-100</f>
        <v>0</v>
      </c>
      <c r="BF401">
        <f>Table13[[#This Row],[DEXc]]+Table13[[#This Row],[DEXp]]</f>
        <v>0</v>
      </c>
      <c r="BG401">
        <f>IFERROR(Table13[[#This Row],[DeltaC]]*Table13[[#This Row],[Open.Int]]*$A$4,0)</f>
        <v>0</v>
      </c>
      <c r="BH401">
        <f>IFERROR(Table13[[#This Row],[DeltaP]]*Table13[[#This Row],[Open.Int8]]*$A$4,0)</f>
        <v>0</v>
      </c>
      <c r="BI40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1">
        <f ca="1">Table13[[#This Row],[charmc]]+Table13[[#This Row],[charmp]]</f>
        <v>0</v>
      </c>
      <c r="BL40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1" s="78">
        <f ca="1">Table13[[#This Row],[call helper]]+Table13[[#This Row],[put helper]]</f>
        <v>0</v>
      </c>
      <c r="BP401" t="str">
        <f>RTD("tos.rtd", , "STRIKE", "."&amp;Table13[[#This Row],[Ticker]]&amp;Table13[[#This Row],[Expiry]]&amp;""&amp;"C"&amp;Table13[[#This Row],[Spot]]+Table13[[#This Row],[step]])</f>
        <v>N/A</v>
      </c>
    </row>
    <row r="402" spans="1:69" x14ac:dyDescent="0.25">
      <c r="A402" s="14">
        <f t="shared" ca="1" si="34"/>
        <v>-126.14810350076104</v>
      </c>
      <c r="C402" s="17"/>
      <c r="D402" t="b">
        <f>IF(
    ISNUMBER(Table13[[#This Row],[Strike]]),RTD("tos.rtd", , "OPEN_INT", "."&amp;Table13[[#This Row],[Ticker]]&amp;Table13[[#This Row],[Expiry]]&amp;""&amp;"C"&amp;Table13[[#This Row],[Strike]]))</f>
        <v>0</v>
      </c>
      <c r="E40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2" t="b">
        <f>IF(     ISNUMBER(Table13[[#This Row],[Strike]]),RTD("tos.rtd", , "DELTA", "."&amp;Table13[[#This Row],[Ticker]]&amp;Table13[[#This Row],[Expiry]]&amp;""&amp;"C"&amp;Table13[[#This Row],[Strike]]))</f>
        <v>0</v>
      </c>
      <c r="H402" s="17" t="b" cm="1">
        <f t="array" ref="H402">IF(
    ISNUMBER(Table13[[#This Row],[Strike]]),IndividualLegIVCore($A$4, Table13[[#This Row],[Strike]], 0.0411, Table13[[#This Row],[T]], ((Table13[[#This Row],[BIDC]]+Table13[[#This Row],[ASKC]])/2), TRUE))</f>
        <v>0</v>
      </c>
      <c r="I402" t="b">
        <f>IF(     ISNUMBER(Table13[[#This Row],[Strike]]),RTD("tos.rtd", , "BID", "."&amp;Table13[[#This Row],[Ticker]]&amp;Table13[[#This Row],[Expiry]]&amp;""&amp;"C"&amp;Table13[[#This Row],[Strike]]))</f>
        <v>0</v>
      </c>
      <c r="J402" t="b">
        <f>IF(     ISNUMBER(Table13[[#This Row],[Strike]]),RTD("tos.rtd", , "ASK", "."&amp;Table13[[#This Row],[Ticker]]&amp;Table13[[#This Row],[Expiry]]&amp;""&amp;"C"&amp;Table13[[#This Row],[Strike]]))</f>
        <v>0</v>
      </c>
      <c r="K40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2" s="17" cm="1">
        <f t="array" aca="1" ref="L40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2" s="1">
        <f t="shared" si="35"/>
        <v>0</v>
      </c>
      <c r="N402" t="b">
        <f t="shared" si="36"/>
        <v>0</v>
      </c>
      <c r="P402" s="17" t="b" cm="1">
        <f t="array" ref="P402">IF(
    ISNUMBER(Table13[[#This Row],[Strike]]),IndividualLegIVCore($A$4, Table13[[#This Row],[Strike]], 0.0411, Table13[[#This Row],[T]], ((Table13[[#This Row],[BIDP]]+Table13[[#This Row],[ASKP]])/2), FALSE))</f>
        <v>0</v>
      </c>
      <c r="Q402" t="b">
        <f>IF(     ISNUMBER(Table13[[#This Row],[Strike]]),RTD("tos.rtd", , "BID", "."&amp;Table13[[#This Row],[Ticker]]&amp;Table13[[#This Row],[Expiry]]&amp;""&amp;"P"&amp;Table13[[#This Row],[Strike]]))</f>
        <v>0</v>
      </c>
      <c r="R402" t="b">
        <f>IF(     ISNUMBER(Table13[[#This Row],[Strike]]),RTD("tos.rtd", , "ASK", "."&amp;Table13[[#This Row],[Ticker]]&amp;Table13[[#This Row],[Expiry]]&amp;""&amp;"P"&amp;Table13[[#This Row],[Strike]]))</f>
        <v>0</v>
      </c>
      <c r="S402" s="17"/>
      <c r="T402" t="b">
        <f>IF(     ISNUMBER(Table13[[#This Row],[Strike]]),RTD("tos.rtd", , "OPEN_INT", "."&amp;Table13[[#This Row],[Ticker]]&amp;Table13[[#This Row],[Expiry]]&amp;""&amp;"P"&amp;Table13[[#This Row],[Strike]]))</f>
        <v>0</v>
      </c>
      <c r="U40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2" t="b">
        <f>IF(     ISNUMBER(Table13[[#This Row],[Strike]]),RTD("tos.rtd", , "DELTA", "."&amp;Table13[[#This Row],[Ticker]]&amp;Table13[[#This Row],[Expiry]]&amp;""&amp;"P"&amp;Table13[[#This Row],[Strike]]))</f>
        <v>0</v>
      </c>
      <c r="Y402" s="19">
        <f>44.5* IF($M$1="NDX", 10, IF(OR($M$1="SPX", $M$1="RUT"), 2, 1))</f>
        <v>89</v>
      </c>
      <c r="Z402">
        <f ca="1">IFERROR(Table13[[#This Row],[call gamma]]*(Table13[[#This Row],[Open.Int]])*$A$4^2,0)</f>
        <v>0</v>
      </c>
      <c r="AA402">
        <f ca="1">IFERROR(((Table13[[#This Row],[Open.Int8]])*Table13[[#This Row],[Put gamma]])*-1*$A$4^2,0)</f>
        <v>0</v>
      </c>
      <c r="AB402">
        <f ca="1">(Table13[[#This Row],[Call Gex]]+Table13[[#This Row],[Put Gex]])</f>
        <v>0</v>
      </c>
      <c r="AC402">
        <f ca="1">Table13[[#This Row],[put delta adj]]+Table13[[#This Row],[call delta adj]]</f>
        <v>0</v>
      </c>
      <c r="AD402">
        <f ca="1">Table13[[#This Row],[Put Gex]]*Table13[[#This Row],[DeltaP]]*-1</f>
        <v>0</v>
      </c>
      <c r="AE402">
        <f ca="1">Table13[[#This Row],[Call Gex]]*Table13[[#This Row],[DeltaC]]</f>
        <v>0</v>
      </c>
      <c r="AF402">
        <f>IF(Table13[[#This Row],[DeltaC]]-ABS(Table13[[#This Row],[DeltaP]])="0","0.01",Table13[[#This Row],[DeltaC]]-ABS(Table13[[#This Row],[DeltaP]]))</f>
        <v>0</v>
      </c>
      <c r="AG402" t="e">
        <f ca="1">((LN($A$4/Table13[[#This Row],[Strike]]) + (0.411 + 0.5 * Table13[[#This Row],[IV Calc P]]^2) *Table13[[#This Row],[T]])) / (Table13[[#This Row],[IV Calc P]] * SQRT(Table13[[#This Row],[T]]))</f>
        <v>#DIV/0!</v>
      </c>
      <c r="AH402" t="e">
        <f ca="1">(LN($A$4/Table13[[#This Row],[Strike]]) + (0.411-0 + 0.5 * Table13[[#This Row],[IV Calc C]]^2) *Table13[[#This Row],[T]]) / (Table13[[#This Row],[IV Calc C]] * SQRT(Table13[[#This Row],[T]]))</f>
        <v>#DIV/0!</v>
      </c>
      <c r="AI402" t="e">
        <f ca="1">(EXP(-(AG402^2)/2)/SQRT(2*PI())*EXP(0*SQRT(Table13[[#This Row],[T]]))/$A$4*18%*SQRT(SQRT(Table13[[#This Row],[T]])))</f>
        <v>#DIV/0!</v>
      </c>
      <c r="AJ402" t="e">
        <f ca="1">(EXP(-(AH402^2)/2)/SQRT(2*PI())*EXP(0*SQRT(Table13[[#This Row],[T]]))/$A$4*18%*SQRT(SQRT(Table13[[#This Row],[T]])))</f>
        <v>#DIV/0!</v>
      </c>
      <c r="AK402" t="e">
        <f ca="1">Table13[[#This Row],[Call D1]]-Table13[[#This Row],[IV Calc C]]*SQRT(Table13[[#This Row],[T]])</f>
        <v>#DIV/0!</v>
      </c>
      <c r="AL402" t="e">
        <f ca="1">Table13[[#This Row],[Put D1]]-Table13[[#This Row],[IV Calc P]]*SQRT(Table13[[#This Row],[T]])</f>
        <v>#DIV/0!</v>
      </c>
      <c r="AM402" t="e">
        <f ca="1">EXP(-0.5*Table13[[#This Row],[Call D1]]^2)/SQRT(2*PI())</f>
        <v>#DIV/0!</v>
      </c>
      <c r="AN402" t="e">
        <f ca="1">EXP(-0.5*Table13[[#This Row],[Put D1]]^2)/SQRT(2*PI())</f>
        <v>#DIV/0!</v>
      </c>
      <c r="AO402">
        <f ca="1">IFERROR((EXP(0*Table13[[#This Row],[T]])*Table13[[#This Row],[call N(d1)]]*(Table13[[#This Row],[call d2]]/Table13[[#This Row],[IV Calc C]]))*Table13[[#This Row],[Open.Int]]*Table13[[#This Row],[DeltaC]],0)</f>
        <v>0</v>
      </c>
      <c r="AP402">
        <f ca="1">IFERROR((EXP(0*Table13[[#This Row],[T]])*Table13[[#This Row],[put N(d1)]]*(Table13[[#This Row],[put d2]]/Table13[[#This Row],[IV Calc P]]))*Table13[[#This Row],[Open.Int8]]*Table13[[#This Row],[DeltaP]]*-1,0)</f>
        <v>0</v>
      </c>
      <c r="AQ402">
        <f ca="1">((Table13[[#This Row],[call vanna]]+Table13[[#This Row],[put vanna]])*$A$4)</f>
        <v>0</v>
      </c>
      <c r="AR40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2" s="9" t="str" cm="1">
        <f t="array" ref="AT402">_xlfn.IFS(     $M$1="SPX","SPXW",     $M$1="RUT","RUTW",  $M$1="NDX","NDXP",   TRUE,$M$1 )</f>
        <v>SPXW</v>
      </c>
      <c r="AU402" s="2">
        <f t="shared" si="37"/>
        <v>6915</v>
      </c>
      <c r="AV402" t="str">
        <f t="shared" si="38"/>
        <v>000100</v>
      </c>
      <c r="AY40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2">
        <f>((Table13[[#This Row],[High C]]+Table13[[#This Row],[Low C]])/2)*Table13[[#This Row],[gammac]]*Table13[[#This Row],[Volume]]</f>
        <v>0</v>
      </c>
      <c r="BD402">
        <f>((Table13[[#This Row],[High P]]+Table13[[#This Row],[Low P]])/2)*Table13[[#This Row],[gammap]]*Table13[[#This Row],[Volume9]]*-1</f>
        <v>0</v>
      </c>
      <c r="BE402">
        <f>(Table13[[#This Row],[SgammaC]]+Table13[[#This Row],[SgammaP]])*$A$4*-100</f>
        <v>0</v>
      </c>
      <c r="BF402">
        <f>Table13[[#This Row],[DEXc]]+Table13[[#This Row],[DEXp]]</f>
        <v>0</v>
      </c>
      <c r="BG402">
        <f>IFERROR(Table13[[#This Row],[DeltaC]]*Table13[[#This Row],[Open.Int]]*$A$4,0)</f>
        <v>0</v>
      </c>
      <c r="BH402">
        <f>IFERROR(Table13[[#This Row],[DeltaP]]*Table13[[#This Row],[Open.Int8]]*$A$4,0)</f>
        <v>0</v>
      </c>
      <c r="BI40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2">
        <f ca="1">Table13[[#This Row],[charmc]]+Table13[[#This Row],[charmp]]</f>
        <v>0</v>
      </c>
      <c r="BL40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2" s="78">
        <f ca="1">Table13[[#This Row],[call helper]]+Table13[[#This Row],[put helper]]</f>
        <v>0</v>
      </c>
      <c r="BP402" t="str">
        <f>RTD("tos.rtd", , "STRIKE", "."&amp;Table13[[#This Row],[Ticker]]&amp;Table13[[#This Row],[Expiry]]&amp;""&amp;"C"&amp;Table13[[#This Row],[Spot]]+Table13[[#This Row],[step]])</f>
        <v>N/A</v>
      </c>
    </row>
    <row r="403" spans="1:69" x14ac:dyDescent="0.25">
      <c r="A403" s="14">
        <f t="shared" ca="1" si="34"/>
        <v>-126.14810350076104</v>
      </c>
      <c r="C403" s="17"/>
      <c r="D403" t="b">
        <f>IF(
    ISNUMBER(Table13[[#This Row],[Strike]]),RTD("tos.rtd", , "OPEN_INT", "."&amp;Table13[[#This Row],[Ticker]]&amp;Table13[[#This Row],[Expiry]]&amp;""&amp;"C"&amp;Table13[[#This Row],[Strike]]))</f>
        <v>0</v>
      </c>
      <c r="E40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3" t="b">
        <f>IF(     ISNUMBER(Table13[[#This Row],[Strike]]),RTD("tos.rtd", , "DELTA", "."&amp;Table13[[#This Row],[Ticker]]&amp;Table13[[#This Row],[Expiry]]&amp;""&amp;"C"&amp;Table13[[#This Row],[Strike]]))</f>
        <v>0</v>
      </c>
      <c r="H403" s="17" t="b" cm="1">
        <f t="array" ref="H403">IF(
    ISNUMBER(Table13[[#This Row],[Strike]]),IndividualLegIVCore($A$4, Table13[[#This Row],[Strike]], 0.0411, Table13[[#This Row],[T]], ((Table13[[#This Row],[BIDC]]+Table13[[#This Row],[ASKC]])/2), TRUE))</f>
        <v>0</v>
      </c>
      <c r="I403" t="b">
        <f>IF(     ISNUMBER(Table13[[#This Row],[Strike]]),RTD("tos.rtd", , "BID", "."&amp;Table13[[#This Row],[Ticker]]&amp;Table13[[#This Row],[Expiry]]&amp;""&amp;"C"&amp;Table13[[#This Row],[Strike]]))</f>
        <v>0</v>
      </c>
      <c r="J403" t="b">
        <f>IF(     ISNUMBER(Table13[[#This Row],[Strike]]),RTD("tos.rtd", , "ASK", "."&amp;Table13[[#This Row],[Ticker]]&amp;Table13[[#This Row],[Expiry]]&amp;""&amp;"C"&amp;Table13[[#This Row],[Strike]]))</f>
        <v>0</v>
      </c>
      <c r="K40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3" s="17" cm="1">
        <f t="array" aca="1" ref="L40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3" s="1">
        <f t="shared" si="35"/>
        <v>0</v>
      </c>
      <c r="N403" t="b">
        <f t="shared" si="36"/>
        <v>0</v>
      </c>
      <c r="P403" s="17" t="b" cm="1">
        <f t="array" ref="P403">IF(
    ISNUMBER(Table13[[#This Row],[Strike]]),IndividualLegIVCore($A$4, Table13[[#This Row],[Strike]], 0.0411, Table13[[#This Row],[T]], ((Table13[[#This Row],[BIDP]]+Table13[[#This Row],[ASKP]])/2), FALSE))</f>
        <v>0</v>
      </c>
      <c r="Q403" t="b">
        <f>IF(     ISNUMBER(Table13[[#This Row],[Strike]]),RTD("tos.rtd", , "BID", "."&amp;Table13[[#This Row],[Ticker]]&amp;Table13[[#This Row],[Expiry]]&amp;""&amp;"P"&amp;Table13[[#This Row],[Strike]]))</f>
        <v>0</v>
      </c>
      <c r="R403" t="b">
        <f>IF(     ISNUMBER(Table13[[#This Row],[Strike]]),RTD("tos.rtd", , "ASK", "."&amp;Table13[[#This Row],[Ticker]]&amp;Table13[[#This Row],[Expiry]]&amp;""&amp;"P"&amp;Table13[[#This Row],[Strike]]))</f>
        <v>0</v>
      </c>
      <c r="S403" s="17"/>
      <c r="T403" t="b">
        <f>IF(     ISNUMBER(Table13[[#This Row],[Strike]]),RTD("tos.rtd", , "OPEN_INT", "."&amp;Table13[[#This Row],[Ticker]]&amp;Table13[[#This Row],[Expiry]]&amp;""&amp;"P"&amp;Table13[[#This Row],[Strike]]))</f>
        <v>0</v>
      </c>
      <c r="U40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3" t="b">
        <f>IF(     ISNUMBER(Table13[[#This Row],[Strike]]),RTD("tos.rtd", , "DELTA", "."&amp;Table13[[#This Row],[Ticker]]&amp;Table13[[#This Row],[Expiry]]&amp;""&amp;"P"&amp;Table13[[#This Row],[Strike]]))</f>
        <v>0</v>
      </c>
      <c r="Y403" s="20">
        <f>45* IF($M$1="NDX", 10, IF(OR($M$1="SPX", $M$1="RUT"), 2, 1))</f>
        <v>90</v>
      </c>
      <c r="Z403">
        <f ca="1">IFERROR(Table13[[#This Row],[call gamma]]*(Table13[[#This Row],[Open.Int]])*$A$4^2,0)</f>
        <v>0</v>
      </c>
      <c r="AA403">
        <f ca="1">IFERROR(((Table13[[#This Row],[Open.Int8]])*Table13[[#This Row],[Put gamma]])*-1*$A$4^2,0)</f>
        <v>0</v>
      </c>
      <c r="AB403">
        <f ca="1">(Table13[[#This Row],[Call Gex]]+Table13[[#This Row],[Put Gex]])</f>
        <v>0</v>
      </c>
      <c r="AC403">
        <f ca="1">Table13[[#This Row],[put delta adj]]+Table13[[#This Row],[call delta adj]]</f>
        <v>0</v>
      </c>
      <c r="AD403">
        <f ca="1">Table13[[#This Row],[Put Gex]]*Table13[[#This Row],[DeltaP]]*-1</f>
        <v>0</v>
      </c>
      <c r="AE403">
        <f ca="1">Table13[[#This Row],[Call Gex]]*Table13[[#This Row],[DeltaC]]</f>
        <v>0</v>
      </c>
      <c r="AF403">
        <f>IF(Table13[[#This Row],[DeltaC]]-ABS(Table13[[#This Row],[DeltaP]])="0","0.01",Table13[[#This Row],[DeltaC]]-ABS(Table13[[#This Row],[DeltaP]]))</f>
        <v>0</v>
      </c>
      <c r="AG403" t="e">
        <f ca="1">((LN($A$4/Table13[[#This Row],[Strike]]) + (0.411 + 0.5 * Table13[[#This Row],[IV Calc P]]^2) *Table13[[#This Row],[T]])) / (Table13[[#This Row],[IV Calc P]] * SQRT(Table13[[#This Row],[T]]))</f>
        <v>#DIV/0!</v>
      </c>
      <c r="AH403" t="e">
        <f ca="1">(LN($A$4/Table13[[#This Row],[Strike]]) + (0.411-0 + 0.5 * Table13[[#This Row],[IV Calc C]]^2) *Table13[[#This Row],[T]]) / (Table13[[#This Row],[IV Calc C]] * SQRT(Table13[[#This Row],[T]]))</f>
        <v>#DIV/0!</v>
      </c>
      <c r="AI403" t="e">
        <f ca="1">(EXP(-(AG403^2)/2)/SQRT(2*PI())*EXP(0*SQRT(Table13[[#This Row],[T]]))/$A$4*18%*SQRT(SQRT(Table13[[#This Row],[T]])))</f>
        <v>#DIV/0!</v>
      </c>
      <c r="AJ403" t="e">
        <f ca="1">(EXP(-(AH403^2)/2)/SQRT(2*PI())*EXP(0*SQRT(Table13[[#This Row],[T]]))/$A$4*18%*SQRT(SQRT(Table13[[#This Row],[T]])))</f>
        <v>#DIV/0!</v>
      </c>
      <c r="AK403" t="e">
        <f ca="1">Table13[[#This Row],[Call D1]]-Table13[[#This Row],[IV Calc C]]*SQRT(Table13[[#This Row],[T]])</f>
        <v>#DIV/0!</v>
      </c>
      <c r="AL403" t="e">
        <f ca="1">Table13[[#This Row],[Put D1]]-Table13[[#This Row],[IV Calc P]]*SQRT(Table13[[#This Row],[T]])</f>
        <v>#DIV/0!</v>
      </c>
      <c r="AM403" t="e">
        <f ca="1">EXP(-0.5*Table13[[#This Row],[Call D1]]^2)/SQRT(2*PI())</f>
        <v>#DIV/0!</v>
      </c>
      <c r="AN403" t="e">
        <f ca="1">EXP(-0.5*Table13[[#This Row],[Put D1]]^2)/SQRT(2*PI())</f>
        <v>#DIV/0!</v>
      </c>
      <c r="AO403">
        <f ca="1">IFERROR((EXP(0*Table13[[#This Row],[T]])*Table13[[#This Row],[call N(d1)]]*(Table13[[#This Row],[call d2]]/Table13[[#This Row],[IV Calc C]]))*Table13[[#This Row],[Open.Int]]*Table13[[#This Row],[DeltaC]],0)</f>
        <v>0</v>
      </c>
      <c r="AP403">
        <f ca="1">IFERROR((EXP(0*Table13[[#This Row],[T]])*Table13[[#This Row],[put N(d1)]]*(Table13[[#This Row],[put d2]]/Table13[[#This Row],[IV Calc P]]))*Table13[[#This Row],[Open.Int8]]*Table13[[#This Row],[DeltaP]]*-1,0)</f>
        <v>0</v>
      </c>
      <c r="AQ403">
        <f ca="1">((Table13[[#This Row],[call vanna]]+Table13[[#This Row],[put vanna]])*$A$4)</f>
        <v>0</v>
      </c>
      <c r="AR40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3" s="9" t="str" cm="1">
        <f t="array" ref="AT403">_xlfn.IFS(     $M$1="SPX","SPXW",     $M$1="RUT","RUTW",  $M$1="NDX","NDXP",   TRUE,$M$1 )</f>
        <v>SPXW</v>
      </c>
      <c r="AU403" s="2">
        <f t="shared" si="37"/>
        <v>6915</v>
      </c>
      <c r="AV403" t="str">
        <f t="shared" si="38"/>
        <v>000100</v>
      </c>
      <c r="AY40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3">
        <f>((Table13[[#This Row],[High C]]+Table13[[#This Row],[Low C]])/2)*Table13[[#This Row],[gammac]]*Table13[[#This Row],[Volume]]</f>
        <v>0</v>
      </c>
      <c r="BD403">
        <f>((Table13[[#This Row],[High P]]+Table13[[#This Row],[Low P]])/2)*Table13[[#This Row],[gammap]]*Table13[[#This Row],[Volume9]]*-1</f>
        <v>0</v>
      </c>
      <c r="BE403">
        <f>(Table13[[#This Row],[SgammaC]]+Table13[[#This Row],[SgammaP]])*$A$4*-100</f>
        <v>0</v>
      </c>
      <c r="BF403">
        <f>Table13[[#This Row],[DEXc]]+Table13[[#This Row],[DEXp]]</f>
        <v>0</v>
      </c>
      <c r="BG403">
        <f>IFERROR(Table13[[#This Row],[DeltaC]]*Table13[[#This Row],[Open.Int]]*$A$4,0)</f>
        <v>0</v>
      </c>
      <c r="BH403">
        <f>IFERROR(Table13[[#This Row],[DeltaP]]*Table13[[#This Row],[Open.Int8]]*$A$4,0)</f>
        <v>0</v>
      </c>
      <c r="BI40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3">
        <f ca="1">Table13[[#This Row],[charmc]]+Table13[[#This Row],[charmp]]</f>
        <v>0</v>
      </c>
      <c r="BL40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3" s="78">
        <f ca="1">Table13[[#This Row],[call helper]]+Table13[[#This Row],[put helper]]</f>
        <v>0</v>
      </c>
      <c r="BP403" t="str">
        <f>RTD("tos.rtd", , "STRIKE", "."&amp;Table13[[#This Row],[Ticker]]&amp;Table13[[#This Row],[Expiry]]&amp;""&amp;"C"&amp;Table13[[#This Row],[Spot]]+Table13[[#This Row],[step]])</f>
        <v>N/A</v>
      </c>
    </row>
    <row r="404" spans="1:69" x14ac:dyDescent="0.25">
      <c r="A404" s="14">
        <f t="shared" ca="1" si="34"/>
        <v>-126.14810350076104</v>
      </c>
      <c r="C404" s="17"/>
      <c r="D404" t="b">
        <f>IF(
    ISNUMBER(Table13[[#This Row],[Strike]]),RTD("tos.rtd", , "OPEN_INT", "."&amp;Table13[[#This Row],[Ticker]]&amp;Table13[[#This Row],[Expiry]]&amp;""&amp;"C"&amp;Table13[[#This Row],[Strike]]))</f>
        <v>0</v>
      </c>
      <c r="E40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4" t="b">
        <f>IF(     ISNUMBER(Table13[[#This Row],[Strike]]),RTD("tos.rtd", , "DELTA", "."&amp;Table13[[#This Row],[Ticker]]&amp;Table13[[#This Row],[Expiry]]&amp;""&amp;"C"&amp;Table13[[#This Row],[Strike]]))</f>
        <v>0</v>
      </c>
      <c r="H404" s="17" t="b" cm="1">
        <f t="array" ref="H404">IF(
    ISNUMBER(Table13[[#This Row],[Strike]]),IndividualLegIVCore($A$4, Table13[[#This Row],[Strike]], 0.0411, Table13[[#This Row],[T]], ((Table13[[#This Row],[BIDC]]+Table13[[#This Row],[ASKC]])/2), TRUE))</f>
        <v>0</v>
      </c>
      <c r="I404" t="b">
        <f>IF(     ISNUMBER(Table13[[#This Row],[Strike]]),RTD("tos.rtd", , "BID", "."&amp;Table13[[#This Row],[Ticker]]&amp;Table13[[#This Row],[Expiry]]&amp;""&amp;"C"&amp;Table13[[#This Row],[Strike]]))</f>
        <v>0</v>
      </c>
      <c r="J404" t="b">
        <f>IF(     ISNUMBER(Table13[[#This Row],[Strike]]),RTD("tos.rtd", , "ASK", "."&amp;Table13[[#This Row],[Ticker]]&amp;Table13[[#This Row],[Expiry]]&amp;""&amp;"C"&amp;Table13[[#This Row],[Strike]]))</f>
        <v>0</v>
      </c>
      <c r="K404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4" s="17" cm="1">
        <f t="array" aca="1" ref="L404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4" s="1">
        <f t="shared" si="35"/>
        <v>0</v>
      </c>
      <c r="N404" t="b">
        <f t="shared" si="36"/>
        <v>0</v>
      </c>
      <c r="P404" s="17" t="b" cm="1">
        <f t="array" ref="P404">IF(
    ISNUMBER(Table13[[#This Row],[Strike]]),IndividualLegIVCore($A$4, Table13[[#This Row],[Strike]], 0.0411, Table13[[#This Row],[T]], ((Table13[[#This Row],[BIDP]]+Table13[[#This Row],[ASKP]])/2), FALSE))</f>
        <v>0</v>
      </c>
      <c r="Q404" t="b">
        <f>IF(     ISNUMBER(Table13[[#This Row],[Strike]]),RTD("tos.rtd", , "BID", "."&amp;Table13[[#This Row],[Ticker]]&amp;Table13[[#This Row],[Expiry]]&amp;""&amp;"P"&amp;Table13[[#This Row],[Strike]]))</f>
        <v>0</v>
      </c>
      <c r="R404" t="b">
        <f>IF(     ISNUMBER(Table13[[#This Row],[Strike]]),RTD("tos.rtd", , "ASK", "."&amp;Table13[[#This Row],[Ticker]]&amp;Table13[[#This Row],[Expiry]]&amp;""&amp;"P"&amp;Table13[[#This Row],[Strike]]))</f>
        <v>0</v>
      </c>
      <c r="S404" s="17"/>
      <c r="T404" t="b">
        <f>IF(     ISNUMBER(Table13[[#This Row],[Strike]]),RTD("tos.rtd", , "OPEN_INT", "."&amp;Table13[[#This Row],[Ticker]]&amp;Table13[[#This Row],[Expiry]]&amp;""&amp;"P"&amp;Table13[[#This Row],[Strike]]))</f>
        <v>0</v>
      </c>
      <c r="U40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4" t="b">
        <f>IF(     ISNUMBER(Table13[[#This Row],[Strike]]),RTD("tos.rtd", , "DELTA", "."&amp;Table13[[#This Row],[Ticker]]&amp;Table13[[#This Row],[Expiry]]&amp;""&amp;"P"&amp;Table13[[#This Row],[Strike]]))</f>
        <v>0</v>
      </c>
      <c r="Y404" s="19">
        <f>45.5* IF($M$1="NDX", 10, IF(OR($M$1="SPX", $M$1="RUT"), 2, 1))</f>
        <v>91</v>
      </c>
      <c r="Z404">
        <f ca="1">IFERROR(Table13[[#This Row],[call gamma]]*(Table13[[#This Row],[Open.Int]])*$A$4^2,0)</f>
        <v>0</v>
      </c>
      <c r="AA404">
        <f ca="1">IFERROR(((Table13[[#This Row],[Open.Int8]])*Table13[[#This Row],[Put gamma]])*-1*$A$4^2,0)</f>
        <v>0</v>
      </c>
      <c r="AB404">
        <f ca="1">(Table13[[#This Row],[Call Gex]]+Table13[[#This Row],[Put Gex]])</f>
        <v>0</v>
      </c>
      <c r="AC404">
        <f ca="1">Table13[[#This Row],[put delta adj]]+Table13[[#This Row],[call delta adj]]</f>
        <v>0</v>
      </c>
      <c r="AD404">
        <f ca="1">Table13[[#This Row],[Put Gex]]*Table13[[#This Row],[DeltaP]]*-1</f>
        <v>0</v>
      </c>
      <c r="AE404">
        <f ca="1">Table13[[#This Row],[Call Gex]]*Table13[[#This Row],[DeltaC]]</f>
        <v>0</v>
      </c>
      <c r="AF404">
        <f>IF(Table13[[#This Row],[DeltaC]]-ABS(Table13[[#This Row],[DeltaP]])="0","0.01",Table13[[#This Row],[DeltaC]]-ABS(Table13[[#This Row],[DeltaP]]))</f>
        <v>0</v>
      </c>
      <c r="AG404" t="e">
        <f ca="1">((LN($A$4/Table13[[#This Row],[Strike]]) + (0.411 + 0.5 * Table13[[#This Row],[IV Calc P]]^2) *Table13[[#This Row],[T]])) / (Table13[[#This Row],[IV Calc P]] * SQRT(Table13[[#This Row],[T]]))</f>
        <v>#DIV/0!</v>
      </c>
      <c r="AH404" t="e">
        <f ca="1">(LN($A$4/Table13[[#This Row],[Strike]]) + (0.411-0 + 0.5 * Table13[[#This Row],[IV Calc C]]^2) *Table13[[#This Row],[T]]) / (Table13[[#This Row],[IV Calc C]] * SQRT(Table13[[#This Row],[T]]))</f>
        <v>#DIV/0!</v>
      </c>
      <c r="AI404" t="e">
        <f ca="1">(EXP(-(AG404^2)/2)/SQRT(2*PI())*EXP(0*SQRT(Table13[[#This Row],[T]]))/$A$4*18%*SQRT(SQRT(Table13[[#This Row],[T]])))</f>
        <v>#DIV/0!</v>
      </c>
      <c r="AJ404" t="e">
        <f ca="1">(EXP(-(AH404^2)/2)/SQRT(2*PI())*EXP(0*SQRT(Table13[[#This Row],[T]]))/$A$4*18%*SQRT(SQRT(Table13[[#This Row],[T]])))</f>
        <v>#DIV/0!</v>
      </c>
      <c r="AK404" t="e">
        <f ca="1">Table13[[#This Row],[Call D1]]-Table13[[#This Row],[IV Calc C]]*SQRT(Table13[[#This Row],[T]])</f>
        <v>#DIV/0!</v>
      </c>
      <c r="AL404" t="e">
        <f ca="1">Table13[[#This Row],[Put D1]]-Table13[[#This Row],[IV Calc P]]*SQRT(Table13[[#This Row],[T]])</f>
        <v>#DIV/0!</v>
      </c>
      <c r="AM404" t="e">
        <f ca="1">EXP(-0.5*Table13[[#This Row],[Call D1]]^2)/SQRT(2*PI())</f>
        <v>#DIV/0!</v>
      </c>
      <c r="AN404" t="e">
        <f ca="1">EXP(-0.5*Table13[[#This Row],[Put D1]]^2)/SQRT(2*PI())</f>
        <v>#DIV/0!</v>
      </c>
      <c r="AO404">
        <f ca="1">IFERROR((EXP(0*Table13[[#This Row],[T]])*Table13[[#This Row],[call N(d1)]]*(Table13[[#This Row],[call d2]]/Table13[[#This Row],[IV Calc C]]))*Table13[[#This Row],[Open.Int]]*Table13[[#This Row],[DeltaC]],0)</f>
        <v>0</v>
      </c>
      <c r="AP404">
        <f ca="1">IFERROR((EXP(0*Table13[[#This Row],[T]])*Table13[[#This Row],[put N(d1)]]*(Table13[[#This Row],[put d2]]/Table13[[#This Row],[IV Calc P]]))*Table13[[#This Row],[Open.Int8]]*Table13[[#This Row],[DeltaP]]*-1,0)</f>
        <v>0</v>
      </c>
      <c r="AQ404">
        <f ca="1">((Table13[[#This Row],[call vanna]]+Table13[[#This Row],[put vanna]])*$A$4)</f>
        <v>0</v>
      </c>
      <c r="AR40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4" s="9" t="str" cm="1">
        <f t="array" ref="AT404">_xlfn.IFS(     $M$1="SPX","SPXW",     $M$1="RUT","RUTW",  $M$1="NDX","NDXP",   TRUE,$M$1 )</f>
        <v>SPXW</v>
      </c>
      <c r="AU404" s="2">
        <f t="shared" si="37"/>
        <v>6915</v>
      </c>
      <c r="AV404" t="str">
        <f t="shared" si="38"/>
        <v>000100</v>
      </c>
      <c r="AY40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4">
        <f>((Table13[[#This Row],[High C]]+Table13[[#This Row],[Low C]])/2)*Table13[[#This Row],[gammac]]*Table13[[#This Row],[Volume]]</f>
        <v>0</v>
      </c>
      <c r="BD404">
        <f>((Table13[[#This Row],[High P]]+Table13[[#This Row],[Low P]])/2)*Table13[[#This Row],[gammap]]*Table13[[#This Row],[Volume9]]*-1</f>
        <v>0</v>
      </c>
      <c r="BE404">
        <f>(Table13[[#This Row],[SgammaC]]+Table13[[#This Row],[SgammaP]])*$A$4*-100</f>
        <v>0</v>
      </c>
      <c r="BF404">
        <f>Table13[[#This Row],[DEXc]]+Table13[[#This Row],[DEXp]]</f>
        <v>0</v>
      </c>
      <c r="BG404">
        <f>IFERROR(Table13[[#This Row],[DeltaC]]*Table13[[#This Row],[Open.Int]]*$A$4,0)</f>
        <v>0</v>
      </c>
      <c r="BH404">
        <f>IFERROR(Table13[[#This Row],[DeltaP]]*Table13[[#This Row],[Open.Int8]]*$A$4,0)</f>
        <v>0</v>
      </c>
      <c r="BI40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4">
        <f ca="1">Table13[[#This Row],[charmc]]+Table13[[#This Row],[charmp]]</f>
        <v>0</v>
      </c>
      <c r="BL404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4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4" s="78">
        <f ca="1">Table13[[#This Row],[call helper]]+Table13[[#This Row],[put helper]]</f>
        <v>0</v>
      </c>
      <c r="BP404" t="str">
        <f>RTD("tos.rtd", , "STRIKE", "."&amp;Table13[[#This Row],[Ticker]]&amp;Table13[[#This Row],[Expiry]]&amp;""&amp;"C"&amp;Table13[[#This Row],[Spot]]+Table13[[#This Row],[step]])</f>
        <v>N/A</v>
      </c>
    </row>
    <row r="405" spans="1:69" x14ac:dyDescent="0.25">
      <c r="A405" s="14">
        <f t="shared" ref="A405:A413" ca="1" si="39">$P$3</f>
        <v>-126.14810350076104</v>
      </c>
      <c r="C405" s="17"/>
      <c r="D405" t="b">
        <f>IF(
    ISNUMBER(Table13[[#This Row],[Strike]]),RTD("tos.rtd", , "OPEN_INT", "."&amp;Table13[[#This Row],[Ticker]]&amp;Table13[[#This Row],[Expiry]]&amp;""&amp;"C"&amp;Table13[[#This Row],[Strike]]))</f>
        <v>0</v>
      </c>
      <c r="E40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5" t="b">
        <f>IF(     ISNUMBER(Table13[[#This Row],[Strike]]),RTD("tos.rtd", , "DELTA", "."&amp;Table13[[#This Row],[Ticker]]&amp;Table13[[#This Row],[Expiry]]&amp;""&amp;"C"&amp;Table13[[#This Row],[Strike]]))</f>
        <v>0</v>
      </c>
      <c r="H405" s="17" t="b" cm="1">
        <f t="array" ref="H405">IF(
    ISNUMBER(Table13[[#This Row],[Strike]]),IndividualLegIVCore($A$4, Table13[[#This Row],[Strike]], 0.0411, Table13[[#This Row],[T]], ((Table13[[#This Row],[BIDC]]+Table13[[#This Row],[ASKC]])/2), TRUE))</f>
        <v>0</v>
      </c>
      <c r="I405" t="b">
        <f>IF(     ISNUMBER(Table13[[#This Row],[Strike]]),RTD("tos.rtd", , "BID", "."&amp;Table13[[#This Row],[Ticker]]&amp;Table13[[#This Row],[Expiry]]&amp;""&amp;"C"&amp;Table13[[#This Row],[Strike]]))</f>
        <v>0</v>
      </c>
      <c r="J405" t="b">
        <f>IF(     ISNUMBER(Table13[[#This Row],[Strike]]),RTD("tos.rtd", , "ASK", "."&amp;Table13[[#This Row],[Ticker]]&amp;Table13[[#This Row],[Expiry]]&amp;""&amp;"C"&amp;Table13[[#This Row],[Strike]]))</f>
        <v>0</v>
      </c>
      <c r="K405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5" s="17" cm="1">
        <f t="array" aca="1" ref="L405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5" s="1">
        <f t="shared" ref="M405:M413" si="40">$P$1</f>
        <v>0</v>
      </c>
      <c r="N405" t="b">
        <f t="shared" ref="N405:N413" si="41">IF(ISNUMBER($BP405), $BP405, FALSE)</f>
        <v>0</v>
      </c>
      <c r="P405" s="17" t="b" cm="1">
        <f t="array" ref="P405">IF(
    ISNUMBER(Table13[[#This Row],[Strike]]),IndividualLegIVCore($A$4, Table13[[#This Row],[Strike]], 0.0411, Table13[[#This Row],[T]], ((Table13[[#This Row],[BIDP]]+Table13[[#This Row],[ASKP]])/2), FALSE))</f>
        <v>0</v>
      </c>
      <c r="Q405" t="b">
        <f>IF(     ISNUMBER(Table13[[#This Row],[Strike]]),RTD("tos.rtd", , "BID", "."&amp;Table13[[#This Row],[Ticker]]&amp;Table13[[#This Row],[Expiry]]&amp;""&amp;"P"&amp;Table13[[#This Row],[Strike]]))</f>
        <v>0</v>
      </c>
      <c r="R405" t="b">
        <f>IF(     ISNUMBER(Table13[[#This Row],[Strike]]),RTD("tos.rtd", , "ASK", "."&amp;Table13[[#This Row],[Ticker]]&amp;Table13[[#This Row],[Expiry]]&amp;""&amp;"P"&amp;Table13[[#This Row],[Strike]]))</f>
        <v>0</v>
      </c>
      <c r="S405" s="17"/>
      <c r="T405" t="b">
        <f>IF(     ISNUMBER(Table13[[#This Row],[Strike]]),RTD("tos.rtd", , "OPEN_INT", "."&amp;Table13[[#This Row],[Ticker]]&amp;Table13[[#This Row],[Expiry]]&amp;""&amp;"P"&amp;Table13[[#This Row],[Strike]]))</f>
        <v>0</v>
      </c>
      <c r="U40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5" t="b">
        <f>IF(     ISNUMBER(Table13[[#This Row],[Strike]]),RTD("tos.rtd", , "DELTA", "."&amp;Table13[[#This Row],[Ticker]]&amp;Table13[[#This Row],[Expiry]]&amp;""&amp;"P"&amp;Table13[[#This Row],[Strike]]))</f>
        <v>0</v>
      </c>
      <c r="Y405">
        <f>46* IF($M$1="NDX", 10, IF(OR($M$1="SPX", $M$1="RUT"), 2, 1))</f>
        <v>92</v>
      </c>
      <c r="Z405">
        <f ca="1">IFERROR(Table13[[#This Row],[call gamma]]*(Table13[[#This Row],[Open.Int]])*$A$4^2,0)</f>
        <v>0</v>
      </c>
      <c r="AA405">
        <f ca="1">IFERROR(((Table13[[#This Row],[Open.Int8]])*Table13[[#This Row],[Put gamma]])*-1*$A$4^2,0)</f>
        <v>0</v>
      </c>
      <c r="AB405">
        <f ca="1">(Table13[[#This Row],[Call Gex]]+Table13[[#This Row],[Put Gex]])</f>
        <v>0</v>
      </c>
      <c r="AC405">
        <f ca="1">Table13[[#This Row],[put delta adj]]+Table13[[#This Row],[call delta adj]]</f>
        <v>0</v>
      </c>
      <c r="AD405">
        <f ca="1">Table13[[#This Row],[Put Gex]]*Table13[[#This Row],[DeltaP]]*-1</f>
        <v>0</v>
      </c>
      <c r="AE405">
        <f ca="1">Table13[[#This Row],[Call Gex]]*Table13[[#This Row],[DeltaC]]</f>
        <v>0</v>
      </c>
      <c r="AF405">
        <f>IF(Table13[[#This Row],[DeltaC]]-ABS(Table13[[#This Row],[DeltaP]])="0","0.01",Table13[[#This Row],[DeltaC]]-ABS(Table13[[#This Row],[DeltaP]]))</f>
        <v>0</v>
      </c>
      <c r="AG405" t="e">
        <f ca="1">((LN($A$4/Table13[[#This Row],[Strike]]) + (0.411 + 0.5 * Table13[[#This Row],[IV Calc P]]^2) *Table13[[#This Row],[T]])) / (Table13[[#This Row],[IV Calc P]] * SQRT(Table13[[#This Row],[T]]))</f>
        <v>#DIV/0!</v>
      </c>
      <c r="AH405" t="e">
        <f ca="1">(LN($A$4/Table13[[#This Row],[Strike]]) + (0.411-0 + 0.5 * Table13[[#This Row],[IV Calc C]]^2) *Table13[[#This Row],[T]]) / (Table13[[#This Row],[IV Calc C]] * SQRT(Table13[[#This Row],[T]]))</f>
        <v>#DIV/0!</v>
      </c>
      <c r="AI405" t="e">
        <f ca="1">(EXP(-(AG405^2)/2)/SQRT(2*PI())*EXP(0*SQRT(Table13[[#This Row],[T]]))/$A$4*18%*SQRT(SQRT(Table13[[#This Row],[T]])))</f>
        <v>#DIV/0!</v>
      </c>
      <c r="AJ405" t="e">
        <f ca="1">(EXP(-(AH405^2)/2)/SQRT(2*PI())*EXP(0*SQRT(Table13[[#This Row],[T]]))/$A$4*18%*SQRT(SQRT(Table13[[#This Row],[T]])))</f>
        <v>#DIV/0!</v>
      </c>
      <c r="AK405" t="e">
        <f ca="1">Table13[[#This Row],[Call D1]]-Table13[[#This Row],[IV Calc C]]*SQRT(Table13[[#This Row],[T]])</f>
        <v>#DIV/0!</v>
      </c>
      <c r="AL405" t="e">
        <f ca="1">Table13[[#This Row],[Put D1]]-Table13[[#This Row],[IV Calc P]]*SQRT(Table13[[#This Row],[T]])</f>
        <v>#DIV/0!</v>
      </c>
      <c r="AM405" t="e">
        <f ca="1">EXP(-0.5*Table13[[#This Row],[Call D1]]^2)/SQRT(2*PI())</f>
        <v>#DIV/0!</v>
      </c>
      <c r="AN405" t="e">
        <f ca="1">EXP(-0.5*Table13[[#This Row],[Put D1]]^2)/SQRT(2*PI())</f>
        <v>#DIV/0!</v>
      </c>
      <c r="AO405">
        <f ca="1">IFERROR((EXP(0*Table13[[#This Row],[T]])*Table13[[#This Row],[call N(d1)]]*(Table13[[#This Row],[call d2]]/Table13[[#This Row],[IV Calc C]]))*Table13[[#This Row],[Open.Int]]*Table13[[#This Row],[DeltaC]],0)</f>
        <v>0</v>
      </c>
      <c r="AP405">
        <f ca="1">IFERROR((EXP(0*Table13[[#This Row],[T]])*Table13[[#This Row],[put N(d1)]]*(Table13[[#This Row],[put d2]]/Table13[[#This Row],[IV Calc P]]))*Table13[[#This Row],[Open.Int8]]*Table13[[#This Row],[DeltaP]]*-1,0)</f>
        <v>0</v>
      </c>
      <c r="AQ405">
        <f ca="1">((Table13[[#This Row],[call vanna]]+Table13[[#This Row],[put vanna]])*$A$4)</f>
        <v>0</v>
      </c>
      <c r="AR40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5" s="9" t="str" cm="1">
        <f t="array" ref="AT405">_xlfn.IFS(     $M$1="SPX","SPXW",     $M$1="RUT","RUTW",  $M$1="NDX","NDXP",   TRUE,$M$1 )</f>
        <v>SPXW</v>
      </c>
      <c r="AU405" s="2">
        <f t="shared" ref="AU405:AU413" si="42">$N$1</f>
        <v>6915</v>
      </c>
      <c r="AV405" t="str">
        <f t="shared" ref="AV405:AV413" si="43">$P$2</f>
        <v>000100</v>
      </c>
      <c r="AY40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5">
        <f>((Table13[[#This Row],[High C]]+Table13[[#This Row],[Low C]])/2)*Table13[[#This Row],[gammac]]*Table13[[#This Row],[Volume]]</f>
        <v>0</v>
      </c>
      <c r="BD405">
        <f>((Table13[[#This Row],[High P]]+Table13[[#This Row],[Low P]])/2)*Table13[[#This Row],[gammap]]*Table13[[#This Row],[Volume9]]*-1</f>
        <v>0</v>
      </c>
      <c r="BE405">
        <f>(Table13[[#This Row],[SgammaC]]+Table13[[#This Row],[SgammaP]])*$A$4*-100</f>
        <v>0</v>
      </c>
      <c r="BF405">
        <f>Table13[[#This Row],[DEXc]]+Table13[[#This Row],[DEXp]]</f>
        <v>0</v>
      </c>
      <c r="BG405">
        <f>IFERROR(Table13[[#This Row],[DeltaC]]*Table13[[#This Row],[Open.Int]]*$A$4,0)</f>
        <v>0</v>
      </c>
      <c r="BH405">
        <f>IFERROR(Table13[[#This Row],[DeltaP]]*Table13[[#This Row],[Open.Int8]]*$A$4,0)</f>
        <v>0</v>
      </c>
      <c r="BI40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5">
        <f ca="1">Table13[[#This Row],[charmc]]+Table13[[#This Row],[charmp]]</f>
        <v>0</v>
      </c>
      <c r="BL405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5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5" s="78">
        <f ca="1">Table13[[#This Row],[call helper]]+Table13[[#This Row],[put helper]]</f>
        <v>0</v>
      </c>
      <c r="BP405" t="str">
        <f>RTD("tos.rtd", , "STRIKE", "."&amp;Table13[[#This Row],[Ticker]]&amp;Table13[[#This Row],[Expiry]]&amp;""&amp;"C"&amp;Table13[[#This Row],[Spot]]+Table13[[#This Row],[step]])</f>
        <v>N/A</v>
      </c>
    </row>
    <row r="406" spans="1:69" x14ac:dyDescent="0.25">
      <c r="A406" s="14">
        <f t="shared" ca="1" si="39"/>
        <v>-126.14810350076104</v>
      </c>
      <c r="C406" s="17"/>
      <c r="D406" t="b">
        <f>IF(
    ISNUMBER(Table13[[#This Row],[Strike]]),RTD("tos.rtd", , "OPEN_INT", "."&amp;Table13[[#This Row],[Ticker]]&amp;Table13[[#This Row],[Expiry]]&amp;""&amp;"C"&amp;Table13[[#This Row],[Strike]]))</f>
        <v>0</v>
      </c>
      <c r="E40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6" t="b">
        <f>IF(     ISNUMBER(Table13[[#This Row],[Strike]]),RTD("tos.rtd", , "DELTA", "."&amp;Table13[[#This Row],[Ticker]]&amp;Table13[[#This Row],[Expiry]]&amp;""&amp;"C"&amp;Table13[[#This Row],[Strike]]))</f>
        <v>0</v>
      </c>
      <c r="H406" s="17" t="b" cm="1">
        <f t="array" ref="H406">IF(
    ISNUMBER(Table13[[#This Row],[Strike]]),IndividualLegIVCore($A$4, Table13[[#This Row],[Strike]], 0.0411, Table13[[#This Row],[T]], ((Table13[[#This Row],[BIDC]]+Table13[[#This Row],[ASKC]])/2), TRUE))</f>
        <v>0</v>
      </c>
      <c r="I406" t="b">
        <f>IF(     ISNUMBER(Table13[[#This Row],[Strike]]),RTD("tos.rtd", , "BID", "."&amp;Table13[[#This Row],[Ticker]]&amp;Table13[[#This Row],[Expiry]]&amp;""&amp;"C"&amp;Table13[[#This Row],[Strike]]))</f>
        <v>0</v>
      </c>
      <c r="J406" t="b">
        <f>IF(     ISNUMBER(Table13[[#This Row],[Strike]]),RTD("tos.rtd", , "ASK", "."&amp;Table13[[#This Row],[Ticker]]&amp;Table13[[#This Row],[Expiry]]&amp;""&amp;"C"&amp;Table13[[#This Row],[Strike]]))</f>
        <v>0</v>
      </c>
      <c r="K406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6" s="17" cm="1">
        <f t="array" aca="1" ref="L406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6" s="1">
        <f t="shared" si="40"/>
        <v>0</v>
      </c>
      <c r="N406" t="b">
        <f t="shared" si="41"/>
        <v>0</v>
      </c>
      <c r="P406" s="17" t="b" cm="1">
        <f t="array" ref="P406">IF(
    ISNUMBER(Table13[[#This Row],[Strike]]),IndividualLegIVCore($A$4, Table13[[#This Row],[Strike]], 0.0411, Table13[[#This Row],[T]], ((Table13[[#This Row],[BIDP]]+Table13[[#This Row],[ASKP]])/2), FALSE))</f>
        <v>0</v>
      </c>
      <c r="Q406" t="b">
        <f>IF(     ISNUMBER(Table13[[#This Row],[Strike]]),RTD("tos.rtd", , "BID", "."&amp;Table13[[#This Row],[Ticker]]&amp;Table13[[#This Row],[Expiry]]&amp;""&amp;"P"&amp;Table13[[#This Row],[Strike]]))</f>
        <v>0</v>
      </c>
      <c r="R406" t="b">
        <f>IF(     ISNUMBER(Table13[[#This Row],[Strike]]),RTD("tos.rtd", , "ASK", "."&amp;Table13[[#This Row],[Ticker]]&amp;Table13[[#This Row],[Expiry]]&amp;""&amp;"P"&amp;Table13[[#This Row],[Strike]]))</f>
        <v>0</v>
      </c>
      <c r="S406" s="17"/>
      <c r="T406" t="b">
        <f>IF(     ISNUMBER(Table13[[#This Row],[Strike]]),RTD("tos.rtd", , "OPEN_INT", "."&amp;Table13[[#This Row],[Ticker]]&amp;Table13[[#This Row],[Expiry]]&amp;""&amp;"P"&amp;Table13[[#This Row],[Strike]]))</f>
        <v>0</v>
      </c>
      <c r="U40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6" t="b">
        <f>IF(     ISNUMBER(Table13[[#This Row],[Strike]]),RTD("tos.rtd", , "DELTA", "."&amp;Table13[[#This Row],[Ticker]]&amp;Table13[[#This Row],[Expiry]]&amp;""&amp;"P"&amp;Table13[[#This Row],[Strike]]))</f>
        <v>0</v>
      </c>
      <c r="Y406">
        <f>46.5* IF($M$1="NDX", 10, IF(OR($M$1="SPX", $M$1="RUT"), 2, 1))</f>
        <v>93</v>
      </c>
      <c r="Z406">
        <f ca="1">IFERROR(Table13[[#This Row],[call gamma]]*(Table13[[#This Row],[Open.Int]])*$A$4^2,0)</f>
        <v>0</v>
      </c>
      <c r="AA406">
        <f ca="1">IFERROR(((Table13[[#This Row],[Open.Int8]])*Table13[[#This Row],[Put gamma]])*-1*$A$4^2,0)</f>
        <v>0</v>
      </c>
      <c r="AB406">
        <f ca="1">(Table13[[#This Row],[Call Gex]]+Table13[[#This Row],[Put Gex]])</f>
        <v>0</v>
      </c>
      <c r="AC406">
        <f ca="1">Table13[[#This Row],[put delta adj]]+Table13[[#This Row],[call delta adj]]</f>
        <v>0</v>
      </c>
      <c r="AD406">
        <f ca="1">Table13[[#This Row],[Put Gex]]*Table13[[#This Row],[DeltaP]]*-1</f>
        <v>0</v>
      </c>
      <c r="AE406">
        <f ca="1">Table13[[#This Row],[Call Gex]]*Table13[[#This Row],[DeltaC]]</f>
        <v>0</v>
      </c>
      <c r="AF406">
        <f>IF(Table13[[#This Row],[DeltaC]]-ABS(Table13[[#This Row],[DeltaP]])="0","0.01",Table13[[#This Row],[DeltaC]]-ABS(Table13[[#This Row],[DeltaP]]))</f>
        <v>0</v>
      </c>
      <c r="AG406" t="e">
        <f ca="1">((LN($A$4/Table13[[#This Row],[Strike]]) + (0.411 + 0.5 * Table13[[#This Row],[IV Calc P]]^2) *Table13[[#This Row],[T]])) / (Table13[[#This Row],[IV Calc P]] * SQRT(Table13[[#This Row],[T]]))</f>
        <v>#DIV/0!</v>
      </c>
      <c r="AH406" t="e">
        <f ca="1">(LN($A$4/Table13[[#This Row],[Strike]]) + (0.411-0 + 0.5 * Table13[[#This Row],[IV Calc C]]^2) *Table13[[#This Row],[T]]) / (Table13[[#This Row],[IV Calc C]] * SQRT(Table13[[#This Row],[T]]))</f>
        <v>#DIV/0!</v>
      </c>
      <c r="AI406" t="e">
        <f ca="1">(EXP(-(AG406^2)/2)/SQRT(2*PI())*EXP(0*SQRT(Table13[[#This Row],[T]]))/$A$4*18%*SQRT(SQRT(Table13[[#This Row],[T]])))</f>
        <v>#DIV/0!</v>
      </c>
      <c r="AJ406" t="e">
        <f ca="1">(EXP(-(AH406^2)/2)/SQRT(2*PI())*EXP(0*SQRT(Table13[[#This Row],[T]]))/$A$4*18%*SQRT(SQRT(Table13[[#This Row],[T]])))</f>
        <v>#DIV/0!</v>
      </c>
      <c r="AK406" t="e">
        <f ca="1">Table13[[#This Row],[Call D1]]-Table13[[#This Row],[IV Calc C]]*SQRT(Table13[[#This Row],[T]])</f>
        <v>#DIV/0!</v>
      </c>
      <c r="AL406" t="e">
        <f ca="1">Table13[[#This Row],[Put D1]]-Table13[[#This Row],[IV Calc P]]*SQRT(Table13[[#This Row],[T]])</f>
        <v>#DIV/0!</v>
      </c>
      <c r="AM406" t="e">
        <f ca="1">EXP(-0.5*Table13[[#This Row],[Call D1]]^2)/SQRT(2*PI())</f>
        <v>#DIV/0!</v>
      </c>
      <c r="AN406" t="e">
        <f ca="1">EXP(-0.5*Table13[[#This Row],[Put D1]]^2)/SQRT(2*PI())</f>
        <v>#DIV/0!</v>
      </c>
      <c r="AO406">
        <f ca="1">IFERROR((EXP(0*Table13[[#This Row],[T]])*Table13[[#This Row],[call N(d1)]]*(Table13[[#This Row],[call d2]]/Table13[[#This Row],[IV Calc C]]))*Table13[[#This Row],[Open.Int]]*Table13[[#This Row],[DeltaC]],0)</f>
        <v>0</v>
      </c>
      <c r="AP406">
        <f ca="1">IFERROR((EXP(0*Table13[[#This Row],[T]])*Table13[[#This Row],[put N(d1)]]*(Table13[[#This Row],[put d2]]/Table13[[#This Row],[IV Calc P]]))*Table13[[#This Row],[Open.Int8]]*Table13[[#This Row],[DeltaP]]*-1,0)</f>
        <v>0</v>
      </c>
      <c r="AQ406">
        <f ca="1">((Table13[[#This Row],[call vanna]]+Table13[[#This Row],[put vanna]])*$A$4)</f>
        <v>0</v>
      </c>
      <c r="AR40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6" s="9" t="str" cm="1">
        <f t="array" ref="AT406">_xlfn.IFS(     $M$1="SPX","SPXW",     $M$1="RUT","RUTW",  $M$1="NDX","NDXP",   TRUE,$M$1 )</f>
        <v>SPXW</v>
      </c>
      <c r="AU406" s="2">
        <f t="shared" si="42"/>
        <v>6915</v>
      </c>
      <c r="AV406" t="str">
        <f t="shared" si="43"/>
        <v>000100</v>
      </c>
      <c r="AY40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6">
        <f>((Table13[[#This Row],[High C]]+Table13[[#This Row],[Low C]])/2)*Table13[[#This Row],[gammac]]*Table13[[#This Row],[Volume]]</f>
        <v>0</v>
      </c>
      <c r="BD406">
        <f>((Table13[[#This Row],[High P]]+Table13[[#This Row],[Low P]])/2)*Table13[[#This Row],[gammap]]*Table13[[#This Row],[Volume9]]*-1</f>
        <v>0</v>
      </c>
      <c r="BE406">
        <f>(Table13[[#This Row],[SgammaC]]+Table13[[#This Row],[SgammaP]])*$A$4*-100</f>
        <v>0</v>
      </c>
      <c r="BF406">
        <f>Table13[[#This Row],[DEXc]]+Table13[[#This Row],[DEXp]]</f>
        <v>0</v>
      </c>
      <c r="BG406">
        <f>IFERROR(Table13[[#This Row],[DeltaC]]*Table13[[#This Row],[Open.Int]]*$A$4,0)</f>
        <v>0</v>
      </c>
      <c r="BH406">
        <f>IFERROR(Table13[[#This Row],[DeltaP]]*Table13[[#This Row],[Open.Int8]]*$A$4,0)</f>
        <v>0</v>
      </c>
      <c r="BI40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6">
        <f ca="1">Table13[[#This Row],[charmc]]+Table13[[#This Row],[charmp]]</f>
        <v>0</v>
      </c>
      <c r="BL406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6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6" s="78">
        <f ca="1">Table13[[#This Row],[call helper]]+Table13[[#This Row],[put helper]]</f>
        <v>0</v>
      </c>
      <c r="BP406" t="str">
        <f>RTD("tos.rtd", , "STRIKE", "."&amp;Table13[[#This Row],[Ticker]]&amp;Table13[[#This Row],[Expiry]]&amp;""&amp;"C"&amp;Table13[[#This Row],[Spot]]+Table13[[#This Row],[step]])</f>
        <v>N/A</v>
      </c>
    </row>
    <row r="407" spans="1:69" x14ac:dyDescent="0.25">
      <c r="A407" s="14">
        <f t="shared" ca="1" si="39"/>
        <v>-126.14810350076104</v>
      </c>
      <c r="C407" s="17"/>
      <c r="D407" t="b">
        <f>IF(
    ISNUMBER(Table13[[#This Row],[Strike]]),RTD("tos.rtd", , "OPEN_INT", "."&amp;Table13[[#This Row],[Ticker]]&amp;Table13[[#This Row],[Expiry]]&amp;""&amp;"C"&amp;Table13[[#This Row],[Strike]]))</f>
        <v>0</v>
      </c>
      <c r="E40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7" t="b">
        <f>IF(     ISNUMBER(Table13[[#This Row],[Strike]]),RTD("tos.rtd", , "DELTA", "."&amp;Table13[[#This Row],[Ticker]]&amp;Table13[[#This Row],[Expiry]]&amp;""&amp;"C"&amp;Table13[[#This Row],[Strike]]))</f>
        <v>0</v>
      </c>
      <c r="H407" s="17" t="b" cm="1">
        <f t="array" ref="H407">IF(
    ISNUMBER(Table13[[#This Row],[Strike]]),IndividualLegIVCore($A$4, Table13[[#This Row],[Strike]], 0.0411, Table13[[#This Row],[T]], ((Table13[[#This Row],[BIDC]]+Table13[[#This Row],[ASKC]])/2), TRUE))</f>
        <v>0</v>
      </c>
      <c r="I407" t="b">
        <f>IF(     ISNUMBER(Table13[[#This Row],[Strike]]),RTD("tos.rtd", , "BID", "."&amp;Table13[[#This Row],[Ticker]]&amp;Table13[[#This Row],[Expiry]]&amp;""&amp;"C"&amp;Table13[[#This Row],[Strike]]))</f>
        <v>0</v>
      </c>
      <c r="J407" t="b">
        <f>IF(     ISNUMBER(Table13[[#This Row],[Strike]]),RTD("tos.rtd", , "ASK", "."&amp;Table13[[#This Row],[Ticker]]&amp;Table13[[#This Row],[Expiry]]&amp;""&amp;"C"&amp;Table13[[#This Row],[Strike]]))</f>
        <v>0</v>
      </c>
      <c r="K407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7" s="17" cm="1">
        <f t="array" aca="1" ref="L407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7" s="1">
        <f t="shared" si="40"/>
        <v>0</v>
      </c>
      <c r="N407" t="b">
        <f t="shared" si="41"/>
        <v>0</v>
      </c>
      <c r="P407" s="17" t="b" cm="1">
        <f t="array" ref="P407">IF(
    ISNUMBER(Table13[[#This Row],[Strike]]),IndividualLegIVCore($A$4, Table13[[#This Row],[Strike]], 0.0411, Table13[[#This Row],[T]], ((Table13[[#This Row],[BIDP]]+Table13[[#This Row],[ASKP]])/2), FALSE))</f>
        <v>0</v>
      </c>
      <c r="Q407" t="b">
        <f>IF(     ISNUMBER(Table13[[#This Row],[Strike]]),RTD("tos.rtd", , "BID", "."&amp;Table13[[#This Row],[Ticker]]&amp;Table13[[#This Row],[Expiry]]&amp;""&amp;"P"&amp;Table13[[#This Row],[Strike]]))</f>
        <v>0</v>
      </c>
      <c r="R407" t="b">
        <f>IF(     ISNUMBER(Table13[[#This Row],[Strike]]),RTD("tos.rtd", , "ASK", "."&amp;Table13[[#This Row],[Ticker]]&amp;Table13[[#This Row],[Expiry]]&amp;""&amp;"P"&amp;Table13[[#This Row],[Strike]]))</f>
        <v>0</v>
      </c>
      <c r="S407" s="17"/>
      <c r="T407" t="b">
        <f>IF(     ISNUMBER(Table13[[#This Row],[Strike]]),RTD("tos.rtd", , "OPEN_INT", "."&amp;Table13[[#This Row],[Ticker]]&amp;Table13[[#This Row],[Expiry]]&amp;""&amp;"P"&amp;Table13[[#This Row],[Strike]]))</f>
        <v>0</v>
      </c>
      <c r="U40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7" t="b">
        <f>IF(     ISNUMBER(Table13[[#This Row],[Strike]]),RTD("tos.rtd", , "DELTA", "."&amp;Table13[[#This Row],[Ticker]]&amp;Table13[[#This Row],[Expiry]]&amp;""&amp;"P"&amp;Table13[[#This Row],[Strike]]))</f>
        <v>0</v>
      </c>
      <c r="Y407">
        <f>47* IF($M$1="NDX", 10, IF(OR($M$1="SPX", $M$1="RUT"), 2, 1))</f>
        <v>94</v>
      </c>
      <c r="Z407">
        <f ca="1">IFERROR(Table13[[#This Row],[call gamma]]*(Table13[[#This Row],[Open.Int]])*$A$4^2,0)</f>
        <v>0</v>
      </c>
      <c r="AA407">
        <f ca="1">IFERROR(((Table13[[#This Row],[Open.Int8]])*Table13[[#This Row],[Put gamma]])*-1*$A$4^2,0)</f>
        <v>0</v>
      </c>
      <c r="AB407">
        <f ca="1">(Table13[[#This Row],[Call Gex]]+Table13[[#This Row],[Put Gex]])</f>
        <v>0</v>
      </c>
      <c r="AC407">
        <f ca="1">Table13[[#This Row],[put delta adj]]+Table13[[#This Row],[call delta adj]]</f>
        <v>0</v>
      </c>
      <c r="AD407">
        <f ca="1">Table13[[#This Row],[Put Gex]]*Table13[[#This Row],[DeltaP]]*-1</f>
        <v>0</v>
      </c>
      <c r="AE407">
        <f ca="1">Table13[[#This Row],[Call Gex]]*Table13[[#This Row],[DeltaC]]</f>
        <v>0</v>
      </c>
      <c r="AF407">
        <f>IF(Table13[[#This Row],[DeltaC]]-ABS(Table13[[#This Row],[DeltaP]])="0","0.01",Table13[[#This Row],[DeltaC]]-ABS(Table13[[#This Row],[DeltaP]]))</f>
        <v>0</v>
      </c>
      <c r="AG407" t="e">
        <f ca="1">((LN($A$4/Table13[[#This Row],[Strike]]) + (0.411 + 0.5 * Table13[[#This Row],[IV Calc P]]^2) *Table13[[#This Row],[T]])) / (Table13[[#This Row],[IV Calc P]] * SQRT(Table13[[#This Row],[T]]))</f>
        <v>#DIV/0!</v>
      </c>
      <c r="AH407" t="e">
        <f ca="1">(LN($A$4/Table13[[#This Row],[Strike]]) + (0.411-0 + 0.5 * Table13[[#This Row],[IV Calc C]]^2) *Table13[[#This Row],[T]]) / (Table13[[#This Row],[IV Calc C]] * SQRT(Table13[[#This Row],[T]]))</f>
        <v>#DIV/0!</v>
      </c>
      <c r="AI407" t="e">
        <f ca="1">(EXP(-(AG407^2)/2)/SQRT(2*PI())*EXP(0*SQRT(Table13[[#This Row],[T]]))/$A$4*18%*SQRT(SQRT(Table13[[#This Row],[T]])))</f>
        <v>#DIV/0!</v>
      </c>
      <c r="AJ407" t="e">
        <f ca="1">(EXP(-(AH407^2)/2)/SQRT(2*PI())*EXP(0*SQRT(Table13[[#This Row],[T]]))/$A$4*18%*SQRT(SQRT(Table13[[#This Row],[T]])))</f>
        <v>#DIV/0!</v>
      </c>
      <c r="AK407" t="e">
        <f ca="1">Table13[[#This Row],[Call D1]]-Table13[[#This Row],[IV Calc C]]*SQRT(Table13[[#This Row],[T]])</f>
        <v>#DIV/0!</v>
      </c>
      <c r="AL407" t="e">
        <f ca="1">Table13[[#This Row],[Put D1]]-Table13[[#This Row],[IV Calc P]]*SQRT(Table13[[#This Row],[T]])</f>
        <v>#DIV/0!</v>
      </c>
      <c r="AM407" t="e">
        <f ca="1">EXP(-0.5*Table13[[#This Row],[Call D1]]^2)/SQRT(2*PI())</f>
        <v>#DIV/0!</v>
      </c>
      <c r="AN407" t="e">
        <f ca="1">EXP(-0.5*Table13[[#This Row],[Put D1]]^2)/SQRT(2*PI())</f>
        <v>#DIV/0!</v>
      </c>
      <c r="AO407">
        <f ca="1">IFERROR((EXP(0*Table13[[#This Row],[T]])*Table13[[#This Row],[call N(d1)]]*(Table13[[#This Row],[call d2]]/Table13[[#This Row],[IV Calc C]]))*Table13[[#This Row],[Open.Int]]*Table13[[#This Row],[DeltaC]],0)</f>
        <v>0</v>
      </c>
      <c r="AP407">
        <f ca="1">IFERROR((EXP(0*Table13[[#This Row],[T]])*Table13[[#This Row],[put N(d1)]]*(Table13[[#This Row],[put d2]]/Table13[[#This Row],[IV Calc P]]))*Table13[[#This Row],[Open.Int8]]*Table13[[#This Row],[DeltaP]]*-1,0)</f>
        <v>0</v>
      </c>
      <c r="AQ407">
        <f ca="1">((Table13[[#This Row],[call vanna]]+Table13[[#This Row],[put vanna]])*$A$4)</f>
        <v>0</v>
      </c>
      <c r="AR40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7" s="9" t="str" cm="1">
        <f t="array" ref="AT407">_xlfn.IFS(     $M$1="SPX","SPXW",     $M$1="RUT","RUTW",  $M$1="NDX","NDXP",   TRUE,$M$1 )</f>
        <v>SPXW</v>
      </c>
      <c r="AU407" s="2">
        <f t="shared" si="42"/>
        <v>6915</v>
      </c>
      <c r="AV407" t="str">
        <f t="shared" si="43"/>
        <v>000100</v>
      </c>
      <c r="AY40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7">
        <f>((Table13[[#This Row],[High C]]+Table13[[#This Row],[Low C]])/2)*Table13[[#This Row],[gammac]]*Table13[[#This Row],[Volume]]</f>
        <v>0</v>
      </c>
      <c r="BD407">
        <f>((Table13[[#This Row],[High P]]+Table13[[#This Row],[Low P]])/2)*Table13[[#This Row],[gammap]]*Table13[[#This Row],[Volume9]]*-1</f>
        <v>0</v>
      </c>
      <c r="BE407">
        <f>(Table13[[#This Row],[SgammaC]]+Table13[[#This Row],[SgammaP]])*$A$4*-100</f>
        <v>0</v>
      </c>
      <c r="BF407">
        <f>Table13[[#This Row],[DEXc]]+Table13[[#This Row],[DEXp]]</f>
        <v>0</v>
      </c>
      <c r="BG407">
        <f>IFERROR(Table13[[#This Row],[DeltaC]]*Table13[[#This Row],[Open.Int]]*$A$4,0)</f>
        <v>0</v>
      </c>
      <c r="BH407">
        <f>IFERROR(Table13[[#This Row],[DeltaP]]*Table13[[#This Row],[Open.Int8]]*$A$4,0)</f>
        <v>0</v>
      </c>
      <c r="BI40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7">
        <f ca="1">Table13[[#This Row],[charmc]]+Table13[[#This Row],[charmp]]</f>
        <v>0</v>
      </c>
      <c r="BL407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7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7" s="78">
        <f ca="1">Table13[[#This Row],[call helper]]+Table13[[#This Row],[put helper]]</f>
        <v>0</v>
      </c>
      <c r="BP407" t="str">
        <f>RTD("tos.rtd", , "STRIKE", "."&amp;Table13[[#This Row],[Ticker]]&amp;Table13[[#This Row],[Expiry]]&amp;""&amp;"C"&amp;Table13[[#This Row],[Spot]]+Table13[[#This Row],[step]])</f>
        <v>N/A</v>
      </c>
    </row>
    <row r="408" spans="1:69" x14ac:dyDescent="0.25">
      <c r="A408" s="14">
        <f t="shared" ca="1" si="39"/>
        <v>-126.14810350076104</v>
      </c>
      <c r="C408" s="17"/>
      <c r="D408" t="b">
        <f>IF(
    ISNUMBER(Table13[[#This Row],[Strike]]),RTD("tos.rtd", , "OPEN_INT", "."&amp;Table13[[#This Row],[Ticker]]&amp;Table13[[#This Row],[Expiry]]&amp;""&amp;"C"&amp;Table13[[#This Row],[Strike]]))</f>
        <v>0</v>
      </c>
      <c r="E40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8" t="b">
        <f>IF(     ISNUMBER(Table13[[#This Row],[Strike]]),RTD("tos.rtd", , "DELTA", "."&amp;Table13[[#This Row],[Ticker]]&amp;Table13[[#This Row],[Expiry]]&amp;""&amp;"C"&amp;Table13[[#This Row],[Strike]]))</f>
        <v>0</v>
      </c>
      <c r="H408" s="17" t="b" cm="1">
        <f t="array" ref="H408">IF(
    ISNUMBER(Table13[[#This Row],[Strike]]),IndividualLegIVCore($A$4, Table13[[#This Row],[Strike]], 0.0411, Table13[[#This Row],[T]], ((Table13[[#This Row],[BIDC]]+Table13[[#This Row],[ASKC]])/2), TRUE))</f>
        <v>0</v>
      </c>
      <c r="I408" t="b">
        <f>IF(     ISNUMBER(Table13[[#This Row],[Strike]]),RTD("tos.rtd", , "BID", "."&amp;Table13[[#This Row],[Ticker]]&amp;Table13[[#This Row],[Expiry]]&amp;""&amp;"C"&amp;Table13[[#This Row],[Strike]]))</f>
        <v>0</v>
      </c>
      <c r="J408" t="b">
        <f>IF(     ISNUMBER(Table13[[#This Row],[Strike]]),RTD("tos.rtd", , "ASK", "."&amp;Table13[[#This Row],[Ticker]]&amp;Table13[[#This Row],[Expiry]]&amp;""&amp;"C"&amp;Table13[[#This Row],[Strike]]))</f>
        <v>0</v>
      </c>
      <c r="K408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8" s="17" cm="1">
        <f t="array" aca="1" ref="L408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8" s="1">
        <f t="shared" si="40"/>
        <v>0</v>
      </c>
      <c r="N408" t="b">
        <f t="shared" si="41"/>
        <v>0</v>
      </c>
      <c r="P408" s="17" t="b" cm="1">
        <f t="array" ref="P408">IF(
    ISNUMBER(Table13[[#This Row],[Strike]]),IndividualLegIVCore($A$4, Table13[[#This Row],[Strike]], 0.0411, Table13[[#This Row],[T]], ((Table13[[#This Row],[BIDP]]+Table13[[#This Row],[ASKP]])/2), FALSE))</f>
        <v>0</v>
      </c>
      <c r="Q408" t="b">
        <f>IF(     ISNUMBER(Table13[[#This Row],[Strike]]),RTD("tos.rtd", , "BID", "."&amp;Table13[[#This Row],[Ticker]]&amp;Table13[[#This Row],[Expiry]]&amp;""&amp;"P"&amp;Table13[[#This Row],[Strike]]))</f>
        <v>0</v>
      </c>
      <c r="R408" t="b">
        <f>IF(     ISNUMBER(Table13[[#This Row],[Strike]]),RTD("tos.rtd", , "ASK", "."&amp;Table13[[#This Row],[Ticker]]&amp;Table13[[#This Row],[Expiry]]&amp;""&amp;"P"&amp;Table13[[#This Row],[Strike]]))</f>
        <v>0</v>
      </c>
      <c r="S408" s="17"/>
      <c r="T408" t="b">
        <f>IF(     ISNUMBER(Table13[[#This Row],[Strike]]),RTD("tos.rtd", , "OPEN_INT", "."&amp;Table13[[#This Row],[Ticker]]&amp;Table13[[#This Row],[Expiry]]&amp;""&amp;"P"&amp;Table13[[#This Row],[Strike]]))</f>
        <v>0</v>
      </c>
      <c r="U40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8" t="b">
        <f>IF(     ISNUMBER(Table13[[#This Row],[Strike]]),RTD("tos.rtd", , "DELTA", "."&amp;Table13[[#This Row],[Ticker]]&amp;Table13[[#This Row],[Expiry]]&amp;""&amp;"P"&amp;Table13[[#This Row],[Strike]]))</f>
        <v>0</v>
      </c>
      <c r="Y408">
        <f>47.5* IF($M$1="NDX", 10, IF(OR($M$1="SPX", $M$1="RUT"), 2, 1))</f>
        <v>95</v>
      </c>
      <c r="Z408">
        <f ca="1">IFERROR(Table13[[#This Row],[call gamma]]*(Table13[[#This Row],[Open.Int]])*$A$4^2,0)</f>
        <v>0</v>
      </c>
      <c r="AA408">
        <f ca="1">IFERROR(((Table13[[#This Row],[Open.Int8]])*Table13[[#This Row],[Put gamma]])*-1*$A$4^2,0)</f>
        <v>0</v>
      </c>
      <c r="AB408">
        <f ca="1">(Table13[[#This Row],[Call Gex]]+Table13[[#This Row],[Put Gex]])</f>
        <v>0</v>
      </c>
      <c r="AC408">
        <f ca="1">Table13[[#This Row],[put delta adj]]+Table13[[#This Row],[call delta adj]]</f>
        <v>0</v>
      </c>
      <c r="AD408">
        <f ca="1">Table13[[#This Row],[Put Gex]]*Table13[[#This Row],[DeltaP]]*-1</f>
        <v>0</v>
      </c>
      <c r="AE408">
        <f ca="1">Table13[[#This Row],[Call Gex]]*Table13[[#This Row],[DeltaC]]</f>
        <v>0</v>
      </c>
      <c r="AF408">
        <f>IF(Table13[[#This Row],[DeltaC]]-ABS(Table13[[#This Row],[DeltaP]])="0","0.01",Table13[[#This Row],[DeltaC]]-ABS(Table13[[#This Row],[DeltaP]]))</f>
        <v>0</v>
      </c>
      <c r="AG408" t="e">
        <f ca="1">((LN($A$4/Table13[[#This Row],[Strike]]) + (0.411 + 0.5 * Table13[[#This Row],[IV Calc P]]^2) *Table13[[#This Row],[T]])) / (Table13[[#This Row],[IV Calc P]] * SQRT(Table13[[#This Row],[T]]))</f>
        <v>#DIV/0!</v>
      </c>
      <c r="AH408" t="e">
        <f ca="1">(LN($A$4/Table13[[#This Row],[Strike]]) + (0.411-0 + 0.5 * Table13[[#This Row],[IV Calc C]]^2) *Table13[[#This Row],[T]]) / (Table13[[#This Row],[IV Calc C]] * SQRT(Table13[[#This Row],[T]]))</f>
        <v>#DIV/0!</v>
      </c>
      <c r="AI408" t="e">
        <f ca="1">(EXP(-(AG408^2)/2)/SQRT(2*PI())*EXP(0*SQRT(Table13[[#This Row],[T]]))/$A$4*18%*SQRT(SQRT(Table13[[#This Row],[T]])))</f>
        <v>#DIV/0!</v>
      </c>
      <c r="AJ408" t="e">
        <f ca="1">(EXP(-(AH408^2)/2)/SQRT(2*PI())*EXP(0*SQRT(Table13[[#This Row],[T]]))/$A$4*18%*SQRT(SQRT(Table13[[#This Row],[T]])))</f>
        <v>#DIV/0!</v>
      </c>
      <c r="AK408" t="e">
        <f ca="1">Table13[[#This Row],[Call D1]]-Table13[[#This Row],[IV Calc C]]*SQRT(Table13[[#This Row],[T]])</f>
        <v>#DIV/0!</v>
      </c>
      <c r="AL408" t="e">
        <f ca="1">Table13[[#This Row],[Put D1]]-Table13[[#This Row],[IV Calc P]]*SQRT(Table13[[#This Row],[T]])</f>
        <v>#DIV/0!</v>
      </c>
      <c r="AM408" t="e">
        <f ca="1">EXP(-0.5*Table13[[#This Row],[Call D1]]^2)/SQRT(2*PI())</f>
        <v>#DIV/0!</v>
      </c>
      <c r="AN408" t="e">
        <f ca="1">EXP(-0.5*Table13[[#This Row],[Put D1]]^2)/SQRT(2*PI())</f>
        <v>#DIV/0!</v>
      </c>
      <c r="AO408">
        <f ca="1">IFERROR((EXP(0*Table13[[#This Row],[T]])*Table13[[#This Row],[call N(d1)]]*(Table13[[#This Row],[call d2]]/Table13[[#This Row],[IV Calc C]]))*Table13[[#This Row],[Open.Int]]*Table13[[#This Row],[DeltaC]],0)</f>
        <v>0</v>
      </c>
      <c r="AP408">
        <f ca="1">IFERROR((EXP(0*Table13[[#This Row],[T]])*Table13[[#This Row],[put N(d1)]]*(Table13[[#This Row],[put d2]]/Table13[[#This Row],[IV Calc P]]))*Table13[[#This Row],[Open.Int8]]*Table13[[#This Row],[DeltaP]]*-1,0)</f>
        <v>0</v>
      </c>
      <c r="AQ408">
        <f ca="1">((Table13[[#This Row],[call vanna]]+Table13[[#This Row],[put vanna]])*$A$4)</f>
        <v>0</v>
      </c>
      <c r="AR40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8" s="9" t="str" cm="1">
        <f t="array" ref="AT408">_xlfn.IFS(     $M$1="SPX","SPXW",     $M$1="RUT","RUTW",  $M$1="NDX","NDXP",   TRUE,$M$1 )</f>
        <v>SPXW</v>
      </c>
      <c r="AU408" s="2">
        <f t="shared" si="42"/>
        <v>6915</v>
      </c>
      <c r="AV408" t="str">
        <f t="shared" si="43"/>
        <v>000100</v>
      </c>
      <c r="AY40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8">
        <f>((Table13[[#This Row],[High C]]+Table13[[#This Row],[Low C]])/2)*Table13[[#This Row],[gammac]]*Table13[[#This Row],[Volume]]</f>
        <v>0</v>
      </c>
      <c r="BD408">
        <f>((Table13[[#This Row],[High P]]+Table13[[#This Row],[Low P]])/2)*Table13[[#This Row],[gammap]]*Table13[[#This Row],[Volume9]]*-1</f>
        <v>0</v>
      </c>
      <c r="BE408">
        <f>(Table13[[#This Row],[SgammaC]]+Table13[[#This Row],[SgammaP]])*$A$4*-100</f>
        <v>0</v>
      </c>
      <c r="BF408">
        <f>Table13[[#This Row],[DEXc]]+Table13[[#This Row],[DEXp]]</f>
        <v>0</v>
      </c>
      <c r="BG408">
        <f>IFERROR(Table13[[#This Row],[DeltaC]]*Table13[[#This Row],[Open.Int]]*$A$4,0)</f>
        <v>0</v>
      </c>
      <c r="BH408">
        <f>IFERROR(Table13[[#This Row],[DeltaP]]*Table13[[#This Row],[Open.Int8]]*$A$4,0)</f>
        <v>0</v>
      </c>
      <c r="BI40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8">
        <f ca="1">Table13[[#This Row],[charmc]]+Table13[[#This Row],[charmp]]</f>
        <v>0</v>
      </c>
      <c r="BL408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8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8" s="78">
        <f ca="1">Table13[[#This Row],[call helper]]+Table13[[#This Row],[put helper]]</f>
        <v>0</v>
      </c>
      <c r="BP408" t="str">
        <f>RTD("tos.rtd", , "STRIKE", "."&amp;Table13[[#This Row],[Ticker]]&amp;Table13[[#This Row],[Expiry]]&amp;""&amp;"C"&amp;Table13[[#This Row],[Spot]]+Table13[[#This Row],[step]])</f>
        <v>N/A</v>
      </c>
    </row>
    <row r="409" spans="1:69" x14ac:dyDescent="0.25">
      <c r="A409" s="14">
        <f t="shared" ca="1" si="39"/>
        <v>-126.14810350076104</v>
      </c>
      <c r="C409" s="17"/>
      <c r="D409" t="b">
        <f>IF(
    ISNUMBER(Table13[[#This Row],[Strike]]),RTD("tos.rtd", , "OPEN_INT", "."&amp;Table13[[#This Row],[Ticker]]&amp;Table13[[#This Row],[Expiry]]&amp;""&amp;"C"&amp;Table13[[#This Row],[Strike]]))</f>
        <v>0</v>
      </c>
      <c r="E40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9" t="b">
        <f>IF(     ISNUMBER(Table13[[#This Row],[Strike]]),RTD("tos.rtd", , "DELTA", "."&amp;Table13[[#This Row],[Ticker]]&amp;Table13[[#This Row],[Expiry]]&amp;""&amp;"C"&amp;Table13[[#This Row],[Strike]]))</f>
        <v>0</v>
      </c>
      <c r="H409" s="17" t="b" cm="1">
        <f t="array" ref="H409">IF(
    ISNUMBER(Table13[[#This Row],[Strike]]),IndividualLegIVCore($A$4, Table13[[#This Row],[Strike]], 0.0411, Table13[[#This Row],[T]], ((Table13[[#This Row],[BIDC]]+Table13[[#This Row],[ASKC]])/2), TRUE))</f>
        <v>0</v>
      </c>
      <c r="I409" t="b">
        <f>IF(     ISNUMBER(Table13[[#This Row],[Strike]]),RTD("tos.rtd", , "BID", "."&amp;Table13[[#This Row],[Ticker]]&amp;Table13[[#This Row],[Expiry]]&amp;""&amp;"C"&amp;Table13[[#This Row],[Strike]]))</f>
        <v>0</v>
      </c>
      <c r="J409" t="b">
        <f>IF(     ISNUMBER(Table13[[#This Row],[Strike]]),RTD("tos.rtd", , "ASK", "."&amp;Table13[[#This Row],[Ticker]]&amp;Table13[[#This Row],[Expiry]]&amp;""&amp;"C"&amp;Table13[[#This Row],[Strike]]))</f>
        <v>0</v>
      </c>
      <c r="K409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9" s="17" cm="1">
        <f t="array" aca="1" ref="L409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09" s="1">
        <f t="shared" si="40"/>
        <v>0</v>
      </c>
      <c r="N409" t="b">
        <f t="shared" si="41"/>
        <v>0</v>
      </c>
      <c r="P409" s="17" t="b" cm="1">
        <f t="array" ref="P409">IF(
    ISNUMBER(Table13[[#This Row],[Strike]]),IndividualLegIVCore($A$4, Table13[[#This Row],[Strike]], 0.0411, Table13[[#This Row],[T]], ((Table13[[#This Row],[BIDP]]+Table13[[#This Row],[ASKP]])/2), FALSE))</f>
        <v>0</v>
      </c>
      <c r="Q409" t="b">
        <f>IF(     ISNUMBER(Table13[[#This Row],[Strike]]),RTD("tos.rtd", , "BID", "."&amp;Table13[[#This Row],[Ticker]]&amp;Table13[[#This Row],[Expiry]]&amp;""&amp;"P"&amp;Table13[[#This Row],[Strike]]))</f>
        <v>0</v>
      </c>
      <c r="R409" t="b">
        <f>IF(     ISNUMBER(Table13[[#This Row],[Strike]]),RTD("tos.rtd", , "ASK", "."&amp;Table13[[#This Row],[Ticker]]&amp;Table13[[#This Row],[Expiry]]&amp;""&amp;"P"&amp;Table13[[#This Row],[Strike]]))</f>
        <v>0</v>
      </c>
      <c r="S409" s="17"/>
      <c r="T409" t="b">
        <f>IF(     ISNUMBER(Table13[[#This Row],[Strike]]),RTD("tos.rtd", , "OPEN_INT", "."&amp;Table13[[#This Row],[Ticker]]&amp;Table13[[#This Row],[Expiry]]&amp;""&amp;"P"&amp;Table13[[#This Row],[Strike]]))</f>
        <v>0</v>
      </c>
      <c r="U40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9" t="b">
        <f>IF(     ISNUMBER(Table13[[#This Row],[Strike]]),RTD("tos.rtd", , "DELTA", "."&amp;Table13[[#This Row],[Ticker]]&amp;Table13[[#This Row],[Expiry]]&amp;""&amp;"P"&amp;Table13[[#This Row],[Strike]]))</f>
        <v>0</v>
      </c>
      <c r="Y409">
        <f>48* IF($M$1="NDX", 10, IF(OR($M$1="SPX", $M$1="RUT"), 2, 1))</f>
        <v>96</v>
      </c>
      <c r="Z409">
        <f ca="1">IFERROR(Table13[[#This Row],[call gamma]]*(Table13[[#This Row],[Open.Int]])*$A$4^2,0)</f>
        <v>0</v>
      </c>
      <c r="AA409">
        <f ca="1">IFERROR(((Table13[[#This Row],[Open.Int8]])*Table13[[#This Row],[Put gamma]])*-1*$A$4^2,0)</f>
        <v>0</v>
      </c>
      <c r="AB409">
        <f ca="1">(Table13[[#This Row],[Call Gex]]+Table13[[#This Row],[Put Gex]])</f>
        <v>0</v>
      </c>
      <c r="AC409">
        <f ca="1">Table13[[#This Row],[put delta adj]]+Table13[[#This Row],[call delta adj]]</f>
        <v>0</v>
      </c>
      <c r="AD409">
        <f ca="1">Table13[[#This Row],[Put Gex]]*Table13[[#This Row],[DeltaP]]*-1</f>
        <v>0</v>
      </c>
      <c r="AE409">
        <f ca="1">Table13[[#This Row],[Call Gex]]*Table13[[#This Row],[DeltaC]]</f>
        <v>0</v>
      </c>
      <c r="AF409">
        <f>IF(Table13[[#This Row],[DeltaC]]-ABS(Table13[[#This Row],[DeltaP]])="0","0.01",Table13[[#This Row],[DeltaC]]-ABS(Table13[[#This Row],[DeltaP]]))</f>
        <v>0</v>
      </c>
      <c r="AG409" t="e">
        <f ca="1">((LN($A$4/Table13[[#This Row],[Strike]]) + (0.411 + 0.5 * Table13[[#This Row],[IV Calc P]]^2) *Table13[[#This Row],[T]])) / (Table13[[#This Row],[IV Calc P]] * SQRT(Table13[[#This Row],[T]]))</f>
        <v>#DIV/0!</v>
      </c>
      <c r="AH409" t="e">
        <f ca="1">(LN($A$4/Table13[[#This Row],[Strike]]) + (0.411-0 + 0.5 * Table13[[#This Row],[IV Calc C]]^2) *Table13[[#This Row],[T]]) / (Table13[[#This Row],[IV Calc C]] * SQRT(Table13[[#This Row],[T]]))</f>
        <v>#DIV/0!</v>
      </c>
      <c r="AI409" t="e">
        <f ca="1">(EXP(-(AG409^2)/2)/SQRT(2*PI())*EXP(0*SQRT(Table13[[#This Row],[T]]))/$A$4*18%*SQRT(SQRT(Table13[[#This Row],[T]])))</f>
        <v>#DIV/0!</v>
      </c>
      <c r="AJ409" t="e">
        <f ca="1">(EXP(-(AH409^2)/2)/SQRT(2*PI())*EXP(0*SQRT(Table13[[#This Row],[T]]))/$A$4*18%*SQRT(SQRT(Table13[[#This Row],[T]])))</f>
        <v>#DIV/0!</v>
      </c>
      <c r="AK409" t="e">
        <f ca="1">Table13[[#This Row],[Call D1]]-Table13[[#This Row],[IV Calc C]]*SQRT(Table13[[#This Row],[T]])</f>
        <v>#DIV/0!</v>
      </c>
      <c r="AL409" t="e">
        <f ca="1">Table13[[#This Row],[Put D1]]-Table13[[#This Row],[IV Calc P]]*SQRT(Table13[[#This Row],[T]])</f>
        <v>#DIV/0!</v>
      </c>
      <c r="AM409" t="e">
        <f ca="1">EXP(-0.5*Table13[[#This Row],[Call D1]]^2)/SQRT(2*PI())</f>
        <v>#DIV/0!</v>
      </c>
      <c r="AN409" t="e">
        <f ca="1">EXP(-0.5*Table13[[#This Row],[Put D1]]^2)/SQRT(2*PI())</f>
        <v>#DIV/0!</v>
      </c>
      <c r="AO409">
        <f ca="1">IFERROR((EXP(0*Table13[[#This Row],[T]])*Table13[[#This Row],[call N(d1)]]*(Table13[[#This Row],[call d2]]/Table13[[#This Row],[IV Calc C]]))*Table13[[#This Row],[Open.Int]]*Table13[[#This Row],[DeltaC]],0)</f>
        <v>0</v>
      </c>
      <c r="AP409">
        <f ca="1">IFERROR((EXP(0*Table13[[#This Row],[T]])*Table13[[#This Row],[put N(d1)]]*(Table13[[#This Row],[put d2]]/Table13[[#This Row],[IV Calc P]]))*Table13[[#This Row],[Open.Int8]]*Table13[[#This Row],[DeltaP]]*-1,0)</f>
        <v>0</v>
      </c>
      <c r="AQ409">
        <f ca="1">((Table13[[#This Row],[call vanna]]+Table13[[#This Row],[put vanna]])*$A$4)</f>
        <v>0</v>
      </c>
      <c r="AR40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9" s="9" t="str" cm="1">
        <f t="array" ref="AT409">_xlfn.IFS(     $M$1="SPX","SPXW",     $M$1="RUT","RUTW",  $M$1="NDX","NDXP",   TRUE,$M$1 )</f>
        <v>SPXW</v>
      </c>
      <c r="AU409" s="2">
        <f t="shared" si="42"/>
        <v>6915</v>
      </c>
      <c r="AV409" t="str">
        <f t="shared" si="43"/>
        <v>000100</v>
      </c>
      <c r="AY40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9">
        <f>((Table13[[#This Row],[High C]]+Table13[[#This Row],[Low C]])/2)*Table13[[#This Row],[gammac]]*Table13[[#This Row],[Volume]]</f>
        <v>0</v>
      </c>
      <c r="BD409">
        <f>((Table13[[#This Row],[High P]]+Table13[[#This Row],[Low P]])/2)*Table13[[#This Row],[gammap]]*Table13[[#This Row],[Volume9]]*-1</f>
        <v>0</v>
      </c>
      <c r="BE409">
        <f>(Table13[[#This Row],[SgammaC]]+Table13[[#This Row],[SgammaP]])*$A$4*-100</f>
        <v>0</v>
      </c>
      <c r="BF409">
        <f>Table13[[#This Row],[DEXc]]+Table13[[#This Row],[DEXp]]</f>
        <v>0</v>
      </c>
      <c r="BG409">
        <f>IFERROR(Table13[[#This Row],[DeltaC]]*Table13[[#This Row],[Open.Int]]*$A$4,0)</f>
        <v>0</v>
      </c>
      <c r="BH409">
        <f>IFERROR(Table13[[#This Row],[DeltaP]]*Table13[[#This Row],[Open.Int8]]*$A$4,0)</f>
        <v>0</v>
      </c>
      <c r="BI40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9">
        <f ca="1">Table13[[#This Row],[charmc]]+Table13[[#This Row],[charmp]]</f>
        <v>0</v>
      </c>
      <c r="BL409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9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9" s="78">
        <f ca="1">Table13[[#This Row],[call helper]]+Table13[[#This Row],[put helper]]</f>
        <v>0</v>
      </c>
      <c r="BP409" t="str">
        <f>RTD("tos.rtd", , "STRIKE", "."&amp;Table13[[#This Row],[Ticker]]&amp;Table13[[#This Row],[Expiry]]&amp;""&amp;"C"&amp;Table13[[#This Row],[Spot]]+Table13[[#This Row],[step]])</f>
        <v>N/A</v>
      </c>
    </row>
    <row r="410" spans="1:69" x14ac:dyDescent="0.25">
      <c r="A410" s="14">
        <f t="shared" ca="1" si="39"/>
        <v>-126.14810350076104</v>
      </c>
      <c r="C410" s="17"/>
      <c r="D410" t="b">
        <f>IF(
    ISNUMBER(Table13[[#This Row],[Strike]]),RTD("tos.rtd", , "OPEN_INT", "."&amp;Table13[[#This Row],[Ticker]]&amp;Table13[[#This Row],[Expiry]]&amp;""&amp;"C"&amp;Table13[[#This Row],[Strike]]))</f>
        <v>0</v>
      </c>
      <c r="E41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0" t="b">
        <f>IF(     ISNUMBER(Table13[[#This Row],[Strike]]),RTD("tos.rtd", , "DELTA", "."&amp;Table13[[#This Row],[Ticker]]&amp;Table13[[#This Row],[Expiry]]&amp;""&amp;"C"&amp;Table13[[#This Row],[Strike]]))</f>
        <v>0</v>
      </c>
      <c r="H410" s="17" t="b" cm="1">
        <f t="array" ref="H410">IF(
    ISNUMBER(Table13[[#This Row],[Strike]]),IndividualLegIVCore($A$4, Table13[[#This Row],[Strike]], 0.0411, Table13[[#This Row],[T]], ((Table13[[#This Row],[BIDC]]+Table13[[#This Row],[ASKC]])/2), TRUE))</f>
        <v>0</v>
      </c>
      <c r="I410" t="b">
        <f>IF(     ISNUMBER(Table13[[#This Row],[Strike]]),RTD("tos.rtd", , "BID", "."&amp;Table13[[#This Row],[Ticker]]&amp;Table13[[#This Row],[Expiry]]&amp;""&amp;"C"&amp;Table13[[#This Row],[Strike]]))</f>
        <v>0</v>
      </c>
      <c r="J410" t="b">
        <f>IF(     ISNUMBER(Table13[[#This Row],[Strike]]),RTD("tos.rtd", , "ASK", "."&amp;Table13[[#This Row],[Ticker]]&amp;Table13[[#This Row],[Expiry]]&amp;""&amp;"C"&amp;Table13[[#This Row],[Strike]]))</f>
        <v>0</v>
      </c>
      <c r="K410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0" s="17" cm="1">
        <f t="array" aca="1" ref="L410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10" s="1">
        <f t="shared" si="40"/>
        <v>0</v>
      </c>
      <c r="N410" t="b">
        <f t="shared" si="41"/>
        <v>0</v>
      </c>
      <c r="P410" s="17" t="b" cm="1">
        <f t="array" ref="P410">IF(
    ISNUMBER(Table13[[#This Row],[Strike]]),IndividualLegIVCore($A$4, Table13[[#This Row],[Strike]], 0.0411, Table13[[#This Row],[T]], ((Table13[[#This Row],[BIDP]]+Table13[[#This Row],[ASKP]])/2), FALSE))</f>
        <v>0</v>
      </c>
      <c r="Q410" t="b">
        <f>IF(     ISNUMBER(Table13[[#This Row],[Strike]]),RTD("tos.rtd", , "BID", "."&amp;Table13[[#This Row],[Ticker]]&amp;Table13[[#This Row],[Expiry]]&amp;""&amp;"P"&amp;Table13[[#This Row],[Strike]]))</f>
        <v>0</v>
      </c>
      <c r="R410" t="b">
        <f>IF(     ISNUMBER(Table13[[#This Row],[Strike]]),RTD("tos.rtd", , "ASK", "."&amp;Table13[[#This Row],[Ticker]]&amp;Table13[[#This Row],[Expiry]]&amp;""&amp;"P"&amp;Table13[[#This Row],[Strike]]))</f>
        <v>0</v>
      </c>
      <c r="S410" s="17"/>
      <c r="T410" t="b">
        <f>IF(     ISNUMBER(Table13[[#This Row],[Strike]]),RTD("tos.rtd", , "OPEN_INT", "."&amp;Table13[[#This Row],[Ticker]]&amp;Table13[[#This Row],[Expiry]]&amp;""&amp;"P"&amp;Table13[[#This Row],[Strike]]))</f>
        <v>0</v>
      </c>
      <c r="U41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0" t="b">
        <f>IF(     ISNUMBER(Table13[[#This Row],[Strike]]),RTD("tos.rtd", , "DELTA", "."&amp;Table13[[#This Row],[Ticker]]&amp;Table13[[#This Row],[Expiry]]&amp;""&amp;"P"&amp;Table13[[#This Row],[Strike]]))</f>
        <v>0</v>
      </c>
      <c r="Y410">
        <f>48.5* IF($M$1="NDX", 10, IF(OR($M$1="SPX", $M$1="RUT"), 2, 1))</f>
        <v>97</v>
      </c>
      <c r="Z410">
        <f ca="1">IFERROR(Table13[[#This Row],[call gamma]]*(Table13[[#This Row],[Open.Int]])*$A$4^2,0)</f>
        <v>0</v>
      </c>
      <c r="AA410">
        <f ca="1">IFERROR(((Table13[[#This Row],[Open.Int8]])*Table13[[#This Row],[Put gamma]])*-1*$A$4^2,0)</f>
        <v>0</v>
      </c>
      <c r="AB410">
        <f ca="1">(Table13[[#This Row],[Call Gex]]+Table13[[#This Row],[Put Gex]])</f>
        <v>0</v>
      </c>
      <c r="AC410">
        <f ca="1">Table13[[#This Row],[put delta adj]]+Table13[[#This Row],[call delta adj]]</f>
        <v>0</v>
      </c>
      <c r="AD410">
        <f ca="1">Table13[[#This Row],[Put Gex]]*Table13[[#This Row],[DeltaP]]*-1</f>
        <v>0</v>
      </c>
      <c r="AE410">
        <f ca="1">Table13[[#This Row],[Call Gex]]*Table13[[#This Row],[DeltaC]]</f>
        <v>0</v>
      </c>
      <c r="AF410">
        <f>IF(Table13[[#This Row],[DeltaC]]-ABS(Table13[[#This Row],[DeltaP]])="0","0.01",Table13[[#This Row],[DeltaC]]-ABS(Table13[[#This Row],[DeltaP]]))</f>
        <v>0</v>
      </c>
      <c r="AG410" t="e">
        <f ca="1">((LN($A$4/Table13[[#This Row],[Strike]]) + (0.411 + 0.5 * Table13[[#This Row],[IV Calc P]]^2) *Table13[[#This Row],[T]])) / (Table13[[#This Row],[IV Calc P]] * SQRT(Table13[[#This Row],[T]]))</f>
        <v>#DIV/0!</v>
      </c>
      <c r="AH410" t="e">
        <f ca="1">(LN($A$4/Table13[[#This Row],[Strike]]) + (0.411-0 + 0.5 * Table13[[#This Row],[IV Calc C]]^2) *Table13[[#This Row],[T]]) / (Table13[[#This Row],[IV Calc C]] * SQRT(Table13[[#This Row],[T]]))</f>
        <v>#DIV/0!</v>
      </c>
      <c r="AI410" t="e">
        <f ca="1">(EXP(-(AG410^2)/2)/SQRT(2*PI())*EXP(0*SQRT(Table13[[#This Row],[T]]))/$A$4*18%*SQRT(SQRT(Table13[[#This Row],[T]])))</f>
        <v>#DIV/0!</v>
      </c>
      <c r="AJ410" t="e">
        <f ca="1">(EXP(-(AH410^2)/2)/SQRT(2*PI())*EXP(0*SQRT(Table13[[#This Row],[T]]))/$A$4*18%*SQRT(SQRT(Table13[[#This Row],[T]])))</f>
        <v>#DIV/0!</v>
      </c>
      <c r="AK410" t="e">
        <f ca="1">Table13[[#This Row],[Call D1]]-Table13[[#This Row],[IV Calc C]]*SQRT(Table13[[#This Row],[T]])</f>
        <v>#DIV/0!</v>
      </c>
      <c r="AL410" t="e">
        <f ca="1">Table13[[#This Row],[Put D1]]-Table13[[#This Row],[IV Calc P]]*SQRT(Table13[[#This Row],[T]])</f>
        <v>#DIV/0!</v>
      </c>
      <c r="AM410" t="e">
        <f ca="1">EXP(-0.5*Table13[[#This Row],[Call D1]]^2)/SQRT(2*PI())</f>
        <v>#DIV/0!</v>
      </c>
      <c r="AN410" t="e">
        <f ca="1">EXP(-0.5*Table13[[#This Row],[Put D1]]^2)/SQRT(2*PI())</f>
        <v>#DIV/0!</v>
      </c>
      <c r="AO410">
        <f ca="1">IFERROR((EXP(0*Table13[[#This Row],[T]])*Table13[[#This Row],[call N(d1)]]*(Table13[[#This Row],[call d2]]/Table13[[#This Row],[IV Calc C]]))*Table13[[#This Row],[Open.Int]]*Table13[[#This Row],[DeltaC]],0)</f>
        <v>0</v>
      </c>
      <c r="AP410">
        <f ca="1">IFERROR((EXP(0*Table13[[#This Row],[T]])*Table13[[#This Row],[put N(d1)]]*(Table13[[#This Row],[put d2]]/Table13[[#This Row],[IV Calc P]]))*Table13[[#This Row],[Open.Int8]]*Table13[[#This Row],[DeltaP]]*-1,0)</f>
        <v>0</v>
      </c>
      <c r="AQ410">
        <f ca="1">((Table13[[#This Row],[call vanna]]+Table13[[#This Row],[put vanna]])*$A$4)</f>
        <v>0</v>
      </c>
      <c r="AR41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0" s="9" t="str" cm="1">
        <f t="array" ref="AT410">_xlfn.IFS(     $M$1="SPX","SPXW",     $M$1="RUT","RUTW",  $M$1="NDX","NDXP",   TRUE,$M$1 )</f>
        <v>SPXW</v>
      </c>
      <c r="AU410" s="2">
        <f t="shared" si="42"/>
        <v>6915</v>
      </c>
      <c r="AV410" t="str">
        <f t="shared" si="43"/>
        <v>000100</v>
      </c>
      <c r="AY41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0">
        <f>((Table13[[#This Row],[High C]]+Table13[[#This Row],[Low C]])/2)*Table13[[#This Row],[gammac]]*Table13[[#This Row],[Volume]]</f>
        <v>0</v>
      </c>
      <c r="BD410">
        <f>((Table13[[#This Row],[High P]]+Table13[[#This Row],[Low P]])/2)*Table13[[#This Row],[gammap]]*Table13[[#This Row],[Volume9]]*-1</f>
        <v>0</v>
      </c>
      <c r="BE410">
        <f>(Table13[[#This Row],[SgammaC]]+Table13[[#This Row],[SgammaP]])*$A$4*-100</f>
        <v>0</v>
      </c>
      <c r="BF410">
        <f>Table13[[#This Row],[DEXc]]+Table13[[#This Row],[DEXp]]</f>
        <v>0</v>
      </c>
      <c r="BG410">
        <f>IFERROR(Table13[[#This Row],[DeltaC]]*Table13[[#This Row],[Open.Int]]*$A$4,0)</f>
        <v>0</v>
      </c>
      <c r="BH410">
        <f>IFERROR(Table13[[#This Row],[DeltaP]]*Table13[[#This Row],[Open.Int8]]*$A$4,0)</f>
        <v>0</v>
      </c>
      <c r="BI41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0">
        <f ca="1">Table13[[#This Row],[charmc]]+Table13[[#This Row],[charmp]]</f>
        <v>0</v>
      </c>
      <c r="BL410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0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0" s="78">
        <f ca="1">Table13[[#This Row],[call helper]]+Table13[[#This Row],[put helper]]</f>
        <v>0</v>
      </c>
      <c r="BP410" t="str">
        <f>RTD("tos.rtd", , "STRIKE", "."&amp;Table13[[#This Row],[Ticker]]&amp;Table13[[#This Row],[Expiry]]&amp;""&amp;"C"&amp;Table13[[#This Row],[Spot]]+Table13[[#This Row],[step]])</f>
        <v>N/A</v>
      </c>
    </row>
    <row r="411" spans="1:69" x14ac:dyDescent="0.25">
      <c r="A411" s="14">
        <f t="shared" ca="1" si="39"/>
        <v>-126.14810350076104</v>
      </c>
      <c r="C411" s="17"/>
      <c r="D411" t="b">
        <f>IF(
    ISNUMBER(Table13[[#This Row],[Strike]]),RTD("tos.rtd", , "OPEN_INT", "."&amp;Table13[[#This Row],[Ticker]]&amp;Table13[[#This Row],[Expiry]]&amp;""&amp;"C"&amp;Table13[[#This Row],[Strike]]))</f>
        <v>0</v>
      </c>
      <c r="E41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1" t="b">
        <f>IF(     ISNUMBER(Table13[[#This Row],[Strike]]),RTD("tos.rtd", , "DELTA", "."&amp;Table13[[#This Row],[Ticker]]&amp;Table13[[#This Row],[Expiry]]&amp;""&amp;"C"&amp;Table13[[#This Row],[Strike]]))</f>
        <v>0</v>
      </c>
      <c r="H411" s="17" t="b" cm="1">
        <f t="array" ref="H411">IF(
    ISNUMBER(Table13[[#This Row],[Strike]]),IndividualLegIVCore($A$4, Table13[[#This Row],[Strike]], 0.0411, Table13[[#This Row],[T]], ((Table13[[#This Row],[BIDC]]+Table13[[#This Row],[ASKC]])/2), TRUE))</f>
        <v>0</v>
      </c>
      <c r="I411" t="b">
        <f>IF(     ISNUMBER(Table13[[#This Row],[Strike]]),RTD("tos.rtd", , "BID", "."&amp;Table13[[#This Row],[Ticker]]&amp;Table13[[#This Row],[Expiry]]&amp;""&amp;"C"&amp;Table13[[#This Row],[Strike]]))</f>
        <v>0</v>
      </c>
      <c r="J411" t="b">
        <f>IF(     ISNUMBER(Table13[[#This Row],[Strike]]),RTD("tos.rtd", , "ASK", "."&amp;Table13[[#This Row],[Ticker]]&amp;Table13[[#This Row],[Expiry]]&amp;""&amp;"C"&amp;Table13[[#This Row],[Strike]]))</f>
        <v>0</v>
      </c>
      <c r="K411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1" s="17" cm="1">
        <f t="array" aca="1" ref="L411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11" s="1">
        <f t="shared" si="40"/>
        <v>0</v>
      </c>
      <c r="N411" t="b">
        <f t="shared" si="41"/>
        <v>0</v>
      </c>
      <c r="P411" s="17" t="b" cm="1">
        <f t="array" ref="P411">IF(
    ISNUMBER(Table13[[#This Row],[Strike]]),IndividualLegIVCore($A$4, Table13[[#This Row],[Strike]], 0.0411, Table13[[#This Row],[T]], ((Table13[[#This Row],[BIDP]]+Table13[[#This Row],[ASKP]])/2), FALSE))</f>
        <v>0</v>
      </c>
      <c r="Q411" t="b">
        <f>IF(     ISNUMBER(Table13[[#This Row],[Strike]]),RTD("tos.rtd", , "BID", "."&amp;Table13[[#This Row],[Ticker]]&amp;Table13[[#This Row],[Expiry]]&amp;""&amp;"P"&amp;Table13[[#This Row],[Strike]]))</f>
        <v>0</v>
      </c>
      <c r="R411" t="b">
        <f>IF(     ISNUMBER(Table13[[#This Row],[Strike]]),RTD("tos.rtd", , "ASK", "."&amp;Table13[[#This Row],[Ticker]]&amp;Table13[[#This Row],[Expiry]]&amp;""&amp;"P"&amp;Table13[[#This Row],[Strike]]))</f>
        <v>0</v>
      </c>
      <c r="S411" s="17"/>
      <c r="T411" t="b">
        <f>IF(     ISNUMBER(Table13[[#This Row],[Strike]]),RTD("tos.rtd", , "OPEN_INT", "."&amp;Table13[[#This Row],[Ticker]]&amp;Table13[[#This Row],[Expiry]]&amp;""&amp;"P"&amp;Table13[[#This Row],[Strike]]))</f>
        <v>0</v>
      </c>
      <c r="U41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1" t="b">
        <f>IF(     ISNUMBER(Table13[[#This Row],[Strike]]),RTD("tos.rtd", , "DELTA", "."&amp;Table13[[#This Row],[Ticker]]&amp;Table13[[#This Row],[Expiry]]&amp;""&amp;"P"&amp;Table13[[#This Row],[Strike]]))</f>
        <v>0</v>
      </c>
      <c r="Y411">
        <f>49* IF($M$1="NDX", 10, IF(OR($M$1="SPX", $M$1="RUT"), 2, 1))</f>
        <v>98</v>
      </c>
      <c r="Z411">
        <f ca="1">IFERROR(Table13[[#This Row],[call gamma]]*(Table13[[#This Row],[Open.Int]])*$A$4^2,0)</f>
        <v>0</v>
      </c>
      <c r="AA411">
        <f ca="1">IFERROR(((Table13[[#This Row],[Open.Int8]])*Table13[[#This Row],[Put gamma]])*-1*$A$4^2,0)</f>
        <v>0</v>
      </c>
      <c r="AB411">
        <f ca="1">(Table13[[#This Row],[Call Gex]]+Table13[[#This Row],[Put Gex]])</f>
        <v>0</v>
      </c>
      <c r="AC411">
        <f ca="1">Table13[[#This Row],[put delta adj]]+Table13[[#This Row],[call delta adj]]</f>
        <v>0</v>
      </c>
      <c r="AD411">
        <f ca="1">Table13[[#This Row],[Put Gex]]*Table13[[#This Row],[DeltaP]]*-1</f>
        <v>0</v>
      </c>
      <c r="AE411">
        <f ca="1">Table13[[#This Row],[Call Gex]]*Table13[[#This Row],[DeltaC]]</f>
        <v>0</v>
      </c>
      <c r="AF411">
        <f>IF(Table13[[#This Row],[DeltaC]]-ABS(Table13[[#This Row],[DeltaP]])="0","0.01",Table13[[#This Row],[DeltaC]]-ABS(Table13[[#This Row],[DeltaP]]))</f>
        <v>0</v>
      </c>
      <c r="AG411" t="e">
        <f ca="1">((LN($A$4/Table13[[#This Row],[Strike]]) + (0.411 + 0.5 * Table13[[#This Row],[IV Calc P]]^2) *Table13[[#This Row],[T]])) / (Table13[[#This Row],[IV Calc P]] * SQRT(Table13[[#This Row],[T]]))</f>
        <v>#DIV/0!</v>
      </c>
      <c r="AH411" t="e">
        <f ca="1">(LN($A$4/Table13[[#This Row],[Strike]]) + (0.411-0 + 0.5 * Table13[[#This Row],[IV Calc C]]^2) *Table13[[#This Row],[T]]) / (Table13[[#This Row],[IV Calc C]] * SQRT(Table13[[#This Row],[T]]))</f>
        <v>#DIV/0!</v>
      </c>
      <c r="AI411" t="e">
        <f ca="1">(EXP(-(AG411^2)/2)/SQRT(2*PI())*EXP(0*SQRT(Table13[[#This Row],[T]]))/$A$4*18%*SQRT(SQRT(Table13[[#This Row],[T]])))</f>
        <v>#DIV/0!</v>
      </c>
      <c r="AJ411" t="e">
        <f ca="1">(EXP(-(AH411^2)/2)/SQRT(2*PI())*EXP(0*SQRT(Table13[[#This Row],[T]]))/$A$4*18%*SQRT(SQRT(Table13[[#This Row],[T]])))</f>
        <v>#DIV/0!</v>
      </c>
      <c r="AK411" t="e">
        <f ca="1">Table13[[#This Row],[Call D1]]-Table13[[#This Row],[IV Calc C]]*SQRT(Table13[[#This Row],[T]])</f>
        <v>#DIV/0!</v>
      </c>
      <c r="AL411" t="e">
        <f ca="1">Table13[[#This Row],[Put D1]]-Table13[[#This Row],[IV Calc P]]*SQRT(Table13[[#This Row],[T]])</f>
        <v>#DIV/0!</v>
      </c>
      <c r="AM411" t="e">
        <f ca="1">EXP(-0.5*Table13[[#This Row],[Call D1]]^2)/SQRT(2*PI())</f>
        <v>#DIV/0!</v>
      </c>
      <c r="AN411" t="e">
        <f ca="1">EXP(-0.5*Table13[[#This Row],[Put D1]]^2)/SQRT(2*PI())</f>
        <v>#DIV/0!</v>
      </c>
      <c r="AO411">
        <f ca="1">IFERROR((EXP(0*Table13[[#This Row],[T]])*Table13[[#This Row],[call N(d1)]]*(Table13[[#This Row],[call d2]]/Table13[[#This Row],[IV Calc C]]))*Table13[[#This Row],[Open.Int]]*Table13[[#This Row],[DeltaC]],0)</f>
        <v>0</v>
      </c>
      <c r="AP411">
        <f ca="1">IFERROR((EXP(0*Table13[[#This Row],[T]])*Table13[[#This Row],[put N(d1)]]*(Table13[[#This Row],[put d2]]/Table13[[#This Row],[IV Calc P]]))*Table13[[#This Row],[Open.Int8]]*Table13[[#This Row],[DeltaP]]*-1,0)</f>
        <v>0</v>
      </c>
      <c r="AQ411">
        <f ca="1">((Table13[[#This Row],[call vanna]]+Table13[[#This Row],[put vanna]])*$A$4)</f>
        <v>0</v>
      </c>
      <c r="AR41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1" s="9" t="str" cm="1">
        <f t="array" ref="AT411">_xlfn.IFS(     $M$1="SPX","SPXW",     $M$1="RUT","RUTW",  $M$1="NDX","NDXP",   TRUE,$M$1 )</f>
        <v>SPXW</v>
      </c>
      <c r="AU411" s="2">
        <f t="shared" si="42"/>
        <v>6915</v>
      </c>
      <c r="AV411" t="str">
        <f t="shared" si="43"/>
        <v>000100</v>
      </c>
      <c r="AY41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1">
        <f>((Table13[[#This Row],[High C]]+Table13[[#This Row],[Low C]])/2)*Table13[[#This Row],[gammac]]*Table13[[#This Row],[Volume]]</f>
        <v>0</v>
      </c>
      <c r="BD411">
        <f>((Table13[[#This Row],[High P]]+Table13[[#This Row],[Low P]])/2)*Table13[[#This Row],[gammap]]*Table13[[#This Row],[Volume9]]*-1</f>
        <v>0</v>
      </c>
      <c r="BE411">
        <f>(Table13[[#This Row],[SgammaC]]+Table13[[#This Row],[SgammaP]])*$A$4*-100</f>
        <v>0</v>
      </c>
      <c r="BF411">
        <f>Table13[[#This Row],[DEXc]]+Table13[[#This Row],[DEXp]]</f>
        <v>0</v>
      </c>
      <c r="BG411">
        <f>IFERROR(Table13[[#This Row],[DeltaC]]*Table13[[#This Row],[Open.Int]]*$A$4,0)</f>
        <v>0</v>
      </c>
      <c r="BH411">
        <f>IFERROR(Table13[[#This Row],[DeltaP]]*Table13[[#This Row],[Open.Int8]]*$A$4,0)</f>
        <v>0</v>
      </c>
      <c r="BI41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1">
        <f ca="1">Table13[[#This Row],[charmc]]+Table13[[#This Row],[charmp]]</f>
        <v>0</v>
      </c>
      <c r="BL411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1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1" s="78">
        <f ca="1">Table13[[#This Row],[call helper]]+Table13[[#This Row],[put helper]]</f>
        <v>0</v>
      </c>
      <c r="BP411" t="str">
        <f>RTD("tos.rtd", , "STRIKE", "."&amp;Table13[[#This Row],[Ticker]]&amp;Table13[[#This Row],[Expiry]]&amp;""&amp;"C"&amp;Table13[[#This Row],[Spot]]+Table13[[#This Row],[step]])</f>
        <v>N/A</v>
      </c>
    </row>
    <row r="412" spans="1:69" x14ac:dyDescent="0.25">
      <c r="A412" s="14">
        <f t="shared" ca="1" si="39"/>
        <v>-126.14810350076104</v>
      </c>
      <c r="C412" s="17"/>
      <c r="D412" t="b">
        <f>IF(
    ISNUMBER(Table13[[#This Row],[Strike]]),RTD("tos.rtd", , "OPEN_INT", "."&amp;Table13[[#This Row],[Ticker]]&amp;Table13[[#This Row],[Expiry]]&amp;""&amp;"C"&amp;Table13[[#This Row],[Strike]]))</f>
        <v>0</v>
      </c>
      <c r="E41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2" t="b">
        <f>IF(     ISNUMBER(Table13[[#This Row],[Strike]]),RTD("tos.rtd", , "DELTA", "."&amp;Table13[[#This Row],[Ticker]]&amp;Table13[[#This Row],[Expiry]]&amp;""&amp;"C"&amp;Table13[[#This Row],[Strike]]))</f>
        <v>0</v>
      </c>
      <c r="H412" s="17" t="b" cm="1">
        <f t="array" ref="H412">IF(
    ISNUMBER(Table13[[#This Row],[Strike]]),IndividualLegIVCore($A$4, Table13[[#This Row],[Strike]], 0.0411, Table13[[#This Row],[T]], ((Table13[[#This Row],[BIDC]]+Table13[[#This Row],[ASKC]])/2), TRUE))</f>
        <v>0</v>
      </c>
      <c r="I412" t="b">
        <f>IF(     ISNUMBER(Table13[[#This Row],[Strike]]),RTD("tos.rtd", , "BID", "."&amp;Table13[[#This Row],[Ticker]]&amp;Table13[[#This Row],[Expiry]]&amp;""&amp;"C"&amp;Table13[[#This Row],[Strike]]))</f>
        <v>0</v>
      </c>
      <c r="J412" t="b">
        <f>IF(     ISNUMBER(Table13[[#This Row],[Strike]]),RTD("tos.rtd", , "ASK", "."&amp;Table13[[#This Row],[Ticker]]&amp;Table13[[#This Row],[Expiry]]&amp;""&amp;"C"&amp;Table13[[#This Row],[Strike]]))</f>
        <v>0</v>
      </c>
      <c r="K412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2" s="17" cm="1">
        <f t="array" aca="1" ref="L412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12" s="1">
        <f t="shared" si="40"/>
        <v>0</v>
      </c>
      <c r="N412" t="b">
        <f t="shared" si="41"/>
        <v>0</v>
      </c>
      <c r="P412" s="17" t="b" cm="1">
        <f t="array" ref="P412">IF(
    ISNUMBER(Table13[[#This Row],[Strike]]),IndividualLegIVCore($A$4, Table13[[#This Row],[Strike]], 0.0411, Table13[[#This Row],[T]], ((Table13[[#This Row],[BIDP]]+Table13[[#This Row],[ASKP]])/2), FALSE))</f>
        <v>0</v>
      </c>
      <c r="Q412" t="b">
        <f>IF(     ISNUMBER(Table13[[#This Row],[Strike]]),RTD("tos.rtd", , "BID", "."&amp;Table13[[#This Row],[Ticker]]&amp;Table13[[#This Row],[Expiry]]&amp;""&amp;"P"&amp;Table13[[#This Row],[Strike]]))</f>
        <v>0</v>
      </c>
      <c r="R412" t="b">
        <f>IF(     ISNUMBER(Table13[[#This Row],[Strike]]),RTD("tos.rtd", , "ASK", "."&amp;Table13[[#This Row],[Ticker]]&amp;Table13[[#This Row],[Expiry]]&amp;""&amp;"P"&amp;Table13[[#This Row],[Strike]]))</f>
        <v>0</v>
      </c>
      <c r="S412" s="17"/>
      <c r="T412" t="b">
        <f>IF(     ISNUMBER(Table13[[#This Row],[Strike]]),RTD("tos.rtd", , "OPEN_INT", "."&amp;Table13[[#This Row],[Ticker]]&amp;Table13[[#This Row],[Expiry]]&amp;""&amp;"P"&amp;Table13[[#This Row],[Strike]]))</f>
        <v>0</v>
      </c>
      <c r="U41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2" t="b">
        <f>IF(     ISNUMBER(Table13[[#This Row],[Strike]]),RTD("tos.rtd", , "DELTA", "."&amp;Table13[[#This Row],[Ticker]]&amp;Table13[[#This Row],[Expiry]]&amp;""&amp;"P"&amp;Table13[[#This Row],[Strike]]))</f>
        <v>0</v>
      </c>
      <c r="Y412">
        <f>49.5* IF($M$1="NDX", 10, IF(OR($M$1="SPX", $M$1="RUT"), 2, 1))</f>
        <v>99</v>
      </c>
      <c r="Z412">
        <f ca="1">IFERROR(Table13[[#This Row],[call gamma]]*(Table13[[#This Row],[Open.Int]])*$A$4^2,0)</f>
        <v>0</v>
      </c>
      <c r="AA412">
        <f ca="1">IFERROR(((Table13[[#This Row],[Open.Int8]])*Table13[[#This Row],[Put gamma]])*-1*$A$4^2,0)</f>
        <v>0</v>
      </c>
      <c r="AB412">
        <f ca="1">(Table13[[#This Row],[Call Gex]]+Table13[[#This Row],[Put Gex]])</f>
        <v>0</v>
      </c>
      <c r="AC412">
        <f ca="1">Table13[[#This Row],[put delta adj]]+Table13[[#This Row],[call delta adj]]</f>
        <v>0</v>
      </c>
      <c r="AD412">
        <f ca="1">Table13[[#This Row],[Put Gex]]*Table13[[#This Row],[DeltaP]]*-1</f>
        <v>0</v>
      </c>
      <c r="AE412">
        <f ca="1">Table13[[#This Row],[Call Gex]]*Table13[[#This Row],[DeltaC]]</f>
        <v>0</v>
      </c>
      <c r="AF412">
        <f>IF(Table13[[#This Row],[DeltaC]]-ABS(Table13[[#This Row],[DeltaP]])="0","0.01",Table13[[#This Row],[DeltaC]]-ABS(Table13[[#This Row],[DeltaP]]))</f>
        <v>0</v>
      </c>
      <c r="AG412" t="e">
        <f ca="1">((LN($A$4/Table13[[#This Row],[Strike]]) + (0.411 + 0.5 * Table13[[#This Row],[IV Calc P]]^2) *Table13[[#This Row],[T]])) / (Table13[[#This Row],[IV Calc P]] * SQRT(Table13[[#This Row],[T]]))</f>
        <v>#DIV/0!</v>
      </c>
      <c r="AH412" t="e">
        <f ca="1">(LN($A$4/Table13[[#This Row],[Strike]]) + (0.411-0 + 0.5 * Table13[[#This Row],[IV Calc C]]^2) *Table13[[#This Row],[T]]) / (Table13[[#This Row],[IV Calc C]] * SQRT(Table13[[#This Row],[T]]))</f>
        <v>#DIV/0!</v>
      </c>
      <c r="AI412" t="e">
        <f ca="1">(EXP(-(AG412^2)/2)/SQRT(2*PI())*EXP(0*SQRT(Table13[[#This Row],[T]]))/$A$4*18%*SQRT(SQRT(Table13[[#This Row],[T]])))</f>
        <v>#DIV/0!</v>
      </c>
      <c r="AJ412" t="e">
        <f ca="1">(EXP(-(AH412^2)/2)/SQRT(2*PI())*EXP(0*SQRT(Table13[[#This Row],[T]]))/$A$4*18%*SQRT(SQRT(Table13[[#This Row],[T]])))</f>
        <v>#DIV/0!</v>
      </c>
      <c r="AK412" t="e">
        <f ca="1">Table13[[#This Row],[Call D1]]-Table13[[#This Row],[IV Calc C]]*SQRT(Table13[[#This Row],[T]])</f>
        <v>#DIV/0!</v>
      </c>
      <c r="AL412" t="e">
        <f ca="1">Table13[[#This Row],[Put D1]]-Table13[[#This Row],[IV Calc P]]*SQRT(Table13[[#This Row],[T]])</f>
        <v>#DIV/0!</v>
      </c>
      <c r="AM412" t="e">
        <f ca="1">EXP(-0.5*Table13[[#This Row],[Call D1]]^2)/SQRT(2*PI())</f>
        <v>#DIV/0!</v>
      </c>
      <c r="AN412" t="e">
        <f ca="1">EXP(-0.5*Table13[[#This Row],[Put D1]]^2)/SQRT(2*PI())</f>
        <v>#DIV/0!</v>
      </c>
      <c r="AO412">
        <f ca="1">IFERROR((EXP(0*Table13[[#This Row],[T]])*Table13[[#This Row],[call N(d1)]]*(Table13[[#This Row],[call d2]]/Table13[[#This Row],[IV Calc C]]))*Table13[[#This Row],[Open.Int]]*Table13[[#This Row],[DeltaC]],0)</f>
        <v>0</v>
      </c>
      <c r="AP412">
        <f ca="1">IFERROR((EXP(0*Table13[[#This Row],[T]])*Table13[[#This Row],[put N(d1)]]*(Table13[[#This Row],[put d2]]/Table13[[#This Row],[IV Calc P]]))*Table13[[#This Row],[Open.Int8]]*Table13[[#This Row],[DeltaP]]*-1,0)</f>
        <v>0</v>
      </c>
      <c r="AQ412">
        <f ca="1">((Table13[[#This Row],[call vanna]]+Table13[[#This Row],[put vanna]])*$A$4)</f>
        <v>0</v>
      </c>
      <c r="AR41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2" s="9" t="str" cm="1">
        <f t="array" ref="AT412">_xlfn.IFS(     $M$1="SPX","SPXW",     $M$1="RUT","RUTW",  $M$1="NDX","NDXP",   TRUE,$M$1 )</f>
        <v>SPXW</v>
      </c>
      <c r="AU412" s="2">
        <f t="shared" si="42"/>
        <v>6915</v>
      </c>
      <c r="AV412" t="str">
        <f t="shared" si="43"/>
        <v>000100</v>
      </c>
      <c r="AY41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2">
        <f>((Table13[[#This Row],[High C]]+Table13[[#This Row],[Low C]])/2)*Table13[[#This Row],[gammac]]*Table13[[#This Row],[Volume]]</f>
        <v>0</v>
      </c>
      <c r="BD412">
        <f>((Table13[[#This Row],[High P]]+Table13[[#This Row],[Low P]])/2)*Table13[[#This Row],[gammap]]*Table13[[#This Row],[Volume9]]*-1</f>
        <v>0</v>
      </c>
      <c r="BE412">
        <f>(Table13[[#This Row],[SgammaC]]+Table13[[#This Row],[SgammaP]])*$A$4*-100</f>
        <v>0</v>
      </c>
      <c r="BF412">
        <f>Table13[[#This Row],[DEXc]]+Table13[[#This Row],[DEXp]]</f>
        <v>0</v>
      </c>
      <c r="BG412">
        <f>IFERROR(Table13[[#This Row],[DeltaC]]*Table13[[#This Row],[Open.Int]]*$A$4,0)</f>
        <v>0</v>
      </c>
      <c r="BH412">
        <f>IFERROR(Table13[[#This Row],[DeltaP]]*Table13[[#This Row],[Open.Int8]]*$A$4,0)</f>
        <v>0</v>
      </c>
      <c r="BI41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2">
        <f ca="1">Table13[[#This Row],[charmc]]+Table13[[#This Row],[charmp]]</f>
        <v>0</v>
      </c>
      <c r="BL412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2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2" s="78">
        <f ca="1">Table13[[#This Row],[call helper]]+Table13[[#This Row],[put helper]]</f>
        <v>0</v>
      </c>
      <c r="BP412" t="str">
        <f>RTD("tos.rtd", , "STRIKE", "."&amp;Table13[[#This Row],[Ticker]]&amp;Table13[[#This Row],[Expiry]]&amp;""&amp;"C"&amp;Table13[[#This Row],[Spot]]+Table13[[#This Row],[step]])</f>
        <v>N/A</v>
      </c>
    </row>
    <row r="413" spans="1:69" x14ac:dyDescent="0.25">
      <c r="A413" s="14">
        <f t="shared" ca="1" si="39"/>
        <v>-126.14810350076104</v>
      </c>
      <c r="C413" s="17"/>
      <c r="D413" t="b">
        <f>IF(
    ISNUMBER(Table13[[#This Row],[Strike]]),RTD("tos.rtd", , "OPEN_INT", "."&amp;Table13[[#This Row],[Ticker]]&amp;Table13[[#This Row],[Expiry]]&amp;""&amp;"C"&amp;Table13[[#This Row],[Strike]]))</f>
        <v>0</v>
      </c>
      <c r="E41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3" t="b">
        <f>IF(     ISNUMBER(Table13[[#This Row],[Strike]]),RTD("tos.rtd", , "DELTA", "."&amp;Table13[[#This Row],[Ticker]]&amp;Table13[[#This Row],[Expiry]]&amp;""&amp;"C"&amp;Table13[[#This Row],[Strike]]))</f>
        <v>0</v>
      </c>
      <c r="H413" s="17" t="b" cm="1">
        <f t="array" ref="H413">IF(
    ISNUMBER(Table13[[#This Row],[Strike]]),IndividualLegIVCore($A$4, Table13[[#This Row],[Strike]], 0.0411, Table13[[#This Row],[T]], ((Table13[[#This Row],[BIDC]]+Table13[[#This Row],[ASKC]])/2), TRUE))</f>
        <v>0</v>
      </c>
      <c r="I413" t="b">
        <f>IF(     ISNUMBER(Table13[[#This Row],[Strike]]),RTD("tos.rtd", , "BID", "."&amp;Table13[[#This Row],[Ticker]]&amp;Table13[[#This Row],[Expiry]]&amp;""&amp;"C"&amp;Table13[[#This Row],[Strike]]))</f>
        <v>0</v>
      </c>
      <c r="J413" t="b">
        <f>IF(     ISNUMBER(Table13[[#This Row],[Strike]]),RTD("tos.rtd", , "ASK", "."&amp;Table13[[#This Row],[Ticker]]&amp;Table13[[#This Row],[Expiry]]&amp;""&amp;"C"&amp;Table13[[#This Row],[Strike]]))</f>
        <v>0</v>
      </c>
      <c r="K413" s="17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3" s="17" cm="1">
        <f t="array" aca="1" ref="L413" ca="1">CubicSplineIVSmile($A$4, Table13[[#This Row],[Strike]], 0.0411, Table13[[#This Row],[T]], (Table13[[#This Row],[BIDC]]+Table13[[#This Row],[ASKC]])/2, (Table13[[#This Row],[BIDP]]+Table13[[#This Row],[ASKP]])/2, Table13[Strike], Table13[IV Calc AVG])</f>
        <v>0</v>
      </c>
      <c r="M413" s="1">
        <f t="shared" si="40"/>
        <v>0</v>
      </c>
      <c r="N413" t="b">
        <f t="shared" si="41"/>
        <v>0</v>
      </c>
      <c r="P413" s="17" t="b" cm="1">
        <f t="array" ref="P413">IF(
    ISNUMBER(Table13[[#This Row],[Strike]]),IndividualLegIVCore($A$4, Table13[[#This Row],[Strike]], 0.0411, Table13[[#This Row],[T]], ((Table13[[#This Row],[BIDP]]+Table13[[#This Row],[ASKP]])/2), FALSE))</f>
        <v>0</v>
      </c>
      <c r="Q413" t="b">
        <f>IF(     ISNUMBER(Table13[[#This Row],[Strike]]),RTD("tos.rtd", , "BID", "."&amp;Table13[[#This Row],[Ticker]]&amp;Table13[[#This Row],[Expiry]]&amp;""&amp;"P"&amp;Table13[[#This Row],[Strike]]))</f>
        <v>0</v>
      </c>
      <c r="R413" t="b">
        <f>IF(     ISNUMBER(Table13[[#This Row],[Strike]]),RTD("tos.rtd", , "ASK", "."&amp;Table13[[#This Row],[Ticker]]&amp;Table13[[#This Row],[Expiry]]&amp;""&amp;"P"&amp;Table13[[#This Row],[Strike]]))</f>
        <v>0</v>
      </c>
      <c r="S413" s="17"/>
      <c r="T413" t="b">
        <f>IF(     ISNUMBER(Table13[[#This Row],[Strike]]),RTD("tos.rtd", , "OPEN_INT", "."&amp;Table13[[#This Row],[Ticker]]&amp;Table13[[#This Row],[Expiry]]&amp;""&amp;"P"&amp;Table13[[#This Row],[Strike]]))</f>
        <v>0</v>
      </c>
      <c r="U41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3" t="b">
        <f>IF(     ISNUMBER(Table13[[#This Row],[Strike]]),RTD("tos.rtd", , "DELTA", "."&amp;Table13[[#This Row],[Ticker]]&amp;Table13[[#This Row],[Expiry]]&amp;""&amp;"P"&amp;Table13[[#This Row],[Strike]]))</f>
        <v>0</v>
      </c>
      <c r="Y413">
        <f>50* IF($M$1="NDX", 10, IF(OR($M$1="SPX", $M$1="RUT"), 2, 1))</f>
        <v>100</v>
      </c>
      <c r="Z413">
        <f ca="1">IFERROR(Table13[[#This Row],[call gamma]]*(Table13[[#This Row],[Open.Int]])*$A$4^2,0)</f>
        <v>0</v>
      </c>
      <c r="AA413">
        <f ca="1">IFERROR(((Table13[[#This Row],[Open.Int8]])*Table13[[#This Row],[Put gamma]])*-1*$A$4^2,0)</f>
        <v>0</v>
      </c>
      <c r="AB413">
        <f ca="1">(Table13[[#This Row],[Call Gex]]+Table13[[#This Row],[Put Gex]])</f>
        <v>0</v>
      </c>
      <c r="AC413">
        <f ca="1">Table13[[#This Row],[put delta adj]]+Table13[[#This Row],[call delta adj]]</f>
        <v>0</v>
      </c>
      <c r="AD413">
        <f ca="1">Table13[[#This Row],[Put Gex]]*Table13[[#This Row],[DeltaP]]*-1</f>
        <v>0</v>
      </c>
      <c r="AE413">
        <f ca="1">Table13[[#This Row],[Call Gex]]*Table13[[#This Row],[DeltaC]]</f>
        <v>0</v>
      </c>
      <c r="AF413">
        <f>IF(Table13[[#This Row],[DeltaC]]-ABS(Table13[[#This Row],[DeltaP]])="0","0.01",Table13[[#This Row],[DeltaC]]-ABS(Table13[[#This Row],[DeltaP]]))</f>
        <v>0</v>
      </c>
      <c r="AG413" t="e">
        <f ca="1">((LN($A$4/Table13[[#This Row],[Strike]]) + (0.411 + 0.5 * Table13[[#This Row],[IV Calc P]]^2) *Table13[[#This Row],[T]])) / (Table13[[#This Row],[IV Calc P]] * SQRT(Table13[[#This Row],[T]]))</f>
        <v>#DIV/0!</v>
      </c>
      <c r="AH413" t="e">
        <f ca="1">(LN($A$4/Table13[[#This Row],[Strike]]) + (0.411-0 + 0.5 * Table13[[#This Row],[IV Calc C]]^2) *Table13[[#This Row],[T]]) / (Table13[[#This Row],[IV Calc C]] * SQRT(Table13[[#This Row],[T]]))</f>
        <v>#DIV/0!</v>
      </c>
      <c r="AI413" t="e">
        <f ca="1">(EXP(-(AG413^2)/2)/SQRT(2*PI())*EXP(0*SQRT(Table13[[#This Row],[T]]))/$A$4*18%*SQRT(SQRT(Table13[[#This Row],[T]])))</f>
        <v>#DIV/0!</v>
      </c>
      <c r="AJ413" t="e">
        <f ca="1">(EXP(-(AH413^2)/2)/SQRT(2*PI())*EXP(0*SQRT(Table13[[#This Row],[T]]))/$A$4*18%*SQRT(SQRT(Table13[[#This Row],[T]])))</f>
        <v>#DIV/0!</v>
      </c>
      <c r="AK413" t="e">
        <f ca="1">Table13[[#This Row],[Call D1]]-Table13[[#This Row],[IV Calc C]]*SQRT(Table13[[#This Row],[T]])</f>
        <v>#DIV/0!</v>
      </c>
      <c r="AL413" t="e">
        <f ca="1">Table13[[#This Row],[Put D1]]-Table13[[#This Row],[IV Calc P]]*SQRT(Table13[[#This Row],[T]])</f>
        <v>#DIV/0!</v>
      </c>
      <c r="AM413" t="e">
        <f ca="1">EXP(-0.5*Table13[[#This Row],[Call D1]]^2)/SQRT(2*PI())</f>
        <v>#DIV/0!</v>
      </c>
      <c r="AN413" t="e">
        <f ca="1">EXP(-0.5*Table13[[#This Row],[Put D1]]^2)/SQRT(2*PI())</f>
        <v>#DIV/0!</v>
      </c>
      <c r="AO413">
        <f ca="1">IFERROR((EXP(0*Table13[[#This Row],[T]])*Table13[[#This Row],[call N(d1)]]*(Table13[[#This Row],[call d2]]/Table13[[#This Row],[IV Calc C]]))*Table13[[#This Row],[Open.Int]]*Table13[[#This Row],[DeltaC]],0)</f>
        <v>0</v>
      </c>
      <c r="AP413">
        <f ca="1">IFERROR((EXP(0*Table13[[#This Row],[T]])*Table13[[#This Row],[put N(d1)]]*(Table13[[#This Row],[put d2]]/Table13[[#This Row],[IV Calc P]]))*Table13[[#This Row],[Open.Int8]]*Table13[[#This Row],[DeltaP]]*-1,0)</f>
        <v>0</v>
      </c>
      <c r="AQ413">
        <f ca="1">((Table13[[#This Row],[call vanna]]+Table13[[#This Row],[put vanna]])*$A$4)</f>
        <v>0</v>
      </c>
      <c r="AR41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3" s="9" t="str" cm="1">
        <f t="array" ref="AT413">_xlfn.IFS(     $M$1="SPX","SPXW",     $M$1="RUT","RUTW",  $M$1="NDX","NDXP",   TRUE,$M$1 )</f>
        <v>SPXW</v>
      </c>
      <c r="AU413" s="2">
        <f t="shared" si="42"/>
        <v>6915</v>
      </c>
      <c r="AV413" t="str">
        <f t="shared" si="43"/>
        <v>000100</v>
      </c>
      <c r="AY41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3">
        <f>((Table13[[#This Row],[High C]]+Table13[[#This Row],[Low C]])/2)*Table13[[#This Row],[gammac]]*Table13[[#This Row],[Volume]]</f>
        <v>0</v>
      </c>
      <c r="BD413">
        <f>((Table13[[#This Row],[High P]]+Table13[[#This Row],[Low P]])/2)*Table13[[#This Row],[gammap]]*Table13[[#This Row],[Volume9]]*-1</f>
        <v>0</v>
      </c>
      <c r="BE413">
        <f>(Table13[[#This Row],[SgammaC]]+Table13[[#This Row],[SgammaP]])*$A$4*-100</f>
        <v>0</v>
      </c>
      <c r="BF413">
        <f>Table13[[#This Row],[DEXc]]+Table13[[#This Row],[DEXp]]</f>
        <v>0</v>
      </c>
      <c r="BG413">
        <f>IFERROR(Table13[[#This Row],[DeltaC]]*Table13[[#This Row],[Open.Int]]*$A$4,0)</f>
        <v>0</v>
      </c>
      <c r="BH413">
        <f>IFERROR(Table13[[#This Row],[DeltaP]]*Table13[[#This Row],[Open.Int8]]*$A$4,0)</f>
        <v>0</v>
      </c>
      <c r="BI41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3">
        <f ca="1">Table13[[#This Row],[charmc]]+Table13[[#This Row],[charmp]]</f>
        <v>0</v>
      </c>
      <c r="BL413" s="78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3" s="78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3" s="78">
        <f ca="1">Table13[[#This Row],[call helper]]+Table13[[#This Row],[put helper]]</f>
        <v>0</v>
      </c>
      <c r="BP413" t="str">
        <f>RTD("tos.rtd", , "STRIKE", "."&amp;Table13[[#This Row],[Ticker]]&amp;Table13[[#This Row],[Expiry]]&amp;""&amp;"C"&amp;Table13[[#This Row],[Spot]]+Table13[[#This Row],[step]])</f>
        <v>N/A</v>
      </c>
    </row>
    <row r="414" spans="1:69" x14ac:dyDescent="0.25">
      <c r="BQ414" s="61"/>
    </row>
    <row r="415" spans="1:69" ht="30" x14ac:dyDescent="0.25">
      <c r="A415" t="s">
        <v>53</v>
      </c>
      <c r="B415" t="s">
        <v>12</v>
      </c>
      <c r="C415" t="s">
        <v>11</v>
      </c>
      <c r="D415" t="s">
        <v>2</v>
      </c>
      <c r="E415" t="s">
        <v>1</v>
      </c>
      <c r="F415" t="s">
        <v>29</v>
      </c>
      <c r="G415" t="s">
        <v>36</v>
      </c>
      <c r="H415" t="s">
        <v>43</v>
      </c>
      <c r="I415" t="s">
        <v>34</v>
      </c>
      <c r="J415" t="s">
        <v>33</v>
      </c>
      <c r="K415" t="s">
        <v>47</v>
      </c>
      <c r="L415" s="17" t="s">
        <v>44</v>
      </c>
      <c r="M415" t="s">
        <v>3</v>
      </c>
      <c r="N415" t="s">
        <v>4</v>
      </c>
      <c r="O415" t="s">
        <v>27</v>
      </c>
      <c r="P415" t="s">
        <v>42</v>
      </c>
      <c r="Q415" t="s">
        <v>35</v>
      </c>
      <c r="R415" t="s">
        <v>32</v>
      </c>
      <c r="S415" t="s">
        <v>26</v>
      </c>
      <c r="T415" t="s">
        <v>13</v>
      </c>
      <c r="U415" t="s">
        <v>14</v>
      </c>
      <c r="V415" t="s">
        <v>30</v>
      </c>
      <c r="W415" t="s">
        <v>39</v>
      </c>
      <c r="X415" t="s">
        <v>31</v>
      </c>
      <c r="Y415" t="s">
        <v>10</v>
      </c>
      <c r="Z415" t="s">
        <v>5</v>
      </c>
      <c r="AA415" t="s">
        <v>6</v>
      </c>
      <c r="AB415" t="s">
        <v>7</v>
      </c>
      <c r="AC415" t="s">
        <v>40</v>
      </c>
      <c r="AD415" t="s">
        <v>37</v>
      </c>
      <c r="AE415" t="s">
        <v>38</v>
      </c>
      <c r="AF415" t="s">
        <v>8</v>
      </c>
      <c r="AG415" t="s">
        <v>15</v>
      </c>
      <c r="AH415" t="s">
        <v>16</v>
      </c>
      <c r="AI415" t="s">
        <v>17</v>
      </c>
      <c r="AJ415" t="s">
        <v>18</v>
      </c>
      <c r="AK415" t="s">
        <v>19</v>
      </c>
      <c r="AL415" t="s">
        <v>20</v>
      </c>
      <c r="AM415" t="s">
        <v>21</v>
      </c>
      <c r="AN415" t="s">
        <v>22</v>
      </c>
      <c r="AO415" t="s">
        <v>23</v>
      </c>
      <c r="AP415" t="s">
        <v>24</v>
      </c>
      <c r="AQ415" t="s">
        <v>25</v>
      </c>
      <c r="AR415" t="s">
        <v>45</v>
      </c>
      <c r="AS415" t="s">
        <v>46</v>
      </c>
      <c r="AT415" t="s">
        <v>54</v>
      </c>
      <c r="AU415" t="s">
        <v>55</v>
      </c>
      <c r="AV415" t="s">
        <v>56</v>
      </c>
      <c r="AW415" t="s">
        <v>60</v>
      </c>
      <c r="AX415" t="s">
        <v>61</v>
      </c>
      <c r="AY415" s="61" t="s">
        <v>48</v>
      </c>
      <c r="AZ415" s="61" t="s">
        <v>49</v>
      </c>
      <c r="BA415" s="61" t="s">
        <v>50</v>
      </c>
      <c r="BB415" s="61" t="s">
        <v>51</v>
      </c>
      <c r="BC415" s="61" t="s">
        <v>52</v>
      </c>
      <c r="BD415" s="61" t="s">
        <v>59</v>
      </c>
      <c r="BE415" s="61" t="s">
        <v>62</v>
      </c>
      <c r="BF415" s="61" t="s">
        <v>28</v>
      </c>
      <c r="BG415" s="61" t="s">
        <v>68</v>
      </c>
      <c r="BH415" s="61" t="s">
        <v>69</v>
      </c>
      <c r="BI415" s="61" t="s">
        <v>70</v>
      </c>
      <c r="BJ415" s="61" t="s">
        <v>71</v>
      </c>
      <c r="BK415" s="61" t="s">
        <v>72</v>
      </c>
      <c r="BL415" s="89" t="s">
        <v>78</v>
      </c>
      <c r="BM415" s="89" t="s">
        <v>79</v>
      </c>
      <c r="BN415" s="17" t="s">
        <v>84</v>
      </c>
      <c r="BP415" s="61" t="s">
        <v>80</v>
      </c>
    </row>
    <row r="416" spans="1:69" x14ac:dyDescent="0.25">
      <c r="A416" s="14">
        <f t="shared" ref="A416:A479" ca="1" si="44">$Q$3</f>
        <v>-126.14810350076104</v>
      </c>
      <c r="C416" s="17"/>
      <c r="D416" t="str">
        <f>RTD("tos.rtd", , "OPEN_INT", "."&amp;Table133[[#This Row],[Ticker]]&amp;Table133[[#This Row],[Expiry]]&amp;""&amp;"C"&amp;Table133[[#This Row],[Spot]]+Table133[[#This Row],[step]])</f>
        <v>N/A</v>
      </c>
      <c r="E4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6" t="b">
        <f>IF(     ISNUMBER(Table133[[#This Row],[Strike]]),RTD("tos.rtd", , "DELTA", "."&amp;Table133[[#This Row],[Ticker]]&amp;Table133[[#This Row],[Expiry]]&amp;""&amp;"C"&amp;Table133[[#This Row],[Strike]]))</f>
        <v>0</v>
      </c>
      <c r="H416" s="17" cm="1">
        <f t="array" aca="1" ref="H416" ca="1">IndividualLegIVCore($A$4, Table133[[#This Row],[Strike]], 0.0411, Table133[[#This Row],[T]], ((Table133[[#This Row],[BIDC]]+Table133[[#This Row],[ASKC]])/2), TRUE)</f>
        <v>0.01</v>
      </c>
      <c r="I416" t="b">
        <f>IF(     ISNUMBER(Table133[[#This Row],[Strike]]),RTD("tos.rtd", , "BID", "."&amp;Table133[[#This Row],[Ticker]]&amp;Table133[[#This Row],[Expiry]]&amp;""&amp;"C"&amp;Table133[[#This Row],[Strike]]))</f>
        <v>0</v>
      </c>
      <c r="J416" t="b">
        <f>IF(     ISNUMBER(Table133[[#This Row],[Strike]]),RTD("tos.rtd", , "ASK", "."&amp;Table133[[#This Row],[Ticker]]&amp;Table133[[#This Row],[Expiry]]&amp;""&amp;"C"&amp;Table133[[#This Row],[Strike]]))</f>
        <v>0</v>
      </c>
      <c r="K416" s="17"/>
      <c r="M416" s="1">
        <f t="shared" ref="M416:M479" si="45">$Q$1</f>
        <v>0</v>
      </c>
      <c r="N416" t="b">
        <f t="shared" ref="N416:N479" si="46">IF(ISNUMBER($BP416), $BP416, FALSE)</f>
        <v>0</v>
      </c>
      <c r="P416" s="17" cm="1">
        <f t="array" aca="1" ref="P416" ca="1">IndividualLegIVCore($A$4, Table133[[#This Row],[Strike]], 0.0411, Table133[[#This Row],[T]], ((Table133[[#This Row],[BIDP]]+Table133[[#This Row],[ASKP]])/2), FALSE)</f>
        <v>0.01</v>
      </c>
      <c r="Q416" t="b">
        <f>IF(     ISNUMBER(Table133[[#This Row],[Strike]]),RTD("tos.rtd", , "BID", "."&amp;Table133[[#This Row],[Ticker]]&amp;Table133[[#This Row],[Expiry]]&amp;""&amp;"P"&amp;Table133[[#This Row],[Strike]]))</f>
        <v>0</v>
      </c>
      <c r="R416" t="b">
        <f>IF(     ISNUMBER(Table133[[#This Row],[Strike]]),RTD("tos.rtd", , "ASK", "."&amp;Table133[[#This Row],[Ticker]]&amp;Table133[[#This Row],[Expiry]]&amp;""&amp;"P"&amp;Table133[[#This Row],[Strike]]))</f>
        <v>0</v>
      </c>
      <c r="S416" s="17"/>
      <c r="T416" t="b">
        <f>IF(     ISNUMBER(Table133[[#This Row],[Strike]]),RTD("tos.rtd", , "OPEN_INT", "."&amp;Table133[[#This Row],[Ticker]]&amp;Table133[[#This Row],[Expiry]]&amp;""&amp;"P"&amp;Table133[[#This Row],[Strike]]))</f>
        <v>0</v>
      </c>
      <c r="U4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6" t="b">
        <f>IF(     ISNUMBER(Table133[[#This Row],[Strike]]),RTD("tos.rtd", , "DELTA", "."&amp;Table133[[#This Row],[Ticker]]&amp;Table133[[#This Row],[Expiry]]&amp;""&amp;"P"&amp;Table133[[#This Row],[Strike]]))</f>
        <v>0</v>
      </c>
      <c r="Y416" s="19">
        <f>-50* IF($M$1="NDX", 10, IF(OR($M$1="SPX", $M$1="RUT"), 2, 1))</f>
        <v>-100</v>
      </c>
      <c r="Z416">
        <f ca="1">IFERROR(Table133[[#This Row],[call gamma]]*(Table133[[#This Row],[Open.Int]])*$A$4^2,0)</f>
        <v>0</v>
      </c>
      <c r="AA416">
        <f ca="1">IFERROR(((Table133[[#This Row],[Open.Int8]])*Table133[[#This Row],[Put gamma]])*-1*$A$4^2,0)</f>
        <v>0</v>
      </c>
      <c r="AB416">
        <f ca="1">(Table133[[#This Row],[Call Gex]]+Table133[[#This Row],[Put Gex]])</f>
        <v>0</v>
      </c>
      <c r="AC416">
        <f ca="1">Table133[[#This Row],[put delta adj]]+Table133[[#This Row],[call delta adj]]</f>
        <v>0</v>
      </c>
      <c r="AD416">
        <f ca="1">Table133[[#This Row],[Put Gex]]*Table133[[#This Row],[DeltaP]]*-1</f>
        <v>0</v>
      </c>
      <c r="AE416">
        <f ca="1">Table133[[#This Row],[Call Gex]]*Table133[[#This Row],[DeltaC]]</f>
        <v>0</v>
      </c>
      <c r="AF416">
        <f>IF(Table133[[#This Row],[DeltaC]]-ABS(Table133[[#This Row],[DeltaP]])="0","0.01",Table133[[#This Row],[DeltaC]]-ABS(Table133[[#This Row],[DeltaP]]))</f>
        <v>0</v>
      </c>
      <c r="AG416" t="e">
        <f ca="1">((LN($A$4/Table133[[#This Row],[Strike]]) + (0.411 + 0.5 * Table133[[#This Row],[IV Calc P]]^2) *Table133[[#This Row],[T]])) / (Table133[[#This Row],[IV Calc P]] * SQRT(Table133[[#This Row],[T]]))</f>
        <v>#DIV/0!</v>
      </c>
      <c r="AH416" t="e">
        <f ca="1">(LN($A$4/Table133[[#This Row],[Strike]]) + (0.411-0 + 0.5 * Table133[[#This Row],[IV Calc C]]^2) *Table133[[#This Row],[T]]) / (Table133[[#This Row],[IV Calc C]] * SQRT(Table133[[#This Row],[T]]))</f>
        <v>#DIV/0!</v>
      </c>
      <c r="AI416" t="e">
        <f ca="1">(EXP(-(AG416^2)/2)/SQRT(2*PI())*EXP(0*SQRT(Table133[[#This Row],[T]]))/$A$4*18%*SQRT(SQRT(Table133[[#This Row],[T]])))</f>
        <v>#DIV/0!</v>
      </c>
      <c r="AJ416" t="e">
        <f ca="1">(EXP(-(AH416^2)/2)/SQRT(2*PI())*EXP(0*SQRT(Table133[[#This Row],[T]]))/$A$4*18%*SQRT(SQRT(Table133[[#This Row],[T]])))</f>
        <v>#DIV/0!</v>
      </c>
      <c r="AK416" t="e">
        <f ca="1">Table133[[#This Row],[Call D1]]-Table133[[#This Row],[IV Calc C]]*SQRT(Table133[[#This Row],[T]])</f>
        <v>#DIV/0!</v>
      </c>
      <c r="AL416" t="e">
        <f ca="1">Table133[[#This Row],[Put D1]]-Table133[[#This Row],[IV Calc P]]*SQRT(Table133[[#This Row],[T]])</f>
        <v>#DIV/0!</v>
      </c>
      <c r="AM416" t="e">
        <f ca="1">EXP(-0.5*Table133[[#This Row],[Call D1]]^2)/SQRT(2*PI())</f>
        <v>#DIV/0!</v>
      </c>
      <c r="AN416" t="e">
        <f ca="1">EXP(-0.5*Table133[[#This Row],[Put D1]]^2)/SQRT(2*PI())</f>
        <v>#DIV/0!</v>
      </c>
      <c r="AO4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6">
        <f ca="1">((Table133[[#This Row],[call vanna]]+Table133[[#This Row],[put vanna]])*$A$4)</f>
        <v>0</v>
      </c>
      <c r="AR4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6" s="9" t="str" cm="1">
        <f t="array" ref="AT416">_xlfn.IFS(     $M$1="SPX","SPXW",     $M$1="RUT","RUTW",  $M$1="NDX","NDXP",   TRUE,$M$1 )</f>
        <v>SPXW</v>
      </c>
      <c r="AU416" s="2">
        <f t="shared" ref="AU416:AU479" si="47">$N$1</f>
        <v>6915</v>
      </c>
      <c r="AV416" t="str">
        <f t="shared" ref="AV416:AV479" si="48">$Q$2</f>
        <v>000100</v>
      </c>
      <c r="AY4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6">
        <f>((Table133[[#This Row],[High C]]+Table133[[#This Row],[Low C]])/2)*Table133[[#This Row],[gammac]]*Table133[[#This Row],[Volume]]</f>
        <v>0</v>
      </c>
      <c r="BD416">
        <f>((Table133[[#This Row],[High P]]+Table133[[#This Row],[Low P]])/2)*Table133[[#This Row],[gammap]]*Table133[[#This Row],[Volume9]]*-1</f>
        <v>0</v>
      </c>
      <c r="BE416">
        <f>(Table133[[#This Row],[SgammaC]]+Table133[[#This Row],[SgammaP]])*$A$4*-100</f>
        <v>0</v>
      </c>
      <c r="BF416" s="78">
        <f>Table133[[#This Row],[DEXc]]+Table133[[#This Row],[DEXp]]</f>
        <v>0</v>
      </c>
      <c r="BG416" s="78">
        <f>IFERROR(Table133[[#This Row],[DeltaC]]*Table133[[#This Row],[Open.Int]]*$A$4,0)</f>
        <v>0</v>
      </c>
      <c r="BH416">
        <f>IFERROR(Table133[[#This Row],[DeltaP]]*Table133[[#This Row],[Open.Int8]]*$A$4,0)</f>
        <v>0</v>
      </c>
      <c r="BI416" s="6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6">
        <f ca="1">Table133[[#This Row],[charmc]]+Table133[[#This Row],[charmp]]</f>
        <v>0</v>
      </c>
      <c r="BL41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6" s="78">
        <f ca="1">Table133[[#This Row],[call helper]]+Table133[[#This Row],[put helper]]</f>
        <v>0</v>
      </c>
      <c r="BP416" t="str">
        <f>RTD("tos.rtd", , "STRIKE", "."&amp;Table133[[#This Row],[Ticker]]&amp;Table133[[#This Row],[Expiry]]&amp;""&amp;"C"&amp;Table133[[#This Row],[Spot]]+Table133[[#This Row],[step]])</f>
        <v>N/A</v>
      </c>
      <c r="BQ416" t="e" cm="1" vm="1">
        <f t="array" ref="BQ416">_xlfn._xlws.FILTER(
    BP416:BP616,
    ISNUMBER(BP416:BP616)
)</f>
        <v>#VALUE!</v>
      </c>
    </row>
    <row r="417" spans="1:68" x14ac:dyDescent="0.25">
      <c r="A417" s="14">
        <f t="shared" ca="1" si="44"/>
        <v>-126.14810350076104</v>
      </c>
      <c r="C417" s="17"/>
      <c r="D417" t="str">
        <f>RTD("tos.rtd", , "OPEN_INT", "."&amp;Table133[[#This Row],[Ticker]]&amp;Table133[[#This Row],[Expiry]]&amp;""&amp;"C"&amp;Table133[[#This Row],[Spot]]+Table133[[#This Row],[step]])</f>
        <v>N/A</v>
      </c>
      <c r="E41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7" t="b">
        <f>IF(     ISNUMBER(Table133[[#This Row],[Strike]]),RTD("tos.rtd", , "DELTA", "."&amp;Table133[[#This Row],[Ticker]]&amp;Table133[[#This Row],[Expiry]]&amp;""&amp;"C"&amp;Table133[[#This Row],[Strike]]))</f>
        <v>0</v>
      </c>
      <c r="H417" s="17" cm="1">
        <f t="array" aca="1" ref="H417" ca="1">IndividualLegIVCore($A$4, Table133[[#This Row],[Strike]], 0.0411, Table133[[#This Row],[T]], ((Table133[[#This Row],[BIDC]]+Table133[[#This Row],[ASKC]])/2), TRUE)</f>
        <v>0.01</v>
      </c>
      <c r="I417" t="b">
        <f>IF(     ISNUMBER(Table133[[#This Row],[Strike]]),RTD("tos.rtd", , "BID", "."&amp;Table133[[#This Row],[Ticker]]&amp;Table133[[#This Row],[Expiry]]&amp;""&amp;"C"&amp;Table133[[#This Row],[Strike]]))</f>
        <v>0</v>
      </c>
      <c r="J417" t="b">
        <f>IF(     ISNUMBER(Table133[[#This Row],[Strike]]),RTD("tos.rtd", , "ASK", "."&amp;Table133[[#This Row],[Ticker]]&amp;Table133[[#This Row],[Expiry]]&amp;""&amp;"C"&amp;Table133[[#This Row],[Strike]]))</f>
        <v>0</v>
      </c>
      <c r="K417" s="17"/>
      <c r="M417" s="1">
        <f t="shared" si="45"/>
        <v>0</v>
      </c>
      <c r="N417" t="b">
        <f t="shared" si="46"/>
        <v>0</v>
      </c>
      <c r="P417" s="17" cm="1">
        <f t="array" aca="1" ref="P417" ca="1">IndividualLegIVCore($A$4, Table133[[#This Row],[Strike]], 0.0411, Table133[[#This Row],[T]], ((Table133[[#This Row],[BIDP]]+Table133[[#This Row],[ASKP]])/2), FALSE)</f>
        <v>0.01</v>
      </c>
      <c r="Q417" t="b">
        <f>IF(     ISNUMBER(Table133[[#This Row],[Strike]]),RTD("tos.rtd", , "BID", "."&amp;Table133[[#This Row],[Ticker]]&amp;Table133[[#This Row],[Expiry]]&amp;""&amp;"P"&amp;Table133[[#This Row],[Strike]]))</f>
        <v>0</v>
      </c>
      <c r="R417" t="b">
        <f>IF(     ISNUMBER(Table133[[#This Row],[Strike]]),RTD("tos.rtd", , "ASK", "."&amp;Table133[[#This Row],[Ticker]]&amp;Table133[[#This Row],[Expiry]]&amp;""&amp;"P"&amp;Table133[[#This Row],[Strike]]))</f>
        <v>0</v>
      </c>
      <c r="S417" s="17"/>
      <c r="T417" t="b">
        <f>IF(     ISNUMBER(Table133[[#This Row],[Strike]]),RTD("tos.rtd", , "OPEN_INT", "."&amp;Table133[[#This Row],[Ticker]]&amp;Table133[[#This Row],[Expiry]]&amp;""&amp;"P"&amp;Table133[[#This Row],[Strike]]))</f>
        <v>0</v>
      </c>
      <c r="U41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7" t="b">
        <f>IF(     ISNUMBER(Table133[[#This Row],[Strike]]),RTD("tos.rtd", , "DELTA", "."&amp;Table133[[#This Row],[Ticker]]&amp;Table133[[#This Row],[Expiry]]&amp;""&amp;"P"&amp;Table133[[#This Row],[Strike]]))</f>
        <v>0</v>
      </c>
      <c r="Y417" s="19">
        <f>-49.5* IF($M$1="NDX", 10, IF(OR($M$1="SPX", $M$1="RUT"), 2, 1))</f>
        <v>-99</v>
      </c>
      <c r="Z417">
        <f ca="1">IFERROR(Table133[[#This Row],[call gamma]]*(Table133[[#This Row],[Open.Int]])*$A$4^2,0)</f>
        <v>0</v>
      </c>
      <c r="AA417">
        <f ca="1">IFERROR(((Table133[[#This Row],[Open.Int8]])*Table133[[#This Row],[Put gamma]])*-1*$A$4^2,0)</f>
        <v>0</v>
      </c>
      <c r="AB417">
        <f ca="1">(Table133[[#This Row],[Call Gex]]+Table133[[#This Row],[Put Gex]])</f>
        <v>0</v>
      </c>
      <c r="AC417">
        <f ca="1">Table133[[#This Row],[put delta adj]]+Table133[[#This Row],[call delta adj]]</f>
        <v>0</v>
      </c>
      <c r="AD417">
        <f ca="1">Table133[[#This Row],[Put Gex]]*Table133[[#This Row],[DeltaP]]*-1</f>
        <v>0</v>
      </c>
      <c r="AE417">
        <f ca="1">Table133[[#This Row],[Call Gex]]*Table133[[#This Row],[DeltaC]]</f>
        <v>0</v>
      </c>
      <c r="AF417">
        <f>IF(Table133[[#This Row],[DeltaC]]-ABS(Table133[[#This Row],[DeltaP]])="0","0.01",Table133[[#This Row],[DeltaC]]-ABS(Table133[[#This Row],[DeltaP]]))</f>
        <v>0</v>
      </c>
      <c r="AG417" t="e">
        <f ca="1">((LN($A$4/Table133[[#This Row],[Strike]]) + (0.411 + 0.5 * Table133[[#This Row],[IV Calc P]]^2) *Table133[[#This Row],[T]])) / (Table133[[#This Row],[IV Calc P]] * SQRT(Table133[[#This Row],[T]]))</f>
        <v>#DIV/0!</v>
      </c>
      <c r="AH417" t="e">
        <f ca="1">(LN($A$4/Table133[[#This Row],[Strike]]) + (0.411-0 + 0.5 * Table133[[#This Row],[IV Calc C]]^2) *Table133[[#This Row],[T]]) / (Table133[[#This Row],[IV Calc C]] * SQRT(Table133[[#This Row],[T]]))</f>
        <v>#DIV/0!</v>
      </c>
      <c r="AI417" t="e">
        <f ca="1">(EXP(-(AG417^2)/2)/SQRT(2*PI())*EXP(0*SQRT(Table133[[#This Row],[T]]))/$A$4*18%*SQRT(SQRT(Table133[[#This Row],[T]])))</f>
        <v>#DIV/0!</v>
      </c>
      <c r="AJ417" t="e">
        <f ca="1">(EXP(-(AH417^2)/2)/SQRT(2*PI())*EXP(0*SQRT(Table133[[#This Row],[T]]))/$A$4*18%*SQRT(SQRT(Table133[[#This Row],[T]])))</f>
        <v>#DIV/0!</v>
      </c>
      <c r="AK417" t="e">
        <f ca="1">Table133[[#This Row],[Call D1]]-Table133[[#This Row],[IV Calc C]]*SQRT(Table133[[#This Row],[T]])</f>
        <v>#DIV/0!</v>
      </c>
      <c r="AL417" t="e">
        <f ca="1">Table133[[#This Row],[Put D1]]-Table133[[#This Row],[IV Calc P]]*SQRT(Table133[[#This Row],[T]])</f>
        <v>#DIV/0!</v>
      </c>
      <c r="AM417" t="e">
        <f ca="1">EXP(-0.5*Table133[[#This Row],[Call D1]]^2)/SQRT(2*PI())</f>
        <v>#DIV/0!</v>
      </c>
      <c r="AN417" t="e">
        <f ca="1">EXP(-0.5*Table133[[#This Row],[Put D1]]^2)/SQRT(2*PI())</f>
        <v>#DIV/0!</v>
      </c>
      <c r="AO41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7">
        <f ca="1">((Table133[[#This Row],[call vanna]]+Table133[[#This Row],[put vanna]])*$A$4)</f>
        <v>0</v>
      </c>
      <c r="AR41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7" s="9" t="str" cm="1">
        <f t="array" ref="AT417">_xlfn.IFS(     $M$1="SPX","SPXW",     $M$1="RUT","RUTW",  $M$1="NDX","NDXP",   TRUE,$M$1 )</f>
        <v>SPXW</v>
      </c>
      <c r="AU417" s="2">
        <f t="shared" si="47"/>
        <v>6915</v>
      </c>
      <c r="AV417" t="str">
        <f t="shared" si="48"/>
        <v>000100</v>
      </c>
      <c r="AY41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7">
        <f>((Table133[[#This Row],[High C]]+Table133[[#This Row],[Low C]])/2)*Table133[[#This Row],[gammac]]*Table133[[#This Row],[Volume]]</f>
        <v>0</v>
      </c>
      <c r="BD417">
        <f>((Table133[[#This Row],[High P]]+Table133[[#This Row],[Low P]])/2)*Table133[[#This Row],[gammap]]*Table133[[#This Row],[Volume9]]*-1</f>
        <v>0</v>
      </c>
      <c r="BE417">
        <f>(Table133[[#This Row],[SgammaC]]+Table133[[#This Row],[SgammaP]])*$A$4*-100</f>
        <v>0</v>
      </c>
      <c r="BF417" s="78">
        <f>Table133[[#This Row],[DEXc]]+Table133[[#This Row],[DEXp]]</f>
        <v>0</v>
      </c>
      <c r="BG417">
        <f>IFERROR(Table133[[#This Row],[DeltaC]]*Table133[[#This Row],[Open.Int]]*$A$4,0)</f>
        <v>0</v>
      </c>
      <c r="BH417">
        <f>IFERROR(Table133[[#This Row],[DeltaP]]*Table133[[#This Row],[Open.Int8]]*$A$4,0)</f>
        <v>0</v>
      </c>
      <c r="BI41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7">
        <f ca="1">Table133[[#This Row],[charmc]]+Table133[[#This Row],[charmp]]</f>
        <v>0</v>
      </c>
      <c r="BL41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7" s="78">
        <f ca="1">Table133[[#This Row],[call helper]]+Table133[[#This Row],[put helper]]</f>
        <v>0</v>
      </c>
      <c r="BP417" t="str">
        <f>RTD("tos.rtd", , "STRIKE", "."&amp;Table133[[#This Row],[Ticker]]&amp;Table133[[#This Row],[Expiry]]&amp;""&amp;"C"&amp;Table133[[#This Row],[Spot]]+Table133[[#This Row],[step]])</f>
        <v>N/A</v>
      </c>
    </row>
    <row r="418" spans="1:68" x14ac:dyDescent="0.25">
      <c r="A418" s="14">
        <f t="shared" ca="1" si="44"/>
        <v>-126.14810350076104</v>
      </c>
      <c r="C418" s="17"/>
      <c r="D418" t="str">
        <f>RTD("tos.rtd", , "OPEN_INT", "."&amp;Table133[[#This Row],[Ticker]]&amp;Table133[[#This Row],[Expiry]]&amp;""&amp;"C"&amp;Table133[[#This Row],[Spot]]+Table133[[#This Row],[step]])</f>
        <v>N/A</v>
      </c>
      <c r="E41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8" t="b">
        <f>IF(     ISNUMBER(Table133[[#This Row],[Strike]]),RTD("tos.rtd", , "DELTA", "."&amp;Table133[[#This Row],[Ticker]]&amp;Table133[[#This Row],[Expiry]]&amp;""&amp;"C"&amp;Table133[[#This Row],[Strike]]))</f>
        <v>0</v>
      </c>
      <c r="H418" s="17" cm="1">
        <f t="array" aca="1" ref="H418" ca="1">IndividualLegIVCore($A$4, Table133[[#This Row],[Strike]], 0.0411, Table133[[#This Row],[T]], ((Table133[[#This Row],[BIDC]]+Table133[[#This Row],[ASKC]])/2), TRUE)</f>
        <v>0.01</v>
      </c>
      <c r="I418" t="b">
        <f>IF(     ISNUMBER(Table133[[#This Row],[Strike]]),RTD("tos.rtd", , "BID", "."&amp;Table133[[#This Row],[Ticker]]&amp;Table133[[#This Row],[Expiry]]&amp;""&amp;"C"&amp;Table133[[#This Row],[Strike]]))</f>
        <v>0</v>
      </c>
      <c r="J418" t="b">
        <f>IF(     ISNUMBER(Table133[[#This Row],[Strike]]),RTD("tos.rtd", , "ASK", "."&amp;Table133[[#This Row],[Ticker]]&amp;Table133[[#This Row],[Expiry]]&amp;""&amp;"C"&amp;Table133[[#This Row],[Strike]]))</f>
        <v>0</v>
      </c>
      <c r="K418" s="17"/>
      <c r="M418" s="1">
        <f t="shared" si="45"/>
        <v>0</v>
      </c>
      <c r="N418" t="b">
        <f t="shared" si="46"/>
        <v>0</v>
      </c>
      <c r="P418" s="17" cm="1">
        <f t="array" aca="1" ref="P418" ca="1">IndividualLegIVCore($A$4, Table133[[#This Row],[Strike]], 0.0411, Table133[[#This Row],[T]], ((Table133[[#This Row],[BIDP]]+Table133[[#This Row],[ASKP]])/2), FALSE)</f>
        <v>0.01</v>
      </c>
      <c r="Q418" t="b">
        <f>IF(     ISNUMBER(Table133[[#This Row],[Strike]]),RTD("tos.rtd", , "BID", "."&amp;Table133[[#This Row],[Ticker]]&amp;Table133[[#This Row],[Expiry]]&amp;""&amp;"P"&amp;Table133[[#This Row],[Strike]]))</f>
        <v>0</v>
      </c>
      <c r="R418" t="b">
        <f>IF(     ISNUMBER(Table133[[#This Row],[Strike]]),RTD("tos.rtd", , "ASK", "."&amp;Table133[[#This Row],[Ticker]]&amp;Table133[[#This Row],[Expiry]]&amp;""&amp;"P"&amp;Table133[[#This Row],[Strike]]))</f>
        <v>0</v>
      </c>
      <c r="S418" s="17"/>
      <c r="T418" t="b">
        <f>IF(     ISNUMBER(Table133[[#This Row],[Strike]]),RTD("tos.rtd", , "OPEN_INT", "."&amp;Table133[[#This Row],[Ticker]]&amp;Table133[[#This Row],[Expiry]]&amp;""&amp;"P"&amp;Table133[[#This Row],[Strike]]))</f>
        <v>0</v>
      </c>
      <c r="U41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8" t="b">
        <f>IF(     ISNUMBER(Table133[[#This Row],[Strike]]),RTD("tos.rtd", , "DELTA", "."&amp;Table133[[#This Row],[Ticker]]&amp;Table133[[#This Row],[Expiry]]&amp;""&amp;"P"&amp;Table133[[#This Row],[Strike]]))</f>
        <v>0</v>
      </c>
      <c r="Y418" s="19">
        <f>-49* IF($M$1="NDX", 10, IF(OR($M$1="SPX", $M$1="RUT"), 2, 1))</f>
        <v>-98</v>
      </c>
      <c r="Z418">
        <f ca="1">IFERROR(Table133[[#This Row],[call gamma]]*(Table133[[#This Row],[Open.Int]])*$A$4^2,0)</f>
        <v>0</v>
      </c>
      <c r="AA418">
        <f ca="1">IFERROR(((Table133[[#This Row],[Open.Int8]])*Table133[[#This Row],[Put gamma]])*-1*$A$4^2,0)</f>
        <v>0</v>
      </c>
      <c r="AB418">
        <f ca="1">(Table133[[#This Row],[Call Gex]]+Table133[[#This Row],[Put Gex]])</f>
        <v>0</v>
      </c>
      <c r="AC418">
        <f ca="1">Table133[[#This Row],[put delta adj]]+Table133[[#This Row],[call delta adj]]</f>
        <v>0</v>
      </c>
      <c r="AD418">
        <f ca="1">Table133[[#This Row],[Put Gex]]*Table133[[#This Row],[DeltaP]]*-1</f>
        <v>0</v>
      </c>
      <c r="AE418">
        <f ca="1">Table133[[#This Row],[Call Gex]]*Table133[[#This Row],[DeltaC]]</f>
        <v>0</v>
      </c>
      <c r="AF418">
        <f>IF(Table133[[#This Row],[DeltaC]]-ABS(Table133[[#This Row],[DeltaP]])="0","0.01",Table133[[#This Row],[DeltaC]]-ABS(Table133[[#This Row],[DeltaP]]))</f>
        <v>0</v>
      </c>
      <c r="AG418" t="e">
        <f ca="1">((LN($A$4/Table133[[#This Row],[Strike]]) + (0.411 + 0.5 * Table133[[#This Row],[IV Calc P]]^2) *Table133[[#This Row],[T]])) / (Table133[[#This Row],[IV Calc P]] * SQRT(Table133[[#This Row],[T]]))</f>
        <v>#DIV/0!</v>
      </c>
      <c r="AH418" t="e">
        <f ca="1">(LN($A$4/Table133[[#This Row],[Strike]]) + (0.411-0 + 0.5 * Table133[[#This Row],[IV Calc C]]^2) *Table133[[#This Row],[T]]) / (Table133[[#This Row],[IV Calc C]] * SQRT(Table133[[#This Row],[T]]))</f>
        <v>#DIV/0!</v>
      </c>
      <c r="AI418" t="e">
        <f ca="1">(EXP(-(AG418^2)/2)/SQRT(2*PI())*EXP(0*SQRT(Table133[[#This Row],[T]]))/$A$4*18%*SQRT(SQRT(Table133[[#This Row],[T]])))</f>
        <v>#DIV/0!</v>
      </c>
      <c r="AJ418" t="e">
        <f ca="1">(EXP(-(AH418^2)/2)/SQRT(2*PI())*EXP(0*SQRT(Table133[[#This Row],[T]]))/$A$4*18%*SQRT(SQRT(Table133[[#This Row],[T]])))</f>
        <v>#DIV/0!</v>
      </c>
      <c r="AK418" t="e">
        <f ca="1">Table133[[#This Row],[Call D1]]-Table133[[#This Row],[IV Calc C]]*SQRT(Table133[[#This Row],[T]])</f>
        <v>#DIV/0!</v>
      </c>
      <c r="AL418" t="e">
        <f ca="1">Table133[[#This Row],[Put D1]]-Table133[[#This Row],[IV Calc P]]*SQRT(Table133[[#This Row],[T]])</f>
        <v>#DIV/0!</v>
      </c>
      <c r="AM418" t="e">
        <f ca="1">EXP(-0.5*Table133[[#This Row],[Call D1]]^2)/SQRT(2*PI())</f>
        <v>#DIV/0!</v>
      </c>
      <c r="AN418" t="e">
        <f ca="1">EXP(-0.5*Table133[[#This Row],[Put D1]]^2)/SQRT(2*PI())</f>
        <v>#DIV/0!</v>
      </c>
      <c r="AO41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8">
        <f ca="1">((Table133[[#This Row],[call vanna]]+Table133[[#This Row],[put vanna]])*$A$4)</f>
        <v>0</v>
      </c>
      <c r="AR41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8" s="9" t="str" cm="1">
        <f t="array" ref="AT418">_xlfn.IFS(     $M$1="SPX","SPXW",     $M$1="RUT","RUTW",  $M$1="NDX","NDXP",   TRUE,$M$1 )</f>
        <v>SPXW</v>
      </c>
      <c r="AU418" s="2">
        <f t="shared" si="47"/>
        <v>6915</v>
      </c>
      <c r="AV418" t="str">
        <f t="shared" si="48"/>
        <v>000100</v>
      </c>
      <c r="AY41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8">
        <f>((Table133[[#This Row],[High C]]+Table133[[#This Row],[Low C]])/2)*Table133[[#This Row],[gammac]]*Table133[[#This Row],[Volume]]</f>
        <v>0</v>
      </c>
      <c r="BD418">
        <f>((Table133[[#This Row],[High P]]+Table133[[#This Row],[Low P]])/2)*Table133[[#This Row],[gammap]]*Table133[[#This Row],[Volume9]]*-1</f>
        <v>0</v>
      </c>
      <c r="BE418">
        <f>(Table133[[#This Row],[SgammaC]]+Table133[[#This Row],[SgammaP]])*$A$4*-100</f>
        <v>0</v>
      </c>
      <c r="BF418" s="78">
        <f>Table133[[#This Row],[DEXc]]+Table133[[#This Row],[DEXp]]</f>
        <v>0</v>
      </c>
      <c r="BG418">
        <f>IFERROR(Table133[[#This Row],[DeltaC]]*Table133[[#This Row],[Open.Int]]*$A$4,0)</f>
        <v>0</v>
      </c>
      <c r="BH418">
        <f>IFERROR(Table133[[#This Row],[DeltaP]]*Table133[[#This Row],[Open.Int8]]*$A$4,0)</f>
        <v>0</v>
      </c>
      <c r="BI41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8">
        <f ca="1">Table133[[#This Row],[charmc]]+Table133[[#This Row],[charmp]]</f>
        <v>0</v>
      </c>
      <c r="BL41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8" s="78">
        <f ca="1">Table133[[#This Row],[call helper]]+Table133[[#This Row],[put helper]]</f>
        <v>0</v>
      </c>
      <c r="BP418" t="str">
        <f>RTD("tos.rtd", , "STRIKE", "."&amp;Table133[[#This Row],[Ticker]]&amp;Table133[[#This Row],[Expiry]]&amp;""&amp;"C"&amp;Table133[[#This Row],[Spot]]+Table133[[#This Row],[step]])</f>
        <v>N/A</v>
      </c>
    </row>
    <row r="419" spans="1:68" x14ac:dyDescent="0.25">
      <c r="A419" s="14">
        <f t="shared" ca="1" si="44"/>
        <v>-126.14810350076104</v>
      </c>
      <c r="C419" s="17"/>
      <c r="D419" t="str">
        <f>RTD("tos.rtd", , "OPEN_INT", "."&amp;Table133[[#This Row],[Ticker]]&amp;Table133[[#This Row],[Expiry]]&amp;""&amp;"C"&amp;Table133[[#This Row],[Spot]]+Table133[[#This Row],[step]])</f>
        <v>N/A</v>
      </c>
      <c r="E41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9" t="b">
        <f>IF(     ISNUMBER(Table133[[#This Row],[Strike]]),RTD("tos.rtd", , "DELTA", "."&amp;Table133[[#This Row],[Ticker]]&amp;Table133[[#This Row],[Expiry]]&amp;""&amp;"C"&amp;Table133[[#This Row],[Strike]]))</f>
        <v>0</v>
      </c>
      <c r="H419" s="17" cm="1">
        <f t="array" aca="1" ref="H419" ca="1">IndividualLegIVCore($A$4, Table133[[#This Row],[Strike]], 0.0411, Table133[[#This Row],[T]], ((Table133[[#This Row],[BIDC]]+Table133[[#This Row],[ASKC]])/2), TRUE)</f>
        <v>0.01</v>
      </c>
      <c r="I419" t="b">
        <f>IF(     ISNUMBER(Table133[[#This Row],[Strike]]),RTD("tos.rtd", , "BID", "."&amp;Table133[[#This Row],[Ticker]]&amp;Table133[[#This Row],[Expiry]]&amp;""&amp;"C"&amp;Table133[[#This Row],[Strike]]))</f>
        <v>0</v>
      </c>
      <c r="J419" t="b">
        <f>IF(     ISNUMBER(Table133[[#This Row],[Strike]]),RTD("tos.rtd", , "ASK", "."&amp;Table133[[#This Row],[Ticker]]&amp;Table133[[#This Row],[Expiry]]&amp;""&amp;"C"&amp;Table133[[#This Row],[Strike]]))</f>
        <v>0</v>
      </c>
      <c r="K419" s="17"/>
      <c r="M419" s="1">
        <f t="shared" si="45"/>
        <v>0</v>
      </c>
      <c r="N419" t="b">
        <f t="shared" si="46"/>
        <v>0</v>
      </c>
      <c r="P419" s="17" cm="1">
        <f t="array" aca="1" ref="P419" ca="1">IndividualLegIVCore($A$4, Table133[[#This Row],[Strike]], 0.0411, Table133[[#This Row],[T]], ((Table133[[#This Row],[BIDP]]+Table133[[#This Row],[ASKP]])/2), FALSE)</f>
        <v>0.01</v>
      </c>
      <c r="Q419" t="b">
        <f>IF(     ISNUMBER(Table133[[#This Row],[Strike]]),RTD("tos.rtd", , "BID", "."&amp;Table133[[#This Row],[Ticker]]&amp;Table133[[#This Row],[Expiry]]&amp;""&amp;"P"&amp;Table133[[#This Row],[Strike]]))</f>
        <v>0</v>
      </c>
      <c r="R419" t="b">
        <f>IF(     ISNUMBER(Table133[[#This Row],[Strike]]),RTD("tos.rtd", , "ASK", "."&amp;Table133[[#This Row],[Ticker]]&amp;Table133[[#This Row],[Expiry]]&amp;""&amp;"P"&amp;Table133[[#This Row],[Strike]]))</f>
        <v>0</v>
      </c>
      <c r="S419" s="17"/>
      <c r="T419" t="b">
        <f>IF(     ISNUMBER(Table133[[#This Row],[Strike]]),RTD("tos.rtd", , "OPEN_INT", "."&amp;Table133[[#This Row],[Ticker]]&amp;Table133[[#This Row],[Expiry]]&amp;""&amp;"P"&amp;Table133[[#This Row],[Strike]]))</f>
        <v>0</v>
      </c>
      <c r="U41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9" t="b">
        <f>IF(     ISNUMBER(Table133[[#This Row],[Strike]]),RTD("tos.rtd", , "DELTA", "."&amp;Table133[[#This Row],[Ticker]]&amp;Table133[[#This Row],[Expiry]]&amp;""&amp;"P"&amp;Table133[[#This Row],[Strike]]))</f>
        <v>0</v>
      </c>
      <c r="Y419" s="19">
        <f>-48.5* IF($M$1="NDX", 10, IF(OR($M$1="SPX", $M$1="RUT"), 2, 1))</f>
        <v>-97</v>
      </c>
      <c r="Z419">
        <f ca="1">IFERROR(Table133[[#This Row],[call gamma]]*(Table133[[#This Row],[Open.Int]])*$A$4^2,0)</f>
        <v>0</v>
      </c>
      <c r="AA419">
        <f ca="1">IFERROR(((Table133[[#This Row],[Open.Int8]])*Table133[[#This Row],[Put gamma]])*-1*$A$4^2,0)</f>
        <v>0</v>
      </c>
      <c r="AB419">
        <f ca="1">(Table133[[#This Row],[Call Gex]]+Table133[[#This Row],[Put Gex]])</f>
        <v>0</v>
      </c>
      <c r="AC419">
        <f ca="1">Table133[[#This Row],[put delta adj]]+Table133[[#This Row],[call delta adj]]</f>
        <v>0</v>
      </c>
      <c r="AD419">
        <f ca="1">Table133[[#This Row],[Put Gex]]*Table133[[#This Row],[DeltaP]]*-1</f>
        <v>0</v>
      </c>
      <c r="AE419">
        <f ca="1">Table133[[#This Row],[Call Gex]]*Table133[[#This Row],[DeltaC]]</f>
        <v>0</v>
      </c>
      <c r="AF419">
        <f>IF(Table133[[#This Row],[DeltaC]]-ABS(Table133[[#This Row],[DeltaP]])="0","0.01",Table133[[#This Row],[DeltaC]]-ABS(Table133[[#This Row],[DeltaP]]))</f>
        <v>0</v>
      </c>
      <c r="AG419" t="e">
        <f ca="1">((LN($A$4/Table133[[#This Row],[Strike]]) + (0.411 + 0.5 * Table133[[#This Row],[IV Calc P]]^2) *Table133[[#This Row],[T]])) / (Table133[[#This Row],[IV Calc P]] * SQRT(Table133[[#This Row],[T]]))</f>
        <v>#DIV/0!</v>
      </c>
      <c r="AH419" t="e">
        <f ca="1">(LN($A$4/Table133[[#This Row],[Strike]]) + (0.411-0 + 0.5 * Table133[[#This Row],[IV Calc C]]^2) *Table133[[#This Row],[T]]) / (Table133[[#This Row],[IV Calc C]] * SQRT(Table133[[#This Row],[T]]))</f>
        <v>#DIV/0!</v>
      </c>
      <c r="AI419" t="e">
        <f ca="1">(EXP(-(AG419^2)/2)/SQRT(2*PI())*EXP(0*SQRT(Table133[[#This Row],[T]]))/$A$4*18%*SQRT(SQRT(Table133[[#This Row],[T]])))</f>
        <v>#DIV/0!</v>
      </c>
      <c r="AJ419" t="e">
        <f ca="1">(EXP(-(AH419^2)/2)/SQRT(2*PI())*EXP(0*SQRT(Table133[[#This Row],[T]]))/$A$4*18%*SQRT(SQRT(Table133[[#This Row],[T]])))</f>
        <v>#DIV/0!</v>
      </c>
      <c r="AK419" t="e">
        <f ca="1">Table133[[#This Row],[Call D1]]-Table133[[#This Row],[IV Calc C]]*SQRT(Table133[[#This Row],[T]])</f>
        <v>#DIV/0!</v>
      </c>
      <c r="AL419" t="e">
        <f ca="1">Table133[[#This Row],[Put D1]]-Table133[[#This Row],[IV Calc P]]*SQRT(Table133[[#This Row],[T]])</f>
        <v>#DIV/0!</v>
      </c>
      <c r="AM419" t="e">
        <f ca="1">EXP(-0.5*Table133[[#This Row],[Call D1]]^2)/SQRT(2*PI())</f>
        <v>#DIV/0!</v>
      </c>
      <c r="AN419" t="e">
        <f ca="1">EXP(-0.5*Table133[[#This Row],[Put D1]]^2)/SQRT(2*PI())</f>
        <v>#DIV/0!</v>
      </c>
      <c r="AO41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9">
        <f ca="1">((Table133[[#This Row],[call vanna]]+Table133[[#This Row],[put vanna]])*$A$4)</f>
        <v>0</v>
      </c>
      <c r="AR41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9" s="9" t="str" cm="1">
        <f t="array" ref="AT419">_xlfn.IFS(     $M$1="SPX","SPXW",     $M$1="RUT","RUTW",  $M$1="NDX","NDXP",   TRUE,$M$1 )</f>
        <v>SPXW</v>
      </c>
      <c r="AU419" s="2">
        <f t="shared" si="47"/>
        <v>6915</v>
      </c>
      <c r="AV419" t="str">
        <f t="shared" si="48"/>
        <v>000100</v>
      </c>
      <c r="AY41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9">
        <f>((Table133[[#This Row],[High C]]+Table133[[#This Row],[Low C]])/2)*Table133[[#This Row],[gammac]]*Table133[[#This Row],[Volume]]</f>
        <v>0</v>
      </c>
      <c r="BD419">
        <f>((Table133[[#This Row],[High P]]+Table133[[#This Row],[Low P]])/2)*Table133[[#This Row],[gammap]]*Table133[[#This Row],[Volume9]]*-1</f>
        <v>0</v>
      </c>
      <c r="BE419">
        <f>(Table133[[#This Row],[SgammaC]]+Table133[[#This Row],[SgammaP]])*$A$4*-100</f>
        <v>0</v>
      </c>
      <c r="BF419" s="78">
        <f>Table133[[#This Row],[DEXc]]+Table133[[#This Row],[DEXp]]</f>
        <v>0</v>
      </c>
      <c r="BG419">
        <f>IFERROR(Table133[[#This Row],[DeltaC]]*Table133[[#This Row],[Open.Int]]*$A$4,0)</f>
        <v>0</v>
      </c>
      <c r="BH419">
        <f>IFERROR(Table133[[#This Row],[DeltaP]]*Table133[[#This Row],[Open.Int8]]*$A$4,0)</f>
        <v>0</v>
      </c>
      <c r="BI41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9">
        <f ca="1">Table133[[#This Row],[charmc]]+Table133[[#This Row],[charmp]]</f>
        <v>0</v>
      </c>
      <c r="BL41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9" s="78">
        <f ca="1">Table133[[#This Row],[call helper]]+Table133[[#This Row],[put helper]]</f>
        <v>0</v>
      </c>
      <c r="BP419" t="str">
        <f>RTD("tos.rtd", , "STRIKE", "."&amp;Table133[[#This Row],[Ticker]]&amp;Table133[[#This Row],[Expiry]]&amp;""&amp;"C"&amp;Table133[[#This Row],[Spot]]+Table133[[#This Row],[step]])</f>
        <v>N/A</v>
      </c>
    </row>
    <row r="420" spans="1:68" x14ac:dyDescent="0.25">
      <c r="A420" s="14">
        <f t="shared" ca="1" si="44"/>
        <v>-126.14810350076104</v>
      </c>
      <c r="C420" s="17"/>
      <c r="D420" t="str">
        <f>RTD("tos.rtd", , "OPEN_INT", "."&amp;Table133[[#This Row],[Ticker]]&amp;Table133[[#This Row],[Expiry]]&amp;""&amp;"C"&amp;Table133[[#This Row],[Spot]]+Table133[[#This Row],[step]])</f>
        <v>N/A</v>
      </c>
      <c r="E42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0" t="b">
        <f>IF(     ISNUMBER(Table133[[#This Row],[Strike]]),RTD("tos.rtd", , "DELTA", "."&amp;Table133[[#This Row],[Ticker]]&amp;Table133[[#This Row],[Expiry]]&amp;""&amp;"C"&amp;Table133[[#This Row],[Strike]]))</f>
        <v>0</v>
      </c>
      <c r="H420" s="17" cm="1">
        <f t="array" aca="1" ref="H420" ca="1">IndividualLegIVCore($A$4, Table133[[#This Row],[Strike]], 0.0411, Table133[[#This Row],[T]], ((Table133[[#This Row],[BIDC]]+Table133[[#This Row],[ASKC]])/2), TRUE)</f>
        <v>0.01</v>
      </c>
      <c r="I420" t="b">
        <f>IF(     ISNUMBER(Table133[[#This Row],[Strike]]),RTD("tos.rtd", , "BID", "."&amp;Table133[[#This Row],[Ticker]]&amp;Table133[[#This Row],[Expiry]]&amp;""&amp;"C"&amp;Table133[[#This Row],[Strike]]))</f>
        <v>0</v>
      </c>
      <c r="J420" t="b">
        <f>IF(     ISNUMBER(Table133[[#This Row],[Strike]]),RTD("tos.rtd", , "ASK", "."&amp;Table133[[#This Row],[Ticker]]&amp;Table133[[#This Row],[Expiry]]&amp;""&amp;"C"&amp;Table133[[#This Row],[Strike]]))</f>
        <v>0</v>
      </c>
      <c r="K420" s="17"/>
      <c r="M420" s="1">
        <f t="shared" si="45"/>
        <v>0</v>
      </c>
      <c r="N420" t="b">
        <f t="shared" si="46"/>
        <v>0</v>
      </c>
      <c r="P420" s="17" cm="1">
        <f t="array" aca="1" ref="P420" ca="1">IndividualLegIVCore($A$4, Table133[[#This Row],[Strike]], 0.0411, Table133[[#This Row],[T]], ((Table133[[#This Row],[BIDP]]+Table133[[#This Row],[ASKP]])/2), FALSE)</f>
        <v>0.01</v>
      </c>
      <c r="Q420" t="b">
        <f>IF(     ISNUMBER(Table133[[#This Row],[Strike]]),RTD("tos.rtd", , "BID", "."&amp;Table133[[#This Row],[Ticker]]&amp;Table133[[#This Row],[Expiry]]&amp;""&amp;"P"&amp;Table133[[#This Row],[Strike]]))</f>
        <v>0</v>
      </c>
      <c r="R420" t="b">
        <f>IF(     ISNUMBER(Table133[[#This Row],[Strike]]),RTD("tos.rtd", , "ASK", "."&amp;Table133[[#This Row],[Ticker]]&amp;Table133[[#This Row],[Expiry]]&amp;""&amp;"P"&amp;Table133[[#This Row],[Strike]]))</f>
        <v>0</v>
      </c>
      <c r="S420" s="17"/>
      <c r="T420" t="b">
        <f>IF(     ISNUMBER(Table133[[#This Row],[Strike]]),RTD("tos.rtd", , "OPEN_INT", "."&amp;Table133[[#This Row],[Ticker]]&amp;Table133[[#This Row],[Expiry]]&amp;""&amp;"P"&amp;Table133[[#This Row],[Strike]]))</f>
        <v>0</v>
      </c>
      <c r="U42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0" t="b">
        <f>IF(     ISNUMBER(Table133[[#This Row],[Strike]]),RTD("tos.rtd", , "DELTA", "."&amp;Table133[[#This Row],[Ticker]]&amp;Table133[[#This Row],[Expiry]]&amp;""&amp;"P"&amp;Table133[[#This Row],[Strike]]))</f>
        <v>0</v>
      </c>
      <c r="Y420" s="19">
        <f>-48* IF($M$1="NDX", 10, IF(OR($M$1="SPX", $M$1="RUT"), 2, 1))</f>
        <v>-96</v>
      </c>
      <c r="Z420">
        <f ca="1">IFERROR(Table133[[#This Row],[call gamma]]*(Table133[[#This Row],[Open.Int]])*$A$4^2,0)</f>
        <v>0</v>
      </c>
      <c r="AA420">
        <f ca="1">IFERROR(((Table133[[#This Row],[Open.Int8]])*Table133[[#This Row],[Put gamma]])*-1*$A$4^2,0)</f>
        <v>0</v>
      </c>
      <c r="AB420">
        <f ca="1">(Table133[[#This Row],[Call Gex]]+Table133[[#This Row],[Put Gex]])</f>
        <v>0</v>
      </c>
      <c r="AC420">
        <f ca="1">Table133[[#This Row],[put delta adj]]+Table133[[#This Row],[call delta adj]]</f>
        <v>0</v>
      </c>
      <c r="AD420">
        <f ca="1">Table133[[#This Row],[Put Gex]]*Table133[[#This Row],[DeltaP]]*-1</f>
        <v>0</v>
      </c>
      <c r="AE420">
        <f ca="1">Table133[[#This Row],[Call Gex]]*Table133[[#This Row],[DeltaC]]</f>
        <v>0</v>
      </c>
      <c r="AF420">
        <f>IF(Table133[[#This Row],[DeltaC]]-ABS(Table133[[#This Row],[DeltaP]])="0","0.01",Table133[[#This Row],[DeltaC]]-ABS(Table133[[#This Row],[DeltaP]]))</f>
        <v>0</v>
      </c>
      <c r="AG420" t="e">
        <f ca="1">((LN($A$4/Table133[[#This Row],[Strike]]) + (0.411 + 0.5 * Table133[[#This Row],[IV Calc P]]^2) *Table133[[#This Row],[T]])) / (Table133[[#This Row],[IV Calc P]] * SQRT(Table133[[#This Row],[T]]))</f>
        <v>#DIV/0!</v>
      </c>
      <c r="AH420" t="e">
        <f ca="1">(LN($A$4/Table133[[#This Row],[Strike]]) + (0.411-0 + 0.5 * Table133[[#This Row],[IV Calc C]]^2) *Table133[[#This Row],[T]]) / (Table133[[#This Row],[IV Calc C]] * SQRT(Table133[[#This Row],[T]]))</f>
        <v>#DIV/0!</v>
      </c>
      <c r="AI420" t="e">
        <f ca="1">(EXP(-(AG420^2)/2)/SQRT(2*PI())*EXP(0*SQRT(Table133[[#This Row],[T]]))/$A$4*18%*SQRT(SQRT(Table133[[#This Row],[T]])))</f>
        <v>#DIV/0!</v>
      </c>
      <c r="AJ420" t="e">
        <f ca="1">(EXP(-(AH420^2)/2)/SQRT(2*PI())*EXP(0*SQRT(Table133[[#This Row],[T]]))/$A$4*18%*SQRT(SQRT(Table133[[#This Row],[T]])))</f>
        <v>#DIV/0!</v>
      </c>
      <c r="AK420" t="e">
        <f ca="1">Table133[[#This Row],[Call D1]]-Table133[[#This Row],[IV Calc C]]*SQRT(Table133[[#This Row],[T]])</f>
        <v>#DIV/0!</v>
      </c>
      <c r="AL420" t="e">
        <f ca="1">Table133[[#This Row],[Put D1]]-Table133[[#This Row],[IV Calc P]]*SQRT(Table133[[#This Row],[T]])</f>
        <v>#DIV/0!</v>
      </c>
      <c r="AM420" t="e">
        <f ca="1">EXP(-0.5*Table133[[#This Row],[Call D1]]^2)/SQRT(2*PI())</f>
        <v>#DIV/0!</v>
      </c>
      <c r="AN420" t="e">
        <f ca="1">EXP(-0.5*Table133[[#This Row],[Put D1]]^2)/SQRT(2*PI())</f>
        <v>#DIV/0!</v>
      </c>
      <c r="AO42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0">
        <f ca="1">((Table133[[#This Row],[call vanna]]+Table133[[#This Row],[put vanna]])*$A$4)</f>
        <v>0</v>
      </c>
      <c r="AR42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0" s="9" t="str" cm="1">
        <f t="array" ref="AT420">_xlfn.IFS(     $M$1="SPX","SPXW",     $M$1="RUT","RUTW",  $M$1="NDX","NDXP",   TRUE,$M$1 )</f>
        <v>SPXW</v>
      </c>
      <c r="AU420" s="2">
        <f t="shared" si="47"/>
        <v>6915</v>
      </c>
      <c r="AV420" t="str">
        <f t="shared" si="48"/>
        <v>000100</v>
      </c>
      <c r="AY42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0">
        <f>((Table133[[#This Row],[High C]]+Table133[[#This Row],[Low C]])/2)*Table133[[#This Row],[gammac]]*Table133[[#This Row],[Volume]]</f>
        <v>0</v>
      </c>
      <c r="BD420">
        <f>((Table133[[#This Row],[High P]]+Table133[[#This Row],[Low P]])/2)*Table133[[#This Row],[gammap]]*Table133[[#This Row],[Volume9]]*-1</f>
        <v>0</v>
      </c>
      <c r="BE420">
        <f>(Table133[[#This Row],[SgammaC]]+Table133[[#This Row],[SgammaP]])*$A$4*-100</f>
        <v>0</v>
      </c>
      <c r="BF420" s="78">
        <f>Table133[[#This Row],[DEXc]]+Table133[[#This Row],[DEXp]]</f>
        <v>0</v>
      </c>
      <c r="BG420">
        <f>IFERROR(Table133[[#This Row],[DeltaC]]*Table133[[#This Row],[Open.Int]]*$A$4,0)</f>
        <v>0</v>
      </c>
      <c r="BH420">
        <f>IFERROR(Table133[[#This Row],[DeltaP]]*Table133[[#This Row],[Open.Int8]]*$A$4,0)</f>
        <v>0</v>
      </c>
      <c r="BI42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0">
        <f ca="1">Table133[[#This Row],[charmc]]+Table133[[#This Row],[charmp]]</f>
        <v>0</v>
      </c>
      <c r="BL42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0" s="78">
        <f ca="1">Table133[[#This Row],[call helper]]+Table133[[#This Row],[put helper]]</f>
        <v>0</v>
      </c>
      <c r="BP420" t="str">
        <f>RTD("tos.rtd", , "STRIKE", "."&amp;Table133[[#This Row],[Ticker]]&amp;Table133[[#This Row],[Expiry]]&amp;""&amp;"C"&amp;Table133[[#This Row],[Spot]]+Table133[[#This Row],[step]])</f>
        <v>N/A</v>
      </c>
    </row>
    <row r="421" spans="1:68" x14ac:dyDescent="0.25">
      <c r="A421" s="14">
        <f t="shared" ca="1" si="44"/>
        <v>-126.14810350076104</v>
      </c>
      <c r="C421" s="17"/>
      <c r="D421" t="str">
        <f>RTD("tos.rtd", , "OPEN_INT", "."&amp;Table133[[#This Row],[Ticker]]&amp;Table133[[#This Row],[Expiry]]&amp;""&amp;"C"&amp;Table133[[#This Row],[Spot]]+Table133[[#This Row],[step]])</f>
        <v>N/A</v>
      </c>
      <c r="E42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1" t="b">
        <f>IF(     ISNUMBER(Table133[[#This Row],[Strike]]),RTD("tos.rtd", , "DELTA", "."&amp;Table133[[#This Row],[Ticker]]&amp;Table133[[#This Row],[Expiry]]&amp;""&amp;"C"&amp;Table133[[#This Row],[Strike]]))</f>
        <v>0</v>
      </c>
      <c r="H421" s="17" cm="1">
        <f t="array" aca="1" ref="H421" ca="1">IndividualLegIVCore($A$4, Table133[[#This Row],[Strike]], 0.0411, Table133[[#This Row],[T]], ((Table133[[#This Row],[BIDC]]+Table133[[#This Row],[ASKC]])/2), TRUE)</f>
        <v>0.01</v>
      </c>
      <c r="I421" t="b">
        <f>IF(     ISNUMBER(Table133[[#This Row],[Strike]]),RTD("tos.rtd", , "BID", "."&amp;Table133[[#This Row],[Ticker]]&amp;Table133[[#This Row],[Expiry]]&amp;""&amp;"C"&amp;Table133[[#This Row],[Strike]]))</f>
        <v>0</v>
      </c>
      <c r="J421" t="b">
        <f>IF(     ISNUMBER(Table133[[#This Row],[Strike]]),RTD("tos.rtd", , "ASK", "."&amp;Table133[[#This Row],[Ticker]]&amp;Table133[[#This Row],[Expiry]]&amp;""&amp;"C"&amp;Table133[[#This Row],[Strike]]))</f>
        <v>0</v>
      </c>
      <c r="K421" s="17"/>
      <c r="M421" s="1">
        <f t="shared" si="45"/>
        <v>0</v>
      </c>
      <c r="N421" t="b">
        <f t="shared" si="46"/>
        <v>0</v>
      </c>
      <c r="P421" s="17" cm="1">
        <f t="array" aca="1" ref="P421" ca="1">IndividualLegIVCore($A$4, Table133[[#This Row],[Strike]], 0.0411, Table133[[#This Row],[T]], ((Table133[[#This Row],[BIDP]]+Table133[[#This Row],[ASKP]])/2), FALSE)</f>
        <v>0.01</v>
      </c>
      <c r="Q421" t="b">
        <f>IF(     ISNUMBER(Table133[[#This Row],[Strike]]),RTD("tos.rtd", , "BID", "."&amp;Table133[[#This Row],[Ticker]]&amp;Table133[[#This Row],[Expiry]]&amp;""&amp;"P"&amp;Table133[[#This Row],[Strike]]))</f>
        <v>0</v>
      </c>
      <c r="R421" t="b">
        <f>IF(     ISNUMBER(Table133[[#This Row],[Strike]]),RTD("tos.rtd", , "ASK", "."&amp;Table133[[#This Row],[Ticker]]&amp;Table133[[#This Row],[Expiry]]&amp;""&amp;"P"&amp;Table133[[#This Row],[Strike]]))</f>
        <v>0</v>
      </c>
      <c r="S421" s="17"/>
      <c r="T421" t="b">
        <f>IF(     ISNUMBER(Table133[[#This Row],[Strike]]),RTD("tos.rtd", , "OPEN_INT", "."&amp;Table133[[#This Row],[Ticker]]&amp;Table133[[#This Row],[Expiry]]&amp;""&amp;"P"&amp;Table133[[#This Row],[Strike]]))</f>
        <v>0</v>
      </c>
      <c r="U42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1" t="b">
        <f>IF(     ISNUMBER(Table133[[#This Row],[Strike]]),RTD("tos.rtd", , "DELTA", "."&amp;Table133[[#This Row],[Ticker]]&amp;Table133[[#This Row],[Expiry]]&amp;""&amp;"P"&amp;Table133[[#This Row],[Strike]]))</f>
        <v>0</v>
      </c>
      <c r="Y421" s="19">
        <f>-47.5* IF($M$1="NDX", 10, IF(OR($M$1="SPX", $M$1="RUT"), 2, 1))</f>
        <v>-95</v>
      </c>
      <c r="Z421">
        <f ca="1">IFERROR(Table133[[#This Row],[call gamma]]*(Table133[[#This Row],[Open.Int]])*$A$4^2,0)</f>
        <v>0</v>
      </c>
      <c r="AA421">
        <f ca="1">IFERROR(((Table133[[#This Row],[Open.Int8]])*Table133[[#This Row],[Put gamma]])*-1*$A$4^2,0)</f>
        <v>0</v>
      </c>
      <c r="AB421">
        <f ca="1">(Table133[[#This Row],[Call Gex]]+Table133[[#This Row],[Put Gex]])</f>
        <v>0</v>
      </c>
      <c r="AC421">
        <f ca="1">Table133[[#This Row],[put delta adj]]+Table133[[#This Row],[call delta adj]]</f>
        <v>0</v>
      </c>
      <c r="AD421">
        <f ca="1">Table133[[#This Row],[Put Gex]]*Table133[[#This Row],[DeltaP]]*-1</f>
        <v>0</v>
      </c>
      <c r="AE421">
        <f ca="1">Table133[[#This Row],[Call Gex]]*Table133[[#This Row],[DeltaC]]</f>
        <v>0</v>
      </c>
      <c r="AF421">
        <f>IF(Table133[[#This Row],[DeltaC]]-ABS(Table133[[#This Row],[DeltaP]])="0","0.01",Table133[[#This Row],[DeltaC]]-ABS(Table133[[#This Row],[DeltaP]]))</f>
        <v>0</v>
      </c>
      <c r="AG421" t="e">
        <f ca="1">((LN($A$4/Table133[[#This Row],[Strike]]) + (0.411 + 0.5 * Table133[[#This Row],[IV Calc P]]^2) *Table133[[#This Row],[T]])) / (Table133[[#This Row],[IV Calc P]] * SQRT(Table133[[#This Row],[T]]))</f>
        <v>#DIV/0!</v>
      </c>
      <c r="AH421" t="e">
        <f ca="1">(LN($A$4/Table133[[#This Row],[Strike]]) + (0.411-0 + 0.5 * Table133[[#This Row],[IV Calc C]]^2) *Table133[[#This Row],[T]]) / (Table133[[#This Row],[IV Calc C]] * SQRT(Table133[[#This Row],[T]]))</f>
        <v>#DIV/0!</v>
      </c>
      <c r="AI421" t="e">
        <f ca="1">(EXP(-(AG421^2)/2)/SQRT(2*PI())*EXP(0*SQRT(Table133[[#This Row],[T]]))/$A$4*18%*SQRT(SQRT(Table133[[#This Row],[T]])))</f>
        <v>#DIV/0!</v>
      </c>
      <c r="AJ421" t="e">
        <f ca="1">(EXP(-(AH421^2)/2)/SQRT(2*PI())*EXP(0*SQRT(Table133[[#This Row],[T]]))/$A$4*18%*SQRT(SQRT(Table133[[#This Row],[T]])))</f>
        <v>#DIV/0!</v>
      </c>
      <c r="AK421" t="e">
        <f ca="1">Table133[[#This Row],[Call D1]]-Table133[[#This Row],[IV Calc C]]*SQRT(Table133[[#This Row],[T]])</f>
        <v>#DIV/0!</v>
      </c>
      <c r="AL421" t="e">
        <f ca="1">Table133[[#This Row],[Put D1]]-Table133[[#This Row],[IV Calc P]]*SQRT(Table133[[#This Row],[T]])</f>
        <v>#DIV/0!</v>
      </c>
      <c r="AM421" t="e">
        <f ca="1">EXP(-0.5*Table133[[#This Row],[Call D1]]^2)/SQRT(2*PI())</f>
        <v>#DIV/0!</v>
      </c>
      <c r="AN421" t="e">
        <f ca="1">EXP(-0.5*Table133[[#This Row],[Put D1]]^2)/SQRT(2*PI())</f>
        <v>#DIV/0!</v>
      </c>
      <c r="AO42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1">
        <f ca="1">((Table133[[#This Row],[call vanna]]+Table133[[#This Row],[put vanna]])*$A$4)</f>
        <v>0</v>
      </c>
      <c r="AR42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1" s="9" t="str" cm="1">
        <f t="array" ref="AT421">_xlfn.IFS(     $M$1="SPX","SPXW",     $M$1="RUT","RUTW",  $M$1="NDX","NDXP",   TRUE,$M$1 )</f>
        <v>SPXW</v>
      </c>
      <c r="AU421" s="2">
        <f t="shared" si="47"/>
        <v>6915</v>
      </c>
      <c r="AV421" t="str">
        <f t="shared" si="48"/>
        <v>000100</v>
      </c>
      <c r="AY42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1">
        <f>((Table133[[#This Row],[High C]]+Table133[[#This Row],[Low C]])/2)*Table133[[#This Row],[gammac]]*Table133[[#This Row],[Volume]]</f>
        <v>0</v>
      </c>
      <c r="BD421">
        <f>((Table133[[#This Row],[High P]]+Table133[[#This Row],[Low P]])/2)*Table133[[#This Row],[gammap]]*Table133[[#This Row],[Volume9]]*-1</f>
        <v>0</v>
      </c>
      <c r="BE421">
        <f>(Table133[[#This Row],[SgammaC]]+Table133[[#This Row],[SgammaP]])*$A$4*-100</f>
        <v>0</v>
      </c>
      <c r="BF421" s="78">
        <f>Table133[[#This Row],[DEXc]]+Table133[[#This Row],[DEXp]]</f>
        <v>0</v>
      </c>
      <c r="BG421">
        <f>IFERROR(Table133[[#This Row],[DeltaC]]*Table133[[#This Row],[Open.Int]]*$A$4,0)</f>
        <v>0</v>
      </c>
      <c r="BH421">
        <f>IFERROR(Table133[[#This Row],[DeltaP]]*Table133[[#This Row],[Open.Int8]]*$A$4,0)</f>
        <v>0</v>
      </c>
      <c r="BI42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1">
        <f ca="1">Table133[[#This Row],[charmc]]+Table133[[#This Row],[charmp]]</f>
        <v>0</v>
      </c>
      <c r="BL42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1" s="78">
        <f ca="1">Table133[[#This Row],[call helper]]+Table133[[#This Row],[put helper]]</f>
        <v>0</v>
      </c>
      <c r="BP421" t="str">
        <f>RTD("tos.rtd", , "STRIKE", "."&amp;Table133[[#This Row],[Ticker]]&amp;Table133[[#This Row],[Expiry]]&amp;""&amp;"C"&amp;Table133[[#This Row],[Spot]]+Table133[[#This Row],[step]])</f>
        <v>N/A</v>
      </c>
    </row>
    <row r="422" spans="1:68" x14ac:dyDescent="0.25">
      <c r="A422" s="14">
        <f t="shared" ca="1" si="44"/>
        <v>-126.14810350076104</v>
      </c>
      <c r="C422" s="17"/>
      <c r="D422" t="str">
        <f>RTD("tos.rtd", , "OPEN_INT", "."&amp;Table133[[#This Row],[Ticker]]&amp;Table133[[#This Row],[Expiry]]&amp;""&amp;"C"&amp;Table133[[#This Row],[Spot]]+Table133[[#This Row],[step]])</f>
        <v>N/A</v>
      </c>
      <c r="E42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2" t="b">
        <f>IF(     ISNUMBER(Table133[[#This Row],[Strike]]),RTD("tos.rtd", , "DELTA", "."&amp;Table133[[#This Row],[Ticker]]&amp;Table133[[#This Row],[Expiry]]&amp;""&amp;"C"&amp;Table133[[#This Row],[Strike]]))</f>
        <v>0</v>
      </c>
      <c r="H422" s="17" cm="1">
        <f t="array" aca="1" ref="H422" ca="1">IndividualLegIVCore($A$4, Table133[[#This Row],[Strike]], 0.0411, Table133[[#This Row],[T]], ((Table133[[#This Row],[BIDC]]+Table133[[#This Row],[ASKC]])/2), TRUE)</f>
        <v>0.01</v>
      </c>
      <c r="I422" t="b">
        <f>IF(     ISNUMBER(Table133[[#This Row],[Strike]]),RTD("tos.rtd", , "BID", "."&amp;Table133[[#This Row],[Ticker]]&amp;Table133[[#This Row],[Expiry]]&amp;""&amp;"C"&amp;Table133[[#This Row],[Strike]]))</f>
        <v>0</v>
      </c>
      <c r="J422" t="b">
        <f>IF(     ISNUMBER(Table133[[#This Row],[Strike]]),RTD("tos.rtd", , "ASK", "."&amp;Table133[[#This Row],[Ticker]]&amp;Table133[[#This Row],[Expiry]]&amp;""&amp;"C"&amp;Table133[[#This Row],[Strike]]))</f>
        <v>0</v>
      </c>
      <c r="K422" s="17"/>
      <c r="M422" s="1">
        <f t="shared" si="45"/>
        <v>0</v>
      </c>
      <c r="N422" t="b">
        <f t="shared" si="46"/>
        <v>0</v>
      </c>
      <c r="P422" s="17" cm="1">
        <f t="array" aca="1" ref="P422" ca="1">IndividualLegIVCore($A$4, Table133[[#This Row],[Strike]], 0.0411, Table133[[#This Row],[T]], ((Table133[[#This Row],[BIDP]]+Table133[[#This Row],[ASKP]])/2), FALSE)</f>
        <v>0.01</v>
      </c>
      <c r="Q422" t="b">
        <f>IF(     ISNUMBER(Table133[[#This Row],[Strike]]),RTD("tos.rtd", , "BID", "."&amp;Table133[[#This Row],[Ticker]]&amp;Table133[[#This Row],[Expiry]]&amp;""&amp;"P"&amp;Table133[[#This Row],[Strike]]))</f>
        <v>0</v>
      </c>
      <c r="R422" t="b">
        <f>IF(     ISNUMBER(Table133[[#This Row],[Strike]]),RTD("tos.rtd", , "ASK", "."&amp;Table133[[#This Row],[Ticker]]&amp;Table133[[#This Row],[Expiry]]&amp;""&amp;"P"&amp;Table133[[#This Row],[Strike]]))</f>
        <v>0</v>
      </c>
      <c r="S422" s="17"/>
      <c r="T422" t="b">
        <f>IF(     ISNUMBER(Table133[[#This Row],[Strike]]),RTD("tos.rtd", , "OPEN_INT", "."&amp;Table133[[#This Row],[Ticker]]&amp;Table133[[#This Row],[Expiry]]&amp;""&amp;"P"&amp;Table133[[#This Row],[Strike]]))</f>
        <v>0</v>
      </c>
      <c r="U42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2" t="b">
        <f>IF(     ISNUMBER(Table133[[#This Row],[Strike]]),RTD("tos.rtd", , "DELTA", "."&amp;Table133[[#This Row],[Ticker]]&amp;Table133[[#This Row],[Expiry]]&amp;""&amp;"P"&amp;Table133[[#This Row],[Strike]]))</f>
        <v>0</v>
      </c>
      <c r="Y422" s="19">
        <f>-47* IF($M$1="NDX", 10, IF(OR($M$1="SPX", $M$1="RUT"), 2, 1))</f>
        <v>-94</v>
      </c>
      <c r="Z422">
        <f ca="1">IFERROR(Table133[[#This Row],[call gamma]]*(Table133[[#This Row],[Open.Int]])*$A$4^2,0)</f>
        <v>0</v>
      </c>
      <c r="AA422">
        <f ca="1">IFERROR(((Table133[[#This Row],[Open.Int8]])*Table133[[#This Row],[Put gamma]])*-1*$A$4^2,0)</f>
        <v>0</v>
      </c>
      <c r="AB422">
        <f ca="1">(Table133[[#This Row],[Call Gex]]+Table133[[#This Row],[Put Gex]])</f>
        <v>0</v>
      </c>
      <c r="AC422">
        <f ca="1">Table133[[#This Row],[put delta adj]]+Table133[[#This Row],[call delta adj]]</f>
        <v>0</v>
      </c>
      <c r="AD422">
        <f ca="1">Table133[[#This Row],[Put Gex]]*Table133[[#This Row],[DeltaP]]*-1</f>
        <v>0</v>
      </c>
      <c r="AE422">
        <f ca="1">Table133[[#This Row],[Call Gex]]*Table133[[#This Row],[DeltaC]]</f>
        <v>0</v>
      </c>
      <c r="AF422">
        <f>IF(Table133[[#This Row],[DeltaC]]-ABS(Table133[[#This Row],[DeltaP]])="0","0.01",Table133[[#This Row],[DeltaC]]-ABS(Table133[[#This Row],[DeltaP]]))</f>
        <v>0</v>
      </c>
      <c r="AG422" t="e">
        <f ca="1">((LN($A$4/Table133[[#This Row],[Strike]]) + (0.411 + 0.5 * Table133[[#This Row],[IV Calc P]]^2) *Table133[[#This Row],[T]])) / (Table133[[#This Row],[IV Calc P]] * SQRT(Table133[[#This Row],[T]]))</f>
        <v>#DIV/0!</v>
      </c>
      <c r="AH422" t="e">
        <f ca="1">(LN($A$4/Table133[[#This Row],[Strike]]) + (0.411-0 + 0.5 * Table133[[#This Row],[IV Calc C]]^2) *Table133[[#This Row],[T]]) / (Table133[[#This Row],[IV Calc C]] * SQRT(Table133[[#This Row],[T]]))</f>
        <v>#DIV/0!</v>
      </c>
      <c r="AI422" t="e">
        <f ca="1">(EXP(-(AG422^2)/2)/SQRT(2*PI())*EXP(0*SQRT(Table133[[#This Row],[T]]))/$A$4*18%*SQRT(SQRT(Table133[[#This Row],[T]])))</f>
        <v>#DIV/0!</v>
      </c>
      <c r="AJ422" t="e">
        <f ca="1">(EXP(-(AH422^2)/2)/SQRT(2*PI())*EXP(0*SQRT(Table133[[#This Row],[T]]))/$A$4*18%*SQRT(SQRT(Table133[[#This Row],[T]])))</f>
        <v>#DIV/0!</v>
      </c>
      <c r="AK422" t="e">
        <f ca="1">Table133[[#This Row],[Call D1]]-Table133[[#This Row],[IV Calc C]]*SQRT(Table133[[#This Row],[T]])</f>
        <v>#DIV/0!</v>
      </c>
      <c r="AL422" t="e">
        <f ca="1">Table133[[#This Row],[Put D1]]-Table133[[#This Row],[IV Calc P]]*SQRT(Table133[[#This Row],[T]])</f>
        <v>#DIV/0!</v>
      </c>
      <c r="AM422" t="e">
        <f ca="1">EXP(-0.5*Table133[[#This Row],[Call D1]]^2)/SQRT(2*PI())</f>
        <v>#DIV/0!</v>
      </c>
      <c r="AN422" t="e">
        <f ca="1">EXP(-0.5*Table133[[#This Row],[Put D1]]^2)/SQRT(2*PI())</f>
        <v>#DIV/0!</v>
      </c>
      <c r="AO42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2">
        <f ca="1">((Table133[[#This Row],[call vanna]]+Table133[[#This Row],[put vanna]])*$A$4)</f>
        <v>0</v>
      </c>
      <c r="AR42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2" s="9" t="str" cm="1">
        <f t="array" ref="AT422">_xlfn.IFS(     $M$1="SPX","SPXW",     $M$1="RUT","RUTW",  $M$1="NDX","NDXP",   TRUE,$M$1 )</f>
        <v>SPXW</v>
      </c>
      <c r="AU422" s="2">
        <f t="shared" si="47"/>
        <v>6915</v>
      </c>
      <c r="AV422" t="str">
        <f t="shared" si="48"/>
        <v>000100</v>
      </c>
      <c r="AY42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2">
        <f>((Table133[[#This Row],[High C]]+Table133[[#This Row],[Low C]])/2)*Table133[[#This Row],[gammac]]*Table133[[#This Row],[Volume]]</f>
        <v>0</v>
      </c>
      <c r="BD422">
        <f>((Table133[[#This Row],[High P]]+Table133[[#This Row],[Low P]])/2)*Table133[[#This Row],[gammap]]*Table133[[#This Row],[Volume9]]*-1</f>
        <v>0</v>
      </c>
      <c r="BE422">
        <f>(Table133[[#This Row],[SgammaC]]+Table133[[#This Row],[SgammaP]])*$A$4*-100</f>
        <v>0</v>
      </c>
      <c r="BF422" s="78">
        <f>Table133[[#This Row],[DEXc]]+Table133[[#This Row],[DEXp]]</f>
        <v>0</v>
      </c>
      <c r="BG422">
        <f>IFERROR(Table133[[#This Row],[DeltaC]]*Table133[[#This Row],[Open.Int]]*$A$4,0)</f>
        <v>0</v>
      </c>
      <c r="BH422">
        <f>IFERROR(Table133[[#This Row],[DeltaP]]*Table133[[#This Row],[Open.Int8]]*$A$4,0)</f>
        <v>0</v>
      </c>
      <c r="BI42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2">
        <f ca="1">Table133[[#This Row],[charmc]]+Table133[[#This Row],[charmp]]</f>
        <v>0</v>
      </c>
      <c r="BL42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2" s="78">
        <f ca="1">Table133[[#This Row],[call helper]]+Table133[[#This Row],[put helper]]</f>
        <v>0</v>
      </c>
      <c r="BP422" t="str">
        <f>RTD("tos.rtd", , "STRIKE", "."&amp;Table133[[#This Row],[Ticker]]&amp;Table133[[#This Row],[Expiry]]&amp;""&amp;"C"&amp;Table133[[#This Row],[Spot]]+Table133[[#This Row],[step]])</f>
        <v>N/A</v>
      </c>
    </row>
    <row r="423" spans="1:68" x14ac:dyDescent="0.25">
      <c r="A423" s="14">
        <f t="shared" ca="1" si="44"/>
        <v>-126.14810350076104</v>
      </c>
      <c r="C423" s="17"/>
      <c r="D423" t="str">
        <f>RTD("tos.rtd", , "OPEN_INT", "."&amp;Table133[[#This Row],[Ticker]]&amp;Table133[[#This Row],[Expiry]]&amp;""&amp;"C"&amp;Table133[[#This Row],[Spot]]+Table133[[#This Row],[step]])</f>
        <v>N/A</v>
      </c>
      <c r="E42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3" t="b">
        <f>IF(     ISNUMBER(Table133[[#This Row],[Strike]]),RTD("tos.rtd", , "DELTA", "."&amp;Table133[[#This Row],[Ticker]]&amp;Table133[[#This Row],[Expiry]]&amp;""&amp;"C"&amp;Table133[[#This Row],[Strike]]))</f>
        <v>0</v>
      </c>
      <c r="H423" s="17" cm="1">
        <f t="array" aca="1" ref="H423" ca="1">IndividualLegIVCore($A$4, Table133[[#This Row],[Strike]], 0.0411, Table133[[#This Row],[T]], ((Table133[[#This Row],[BIDC]]+Table133[[#This Row],[ASKC]])/2), TRUE)</f>
        <v>0.01</v>
      </c>
      <c r="I423" t="b">
        <f>IF(     ISNUMBER(Table133[[#This Row],[Strike]]),RTD("tos.rtd", , "BID", "."&amp;Table133[[#This Row],[Ticker]]&amp;Table133[[#This Row],[Expiry]]&amp;""&amp;"C"&amp;Table133[[#This Row],[Strike]]))</f>
        <v>0</v>
      </c>
      <c r="J423" t="b">
        <f>IF(     ISNUMBER(Table133[[#This Row],[Strike]]),RTD("tos.rtd", , "ASK", "."&amp;Table133[[#This Row],[Ticker]]&amp;Table133[[#This Row],[Expiry]]&amp;""&amp;"C"&amp;Table133[[#This Row],[Strike]]))</f>
        <v>0</v>
      </c>
      <c r="K423" s="17"/>
      <c r="M423" s="1">
        <f t="shared" si="45"/>
        <v>0</v>
      </c>
      <c r="N423" t="b">
        <f t="shared" si="46"/>
        <v>0</v>
      </c>
      <c r="P423" s="17" cm="1">
        <f t="array" aca="1" ref="P423" ca="1">IndividualLegIVCore($A$4, Table133[[#This Row],[Strike]], 0.0411, Table133[[#This Row],[T]], ((Table133[[#This Row],[BIDP]]+Table133[[#This Row],[ASKP]])/2), FALSE)</f>
        <v>0.01</v>
      </c>
      <c r="Q423" t="b">
        <f>IF(     ISNUMBER(Table133[[#This Row],[Strike]]),RTD("tos.rtd", , "BID", "."&amp;Table133[[#This Row],[Ticker]]&amp;Table133[[#This Row],[Expiry]]&amp;""&amp;"P"&amp;Table133[[#This Row],[Strike]]))</f>
        <v>0</v>
      </c>
      <c r="R423" t="b">
        <f>IF(     ISNUMBER(Table133[[#This Row],[Strike]]),RTD("tos.rtd", , "ASK", "."&amp;Table133[[#This Row],[Ticker]]&amp;Table133[[#This Row],[Expiry]]&amp;""&amp;"P"&amp;Table133[[#This Row],[Strike]]))</f>
        <v>0</v>
      </c>
      <c r="S423" s="17"/>
      <c r="T423" t="b">
        <f>IF(     ISNUMBER(Table133[[#This Row],[Strike]]),RTD("tos.rtd", , "OPEN_INT", "."&amp;Table133[[#This Row],[Ticker]]&amp;Table133[[#This Row],[Expiry]]&amp;""&amp;"P"&amp;Table133[[#This Row],[Strike]]))</f>
        <v>0</v>
      </c>
      <c r="U42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3" t="b">
        <f>IF(     ISNUMBER(Table133[[#This Row],[Strike]]),RTD("tos.rtd", , "DELTA", "."&amp;Table133[[#This Row],[Ticker]]&amp;Table133[[#This Row],[Expiry]]&amp;""&amp;"P"&amp;Table133[[#This Row],[Strike]]))</f>
        <v>0</v>
      </c>
      <c r="Y423" s="19">
        <f>-46.5* IF($M$1="NDX", 10, IF(OR($M$1="SPX", $M$1="RUT"), 2, 1))</f>
        <v>-93</v>
      </c>
      <c r="Z423">
        <f ca="1">IFERROR(Table133[[#This Row],[call gamma]]*(Table133[[#This Row],[Open.Int]])*$A$4^2,0)</f>
        <v>0</v>
      </c>
      <c r="AA423">
        <f ca="1">IFERROR(((Table133[[#This Row],[Open.Int8]])*Table133[[#This Row],[Put gamma]])*-1*$A$4^2,0)</f>
        <v>0</v>
      </c>
      <c r="AB423">
        <f ca="1">(Table133[[#This Row],[Call Gex]]+Table133[[#This Row],[Put Gex]])</f>
        <v>0</v>
      </c>
      <c r="AC423">
        <f ca="1">Table133[[#This Row],[put delta adj]]+Table133[[#This Row],[call delta adj]]</f>
        <v>0</v>
      </c>
      <c r="AD423">
        <f ca="1">Table133[[#This Row],[Put Gex]]*Table133[[#This Row],[DeltaP]]*-1</f>
        <v>0</v>
      </c>
      <c r="AE423">
        <f ca="1">Table133[[#This Row],[Call Gex]]*Table133[[#This Row],[DeltaC]]</f>
        <v>0</v>
      </c>
      <c r="AF423">
        <f>IF(Table133[[#This Row],[DeltaC]]-ABS(Table133[[#This Row],[DeltaP]])="0","0.01",Table133[[#This Row],[DeltaC]]-ABS(Table133[[#This Row],[DeltaP]]))</f>
        <v>0</v>
      </c>
      <c r="AG423" t="e">
        <f ca="1">((LN($A$4/Table133[[#This Row],[Strike]]) + (0.411 + 0.5 * Table133[[#This Row],[IV Calc P]]^2) *Table133[[#This Row],[T]])) / (Table133[[#This Row],[IV Calc P]] * SQRT(Table133[[#This Row],[T]]))</f>
        <v>#DIV/0!</v>
      </c>
      <c r="AH423" t="e">
        <f ca="1">(LN($A$4/Table133[[#This Row],[Strike]]) + (0.411-0 + 0.5 * Table133[[#This Row],[IV Calc C]]^2) *Table133[[#This Row],[T]]) / (Table133[[#This Row],[IV Calc C]] * SQRT(Table133[[#This Row],[T]]))</f>
        <v>#DIV/0!</v>
      </c>
      <c r="AI423" t="e">
        <f ca="1">(EXP(-(AG423^2)/2)/SQRT(2*PI())*EXP(0*SQRT(Table133[[#This Row],[T]]))/$A$4*18%*SQRT(SQRT(Table133[[#This Row],[T]])))</f>
        <v>#DIV/0!</v>
      </c>
      <c r="AJ423" t="e">
        <f ca="1">(EXP(-(AH423^2)/2)/SQRT(2*PI())*EXP(0*SQRT(Table133[[#This Row],[T]]))/$A$4*18%*SQRT(SQRT(Table133[[#This Row],[T]])))</f>
        <v>#DIV/0!</v>
      </c>
      <c r="AK423" t="e">
        <f ca="1">Table133[[#This Row],[Call D1]]-Table133[[#This Row],[IV Calc C]]*SQRT(Table133[[#This Row],[T]])</f>
        <v>#DIV/0!</v>
      </c>
      <c r="AL423" t="e">
        <f ca="1">Table133[[#This Row],[Put D1]]-Table133[[#This Row],[IV Calc P]]*SQRT(Table133[[#This Row],[T]])</f>
        <v>#DIV/0!</v>
      </c>
      <c r="AM423" t="e">
        <f ca="1">EXP(-0.5*Table133[[#This Row],[Call D1]]^2)/SQRT(2*PI())</f>
        <v>#DIV/0!</v>
      </c>
      <c r="AN423" t="e">
        <f ca="1">EXP(-0.5*Table133[[#This Row],[Put D1]]^2)/SQRT(2*PI())</f>
        <v>#DIV/0!</v>
      </c>
      <c r="AO42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3">
        <f ca="1">((Table133[[#This Row],[call vanna]]+Table133[[#This Row],[put vanna]])*$A$4)</f>
        <v>0</v>
      </c>
      <c r="AR42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3" s="9" t="str" cm="1">
        <f t="array" ref="AT423">_xlfn.IFS(     $M$1="SPX","SPXW",     $M$1="RUT","RUTW",  $M$1="NDX","NDXP",   TRUE,$M$1 )</f>
        <v>SPXW</v>
      </c>
      <c r="AU423" s="2">
        <f t="shared" si="47"/>
        <v>6915</v>
      </c>
      <c r="AV423" t="str">
        <f t="shared" si="48"/>
        <v>000100</v>
      </c>
      <c r="AY42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3">
        <f>((Table133[[#This Row],[High C]]+Table133[[#This Row],[Low C]])/2)*Table133[[#This Row],[gammac]]*Table133[[#This Row],[Volume]]</f>
        <v>0</v>
      </c>
      <c r="BD423">
        <f>((Table133[[#This Row],[High P]]+Table133[[#This Row],[Low P]])/2)*Table133[[#This Row],[gammap]]*Table133[[#This Row],[Volume9]]*-1</f>
        <v>0</v>
      </c>
      <c r="BE423">
        <f>(Table133[[#This Row],[SgammaC]]+Table133[[#This Row],[SgammaP]])*$A$4*-100</f>
        <v>0</v>
      </c>
      <c r="BF423" s="78">
        <f>Table133[[#This Row],[DEXc]]+Table133[[#This Row],[DEXp]]</f>
        <v>0</v>
      </c>
      <c r="BG423">
        <f>IFERROR(Table133[[#This Row],[DeltaC]]*Table133[[#This Row],[Open.Int]]*$A$4,0)</f>
        <v>0</v>
      </c>
      <c r="BH423">
        <f>IFERROR(Table133[[#This Row],[DeltaP]]*Table133[[#This Row],[Open.Int8]]*$A$4,0)</f>
        <v>0</v>
      </c>
      <c r="BI42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3">
        <f ca="1">Table133[[#This Row],[charmc]]+Table133[[#This Row],[charmp]]</f>
        <v>0</v>
      </c>
      <c r="BL42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3" s="78">
        <f ca="1">Table133[[#This Row],[call helper]]+Table133[[#This Row],[put helper]]</f>
        <v>0</v>
      </c>
      <c r="BP423" t="str">
        <f>RTD("tos.rtd", , "STRIKE", "."&amp;Table133[[#This Row],[Ticker]]&amp;Table133[[#This Row],[Expiry]]&amp;""&amp;"C"&amp;Table133[[#This Row],[Spot]]+Table133[[#This Row],[step]])</f>
        <v>N/A</v>
      </c>
    </row>
    <row r="424" spans="1:68" x14ac:dyDescent="0.25">
      <c r="A424" s="14">
        <f t="shared" ca="1" si="44"/>
        <v>-126.14810350076104</v>
      </c>
      <c r="C424" s="17"/>
      <c r="D424" t="str">
        <f>RTD("tos.rtd", , "OPEN_INT", "."&amp;Table133[[#This Row],[Ticker]]&amp;Table133[[#This Row],[Expiry]]&amp;""&amp;"C"&amp;Table133[[#This Row],[Spot]]+Table133[[#This Row],[step]])</f>
        <v>N/A</v>
      </c>
      <c r="E42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4" t="b">
        <f>IF(     ISNUMBER(Table133[[#This Row],[Strike]]),RTD("tos.rtd", , "DELTA", "."&amp;Table133[[#This Row],[Ticker]]&amp;Table133[[#This Row],[Expiry]]&amp;""&amp;"C"&amp;Table133[[#This Row],[Strike]]))</f>
        <v>0</v>
      </c>
      <c r="H424" s="17" cm="1">
        <f t="array" aca="1" ref="H424" ca="1">IndividualLegIVCore($A$4, Table133[[#This Row],[Strike]], 0.0411, Table133[[#This Row],[T]], ((Table133[[#This Row],[BIDC]]+Table133[[#This Row],[ASKC]])/2), TRUE)</f>
        <v>0.01</v>
      </c>
      <c r="I424" t="b">
        <f>IF(     ISNUMBER(Table133[[#This Row],[Strike]]),RTD("tos.rtd", , "BID", "."&amp;Table133[[#This Row],[Ticker]]&amp;Table133[[#This Row],[Expiry]]&amp;""&amp;"C"&amp;Table133[[#This Row],[Strike]]))</f>
        <v>0</v>
      </c>
      <c r="J424" t="b">
        <f>IF(     ISNUMBER(Table133[[#This Row],[Strike]]),RTD("tos.rtd", , "ASK", "."&amp;Table133[[#This Row],[Ticker]]&amp;Table133[[#This Row],[Expiry]]&amp;""&amp;"C"&amp;Table133[[#This Row],[Strike]]))</f>
        <v>0</v>
      </c>
      <c r="K424" s="17"/>
      <c r="M424" s="1">
        <f t="shared" si="45"/>
        <v>0</v>
      </c>
      <c r="N424" t="b">
        <f t="shared" si="46"/>
        <v>0</v>
      </c>
      <c r="P424" s="17" cm="1">
        <f t="array" aca="1" ref="P424" ca="1">IndividualLegIVCore($A$4, Table133[[#This Row],[Strike]], 0.0411, Table133[[#This Row],[T]], ((Table133[[#This Row],[BIDP]]+Table133[[#This Row],[ASKP]])/2), FALSE)</f>
        <v>0.01</v>
      </c>
      <c r="Q424" t="b">
        <f>IF(     ISNUMBER(Table133[[#This Row],[Strike]]),RTD("tos.rtd", , "BID", "."&amp;Table133[[#This Row],[Ticker]]&amp;Table133[[#This Row],[Expiry]]&amp;""&amp;"P"&amp;Table133[[#This Row],[Strike]]))</f>
        <v>0</v>
      </c>
      <c r="R424" t="b">
        <f>IF(     ISNUMBER(Table133[[#This Row],[Strike]]),RTD("tos.rtd", , "ASK", "."&amp;Table133[[#This Row],[Ticker]]&amp;Table133[[#This Row],[Expiry]]&amp;""&amp;"P"&amp;Table133[[#This Row],[Strike]]))</f>
        <v>0</v>
      </c>
      <c r="S424" s="17"/>
      <c r="T424" t="b">
        <f>IF(     ISNUMBER(Table133[[#This Row],[Strike]]),RTD("tos.rtd", , "OPEN_INT", "."&amp;Table133[[#This Row],[Ticker]]&amp;Table133[[#This Row],[Expiry]]&amp;""&amp;"P"&amp;Table133[[#This Row],[Strike]]))</f>
        <v>0</v>
      </c>
      <c r="U42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4" t="b">
        <f>IF(     ISNUMBER(Table133[[#This Row],[Strike]]),RTD("tos.rtd", , "DELTA", "."&amp;Table133[[#This Row],[Ticker]]&amp;Table133[[#This Row],[Expiry]]&amp;""&amp;"P"&amp;Table133[[#This Row],[Strike]]))</f>
        <v>0</v>
      </c>
      <c r="Y424" s="19">
        <f>-46* IF($M$1="NDX", 10, IF(OR($M$1="SPX", $M$1="RUT"), 2, 1))</f>
        <v>-92</v>
      </c>
      <c r="Z424">
        <f ca="1">IFERROR(Table133[[#This Row],[call gamma]]*(Table133[[#This Row],[Open.Int]])*$A$4^2,0)</f>
        <v>0</v>
      </c>
      <c r="AA424">
        <f ca="1">IFERROR(((Table133[[#This Row],[Open.Int8]])*Table133[[#This Row],[Put gamma]])*-1*$A$4^2,0)</f>
        <v>0</v>
      </c>
      <c r="AB424">
        <f ca="1">(Table133[[#This Row],[Call Gex]]+Table133[[#This Row],[Put Gex]])</f>
        <v>0</v>
      </c>
      <c r="AC424">
        <f ca="1">Table133[[#This Row],[put delta adj]]+Table133[[#This Row],[call delta adj]]</f>
        <v>0</v>
      </c>
      <c r="AD424">
        <f ca="1">Table133[[#This Row],[Put Gex]]*Table133[[#This Row],[DeltaP]]*-1</f>
        <v>0</v>
      </c>
      <c r="AE424">
        <f ca="1">Table133[[#This Row],[Call Gex]]*Table133[[#This Row],[DeltaC]]</f>
        <v>0</v>
      </c>
      <c r="AF424">
        <f>IF(Table133[[#This Row],[DeltaC]]-ABS(Table133[[#This Row],[DeltaP]])="0","0.01",Table133[[#This Row],[DeltaC]]-ABS(Table133[[#This Row],[DeltaP]]))</f>
        <v>0</v>
      </c>
      <c r="AG424" t="e">
        <f ca="1">((LN($A$4/Table133[[#This Row],[Strike]]) + (0.411 + 0.5 * Table133[[#This Row],[IV Calc P]]^2) *Table133[[#This Row],[T]])) / (Table133[[#This Row],[IV Calc P]] * SQRT(Table133[[#This Row],[T]]))</f>
        <v>#DIV/0!</v>
      </c>
      <c r="AH424" t="e">
        <f ca="1">(LN($A$4/Table133[[#This Row],[Strike]]) + (0.411-0 + 0.5 * Table133[[#This Row],[IV Calc C]]^2) *Table133[[#This Row],[T]]) / (Table133[[#This Row],[IV Calc C]] * SQRT(Table133[[#This Row],[T]]))</f>
        <v>#DIV/0!</v>
      </c>
      <c r="AI424" t="e">
        <f ca="1">(EXP(-(AG424^2)/2)/SQRT(2*PI())*EXP(0*SQRT(Table133[[#This Row],[T]]))/$A$4*18%*SQRT(SQRT(Table133[[#This Row],[T]])))</f>
        <v>#DIV/0!</v>
      </c>
      <c r="AJ424" t="e">
        <f ca="1">(EXP(-(AH424^2)/2)/SQRT(2*PI())*EXP(0*SQRT(Table133[[#This Row],[T]]))/$A$4*18%*SQRT(SQRT(Table133[[#This Row],[T]])))</f>
        <v>#DIV/0!</v>
      </c>
      <c r="AK424" t="e">
        <f ca="1">Table133[[#This Row],[Call D1]]-Table133[[#This Row],[IV Calc C]]*SQRT(Table133[[#This Row],[T]])</f>
        <v>#DIV/0!</v>
      </c>
      <c r="AL424" t="e">
        <f ca="1">Table133[[#This Row],[Put D1]]-Table133[[#This Row],[IV Calc P]]*SQRT(Table133[[#This Row],[T]])</f>
        <v>#DIV/0!</v>
      </c>
      <c r="AM424" t="e">
        <f ca="1">EXP(-0.5*Table133[[#This Row],[Call D1]]^2)/SQRT(2*PI())</f>
        <v>#DIV/0!</v>
      </c>
      <c r="AN424" t="e">
        <f ca="1">EXP(-0.5*Table133[[#This Row],[Put D1]]^2)/SQRT(2*PI())</f>
        <v>#DIV/0!</v>
      </c>
      <c r="AO42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4">
        <f ca="1">((Table133[[#This Row],[call vanna]]+Table133[[#This Row],[put vanna]])*$A$4)</f>
        <v>0</v>
      </c>
      <c r="AR42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4" s="9" t="str" cm="1">
        <f t="array" ref="AT424">_xlfn.IFS(     $M$1="SPX","SPXW",     $M$1="RUT","RUTW",  $M$1="NDX","NDXP",   TRUE,$M$1 )</f>
        <v>SPXW</v>
      </c>
      <c r="AU424" s="2">
        <f t="shared" si="47"/>
        <v>6915</v>
      </c>
      <c r="AV424" t="str">
        <f t="shared" si="48"/>
        <v>000100</v>
      </c>
      <c r="AY42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4">
        <f>((Table133[[#This Row],[High C]]+Table133[[#This Row],[Low C]])/2)*Table133[[#This Row],[gammac]]*Table133[[#This Row],[Volume]]</f>
        <v>0</v>
      </c>
      <c r="BD424">
        <f>((Table133[[#This Row],[High P]]+Table133[[#This Row],[Low P]])/2)*Table133[[#This Row],[gammap]]*Table133[[#This Row],[Volume9]]*-1</f>
        <v>0</v>
      </c>
      <c r="BE424">
        <f>(Table133[[#This Row],[SgammaC]]+Table133[[#This Row],[SgammaP]])*$A$4*-100</f>
        <v>0</v>
      </c>
      <c r="BF424" s="78">
        <f>Table133[[#This Row],[DEXc]]+Table133[[#This Row],[DEXp]]</f>
        <v>0</v>
      </c>
      <c r="BG424">
        <f>IFERROR(Table133[[#This Row],[DeltaC]]*Table133[[#This Row],[Open.Int]]*$A$4,0)</f>
        <v>0</v>
      </c>
      <c r="BH424">
        <f>IFERROR(Table133[[#This Row],[DeltaP]]*Table133[[#This Row],[Open.Int8]]*$A$4,0)</f>
        <v>0</v>
      </c>
      <c r="BI42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4">
        <f ca="1">Table133[[#This Row],[charmc]]+Table133[[#This Row],[charmp]]</f>
        <v>0</v>
      </c>
      <c r="BL42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4" s="78">
        <f ca="1">Table133[[#This Row],[call helper]]+Table133[[#This Row],[put helper]]</f>
        <v>0</v>
      </c>
      <c r="BP424" t="str">
        <f>RTD("tos.rtd", , "STRIKE", "."&amp;Table133[[#This Row],[Ticker]]&amp;Table133[[#This Row],[Expiry]]&amp;""&amp;"C"&amp;Table133[[#This Row],[Spot]]+Table133[[#This Row],[step]])</f>
        <v>N/A</v>
      </c>
    </row>
    <row r="425" spans="1:68" x14ac:dyDescent="0.25">
      <c r="A425" s="14">
        <f t="shared" ca="1" si="44"/>
        <v>-126.14810350076104</v>
      </c>
      <c r="C425" s="17"/>
      <c r="D425" t="str">
        <f>RTD("tos.rtd", , "OPEN_INT", "."&amp;Table133[[#This Row],[Ticker]]&amp;Table133[[#This Row],[Expiry]]&amp;""&amp;"C"&amp;Table133[[#This Row],[Spot]]+Table133[[#This Row],[step]])</f>
        <v>N/A</v>
      </c>
      <c r="E42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5" t="b">
        <f>IF(     ISNUMBER(Table133[[#This Row],[Strike]]),RTD("tos.rtd", , "DELTA", "."&amp;Table133[[#This Row],[Ticker]]&amp;Table133[[#This Row],[Expiry]]&amp;""&amp;"C"&amp;Table133[[#This Row],[Strike]]))</f>
        <v>0</v>
      </c>
      <c r="H425" s="17" cm="1">
        <f t="array" aca="1" ref="H425" ca="1">IndividualLegIVCore($A$4, Table133[[#This Row],[Strike]], 0.0411, Table133[[#This Row],[T]], ((Table133[[#This Row],[BIDC]]+Table133[[#This Row],[ASKC]])/2), TRUE)</f>
        <v>0.01</v>
      </c>
      <c r="I425" t="b">
        <f>IF(     ISNUMBER(Table133[[#This Row],[Strike]]),RTD("tos.rtd", , "BID", "."&amp;Table133[[#This Row],[Ticker]]&amp;Table133[[#This Row],[Expiry]]&amp;""&amp;"C"&amp;Table133[[#This Row],[Strike]]))</f>
        <v>0</v>
      </c>
      <c r="J425" t="b">
        <f>IF(     ISNUMBER(Table133[[#This Row],[Strike]]),RTD("tos.rtd", , "ASK", "."&amp;Table133[[#This Row],[Ticker]]&amp;Table133[[#This Row],[Expiry]]&amp;""&amp;"C"&amp;Table133[[#This Row],[Strike]]))</f>
        <v>0</v>
      </c>
      <c r="K425" s="17"/>
      <c r="M425" s="1">
        <f t="shared" si="45"/>
        <v>0</v>
      </c>
      <c r="N425" t="b">
        <f t="shared" si="46"/>
        <v>0</v>
      </c>
      <c r="P425" s="17" cm="1">
        <f t="array" aca="1" ref="P425" ca="1">IndividualLegIVCore($A$4, Table133[[#This Row],[Strike]], 0.0411, Table133[[#This Row],[T]], ((Table133[[#This Row],[BIDP]]+Table133[[#This Row],[ASKP]])/2), FALSE)</f>
        <v>0.01</v>
      </c>
      <c r="Q425" t="b">
        <f>IF(     ISNUMBER(Table133[[#This Row],[Strike]]),RTD("tos.rtd", , "BID", "."&amp;Table133[[#This Row],[Ticker]]&amp;Table133[[#This Row],[Expiry]]&amp;""&amp;"P"&amp;Table133[[#This Row],[Strike]]))</f>
        <v>0</v>
      </c>
      <c r="R425" t="b">
        <f>IF(     ISNUMBER(Table133[[#This Row],[Strike]]),RTD("tos.rtd", , "ASK", "."&amp;Table133[[#This Row],[Ticker]]&amp;Table133[[#This Row],[Expiry]]&amp;""&amp;"P"&amp;Table133[[#This Row],[Strike]]))</f>
        <v>0</v>
      </c>
      <c r="S425" s="17"/>
      <c r="T425" t="b">
        <f>IF(     ISNUMBER(Table133[[#This Row],[Strike]]),RTD("tos.rtd", , "OPEN_INT", "."&amp;Table133[[#This Row],[Ticker]]&amp;Table133[[#This Row],[Expiry]]&amp;""&amp;"P"&amp;Table133[[#This Row],[Strike]]))</f>
        <v>0</v>
      </c>
      <c r="U42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5" t="b">
        <f>IF(     ISNUMBER(Table133[[#This Row],[Strike]]),RTD("tos.rtd", , "DELTA", "."&amp;Table133[[#This Row],[Ticker]]&amp;Table133[[#This Row],[Expiry]]&amp;""&amp;"P"&amp;Table133[[#This Row],[Strike]]))</f>
        <v>0</v>
      </c>
      <c r="Y425" s="19">
        <f>-45.5* IF($M$1="NDX", 10, IF(OR($M$1="SPX", $M$1="RUT"), 2, 1))</f>
        <v>-91</v>
      </c>
      <c r="Z425">
        <f ca="1">IFERROR(Table133[[#This Row],[call gamma]]*(Table133[[#This Row],[Open.Int]])*$A$4^2,0)</f>
        <v>0</v>
      </c>
      <c r="AA425">
        <f ca="1">IFERROR(((Table133[[#This Row],[Open.Int8]])*Table133[[#This Row],[Put gamma]])*-1*$A$4^2,0)</f>
        <v>0</v>
      </c>
      <c r="AB425">
        <f ca="1">(Table133[[#This Row],[Call Gex]]+Table133[[#This Row],[Put Gex]])</f>
        <v>0</v>
      </c>
      <c r="AC425">
        <f ca="1">Table133[[#This Row],[put delta adj]]+Table133[[#This Row],[call delta adj]]</f>
        <v>0</v>
      </c>
      <c r="AD425">
        <f ca="1">Table133[[#This Row],[Put Gex]]*Table133[[#This Row],[DeltaP]]*-1</f>
        <v>0</v>
      </c>
      <c r="AE425">
        <f ca="1">Table133[[#This Row],[Call Gex]]*Table133[[#This Row],[DeltaC]]</f>
        <v>0</v>
      </c>
      <c r="AF425">
        <f>IF(Table133[[#This Row],[DeltaC]]-ABS(Table133[[#This Row],[DeltaP]])="0","0.01",Table133[[#This Row],[DeltaC]]-ABS(Table133[[#This Row],[DeltaP]]))</f>
        <v>0</v>
      </c>
      <c r="AG425" t="e">
        <f ca="1">((LN($A$4/Table133[[#This Row],[Strike]]) + (0.411 + 0.5 * Table133[[#This Row],[IV Calc P]]^2) *Table133[[#This Row],[T]])) / (Table133[[#This Row],[IV Calc P]] * SQRT(Table133[[#This Row],[T]]))</f>
        <v>#DIV/0!</v>
      </c>
      <c r="AH425" t="e">
        <f ca="1">(LN($A$4/Table133[[#This Row],[Strike]]) + (0.411-0 + 0.5 * Table133[[#This Row],[IV Calc C]]^2) *Table133[[#This Row],[T]]) / (Table133[[#This Row],[IV Calc C]] * SQRT(Table133[[#This Row],[T]]))</f>
        <v>#DIV/0!</v>
      </c>
      <c r="AI425" t="e">
        <f ca="1">(EXP(-(AG425^2)/2)/SQRT(2*PI())*EXP(0*SQRT(Table133[[#This Row],[T]]))/$A$4*18%*SQRT(SQRT(Table133[[#This Row],[T]])))</f>
        <v>#DIV/0!</v>
      </c>
      <c r="AJ425" t="e">
        <f ca="1">(EXP(-(AH425^2)/2)/SQRT(2*PI())*EXP(0*SQRT(Table133[[#This Row],[T]]))/$A$4*18%*SQRT(SQRT(Table133[[#This Row],[T]])))</f>
        <v>#DIV/0!</v>
      </c>
      <c r="AK425" t="e">
        <f ca="1">Table133[[#This Row],[Call D1]]-Table133[[#This Row],[IV Calc C]]*SQRT(Table133[[#This Row],[T]])</f>
        <v>#DIV/0!</v>
      </c>
      <c r="AL425" t="e">
        <f ca="1">Table133[[#This Row],[Put D1]]-Table133[[#This Row],[IV Calc P]]*SQRT(Table133[[#This Row],[T]])</f>
        <v>#DIV/0!</v>
      </c>
      <c r="AM425" t="e">
        <f ca="1">EXP(-0.5*Table133[[#This Row],[Call D1]]^2)/SQRT(2*PI())</f>
        <v>#DIV/0!</v>
      </c>
      <c r="AN425" t="e">
        <f ca="1">EXP(-0.5*Table133[[#This Row],[Put D1]]^2)/SQRT(2*PI())</f>
        <v>#DIV/0!</v>
      </c>
      <c r="AO42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5">
        <f ca="1">((Table133[[#This Row],[call vanna]]+Table133[[#This Row],[put vanna]])*$A$4)</f>
        <v>0</v>
      </c>
      <c r="AR42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5" s="9" t="str" cm="1">
        <f t="array" ref="AT425">_xlfn.IFS(     $M$1="SPX","SPXW",     $M$1="RUT","RUTW",  $M$1="NDX","NDXP",   TRUE,$M$1 )</f>
        <v>SPXW</v>
      </c>
      <c r="AU425" s="2">
        <f t="shared" si="47"/>
        <v>6915</v>
      </c>
      <c r="AV425" t="str">
        <f t="shared" si="48"/>
        <v>000100</v>
      </c>
      <c r="AY42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5">
        <f>((Table133[[#This Row],[High C]]+Table133[[#This Row],[Low C]])/2)*Table133[[#This Row],[gammac]]*Table133[[#This Row],[Volume]]</f>
        <v>0</v>
      </c>
      <c r="BD425">
        <f>((Table133[[#This Row],[High P]]+Table133[[#This Row],[Low P]])/2)*Table133[[#This Row],[gammap]]*Table133[[#This Row],[Volume9]]*-1</f>
        <v>0</v>
      </c>
      <c r="BE425">
        <f>(Table133[[#This Row],[SgammaC]]+Table133[[#This Row],[SgammaP]])*$A$4*-100</f>
        <v>0</v>
      </c>
      <c r="BF425" s="78">
        <f>Table133[[#This Row],[DEXc]]+Table133[[#This Row],[DEXp]]</f>
        <v>0</v>
      </c>
      <c r="BG425">
        <f>IFERROR(Table133[[#This Row],[DeltaC]]*Table133[[#This Row],[Open.Int]]*$A$4,0)</f>
        <v>0</v>
      </c>
      <c r="BH425">
        <f>IFERROR(Table133[[#This Row],[DeltaP]]*Table133[[#This Row],[Open.Int8]]*$A$4,0)</f>
        <v>0</v>
      </c>
      <c r="BI42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5">
        <f ca="1">Table133[[#This Row],[charmc]]+Table133[[#This Row],[charmp]]</f>
        <v>0</v>
      </c>
      <c r="BL42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5" s="78">
        <f ca="1">Table133[[#This Row],[call helper]]+Table133[[#This Row],[put helper]]</f>
        <v>0</v>
      </c>
      <c r="BP425" t="str">
        <f>RTD("tos.rtd", , "STRIKE", "."&amp;Table133[[#This Row],[Ticker]]&amp;Table133[[#This Row],[Expiry]]&amp;""&amp;"C"&amp;Table133[[#This Row],[Spot]]+Table133[[#This Row],[step]])</f>
        <v>N/A</v>
      </c>
    </row>
    <row r="426" spans="1:68" x14ac:dyDescent="0.25">
      <c r="A426" s="14">
        <f t="shared" ca="1" si="44"/>
        <v>-126.14810350076104</v>
      </c>
      <c r="C426" s="17"/>
      <c r="D426" t="str">
        <f>RTD("tos.rtd", , "OPEN_INT", "."&amp;Table133[[#This Row],[Ticker]]&amp;Table133[[#This Row],[Expiry]]&amp;""&amp;"C"&amp;Table133[[#This Row],[Spot]]+Table133[[#This Row],[step]])</f>
        <v>N/A</v>
      </c>
      <c r="E42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6" t="b">
        <f>IF(     ISNUMBER(Table133[[#This Row],[Strike]]),RTD("tos.rtd", , "DELTA", "."&amp;Table133[[#This Row],[Ticker]]&amp;Table133[[#This Row],[Expiry]]&amp;""&amp;"C"&amp;Table133[[#This Row],[Strike]]))</f>
        <v>0</v>
      </c>
      <c r="H426" s="17" cm="1">
        <f t="array" aca="1" ref="H426" ca="1">IndividualLegIVCore($A$4, Table133[[#This Row],[Strike]], 0.0411, Table133[[#This Row],[T]], ((Table133[[#This Row],[BIDC]]+Table133[[#This Row],[ASKC]])/2), TRUE)</f>
        <v>0.01</v>
      </c>
      <c r="I426" t="b">
        <f>IF(     ISNUMBER(Table133[[#This Row],[Strike]]),RTD("tos.rtd", , "BID", "."&amp;Table133[[#This Row],[Ticker]]&amp;Table133[[#This Row],[Expiry]]&amp;""&amp;"C"&amp;Table133[[#This Row],[Strike]]))</f>
        <v>0</v>
      </c>
      <c r="J426" t="b">
        <f>IF(     ISNUMBER(Table133[[#This Row],[Strike]]),RTD("tos.rtd", , "ASK", "."&amp;Table133[[#This Row],[Ticker]]&amp;Table133[[#This Row],[Expiry]]&amp;""&amp;"C"&amp;Table133[[#This Row],[Strike]]))</f>
        <v>0</v>
      </c>
      <c r="K426" s="17"/>
      <c r="M426" s="1">
        <f t="shared" si="45"/>
        <v>0</v>
      </c>
      <c r="N426" t="b">
        <f t="shared" si="46"/>
        <v>0</v>
      </c>
      <c r="P426" s="17" cm="1">
        <f t="array" aca="1" ref="P426" ca="1">IndividualLegIVCore($A$4, Table133[[#This Row],[Strike]], 0.0411, Table133[[#This Row],[T]], ((Table133[[#This Row],[BIDP]]+Table133[[#This Row],[ASKP]])/2), FALSE)</f>
        <v>0.01</v>
      </c>
      <c r="Q426" t="b">
        <f>IF(     ISNUMBER(Table133[[#This Row],[Strike]]),RTD("tos.rtd", , "BID", "."&amp;Table133[[#This Row],[Ticker]]&amp;Table133[[#This Row],[Expiry]]&amp;""&amp;"P"&amp;Table133[[#This Row],[Strike]]))</f>
        <v>0</v>
      </c>
      <c r="R426" t="b">
        <f>IF(     ISNUMBER(Table133[[#This Row],[Strike]]),RTD("tos.rtd", , "ASK", "."&amp;Table133[[#This Row],[Ticker]]&amp;Table133[[#This Row],[Expiry]]&amp;""&amp;"P"&amp;Table133[[#This Row],[Strike]]))</f>
        <v>0</v>
      </c>
      <c r="S426" s="17"/>
      <c r="T426" t="b">
        <f>IF(     ISNUMBER(Table133[[#This Row],[Strike]]),RTD("tos.rtd", , "OPEN_INT", "."&amp;Table133[[#This Row],[Ticker]]&amp;Table133[[#This Row],[Expiry]]&amp;""&amp;"P"&amp;Table133[[#This Row],[Strike]]))</f>
        <v>0</v>
      </c>
      <c r="U42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6" t="b">
        <f>IF(     ISNUMBER(Table133[[#This Row],[Strike]]),RTD("tos.rtd", , "DELTA", "."&amp;Table133[[#This Row],[Ticker]]&amp;Table133[[#This Row],[Expiry]]&amp;""&amp;"P"&amp;Table133[[#This Row],[Strike]]))</f>
        <v>0</v>
      </c>
      <c r="Y426" s="19">
        <f>-45* IF($M$1="NDX", 10, IF(OR($M$1="SPX", $M$1="RUT"), 2, 1))</f>
        <v>-90</v>
      </c>
      <c r="Z426">
        <f ca="1">IFERROR(Table133[[#This Row],[call gamma]]*(Table133[[#This Row],[Open.Int]])*$A$4^2,0)</f>
        <v>0</v>
      </c>
      <c r="AA426">
        <f ca="1">IFERROR(((Table133[[#This Row],[Open.Int8]])*Table133[[#This Row],[Put gamma]])*-1*$A$4^2,0)</f>
        <v>0</v>
      </c>
      <c r="AB426">
        <f ca="1">(Table133[[#This Row],[Call Gex]]+Table133[[#This Row],[Put Gex]])</f>
        <v>0</v>
      </c>
      <c r="AC426">
        <f ca="1">Table133[[#This Row],[put delta adj]]+Table133[[#This Row],[call delta adj]]</f>
        <v>0</v>
      </c>
      <c r="AD426">
        <f ca="1">Table133[[#This Row],[Put Gex]]*Table133[[#This Row],[DeltaP]]*-1</f>
        <v>0</v>
      </c>
      <c r="AE426">
        <f ca="1">Table133[[#This Row],[Call Gex]]*Table133[[#This Row],[DeltaC]]</f>
        <v>0</v>
      </c>
      <c r="AF426">
        <f>IF(Table133[[#This Row],[DeltaC]]-ABS(Table133[[#This Row],[DeltaP]])="0","0.01",Table133[[#This Row],[DeltaC]]-ABS(Table133[[#This Row],[DeltaP]]))</f>
        <v>0</v>
      </c>
      <c r="AG426" t="e">
        <f ca="1">((LN($A$4/Table133[[#This Row],[Strike]]) + (0.411 + 0.5 * Table133[[#This Row],[IV Calc P]]^2) *Table133[[#This Row],[T]])) / (Table133[[#This Row],[IV Calc P]] * SQRT(Table133[[#This Row],[T]]))</f>
        <v>#DIV/0!</v>
      </c>
      <c r="AH426" t="e">
        <f ca="1">(LN($A$4/Table133[[#This Row],[Strike]]) + (0.411-0 + 0.5 * Table133[[#This Row],[IV Calc C]]^2) *Table133[[#This Row],[T]]) / (Table133[[#This Row],[IV Calc C]] * SQRT(Table133[[#This Row],[T]]))</f>
        <v>#DIV/0!</v>
      </c>
      <c r="AI426" t="e">
        <f ca="1">(EXP(-(AG426^2)/2)/SQRT(2*PI())*EXP(0*SQRT(Table133[[#This Row],[T]]))/$A$4*18%*SQRT(SQRT(Table133[[#This Row],[T]])))</f>
        <v>#DIV/0!</v>
      </c>
      <c r="AJ426" t="e">
        <f ca="1">(EXP(-(AH426^2)/2)/SQRT(2*PI())*EXP(0*SQRT(Table133[[#This Row],[T]]))/$A$4*18%*SQRT(SQRT(Table133[[#This Row],[T]])))</f>
        <v>#DIV/0!</v>
      </c>
      <c r="AK426" t="e">
        <f ca="1">Table133[[#This Row],[Call D1]]-Table133[[#This Row],[IV Calc C]]*SQRT(Table133[[#This Row],[T]])</f>
        <v>#DIV/0!</v>
      </c>
      <c r="AL426" t="e">
        <f ca="1">Table133[[#This Row],[Put D1]]-Table133[[#This Row],[IV Calc P]]*SQRT(Table133[[#This Row],[T]])</f>
        <v>#DIV/0!</v>
      </c>
      <c r="AM426" t="e">
        <f ca="1">EXP(-0.5*Table133[[#This Row],[Call D1]]^2)/SQRT(2*PI())</f>
        <v>#DIV/0!</v>
      </c>
      <c r="AN426" t="e">
        <f ca="1">EXP(-0.5*Table133[[#This Row],[Put D1]]^2)/SQRT(2*PI())</f>
        <v>#DIV/0!</v>
      </c>
      <c r="AO42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6">
        <f ca="1">((Table133[[#This Row],[call vanna]]+Table133[[#This Row],[put vanna]])*$A$4)</f>
        <v>0</v>
      </c>
      <c r="AR42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6" s="9" t="str" cm="1">
        <f t="array" ref="AT426">_xlfn.IFS(     $M$1="SPX","SPXW",     $M$1="RUT","RUTW",  $M$1="NDX","NDXP",   TRUE,$M$1 )</f>
        <v>SPXW</v>
      </c>
      <c r="AU426" s="2">
        <f t="shared" si="47"/>
        <v>6915</v>
      </c>
      <c r="AV426" t="str">
        <f t="shared" si="48"/>
        <v>000100</v>
      </c>
      <c r="AY42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6">
        <f>((Table133[[#This Row],[High C]]+Table133[[#This Row],[Low C]])/2)*Table133[[#This Row],[gammac]]*Table133[[#This Row],[Volume]]</f>
        <v>0</v>
      </c>
      <c r="BD426">
        <f>((Table133[[#This Row],[High P]]+Table133[[#This Row],[Low P]])/2)*Table133[[#This Row],[gammap]]*Table133[[#This Row],[Volume9]]*-1</f>
        <v>0</v>
      </c>
      <c r="BE426">
        <f>(Table133[[#This Row],[SgammaC]]+Table133[[#This Row],[SgammaP]])*$A$4*-100</f>
        <v>0</v>
      </c>
      <c r="BF426" s="78">
        <f>Table133[[#This Row],[DEXc]]+Table133[[#This Row],[DEXp]]</f>
        <v>0</v>
      </c>
      <c r="BG426">
        <f>IFERROR(Table133[[#This Row],[DeltaC]]*Table133[[#This Row],[Open.Int]]*$A$4,0)</f>
        <v>0</v>
      </c>
      <c r="BH426">
        <f>IFERROR(Table133[[#This Row],[DeltaP]]*Table133[[#This Row],[Open.Int8]]*$A$4,0)</f>
        <v>0</v>
      </c>
      <c r="BI42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6">
        <f ca="1">Table133[[#This Row],[charmc]]+Table133[[#This Row],[charmp]]</f>
        <v>0</v>
      </c>
      <c r="BL42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6" s="78">
        <f ca="1">Table133[[#This Row],[call helper]]+Table133[[#This Row],[put helper]]</f>
        <v>0</v>
      </c>
      <c r="BP426" t="str">
        <f>RTD("tos.rtd", , "STRIKE", "."&amp;Table133[[#This Row],[Ticker]]&amp;Table133[[#This Row],[Expiry]]&amp;""&amp;"C"&amp;Table133[[#This Row],[Spot]]+Table133[[#This Row],[step]])</f>
        <v>N/A</v>
      </c>
    </row>
    <row r="427" spans="1:68" x14ac:dyDescent="0.25">
      <c r="A427" s="14">
        <f t="shared" ca="1" si="44"/>
        <v>-126.14810350076104</v>
      </c>
      <c r="C427" s="17"/>
      <c r="D427" t="str">
        <f>RTD("tos.rtd", , "OPEN_INT", "."&amp;Table133[[#This Row],[Ticker]]&amp;Table133[[#This Row],[Expiry]]&amp;""&amp;"C"&amp;Table133[[#This Row],[Spot]]+Table133[[#This Row],[step]])</f>
        <v>N/A</v>
      </c>
      <c r="E42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7" t="b">
        <f>IF(     ISNUMBER(Table133[[#This Row],[Strike]]),RTD("tos.rtd", , "DELTA", "."&amp;Table133[[#This Row],[Ticker]]&amp;Table133[[#This Row],[Expiry]]&amp;""&amp;"C"&amp;Table133[[#This Row],[Strike]]))</f>
        <v>0</v>
      </c>
      <c r="H427" s="17" cm="1">
        <f t="array" aca="1" ref="H427" ca="1">IndividualLegIVCore($A$4, Table133[[#This Row],[Strike]], 0.0411, Table133[[#This Row],[T]], ((Table133[[#This Row],[BIDC]]+Table133[[#This Row],[ASKC]])/2), TRUE)</f>
        <v>0.01</v>
      </c>
      <c r="I427" t="b">
        <f>IF(     ISNUMBER(Table133[[#This Row],[Strike]]),RTD("tos.rtd", , "BID", "."&amp;Table133[[#This Row],[Ticker]]&amp;Table133[[#This Row],[Expiry]]&amp;""&amp;"C"&amp;Table133[[#This Row],[Strike]]))</f>
        <v>0</v>
      </c>
      <c r="J427" t="b">
        <f>IF(     ISNUMBER(Table133[[#This Row],[Strike]]),RTD("tos.rtd", , "ASK", "."&amp;Table133[[#This Row],[Ticker]]&amp;Table133[[#This Row],[Expiry]]&amp;""&amp;"C"&amp;Table133[[#This Row],[Strike]]))</f>
        <v>0</v>
      </c>
      <c r="K427" s="17"/>
      <c r="M427" s="1">
        <f t="shared" si="45"/>
        <v>0</v>
      </c>
      <c r="N427" t="b">
        <f t="shared" si="46"/>
        <v>0</v>
      </c>
      <c r="P427" s="17" cm="1">
        <f t="array" aca="1" ref="P427" ca="1">IndividualLegIVCore($A$4, Table133[[#This Row],[Strike]], 0.0411, Table133[[#This Row],[T]], ((Table133[[#This Row],[BIDP]]+Table133[[#This Row],[ASKP]])/2), FALSE)</f>
        <v>0.01</v>
      </c>
      <c r="Q427" t="b">
        <f>IF(     ISNUMBER(Table133[[#This Row],[Strike]]),RTD("tos.rtd", , "BID", "."&amp;Table133[[#This Row],[Ticker]]&amp;Table133[[#This Row],[Expiry]]&amp;""&amp;"P"&amp;Table133[[#This Row],[Strike]]))</f>
        <v>0</v>
      </c>
      <c r="R427" t="b">
        <f>IF(     ISNUMBER(Table133[[#This Row],[Strike]]),RTD("tos.rtd", , "ASK", "."&amp;Table133[[#This Row],[Ticker]]&amp;Table133[[#This Row],[Expiry]]&amp;""&amp;"P"&amp;Table133[[#This Row],[Strike]]))</f>
        <v>0</v>
      </c>
      <c r="S427" s="17"/>
      <c r="T427" t="b">
        <f>IF(     ISNUMBER(Table133[[#This Row],[Strike]]),RTD("tos.rtd", , "OPEN_INT", "."&amp;Table133[[#This Row],[Ticker]]&amp;Table133[[#This Row],[Expiry]]&amp;""&amp;"P"&amp;Table133[[#This Row],[Strike]]))</f>
        <v>0</v>
      </c>
      <c r="U42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7" t="b">
        <f>IF(     ISNUMBER(Table133[[#This Row],[Strike]]),RTD("tos.rtd", , "DELTA", "."&amp;Table133[[#This Row],[Ticker]]&amp;Table133[[#This Row],[Expiry]]&amp;""&amp;"P"&amp;Table133[[#This Row],[Strike]]))</f>
        <v>0</v>
      </c>
      <c r="Y427" s="19">
        <f>-44.5* IF($M$1="NDX", 10, IF(OR($M$1="SPX", $M$1="RUT"), 2, 1))</f>
        <v>-89</v>
      </c>
      <c r="Z427">
        <f ca="1">IFERROR(Table133[[#This Row],[call gamma]]*(Table133[[#This Row],[Open.Int]])*$A$4^2,0)</f>
        <v>0</v>
      </c>
      <c r="AA427">
        <f ca="1">IFERROR(((Table133[[#This Row],[Open.Int8]])*Table133[[#This Row],[Put gamma]])*-1*$A$4^2,0)</f>
        <v>0</v>
      </c>
      <c r="AB427">
        <f ca="1">(Table133[[#This Row],[Call Gex]]+Table133[[#This Row],[Put Gex]])</f>
        <v>0</v>
      </c>
      <c r="AC427">
        <f ca="1">Table133[[#This Row],[put delta adj]]+Table133[[#This Row],[call delta adj]]</f>
        <v>0</v>
      </c>
      <c r="AD427">
        <f ca="1">Table133[[#This Row],[Put Gex]]*Table133[[#This Row],[DeltaP]]*-1</f>
        <v>0</v>
      </c>
      <c r="AE427">
        <f ca="1">Table133[[#This Row],[Call Gex]]*Table133[[#This Row],[DeltaC]]</f>
        <v>0</v>
      </c>
      <c r="AF427">
        <f>IF(Table133[[#This Row],[DeltaC]]-ABS(Table133[[#This Row],[DeltaP]])="0","0.01",Table133[[#This Row],[DeltaC]]-ABS(Table133[[#This Row],[DeltaP]]))</f>
        <v>0</v>
      </c>
      <c r="AG427" t="e">
        <f ca="1">((LN($A$4/Table133[[#This Row],[Strike]]) + (0.411 + 0.5 * Table133[[#This Row],[IV Calc P]]^2) *Table133[[#This Row],[T]])) / (Table133[[#This Row],[IV Calc P]] * SQRT(Table133[[#This Row],[T]]))</f>
        <v>#DIV/0!</v>
      </c>
      <c r="AH427" t="e">
        <f ca="1">(LN($A$4/Table133[[#This Row],[Strike]]) + (0.411-0 + 0.5 * Table133[[#This Row],[IV Calc C]]^2) *Table133[[#This Row],[T]]) / (Table133[[#This Row],[IV Calc C]] * SQRT(Table133[[#This Row],[T]]))</f>
        <v>#DIV/0!</v>
      </c>
      <c r="AI427" t="e">
        <f ca="1">(EXP(-(AG427^2)/2)/SQRT(2*PI())*EXP(0*SQRT(Table133[[#This Row],[T]]))/$A$4*18%*SQRT(SQRT(Table133[[#This Row],[T]])))</f>
        <v>#DIV/0!</v>
      </c>
      <c r="AJ427" t="e">
        <f ca="1">(EXP(-(AH427^2)/2)/SQRT(2*PI())*EXP(0*SQRT(Table133[[#This Row],[T]]))/$A$4*18%*SQRT(SQRT(Table133[[#This Row],[T]])))</f>
        <v>#DIV/0!</v>
      </c>
      <c r="AK427" t="e">
        <f ca="1">Table133[[#This Row],[Call D1]]-Table133[[#This Row],[IV Calc C]]*SQRT(Table133[[#This Row],[T]])</f>
        <v>#DIV/0!</v>
      </c>
      <c r="AL427" t="e">
        <f ca="1">Table133[[#This Row],[Put D1]]-Table133[[#This Row],[IV Calc P]]*SQRT(Table133[[#This Row],[T]])</f>
        <v>#DIV/0!</v>
      </c>
      <c r="AM427" t="e">
        <f ca="1">EXP(-0.5*Table133[[#This Row],[Call D1]]^2)/SQRT(2*PI())</f>
        <v>#DIV/0!</v>
      </c>
      <c r="AN427" t="e">
        <f ca="1">EXP(-0.5*Table133[[#This Row],[Put D1]]^2)/SQRT(2*PI())</f>
        <v>#DIV/0!</v>
      </c>
      <c r="AO42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7">
        <f ca="1">((Table133[[#This Row],[call vanna]]+Table133[[#This Row],[put vanna]])*$A$4)</f>
        <v>0</v>
      </c>
      <c r="AR42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7" s="9" t="str" cm="1">
        <f t="array" ref="AT427">_xlfn.IFS(     $M$1="SPX","SPXW",     $M$1="RUT","RUTW",  $M$1="NDX","NDXP",   TRUE,$M$1 )</f>
        <v>SPXW</v>
      </c>
      <c r="AU427" s="2">
        <f t="shared" si="47"/>
        <v>6915</v>
      </c>
      <c r="AV427" t="str">
        <f t="shared" si="48"/>
        <v>000100</v>
      </c>
      <c r="AY42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7">
        <f>((Table133[[#This Row],[High C]]+Table133[[#This Row],[Low C]])/2)*Table133[[#This Row],[gammac]]*Table133[[#This Row],[Volume]]</f>
        <v>0</v>
      </c>
      <c r="BD427">
        <f>((Table133[[#This Row],[High P]]+Table133[[#This Row],[Low P]])/2)*Table133[[#This Row],[gammap]]*Table133[[#This Row],[Volume9]]*-1</f>
        <v>0</v>
      </c>
      <c r="BE427">
        <f>(Table133[[#This Row],[SgammaC]]+Table133[[#This Row],[SgammaP]])*$A$4*-100</f>
        <v>0</v>
      </c>
      <c r="BF427" s="78">
        <f>Table133[[#This Row],[DEXc]]+Table133[[#This Row],[DEXp]]</f>
        <v>0</v>
      </c>
      <c r="BG427">
        <f>IFERROR(Table133[[#This Row],[DeltaC]]*Table133[[#This Row],[Open.Int]]*$A$4,0)</f>
        <v>0</v>
      </c>
      <c r="BH427">
        <f>IFERROR(Table133[[#This Row],[DeltaP]]*Table133[[#This Row],[Open.Int8]]*$A$4,0)</f>
        <v>0</v>
      </c>
      <c r="BI42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7">
        <f ca="1">Table133[[#This Row],[charmc]]+Table133[[#This Row],[charmp]]</f>
        <v>0</v>
      </c>
      <c r="BL42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7" s="78">
        <f ca="1">Table133[[#This Row],[call helper]]+Table133[[#This Row],[put helper]]</f>
        <v>0</v>
      </c>
      <c r="BP427" t="str">
        <f>RTD("tos.rtd", , "STRIKE", "."&amp;Table133[[#This Row],[Ticker]]&amp;Table133[[#This Row],[Expiry]]&amp;""&amp;"C"&amp;Table133[[#This Row],[Spot]]+Table133[[#This Row],[step]])</f>
        <v>N/A</v>
      </c>
    </row>
    <row r="428" spans="1:68" x14ac:dyDescent="0.25">
      <c r="A428" s="14">
        <f t="shared" ca="1" si="44"/>
        <v>-126.14810350076104</v>
      </c>
      <c r="C428" s="17"/>
      <c r="D428" t="str">
        <f>RTD("tos.rtd", , "OPEN_INT", "."&amp;Table133[[#This Row],[Ticker]]&amp;Table133[[#This Row],[Expiry]]&amp;""&amp;"C"&amp;Table133[[#This Row],[Spot]]+Table133[[#This Row],[step]])</f>
        <v>N/A</v>
      </c>
      <c r="E42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8" t="b">
        <f>IF(     ISNUMBER(Table133[[#This Row],[Strike]]),RTD("tos.rtd", , "DELTA", "."&amp;Table133[[#This Row],[Ticker]]&amp;Table133[[#This Row],[Expiry]]&amp;""&amp;"C"&amp;Table133[[#This Row],[Strike]]))</f>
        <v>0</v>
      </c>
      <c r="H428" s="17" cm="1">
        <f t="array" aca="1" ref="H428" ca="1">IndividualLegIVCore($A$4, Table133[[#This Row],[Strike]], 0.0411, Table133[[#This Row],[T]], ((Table133[[#This Row],[BIDC]]+Table133[[#This Row],[ASKC]])/2), TRUE)</f>
        <v>0.01</v>
      </c>
      <c r="I428" t="b">
        <f>IF(     ISNUMBER(Table133[[#This Row],[Strike]]),RTD("tos.rtd", , "BID", "."&amp;Table133[[#This Row],[Ticker]]&amp;Table133[[#This Row],[Expiry]]&amp;""&amp;"C"&amp;Table133[[#This Row],[Strike]]))</f>
        <v>0</v>
      </c>
      <c r="J428" t="b">
        <f>IF(     ISNUMBER(Table133[[#This Row],[Strike]]),RTD("tos.rtd", , "ASK", "."&amp;Table133[[#This Row],[Ticker]]&amp;Table133[[#This Row],[Expiry]]&amp;""&amp;"C"&amp;Table133[[#This Row],[Strike]]))</f>
        <v>0</v>
      </c>
      <c r="K428" s="17"/>
      <c r="M428" s="1">
        <f t="shared" si="45"/>
        <v>0</v>
      </c>
      <c r="N428" t="b">
        <f t="shared" si="46"/>
        <v>0</v>
      </c>
      <c r="P428" s="17" cm="1">
        <f t="array" aca="1" ref="P428" ca="1">IndividualLegIVCore($A$4, Table133[[#This Row],[Strike]], 0.0411, Table133[[#This Row],[T]], ((Table133[[#This Row],[BIDP]]+Table133[[#This Row],[ASKP]])/2), FALSE)</f>
        <v>0.01</v>
      </c>
      <c r="Q428" t="b">
        <f>IF(     ISNUMBER(Table133[[#This Row],[Strike]]),RTD("tos.rtd", , "BID", "."&amp;Table133[[#This Row],[Ticker]]&amp;Table133[[#This Row],[Expiry]]&amp;""&amp;"P"&amp;Table133[[#This Row],[Strike]]))</f>
        <v>0</v>
      </c>
      <c r="R428" t="b">
        <f>IF(     ISNUMBER(Table133[[#This Row],[Strike]]),RTD("tos.rtd", , "ASK", "."&amp;Table133[[#This Row],[Ticker]]&amp;Table133[[#This Row],[Expiry]]&amp;""&amp;"P"&amp;Table133[[#This Row],[Strike]]))</f>
        <v>0</v>
      </c>
      <c r="S428" s="17"/>
      <c r="T428" t="b">
        <f>IF(     ISNUMBER(Table133[[#This Row],[Strike]]),RTD("tos.rtd", , "OPEN_INT", "."&amp;Table133[[#This Row],[Ticker]]&amp;Table133[[#This Row],[Expiry]]&amp;""&amp;"P"&amp;Table133[[#This Row],[Strike]]))</f>
        <v>0</v>
      </c>
      <c r="U42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8" t="b">
        <f>IF(     ISNUMBER(Table133[[#This Row],[Strike]]),RTD("tos.rtd", , "DELTA", "."&amp;Table133[[#This Row],[Ticker]]&amp;Table133[[#This Row],[Expiry]]&amp;""&amp;"P"&amp;Table133[[#This Row],[Strike]]))</f>
        <v>0</v>
      </c>
      <c r="Y428" s="19">
        <f>-44* IF($M$1="NDX", 10, IF(OR($M$1="SPX", $M$1="RUT"), 2, 1))</f>
        <v>-88</v>
      </c>
      <c r="Z428">
        <f ca="1">IFERROR(Table133[[#This Row],[call gamma]]*(Table133[[#This Row],[Open.Int]])*$A$4^2,0)</f>
        <v>0</v>
      </c>
      <c r="AA428">
        <f ca="1">IFERROR(((Table133[[#This Row],[Open.Int8]])*Table133[[#This Row],[Put gamma]])*-1*$A$4^2,0)</f>
        <v>0</v>
      </c>
      <c r="AB428">
        <f ca="1">(Table133[[#This Row],[Call Gex]]+Table133[[#This Row],[Put Gex]])</f>
        <v>0</v>
      </c>
      <c r="AC428">
        <f ca="1">Table133[[#This Row],[put delta adj]]+Table133[[#This Row],[call delta adj]]</f>
        <v>0</v>
      </c>
      <c r="AD428">
        <f ca="1">Table133[[#This Row],[Put Gex]]*Table133[[#This Row],[DeltaP]]*-1</f>
        <v>0</v>
      </c>
      <c r="AE428">
        <f ca="1">Table133[[#This Row],[Call Gex]]*Table133[[#This Row],[DeltaC]]</f>
        <v>0</v>
      </c>
      <c r="AF428">
        <f>IF(Table133[[#This Row],[DeltaC]]-ABS(Table133[[#This Row],[DeltaP]])="0","0.01",Table133[[#This Row],[DeltaC]]-ABS(Table133[[#This Row],[DeltaP]]))</f>
        <v>0</v>
      </c>
      <c r="AG428" t="e">
        <f ca="1">((LN($A$4/Table133[[#This Row],[Strike]]) + (0.411 + 0.5 * Table133[[#This Row],[IV Calc P]]^2) *Table133[[#This Row],[T]])) / (Table133[[#This Row],[IV Calc P]] * SQRT(Table133[[#This Row],[T]]))</f>
        <v>#DIV/0!</v>
      </c>
      <c r="AH428" t="e">
        <f ca="1">(LN($A$4/Table133[[#This Row],[Strike]]) + (0.411-0 + 0.5 * Table133[[#This Row],[IV Calc C]]^2) *Table133[[#This Row],[T]]) / (Table133[[#This Row],[IV Calc C]] * SQRT(Table133[[#This Row],[T]]))</f>
        <v>#DIV/0!</v>
      </c>
      <c r="AI428" t="e">
        <f ca="1">(EXP(-(AG428^2)/2)/SQRT(2*PI())*EXP(0*SQRT(Table133[[#This Row],[T]]))/$A$4*18%*SQRT(SQRT(Table133[[#This Row],[T]])))</f>
        <v>#DIV/0!</v>
      </c>
      <c r="AJ428" t="e">
        <f ca="1">(EXP(-(AH428^2)/2)/SQRT(2*PI())*EXP(0*SQRT(Table133[[#This Row],[T]]))/$A$4*18%*SQRT(SQRT(Table133[[#This Row],[T]])))</f>
        <v>#DIV/0!</v>
      </c>
      <c r="AK428" t="e">
        <f ca="1">Table133[[#This Row],[Call D1]]-Table133[[#This Row],[IV Calc C]]*SQRT(Table133[[#This Row],[T]])</f>
        <v>#DIV/0!</v>
      </c>
      <c r="AL428" t="e">
        <f ca="1">Table133[[#This Row],[Put D1]]-Table133[[#This Row],[IV Calc P]]*SQRT(Table133[[#This Row],[T]])</f>
        <v>#DIV/0!</v>
      </c>
      <c r="AM428" t="e">
        <f ca="1">EXP(-0.5*Table133[[#This Row],[Call D1]]^2)/SQRT(2*PI())</f>
        <v>#DIV/0!</v>
      </c>
      <c r="AN428" t="e">
        <f ca="1">EXP(-0.5*Table133[[#This Row],[Put D1]]^2)/SQRT(2*PI())</f>
        <v>#DIV/0!</v>
      </c>
      <c r="AO42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8">
        <f ca="1">((Table133[[#This Row],[call vanna]]+Table133[[#This Row],[put vanna]])*$A$4)</f>
        <v>0</v>
      </c>
      <c r="AR42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8" s="9" t="str" cm="1">
        <f t="array" ref="AT428">_xlfn.IFS(     $M$1="SPX","SPXW",     $M$1="RUT","RUTW",  $M$1="NDX","NDXP",   TRUE,$M$1 )</f>
        <v>SPXW</v>
      </c>
      <c r="AU428" s="2">
        <f t="shared" si="47"/>
        <v>6915</v>
      </c>
      <c r="AV428" t="str">
        <f t="shared" si="48"/>
        <v>000100</v>
      </c>
      <c r="AY42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8">
        <f>((Table133[[#This Row],[High C]]+Table133[[#This Row],[Low C]])/2)*Table133[[#This Row],[gammac]]*Table133[[#This Row],[Volume]]</f>
        <v>0</v>
      </c>
      <c r="BD428">
        <f>((Table133[[#This Row],[High P]]+Table133[[#This Row],[Low P]])/2)*Table133[[#This Row],[gammap]]*Table133[[#This Row],[Volume9]]*-1</f>
        <v>0</v>
      </c>
      <c r="BE428">
        <f>(Table133[[#This Row],[SgammaC]]+Table133[[#This Row],[SgammaP]])*$A$4*-100</f>
        <v>0</v>
      </c>
      <c r="BF428" s="78">
        <f>Table133[[#This Row],[DEXc]]+Table133[[#This Row],[DEXp]]</f>
        <v>0</v>
      </c>
      <c r="BG428">
        <f>IFERROR(Table133[[#This Row],[DeltaC]]*Table133[[#This Row],[Open.Int]]*$A$4,0)</f>
        <v>0</v>
      </c>
      <c r="BH428">
        <f>IFERROR(Table133[[#This Row],[DeltaP]]*Table133[[#This Row],[Open.Int8]]*$A$4,0)</f>
        <v>0</v>
      </c>
      <c r="BI42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8">
        <f ca="1">Table133[[#This Row],[charmc]]+Table133[[#This Row],[charmp]]</f>
        <v>0</v>
      </c>
      <c r="BL42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8" s="78">
        <f ca="1">Table133[[#This Row],[call helper]]+Table133[[#This Row],[put helper]]</f>
        <v>0</v>
      </c>
      <c r="BP428" t="str">
        <f>RTD("tos.rtd", , "STRIKE", "."&amp;Table133[[#This Row],[Ticker]]&amp;Table133[[#This Row],[Expiry]]&amp;""&amp;"C"&amp;Table133[[#This Row],[Spot]]+Table133[[#This Row],[step]])</f>
        <v>N/A</v>
      </c>
    </row>
    <row r="429" spans="1:68" x14ac:dyDescent="0.25">
      <c r="A429" s="14">
        <f t="shared" ca="1" si="44"/>
        <v>-126.14810350076104</v>
      </c>
      <c r="C429" s="17"/>
      <c r="D429" t="str">
        <f>RTD("tos.rtd", , "OPEN_INT", "."&amp;Table133[[#This Row],[Ticker]]&amp;Table133[[#This Row],[Expiry]]&amp;""&amp;"C"&amp;Table133[[#This Row],[Spot]]+Table133[[#This Row],[step]])</f>
        <v>N/A</v>
      </c>
      <c r="E42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9" t="b">
        <f>IF(     ISNUMBER(Table133[[#This Row],[Strike]]),RTD("tos.rtd", , "DELTA", "."&amp;Table133[[#This Row],[Ticker]]&amp;Table133[[#This Row],[Expiry]]&amp;""&amp;"C"&amp;Table133[[#This Row],[Strike]]))</f>
        <v>0</v>
      </c>
      <c r="H429" s="17" cm="1">
        <f t="array" aca="1" ref="H429" ca="1">IndividualLegIVCore($A$4, Table133[[#This Row],[Strike]], 0.0411, Table133[[#This Row],[T]], ((Table133[[#This Row],[BIDC]]+Table133[[#This Row],[ASKC]])/2), TRUE)</f>
        <v>0.01</v>
      </c>
      <c r="I429" t="b">
        <f>IF(     ISNUMBER(Table133[[#This Row],[Strike]]),RTD("tos.rtd", , "BID", "."&amp;Table133[[#This Row],[Ticker]]&amp;Table133[[#This Row],[Expiry]]&amp;""&amp;"C"&amp;Table133[[#This Row],[Strike]]))</f>
        <v>0</v>
      </c>
      <c r="J429" t="b">
        <f>IF(     ISNUMBER(Table133[[#This Row],[Strike]]),RTD("tos.rtd", , "ASK", "."&amp;Table133[[#This Row],[Ticker]]&amp;Table133[[#This Row],[Expiry]]&amp;""&amp;"C"&amp;Table133[[#This Row],[Strike]]))</f>
        <v>0</v>
      </c>
      <c r="K429" s="17"/>
      <c r="M429" s="1">
        <f t="shared" si="45"/>
        <v>0</v>
      </c>
      <c r="N429" t="b">
        <f t="shared" si="46"/>
        <v>0</v>
      </c>
      <c r="P429" s="17" cm="1">
        <f t="array" aca="1" ref="P429" ca="1">IndividualLegIVCore($A$4, Table133[[#This Row],[Strike]], 0.0411, Table133[[#This Row],[T]], ((Table133[[#This Row],[BIDP]]+Table133[[#This Row],[ASKP]])/2), FALSE)</f>
        <v>0.01</v>
      </c>
      <c r="Q429" t="b">
        <f>IF(     ISNUMBER(Table133[[#This Row],[Strike]]),RTD("tos.rtd", , "BID", "."&amp;Table133[[#This Row],[Ticker]]&amp;Table133[[#This Row],[Expiry]]&amp;""&amp;"P"&amp;Table133[[#This Row],[Strike]]))</f>
        <v>0</v>
      </c>
      <c r="R429" t="b">
        <f>IF(     ISNUMBER(Table133[[#This Row],[Strike]]),RTD("tos.rtd", , "ASK", "."&amp;Table133[[#This Row],[Ticker]]&amp;Table133[[#This Row],[Expiry]]&amp;""&amp;"P"&amp;Table133[[#This Row],[Strike]]))</f>
        <v>0</v>
      </c>
      <c r="S429" s="17"/>
      <c r="T429" t="b">
        <f>IF(     ISNUMBER(Table133[[#This Row],[Strike]]),RTD("tos.rtd", , "OPEN_INT", "."&amp;Table133[[#This Row],[Ticker]]&amp;Table133[[#This Row],[Expiry]]&amp;""&amp;"P"&amp;Table133[[#This Row],[Strike]]))</f>
        <v>0</v>
      </c>
      <c r="U42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9" t="b">
        <f>IF(     ISNUMBER(Table133[[#This Row],[Strike]]),RTD("tos.rtd", , "DELTA", "."&amp;Table133[[#This Row],[Ticker]]&amp;Table133[[#This Row],[Expiry]]&amp;""&amp;"P"&amp;Table133[[#This Row],[Strike]]))</f>
        <v>0</v>
      </c>
      <c r="Y429" s="19">
        <f>-43.5* IF($M$1="NDX", 10, IF(OR($M$1="SPX", $M$1="RUT"), 2, 1))</f>
        <v>-87</v>
      </c>
      <c r="Z429">
        <f ca="1">IFERROR(Table133[[#This Row],[call gamma]]*(Table133[[#This Row],[Open.Int]])*$A$4^2,0)</f>
        <v>0</v>
      </c>
      <c r="AA429">
        <f ca="1">IFERROR(((Table133[[#This Row],[Open.Int8]])*Table133[[#This Row],[Put gamma]])*-1*$A$4^2,0)</f>
        <v>0</v>
      </c>
      <c r="AB429">
        <f ca="1">(Table133[[#This Row],[Call Gex]]+Table133[[#This Row],[Put Gex]])</f>
        <v>0</v>
      </c>
      <c r="AC429">
        <f ca="1">Table133[[#This Row],[put delta adj]]+Table133[[#This Row],[call delta adj]]</f>
        <v>0</v>
      </c>
      <c r="AD429">
        <f ca="1">Table133[[#This Row],[Put Gex]]*Table133[[#This Row],[DeltaP]]*-1</f>
        <v>0</v>
      </c>
      <c r="AE429">
        <f ca="1">Table133[[#This Row],[Call Gex]]*Table133[[#This Row],[DeltaC]]</f>
        <v>0</v>
      </c>
      <c r="AF429">
        <f>IF(Table133[[#This Row],[DeltaC]]-ABS(Table133[[#This Row],[DeltaP]])="0","0.01",Table133[[#This Row],[DeltaC]]-ABS(Table133[[#This Row],[DeltaP]]))</f>
        <v>0</v>
      </c>
      <c r="AG429" t="e">
        <f ca="1">((LN($A$4/Table133[[#This Row],[Strike]]) + (0.411 + 0.5 * Table133[[#This Row],[IV Calc P]]^2) *Table133[[#This Row],[T]])) / (Table133[[#This Row],[IV Calc P]] * SQRT(Table133[[#This Row],[T]]))</f>
        <v>#DIV/0!</v>
      </c>
      <c r="AH429" t="e">
        <f ca="1">(LN($A$4/Table133[[#This Row],[Strike]]) + (0.411-0 + 0.5 * Table133[[#This Row],[IV Calc C]]^2) *Table133[[#This Row],[T]]) / (Table133[[#This Row],[IV Calc C]] * SQRT(Table133[[#This Row],[T]]))</f>
        <v>#DIV/0!</v>
      </c>
      <c r="AI429" t="e">
        <f ca="1">(EXP(-(AG429^2)/2)/SQRT(2*PI())*EXP(0*SQRT(Table133[[#This Row],[T]]))/$A$4*18%*SQRT(SQRT(Table133[[#This Row],[T]])))</f>
        <v>#DIV/0!</v>
      </c>
      <c r="AJ429" t="e">
        <f ca="1">(EXP(-(AH429^2)/2)/SQRT(2*PI())*EXP(0*SQRT(Table133[[#This Row],[T]]))/$A$4*18%*SQRT(SQRT(Table133[[#This Row],[T]])))</f>
        <v>#DIV/0!</v>
      </c>
      <c r="AK429" t="e">
        <f ca="1">Table133[[#This Row],[Call D1]]-Table133[[#This Row],[IV Calc C]]*SQRT(Table133[[#This Row],[T]])</f>
        <v>#DIV/0!</v>
      </c>
      <c r="AL429" t="e">
        <f ca="1">Table133[[#This Row],[Put D1]]-Table133[[#This Row],[IV Calc P]]*SQRT(Table133[[#This Row],[T]])</f>
        <v>#DIV/0!</v>
      </c>
      <c r="AM429" t="e">
        <f ca="1">EXP(-0.5*Table133[[#This Row],[Call D1]]^2)/SQRT(2*PI())</f>
        <v>#DIV/0!</v>
      </c>
      <c r="AN429" t="e">
        <f ca="1">EXP(-0.5*Table133[[#This Row],[Put D1]]^2)/SQRT(2*PI())</f>
        <v>#DIV/0!</v>
      </c>
      <c r="AO42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9">
        <f ca="1">((Table133[[#This Row],[call vanna]]+Table133[[#This Row],[put vanna]])*$A$4)</f>
        <v>0</v>
      </c>
      <c r="AR42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9" s="9" t="str" cm="1">
        <f t="array" ref="AT429">_xlfn.IFS(     $M$1="SPX","SPXW",     $M$1="RUT","RUTW",  $M$1="NDX","NDXP",   TRUE,$M$1 )</f>
        <v>SPXW</v>
      </c>
      <c r="AU429" s="2">
        <f t="shared" si="47"/>
        <v>6915</v>
      </c>
      <c r="AV429" t="str">
        <f t="shared" si="48"/>
        <v>000100</v>
      </c>
      <c r="AY42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9">
        <f>((Table133[[#This Row],[High C]]+Table133[[#This Row],[Low C]])/2)*Table133[[#This Row],[gammac]]*Table133[[#This Row],[Volume]]</f>
        <v>0</v>
      </c>
      <c r="BD429">
        <f>((Table133[[#This Row],[High P]]+Table133[[#This Row],[Low P]])/2)*Table133[[#This Row],[gammap]]*Table133[[#This Row],[Volume9]]*-1</f>
        <v>0</v>
      </c>
      <c r="BE429">
        <f>(Table133[[#This Row],[SgammaC]]+Table133[[#This Row],[SgammaP]])*$A$4*-100</f>
        <v>0</v>
      </c>
      <c r="BF429" s="78">
        <f>Table133[[#This Row],[DEXc]]+Table133[[#This Row],[DEXp]]</f>
        <v>0</v>
      </c>
      <c r="BG429">
        <f>IFERROR(Table133[[#This Row],[DeltaC]]*Table133[[#This Row],[Open.Int]]*$A$4,0)</f>
        <v>0</v>
      </c>
      <c r="BH429">
        <f>IFERROR(Table133[[#This Row],[DeltaP]]*Table133[[#This Row],[Open.Int8]]*$A$4,0)</f>
        <v>0</v>
      </c>
      <c r="BI42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9">
        <f ca="1">Table133[[#This Row],[charmc]]+Table133[[#This Row],[charmp]]</f>
        <v>0</v>
      </c>
      <c r="BL42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9" s="78">
        <f ca="1">Table133[[#This Row],[call helper]]+Table133[[#This Row],[put helper]]</f>
        <v>0</v>
      </c>
      <c r="BP429" t="str">
        <f>RTD("tos.rtd", , "STRIKE", "."&amp;Table133[[#This Row],[Ticker]]&amp;Table133[[#This Row],[Expiry]]&amp;""&amp;"C"&amp;Table133[[#This Row],[Spot]]+Table133[[#This Row],[step]])</f>
        <v>N/A</v>
      </c>
    </row>
    <row r="430" spans="1:68" x14ac:dyDescent="0.25">
      <c r="A430" s="14">
        <f t="shared" ca="1" si="44"/>
        <v>-126.14810350076104</v>
      </c>
      <c r="C430" s="17"/>
      <c r="D430" t="str">
        <f>RTD("tos.rtd", , "OPEN_INT", "."&amp;Table133[[#This Row],[Ticker]]&amp;Table133[[#This Row],[Expiry]]&amp;""&amp;"C"&amp;Table133[[#This Row],[Spot]]+Table133[[#This Row],[step]])</f>
        <v>N/A</v>
      </c>
      <c r="E43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0" t="b">
        <f>IF(     ISNUMBER(Table133[[#This Row],[Strike]]),RTD("tos.rtd", , "DELTA", "."&amp;Table133[[#This Row],[Ticker]]&amp;Table133[[#This Row],[Expiry]]&amp;""&amp;"C"&amp;Table133[[#This Row],[Strike]]))</f>
        <v>0</v>
      </c>
      <c r="H430" s="17" cm="1">
        <f t="array" aca="1" ref="H430" ca="1">IndividualLegIVCore($A$4, Table133[[#This Row],[Strike]], 0.0411, Table133[[#This Row],[T]], ((Table133[[#This Row],[BIDC]]+Table133[[#This Row],[ASKC]])/2), TRUE)</f>
        <v>0.01</v>
      </c>
      <c r="I430" t="b">
        <f>IF(     ISNUMBER(Table133[[#This Row],[Strike]]),RTD("tos.rtd", , "BID", "."&amp;Table133[[#This Row],[Ticker]]&amp;Table133[[#This Row],[Expiry]]&amp;""&amp;"C"&amp;Table133[[#This Row],[Strike]]))</f>
        <v>0</v>
      </c>
      <c r="J430" t="b">
        <f>IF(     ISNUMBER(Table133[[#This Row],[Strike]]),RTD("tos.rtd", , "ASK", "."&amp;Table133[[#This Row],[Ticker]]&amp;Table133[[#This Row],[Expiry]]&amp;""&amp;"C"&amp;Table133[[#This Row],[Strike]]))</f>
        <v>0</v>
      </c>
      <c r="K430" s="17"/>
      <c r="M430" s="1">
        <f t="shared" si="45"/>
        <v>0</v>
      </c>
      <c r="N430" t="b">
        <f t="shared" si="46"/>
        <v>0</v>
      </c>
      <c r="P430" s="17" cm="1">
        <f t="array" aca="1" ref="P430" ca="1">IndividualLegIVCore($A$4, Table133[[#This Row],[Strike]], 0.0411, Table133[[#This Row],[T]], ((Table133[[#This Row],[BIDP]]+Table133[[#This Row],[ASKP]])/2), FALSE)</f>
        <v>0.01</v>
      </c>
      <c r="Q430" t="b">
        <f>IF(     ISNUMBER(Table133[[#This Row],[Strike]]),RTD("tos.rtd", , "BID", "."&amp;Table133[[#This Row],[Ticker]]&amp;Table133[[#This Row],[Expiry]]&amp;""&amp;"P"&amp;Table133[[#This Row],[Strike]]))</f>
        <v>0</v>
      </c>
      <c r="R430" t="b">
        <f>IF(     ISNUMBER(Table133[[#This Row],[Strike]]),RTD("tos.rtd", , "ASK", "."&amp;Table133[[#This Row],[Ticker]]&amp;Table133[[#This Row],[Expiry]]&amp;""&amp;"P"&amp;Table133[[#This Row],[Strike]]))</f>
        <v>0</v>
      </c>
      <c r="S430" s="17"/>
      <c r="T430" t="b">
        <f>IF(     ISNUMBER(Table133[[#This Row],[Strike]]),RTD("tos.rtd", , "OPEN_INT", "."&amp;Table133[[#This Row],[Ticker]]&amp;Table133[[#This Row],[Expiry]]&amp;""&amp;"P"&amp;Table133[[#This Row],[Strike]]))</f>
        <v>0</v>
      </c>
      <c r="U43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0" t="b">
        <f>IF(     ISNUMBER(Table133[[#This Row],[Strike]]),RTD("tos.rtd", , "DELTA", "."&amp;Table133[[#This Row],[Ticker]]&amp;Table133[[#This Row],[Expiry]]&amp;""&amp;"P"&amp;Table133[[#This Row],[Strike]]))</f>
        <v>0</v>
      </c>
      <c r="Y430" s="19">
        <f>-43* IF($M$1="NDX", 10, IF(OR($M$1="SPX", $M$1="RUT"), 2, 1))</f>
        <v>-86</v>
      </c>
      <c r="Z430">
        <f ca="1">IFERROR(Table133[[#This Row],[call gamma]]*(Table133[[#This Row],[Open.Int]])*$A$4^2,0)</f>
        <v>0</v>
      </c>
      <c r="AA430">
        <f ca="1">IFERROR(((Table133[[#This Row],[Open.Int8]])*Table133[[#This Row],[Put gamma]])*-1*$A$4^2,0)</f>
        <v>0</v>
      </c>
      <c r="AB430">
        <f ca="1">(Table133[[#This Row],[Call Gex]]+Table133[[#This Row],[Put Gex]])</f>
        <v>0</v>
      </c>
      <c r="AC430">
        <f ca="1">Table133[[#This Row],[put delta adj]]+Table133[[#This Row],[call delta adj]]</f>
        <v>0</v>
      </c>
      <c r="AD430">
        <f ca="1">Table133[[#This Row],[Put Gex]]*Table133[[#This Row],[DeltaP]]*-1</f>
        <v>0</v>
      </c>
      <c r="AE430">
        <f ca="1">Table133[[#This Row],[Call Gex]]*Table133[[#This Row],[DeltaC]]</f>
        <v>0</v>
      </c>
      <c r="AF430">
        <f>IF(Table133[[#This Row],[DeltaC]]-ABS(Table133[[#This Row],[DeltaP]])="0","0.01",Table133[[#This Row],[DeltaC]]-ABS(Table133[[#This Row],[DeltaP]]))</f>
        <v>0</v>
      </c>
      <c r="AG430" t="e">
        <f ca="1">((LN($A$4/Table133[[#This Row],[Strike]]) + (0.411 + 0.5 * Table133[[#This Row],[IV Calc P]]^2) *Table133[[#This Row],[T]])) / (Table133[[#This Row],[IV Calc P]] * SQRT(Table133[[#This Row],[T]]))</f>
        <v>#DIV/0!</v>
      </c>
      <c r="AH430" t="e">
        <f ca="1">(LN($A$4/Table133[[#This Row],[Strike]]) + (0.411-0 + 0.5 * Table133[[#This Row],[IV Calc C]]^2) *Table133[[#This Row],[T]]) / (Table133[[#This Row],[IV Calc C]] * SQRT(Table133[[#This Row],[T]]))</f>
        <v>#DIV/0!</v>
      </c>
      <c r="AI430" t="e">
        <f ca="1">(EXP(-(AG430^2)/2)/SQRT(2*PI())*EXP(0*SQRT(Table133[[#This Row],[T]]))/$A$4*18%*SQRT(SQRT(Table133[[#This Row],[T]])))</f>
        <v>#DIV/0!</v>
      </c>
      <c r="AJ430" t="e">
        <f ca="1">(EXP(-(AH430^2)/2)/SQRT(2*PI())*EXP(0*SQRT(Table133[[#This Row],[T]]))/$A$4*18%*SQRT(SQRT(Table133[[#This Row],[T]])))</f>
        <v>#DIV/0!</v>
      </c>
      <c r="AK430" t="e">
        <f ca="1">Table133[[#This Row],[Call D1]]-Table133[[#This Row],[IV Calc C]]*SQRT(Table133[[#This Row],[T]])</f>
        <v>#DIV/0!</v>
      </c>
      <c r="AL430" t="e">
        <f ca="1">Table133[[#This Row],[Put D1]]-Table133[[#This Row],[IV Calc P]]*SQRT(Table133[[#This Row],[T]])</f>
        <v>#DIV/0!</v>
      </c>
      <c r="AM430" t="e">
        <f ca="1">EXP(-0.5*Table133[[#This Row],[Call D1]]^2)/SQRT(2*PI())</f>
        <v>#DIV/0!</v>
      </c>
      <c r="AN430" t="e">
        <f ca="1">EXP(-0.5*Table133[[#This Row],[Put D1]]^2)/SQRT(2*PI())</f>
        <v>#DIV/0!</v>
      </c>
      <c r="AO43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0">
        <f ca="1">((Table133[[#This Row],[call vanna]]+Table133[[#This Row],[put vanna]])*$A$4)</f>
        <v>0</v>
      </c>
      <c r="AR43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0" s="9" t="str" cm="1">
        <f t="array" ref="AT430">_xlfn.IFS(     $M$1="SPX","SPXW",     $M$1="RUT","RUTW",  $M$1="NDX","NDXP",   TRUE,$M$1 )</f>
        <v>SPXW</v>
      </c>
      <c r="AU430" s="2">
        <f t="shared" si="47"/>
        <v>6915</v>
      </c>
      <c r="AV430" t="str">
        <f t="shared" si="48"/>
        <v>000100</v>
      </c>
      <c r="AY43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0">
        <f>((Table133[[#This Row],[High C]]+Table133[[#This Row],[Low C]])/2)*Table133[[#This Row],[gammac]]*Table133[[#This Row],[Volume]]</f>
        <v>0</v>
      </c>
      <c r="BD430">
        <f>((Table133[[#This Row],[High P]]+Table133[[#This Row],[Low P]])/2)*Table133[[#This Row],[gammap]]*Table133[[#This Row],[Volume9]]*-1</f>
        <v>0</v>
      </c>
      <c r="BE430">
        <f>(Table133[[#This Row],[SgammaC]]+Table133[[#This Row],[SgammaP]])*$A$4*-100</f>
        <v>0</v>
      </c>
      <c r="BF430" s="78">
        <f>Table133[[#This Row],[DEXc]]+Table133[[#This Row],[DEXp]]</f>
        <v>0</v>
      </c>
      <c r="BG430">
        <f>IFERROR(Table133[[#This Row],[DeltaC]]*Table133[[#This Row],[Open.Int]]*$A$4,0)</f>
        <v>0</v>
      </c>
      <c r="BH430">
        <f>IFERROR(Table133[[#This Row],[DeltaP]]*Table133[[#This Row],[Open.Int8]]*$A$4,0)</f>
        <v>0</v>
      </c>
      <c r="BI43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0">
        <f ca="1">Table133[[#This Row],[charmc]]+Table133[[#This Row],[charmp]]</f>
        <v>0</v>
      </c>
      <c r="BL43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0" s="78">
        <f ca="1">Table133[[#This Row],[call helper]]+Table133[[#This Row],[put helper]]</f>
        <v>0</v>
      </c>
      <c r="BP430" t="str">
        <f>RTD("tos.rtd", , "STRIKE", "."&amp;Table133[[#This Row],[Ticker]]&amp;Table133[[#This Row],[Expiry]]&amp;""&amp;"C"&amp;Table133[[#This Row],[Spot]]+Table133[[#This Row],[step]])</f>
        <v>N/A</v>
      </c>
    </row>
    <row r="431" spans="1:68" x14ac:dyDescent="0.25">
      <c r="A431" s="14">
        <f t="shared" ca="1" si="44"/>
        <v>-126.14810350076104</v>
      </c>
      <c r="C431" s="17"/>
      <c r="D431" t="str">
        <f>RTD("tos.rtd", , "OPEN_INT", "."&amp;Table133[[#This Row],[Ticker]]&amp;Table133[[#This Row],[Expiry]]&amp;""&amp;"C"&amp;Table133[[#This Row],[Spot]]+Table133[[#This Row],[step]])</f>
        <v>N/A</v>
      </c>
      <c r="E43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1" t="b">
        <f>IF(     ISNUMBER(Table133[[#This Row],[Strike]]),RTD("tos.rtd", , "DELTA", "."&amp;Table133[[#This Row],[Ticker]]&amp;Table133[[#This Row],[Expiry]]&amp;""&amp;"C"&amp;Table133[[#This Row],[Strike]]))</f>
        <v>0</v>
      </c>
      <c r="H431" s="17" cm="1">
        <f t="array" aca="1" ref="H431" ca="1">IndividualLegIVCore($A$4, Table133[[#This Row],[Strike]], 0.0411, Table133[[#This Row],[T]], ((Table133[[#This Row],[BIDC]]+Table133[[#This Row],[ASKC]])/2), TRUE)</f>
        <v>0.01</v>
      </c>
      <c r="I431" t="b">
        <f>IF(     ISNUMBER(Table133[[#This Row],[Strike]]),RTD("tos.rtd", , "BID", "."&amp;Table133[[#This Row],[Ticker]]&amp;Table133[[#This Row],[Expiry]]&amp;""&amp;"C"&amp;Table133[[#This Row],[Strike]]))</f>
        <v>0</v>
      </c>
      <c r="J431" t="b">
        <f>IF(     ISNUMBER(Table133[[#This Row],[Strike]]),RTD("tos.rtd", , "ASK", "."&amp;Table133[[#This Row],[Ticker]]&amp;Table133[[#This Row],[Expiry]]&amp;""&amp;"C"&amp;Table133[[#This Row],[Strike]]))</f>
        <v>0</v>
      </c>
      <c r="K431" s="17"/>
      <c r="M431" s="1">
        <f t="shared" si="45"/>
        <v>0</v>
      </c>
      <c r="N431" t="b">
        <f t="shared" si="46"/>
        <v>0</v>
      </c>
      <c r="P431" s="17" cm="1">
        <f t="array" aca="1" ref="P431" ca="1">IndividualLegIVCore($A$4, Table133[[#This Row],[Strike]], 0.0411, Table133[[#This Row],[T]], ((Table133[[#This Row],[BIDP]]+Table133[[#This Row],[ASKP]])/2), FALSE)</f>
        <v>0.01</v>
      </c>
      <c r="Q431" t="b">
        <f>IF(     ISNUMBER(Table133[[#This Row],[Strike]]),RTD("tos.rtd", , "BID", "."&amp;Table133[[#This Row],[Ticker]]&amp;Table133[[#This Row],[Expiry]]&amp;""&amp;"P"&amp;Table133[[#This Row],[Strike]]))</f>
        <v>0</v>
      </c>
      <c r="R431" t="b">
        <f>IF(     ISNUMBER(Table133[[#This Row],[Strike]]),RTD("tos.rtd", , "ASK", "."&amp;Table133[[#This Row],[Ticker]]&amp;Table133[[#This Row],[Expiry]]&amp;""&amp;"P"&amp;Table133[[#This Row],[Strike]]))</f>
        <v>0</v>
      </c>
      <c r="S431" s="17"/>
      <c r="T431" t="b">
        <f>IF(     ISNUMBER(Table133[[#This Row],[Strike]]),RTD("tos.rtd", , "OPEN_INT", "."&amp;Table133[[#This Row],[Ticker]]&amp;Table133[[#This Row],[Expiry]]&amp;""&amp;"P"&amp;Table133[[#This Row],[Strike]]))</f>
        <v>0</v>
      </c>
      <c r="U43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1" t="b">
        <f>IF(     ISNUMBER(Table133[[#This Row],[Strike]]),RTD("tos.rtd", , "DELTA", "."&amp;Table133[[#This Row],[Ticker]]&amp;Table133[[#This Row],[Expiry]]&amp;""&amp;"P"&amp;Table133[[#This Row],[Strike]]))</f>
        <v>0</v>
      </c>
      <c r="Y431" s="19">
        <f>-42.5* IF($M$1="NDX", 10, IF(OR($M$1="SPX", $M$1="RUT"), 2, 1))</f>
        <v>-85</v>
      </c>
      <c r="Z431">
        <f ca="1">IFERROR(Table133[[#This Row],[call gamma]]*(Table133[[#This Row],[Open.Int]])*$A$4^2,0)</f>
        <v>0</v>
      </c>
      <c r="AA431">
        <f ca="1">IFERROR(((Table133[[#This Row],[Open.Int8]])*Table133[[#This Row],[Put gamma]])*-1*$A$4^2,0)</f>
        <v>0</v>
      </c>
      <c r="AB431">
        <f ca="1">(Table133[[#This Row],[Call Gex]]+Table133[[#This Row],[Put Gex]])</f>
        <v>0</v>
      </c>
      <c r="AC431">
        <f ca="1">Table133[[#This Row],[put delta adj]]+Table133[[#This Row],[call delta adj]]</f>
        <v>0</v>
      </c>
      <c r="AD431">
        <f ca="1">Table133[[#This Row],[Put Gex]]*Table133[[#This Row],[DeltaP]]*-1</f>
        <v>0</v>
      </c>
      <c r="AE431">
        <f ca="1">Table133[[#This Row],[Call Gex]]*Table133[[#This Row],[DeltaC]]</f>
        <v>0</v>
      </c>
      <c r="AF431">
        <f>IF(Table133[[#This Row],[DeltaC]]-ABS(Table133[[#This Row],[DeltaP]])="0","0.01",Table133[[#This Row],[DeltaC]]-ABS(Table133[[#This Row],[DeltaP]]))</f>
        <v>0</v>
      </c>
      <c r="AG431" t="e">
        <f ca="1">((LN($A$4/Table133[[#This Row],[Strike]]) + (0.411 + 0.5 * Table133[[#This Row],[IV Calc P]]^2) *Table133[[#This Row],[T]])) / (Table133[[#This Row],[IV Calc P]] * SQRT(Table133[[#This Row],[T]]))</f>
        <v>#DIV/0!</v>
      </c>
      <c r="AH431" t="e">
        <f ca="1">(LN($A$4/Table133[[#This Row],[Strike]]) + (0.411-0 + 0.5 * Table133[[#This Row],[IV Calc C]]^2) *Table133[[#This Row],[T]]) / (Table133[[#This Row],[IV Calc C]] * SQRT(Table133[[#This Row],[T]]))</f>
        <v>#DIV/0!</v>
      </c>
      <c r="AI431" t="e">
        <f ca="1">(EXP(-(AG431^2)/2)/SQRT(2*PI())*EXP(0*SQRT(Table133[[#This Row],[T]]))/$A$4*18%*SQRT(SQRT(Table133[[#This Row],[T]])))</f>
        <v>#DIV/0!</v>
      </c>
      <c r="AJ431" t="e">
        <f ca="1">(EXP(-(AH431^2)/2)/SQRT(2*PI())*EXP(0*SQRT(Table133[[#This Row],[T]]))/$A$4*18%*SQRT(SQRT(Table133[[#This Row],[T]])))</f>
        <v>#DIV/0!</v>
      </c>
      <c r="AK431" t="e">
        <f ca="1">Table133[[#This Row],[Call D1]]-Table133[[#This Row],[IV Calc C]]*SQRT(Table133[[#This Row],[T]])</f>
        <v>#DIV/0!</v>
      </c>
      <c r="AL431" t="e">
        <f ca="1">Table133[[#This Row],[Put D1]]-Table133[[#This Row],[IV Calc P]]*SQRT(Table133[[#This Row],[T]])</f>
        <v>#DIV/0!</v>
      </c>
      <c r="AM431" t="e">
        <f ca="1">EXP(-0.5*Table133[[#This Row],[Call D1]]^2)/SQRT(2*PI())</f>
        <v>#DIV/0!</v>
      </c>
      <c r="AN431" t="e">
        <f ca="1">EXP(-0.5*Table133[[#This Row],[Put D1]]^2)/SQRT(2*PI())</f>
        <v>#DIV/0!</v>
      </c>
      <c r="AO43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1">
        <f ca="1">((Table133[[#This Row],[call vanna]]+Table133[[#This Row],[put vanna]])*$A$4)</f>
        <v>0</v>
      </c>
      <c r="AR43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1" s="9" t="str" cm="1">
        <f t="array" ref="AT431">_xlfn.IFS(     $M$1="SPX","SPXW",     $M$1="RUT","RUTW",  $M$1="NDX","NDXP",   TRUE,$M$1 )</f>
        <v>SPXW</v>
      </c>
      <c r="AU431" s="2">
        <f t="shared" si="47"/>
        <v>6915</v>
      </c>
      <c r="AV431" t="str">
        <f t="shared" si="48"/>
        <v>000100</v>
      </c>
      <c r="AY43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1">
        <f>((Table133[[#This Row],[High C]]+Table133[[#This Row],[Low C]])/2)*Table133[[#This Row],[gammac]]*Table133[[#This Row],[Volume]]</f>
        <v>0</v>
      </c>
      <c r="BD431">
        <f>((Table133[[#This Row],[High P]]+Table133[[#This Row],[Low P]])/2)*Table133[[#This Row],[gammap]]*Table133[[#This Row],[Volume9]]*-1</f>
        <v>0</v>
      </c>
      <c r="BE431">
        <f>(Table133[[#This Row],[SgammaC]]+Table133[[#This Row],[SgammaP]])*$A$4*-100</f>
        <v>0</v>
      </c>
      <c r="BF431" s="78">
        <f>Table133[[#This Row],[DEXc]]+Table133[[#This Row],[DEXp]]</f>
        <v>0</v>
      </c>
      <c r="BG431">
        <f>IFERROR(Table133[[#This Row],[DeltaC]]*Table133[[#This Row],[Open.Int]]*$A$4,0)</f>
        <v>0</v>
      </c>
      <c r="BH431">
        <f>IFERROR(Table133[[#This Row],[DeltaP]]*Table133[[#This Row],[Open.Int8]]*$A$4,0)</f>
        <v>0</v>
      </c>
      <c r="BI43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1">
        <f ca="1">Table133[[#This Row],[charmc]]+Table133[[#This Row],[charmp]]</f>
        <v>0</v>
      </c>
      <c r="BL43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1" s="78">
        <f ca="1">Table133[[#This Row],[call helper]]+Table133[[#This Row],[put helper]]</f>
        <v>0</v>
      </c>
      <c r="BP431" t="str">
        <f>RTD("tos.rtd", , "STRIKE", "."&amp;Table133[[#This Row],[Ticker]]&amp;Table133[[#This Row],[Expiry]]&amp;""&amp;"C"&amp;Table133[[#This Row],[Spot]]+Table133[[#This Row],[step]])</f>
        <v>N/A</v>
      </c>
    </row>
    <row r="432" spans="1:68" x14ac:dyDescent="0.25">
      <c r="A432" s="14">
        <f t="shared" ca="1" si="44"/>
        <v>-126.14810350076104</v>
      </c>
      <c r="C432" s="17"/>
      <c r="D432" t="str">
        <f>RTD("tos.rtd", , "OPEN_INT", "."&amp;Table133[[#This Row],[Ticker]]&amp;Table133[[#This Row],[Expiry]]&amp;""&amp;"C"&amp;Table133[[#This Row],[Spot]]+Table133[[#This Row],[step]])</f>
        <v>N/A</v>
      </c>
      <c r="E43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2" t="b">
        <f>IF(     ISNUMBER(Table133[[#This Row],[Strike]]),RTD("tos.rtd", , "DELTA", "."&amp;Table133[[#This Row],[Ticker]]&amp;Table133[[#This Row],[Expiry]]&amp;""&amp;"C"&amp;Table133[[#This Row],[Strike]]))</f>
        <v>0</v>
      </c>
      <c r="H432" s="17" cm="1">
        <f t="array" aca="1" ref="H432" ca="1">IndividualLegIVCore($A$4, Table133[[#This Row],[Strike]], 0.0411, Table133[[#This Row],[T]], ((Table133[[#This Row],[BIDC]]+Table133[[#This Row],[ASKC]])/2), TRUE)</f>
        <v>0.01</v>
      </c>
      <c r="I432" t="b">
        <f>IF(     ISNUMBER(Table133[[#This Row],[Strike]]),RTD("tos.rtd", , "BID", "."&amp;Table133[[#This Row],[Ticker]]&amp;Table133[[#This Row],[Expiry]]&amp;""&amp;"C"&amp;Table133[[#This Row],[Strike]]))</f>
        <v>0</v>
      </c>
      <c r="J432" t="b">
        <f>IF(     ISNUMBER(Table133[[#This Row],[Strike]]),RTD("tos.rtd", , "ASK", "."&amp;Table133[[#This Row],[Ticker]]&amp;Table133[[#This Row],[Expiry]]&amp;""&amp;"C"&amp;Table133[[#This Row],[Strike]]))</f>
        <v>0</v>
      </c>
      <c r="K432" s="17"/>
      <c r="M432" s="1">
        <f t="shared" si="45"/>
        <v>0</v>
      </c>
      <c r="N432" t="b">
        <f t="shared" si="46"/>
        <v>0</v>
      </c>
      <c r="P432" s="17" cm="1">
        <f t="array" aca="1" ref="P432" ca="1">IndividualLegIVCore($A$4, Table133[[#This Row],[Strike]], 0.0411, Table133[[#This Row],[T]], ((Table133[[#This Row],[BIDP]]+Table133[[#This Row],[ASKP]])/2), FALSE)</f>
        <v>0.01</v>
      </c>
      <c r="Q432" t="b">
        <f>IF(     ISNUMBER(Table133[[#This Row],[Strike]]),RTD("tos.rtd", , "BID", "."&amp;Table133[[#This Row],[Ticker]]&amp;Table133[[#This Row],[Expiry]]&amp;""&amp;"P"&amp;Table133[[#This Row],[Strike]]))</f>
        <v>0</v>
      </c>
      <c r="R432" t="b">
        <f>IF(     ISNUMBER(Table133[[#This Row],[Strike]]),RTD("tos.rtd", , "ASK", "."&amp;Table133[[#This Row],[Ticker]]&amp;Table133[[#This Row],[Expiry]]&amp;""&amp;"P"&amp;Table133[[#This Row],[Strike]]))</f>
        <v>0</v>
      </c>
      <c r="S432" s="17"/>
      <c r="T432" t="b">
        <f>IF(     ISNUMBER(Table133[[#This Row],[Strike]]),RTD("tos.rtd", , "OPEN_INT", "."&amp;Table133[[#This Row],[Ticker]]&amp;Table133[[#This Row],[Expiry]]&amp;""&amp;"P"&amp;Table133[[#This Row],[Strike]]))</f>
        <v>0</v>
      </c>
      <c r="U43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2" t="b">
        <f>IF(     ISNUMBER(Table133[[#This Row],[Strike]]),RTD("tos.rtd", , "DELTA", "."&amp;Table133[[#This Row],[Ticker]]&amp;Table133[[#This Row],[Expiry]]&amp;""&amp;"P"&amp;Table133[[#This Row],[Strike]]))</f>
        <v>0</v>
      </c>
      <c r="Y432" s="19">
        <f>-42* IF($M$1="NDX", 10, IF(OR($M$1="SPX", $M$1="RUT"), 2, 1))</f>
        <v>-84</v>
      </c>
      <c r="Z432">
        <f ca="1">IFERROR(Table133[[#This Row],[call gamma]]*(Table133[[#This Row],[Open.Int]])*$A$4^2,0)</f>
        <v>0</v>
      </c>
      <c r="AA432">
        <f ca="1">IFERROR(((Table133[[#This Row],[Open.Int8]])*Table133[[#This Row],[Put gamma]])*-1*$A$4^2,0)</f>
        <v>0</v>
      </c>
      <c r="AB432">
        <f ca="1">(Table133[[#This Row],[Call Gex]]+Table133[[#This Row],[Put Gex]])</f>
        <v>0</v>
      </c>
      <c r="AC432">
        <f ca="1">Table133[[#This Row],[put delta adj]]+Table133[[#This Row],[call delta adj]]</f>
        <v>0</v>
      </c>
      <c r="AD432">
        <f ca="1">Table133[[#This Row],[Put Gex]]*Table133[[#This Row],[DeltaP]]*-1</f>
        <v>0</v>
      </c>
      <c r="AE432">
        <f ca="1">Table133[[#This Row],[Call Gex]]*Table133[[#This Row],[DeltaC]]</f>
        <v>0</v>
      </c>
      <c r="AF432">
        <f>IF(Table133[[#This Row],[DeltaC]]-ABS(Table133[[#This Row],[DeltaP]])="0","0.01",Table133[[#This Row],[DeltaC]]-ABS(Table133[[#This Row],[DeltaP]]))</f>
        <v>0</v>
      </c>
      <c r="AG432" t="e">
        <f ca="1">((LN($A$4/Table133[[#This Row],[Strike]]) + (0.411 + 0.5 * Table133[[#This Row],[IV Calc P]]^2) *Table133[[#This Row],[T]])) / (Table133[[#This Row],[IV Calc P]] * SQRT(Table133[[#This Row],[T]]))</f>
        <v>#DIV/0!</v>
      </c>
      <c r="AH432" t="e">
        <f ca="1">(LN($A$4/Table133[[#This Row],[Strike]]) + (0.411-0 + 0.5 * Table133[[#This Row],[IV Calc C]]^2) *Table133[[#This Row],[T]]) / (Table133[[#This Row],[IV Calc C]] * SQRT(Table133[[#This Row],[T]]))</f>
        <v>#DIV/0!</v>
      </c>
      <c r="AI432" t="e">
        <f ca="1">(EXP(-(AG432^2)/2)/SQRT(2*PI())*EXP(0*SQRT(Table133[[#This Row],[T]]))/$A$4*18%*SQRT(SQRT(Table133[[#This Row],[T]])))</f>
        <v>#DIV/0!</v>
      </c>
      <c r="AJ432" t="e">
        <f ca="1">(EXP(-(AH432^2)/2)/SQRT(2*PI())*EXP(0*SQRT(Table133[[#This Row],[T]]))/$A$4*18%*SQRT(SQRT(Table133[[#This Row],[T]])))</f>
        <v>#DIV/0!</v>
      </c>
      <c r="AK432" t="e">
        <f ca="1">Table133[[#This Row],[Call D1]]-Table133[[#This Row],[IV Calc C]]*SQRT(Table133[[#This Row],[T]])</f>
        <v>#DIV/0!</v>
      </c>
      <c r="AL432" t="e">
        <f ca="1">Table133[[#This Row],[Put D1]]-Table133[[#This Row],[IV Calc P]]*SQRT(Table133[[#This Row],[T]])</f>
        <v>#DIV/0!</v>
      </c>
      <c r="AM432" t="e">
        <f ca="1">EXP(-0.5*Table133[[#This Row],[Call D1]]^2)/SQRT(2*PI())</f>
        <v>#DIV/0!</v>
      </c>
      <c r="AN432" t="e">
        <f ca="1">EXP(-0.5*Table133[[#This Row],[Put D1]]^2)/SQRT(2*PI())</f>
        <v>#DIV/0!</v>
      </c>
      <c r="AO43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2">
        <f ca="1">((Table133[[#This Row],[call vanna]]+Table133[[#This Row],[put vanna]])*$A$4)</f>
        <v>0</v>
      </c>
      <c r="AR43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2" s="9" t="str" cm="1">
        <f t="array" ref="AT432">_xlfn.IFS(     $M$1="SPX","SPXW",     $M$1="RUT","RUTW",  $M$1="NDX","NDXP",   TRUE,$M$1 )</f>
        <v>SPXW</v>
      </c>
      <c r="AU432" s="2">
        <f t="shared" si="47"/>
        <v>6915</v>
      </c>
      <c r="AV432" t="str">
        <f t="shared" si="48"/>
        <v>000100</v>
      </c>
      <c r="AY43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2">
        <f>((Table133[[#This Row],[High C]]+Table133[[#This Row],[Low C]])/2)*Table133[[#This Row],[gammac]]*Table133[[#This Row],[Volume]]</f>
        <v>0</v>
      </c>
      <c r="BD432">
        <f>((Table133[[#This Row],[High P]]+Table133[[#This Row],[Low P]])/2)*Table133[[#This Row],[gammap]]*Table133[[#This Row],[Volume9]]*-1</f>
        <v>0</v>
      </c>
      <c r="BE432">
        <f>(Table133[[#This Row],[SgammaC]]+Table133[[#This Row],[SgammaP]])*$A$4*-100</f>
        <v>0</v>
      </c>
      <c r="BF432" s="78">
        <f>Table133[[#This Row],[DEXc]]+Table133[[#This Row],[DEXp]]</f>
        <v>0</v>
      </c>
      <c r="BG432">
        <f>IFERROR(Table133[[#This Row],[DeltaC]]*Table133[[#This Row],[Open.Int]]*$A$4,0)</f>
        <v>0</v>
      </c>
      <c r="BH432">
        <f>IFERROR(Table133[[#This Row],[DeltaP]]*Table133[[#This Row],[Open.Int8]]*$A$4,0)</f>
        <v>0</v>
      </c>
      <c r="BI43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2">
        <f ca="1">Table133[[#This Row],[charmc]]+Table133[[#This Row],[charmp]]</f>
        <v>0</v>
      </c>
      <c r="BL43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2" s="78">
        <f ca="1">Table133[[#This Row],[call helper]]+Table133[[#This Row],[put helper]]</f>
        <v>0</v>
      </c>
      <c r="BP432" t="str">
        <f>RTD("tos.rtd", , "STRIKE", "."&amp;Table133[[#This Row],[Ticker]]&amp;Table133[[#This Row],[Expiry]]&amp;""&amp;"C"&amp;Table133[[#This Row],[Spot]]+Table133[[#This Row],[step]])</f>
        <v>N/A</v>
      </c>
    </row>
    <row r="433" spans="1:68" x14ac:dyDescent="0.25">
      <c r="A433" s="14">
        <f t="shared" ca="1" si="44"/>
        <v>-126.14810350076104</v>
      </c>
      <c r="C433" s="17"/>
      <c r="D433" t="str">
        <f>RTD("tos.rtd", , "OPEN_INT", "."&amp;Table133[[#This Row],[Ticker]]&amp;Table133[[#This Row],[Expiry]]&amp;""&amp;"C"&amp;Table133[[#This Row],[Spot]]+Table133[[#This Row],[step]])</f>
        <v>N/A</v>
      </c>
      <c r="E43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3" t="b">
        <f>IF(     ISNUMBER(Table133[[#This Row],[Strike]]),RTD("tos.rtd", , "DELTA", "."&amp;Table133[[#This Row],[Ticker]]&amp;Table133[[#This Row],[Expiry]]&amp;""&amp;"C"&amp;Table133[[#This Row],[Strike]]))</f>
        <v>0</v>
      </c>
      <c r="H433" s="17" cm="1">
        <f t="array" aca="1" ref="H433" ca="1">IndividualLegIVCore($A$4, Table133[[#This Row],[Strike]], 0.0411, Table133[[#This Row],[T]], ((Table133[[#This Row],[BIDC]]+Table133[[#This Row],[ASKC]])/2), TRUE)</f>
        <v>0.01</v>
      </c>
      <c r="I433" t="b">
        <f>IF(     ISNUMBER(Table133[[#This Row],[Strike]]),RTD("tos.rtd", , "BID", "."&amp;Table133[[#This Row],[Ticker]]&amp;Table133[[#This Row],[Expiry]]&amp;""&amp;"C"&amp;Table133[[#This Row],[Strike]]))</f>
        <v>0</v>
      </c>
      <c r="J433" t="b">
        <f>IF(     ISNUMBER(Table133[[#This Row],[Strike]]),RTD("tos.rtd", , "ASK", "."&amp;Table133[[#This Row],[Ticker]]&amp;Table133[[#This Row],[Expiry]]&amp;""&amp;"C"&amp;Table133[[#This Row],[Strike]]))</f>
        <v>0</v>
      </c>
      <c r="K433" s="17"/>
      <c r="M433" s="1">
        <f t="shared" si="45"/>
        <v>0</v>
      </c>
      <c r="N433" t="b">
        <f t="shared" si="46"/>
        <v>0</v>
      </c>
      <c r="P433" s="17" cm="1">
        <f t="array" aca="1" ref="P433" ca="1">IndividualLegIVCore($A$4, Table133[[#This Row],[Strike]], 0.0411, Table133[[#This Row],[T]], ((Table133[[#This Row],[BIDP]]+Table133[[#This Row],[ASKP]])/2), FALSE)</f>
        <v>0.01</v>
      </c>
      <c r="Q433" t="b">
        <f>IF(     ISNUMBER(Table133[[#This Row],[Strike]]),RTD("tos.rtd", , "BID", "."&amp;Table133[[#This Row],[Ticker]]&amp;Table133[[#This Row],[Expiry]]&amp;""&amp;"P"&amp;Table133[[#This Row],[Strike]]))</f>
        <v>0</v>
      </c>
      <c r="R433" t="b">
        <f>IF(     ISNUMBER(Table133[[#This Row],[Strike]]),RTD("tos.rtd", , "ASK", "."&amp;Table133[[#This Row],[Ticker]]&amp;Table133[[#This Row],[Expiry]]&amp;""&amp;"P"&amp;Table133[[#This Row],[Strike]]))</f>
        <v>0</v>
      </c>
      <c r="S433" s="17"/>
      <c r="T433" t="b">
        <f>IF(     ISNUMBER(Table133[[#This Row],[Strike]]),RTD("tos.rtd", , "OPEN_INT", "."&amp;Table133[[#This Row],[Ticker]]&amp;Table133[[#This Row],[Expiry]]&amp;""&amp;"P"&amp;Table133[[#This Row],[Strike]]))</f>
        <v>0</v>
      </c>
      <c r="U43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3" t="b">
        <f>IF(     ISNUMBER(Table133[[#This Row],[Strike]]),RTD("tos.rtd", , "DELTA", "."&amp;Table133[[#This Row],[Ticker]]&amp;Table133[[#This Row],[Expiry]]&amp;""&amp;"P"&amp;Table133[[#This Row],[Strike]]))</f>
        <v>0</v>
      </c>
      <c r="Y433" s="19">
        <f>-41.5* IF($M$1="NDX", 10, IF(OR($M$1="SPX", $M$1="RUT"), 2, 1))</f>
        <v>-83</v>
      </c>
      <c r="Z433">
        <f ca="1">IFERROR(Table133[[#This Row],[call gamma]]*(Table133[[#This Row],[Open.Int]])*$A$4^2,0)</f>
        <v>0</v>
      </c>
      <c r="AA433">
        <f ca="1">IFERROR(((Table133[[#This Row],[Open.Int8]])*Table133[[#This Row],[Put gamma]])*-1*$A$4^2,0)</f>
        <v>0</v>
      </c>
      <c r="AB433">
        <f ca="1">(Table133[[#This Row],[Call Gex]]+Table133[[#This Row],[Put Gex]])</f>
        <v>0</v>
      </c>
      <c r="AC433">
        <f ca="1">Table133[[#This Row],[put delta adj]]+Table133[[#This Row],[call delta adj]]</f>
        <v>0</v>
      </c>
      <c r="AD433">
        <f ca="1">Table133[[#This Row],[Put Gex]]*Table133[[#This Row],[DeltaP]]*-1</f>
        <v>0</v>
      </c>
      <c r="AE433">
        <f ca="1">Table133[[#This Row],[Call Gex]]*Table133[[#This Row],[DeltaC]]</f>
        <v>0</v>
      </c>
      <c r="AF433">
        <f>IF(Table133[[#This Row],[DeltaC]]-ABS(Table133[[#This Row],[DeltaP]])="0","0.01",Table133[[#This Row],[DeltaC]]-ABS(Table133[[#This Row],[DeltaP]]))</f>
        <v>0</v>
      </c>
      <c r="AG433" t="e">
        <f ca="1">((LN($A$4/Table133[[#This Row],[Strike]]) + (0.411 + 0.5 * Table133[[#This Row],[IV Calc P]]^2) *Table133[[#This Row],[T]])) / (Table133[[#This Row],[IV Calc P]] * SQRT(Table133[[#This Row],[T]]))</f>
        <v>#DIV/0!</v>
      </c>
      <c r="AH433" t="e">
        <f ca="1">(LN($A$4/Table133[[#This Row],[Strike]]) + (0.411-0 + 0.5 * Table133[[#This Row],[IV Calc C]]^2) *Table133[[#This Row],[T]]) / (Table133[[#This Row],[IV Calc C]] * SQRT(Table133[[#This Row],[T]]))</f>
        <v>#DIV/0!</v>
      </c>
      <c r="AI433" t="e">
        <f ca="1">(EXP(-(AG433^2)/2)/SQRT(2*PI())*EXP(0*SQRT(Table133[[#This Row],[T]]))/$A$4*18%*SQRT(SQRT(Table133[[#This Row],[T]])))</f>
        <v>#DIV/0!</v>
      </c>
      <c r="AJ433" t="e">
        <f ca="1">(EXP(-(AH433^2)/2)/SQRT(2*PI())*EXP(0*SQRT(Table133[[#This Row],[T]]))/$A$4*18%*SQRT(SQRT(Table133[[#This Row],[T]])))</f>
        <v>#DIV/0!</v>
      </c>
      <c r="AK433" t="e">
        <f ca="1">Table133[[#This Row],[Call D1]]-Table133[[#This Row],[IV Calc C]]*SQRT(Table133[[#This Row],[T]])</f>
        <v>#DIV/0!</v>
      </c>
      <c r="AL433" t="e">
        <f ca="1">Table133[[#This Row],[Put D1]]-Table133[[#This Row],[IV Calc P]]*SQRT(Table133[[#This Row],[T]])</f>
        <v>#DIV/0!</v>
      </c>
      <c r="AM433" t="e">
        <f ca="1">EXP(-0.5*Table133[[#This Row],[Call D1]]^2)/SQRT(2*PI())</f>
        <v>#DIV/0!</v>
      </c>
      <c r="AN433" t="e">
        <f ca="1">EXP(-0.5*Table133[[#This Row],[Put D1]]^2)/SQRT(2*PI())</f>
        <v>#DIV/0!</v>
      </c>
      <c r="AO43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3">
        <f ca="1">((Table133[[#This Row],[call vanna]]+Table133[[#This Row],[put vanna]])*$A$4)</f>
        <v>0</v>
      </c>
      <c r="AR43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3" s="9" t="str" cm="1">
        <f t="array" ref="AT433">_xlfn.IFS(     $M$1="SPX","SPXW",     $M$1="RUT","RUTW",  $M$1="NDX","NDXP",   TRUE,$M$1 )</f>
        <v>SPXW</v>
      </c>
      <c r="AU433" s="2">
        <f t="shared" si="47"/>
        <v>6915</v>
      </c>
      <c r="AV433" t="str">
        <f t="shared" si="48"/>
        <v>000100</v>
      </c>
      <c r="AY43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3">
        <f>((Table133[[#This Row],[High C]]+Table133[[#This Row],[Low C]])/2)*Table133[[#This Row],[gammac]]*Table133[[#This Row],[Volume]]</f>
        <v>0</v>
      </c>
      <c r="BD433">
        <f>((Table133[[#This Row],[High P]]+Table133[[#This Row],[Low P]])/2)*Table133[[#This Row],[gammap]]*Table133[[#This Row],[Volume9]]*-1</f>
        <v>0</v>
      </c>
      <c r="BE433">
        <f>(Table133[[#This Row],[SgammaC]]+Table133[[#This Row],[SgammaP]])*$A$4*-100</f>
        <v>0</v>
      </c>
      <c r="BF433" s="78">
        <f>Table133[[#This Row],[DEXc]]+Table133[[#This Row],[DEXp]]</f>
        <v>0</v>
      </c>
      <c r="BG433">
        <f>IFERROR(Table133[[#This Row],[DeltaC]]*Table133[[#This Row],[Open.Int]]*$A$4,0)</f>
        <v>0</v>
      </c>
      <c r="BH433">
        <f>IFERROR(Table133[[#This Row],[DeltaP]]*Table133[[#This Row],[Open.Int8]]*$A$4,0)</f>
        <v>0</v>
      </c>
      <c r="BI43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3">
        <f ca="1">Table133[[#This Row],[charmc]]+Table133[[#This Row],[charmp]]</f>
        <v>0</v>
      </c>
      <c r="BL43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3" s="78">
        <f ca="1">Table133[[#This Row],[call helper]]+Table133[[#This Row],[put helper]]</f>
        <v>0</v>
      </c>
      <c r="BP433" t="str">
        <f>RTD("tos.rtd", , "STRIKE", "."&amp;Table133[[#This Row],[Ticker]]&amp;Table133[[#This Row],[Expiry]]&amp;""&amp;"C"&amp;Table133[[#This Row],[Spot]]+Table133[[#This Row],[step]])</f>
        <v>N/A</v>
      </c>
    </row>
    <row r="434" spans="1:68" x14ac:dyDescent="0.25">
      <c r="A434" s="14">
        <f t="shared" ca="1" si="44"/>
        <v>-126.14810350076104</v>
      </c>
      <c r="C434" s="17"/>
      <c r="D434" t="str">
        <f>RTD("tos.rtd", , "OPEN_INT", "."&amp;Table133[[#This Row],[Ticker]]&amp;Table133[[#This Row],[Expiry]]&amp;""&amp;"C"&amp;Table133[[#This Row],[Spot]]+Table133[[#This Row],[step]])</f>
        <v>N/A</v>
      </c>
      <c r="E43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4" t="b">
        <f>IF(     ISNUMBER(Table133[[#This Row],[Strike]]),RTD("tos.rtd", , "DELTA", "."&amp;Table133[[#This Row],[Ticker]]&amp;Table133[[#This Row],[Expiry]]&amp;""&amp;"C"&amp;Table133[[#This Row],[Strike]]))</f>
        <v>0</v>
      </c>
      <c r="H434" s="17" cm="1">
        <f t="array" aca="1" ref="H434" ca="1">IndividualLegIVCore($A$4, Table133[[#This Row],[Strike]], 0.0411, Table133[[#This Row],[T]], ((Table133[[#This Row],[BIDC]]+Table133[[#This Row],[ASKC]])/2), TRUE)</f>
        <v>0.01</v>
      </c>
      <c r="I434" t="b">
        <f>IF(     ISNUMBER(Table133[[#This Row],[Strike]]),RTD("tos.rtd", , "BID", "."&amp;Table133[[#This Row],[Ticker]]&amp;Table133[[#This Row],[Expiry]]&amp;""&amp;"C"&amp;Table133[[#This Row],[Strike]]))</f>
        <v>0</v>
      </c>
      <c r="J434" t="b">
        <f>IF(     ISNUMBER(Table133[[#This Row],[Strike]]),RTD("tos.rtd", , "ASK", "."&amp;Table133[[#This Row],[Ticker]]&amp;Table133[[#This Row],[Expiry]]&amp;""&amp;"C"&amp;Table133[[#This Row],[Strike]]))</f>
        <v>0</v>
      </c>
      <c r="K434" s="17"/>
      <c r="M434" s="1">
        <f t="shared" si="45"/>
        <v>0</v>
      </c>
      <c r="N434" t="b">
        <f t="shared" si="46"/>
        <v>0</v>
      </c>
      <c r="P434" s="17" cm="1">
        <f t="array" aca="1" ref="P434" ca="1">IndividualLegIVCore($A$4, Table133[[#This Row],[Strike]], 0.0411, Table133[[#This Row],[T]], ((Table133[[#This Row],[BIDP]]+Table133[[#This Row],[ASKP]])/2), FALSE)</f>
        <v>0.01</v>
      </c>
      <c r="Q434" t="b">
        <f>IF(     ISNUMBER(Table133[[#This Row],[Strike]]),RTD("tos.rtd", , "BID", "."&amp;Table133[[#This Row],[Ticker]]&amp;Table133[[#This Row],[Expiry]]&amp;""&amp;"P"&amp;Table133[[#This Row],[Strike]]))</f>
        <v>0</v>
      </c>
      <c r="R434" t="b">
        <f>IF(     ISNUMBER(Table133[[#This Row],[Strike]]),RTD("tos.rtd", , "ASK", "."&amp;Table133[[#This Row],[Ticker]]&amp;Table133[[#This Row],[Expiry]]&amp;""&amp;"P"&amp;Table133[[#This Row],[Strike]]))</f>
        <v>0</v>
      </c>
      <c r="S434" s="17"/>
      <c r="T434" t="b">
        <f>IF(     ISNUMBER(Table133[[#This Row],[Strike]]),RTD("tos.rtd", , "OPEN_INT", "."&amp;Table133[[#This Row],[Ticker]]&amp;Table133[[#This Row],[Expiry]]&amp;""&amp;"P"&amp;Table133[[#This Row],[Strike]]))</f>
        <v>0</v>
      </c>
      <c r="U43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4" t="b">
        <f>IF(     ISNUMBER(Table133[[#This Row],[Strike]]),RTD("tos.rtd", , "DELTA", "."&amp;Table133[[#This Row],[Ticker]]&amp;Table133[[#This Row],[Expiry]]&amp;""&amp;"P"&amp;Table133[[#This Row],[Strike]]))</f>
        <v>0</v>
      </c>
      <c r="Y434" s="19">
        <f>-41* IF($M$1="NDX", 10, IF(OR($M$1="SPX", $M$1="RUT"), 2, 1))</f>
        <v>-82</v>
      </c>
      <c r="Z434">
        <f ca="1">IFERROR(Table133[[#This Row],[call gamma]]*(Table133[[#This Row],[Open.Int]])*$A$4^2,0)</f>
        <v>0</v>
      </c>
      <c r="AA434">
        <f ca="1">IFERROR(((Table133[[#This Row],[Open.Int8]])*Table133[[#This Row],[Put gamma]])*-1*$A$4^2,0)</f>
        <v>0</v>
      </c>
      <c r="AB434">
        <f ca="1">(Table133[[#This Row],[Call Gex]]+Table133[[#This Row],[Put Gex]])</f>
        <v>0</v>
      </c>
      <c r="AC434">
        <f ca="1">Table133[[#This Row],[put delta adj]]+Table133[[#This Row],[call delta adj]]</f>
        <v>0</v>
      </c>
      <c r="AD434">
        <f ca="1">Table133[[#This Row],[Put Gex]]*Table133[[#This Row],[DeltaP]]*-1</f>
        <v>0</v>
      </c>
      <c r="AE434">
        <f ca="1">Table133[[#This Row],[Call Gex]]*Table133[[#This Row],[DeltaC]]</f>
        <v>0</v>
      </c>
      <c r="AF434">
        <f>IF(Table133[[#This Row],[DeltaC]]-ABS(Table133[[#This Row],[DeltaP]])="0","0.01",Table133[[#This Row],[DeltaC]]-ABS(Table133[[#This Row],[DeltaP]]))</f>
        <v>0</v>
      </c>
      <c r="AG434" t="e">
        <f ca="1">((LN($A$4/Table133[[#This Row],[Strike]]) + (0.411 + 0.5 * Table133[[#This Row],[IV Calc P]]^2) *Table133[[#This Row],[T]])) / (Table133[[#This Row],[IV Calc P]] * SQRT(Table133[[#This Row],[T]]))</f>
        <v>#DIV/0!</v>
      </c>
      <c r="AH434" t="e">
        <f ca="1">(LN($A$4/Table133[[#This Row],[Strike]]) + (0.411-0 + 0.5 * Table133[[#This Row],[IV Calc C]]^2) *Table133[[#This Row],[T]]) / (Table133[[#This Row],[IV Calc C]] * SQRT(Table133[[#This Row],[T]]))</f>
        <v>#DIV/0!</v>
      </c>
      <c r="AI434" t="e">
        <f ca="1">(EXP(-(AG434^2)/2)/SQRT(2*PI())*EXP(0*SQRT(Table133[[#This Row],[T]]))/$A$4*18%*SQRT(SQRT(Table133[[#This Row],[T]])))</f>
        <v>#DIV/0!</v>
      </c>
      <c r="AJ434" t="e">
        <f ca="1">(EXP(-(AH434^2)/2)/SQRT(2*PI())*EXP(0*SQRT(Table133[[#This Row],[T]]))/$A$4*18%*SQRT(SQRT(Table133[[#This Row],[T]])))</f>
        <v>#DIV/0!</v>
      </c>
      <c r="AK434" t="e">
        <f ca="1">Table133[[#This Row],[Call D1]]-Table133[[#This Row],[IV Calc C]]*SQRT(Table133[[#This Row],[T]])</f>
        <v>#DIV/0!</v>
      </c>
      <c r="AL434" t="e">
        <f ca="1">Table133[[#This Row],[Put D1]]-Table133[[#This Row],[IV Calc P]]*SQRT(Table133[[#This Row],[T]])</f>
        <v>#DIV/0!</v>
      </c>
      <c r="AM434" t="e">
        <f ca="1">EXP(-0.5*Table133[[#This Row],[Call D1]]^2)/SQRT(2*PI())</f>
        <v>#DIV/0!</v>
      </c>
      <c r="AN434" t="e">
        <f ca="1">EXP(-0.5*Table133[[#This Row],[Put D1]]^2)/SQRT(2*PI())</f>
        <v>#DIV/0!</v>
      </c>
      <c r="AO43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4">
        <f ca="1">((Table133[[#This Row],[call vanna]]+Table133[[#This Row],[put vanna]])*$A$4)</f>
        <v>0</v>
      </c>
      <c r="AR43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4" s="9" t="str" cm="1">
        <f t="array" ref="AT434">_xlfn.IFS(     $M$1="SPX","SPXW",     $M$1="RUT","RUTW",  $M$1="NDX","NDXP",   TRUE,$M$1 )</f>
        <v>SPXW</v>
      </c>
      <c r="AU434" s="2">
        <f t="shared" si="47"/>
        <v>6915</v>
      </c>
      <c r="AV434" t="str">
        <f t="shared" si="48"/>
        <v>000100</v>
      </c>
      <c r="AY43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4">
        <f>((Table133[[#This Row],[High C]]+Table133[[#This Row],[Low C]])/2)*Table133[[#This Row],[gammac]]*Table133[[#This Row],[Volume]]</f>
        <v>0</v>
      </c>
      <c r="BD434">
        <f>((Table133[[#This Row],[High P]]+Table133[[#This Row],[Low P]])/2)*Table133[[#This Row],[gammap]]*Table133[[#This Row],[Volume9]]*-1</f>
        <v>0</v>
      </c>
      <c r="BE434">
        <f>(Table133[[#This Row],[SgammaC]]+Table133[[#This Row],[SgammaP]])*$A$4*-100</f>
        <v>0</v>
      </c>
      <c r="BF434" s="78">
        <f>Table133[[#This Row],[DEXc]]+Table133[[#This Row],[DEXp]]</f>
        <v>0</v>
      </c>
      <c r="BG434">
        <f>IFERROR(Table133[[#This Row],[DeltaC]]*Table133[[#This Row],[Open.Int]]*$A$4,0)</f>
        <v>0</v>
      </c>
      <c r="BH434">
        <f>IFERROR(Table133[[#This Row],[DeltaP]]*Table133[[#This Row],[Open.Int8]]*$A$4,0)</f>
        <v>0</v>
      </c>
      <c r="BI43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4">
        <f ca="1">Table133[[#This Row],[charmc]]+Table133[[#This Row],[charmp]]</f>
        <v>0</v>
      </c>
      <c r="BL43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4" s="78">
        <f ca="1">Table133[[#This Row],[call helper]]+Table133[[#This Row],[put helper]]</f>
        <v>0</v>
      </c>
      <c r="BP434" t="str">
        <f>RTD("tos.rtd", , "STRIKE", "."&amp;Table133[[#This Row],[Ticker]]&amp;Table133[[#This Row],[Expiry]]&amp;""&amp;"C"&amp;Table133[[#This Row],[Spot]]+Table133[[#This Row],[step]])</f>
        <v>N/A</v>
      </c>
    </row>
    <row r="435" spans="1:68" x14ac:dyDescent="0.25">
      <c r="A435" s="14">
        <f t="shared" ca="1" si="44"/>
        <v>-126.14810350076104</v>
      </c>
      <c r="C435" s="17"/>
      <c r="D435" t="str">
        <f>RTD("tos.rtd", , "OPEN_INT", "."&amp;Table133[[#This Row],[Ticker]]&amp;Table133[[#This Row],[Expiry]]&amp;""&amp;"C"&amp;Table133[[#This Row],[Spot]]+Table133[[#This Row],[step]])</f>
        <v>N/A</v>
      </c>
      <c r="E43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5" t="b">
        <f>IF(     ISNUMBER(Table133[[#This Row],[Strike]]),RTD("tos.rtd", , "DELTA", "."&amp;Table133[[#This Row],[Ticker]]&amp;Table133[[#This Row],[Expiry]]&amp;""&amp;"C"&amp;Table133[[#This Row],[Strike]]))</f>
        <v>0</v>
      </c>
      <c r="H435" s="17" cm="1">
        <f t="array" aca="1" ref="H435" ca="1">IndividualLegIVCore($A$4, Table133[[#This Row],[Strike]], 0.0411, Table133[[#This Row],[T]], ((Table133[[#This Row],[BIDC]]+Table133[[#This Row],[ASKC]])/2), TRUE)</f>
        <v>0.01</v>
      </c>
      <c r="I435" t="b">
        <f>IF(     ISNUMBER(Table133[[#This Row],[Strike]]),RTD("tos.rtd", , "BID", "."&amp;Table133[[#This Row],[Ticker]]&amp;Table133[[#This Row],[Expiry]]&amp;""&amp;"C"&amp;Table133[[#This Row],[Strike]]))</f>
        <v>0</v>
      </c>
      <c r="J435" t="b">
        <f>IF(     ISNUMBER(Table133[[#This Row],[Strike]]),RTD("tos.rtd", , "ASK", "."&amp;Table133[[#This Row],[Ticker]]&amp;Table133[[#This Row],[Expiry]]&amp;""&amp;"C"&amp;Table133[[#This Row],[Strike]]))</f>
        <v>0</v>
      </c>
      <c r="K435" s="17"/>
      <c r="M435" s="1">
        <f t="shared" si="45"/>
        <v>0</v>
      </c>
      <c r="N435" t="b">
        <f t="shared" si="46"/>
        <v>0</v>
      </c>
      <c r="P435" s="17" cm="1">
        <f t="array" aca="1" ref="P435" ca="1">IndividualLegIVCore($A$4, Table133[[#This Row],[Strike]], 0.0411, Table133[[#This Row],[T]], ((Table133[[#This Row],[BIDP]]+Table133[[#This Row],[ASKP]])/2), FALSE)</f>
        <v>0.01</v>
      </c>
      <c r="Q435" t="b">
        <f>IF(     ISNUMBER(Table133[[#This Row],[Strike]]),RTD("tos.rtd", , "BID", "."&amp;Table133[[#This Row],[Ticker]]&amp;Table133[[#This Row],[Expiry]]&amp;""&amp;"P"&amp;Table133[[#This Row],[Strike]]))</f>
        <v>0</v>
      </c>
      <c r="R435" t="b">
        <f>IF(     ISNUMBER(Table133[[#This Row],[Strike]]),RTD("tos.rtd", , "ASK", "."&amp;Table133[[#This Row],[Ticker]]&amp;Table133[[#This Row],[Expiry]]&amp;""&amp;"P"&amp;Table133[[#This Row],[Strike]]))</f>
        <v>0</v>
      </c>
      <c r="S435" s="17"/>
      <c r="T435" t="b">
        <f>IF(     ISNUMBER(Table133[[#This Row],[Strike]]),RTD("tos.rtd", , "OPEN_INT", "."&amp;Table133[[#This Row],[Ticker]]&amp;Table133[[#This Row],[Expiry]]&amp;""&amp;"P"&amp;Table133[[#This Row],[Strike]]))</f>
        <v>0</v>
      </c>
      <c r="U43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5" t="b">
        <f>IF(     ISNUMBER(Table133[[#This Row],[Strike]]),RTD("tos.rtd", , "DELTA", "."&amp;Table133[[#This Row],[Ticker]]&amp;Table133[[#This Row],[Expiry]]&amp;""&amp;"P"&amp;Table133[[#This Row],[Strike]]))</f>
        <v>0</v>
      </c>
      <c r="Y435" s="19">
        <f>-40.5* IF($M$1="NDX", 10, IF(OR($M$1="SPX", $M$1="RUT"), 2, 1))</f>
        <v>-81</v>
      </c>
      <c r="Z435">
        <f ca="1">IFERROR(Table133[[#This Row],[call gamma]]*(Table133[[#This Row],[Open.Int]])*$A$4^2,0)</f>
        <v>0</v>
      </c>
      <c r="AA435">
        <f ca="1">IFERROR(((Table133[[#This Row],[Open.Int8]])*Table133[[#This Row],[Put gamma]])*-1*$A$4^2,0)</f>
        <v>0</v>
      </c>
      <c r="AB435">
        <f ca="1">(Table133[[#This Row],[Call Gex]]+Table133[[#This Row],[Put Gex]])</f>
        <v>0</v>
      </c>
      <c r="AC435">
        <f ca="1">Table133[[#This Row],[put delta adj]]+Table133[[#This Row],[call delta adj]]</f>
        <v>0</v>
      </c>
      <c r="AD435">
        <f ca="1">Table133[[#This Row],[Put Gex]]*Table133[[#This Row],[DeltaP]]*-1</f>
        <v>0</v>
      </c>
      <c r="AE435">
        <f ca="1">Table133[[#This Row],[Call Gex]]*Table133[[#This Row],[DeltaC]]</f>
        <v>0</v>
      </c>
      <c r="AF435">
        <f>IF(Table133[[#This Row],[DeltaC]]-ABS(Table133[[#This Row],[DeltaP]])="0","0.01",Table133[[#This Row],[DeltaC]]-ABS(Table133[[#This Row],[DeltaP]]))</f>
        <v>0</v>
      </c>
      <c r="AG435" t="e">
        <f ca="1">((LN($A$4/Table133[[#This Row],[Strike]]) + (0.411 + 0.5 * Table133[[#This Row],[IV Calc P]]^2) *Table133[[#This Row],[T]])) / (Table133[[#This Row],[IV Calc P]] * SQRT(Table133[[#This Row],[T]]))</f>
        <v>#DIV/0!</v>
      </c>
      <c r="AH435" t="e">
        <f ca="1">(LN($A$4/Table133[[#This Row],[Strike]]) + (0.411-0 + 0.5 * Table133[[#This Row],[IV Calc C]]^2) *Table133[[#This Row],[T]]) / (Table133[[#This Row],[IV Calc C]] * SQRT(Table133[[#This Row],[T]]))</f>
        <v>#DIV/0!</v>
      </c>
      <c r="AI435" t="e">
        <f ca="1">(EXP(-(AG435^2)/2)/SQRT(2*PI())*EXP(0*SQRT(Table133[[#This Row],[T]]))/$A$4*18%*SQRT(SQRT(Table133[[#This Row],[T]])))</f>
        <v>#DIV/0!</v>
      </c>
      <c r="AJ435" t="e">
        <f ca="1">(EXP(-(AH435^2)/2)/SQRT(2*PI())*EXP(0*SQRT(Table133[[#This Row],[T]]))/$A$4*18%*SQRT(SQRT(Table133[[#This Row],[T]])))</f>
        <v>#DIV/0!</v>
      </c>
      <c r="AK435" t="e">
        <f ca="1">Table133[[#This Row],[Call D1]]-Table133[[#This Row],[IV Calc C]]*SQRT(Table133[[#This Row],[T]])</f>
        <v>#DIV/0!</v>
      </c>
      <c r="AL435" t="e">
        <f ca="1">Table133[[#This Row],[Put D1]]-Table133[[#This Row],[IV Calc P]]*SQRT(Table133[[#This Row],[T]])</f>
        <v>#DIV/0!</v>
      </c>
      <c r="AM435" t="e">
        <f ca="1">EXP(-0.5*Table133[[#This Row],[Call D1]]^2)/SQRT(2*PI())</f>
        <v>#DIV/0!</v>
      </c>
      <c r="AN435" t="e">
        <f ca="1">EXP(-0.5*Table133[[#This Row],[Put D1]]^2)/SQRT(2*PI())</f>
        <v>#DIV/0!</v>
      </c>
      <c r="AO43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5">
        <f ca="1">((Table133[[#This Row],[call vanna]]+Table133[[#This Row],[put vanna]])*$A$4)</f>
        <v>0</v>
      </c>
      <c r="AR43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5" s="9" t="str" cm="1">
        <f t="array" ref="AT435">_xlfn.IFS(     $M$1="SPX","SPXW",     $M$1="RUT","RUTW",  $M$1="NDX","NDXP",   TRUE,$M$1 )</f>
        <v>SPXW</v>
      </c>
      <c r="AU435" s="2">
        <f t="shared" si="47"/>
        <v>6915</v>
      </c>
      <c r="AV435" t="str">
        <f t="shared" si="48"/>
        <v>000100</v>
      </c>
      <c r="AY43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5">
        <f>((Table133[[#This Row],[High C]]+Table133[[#This Row],[Low C]])/2)*Table133[[#This Row],[gammac]]*Table133[[#This Row],[Volume]]</f>
        <v>0</v>
      </c>
      <c r="BD435">
        <f>((Table133[[#This Row],[High P]]+Table133[[#This Row],[Low P]])/2)*Table133[[#This Row],[gammap]]*Table133[[#This Row],[Volume9]]*-1</f>
        <v>0</v>
      </c>
      <c r="BE435">
        <f>(Table133[[#This Row],[SgammaC]]+Table133[[#This Row],[SgammaP]])*$A$4*-100</f>
        <v>0</v>
      </c>
      <c r="BF435" s="78">
        <f>Table133[[#This Row],[DEXc]]+Table133[[#This Row],[DEXp]]</f>
        <v>0</v>
      </c>
      <c r="BG435">
        <f>IFERROR(Table133[[#This Row],[DeltaC]]*Table133[[#This Row],[Open.Int]]*$A$4,0)</f>
        <v>0</v>
      </c>
      <c r="BH435">
        <f>IFERROR(Table133[[#This Row],[DeltaP]]*Table133[[#This Row],[Open.Int8]]*$A$4,0)</f>
        <v>0</v>
      </c>
      <c r="BI43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5">
        <f ca="1">Table133[[#This Row],[charmc]]+Table133[[#This Row],[charmp]]</f>
        <v>0</v>
      </c>
      <c r="BL43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5" s="78">
        <f ca="1">Table133[[#This Row],[call helper]]+Table133[[#This Row],[put helper]]</f>
        <v>0</v>
      </c>
      <c r="BP435" t="str">
        <f>RTD("tos.rtd", , "STRIKE", "."&amp;Table133[[#This Row],[Ticker]]&amp;Table133[[#This Row],[Expiry]]&amp;""&amp;"C"&amp;Table133[[#This Row],[Spot]]+Table133[[#This Row],[step]])</f>
        <v>N/A</v>
      </c>
    </row>
    <row r="436" spans="1:68" x14ac:dyDescent="0.25">
      <c r="A436" s="14">
        <f t="shared" ca="1" si="44"/>
        <v>-126.14810350076104</v>
      </c>
      <c r="C436" s="17"/>
      <c r="D436" t="str">
        <f>RTD("tos.rtd", , "OPEN_INT", "."&amp;Table133[[#This Row],[Ticker]]&amp;Table133[[#This Row],[Expiry]]&amp;""&amp;"C"&amp;Table133[[#This Row],[Spot]]+Table133[[#This Row],[step]])</f>
        <v>N/A</v>
      </c>
      <c r="E43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6" t="b">
        <f>IF(     ISNUMBER(Table133[[#This Row],[Strike]]),RTD("tos.rtd", , "DELTA", "."&amp;Table133[[#This Row],[Ticker]]&amp;Table133[[#This Row],[Expiry]]&amp;""&amp;"C"&amp;Table133[[#This Row],[Strike]]))</f>
        <v>0</v>
      </c>
      <c r="H436" s="17" cm="1">
        <f t="array" aca="1" ref="H436" ca="1">IndividualLegIVCore($A$4, Table133[[#This Row],[Strike]], 0.0411, Table133[[#This Row],[T]], ((Table133[[#This Row],[BIDC]]+Table133[[#This Row],[ASKC]])/2), TRUE)</f>
        <v>0.01</v>
      </c>
      <c r="I436" t="b">
        <f>IF(     ISNUMBER(Table133[[#This Row],[Strike]]),RTD("tos.rtd", , "BID", "."&amp;Table133[[#This Row],[Ticker]]&amp;Table133[[#This Row],[Expiry]]&amp;""&amp;"C"&amp;Table133[[#This Row],[Strike]]))</f>
        <v>0</v>
      </c>
      <c r="J436" t="b">
        <f>IF(     ISNUMBER(Table133[[#This Row],[Strike]]),RTD("tos.rtd", , "ASK", "."&amp;Table133[[#This Row],[Ticker]]&amp;Table133[[#This Row],[Expiry]]&amp;""&amp;"C"&amp;Table133[[#This Row],[Strike]]))</f>
        <v>0</v>
      </c>
      <c r="K436" s="17"/>
      <c r="M436" s="1">
        <f t="shared" si="45"/>
        <v>0</v>
      </c>
      <c r="N436" t="b">
        <f t="shared" si="46"/>
        <v>0</v>
      </c>
      <c r="P436" s="17" cm="1">
        <f t="array" aca="1" ref="P436" ca="1">IndividualLegIVCore($A$4, Table133[[#This Row],[Strike]], 0.0411, Table133[[#This Row],[T]], ((Table133[[#This Row],[BIDP]]+Table133[[#This Row],[ASKP]])/2), FALSE)</f>
        <v>0.01</v>
      </c>
      <c r="Q436" t="b">
        <f>IF(     ISNUMBER(Table133[[#This Row],[Strike]]),RTD("tos.rtd", , "BID", "."&amp;Table133[[#This Row],[Ticker]]&amp;Table133[[#This Row],[Expiry]]&amp;""&amp;"P"&amp;Table133[[#This Row],[Strike]]))</f>
        <v>0</v>
      </c>
      <c r="R436" t="b">
        <f>IF(     ISNUMBER(Table133[[#This Row],[Strike]]),RTD("tos.rtd", , "ASK", "."&amp;Table133[[#This Row],[Ticker]]&amp;Table133[[#This Row],[Expiry]]&amp;""&amp;"P"&amp;Table133[[#This Row],[Strike]]))</f>
        <v>0</v>
      </c>
      <c r="S436" s="17"/>
      <c r="T436" t="b">
        <f>IF(     ISNUMBER(Table133[[#This Row],[Strike]]),RTD("tos.rtd", , "OPEN_INT", "."&amp;Table133[[#This Row],[Ticker]]&amp;Table133[[#This Row],[Expiry]]&amp;""&amp;"P"&amp;Table133[[#This Row],[Strike]]))</f>
        <v>0</v>
      </c>
      <c r="U43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6" t="b">
        <f>IF(     ISNUMBER(Table133[[#This Row],[Strike]]),RTD("tos.rtd", , "DELTA", "."&amp;Table133[[#This Row],[Ticker]]&amp;Table133[[#This Row],[Expiry]]&amp;""&amp;"P"&amp;Table133[[#This Row],[Strike]]))</f>
        <v>0</v>
      </c>
      <c r="Y436" s="19">
        <f>-40* IF($M$1="NDX", 10, IF(OR($M$1="SPX", $M$1="RUT"), 2, 1))</f>
        <v>-80</v>
      </c>
      <c r="Z436">
        <f ca="1">IFERROR(Table133[[#This Row],[call gamma]]*(Table133[[#This Row],[Open.Int]])*$A$4^2,0)</f>
        <v>0</v>
      </c>
      <c r="AA436">
        <f ca="1">IFERROR(((Table133[[#This Row],[Open.Int8]])*Table133[[#This Row],[Put gamma]])*-1*$A$4^2,0)</f>
        <v>0</v>
      </c>
      <c r="AB436">
        <f ca="1">(Table133[[#This Row],[Call Gex]]+Table133[[#This Row],[Put Gex]])</f>
        <v>0</v>
      </c>
      <c r="AC436">
        <f ca="1">Table133[[#This Row],[put delta adj]]+Table133[[#This Row],[call delta adj]]</f>
        <v>0</v>
      </c>
      <c r="AD436">
        <f ca="1">Table133[[#This Row],[Put Gex]]*Table133[[#This Row],[DeltaP]]*-1</f>
        <v>0</v>
      </c>
      <c r="AE436">
        <f ca="1">Table133[[#This Row],[Call Gex]]*Table133[[#This Row],[DeltaC]]</f>
        <v>0</v>
      </c>
      <c r="AF436">
        <f>IF(Table133[[#This Row],[DeltaC]]-ABS(Table133[[#This Row],[DeltaP]])="0","0.01",Table133[[#This Row],[DeltaC]]-ABS(Table133[[#This Row],[DeltaP]]))</f>
        <v>0</v>
      </c>
      <c r="AG436" t="e">
        <f ca="1">((LN($A$4/Table133[[#This Row],[Strike]]) + (0.411 + 0.5 * Table133[[#This Row],[IV Calc P]]^2) *Table133[[#This Row],[T]])) / (Table133[[#This Row],[IV Calc P]] * SQRT(Table133[[#This Row],[T]]))</f>
        <v>#DIV/0!</v>
      </c>
      <c r="AH436" t="e">
        <f ca="1">(LN($A$4/Table133[[#This Row],[Strike]]) + (0.411-0 + 0.5 * Table133[[#This Row],[IV Calc C]]^2) *Table133[[#This Row],[T]]) / (Table133[[#This Row],[IV Calc C]] * SQRT(Table133[[#This Row],[T]]))</f>
        <v>#DIV/0!</v>
      </c>
      <c r="AI436" t="e">
        <f ca="1">(EXP(-(AG436^2)/2)/SQRT(2*PI())*EXP(0*SQRT(Table133[[#This Row],[T]]))/$A$4*18%*SQRT(SQRT(Table133[[#This Row],[T]])))</f>
        <v>#DIV/0!</v>
      </c>
      <c r="AJ436" t="e">
        <f ca="1">(EXP(-(AH436^2)/2)/SQRT(2*PI())*EXP(0*SQRT(Table133[[#This Row],[T]]))/$A$4*18%*SQRT(SQRT(Table133[[#This Row],[T]])))</f>
        <v>#DIV/0!</v>
      </c>
      <c r="AK436" t="e">
        <f ca="1">Table133[[#This Row],[Call D1]]-Table133[[#This Row],[IV Calc C]]*SQRT(Table133[[#This Row],[T]])</f>
        <v>#DIV/0!</v>
      </c>
      <c r="AL436" t="e">
        <f ca="1">Table133[[#This Row],[Put D1]]-Table133[[#This Row],[IV Calc P]]*SQRT(Table133[[#This Row],[T]])</f>
        <v>#DIV/0!</v>
      </c>
      <c r="AM436" t="e">
        <f ca="1">EXP(-0.5*Table133[[#This Row],[Call D1]]^2)/SQRT(2*PI())</f>
        <v>#DIV/0!</v>
      </c>
      <c r="AN436" t="e">
        <f ca="1">EXP(-0.5*Table133[[#This Row],[Put D1]]^2)/SQRT(2*PI())</f>
        <v>#DIV/0!</v>
      </c>
      <c r="AO43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6">
        <f ca="1">((Table133[[#This Row],[call vanna]]+Table133[[#This Row],[put vanna]])*$A$4)</f>
        <v>0</v>
      </c>
      <c r="AR43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6" s="9" t="str" cm="1">
        <f t="array" ref="AT436">_xlfn.IFS(     $M$1="SPX","SPXW",     $M$1="RUT","RUTW",  $M$1="NDX","NDXP",   TRUE,$M$1 )</f>
        <v>SPXW</v>
      </c>
      <c r="AU436" s="2">
        <f t="shared" si="47"/>
        <v>6915</v>
      </c>
      <c r="AV436" t="str">
        <f t="shared" si="48"/>
        <v>000100</v>
      </c>
      <c r="AY43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6">
        <f>((Table133[[#This Row],[High C]]+Table133[[#This Row],[Low C]])/2)*Table133[[#This Row],[gammac]]*Table133[[#This Row],[Volume]]</f>
        <v>0</v>
      </c>
      <c r="BD436">
        <f>((Table133[[#This Row],[High P]]+Table133[[#This Row],[Low P]])/2)*Table133[[#This Row],[gammap]]*Table133[[#This Row],[Volume9]]*-1</f>
        <v>0</v>
      </c>
      <c r="BE436">
        <f>(Table133[[#This Row],[SgammaC]]+Table133[[#This Row],[SgammaP]])*$A$4*-100</f>
        <v>0</v>
      </c>
      <c r="BF436" s="78">
        <f>Table133[[#This Row],[DEXc]]+Table133[[#This Row],[DEXp]]</f>
        <v>0</v>
      </c>
      <c r="BG436">
        <f>IFERROR(Table133[[#This Row],[DeltaC]]*Table133[[#This Row],[Open.Int]]*$A$4,0)</f>
        <v>0</v>
      </c>
      <c r="BH436">
        <f>IFERROR(Table133[[#This Row],[DeltaP]]*Table133[[#This Row],[Open.Int8]]*$A$4,0)</f>
        <v>0</v>
      </c>
      <c r="BI43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6">
        <f ca="1">Table133[[#This Row],[charmc]]+Table133[[#This Row],[charmp]]</f>
        <v>0</v>
      </c>
      <c r="BL43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6" s="78">
        <f ca="1">Table133[[#This Row],[call helper]]+Table133[[#This Row],[put helper]]</f>
        <v>0</v>
      </c>
      <c r="BP436" t="str">
        <f>RTD("tos.rtd", , "STRIKE", "."&amp;Table133[[#This Row],[Ticker]]&amp;Table133[[#This Row],[Expiry]]&amp;""&amp;"C"&amp;Table133[[#This Row],[Spot]]+Table133[[#This Row],[step]])</f>
        <v>N/A</v>
      </c>
    </row>
    <row r="437" spans="1:68" x14ac:dyDescent="0.25">
      <c r="A437" s="14">
        <f t="shared" ca="1" si="44"/>
        <v>-126.14810350076104</v>
      </c>
      <c r="C437" s="17"/>
      <c r="D437" t="str">
        <f>RTD("tos.rtd", , "OPEN_INT", "."&amp;Table133[[#This Row],[Ticker]]&amp;Table133[[#This Row],[Expiry]]&amp;""&amp;"C"&amp;Table133[[#This Row],[Spot]]+Table133[[#This Row],[step]])</f>
        <v>N/A</v>
      </c>
      <c r="E43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7" t="b">
        <f>IF(     ISNUMBER(Table133[[#This Row],[Strike]]),RTD("tos.rtd", , "DELTA", "."&amp;Table133[[#This Row],[Ticker]]&amp;Table133[[#This Row],[Expiry]]&amp;""&amp;"C"&amp;Table133[[#This Row],[Strike]]))</f>
        <v>0</v>
      </c>
      <c r="H437" s="17" cm="1">
        <f t="array" aca="1" ref="H437" ca="1">IndividualLegIVCore($A$4, Table133[[#This Row],[Strike]], 0.0411, Table133[[#This Row],[T]], ((Table133[[#This Row],[BIDC]]+Table133[[#This Row],[ASKC]])/2), TRUE)</f>
        <v>0.01</v>
      </c>
      <c r="I437" t="b">
        <f>IF(     ISNUMBER(Table133[[#This Row],[Strike]]),RTD("tos.rtd", , "BID", "."&amp;Table133[[#This Row],[Ticker]]&amp;Table133[[#This Row],[Expiry]]&amp;""&amp;"C"&amp;Table133[[#This Row],[Strike]]))</f>
        <v>0</v>
      </c>
      <c r="J437" t="b">
        <f>IF(     ISNUMBER(Table133[[#This Row],[Strike]]),RTD("tos.rtd", , "ASK", "."&amp;Table133[[#This Row],[Ticker]]&amp;Table133[[#This Row],[Expiry]]&amp;""&amp;"C"&amp;Table133[[#This Row],[Strike]]))</f>
        <v>0</v>
      </c>
      <c r="K437" s="17"/>
      <c r="M437" s="1">
        <f t="shared" si="45"/>
        <v>0</v>
      </c>
      <c r="N437" t="b">
        <f t="shared" si="46"/>
        <v>0</v>
      </c>
      <c r="P437" s="17" cm="1">
        <f t="array" aca="1" ref="P437" ca="1">IndividualLegIVCore($A$4, Table133[[#This Row],[Strike]], 0.0411, Table133[[#This Row],[T]], ((Table133[[#This Row],[BIDP]]+Table133[[#This Row],[ASKP]])/2), FALSE)</f>
        <v>0.01</v>
      </c>
      <c r="Q437" t="b">
        <f>IF(     ISNUMBER(Table133[[#This Row],[Strike]]),RTD("tos.rtd", , "BID", "."&amp;Table133[[#This Row],[Ticker]]&amp;Table133[[#This Row],[Expiry]]&amp;""&amp;"P"&amp;Table133[[#This Row],[Strike]]))</f>
        <v>0</v>
      </c>
      <c r="R437" t="b">
        <f>IF(     ISNUMBER(Table133[[#This Row],[Strike]]),RTD("tos.rtd", , "ASK", "."&amp;Table133[[#This Row],[Ticker]]&amp;Table133[[#This Row],[Expiry]]&amp;""&amp;"P"&amp;Table133[[#This Row],[Strike]]))</f>
        <v>0</v>
      </c>
      <c r="S437" s="17"/>
      <c r="T437" t="b">
        <f>IF(     ISNUMBER(Table133[[#This Row],[Strike]]),RTD("tos.rtd", , "OPEN_INT", "."&amp;Table133[[#This Row],[Ticker]]&amp;Table133[[#This Row],[Expiry]]&amp;""&amp;"P"&amp;Table133[[#This Row],[Strike]]))</f>
        <v>0</v>
      </c>
      <c r="U43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7" t="b">
        <f>IF(     ISNUMBER(Table133[[#This Row],[Strike]]),RTD("tos.rtd", , "DELTA", "."&amp;Table133[[#This Row],[Ticker]]&amp;Table133[[#This Row],[Expiry]]&amp;""&amp;"P"&amp;Table133[[#This Row],[Strike]]))</f>
        <v>0</v>
      </c>
      <c r="Y437" s="19">
        <f>-39.5* IF($M$1="NDX", 10, IF(OR($M$1="SPX", $M$1="RUT"), 2, 1))</f>
        <v>-79</v>
      </c>
      <c r="Z437">
        <f ca="1">IFERROR(Table133[[#This Row],[call gamma]]*(Table133[[#This Row],[Open.Int]])*$A$4^2,0)</f>
        <v>0</v>
      </c>
      <c r="AA437">
        <f ca="1">IFERROR(((Table133[[#This Row],[Open.Int8]])*Table133[[#This Row],[Put gamma]])*-1*$A$4^2,0)</f>
        <v>0</v>
      </c>
      <c r="AB437">
        <f ca="1">(Table133[[#This Row],[Call Gex]]+Table133[[#This Row],[Put Gex]])</f>
        <v>0</v>
      </c>
      <c r="AC437">
        <f ca="1">Table133[[#This Row],[put delta adj]]+Table133[[#This Row],[call delta adj]]</f>
        <v>0</v>
      </c>
      <c r="AD437">
        <f ca="1">Table133[[#This Row],[Put Gex]]*Table133[[#This Row],[DeltaP]]*-1</f>
        <v>0</v>
      </c>
      <c r="AE437">
        <f ca="1">Table133[[#This Row],[Call Gex]]*Table133[[#This Row],[DeltaC]]</f>
        <v>0</v>
      </c>
      <c r="AF437">
        <f>IF(Table133[[#This Row],[DeltaC]]-ABS(Table133[[#This Row],[DeltaP]])="0","0.01",Table133[[#This Row],[DeltaC]]-ABS(Table133[[#This Row],[DeltaP]]))</f>
        <v>0</v>
      </c>
      <c r="AG437" t="e">
        <f ca="1">((LN($A$4/Table133[[#This Row],[Strike]]) + (0.411 + 0.5 * Table133[[#This Row],[IV Calc P]]^2) *Table133[[#This Row],[T]])) / (Table133[[#This Row],[IV Calc P]] * SQRT(Table133[[#This Row],[T]]))</f>
        <v>#DIV/0!</v>
      </c>
      <c r="AH437" t="e">
        <f ca="1">(LN($A$4/Table133[[#This Row],[Strike]]) + (0.411-0 + 0.5 * Table133[[#This Row],[IV Calc C]]^2) *Table133[[#This Row],[T]]) / (Table133[[#This Row],[IV Calc C]] * SQRT(Table133[[#This Row],[T]]))</f>
        <v>#DIV/0!</v>
      </c>
      <c r="AI437" t="e">
        <f ca="1">(EXP(-(AG437^2)/2)/SQRT(2*PI())*EXP(0*SQRT(Table133[[#This Row],[T]]))/$A$4*18%*SQRT(SQRT(Table133[[#This Row],[T]])))</f>
        <v>#DIV/0!</v>
      </c>
      <c r="AJ437" t="e">
        <f ca="1">(EXP(-(AH437^2)/2)/SQRT(2*PI())*EXP(0*SQRT(Table133[[#This Row],[T]]))/$A$4*18%*SQRT(SQRT(Table133[[#This Row],[T]])))</f>
        <v>#DIV/0!</v>
      </c>
      <c r="AK437" t="e">
        <f ca="1">Table133[[#This Row],[Call D1]]-Table133[[#This Row],[IV Calc C]]*SQRT(Table133[[#This Row],[T]])</f>
        <v>#DIV/0!</v>
      </c>
      <c r="AL437" t="e">
        <f ca="1">Table133[[#This Row],[Put D1]]-Table133[[#This Row],[IV Calc P]]*SQRT(Table133[[#This Row],[T]])</f>
        <v>#DIV/0!</v>
      </c>
      <c r="AM437" t="e">
        <f ca="1">EXP(-0.5*Table133[[#This Row],[Call D1]]^2)/SQRT(2*PI())</f>
        <v>#DIV/0!</v>
      </c>
      <c r="AN437" t="e">
        <f ca="1">EXP(-0.5*Table133[[#This Row],[Put D1]]^2)/SQRT(2*PI())</f>
        <v>#DIV/0!</v>
      </c>
      <c r="AO43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7">
        <f ca="1">((Table133[[#This Row],[call vanna]]+Table133[[#This Row],[put vanna]])*$A$4)</f>
        <v>0</v>
      </c>
      <c r="AR43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7" s="9" t="str" cm="1">
        <f t="array" ref="AT437">_xlfn.IFS(     $M$1="SPX","SPXW",     $M$1="RUT","RUTW",  $M$1="NDX","NDXP",   TRUE,$M$1 )</f>
        <v>SPXW</v>
      </c>
      <c r="AU437" s="2">
        <f t="shared" si="47"/>
        <v>6915</v>
      </c>
      <c r="AV437" t="str">
        <f t="shared" si="48"/>
        <v>000100</v>
      </c>
      <c r="AY43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7">
        <f>((Table133[[#This Row],[High C]]+Table133[[#This Row],[Low C]])/2)*Table133[[#This Row],[gammac]]*Table133[[#This Row],[Volume]]</f>
        <v>0</v>
      </c>
      <c r="BD437">
        <f>((Table133[[#This Row],[High P]]+Table133[[#This Row],[Low P]])/2)*Table133[[#This Row],[gammap]]*Table133[[#This Row],[Volume9]]*-1</f>
        <v>0</v>
      </c>
      <c r="BE437">
        <f>(Table133[[#This Row],[SgammaC]]+Table133[[#This Row],[SgammaP]])*$A$4*-100</f>
        <v>0</v>
      </c>
      <c r="BF437" s="78">
        <f>Table133[[#This Row],[DEXc]]+Table133[[#This Row],[DEXp]]</f>
        <v>0</v>
      </c>
      <c r="BG437">
        <f>IFERROR(Table133[[#This Row],[DeltaC]]*Table133[[#This Row],[Open.Int]]*$A$4,0)</f>
        <v>0</v>
      </c>
      <c r="BH437">
        <f>IFERROR(Table133[[#This Row],[DeltaP]]*Table133[[#This Row],[Open.Int8]]*$A$4,0)</f>
        <v>0</v>
      </c>
      <c r="BI43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7">
        <f ca="1">Table133[[#This Row],[charmc]]+Table133[[#This Row],[charmp]]</f>
        <v>0</v>
      </c>
      <c r="BL43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7" s="78">
        <f ca="1">Table133[[#This Row],[call helper]]+Table133[[#This Row],[put helper]]</f>
        <v>0</v>
      </c>
      <c r="BP437" t="str">
        <f>RTD("tos.rtd", , "STRIKE", "."&amp;Table133[[#This Row],[Ticker]]&amp;Table133[[#This Row],[Expiry]]&amp;""&amp;"C"&amp;Table133[[#This Row],[Spot]]+Table133[[#This Row],[step]])</f>
        <v>N/A</v>
      </c>
    </row>
    <row r="438" spans="1:68" x14ac:dyDescent="0.25">
      <c r="A438" s="14">
        <f t="shared" ca="1" si="44"/>
        <v>-126.14810350076104</v>
      </c>
      <c r="C438" s="17"/>
      <c r="D438" t="str">
        <f>RTD("tos.rtd", , "OPEN_INT", "."&amp;Table133[[#This Row],[Ticker]]&amp;Table133[[#This Row],[Expiry]]&amp;""&amp;"C"&amp;Table133[[#This Row],[Spot]]+Table133[[#This Row],[step]])</f>
        <v>N/A</v>
      </c>
      <c r="E43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8" t="b">
        <f>IF(     ISNUMBER(Table133[[#This Row],[Strike]]),RTD("tos.rtd", , "DELTA", "."&amp;Table133[[#This Row],[Ticker]]&amp;Table133[[#This Row],[Expiry]]&amp;""&amp;"C"&amp;Table133[[#This Row],[Strike]]))</f>
        <v>0</v>
      </c>
      <c r="H438" s="17" cm="1">
        <f t="array" aca="1" ref="H438" ca="1">IndividualLegIVCore($A$4, Table133[[#This Row],[Strike]], 0.0411, Table133[[#This Row],[T]], ((Table133[[#This Row],[BIDC]]+Table133[[#This Row],[ASKC]])/2), TRUE)</f>
        <v>0.01</v>
      </c>
      <c r="I438" t="b">
        <f>IF(     ISNUMBER(Table133[[#This Row],[Strike]]),RTD("tos.rtd", , "BID", "."&amp;Table133[[#This Row],[Ticker]]&amp;Table133[[#This Row],[Expiry]]&amp;""&amp;"C"&amp;Table133[[#This Row],[Strike]]))</f>
        <v>0</v>
      </c>
      <c r="J438" t="b">
        <f>IF(     ISNUMBER(Table133[[#This Row],[Strike]]),RTD("tos.rtd", , "ASK", "."&amp;Table133[[#This Row],[Ticker]]&amp;Table133[[#This Row],[Expiry]]&amp;""&amp;"C"&amp;Table133[[#This Row],[Strike]]))</f>
        <v>0</v>
      </c>
      <c r="K438" s="17"/>
      <c r="M438" s="1">
        <f t="shared" si="45"/>
        <v>0</v>
      </c>
      <c r="N438" t="b">
        <f t="shared" si="46"/>
        <v>0</v>
      </c>
      <c r="P438" s="17" cm="1">
        <f t="array" aca="1" ref="P438" ca="1">IndividualLegIVCore($A$4, Table133[[#This Row],[Strike]], 0.0411, Table133[[#This Row],[T]], ((Table133[[#This Row],[BIDP]]+Table133[[#This Row],[ASKP]])/2), FALSE)</f>
        <v>0.01</v>
      </c>
      <c r="Q438" t="b">
        <f>IF(     ISNUMBER(Table133[[#This Row],[Strike]]),RTD("tos.rtd", , "BID", "."&amp;Table133[[#This Row],[Ticker]]&amp;Table133[[#This Row],[Expiry]]&amp;""&amp;"P"&amp;Table133[[#This Row],[Strike]]))</f>
        <v>0</v>
      </c>
      <c r="R438" t="b">
        <f>IF(     ISNUMBER(Table133[[#This Row],[Strike]]),RTD("tos.rtd", , "ASK", "."&amp;Table133[[#This Row],[Ticker]]&amp;Table133[[#This Row],[Expiry]]&amp;""&amp;"P"&amp;Table133[[#This Row],[Strike]]))</f>
        <v>0</v>
      </c>
      <c r="S438" s="17"/>
      <c r="T438" t="b">
        <f>IF(     ISNUMBER(Table133[[#This Row],[Strike]]),RTD("tos.rtd", , "OPEN_INT", "."&amp;Table133[[#This Row],[Ticker]]&amp;Table133[[#This Row],[Expiry]]&amp;""&amp;"P"&amp;Table133[[#This Row],[Strike]]))</f>
        <v>0</v>
      </c>
      <c r="U43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8" t="b">
        <f>IF(     ISNUMBER(Table133[[#This Row],[Strike]]),RTD("tos.rtd", , "DELTA", "."&amp;Table133[[#This Row],[Ticker]]&amp;Table133[[#This Row],[Expiry]]&amp;""&amp;"P"&amp;Table133[[#This Row],[Strike]]))</f>
        <v>0</v>
      </c>
      <c r="Y438" s="19">
        <f>-39* IF($M$1="NDX", 10, IF(OR($M$1="SPX", $M$1="RUT"), 2, 1))</f>
        <v>-78</v>
      </c>
      <c r="Z438">
        <f ca="1">IFERROR(Table133[[#This Row],[call gamma]]*(Table133[[#This Row],[Open.Int]])*$A$4^2,0)</f>
        <v>0</v>
      </c>
      <c r="AA438">
        <f ca="1">IFERROR(((Table133[[#This Row],[Open.Int8]])*Table133[[#This Row],[Put gamma]])*-1*$A$4^2,0)</f>
        <v>0</v>
      </c>
      <c r="AB438">
        <f ca="1">(Table133[[#This Row],[Call Gex]]+Table133[[#This Row],[Put Gex]])</f>
        <v>0</v>
      </c>
      <c r="AC438">
        <f ca="1">Table133[[#This Row],[put delta adj]]+Table133[[#This Row],[call delta adj]]</f>
        <v>0</v>
      </c>
      <c r="AD438">
        <f ca="1">Table133[[#This Row],[Put Gex]]*Table133[[#This Row],[DeltaP]]*-1</f>
        <v>0</v>
      </c>
      <c r="AE438">
        <f ca="1">Table133[[#This Row],[Call Gex]]*Table133[[#This Row],[DeltaC]]</f>
        <v>0</v>
      </c>
      <c r="AF438">
        <f>IF(Table133[[#This Row],[DeltaC]]-ABS(Table133[[#This Row],[DeltaP]])="0","0.01",Table133[[#This Row],[DeltaC]]-ABS(Table133[[#This Row],[DeltaP]]))</f>
        <v>0</v>
      </c>
      <c r="AG438" t="e">
        <f ca="1">((LN($A$4/Table133[[#This Row],[Strike]]) + (0.411 + 0.5 * Table133[[#This Row],[IV Calc P]]^2) *Table133[[#This Row],[T]])) / (Table133[[#This Row],[IV Calc P]] * SQRT(Table133[[#This Row],[T]]))</f>
        <v>#DIV/0!</v>
      </c>
      <c r="AH438" t="e">
        <f ca="1">(LN($A$4/Table133[[#This Row],[Strike]]) + (0.411-0 + 0.5 * Table133[[#This Row],[IV Calc C]]^2) *Table133[[#This Row],[T]]) / (Table133[[#This Row],[IV Calc C]] * SQRT(Table133[[#This Row],[T]]))</f>
        <v>#DIV/0!</v>
      </c>
      <c r="AI438" t="e">
        <f ca="1">(EXP(-(AG438^2)/2)/SQRT(2*PI())*EXP(0*SQRT(Table133[[#This Row],[T]]))/$A$4*18%*SQRT(SQRT(Table133[[#This Row],[T]])))</f>
        <v>#DIV/0!</v>
      </c>
      <c r="AJ438" t="e">
        <f ca="1">(EXP(-(AH438^2)/2)/SQRT(2*PI())*EXP(0*SQRT(Table133[[#This Row],[T]]))/$A$4*18%*SQRT(SQRT(Table133[[#This Row],[T]])))</f>
        <v>#DIV/0!</v>
      </c>
      <c r="AK438" t="e">
        <f ca="1">Table133[[#This Row],[Call D1]]-Table133[[#This Row],[IV Calc C]]*SQRT(Table133[[#This Row],[T]])</f>
        <v>#DIV/0!</v>
      </c>
      <c r="AL438" t="e">
        <f ca="1">Table133[[#This Row],[Put D1]]-Table133[[#This Row],[IV Calc P]]*SQRT(Table133[[#This Row],[T]])</f>
        <v>#DIV/0!</v>
      </c>
      <c r="AM438" t="e">
        <f ca="1">EXP(-0.5*Table133[[#This Row],[Call D1]]^2)/SQRT(2*PI())</f>
        <v>#DIV/0!</v>
      </c>
      <c r="AN438" t="e">
        <f ca="1">EXP(-0.5*Table133[[#This Row],[Put D1]]^2)/SQRT(2*PI())</f>
        <v>#DIV/0!</v>
      </c>
      <c r="AO43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8">
        <f ca="1">((Table133[[#This Row],[call vanna]]+Table133[[#This Row],[put vanna]])*$A$4)</f>
        <v>0</v>
      </c>
      <c r="AR43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8" s="9" t="str" cm="1">
        <f t="array" ref="AT438">_xlfn.IFS(     $M$1="SPX","SPXW",     $M$1="RUT","RUTW",  $M$1="NDX","NDXP",   TRUE,$M$1 )</f>
        <v>SPXW</v>
      </c>
      <c r="AU438" s="2">
        <f t="shared" si="47"/>
        <v>6915</v>
      </c>
      <c r="AV438" t="str">
        <f t="shared" si="48"/>
        <v>000100</v>
      </c>
      <c r="AY43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8">
        <f>((Table133[[#This Row],[High C]]+Table133[[#This Row],[Low C]])/2)*Table133[[#This Row],[gammac]]*Table133[[#This Row],[Volume]]</f>
        <v>0</v>
      </c>
      <c r="BD438">
        <f>((Table133[[#This Row],[High P]]+Table133[[#This Row],[Low P]])/2)*Table133[[#This Row],[gammap]]*Table133[[#This Row],[Volume9]]*-1</f>
        <v>0</v>
      </c>
      <c r="BE438">
        <f>(Table133[[#This Row],[SgammaC]]+Table133[[#This Row],[SgammaP]])*$A$4*-100</f>
        <v>0</v>
      </c>
      <c r="BF438" s="78">
        <f>Table133[[#This Row],[DEXc]]+Table133[[#This Row],[DEXp]]</f>
        <v>0</v>
      </c>
      <c r="BG438">
        <f>IFERROR(Table133[[#This Row],[DeltaC]]*Table133[[#This Row],[Open.Int]]*$A$4,0)</f>
        <v>0</v>
      </c>
      <c r="BH438">
        <f>IFERROR(Table133[[#This Row],[DeltaP]]*Table133[[#This Row],[Open.Int8]]*$A$4,0)</f>
        <v>0</v>
      </c>
      <c r="BI43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8">
        <f ca="1">Table133[[#This Row],[charmc]]+Table133[[#This Row],[charmp]]</f>
        <v>0</v>
      </c>
      <c r="BL43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8" s="78">
        <f ca="1">Table133[[#This Row],[call helper]]+Table133[[#This Row],[put helper]]</f>
        <v>0</v>
      </c>
      <c r="BP438" t="str">
        <f>RTD("tos.rtd", , "STRIKE", "."&amp;Table133[[#This Row],[Ticker]]&amp;Table133[[#This Row],[Expiry]]&amp;""&amp;"C"&amp;Table133[[#This Row],[Spot]]+Table133[[#This Row],[step]])</f>
        <v>N/A</v>
      </c>
    </row>
    <row r="439" spans="1:68" x14ac:dyDescent="0.25">
      <c r="A439" s="14">
        <f t="shared" ca="1" si="44"/>
        <v>-126.14810350076104</v>
      </c>
      <c r="C439" s="17"/>
      <c r="D439" t="str">
        <f>RTD("tos.rtd", , "OPEN_INT", "."&amp;Table133[[#This Row],[Ticker]]&amp;Table133[[#This Row],[Expiry]]&amp;""&amp;"C"&amp;Table133[[#This Row],[Spot]]+Table133[[#This Row],[step]])</f>
        <v>N/A</v>
      </c>
      <c r="E43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9" t="b">
        <f>IF(     ISNUMBER(Table133[[#This Row],[Strike]]),RTD("tos.rtd", , "DELTA", "."&amp;Table133[[#This Row],[Ticker]]&amp;Table133[[#This Row],[Expiry]]&amp;""&amp;"C"&amp;Table133[[#This Row],[Strike]]))</f>
        <v>0</v>
      </c>
      <c r="H439" s="17" cm="1">
        <f t="array" aca="1" ref="H439" ca="1">IndividualLegIVCore($A$4, Table133[[#This Row],[Strike]], 0.0411, Table133[[#This Row],[T]], ((Table133[[#This Row],[BIDC]]+Table133[[#This Row],[ASKC]])/2), TRUE)</f>
        <v>0.01</v>
      </c>
      <c r="I439" t="b">
        <f>IF(     ISNUMBER(Table133[[#This Row],[Strike]]),RTD("tos.rtd", , "BID", "."&amp;Table133[[#This Row],[Ticker]]&amp;Table133[[#This Row],[Expiry]]&amp;""&amp;"C"&amp;Table133[[#This Row],[Strike]]))</f>
        <v>0</v>
      </c>
      <c r="J439" t="b">
        <f>IF(     ISNUMBER(Table133[[#This Row],[Strike]]),RTD("tos.rtd", , "ASK", "."&amp;Table133[[#This Row],[Ticker]]&amp;Table133[[#This Row],[Expiry]]&amp;""&amp;"C"&amp;Table133[[#This Row],[Strike]]))</f>
        <v>0</v>
      </c>
      <c r="K439" s="17"/>
      <c r="M439" s="1">
        <f t="shared" si="45"/>
        <v>0</v>
      </c>
      <c r="N439" t="b">
        <f t="shared" si="46"/>
        <v>0</v>
      </c>
      <c r="P439" s="17" cm="1">
        <f t="array" aca="1" ref="P439" ca="1">IndividualLegIVCore($A$4, Table133[[#This Row],[Strike]], 0.0411, Table133[[#This Row],[T]], ((Table133[[#This Row],[BIDP]]+Table133[[#This Row],[ASKP]])/2), FALSE)</f>
        <v>0.01</v>
      </c>
      <c r="Q439" t="b">
        <f>IF(     ISNUMBER(Table133[[#This Row],[Strike]]),RTD("tos.rtd", , "BID", "."&amp;Table133[[#This Row],[Ticker]]&amp;Table133[[#This Row],[Expiry]]&amp;""&amp;"P"&amp;Table133[[#This Row],[Strike]]))</f>
        <v>0</v>
      </c>
      <c r="R439" t="b">
        <f>IF(     ISNUMBER(Table133[[#This Row],[Strike]]),RTD("tos.rtd", , "ASK", "."&amp;Table133[[#This Row],[Ticker]]&amp;Table133[[#This Row],[Expiry]]&amp;""&amp;"P"&amp;Table133[[#This Row],[Strike]]))</f>
        <v>0</v>
      </c>
      <c r="S439" s="17"/>
      <c r="T439" t="b">
        <f>IF(     ISNUMBER(Table133[[#This Row],[Strike]]),RTD("tos.rtd", , "OPEN_INT", "."&amp;Table133[[#This Row],[Ticker]]&amp;Table133[[#This Row],[Expiry]]&amp;""&amp;"P"&amp;Table133[[#This Row],[Strike]]))</f>
        <v>0</v>
      </c>
      <c r="U43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9" t="b">
        <f>IF(     ISNUMBER(Table133[[#This Row],[Strike]]),RTD("tos.rtd", , "DELTA", "."&amp;Table133[[#This Row],[Ticker]]&amp;Table133[[#This Row],[Expiry]]&amp;""&amp;"P"&amp;Table133[[#This Row],[Strike]]))</f>
        <v>0</v>
      </c>
      <c r="Y439" s="19">
        <f>-38.5* IF($M$1="NDX", 10, IF(OR($M$1="SPX", $M$1="RUT"), 2, 1))</f>
        <v>-77</v>
      </c>
      <c r="Z439">
        <f ca="1">IFERROR(Table133[[#This Row],[call gamma]]*(Table133[[#This Row],[Open.Int]])*$A$4^2,0)</f>
        <v>0</v>
      </c>
      <c r="AA439">
        <f ca="1">IFERROR(((Table133[[#This Row],[Open.Int8]])*Table133[[#This Row],[Put gamma]])*-1*$A$4^2,0)</f>
        <v>0</v>
      </c>
      <c r="AB439">
        <f ca="1">(Table133[[#This Row],[Call Gex]]+Table133[[#This Row],[Put Gex]])</f>
        <v>0</v>
      </c>
      <c r="AC439">
        <f ca="1">Table133[[#This Row],[put delta adj]]+Table133[[#This Row],[call delta adj]]</f>
        <v>0</v>
      </c>
      <c r="AD439">
        <f ca="1">Table133[[#This Row],[Put Gex]]*Table133[[#This Row],[DeltaP]]*-1</f>
        <v>0</v>
      </c>
      <c r="AE439">
        <f ca="1">Table133[[#This Row],[Call Gex]]*Table133[[#This Row],[DeltaC]]</f>
        <v>0</v>
      </c>
      <c r="AF439">
        <f>IF(Table133[[#This Row],[DeltaC]]-ABS(Table133[[#This Row],[DeltaP]])="0","0.01",Table133[[#This Row],[DeltaC]]-ABS(Table133[[#This Row],[DeltaP]]))</f>
        <v>0</v>
      </c>
      <c r="AG439" t="e">
        <f ca="1">((LN($A$4/Table133[[#This Row],[Strike]]) + (0.411 + 0.5 * Table133[[#This Row],[IV Calc P]]^2) *Table133[[#This Row],[T]])) / (Table133[[#This Row],[IV Calc P]] * SQRT(Table133[[#This Row],[T]]))</f>
        <v>#DIV/0!</v>
      </c>
      <c r="AH439" t="e">
        <f ca="1">(LN($A$4/Table133[[#This Row],[Strike]]) + (0.411-0 + 0.5 * Table133[[#This Row],[IV Calc C]]^2) *Table133[[#This Row],[T]]) / (Table133[[#This Row],[IV Calc C]] * SQRT(Table133[[#This Row],[T]]))</f>
        <v>#DIV/0!</v>
      </c>
      <c r="AI439" t="e">
        <f ca="1">(EXP(-(AG439^2)/2)/SQRT(2*PI())*EXP(0*SQRT(Table133[[#This Row],[T]]))/$A$4*18%*SQRT(SQRT(Table133[[#This Row],[T]])))</f>
        <v>#DIV/0!</v>
      </c>
      <c r="AJ439" t="e">
        <f ca="1">(EXP(-(AH439^2)/2)/SQRT(2*PI())*EXP(0*SQRT(Table133[[#This Row],[T]]))/$A$4*18%*SQRT(SQRT(Table133[[#This Row],[T]])))</f>
        <v>#DIV/0!</v>
      </c>
      <c r="AK439" t="e">
        <f ca="1">Table133[[#This Row],[Call D1]]-Table133[[#This Row],[IV Calc C]]*SQRT(Table133[[#This Row],[T]])</f>
        <v>#DIV/0!</v>
      </c>
      <c r="AL439" t="e">
        <f ca="1">Table133[[#This Row],[Put D1]]-Table133[[#This Row],[IV Calc P]]*SQRT(Table133[[#This Row],[T]])</f>
        <v>#DIV/0!</v>
      </c>
      <c r="AM439" t="e">
        <f ca="1">EXP(-0.5*Table133[[#This Row],[Call D1]]^2)/SQRT(2*PI())</f>
        <v>#DIV/0!</v>
      </c>
      <c r="AN439" t="e">
        <f ca="1">EXP(-0.5*Table133[[#This Row],[Put D1]]^2)/SQRT(2*PI())</f>
        <v>#DIV/0!</v>
      </c>
      <c r="AO43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9">
        <f ca="1">((Table133[[#This Row],[call vanna]]+Table133[[#This Row],[put vanna]])*$A$4)</f>
        <v>0</v>
      </c>
      <c r="AR43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9" s="9" t="str" cm="1">
        <f t="array" ref="AT439">_xlfn.IFS(     $M$1="SPX","SPXW",     $M$1="RUT","RUTW",  $M$1="NDX","NDXP",   TRUE,$M$1 )</f>
        <v>SPXW</v>
      </c>
      <c r="AU439" s="2">
        <f t="shared" si="47"/>
        <v>6915</v>
      </c>
      <c r="AV439" t="str">
        <f t="shared" si="48"/>
        <v>000100</v>
      </c>
      <c r="AY43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9">
        <f>((Table133[[#This Row],[High C]]+Table133[[#This Row],[Low C]])/2)*Table133[[#This Row],[gammac]]*Table133[[#This Row],[Volume]]</f>
        <v>0</v>
      </c>
      <c r="BD439">
        <f>((Table133[[#This Row],[High P]]+Table133[[#This Row],[Low P]])/2)*Table133[[#This Row],[gammap]]*Table133[[#This Row],[Volume9]]*-1</f>
        <v>0</v>
      </c>
      <c r="BE439">
        <f>(Table133[[#This Row],[SgammaC]]+Table133[[#This Row],[SgammaP]])*$A$4*-100</f>
        <v>0</v>
      </c>
      <c r="BF439" s="78">
        <f>Table133[[#This Row],[DEXc]]+Table133[[#This Row],[DEXp]]</f>
        <v>0</v>
      </c>
      <c r="BG439">
        <f>IFERROR(Table133[[#This Row],[DeltaC]]*Table133[[#This Row],[Open.Int]]*$A$4,0)</f>
        <v>0</v>
      </c>
      <c r="BH439">
        <f>IFERROR(Table133[[#This Row],[DeltaP]]*Table133[[#This Row],[Open.Int8]]*$A$4,0)</f>
        <v>0</v>
      </c>
      <c r="BI43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9">
        <f ca="1">Table133[[#This Row],[charmc]]+Table133[[#This Row],[charmp]]</f>
        <v>0</v>
      </c>
      <c r="BL43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9" s="78">
        <f ca="1">Table133[[#This Row],[call helper]]+Table133[[#This Row],[put helper]]</f>
        <v>0</v>
      </c>
      <c r="BP439" t="str">
        <f>RTD("tos.rtd", , "STRIKE", "."&amp;Table133[[#This Row],[Ticker]]&amp;Table133[[#This Row],[Expiry]]&amp;""&amp;"C"&amp;Table133[[#This Row],[Spot]]+Table133[[#This Row],[step]])</f>
        <v>N/A</v>
      </c>
    </row>
    <row r="440" spans="1:68" x14ac:dyDescent="0.25">
      <c r="A440" s="14">
        <f t="shared" ca="1" si="44"/>
        <v>-126.14810350076104</v>
      </c>
      <c r="C440" s="17"/>
      <c r="D440" t="str">
        <f>RTD("tos.rtd", , "OPEN_INT", "."&amp;Table133[[#This Row],[Ticker]]&amp;Table133[[#This Row],[Expiry]]&amp;""&amp;"C"&amp;Table133[[#This Row],[Spot]]+Table133[[#This Row],[step]])</f>
        <v>N/A</v>
      </c>
      <c r="E44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0" t="b">
        <f>IF(     ISNUMBER(Table133[[#This Row],[Strike]]),RTD("tos.rtd", , "DELTA", "."&amp;Table133[[#This Row],[Ticker]]&amp;Table133[[#This Row],[Expiry]]&amp;""&amp;"C"&amp;Table133[[#This Row],[Strike]]))</f>
        <v>0</v>
      </c>
      <c r="H440" s="17" cm="1">
        <f t="array" aca="1" ref="H440" ca="1">IndividualLegIVCore($A$4, Table133[[#This Row],[Strike]], 0.0411, Table133[[#This Row],[T]], ((Table133[[#This Row],[BIDC]]+Table133[[#This Row],[ASKC]])/2), TRUE)</f>
        <v>0.01</v>
      </c>
      <c r="I440" t="b">
        <f>IF(     ISNUMBER(Table133[[#This Row],[Strike]]),RTD("tos.rtd", , "BID", "."&amp;Table133[[#This Row],[Ticker]]&amp;Table133[[#This Row],[Expiry]]&amp;""&amp;"C"&amp;Table133[[#This Row],[Strike]]))</f>
        <v>0</v>
      </c>
      <c r="J440" t="b">
        <f>IF(     ISNUMBER(Table133[[#This Row],[Strike]]),RTD("tos.rtd", , "ASK", "."&amp;Table133[[#This Row],[Ticker]]&amp;Table133[[#This Row],[Expiry]]&amp;""&amp;"C"&amp;Table133[[#This Row],[Strike]]))</f>
        <v>0</v>
      </c>
      <c r="K440" s="17"/>
      <c r="M440" s="1">
        <f t="shared" si="45"/>
        <v>0</v>
      </c>
      <c r="N440" t="b">
        <f t="shared" si="46"/>
        <v>0</v>
      </c>
      <c r="P440" s="17" cm="1">
        <f t="array" aca="1" ref="P440" ca="1">IndividualLegIVCore($A$4, Table133[[#This Row],[Strike]], 0.0411, Table133[[#This Row],[T]], ((Table133[[#This Row],[BIDP]]+Table133[[#This Row],[ASKP]])/2), FALSE)</f>
        <v>0.01</v>
      </c>
      <c r="Q440" t="b">
        <f>IF(     ISNUMBER(Table133[[#This Row],[Strike]]),RTD("tos.rtd", , "BID", "."&amp;Table133[[#This Row],[Ticker]]&amp;Table133[[#This Row],[Expiry]]&amp;""&amp;"P"&amp;Table133[[#This Row],[Strike]]))</f>
        <v>0</v>
      </c>
      <c r="R440" t="b">
        <f>IF(     ISNUMBER(Table133[[#This Row],[Strike]]),RTD("tos.rtd", , "ASK", "."&amp;Table133[[#This Row],[Ticker]]&amp;Table133[[#This Row],[Expiry]]&amp;""&amp;"P"&amp;Table133[[#This Row],[Strike]]))</f>
        <v>0</v>
      </c>
      <c r="S440" s="17"/>
      <c r="T440" t="b">
        <f>IF(     ISNUMBER(Table133[[#This Row],[Strike]]),RTD("tos.rtd", , "OPEN_INT", "."&amp;Table133[[#This Row],[Ticker]]&amp;Table133[[#This Row],[Expiry]]&amp;""&amp;"P"&amp;Table133[[#This Row],[Strike]]))</f>
        <v>0</v>
      </c>
      <c r="U44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0" t="b">
        <f>IF(     ISNUMBER(Table133[[#This Row],[Strike]]),RTD("tos.rtd", , "DELTA", "."&amp;Table133[[#This Row],[Ticker]]&amp;Table133[[#This Row],[Expiry]]&amp;""&amp;"P"&amp;Table133[[#This Row],[Strike]]))</f>
        <v>0</v>
      </c>
      <c r="Y440" s="19">
        <f>-38* IF($M$1="NDX", 10, IF(OR($M$1="SPX", $M$1="RUT"), 2, 1))</f>
        <v>-76</v>
      </c>
      <c r="Z440">
        <f ca="1">IFERROR(Table133[[#This Row],[call gamma]]*(Table133[[#This Row],[Open.Int]])*$A$4^2,0)</f>
        <v>0</v>
      </c>
      <c r="AA440">
        <f ca="1">IFERROR(((Table133[[#This Row],[Open.Int8]])*Table133[[#This Row],[Put gamma]])*-1*$A$4^2,0)</f>
        <v>0</v>
      </c>
      <c r="AB440">
        <f ca="1">(Table133[[#This Row],[Call Gex]]+Table133[[#This Row],[Put Gex]])</f>
        <v>0</v>
      </c>
      <c r="AC440">
        <f ca="1">Table133[[#This Row],[put delta adj]]+Table133[[#This Row],[call delta adj]]</f>
        <v>0</v>
      </c>
      <c r="AD440">
        <f ca="1">Table133[[#This Row],[Put Gex]]*Table133[[#This Row],[DeltaP]]*-1</f>
        <v>0</v>
      </c>
      <c r="AE440">
        <f ca="1">Table133[[#This Row],[Call Gex]]*Table133[[#This Row],[DeltaC]]</f>
        <v>0</v>
      </c>
      <c r="AF440">
        <f>IF(Table133[[#This Row],[DeltaC]]-ABS(Table133[[#This Row],[DeltaP]])="0","0.01",Table133[[#This Row],[DeltaC]]-ABS(Table133[[#This Row],[DeltaP]]))</f>
        <v>0</v>
      </c>
      <c r="AG440" t="e">
        <f ca="1">((LN($A$4/Table133[[#This Row],[Strike]]) + (0.411 + 0.5 * Table133[[#This Row],[IV Calc P]]^2) *Table133[[#This Row],[T]])) / (Table133[[#This Row],[IV Calc P]] * SQRT(Table133[[#This Row],[T]]))</f>
        <v>#DIV/0!</v>
      </c>
      <c r="AH440" t="e">
        <f ca="1">(LN($A$4/Table133[[#This Row],[Strike]]) + (0.411-0 + 0.5 * Table133[[#This Row],[IV Calc C]]^2) *Table133[[#This Row],[T]]) / (Table133[[#This Row],[IV Calc C]] * SQRT(Table133[[#This Row],[T]]))</f>
        <v>#DIV/0!</v>
      </c>
      <c r="AI440" t="e">
        <f ca="1">(EXP(-(AG440^2)/2)/SQRT(2*PI())*EXP(0*SQRT(Table133[[#This Row],[T]]))/$A$4*18%*SQRT(SQRT(Table133[[#This Row],[T]])))</f>
        <v>#DIV/0!</v>
      </c>
      <c r="AJ440" t="e">
        <f ca="1">(EXP(-(AH440^2)/2)/SQRT(2*PI())*EXP(0*SQRT(Table133[[#This Row],[T]]))/$A$4*18%*SQRT(SQRT(Table133[[#This Row],[T]])))</f>
        <v>#DIV/0!</v>
      </c>
      <c r="AK440" t="e">
        <f ca="1">Table133[[#This Row],[Call D1]]-Table133[[#This Row],[IV Calc C]]*SQRT(Table133[[#This Row],[T]])</f>
        <v>#DIV/0!</v>
      </c>
      <c r="AL440" t="e">
        <f ca="1">Table133[[#This Row],[Put D1]]-Table133[[#This Row],[IV Calc P]]*SQRT(Table133[[#This Row],[T]])</f>
        <v>#DIV/0!</v>
      </c>
      <c r="AM440" t="e">
        <f ca="1">EXP(-0.5*Table133[[#This Row],[Call D1]]^2)/SQRT(2*PI())</f>
        <v>#DIV/0!</v>
      </c>
      <c r="AN440" t="e">
        <f ca="1">EXP(-0.5*Table133[[#This Row],[Put D1]]^2)/SQRT(2*PI())</f>
        <v>#DIV/0!</v>
      </c>
      <c r="AO44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0">
        <f ca="1">((Table133[[#This Row],[call vanna]]+Table133[[#This Row],[put vanna]])*$A$4)</f>
        <v>0</v>
      </c>
      <c r="AR44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0" s="9" t="str" cm="1">
        <f t="array" ref="AT440">_xlfn.IFS(     $M$1="SPX","SPXW",     $M$1="RUT","RUTW",  $M$1="NDX","NDXP",   TRUE,$M$1 )</f>
        <v>SPXW</v>
      </c>
      <c r="AU440" s="2">
        <f t="shared" si="47"/>
        <v>6915</v>
      </c>
      <c r="AV440" t="str">
        <f t="shared" si="48"/>
        <v>000100</v>
      </c>
      <c r="AY44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0">
        <f>((Table133[[#This Row],[High C]]+Table133[[#This Row],[Low C]])/2)*Table133[[#This Row],[gammac]]*Table133[[#This Row],[Volume]]</f>
        <v>0</v>
      </c>
      <c r="BD440">
        <f>((Table133[[#This Row],[High P]]+Table133[[#This Row],[Low P]])/2)*Table133[[#This Row],[gammap]]*Table133[[#This Row],[Volume9]]*-1</f>
        <v>0</v>
      </c>
      <c r="BE440">
        <f>(Table133[[#This Row],[SgammaC]]+Table133[[#This Row],[SgammaP]])*$A$4*-100</f>
        <v>0</v>
      </c>
      <c r="BF440" s="78">
        <f>Table133[[#This Row],[DEXc]]+Table133[[#This Row],[DEXp]]</f>
        <v>0</v>
      </c>
      <c r="BG440">
        <f>IFERROR(Table133[[#This Row],[DeltaC]]*Table133[[#This Row],[Open.Int]]*$A$4,0)</f>
        <v>0</v>
      </c>
      <c r="BH440">
        <f>IFERROR(Table133[[#This Row],[DeltaP]]*Table133[[#This Row],[Open.Int8]]*$A$4,0)</f>
        <v>0</v>
      </c>
      <c r="BI44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0">
        <f ca="1">Table133[[#This Row],[charmc]]+Table133[[#This Row],[charmp]]</f>
        <v>0</v>
      </c>
      <c r="BL44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0" s="78">
        <f ca="1">Table133[[#This Row],[call helper]]+Table133[[#This Row],[put helper]]</f>
        <v>0</v>
      </c>
      <c r="BP440" t="str">
        <f>RTD("tos.rtd", , "STRIKE", "."&amp;Table133[[#This Row],[Ticker]]&amp;Table133[[#This Row],[Expiry]]&amp;""&amp;"C"&amp;Table133[[#This Row],[Spot]]+Table133[[#This Row],[step]])</f>
        <v>N/A</v>
      </c>
    </row>
    <row r="441" spans="1:68" x14ac:dyDescent="0.25">
      <c r="A441" s="14">
        <f t="shared" ca="1" si="44"/>
        <v>-126.14810350076104</v>
      </c>
      <c r="C441" s="17"/>
      <c r="D441" t="str">
        <f>RTD("tos.rtd", , "OPEN_INT", "."&amp;Table133[[#This Row],[Ticker]]&amp;Table133[[#This Row],[Expiry]]&amp;""&amp;"C"&amp;Table133[[#This Row],[Spot]]+Table133[[#This Row],[step]])</f>
        <v>N/A</v>
      </c>
      <c r="E44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1" t="b">
        <f>IF(     ISNUMBER(Table133[[#This Row],[Strike]]),RTD("tos.rtd", , "DELTA", "."&amp;Table133[[#This Row],[Ticker]]&amp;Table133[[#This Row],[Expiry]]&amp;""&amp;"C"&amp;Table133[[#This Row],[Strike]]))</f>
        <v>0</v>
      </c>
      <c r="H441" s="17" cm="1">
        <f t="array" aca="1" ref="H441" ca="1">IndividualLegIVCore($A$4, Table133[[#This Row],[Strike]], 0.0411, Table133[[#This Row],[T]], ((Table133[[#This Row],[BIDC]]+Table133[[#This Row],[ASKC]])/2), TRUE)</f>
        <v>0.01</v>
      </c>
      <c r="I441" t="b">
        <f>IF(     ISNUMBER(Table133[[#This Row],[Strike]]),RTD("tos.rtd", , "BID", "."&amp;Table133[[#This Row],[Ticker]]&amp;Table133[[#This Row],[Expiry]]&amp;""&amp;"C"&amp;Table133[[#This Row],[Strike]]))</f>
        <v>0</v>
      </c>
      <c r="J441" t="b">
        <f>IF(     ISNUMBER(Table133[[#This Row],[Strike]]),RTD("tos.rtd", , "ASK", "."&amp;Table133[[#This Row],[Ticker]]&amp;Table133[[#This Row],[Expiry]]&amp;""&amp;"C"&amp;Table133[[#This Row],[Strike]]))</f>
        <v>0</v>
      </c>
      <c r="K441" s="17"/>
      <c r="M441" s="1">
        <f t="shared" si="45"/>
        <v>0</v>
      </c>
      <c r="N441" t="b">
        <f t="shared" si="46"/>
        <v>0</v>
      </c>
      <c r="P441" s="17" cm="1">
        <f t="array" aca="1" ref="P441" ca="1">IndividualLegIVCore($A$4, Table133[[#This Row],[Strike]], 0.0411, Table133[[#This Row],[T]], ((Table133[[#This Row],[BIDP]]+Table133[[#This Row],[ASKP]])/2), FALSE)</f>
        <v>0.01</v>
      </c>
      <c r="Q441" t="b">
        <f>IF(     ISNUMBER(Table133[[#This Row],[Strike]]),RTD("tos.rtd", , "BID", "."&amp;Table133[[#This Row],[Ticker]]&amp;Table133[[#This Row],[Expiry]]&amp;""&amp;"P"&amp;Table133[[#This Row],[Strike]]))</f>
        <v>0</v>
      </c>
      <c r="R441" t="b">
        <f>IF(     ISNUMBER(Table133[[#This Row],[Strike]]),RTD("tos.rtd", , "ASK", "."&amp;Table133[[#This Row],[Ticker]]&amp;Table133[[#This Row],[Expiry]]&amp;""&amp;"P"&amp;Table133[[#This Row],[Strike]]))</f>
        <v>0</v>
      </c>
      <c r="S441" s="17"/>
      <c r="T441" t="b">
        <f>IF(     ISNUMBER(Table133[[#This Row],[Strike]]),RTD("tos.rtd", , "OPEN_INT", "."&amp;Table133[[#This Row],[Ticker]]&amp;Table133[[#This Row],[Expiry]]&amp;""&amp;"P"&amp;Table133[[#This Row],[Strike]]))</f>
        <v>0</v>
      </c>
      <c r="U44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1" t="b">
        <f>IF(     ISNUMBER(Table133[[#This Row],[Strike]]),RTD("tos.rtd", , "DELTA", "."&amp;Table133[[#This Row],[Ticker]]&amp;Table133[[#This Row],[Expiry]]&amp;""&amp;"P"&amp;Table133[[#This Row],[Strike]]))</f>
        <v>0</v>
      </c>
      <c r="Y441" s="19">
        <f>-37.5* IF($M$1="NDX", 10, IF(OR($M$1="SPX", $M$1="RUT"), 2, 1))</f>
        <v>-75</v>
      </c>
      <c r="Z441">
        <f ca="1">IFERROR(Table133[[#This Row],[call gamma]]*(Table133[[#This Row],[Open.Int]])*$A$4^2,0)</f>
        <v>0</v>
      </c>
      <c r="AA441">
        <f ca="1">IFERROR(((Table133[[#This Row],[Open.Int8]])*Table133[[#This Row],[Put gamma]])*-1*$A$4^2,0)</f>
        <v>0</v>
      </c>
      <c r="AB441">
        <f ca="1">(Table133[[#This Row],[Call Gex]]+Table133[[#This Row],[Put Gex]])</f>
        <v>0</v>
      </c>
      <c r="AC441">
        <f ca="1">Table133[[#This Row],[put delta adj]]+Table133[[#This Row],[call delta adj]]</f>
        <v>0</v>
      </c>
      <c r="AD441">
        <f ca="1">Table133[[#This Row],[Put Gex]]*Table133[[#This Row],[DeltaP]]*-1</f>
        <v>0</v>
      </c>
      <c r="AE441">
        <f ca="1">Table133[[#This Row],[Call Gex]]*Table133[[#This Row],[DeltaC]]</f>
        <v>0</v>
      </c>
      <c r="AF441">
        <f>IF(Table133[[#This Row],[DeltaC]]-ABS(Table133[[#This Row],[DeltaP]])="0","0.01",Table133[[#This Row],[DeltaC]]-ABS(Table133[[#This Row],[DeltaP]]))</f>
        <v>0</v>
      </c>
      <c r="AG441" t="e">
        <f ca="1">((LN($A$4/Table133[[#This Row],[Strike]]) + (0.411 + 0.5 * Table133[[#This Row],[IV Calc P]]^2) *Table133[[#This Row],[T]])) / (Table133[[#This Row],[IV Calc P]] * SQRT(Table133[[#This Row],[T]]))</f>
        <v>#DIV/0!</v>
      </c>
      <c r="AH441" t="e">
        <f ca="1">(LN($A$4/Table133[[#This Row],[Strike]]) + (0.411-0 + 0.5 * Table133[[#This Row],[IV Calc C]]^2) *Table133[[#This Row],[T]]) / (Table133[[#This Row],[IV Calc C]] * SQRT(Table133[[#This Row],[T]]))</f>
        <v>#DIV/0!</v>
      </c>
      <c r="AI441" t="e">
        <f ca="1">(EXP(-(AG441^2)/2)/SQRT(2*PI())*EXP(0*SQRT(Table133[[#This Row],[T]]))/$A$4*18%*SQRT(SQRT(Table133[[#This Row],[T]])))</f>
        <v>#DIV/0!</v>
      </c>
      <c r="AJ441" t="e">
        <f ca="1">(EXP(-(AH441^2)/2)/SQRT(2*PI())*EXP(0*SQRT(Table133[[#This Row],[T]]))/$A$4*18%*SQRT(SQRT(Table133[[#This Row],[T]])))</f>
        <v>#DIV/0!</v>
      </c>
      <c r="AK441" t="e">
        <f ca="1">Table133[[#This Row],[Call D1]]-Table133[[#This Row],[IV Calc C]]*SQRT(Table133[[#This Row],[T]])</f>
        <v>#DIV/0!</v>
      </c>
      <c r="AL441" t="e">
        <f ca="1">Table133[[#This Row],[Put D1]]-Table133[[#This Row],[IV Calc P]]*SQRT(Table133[[#This Row],[T]])</f>
        <v>#DIV/0!</v>
      </c>
      <c r="AM441" t="e">
        <f ca="1">EXP(-0.5*Table133[[#This Row],[Call D1]]^2)/SQRT(2*PI())</f>
        <v>#DIV/0!</v>
      </c>
      <c r="AN441" t="e">
        <f ca="1">EXP(-0.5*Table133[[#This Row],[Put D1]]^2)/SQRT(2*PI())</f>
        <v>#DIV/0!</v>
      </c>
      <c r="AO44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1">
        <f ca="1">((Table133[[#This Row],[call vanna]]+Table133[[#This Row],[put vanna]])*$A$4)</f>
        <v>0</v>
      </c>
      <c r="AR44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1" s="9" t="str" cm="1">
        <f t="array" ref="AT441">_xlfn.IFS(     $M$1="SPX","SPXW",     $M$1="RUT","RUTW",  $M$1="NDX","NDXP",   TRUE,$M$1 )</f>
        <v>SPXW</v>
      </c>
      <c r="AU441" s="2">
        <f t="shared" si="47"/>
        <v>6915</v>
      </c>
      <c r="AV441" t="str">
        <f t="shared" si="48"/>
        <v>000100</v>
      </c>
      <c r="AY44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1">
        <f>((Table133[[#This Row],[High C]]+Table133[[#This Row],[Low C]])/2)*Table133[[#This Row],[gammac]]*Table133[[#This Row],[Volume]]</f>
        <v>0</v>
      </c>
      <c r="BD441">
        <f>((Table133[[#This Row],[High P]]+Table133[[#This Row],[Low P]])/2)*Table133[[#This Row],[gammap]]*Table133[[#This Row],[Volume9]]*-1</f>
        <v>0</v>
      </c>
      <c r="BE441">
        <f>(Table133[[#This Row],[SgammaC]]+Table133[[#This Row],[SgammaP]])*$A$4*-100</f>
        <v>0</v>
      </c>
      <c r="BF441" s="78">
        <f>Table133[[#This Row],[DEXc]]+Table133[[#This Row],[DEXp]]</f>
        <v>0</v>
      </c>
      <c r="BG441">
        <f>IFERROR(Table133[[#This Row],[DeltaC]]*Table133[[#This Row],[Open.Int]]*$A$4,0)</f>
        <v>0</v>
      </c>
      <c r="BH441">
        <f>IFERROR(Table133[[#This Row],[DeltaP]]*Table133[[#This Row],[Open.Int8]]*$A$4,0)</f>
        <v>0</v>
      </c>
      <c r="BI44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1">
        <f ca="1">Table133[[#This Row],[charmc]]+Table133[[#This Row],[charmp]]</f>
        <v>0</v>
      </c>
      <c r="BL44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1" s="78">
        <f ca="1">Table133[[#This Row],[call helper]]+Table133[[#This Row],[put helper]]</f>
        <v>0</v>
      </c>
      <c r="BP441" t="str">
        <f>RTD("tos.rtd", , "STRIKE", "."&amp;Table133[[#This Row],[Ticker]]&amp;Table133[[#This Row],[Expiry]]&amp;""&amp;"C"&amp;Table133[[#This Row],[Spot]]+Table133[[#This Row],[step]])</f>
        <v>N/A</v>
      </c>
    </row>
    <row r="442" spans="1:68" x14ac:dyDescent="0.25">
      <c r="A442" s="14">
        <f t="shared" ca="1" si="44"/>
        <v>-126.14810350076104</v>
      </c>
      <c r="C442" s="17"/>
      <c r="D442" t="str">
        <f>RTD("tos.rtd", , "OPEN_INT", "."&amp;Table133[[#This Row],[Ticker]]&amp;Table133[[#This Row],[Expiry]]&amp;""&amp;"C"&amp;Table133[[#This Row],[Spot]]+Table133[[#This Row],[step]])</f>
        <v>N/A</v>
      </c>
      <c r="E44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2" t="b">
        <f>IF(     ISNUMBER(Table133[[#This Row],[Strike]]),RTD("tos.rtd", , "DELTA", "."&amp;Table133[[#This Row],[Ticker]]&amp;Table133[[#This Row],[Expiry]]&amp;""&amp;"C"&amp;Table133[[#This Row],[Strike]]))</f>
        <v>0</v>
      </c>
      <c r="H442" s="17" cm="1">
        <f t="array" aca="1" ref="H442" ca="1">IndividualLegIVCore($A$4, Table133[[#This Row],[Strike]], 0.0411, Table133[[#This Row],[T]], ((Table133[[#This Row],[BIDC]]+Table133[[#This Row],[ASKC]])/2), TRUE)</f>
        <v>0.01</v>
      </c>
      <c r="I442" t="b">
        <f>IF(     ISNUMBER(Table133[[#This Row],[Strike]]),RTD("tos.rtd", , "BID", "."&amp;Table133[[#This Row],[Ticker]]&amp;Table133[[#This Row],[Expiry]]&amp;""&amp;"C"&amp;Table133[[#This Row],[Strike]]))</f>
        <v>0</v>
      </c>
      <c r="J442" t="b">
        <f>IF(     ISNUMBER(Table133[[#This Row],[Strike]]),RTD("tos.rtd", , "ASK", "."&amp;Table133[[#This Row],[Ticker]]&amp;Table133[[#This Row],[Expiry]]&amp;""&amp;"C"&amp;Table133[[#This Row],[Strike]]))</f>
        <v>0</v>
      </c>
      <c r="K442" s="17"/>
      <c r="M442" s="1">
        <f t="shared" si="45"/>
        <v>0</v>
      </c>
      <c r="N442" t="b">
        <f t="shared" si="46"/>
        <v>0</v>
      </c>
      <c r="P442" s="17" cm="1">
        <f t="array" aca="1" ref="P442" ca="1">IndividualLegIVCore($A$4, Table133[[#This Row],[Strike]], 0.0411, Table133[[#This Row],[T]], ((Table133[[#This Row],[BIDP]]+Table133[[#This Row],[ASKP]])/2), FALSE)</f>
        <v>0.01</v>
      </c>
      <c r="Q442" t="b">
        <f>IF(     ISNUMBER(Table133[[#This Row],[Strike]]),RTD("tos.rtd", , "BID", "."&amp;Table133[[#This Row],[Ticker]]&amp;Table133[[#This Row],[Expiry]]&amp;""&amp;"P"&amp;Table133[[#This Row],[Strike]]))</f>
        <v>0</v>
      </c>
      <c r="R442" t="b">
        <f>IF(     ISNUMBER(Table133[[#This Row],[Strike]]),RTD("tos.rtd", , "ASK", "."&amp;Table133[[#This Row],[Ticker]]&amp;Table133[[#This Row],[Expiry]]&amp;""&amp;"P"&amp;Table133[[#This Row],[Strike]]))</f>
        <v>0</v>
      </c>
      <c r="S442" s="17"/>
      <c r="T442" t="b">
        <f>IF(     ISNUMBER(Table133[[#This Row],[Strike]]),RTD("tos.rtd", , "OPEN_INT", "."&amp;Table133[[#This Row],[Ticker]]&amp;Table133[[#This Row],[Expiry]]&amp;""&amp;"P"&amp;Table133[[#This Row],[Strike]]))</f>
        <v>0</v>
      </c>
      <c r="U44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2" t="b">
        <f>IF(     ISNUMBER(Table133[[#This Row],[Strike]]),RTD("tos.rtd", , "DELTA", "."&amp;Table133[[#This Row],[Ticker]]&amp;Table133[[#This Row],[Expiry]]&amp;""&amp;"P"&amp;Table133[[#This Row],[Strike]]))</f>
        <v>0</v>
      </c>
      <c r="Y442" s="19">
        <f xml:space="preserve"> -37 * IF($M$1="NDX", 10, IF(OR($M$1="SPX", $M$1="RUT"), 2, 1))</f>
        <v>-74</v>
      </c>
      <c r="Z442">
        <f ca="1">IFERROR(Table133[[#This Row],[call gamma]]*(Table133[[#This Row],[Open.Int]])*$A$4^2,0)</f>
        <v>0</v>
      </c>
      <c r="AA442">
        <f ca="1">IFERROR(((Table133[[#This Row],[Open.Int8]])*Table133[[#This Row],[Put gamma]])*-1*$A$4^2,0)</f>
        <v>0</v>
      </c>
      <c r="AB442">
        <f ca="1">(Table133[[#This Row],[Call Gex]]+Table133[[#This Row],[Put Gex]])</f>
        <v>0</v>
      </c>
      <c r="AC442">
        <f ca="1">Table133[[#This Row],[put delta adj]]+Table133[[#This Row],[call delta adj]]</f>
        <v>0</v>
      </c>
      <c r="AD442">
        <f ca="1">Table133[[#This Row],[Put Gex]]*Table133[[#This Row],[DeltaP]]*-1</f>
        <v>0</v>
      </c>
      <c r="AE442">
        <f ca="1">Table133[[#This Row],[Call Gex]]*Table133[[#This Row],[DeltaC]]</f>
        <v>0</v>
      </c>
      <c r="AF442">
        <f>IF(Table133[[#This Row],[DeltaC]]-ABS(Table133[[#This Row],[DeltaP]])="0","0.01",Table133[[#This Row],[DeltaC]]-ABS(Table133[[#This Row],[DeltaP]]))</f>
        <v>0</v>
      </c>
      <c r="AG442" t="e">
        <f ca="1">((LN($A$4/Table133[[#This Row],[Strike]]) + (0.411 + 0.5 * Table133[[#This Row],[IV Calc P]]^2) *Table133[[#This Row],[T]])) / (Table133[[#This Row],[IV Calc P]] * SQRT(Table133[[#This Row],[T]]))</f>
        <v>#DIV/0!</v>
      </c>
      <c r="AH442" t="e">
        <f ca="1">(LN($A$4/Table133[[#This Row],[Strike]]) + (0.411-0 + 0.5 * Table133[[#This Row],[IV Calc C]]^2) *Table133[[#This Row],[T]]) / (Table133[[#This Row],[IV Calc C]] * SQRT(Table133[[#This Row],[T]]))</f>
        <v>#DIV/0!</v>
      </c>
      <c r="AI442" t="e">
        <f ca="1">(EXP(-(AG442^2)/2)/SQRT(2*PI())*EXP(0*SQRT(Table133[[#This Row],[T]]))/$A$4*18%*SQRT(SQRT(Table133[[#This Row],[T]])))</f>
        <v>#DIV/0!</v>
      </c>
      <c r="AJ442" t="e">
        <f ca="1">(EXP(-(AH442^2)/2)/SQRT(2*PI())*EXP(0*SQRT(Table133[[#This Row],[T]]))/$A$4*18%*SQRT(SQRT(Table133[[#This Row],[T]])))</f>
        <v>#DIV/0!</v>
      </c>
      <c r="AK442" t="e">
        <f ca="1">Table133[[#This Row],[Call D1]]-Table133[[#This Row],[IV Calc C]]*SQRT(Table133[[#This Row],[T]])</f>
        <v>#DIV/0!</v>
      </c>
      <c r="AL442" t="e">
        <f ca="1">Table133[[#This Row],[Put D1]]-Table133[[#This Row],[IV Calc P]]*SQRT(Table133[[#This Row],[T]])</f>
        <v>#DIV/0!</v>
      </c>
      <c r="AM442" t="e">
        <f ca="1">EXP(-0.5*Table133[[#This Row],[Call D1]]^2)/SQRT(2*PI())</f>
        <v>#DIV/0!</v>
      </c>
      <c r="AN442" t="e">
        <f ca="1">EXP(-0.5*Table133[[#This Row],[Put D1]]^2)/SQRT(2*PI())</f>
        <v>#DIV/0!</v>
      </c>
      <c r="AO44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2">
        <f ca="1">((Table133[[#This Row],[call vanna]]+Table133[[#This Row],[put vanna]])*$A$4)</f>
        <v>0</v>
      </c>
      <c r="AR44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2" s="9" t="str" cm="1">
        <f t="array" ref="AT442">_xlfn.IFS(     $M$1="SPX","SPXW",     $M$1="RUT","RUTW",  $M$1="NDX","NDXP",   TRUE,$M$1 )</f>
        <v>SPXW</v>
      </c>
      <c r="AU442" s="2">
        <f t="shared" si="47"/>
        <v>6915</v>
      </c>
      <c r="AV442" t="str">
        <f t="shared" si="48"/>
        <v>000100</v>
      </c>
      <c r="AY44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2">
        <f>((Table133[[#This Row],[High C]]+Table133[[#This Row],[Low C]])/2)*Table133[[#This Row],[gammac]]*Table133[[#This Row],[Volume]]</f>
        <v>0</v>
      </c>
      <c r="BD442">
        <f>((Table133[[#This Row],[High P]]+Table133[[#This Row],[Low P]])/2)*Table133[[#This Row],[gammap]]*Table133[[#This Row],[Volume9]]*-1</f>
        <v>0</v>
      </c>
      <c r="BE442">
        <f>(Table133[[#This Row],[SgammaC]]+Table133[[#This Row],[SgammaP]])*$A$4*-100</f>
        <v>0</v>
      </c>
      <c r="BF442" s="78">
        <f>Table133[[#This Row],[DEXc]]+Table133[[#This Row],[DEXp]]</f>
        <v>0</v>
      </c>
      <c r="BG442">
        <f>IFERROR(Table133[[#This Row],[DeltaC]]*Table133[[#This Row],[Open.Int]]*$A$4,0)</f>
        <v>0</v>
      </c>
      <c r="BH442">
        <f>IFERROR(Table133[[#This Row],[DeltaP]]*Table133[[#This Row],[Open.Int8]]*$A$4,0)</f>
        <v>0</v>
      </c>
      <c r="BI44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2">
        <f ca="1">Table133[[#This Row],[charmc]]+Table133[[#This Row],[charmp]]</f>
        <v>0</v>
      </c>
      <c r="BL44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2" s="78">
        <f ca="1">Table133[[#This Row],[call helper]]+Table133[[#This Row],[put helper]]</f>
        <v>0</v>
      </c>
      <c r="BP442" t="str">
        <f>RTD("tos.rtd", , "STRIKE", "."&amp;Table133[[#This Row],[Ticker]]&amp;Table133[[#This Row],[Expiry]]&amp;""&amp;"C"&amp;Table133[[#This Row],[Spot]]+Table133[[#This Row],[step]])</f>
        <v>N/A</v>
      </c>
    </row>
    <row r="443" spans="1:68" x14ac:dyDescent="0.25">
      <c r="A443" s="14">
        <f t="shared" ca="1" si="44"/>
        <v>-126.14810350076104</v>
      </c>
      <c r="C443" s="17"/>
      <c r="D443" t="str">
        <f>RTD("tos.rtd", , "OPEN_INT", "."&amp;Table133[[#This Row],[Ticker]]&amp;Table133[[#This Row],[Expiry]]&amp;""&amp;"C"&amp;Table133[[#This Row],[Spot]]+Table133[[#This Row],[step]])</f>
        <v>N/A</v>
      </c>
      <c r="E44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3" t="b">
        <f>IF(     ISNUMBER(Table133[[#This Row],[Strike]]),RTD("tos.rtd", , "DELTA", "."&amp;Table133[[#This Row],[Ticker]]&amp;Table133[[#This Row],[Expiry]]&amp;""&amp;"C"&amp;Table133[[#This Row],[Strike]]))</f>
        <v>0</v>
      </c>
      <c r="H443" s="17" cm="1">
        <f t="array" aca="1" ref="H443" ca="1">IndividualLegIVCore($A$4, Table133[[#This Row],[Strike]], 0.0411, Table133[[#This Row],[T]], ((Table133[[#This Row],[BIDC]]+Table133[[#This Row],[ASKC]])/2), TRUE)</f>
        <v>0.01</v>
      </c>
      <c r="I443" t="b">
        <f>IF(     ISNUMBER(Table133[[#This Row],[Strike]]),RTD("tos.rtd", , "BID", "."&amp;Table133[[#This Row],[Ticker]]&amp;Table133[[#This Row],[Expiry]]&amp;""&amp;"C"&amp;Table133[[#This Row],[Strike]]))</f>
        <v>0</v>
      </c>
      <c r="J443" t="b">
        <f>IF(     ISNUMBER(Table133[[#This Row],[Strike]]),RTD("tos.rtd", , "ASK", "."&amp;Table133[[#This Row],[Ticker]]&amp;Table133[[#This Row],[Expiry]]&amp;""&amp;"C"&amp;Table133[[#This Row],[Strike]]))</f>
        <v>0</v>
      </c>
      <c r="K443" s="17"/>
      <c r="M443" s="1">
        <f t="shared" si="45"/>
        <v>0</v>
      </c>
      <c r="N443" t="b">
        <f t="shared" si="46"/>
        <v>0</v>
      </c>
      <c r="P443" s="17" cm="1">
        <f t="array" aca="1" ref="P443" ca="1">IndividualLegIVCore($A$4, Table133[[#This Row],[Strike]], 0.0411, Table133[[#This Row],[T]], ((Table133[[#This Row],[BIDP]]+Table133[[#This Row],[ASKP]])/2), FALSE)</f>
        <v>0.01</v>
      </c>
      <c r="Q443" t="b">
        <f>IF(     ISNUMBER(Table133[[#This Row],[Strike]]),RTD("tos.rtd", , "BID", "."&amp;Table133[[#This Row],[Ticker]]&amp;Table133[[#This Row],[Expiry]]&amp;""&amp;"P"&amp;Table133[[#This Row],[Strike]]))</f>
        <v>0</v>
      </c>
      <c r="R443" t="b">
        <f>IF(     ISNUMBER(Table133[[#This Row],[Strike]]),RTD("tos.rtd", , "ASK", "."&amp;Table133[[#This Row],[Ticker]]&amp;Table133[[#This Row],[Expiry]]&amp;""&amp;"P"&amp;Table133[[#This Row],[Strike]]))</f>
        <v>0</v>
      </c>
      <c r="S443" s="17"/>
      <c r="T443" t="b">
        <f>IF(     ISNUMBER(Table133[[#This Row],[Strike]]),RTD("tos.rtd", , "OPEN_INT", "."&amp;Table133[[#This Row],[Ticker]]&amp;Table133[[#This Row],[Expiry]]&amp;""&amp;"P"&amp;Table133[[#This Row],[Strike]]))</f>
        <v>0</v>
      </c>
      <c r="U44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3" t="b">
        <f>IF(     ISNUMBER(Table133[[#This Row],[Strike]]),RTD("tos.rtd", , "DELTA", "."&amp;Table133[[#This Row],[Ticker]]&amp;Table133[[#This Row],[Expiry]]&amp;""&amp;"P"&amp;Table133[[#This Row],[Strike]]))</f>
        <v>0</v>
      </c>
      <c r="Y443" s="19">
        <f>-36.5 * IF($M$1="NDX", 10, IF(OR($M$1="SPX", $M$1="RUT"), 2, 1))</f>
        <v>-73</v>
      </c>
      <c r="Z443">
        <f ca="1">IFERROR(Table133[[#This Row],[call gamma]]*(Table133[[#This Row],[Open.Int]])*$A$4^2,0)</f>
        <v>0</v>
      </c>
      <c r="AA443">
        <f ca="1">IFERROR(((Table133[[#This Row],[Open.Int8]])*Table133[[#This Row],[Put gamma]])*-1*$A$4^2,0)</f>
        <v>0</v>
      </c>
      <c r="AB443">
        <f ca="1">(Table133[[#This Row],[Call Gex]]+Table133[[#This Row],[Put Gex]])</f>
        <v>0</v>
      </c>
      <c r="AC443">
        <f ca="1">Table133[[#This Row],[put delta adj]]+Table133[[#This Row],[call delta adj]]</f>
        <v>0</v>
      </c>
      <c r="AD443">
        <f ca="1">Table133[[#This Row],[Put Gex]]*Table133[[#This Row],[DeltaP]]*-1</f>
        <v>0</v>
      </c>
      <c r="AE443">
        <f ca="1">Table133[[#This Row],[Call Gex]]*Table133[[#This Row],[DeltaC]]</f>
        <v>0</v>
      </c>
      <c r="AF443">
        <f>IF(Table133[[#This Row],[DeltaC]]-ABS(Table133[[#This Row],[DeltaP]])="0","0.01",Table133[[#This Row],[DeltaC]]-ABS(Table133[[#This Row],[DeltaP]]))</f>
        <v>0</v>
      </c>
      <c r="AG443" t="e">
        <f ca="1">((LN($A$4/Table133[[#This Row],[Strike]]) + (0.411 + 0.5 * Table133[[#This Row],[IV Calc P]]^2) *Table133[[#This Row],[T]])) / (Table133[[#This Row],[IV Calc P]] * SQRT(Table133[[#This Row],[T]]))</f>
        <v>#DIV/0!</v>
      </c>
      <c r="AH443" t="e">
        <f ca="1">(LN($A$4/Table133[[#This Row],[Strike]]) + (0.411-0 + 0.5 * Table133[[#This Row],[IV Calc C]]^2) *Table133[[#This Row],[T]]) / (Table133[[#This Row],[IV Calc C]] * SQRT(Table133[[#This Row],[T]]))</f>
        <v>#DIV/0!</v>
      </c>
      <c r="AI443" t="e">
        <f ca="1">(EXP(-(AG443^2)/2)/SQRT(2*PI())*EXP(0*SQRT(Table133[[#This Row],[T]]))/$A$4*18%*SQRT(SQRT(Table133[[#This Row],[T]])))</f>
        <v>#DIV/0!</v>
      </c>
      <c r="AJ443" t="e">
        <f ca="1">(EXP(-(AH443^2)/2)/SQRT(2*PI())*EXP(0*SQRT(Table133[[#This Row],[T]]))/$A$4*18%*SQRT(SQRT(Table133[[#This Row],[T]])))</f>
        <v>#DIV/0!</v>
      </c>
      <c r="AK443" t="e">
        <f ca="1">Table133[[#This Row],[Call D1]]-Table133[[#This Row],[IV Calc C]]*SQRT(Table133[[#This Row],[T]])</f>
        <v>#DIV/0!</v>
      </c>
      <c r="AL443" t="e">
        <f ca="1">Table133[[#This Row],[Put D1]]-Table133[[#This Row],[IV Calc P]]*SQRT(Table133[[#This Row],[T]])</f>
        <v>#DIV/0!</v>
      </c>
      <c r="AM443" t="e">
        <f ca="1">EXP(-0.5*Table133[[#This Row],[Call D1]]^2)/SQRT(2*PI())</f>
        <v>#DIV/0!</v>
      </c>
      <c r="AN443" t="e">
        <f ca="1">EXP(-0.5*Table133[[#This Row],[Put D1]]^2)/SQRT(2*PI())</f>
        <v>#DIV/0!</v>
      </c>
      <c r="AO44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3">
        <f ca="1">((Table133[[#This Row],[call vanna]]+Table133[[#This Row],[put vanna]])*$A$4)</f>
        <v>0</v>
      </c>
      <c r="AR44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3" s="9" t="str" cm="1">
        <f t="array" ref="AT443">_xlfn.IFS(     $M$1="SPX","SPXW",     $M$1="RUT","RUTW",  $M$1="NDX","NDXP",   TRUE,$M$1 )</f>
        <v>SPXW</v>
      </c>
      <c r="AU443" s="2">
        <f t="shared" si="47"/>
        <v>6915</v>
      </c>
      <c r="AV443" t="str">
        <f t="shared" si="48"/>
        <v>000100</v>
      </c>
      <c r="AY44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3">
        <f>((Table133[[#This Row],[High C]]+Table133[[#This Row],[Low C]])/2)*Table133[[#This Row],[gammac]]*Table133[[#This Row],[Volume]]</f>
        <v>0</v>
      </c>
      <c r="BD443">
        <f>((Table133[[#This Row],[High P]]+Table133[[#This Row],[Low P]])/2)*Table133[[#This Row],[gammap]]*Table133[[#This Row],[Volume9]]*-1</f>
        <v>0</v>
      </c>
      <c r="BE443">
        <f>(Table133[[#This Row],[SgammaC]]+Table133[[#This Row],[SgammaP]])*$A$4*-100</f>
        <v>0</v>
      </c>
      <c r="BF443" s="78">
        <f>Table133[[#This Row],[DEXc]]+Table133[[#This Row],[DEXp]]</f>
        <v>0</v>
      </c>
      <c r="BG443">
        <f>IFERROR(Table133[[#This Row],[DeltaC]]*Table133[[#This Row],[Open.Int]]*$A$4,0)</f>
        <v>0</v>
      </c>
      <c r="BH443">
        <f>IFERROR(Table133[[#This Row],[DeltaP]]*Table133[[#This Row],[Open.Int8]]*$A$4,0)</f>
        <v>0</v>
      </c>
      <c r="BI44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3">
        <f ca="1">Table133[[#This Row],[charmc]]+Table133[[#This Row],[charmp]]</f>
        <v>0</v>
      </c>
      <c r="BL44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3" s="78">
        <f ca="1">Table133[[#This Row],[call helper]]+Table133[[#This Row],[put helper]]</f>
        <v>0</v>
      </c>
      <c r="BP443" t="str">
        <f>RTD("tos.rtd", , "STRIKE", "."&amp;Table133[[#This Row],[Ticker]]&amp;Table133[[#This Row],[Expiry]]&amp;""&amp;"C"&amp;Table133[[#This Row],[Spot]]+Table133[[#This Row],[step]])</f>
        <v>N/A</v>
      </c>
    </row>
    <row r="444" spans="1:68" x14ac:dyDescent="0.25">
      <c r="A444" s="14">
        <f t="shared" ca="1" si="44"/>
        <v>-126.14810350076104</v>
      </c>
      <c r="C444" s="17"/>
      <c r="D444" t="str">
        <f>RTD("tos.rtd", , "OPEN_INT", "."&amp;Table133[[#This Row],[Ticker]]&amp;Table133[[#This Row],[Expiry]]&amp;""&amp;"C"&amp;Table133[[#This Row],[Spot]]+Table133[[#This Row],[step]])</f>
        <v>N/A</v>
      </c>
      <c r="E44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4" t="b">
        <f>IF(     ISNUMBER(Table133[[#This Row],[Strike]]),RTD("tos.rtd", , "DELTA", "."&amp;Table133[[#This Row],[Ticker]]&amp;Table133[[#This Row],[Expiry]]&amp;""&amp;"C"&amp;Table133[[#This Row],[Strike]]))</f>
        <v>0</v>
      </c>
      <c r="H444" s="17" cm="1">
        <f t="array" aca="1" ref="H444" ca="1">IndividualLegIVCore($A$4, Table133[[#This Row],[Strike]], 0.0411, Table133[[#This Row],[T]], ((Table133[[#This Row],[BIDC]]+Table133[[#This Row],[ASKC]])/2), TRUE)</f>
        <v>0.01</v>
      </c>
      <c r="I444" t="b">
        <f>IF(     ISNUMBER(Table133[[#This Row],[Strike]]),RTD("tos.rtd", , "BID", "."&amp;Table133[[#This Row],[Ticker]]&amp;Table133[[#This Row],[Expiry]]&amp;""&amp;"C"&amp;Table133[[#This Row],[Strike]]))</f>
        <v>0</v>
      </c>
      <c r="J444" t="b">
        <f>IF(     ISNUMBER(Table133[[#This Row],[Strike]]),RTD("tos.rtd", , "ASK", "."&amp;Table133[[#This Row],[Ticker]]&amp;Table133[[#This Row],[Expiry]]&amp;""&amp;"C"&amp;Table133[[#This Row],[Strike]]))</f>
        <v>0</v>
      </c>
      <c r="K444" s="17"/>
      <c r="M444" s="1">
        <f t="shared" si="45"/>
        <v>0</v>
      </c>
      <c r="N444" t="b">
        <f t="shared" si="46"/>
        <v>0</v>
      </c>
      <c r="P444" s="17" cm="1">
        <f t="array" aca="1" ref="P444" ca="1">IndividualLegIVCore($A$4, Table133[[#This Row],[Strike]], 0.0411, Table133[[#This Row],[T]], ((Table133[[#This Row],[BIDP]]+Table133[[#This Row],[ASKP]])/2), FALSE)</f>
        <v>0.01</v>
      </c>
      <c r="Q444" t="b">
        <f>IF(     ISNUMBER(Table133[[#This Row],[Strike]]),RTD("tos.rtd", , "BID", "."&amp;Table133[[#This Row],[Ticker]]&amp;Table133[[#This Row],[Expiry]]&amp;""&amp;"P"&amp;Table133[[#This Row],[Strike]]))</f>
        <v>0</v>
      </c>
      <c r="R444" t="b">
        <f>IF(     ISNUMBER(Table133[[#This Row],[Strike]]),RTD("tos.rtd", , "ASK", "."&amp;Table133[[#This Row],[Ticker]]&amp;Table133[[#This Row],[Expiry]]&amp;""&amp;"P"&amp;Table133[[#This Row],[Strike]]))</f>
        <v>0</v>
      </c>
      <c r="S444" s="17"/>
      <c r="T444" t="b">
        <f>IF(     ISNUMBER(Table133[[#This Row],[Strike]]),RTD("tos.rtd", , "OPEN_INT", "."&amp;Table133[[#This Row],[Ticker]]&amp;Table133[[#This Row],[Expiry]]&amp;""&amp;"P"&amp;Table133[[#This Row],[Strike]]))</f>
        <v>0</v>
      </c>
      <c r="U44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4" t="b">
        <f>IF(     ISNUMBER(Table133[[#This Row],[Strike]]),RTD("tos.rtd", , "DELTA", "."&amp;Table133[[#This Row],[Ticker]]&amp;Table133[[#This Row],[Expiry]]&amp;""&amp;"P"&amp;Table133[[#This Row],[Strike]]))</f>
        <v>0</v>
      </c>
      <c r="Y444" s="19">
        <f>-36 * IF($M$1="NDX", 10, IF(OR($M$1="SPX", $M$1="RUT"), 2, 1))</f>
        <v>-72</v>
      </c>
      <c r="Z444">
        <f ca="1">IFERROR(Table133[[#This Row],[call gamma]]*(Table133[[#This Row],[Open.Int]])*$A$4^2,0)</f>
        <v>0</v>
      </c>
      <c r="AA444">
        <f ca="1">IFERROR(((Table133[[#This Row],[Open.Int8]])*Table133[[#This Row],[Put gamma]])*-1*$A$4^2,0)</f>
        <v>0</v>
      </c>
      <c r="AB444">
        <f ca="1">(Table133[[#This Row],[Call Gex]]+Table133[[#This Row],[Put Gex]])</f>
        <v>0</v>
      </c>
      <c r="AC444">
        <f ca="1">Table133[[#This Row],[put delta adj]]+Table133[[#This Row],[call delta adj]]</f>
        <v>0</v>
      </c>
      <c r="AD444">
        <f ca="1">Table133[[#This Row],[Put Gex]]*Table133[[#This Row],[DeltaP]]*-1</f>
        <v>0</v>
      </c>
      <c r="AE444">
        <f ca="1">Table133[[#This Row],[Call Gex]]*Table133[[#This Row],[DeltaC]]</f>
        <v>0</v>
      </c>
      <c r="AF444">
        <f>IF(Table133[[#This Row],[DeltaC]]-ABS(Table133[[#This Row],[DeltaP]])="0","0.01",Table133[[#This Row],[DeltaC]]-ABS(Table133[[#This Row],[DeltaP]]))</f>
        <v>0</v>
      </c>
      <c r="AG444" t="e">
        <f ca="1">((LN($A$4/Table133[[#This Row],[Strike]]) + (0.411 + 0.5 * Table133[[#This Row],[IV Calc P]]^2) *Table133[[#This Row],[T]])) / (Table133[[#This Row],[IV Calc P]] * SQRT(Table133[[#This Row],[T]]))</f>
        <v>#DIV/0!</v>
      </c>
      <c r="AH444" t="e">
        <f ca="1">(LN($A$4/Table133[[#This Row],[Strike]]) + (0.411-0 + 0.5 * Table133[[#This Row],[IV Calc C]]^2) *Table133[[#This Row],[T]]) / (Table133[[#This Row],[IV Calc C]] * SQRT(Table133[[#This Row],[T]]))</f>
        <v>#DIV/0!</v>
      </c>
      <c r="AI444" t="e">
        <f ca="1">(EXP(-(AG444^2)/2)/SQRT(2*PI())*EXP(0*SQRT(Table133[[#This Row],[T]]))/$A$4*18%*SQRT(SQRT(Table133[[#This Row],[T]])))</f>
        <v>#DIV/0!</v>
      </c>
      <c r="AJ444" t="e">
        <f ca="1">(EXP(-(AH444^2)/2)/SQRT(2*PI())*EXP(0*SQRT(Table133[[#This Row],[T]]))/$A$4*18%*SQRT(SQRT(Table133[[#This Row],[T]])))</f>
        <v>#DIV/0!</v>
      </c>
      <c r="AK444" t="e">
        <f ca="1">Table133[[#This Row],[Call D1]]-Table133[[#This Row],[IV Calc C]]*SQRT(Table133[[#This Row],[T]])</f>
        <v>#DIV/0!</v>
      </c>
      <c r="AL444" t="e">
        <f ca="1">Table133[[#This Row],[Put D1]]-Table133[[#This Row],[IV Calc P]]*SQRT(Table133[[#This Row],[T]])</f>
        <v>#DIV/0!</v>
      </c>
      <c r="AM444" t="e">
        <f ca="1">EXP(-0.5*Table133[[#This Row],[Call D1]]^2)/SQRT(2*PI())</f>
        <v>#DIV/0!</v>
      </c>
      <c r="AN444" t="e">
        <f ca="1">EXP(-0.5*Table133[[#This Row],[Put D1]]^2)/SQRT(2*PI())</f>
        <v>#DIV/0!</v>
      </c>
      <c r="AO44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4">
        <f ca="1">((Table133[[#This Row],[call vanna]]+Table133[[#This Row],[put vanna]])*$A$4)</f>
        <v>0</v>
      </c>
      <c r="AR44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4" s="9" t="str" cm="1">
        <f t="array" ref="AT444">_xlfn.IFS(     $M$1="SPX","SPXW",     $M$1="RUT","RUTW",  $M$1="NDX","NDXP",   TRUE,$M$1 )</f>
        <v>SPXW</v>
      </c>
      <c r="AU444" s="2">
        <f t="shared" si="47"/>
        <v>6915</v>
      </c>
      <c r="AV444" t="str">
        <f t="shared" si="48"/>
        <v>000100</v>
      </c>
      <c r="AY44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4">
        <f>((Table133[[#This Row],[High C]]+Table133[[#This Row],[Low C]])/2)*Table133[[#This Row],[gammac]]*Table133[[#This Row],[Volume]]</f>
        <v>0</v>
      </c>
      <c r="BD444">
        <f>((Table133[[#This Row],[High P]]+Table133[[#This Row],[Low P]])/2)*Table133[[#This Row],[gammap]]*Table133[[#This Row],[Volume9]]*-1</f>
        <v>0</v>
      </c>
      <c r="BE444">
        <f>(Table133[[#This Row],[SgammaC]]+Table133[[#This Row],[SgammaP]])*$A$4*-100</f>
        <v>0</v>
      </c>
      <c r="BF444" s="78">
        <f>Table133[[#This Row],[DEXc]]+Table133[[#This Row],[DEXp]]</f>
        <v>0</v>
      </c>
      <c r="BG444">
        <f>IFERROR(Table133[[#This Row],[DeltaC]]*Table133[[#This Row],[Open.Int]]*$A$4,0)</f>
        <v>0</v>
      </c>
      <c r="BH444">
        <f>IFERROR(Table133[[#This Row],[DeltaP]]*Table133[[#This Row],[Open.Int8]]*$A$4,0)</f>
        <v>0</v>
      </c>
      <c r="BI44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4">
        <f ca="1">Table133[[#This Row],[charmc]]+Table133[[#This Row],[charmp]]</f>
        <v>0</v>
      </c>
      <c r="BL44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4" s="78">
        <f ca="1">Table133[[#This Row],[call helper]]+Table133[[#This Row],[put helper]]</f>
        <v>0</v>
      </c>
      <c r="BP444" t="str">
        <f>RTD("tos.rtd", , "STRIKE", "."&amp;Table133[[#This Row],[Ticker]]&amp;Table133[[#This Row],[Expiry]]&amp;""&amp;"C"&amp;Table133[[#This Row],[Spot]]+Table133[[#This Row],[step]])</f>
        <v>N/A</v>
      </c>
    </row>
    <row r="445" spans="1:68" x14ac:dyDescent="0.25">
      <c r="A445" s="14">
        <f t="shared" ca="1" si="44"/>
        <v>-126.14810350076104</v>
      </c>
      <c r="C445" s="17"/>
      <c r="D445" t="str">
        <f>RTD("tos.rtd", , "OPEN_INT", "."&amp;Table133[[#This Row],[Ticker]]&amp;Table133[[#This Row],[Expiry]]&amp;""&amp;"C"&amp;Table133[[#This Row],[Spot]]+Table133[[#This Row],[step]])</f>
        <v>N/A</v>
      </c>
      <c r="E44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5" t="b">
        <f>IF(     ISNUMBER(Table133[[#This Row],[Strike]]),RTD("tos.rtd", , "DELTA", "."&amp;Table133[[#This Row],[Ticker]]&amp;Table133[[#This Row],[Expiry]]&amp;""&amp;"C"&amp;Table133[[#This Row],[Strike]]))</f>
        <v>0</v>
      </c>
      <c r="H445" s="17" cm="1">
        <f t="array" aca="1" ref="H445" ca="1">IndividualLegIVCore($A$4, Table133[[#This Row],[Strike]], 0.0411, Table133[[#This Row],[T]], ((Table133[[#This Row],[BIDC]]+Table133[[#This Row],[ASKC]])/2), TRUE)</f>
        <v>0.01</v>
      </c>
      <c r="I445" t="b">
        <f>IF(     ISNUMBER(Table133[[#This Row],[Strike]]),RTD("tos.rtd", , "BID", "."&amp;Table133[[#This Row],[Ticker]]&amp;Table133[[#This Row],[Expiry]]&amp;""&amp;"C"&amp;Table133[[#This Row],[Strike]]))</f>
        <v>0</v>
      </c>
      <c r="J445" t="b">
        <f>IF(     ISNUMBER(Table133[[#This Row],[Strike]]),RTD("tos.rtd", , "ASK", "."&amp;Table133[[#This Row],[Ticker]]&amp;Table133[[#This Row],[Expiry]]&amp;""&amp;"C"&amp;Table133[[#This Row],[Strike]]))</f>
        <v>0</v>
      </c>
      <c r="K445" s="17"/>
      <c r="M445" s="1">
        <f t="shared" si="45"/>
        <v>0</v>
      </c>
      <c r="N445" t="b">
        <f t="shared" si="46"/>
        <v>0</v>
      </c>
      <c r="P445" s="17" cm="1">
        <f t="array" aca="1" ref="P445" ca="1">IndividualLegIVCore($A$4, Table133[[#This Row],[Strike]], 0.0411, Table133[[#This Row],[T]], ((Table133[[#This Row],[BIDP]]+Table133[[#This Row],[ASKP]])/2), FALSE)</f>
        <v>0.01</v>
      </c>
      <c r="Q445" t="b">
        <f>IF(     ISNUMBER(Table133[[#This Row],[Strike]]),RTD("tos.rtd", , "BID", "."&amp;Table133[[#This Row],[Ticker]]&amp;Table133[[#This Row],[Expiry]]&amp;""&amp;"P"&amp;Table133[[#This Row],[Strike]]))</f>
        <v>0</v>
      </c>
      <c r="R445" t="b">
        <f>IF(     ISNUMBER(Table133[[#This Row],[Strike]]),RTD("tos.rtd", , "ASK", "."&amp;Table133[[#This Row],[Ticker]]&amp;Table133[[#This Row],[Expiry]]&amp;""&amp;"P"&amp;Table133[[#This Row],[Strike]]))</f>
        <v>0</v>
      </c>
      <c r="S445" s="17"/>
      <c r="T445" t="b">
        <f>IF(     ISNUMBER(Table133[[#This Row],[Strike]]),RTD("tos.rtd", , "OPEN_INT", "."&amp;Table133[[#This Row],[Ticker]]&amp;Table133[[#This Row],[Expiry]]&amp;""&amp;"P"&amp;Table133[[#This Row],[Strike]]))</f>
        <v>0</v>
      </c>
      <c r="U44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5" t="b">
        <f>IF(     ISNUMBER(Table133[[#This Row],[Strike]]),RTD("tos.rtd", , "DELTA", "."&amp;Table133[[#This Row],[Ticker]]&amp;Table133[[#This Row],[Expiry]]&amp;""&amp;"P"&amp;Table133[[#This Row],[Strike]]))</f>
        <v>0</v>
      </c>
      <c r="Y445" s="19">
        <f>-35.5 * IF($M$1="NDX", 10, IF(OR($M$1="SPX", $M$1="RUT"), 2, 1))</f>
        <v>-71</v>
      </c>
      <c r="Z445">
        <f ca="1">IFERROR(Table133[[#This Row],[call gamma]]*(Table133[[#This Row],[Open.Int]])*$A$4^2,0)</f>
        <v>0</v>
      </c>
      <c r="AA445">
        <f ca="1">IFERROR(((Table133[[#This Row],[Open.Int8]])*Table133[[#This Row],[Put gamma]])*-1*$A$4^2,0)</f>
        <v>0</v>
      </c>
      <c r="AB445">
        <f ca="1">(Table133[[#This Row],[Call Gex]]+Table133[[#This Row],[Put Gex]])</f>
        <v>0</v>
      </c>
      <c r="AC445">
        <f ca="1">Table133[[#This Row],[put delta adj]]+Table133[[#This Row],[call delta adj]]</f>
        <v>0</v>
      </c>
      <c r="AD445">
        <f ca="1">Table133[[#This Row],[Put Gex]]*Table133[[#This Row],[DeltaP]]*-1</f>
        <v>0</v>
      </c>
      <c r="AE445">
        <f ca="1">Table133[[#This Row],[Call Gex]]*Table133[[#This Row],[DeltaC]]</f>
        <v>0</v>
      </c>
      <c r="AF445">
        <f>IF(Table133[[#This Row],[DeltaC]]-ABS(Table133[[#This Row],[DeltaP]])="0","0.01",Table133[[#This Row],[DeltaC]]-ABS(Table133[[#This Row],[DeltaP]]))</f>
        <v>0</v>
      </c>
      <c r="AG445" t="e">
        <f ca="1">((LN($A$4/Table133[[#This Row],[Strike]]) + (0.411 + 0.5 * Table133[[#This Row],[IV Calc P]]^2) *Table133[[#This Row],[T]])) / (Table133[[#This Row],[IV Calc P]] * SQRT(Table133[[#This Row],[T]]))</f>
        <v>#DIV/0!</v>
      </c>
      <c r="AH445" t="e">
        <f ca="1">(LN($A$4/Table133[[#This Row],[Strike]]) + (0.411-0 + 0.5 * Table133[[#This Row],[IV Calc C]]^2) *Table133[[#This Row],[T]]) / (Table133[[#This Row],[IV Calc C]] * SQRT(Table133[[#This Row],[T]]))</f>
        <v>#DIV/0!</v>
      </c>
      <c r="AI445" t="e">
        <f ca="1">(EXP(-(AG445^2)/2)/SQRT(2*PI())*EXP(0*SQRT(Table133[[#This Row],[T]]))/$A$4*18%*SQRT(SQRT(Table133[[#This Row],[T]])))</f>
        <v>#DIV/0!</v>
      </c>
      <c r="AJ445" t="e">
        <f ca="1">(EXP(-(AH445^2)/2)/SQRT(2*PI())*EXP(0*SQRT(Table133[[#This Row],[T]]))/$A$4*18%*SQRT(SQRT(Table133[[#This Row],[T]])))</f>
        <v>#DIV/0!</v>
      </c>
      <c r="AK445" t="e">
        <f ca="1">Table133[[#This Row],[Call D1]]-Table133[[#This Row],[IV Calc C]]*SQRT(Table133[[#This Row],[T]])</f>
        <v>#DIV/0!</v>
      </c>
      <c r="AL445" t="e">
        <f ca="1">Table133[[#This Row],[Put D1]]-Table133[[#This Row],[IV Calc P]]*SQRT(Table133[[#This Row],[T]])</f>
        <v>#DIV/0!</v>
      </c>
      <c r="AM445" t="e">
        <f ca="1">EXP(-0.5*Table133[[#This Row],[Call D1]]^2)/SQRT(2*PI())</f>
        <v>#DIV/0!</v>
      </c>
      <c r="AN445" t="e">
        <f ca="1">EXP(-0.5*Table133[[#This Row],[Put D1]]^2)/SQRT(2*PI())</f>
        <v>#DIV/0!</v>
      </c>
      <c r="AO44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5">
        <f ca="1">((Table133[[#This Row],[call vanna]]+Table133[[#This Row],[put vanna]])*$A$4)</f>
        <v>0</v>
      </c>
      <c r="AR44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5" s="9" t="str" cm="1">
        <f t="array" ref="AT445">_xlfn.IFS(     $M$1="SPX","SPXW",     $M$1="RUT","RUTW",  $M$1="NDX","NDXP",   TRUE,$M$1 )</f>
        <v>SPXW</v>
      </c>
      <c r="AU445" s="2">
        <f t="shared" si="47"/>
        <v>6915</v>
      </c>
      <c r="AV445" t="str">
        <f t="shared" si="48"/>
        <v>000100</v>
      </c>
      <c r="AY44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5">
        <f>((Table133[[#This Row],[High C]]+Table133[[#This Row],[Low C]])/2)*Table133[[#This Row],[gammac]]*Table133[[#This Row],[Volume]]</f>
        <v>0</v>
      </c>
      <c r="BD445">
        <f>((Table133[[#This Row],[High P]]+Table133[[#This Row],[Low P]])/2)*Table133[[#This Row],[gammap]]*Table133[[#This Row],[Volume9]]*-1</f>
        <v>0</v>
      </c>
      <c r="BE445">
        <f>(Table133[[#This Row],[SgammaC]]+Table133[[#This Row],[SgammaP]])*$A$4*-100</f>
        <v>0</v>
      </c>
      <c r="BF445" s="78">
        <f>Table133[[#This Row],[DEXc]]+Table133[[#This Row],[DEXp]]</f>
        <v>0</v>
      </c>
      <c r="BG445">
        <f>IFERROR(Table133[[#This Row],[DeltaC]]*Table133[[#This Row],[Open.Int]]*$A$4,0)</f>
        <v>0</v>
      </c>
      <c r="BH445">
        <f>IFERROR(Table133[[#This Row],[DeltaP]]*Table133[[#This Row],[Open.Int8]]*$A$4,0)</f>
        <v>0</v>
      </c>
      <c r="BI44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5">
        <f ca="1">Table133[[#This Row],[charmc]]+Table133[[#This Row],[charmp]]</f>
        <v>0</v>
      </c>
      <c r="BL44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5" s="78">
        <f ca="1">Table133[[#This Row],[call helper]]+Table133[[#This Row],[put helper]]</f>
        <v>0</v>
      </c>
      <c r="BP445" t="str">
        <f>RTD("tos.rtd", , "STRIKE", "."&amp;Table133[[#This Row],[Ticker]]&amp;Table133[[#This Row],[Expiry]]&amp;""&amp;"C"&amp;Table133[[#This Row],[Spot]]+Table133[[#This Row],[step]])</f>
        <v>N/A</v>
      </c>
    </row>
    <row r="446" spans="1:68" x14ac:dyDescent="0.25">
      <c r="A446" s="14">
        <f t="shared" ca="1" si="44"/>
        <v>-126.14810350076104</v>
      </c>
      <c r="C446" s="17"/>
      <c r="D446" t="str">
        <f>RTD("tos.rtd", , "OPEN_INT", "."&amp;Table133[[#This Row],[Ticker]]&amp;Table133[[#This Row],[Expiry]]&amp;""&amp;"C"&amp;Table133[[#This Row],[Spot]]+Table133[[#This Row],[step]])</f>
        <v>N/A</v>
      </c>
      <c r="E44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6" t="b">
        <f>IF(     ISNUMBER(Table133[[#This Row],[Strike]]),RTD("tos.rtd", , "DELTA", "."&amp;Table133[[#This Row],[Ticker]]&amp;Table133[[#This Row],[Expiry]]&amp;""&amp;"C"&amp;Table133[[#This Row],[Strike]]))</f>
        <v>0</v>
      </c>
      <c r="H446" s="17" cm="1">
        <f t="array" aca="1" ref="H446" ca="1">IndividualLegIVCore($A$4, Table133[[#This Row],[Strike]], 0.0411, Table133[[#This Row],[T]], ((Table133[[#This Row],[BIDC]]+Table133[[#This Row],[ASKC]])/2), TRUE)</f>
        <v>0.01</v>
      </c>
      <c r="I446" t="b">
        <f>IF(     ISNUMBER(Table133[[#This Row],[Strike]]),RTD("tos.rtd", , "BID", "."&amp;Table133[[#This Row],[Ticker]]&amp;Table133[[#This Row],[Expiry]]&amp;""&amp;"C"&amp;Table133[[#This Row],[Strike]]))</f>
        <v>0</v>
      </c>
      <c r="J446" t="b">
        <f>IF(     ISNUMBER(Table133[[#This Row],[Strike]]),RTD("tos.rtd", , "ASK", "."&amp;Table133[[#This Row],[Ticker]]&amp;Table133[[#This Row],[Expiry]]&amp;""&amp;"C"&amp;Table133[[#This Row],[Strike]]))</f>
        <v>0</v>
      </c>
      <c r="K446" s="17"/>
      <c r="M446" s="1">
        <f t="shared" si="45"/>
        <v>0</v>
      </c>
      <c r="N446" t="b">
        <f t="shared" si="46"/>
        <v>0</v>
      </c>
      <c r="P446" s="17" cm="1">
        <f t="array" aca="1" ref="P446" ca="1">IndividualLegIVCore($A$4, Table133[[#This Row],[Strike]], 0.0411, Table133[[#This Row],[T]], ((Table133[[#This Row],[BIDP]]+Table133[[#This Row],[ASKP]])/2), FALSE)</f>
        <v>0.01</v>
      </c>
      <c r="Q446" t="b">
        <f>IF(     ISNUMBER(Table133[[#This Row],[Strike]]),RTD("tos.rtd", , "BID", "."&amp;Table133[[#This Row],[Ticker]]&amp;Table133[[#This Row],[Expiry]]&amp;""&amp;"P"&amp;Table133[[#This Row],[Strike]]))</f>
        <v>0</v>
      </c>
      <c r="R446" t="b">
        <f>IF(     ISNUMBER(Table133[[#This Row],[Strike]]),RTD("tos.rtd", , "ASK", "."&amp;Table133[[#This Row],[Ticker]]&amp;Table133[[#This Row],[Expiry]]&amp;""&amp;"P"&amp;Table133[[#This Row],[Strike]]))</f>
        <v>0</v>
      </c>
      <c r="S446" s="17"/>
      <c r="T446" t="b">
        <f>IF(     ISNUMBER(Table133[[#This Row],[Strike]]),RTD("tos.rtd", , "OPEN_INT", "."&amp;Table133[[#This Row],[Ticker]]&amp;Table133[[#This Row],[Expiry]]&amp;""&amp;"P"&amp;Table133[[#This Row],[Strike]]))</f>
        <v>0</v>
      </c>
      <c r="U44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6" t="b">
        <f>IF(     ISNUMBER(Table133[[#This Row],[Strike]]),RTD("tos.rtd", , "DELTA", "."&amp;Table133[[#This Row],[Ticker]]&amp;Table133[[#This Row],[Expiry]]&amp;""&amp;"P"&amp;Table133[[#This Row],[Strike]]))</f>
        <v>0</v>
      </c>
      <c r="Y446" s="19">
        <f>-35 * IF($M$1="NDX", 10, IF(OR($M$1="SPX", $M$1="RUT"), 2, 1))</f>
        <v>-70</v>
      </c>
      <c r="Z446">
        <f ca="1">IFERROR(Table133[[#This Row],[call gamma]]*(Table133[[#This Row],[Open.Int]])*$A$4^2,0)</f>
        <v>0</v>
      </c>
      <c r="AA446">
        <f ca="1">IFERROR(((Table133[[#This Row],[Open.Int8]])*Table133[[#This Row],[Put gamma]])*-1*$A$4^2,0)</f>
        <v>0</v>
      </c>
      <c r="AB446">
        <f ca="1">(Table133[[#This Row],[Call Gex]]+Table133[[#This Row],[Put Gex]])</f>
        <v>0</v>
      </c>
      <c r="AC446">
        <f ca="1">Table133[[#This Row],[put delta adj]]+Table133[[#This Row],[call delta adj]]</f>
        <v>0</v>
      </c>
      <c r="AD446">
        <f ca="1">Table133[[#This Row],[Put Gex]]*Table133[[#This Row],[DeltaP]]*-1</f>
        <v>0</v>
      </c>
      <c r="AE446">
        <f ca="1">Table133[[#This Row],[Call Gex]]*Table133[[#This Row],[DeltaC]]</f>
        <v>0</v>
      </c>
      <c r="AF446">
        <f>IF(Table133[[#This Row],[DeltaC]]-ABS(Table133[[#This Row],[DeltaP]])="0","0.01",Table133[[#This Row],[DeltaC]]-ABS(Table133[[#This Row],[DeltaP]]))</f>
        <v>0</v>
      </c>
      <c r="AG446" t="e">
        <f ca="1">((LN($A$4/Table133[[#This Row],[Strike]]) + (0.411 + 0.5 * Table133[[#This Row],[IV Calc P]]^2) *Table133[[#This Row],[T]])) / (Table133[[#This Row],[IV Calc P]] * SQRT(Table133[[#This Row],[T]]))</f>
        <v>#DIV/0!</v>
      </c>
      <c r="AH446" t="e">
        <f ca="1">(LN($A$4/Table133[[#This Row],[Strike]]) + (0.411-0 + 0.5 * Table133[[#This Row],[IV Calc C]]^2) *Table133[[#This Row],[T]]) / (Table133[[#This Row],[IV Calc C]] * SQRT(Table133[[#This Row],[T]]))</f>
        <v>#DIV/0!</v>
      </c>
      <c r="AI446" t="e">
        <f ca="1">(EXP(-(AG446^2)/2)/SQRT(2*PI())*EXP(0*SQRT(Table133[[#This Row],[T]]))/$A$4*18%*SQRT(SQRT(Table133[[#This Row],[T]])))</f>
        <v>#DIV/0!</v>
      </c>
      <c r="AJ446" t="e">
        <f ca="1">(EXP(-(AH446^2)/2)/SQRT(2*PI())*EXP(0*SQRT(Table133[[#This Row],[T]]))/$A$4*18%*SQRT(SQRT(Table133[[#This Row],[T]])))</f>
        <v>#DIV/0!</v>
      </c>
      <c r="AK446" t="e">
        <f ca="1">Table133[[#This Row],[Call D1]]-Table133[[#This Row],[IV Calc C]]*SQRT(Table133[[#This Row],[T]])</f>
        <v>#DIV/0!</v>
      </c>
      <c r="AL446" t="e">
        <f ca="1">Table133[[#This Row],[Put D1]]-Table133[[#This Row],[IV Calc P]]*SQRT(Table133[[#This Row],[T]])</f>
        <v>#DIV/0!</v>
      </c>
      <c r="AM446" t="e">
        <f ca="1">EXP(-0.5*Table133[[#This Row],[Call D1]]^2)/SQRT(2*PI())</f>
        <v>#DIV/0!</v>
      </c>
      <c r="AN446" t="e">
        <f ca="1">EXP(-0.5*Table133[[#This Row],[Put D1]]^2)/SQRT(2*PI())</f>
        <v>#DIV/0!</v>
      </c>
      <c r="AO44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6">
        <f ca="1">((Table133[[#This Row],[call vanna]]+Table133[[#This Row],[put vanna]])*$A$4)</f>
        <v>0</v>
      </c>
      <c r="AR44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6" s="9" t="str" cm="1">
        <f t="array" ref="AT446">_xlfn.IFS(     $M$1="SPX","SPXW",     $M$1="RUT","RUTW",  $M$1="NDX","NDXP",   TRUE,$M$1 )</f>
        <v>SPXW</v>
      </c>
      <c r="AU446" s="2">
        <f t="shared" si="47"/>
        <v>6915</v>
      </c>
      <c r="AV446" t="str">
        <f t="shared" si="48"/>
        <v>000100</v>
      </c>
      <c r="AY44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6">
        <f>((Table133[[#This Row],[High C]]+Table133[[#This Row],[Low C]])/2)*Table133[[#This Row],[gammac]]*Table133[[#This Row],[Volume]]</f>
        <v>0</v>
      </c>
      <c r="BD446">
        <f>((Table133[[#This Row],[High P]]+Table133[[#This Row],[Low P]])/2)*Table133[[#This Row],[gammap]]*Table133[[#This Row],[Volume9]]*-1</f>
        <v>0</v>
      </c>
      <c r="BE446">
        <f>(Table133[[#This Row],[SgammaC]]+Table133[[#This Row],[SgammaP]])*$A$4*-100</f>
        <v>0</v>
      </c>
      <c r="BF446" s="78">
        <f>Table133[[#This Row],[DEXc]]+Table133[[#This Row],[DEXp]]</f>
        <v>0</v>
      </c>
      <c r="BG446">
        <f>IFERROR(Table133[[#This Row],[DeltaC]]*Table133[[#This Row],[Open.Int]]*$A$4,0)</f>
        <v>0</v>
      </c>
      <c r="BH446">
        <f>IFERROR(Table133[[#This Row],[DeltaP]]*Table133[[#This Row],[Open.Int8]]*$A$4,0)</f>
        <v>0</v>
      </c>
      <c r="BI44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6">
        <f ca="1">Table133[[#This Row],[charmc]]+Table133[[#This Row],[charmp]]</f>
        <v>0</v>
      </c>
      <c r="BL44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6" s="78">
        <f ca="1">Table133[[#This Row],[call helper]]+Table133[[#This Row],[put helper]]</f>
        <v>0</v>
      </c>
      <c r="BP446" t="str">
        <f>RTD("tos.rtd", , "STRIKE", "."&amp;Table133[[#This Row],[Ticker]]&amp;Table133[[#This Row],[Expiry]]&amp;""&amp;"C"&amp;Table133[[#This Row],[Spot]]+Table133[[#This Row],[step]])</f>
        <v>N/A</v>
      </c>
    </row>
    <row r="447" spans="1:68" x14ac:dyDescent="0.25">
      <c r="A447" s="14">
        <f t="shared" ca="1" si="44"/>
        <v>-126.14810350076104</v>
      </c>
      <c r="C447" s="17"/>
      <c r="D447" t="str">
        <f>RTD("tos.rtd", , "OPEN_INT", "."&amp;Table133[[#This Row],[Ticker]]&amp;Table133[[#This Row],[Expiry]]&amp;""&amp;"C"&amp;Table133[[#This Row],[Spot]]+Table133[[#This Row],[step]])</f>
        <v>N/A</v>
      </c>
      <c r="E44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7" t="b">
        <f>IF(     ISNUMBER(Table133[[#This Row],[Strike]]),RTD("tos.rtd", , "DELTA", "."&amp;Table133[[#This Row],[Ticker]]&amp;Table133[[#This Row],[Expiry]]&amp;""&amp;"C"&amp;Table133[[#This Row],[Strike]]))</f>
        <v>0</v>
      </c>
      <c r="H447" s="17" cm="1">
        <f t="array" aca="1" ref="H447" ca="1">IndividualLegIVCore($A$4, Table133[[#This Row],[Strike]], 0.0411, Table133[[#This Row],[T]], ((Table133[[#This Row],[BIDC]]+Table133[[#This Row],[ASKC]])/2), TRUE)</f>
        <v>0.01</v>
      </c>
      <c r="I447" t="b">
        <f>IF(     ISNUMBER(Table133[[#This Row],[Strike]]),RTD("tos.rtd", , "BID", "."&amp;Table133[[#This Row],[Ticker]]&amp;Table133[[#This Row],[Expiry]]&amp;""&amp;"C"&amp;Table133[[#This Row],[Strike]]))</f>
        <v>0</v>
      </c>
      <c r="J447" t="b">
        <f>IF(     ISNUMBER(Table133[[#This Row],[Strike]]),RTD("tos.rtd", , "ASK", "."&amp;Table133[[#This Row],[Ticker]]&amp;Table133[[#This Row],[Expiry]]&amp;""&amp;"C"&amp;Table133[[#This Row],[Strike]]))</f>
        <v>0</v>
      </c>
      <c r="K447" s="17"/>
      <c r="M447" s="1">
        <f t="shared" si="45"/>
        <v>0</v>
      </c>
      <c r="N447" t="b">
        <f t="shared" si="46"/>
        <v>0</v>
      </c>
      <c r="P447" s="17" cm="1">
        <f t="array" aca="1" ref="P447" ca="1">IndividualLegIVCore($A$4, Table133[[#This Row],[Strike]], 0.0411, Table133[[#This Row],[T]], ((Table133[[#This Row],[BIDP]]+Table133[[#This Row],[ASKP]])/2), FALSE)</f>
        <v>0.01</v>
      </c>
      <c r="Q447" t="b">
        <f>IF(     ISNUMBER(Table133[[#This Row],[Strike]]),RTD("tos.rtd", , "BID", "."&amp;Table133[[#This Row],[Ticker]]&amp;Table133[[#This Row],[Expiry]]&amp;""&amp;"P"&amp;Table133[[#This Row],[Strike]]))</f>
        <v>0</v>
      </c>
      <c r="R447" t="b">
        <f>IF(     ISNUMBER(Table133[[#This Row],[Strike]]),RTD("tos.rtd", , "ASK", "."&amp;Table133[[#This Row],[Ticker]]&amp;Table133[[#This Row],[Expiry]]&amp;""&amp;"P"&amp;Table133[[#This Row],[Strike]]))</f>
        <v>0</v>
      </c>
      <c r="S447" s="17"/>
      <c r="T447" t="b">
        <f>IF(     ISNUMBER(Table133[[#This Row],[Strike]]),RTD("tos.rtd", , "OPEN_INT", "."&amp;Table133[[#This Row],[Ticker]]&amp;Table133[[#This Row],[Expiry]]&amp;""&amp;"P"&amp;Table133[[#This Row],[Strike]]))</f>
        <v>0</v>
      </c>
      <c r="U44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7" t="b">
        <f>IF(     ISNUMBER(Table133[[#This Row],[Strike]]),RTD("tos.rtd", , "DELTA", "."&amp;Table133[[#This Row],[Ticker]]&amp;Table133[[#This Row],[Expiry]]&amp;""&amp;"P"&amp;Table133[[#This Row],[Strike]]))</f>
        <v>0</v>
      </c>
      <c r="Y447" s="19">
        <f>-34.5 * IF($M$1="NDX", 10, IF(OR($M$1="SPX", $M$1="RUT"), 2, 1))</f>
        <v>-69</v>
      </c>
      <c r="Z447">
        <f ca="1">IFERROR(Table133[[#This Row],[call gamma]]*(Table133[[#This Row],[Open.Int]])*$A$4^2,0)</f>
        <v>0</v>
      </c>
      <c r="AA447">
        <f ca="1">IFERROR(((Table133[[#This Row],[Open.Int8]])*Table133[[#This Row],[Put gamma]])*-1*$A$4^2,0)</f>
        <v>0</v>
      </c>
      <c r="AB447">
        <f ca="1">(Table133[[#This Row],[Call Gex]]+Table133[[#This Row],[Put Gex]])</f>
        <v>0</v>
      </c>
      <c r="AC447">
        <f ca="1">Table133[[#This Row],[put delta adj]]+Table133[[#This Row],[call delta adj]]</f>
        <v>0</v>
      </c>
      <c r="AD447">
        <f ca="1">Table133[[#This Row],[Put Gex]]*Table133[[#This Row],[DeltaP]]*-1</f>
        <v>0</v>
      </c>
      <c r="AE447">
        <f ca="1">Table133[[#This Row],[Call Gex]]*Table133[[#This Row],[DeltaC]]</f>
        <v>0</v>
      </c>
      <c r="AF447">
        <f>IF(Table133[[#This Row],[DeltaC]]-ABS(Table133[[#This Row],[DeltaP]])="0","0.01",Table133[[#This Row],[DeltaC]]-ABS(Table133[[#This Row],[DeltaP]]))</f>
        <v>0</v>
      </c>
      <c r="AG447" t="e">
        <f ca="1">((LN($A$4/Table133[[#This Row],[Strike]]) + (0.411 + 0.5 * Table133[[#This Row],[IV Calc P]]^2) *Table133[[#This Row],[T]])) / (Table133[[#This Row],[IV Calc P]] * SQRT(Table133[[#This Row],[T]]))</f>
        <v>#DIV/0!</v>
      </c>
      <c r="AH447" t="e">
        <f ca="1">(LN($A$4/Table133[[#This Row],[Strike]]) + (0.411-0 + 0.5 * Table133[[#This Row],[IV Calc C]]^2) *Table133[[#This Row],[T]]) / (Table133[[#This Row],[IV Calc C]] * SQRT(Table133[[#This Row],[T]]))</f>
        <v>#DIV/0!</v>
      </c>
      <c r="AI447" t="e">
        <f ca="1">(EXP(-(AG447^2)/2)/SQRT(2*PI())*EXP(0*SQRT(Table133[[#This Row],[T]]))/$A$4*18%*SQRT(SQRT(Table133[[#This Row],[T]])))</f>
        <v>#DIV/0!</v>
      </c>
      <c r="AJ447" t="e">
        <f ca="1">(EXP(-(AH447^2)/2)/SQRT(2*PI())*EXP(0*SQRT(Table133[[#This Row],[T]]))/$A$4*18%*SQRT(SQRT(Table133[[#This Row],[T]])))</f>
        <v>#DIV/0!</v>
      </c>
      <c r="AK447" t="e">
        <f ca="1">Table133[[#This Row],[Call D1]]-Table133[[#This Row],[IV Calc C]]*SQRT(Table133[[#This Row],[T]])</f>
        <v>#DIV/0!</v>
      </c>
      <c r="AL447" t="e">
        <f ca="1">Table133[[#This Row],[Put D1]]-Table133[[#This Row],[IV Calc P]]*SQRT(Table133[[#This Row],[T]])</f>
        <v>#DIV/0!</v>
      </c>
      <c r="AM447" t="e">
        <f ca="1">EXP(-0.5*Table133[[#This Row],[Call D1]]^2)/SQRT(2*PI())</f>
        <v>#DIV/0!</v>
      </c>
      <c r="AN447" t="e">
        <f ca="1">EXP(-0.5*Table133[[#This Row],[Put D1]]^2)/SQRT(2*PI())</f>
        <v>#DIV/0!</v>
      </c>
      <c r="AO44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7">
        <f ca="1">((Table133[[#This Row],[call vanna]]+Table133[[#This Row],[put vanna]])*$A$4)</f>
        <v>0</v>
      </c>
      <c r="AR44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7" s="9" t="str" cm="1">
        <f t="array" ref="AT447">_xlfn.IFS(     $M$1="SPX","SPXW",     $M$1="RUT","RUTW",  $M$1="NDX","NDXP",   TRUE,$M$1 )</f>
        <v>SPXW</v>
      </c>
      <c r="AU447" s="2">
        <f t="shared" si="47"/>
        <v>6915</v>
      </c>
      <c r="AV447" t="str">
        <f t="shared" si="48"/>
        <v>000100</v>
      </c>
      <c r="AY44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7">
        <f>((Table133[[#This Row],[High C]]+Table133[[#This Row],[Low C]])/2)*Table133[[#This Row],[gammac]]*Table133[[#This Row],[Volume]]</f>
        <v>0</v>
      </c>
      <c r="BD447">
        <f>((Table133[[#This Row],[High P]]+Table133[[#This Row],[Low P]])/2)*Table133[[#This Row],[gammap]]*Table133[[#This Row],[Volume9]]*-1</f>
        <v>0</v>
      </c>
      <c r="BE447">
        <f>(Table133[[#This Row],[SgammaC]]+Table133[[#This Row],[SgammaP]])*$A$4*-100</f>
        <v>0</v>
      </c>
      <c r="BF447" s="78">
        <f>Table133[[#This Row],[DEXc]]+Table133[[#This Row],[DEXp]]</f>
        <v>0</v>
      </c>
      <c r="BG447">
        <f>IFERROR(Table133[[#This Row],[DeltaC]]*Table133[[#This Row],[Open.Int]]*$A$4,0)</f>
        <v>0</v>
      </c>
      <c r="BH447">
        <f>IFERROR(Table133[[#This Row],[DeltaP]]*Table133[[#This Row],[Open.Int8]]*$A$4,0)</f>
        <v>0</v>
      </c>
      <c r="BI44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7">
        <f ca="1">Table133[[#This Row],[charmc]]+Table133[[#This Row],[charmp]]</f>
        <v>0</v>
      </c>
      <c r="BL44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7" s="78">
        <f ca="1">Table133[[#This Row],[call helper]]+Table133[[#This Row],[put helper]]</f>
        <v>0</v>
      </c>
      <c r="BP447" t="str">
        <f>RTD("tos.rtd", , "STRIKE", "."&amp;Table133[[#This Row],[Ticker]]&amp;Table133[[#This Row],[Expiry]]&amp;""&amp;"C"&amp;Table133[[#This Row],[Spot]]+Table133[[#This Row],[step]])</f>
        <v>N/A</v>
      </c>
    </row>
    <row r="448" spans="1:68" x14ac:dyDescent="0.25">
      <c r="A448" s="14">
        <f t="shared" ca="1" si="44"/>
        <v>-126.14810350076104</v>
      </c>
      <c r="C448" s="17"/>
      <c r="D448" t="str">
        <f>RTD("tos.rtd", , "OPEN_INT", "."&amp;Table133[[#This Row],[Ticker]]&amp;Table133[[#This Row],[Expiry]]&amp;""&amp;"C"&amp;Table133[[#This Row],[Spot]]+Table133[[#This Row],[step]])</f>
        <v>N/A</v>
      </c>
      <c r="E44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8" t="b">
        <f>IF(     ISNUMBER(Table133[[#This Row],[Strike]]),RTD("tos.rtd", , "DELTA", "."&amp;Table133[[#This Row],[Ticker]]&amp;Table133[[#This Row],[Expiry]]&amp;""&amp;"C"&amp;Table133[[#This Row],[Strike]]))</f>
        <v>0</v>
      </c>
      <c r="H448" s="17" cm="1">
        <f t="array" aca="1" ref="H448" ca="1">IndividualLegIVCore($A$4, Table133[[#This Row],[Strike]], 0.0411, Table133[[#This Row],[T]], ((Table133[[#This Row],[BIDC]]+Table133[[#This Row],[ASKC]])/2), TRUE)</f>
        <v>0.01</v>
      </c>
      <c r="I448" t="b">
        <f>IF(     ISNUMBER(Table133[[#This Row],[Strike]]),RTD("tos.rtd", , "BID", "."&amp;Table133[[#This Row],[Ticker]]&amp;Table133[[#This Row],[Expiry]]&amp;""&amp;"C"&amp;Table133[[#This Row],[Strike]]))</f>
        <v>0</v>
      </c>
      <c r="J448" t="b">
        <f>IF(     ISNUMBER(Table133[[#This Row],[Strike]]),RTD("tos.rtd", , "ASK", "."&amp;Table133[[#This Row],[Ticker]]&amp;Table133[[#This Row],[Expiry]]&amp;""&amp;"C"&amp;Table133[[#This Row],[Strike]]))</f>
        <v>0</v>
      </c>
      <c r="K448" s="17"/>
      <c r="M448" s="1">
        <f t="shared" si="45"/>
        <v>0</v>
      </c>
      <c r="N448" t="b">
        <f t="shared" si="46"/>
        <v>0</v>
      </c>
      <c r="P448" s="17" cm="1">
        <f t="array" aca="1" ref="P448" ca="1">IndividualLegIVCore($A$4, Table133[[#This Row],[Strike]], 0.0411, Table133[[#This Row],[T]], ((Table133[[#This Row],[BIDP]]+Table133[[#This Row],[ASKP]])/2), FALSE)</f>
        <v>0.01</v>
      </c>
      <c r="Q448" t="b">
        <f>IF(     ISNUMBER(Table133[[#This Row],[Strike]]),RTD("tos.rtd", , "BID", "."&amp;Table133[[#This Row],[Ticker]]&amp;Table133[[#This Row],[Expiry]]&amp;""&amp;"P"&amp;Table133[[#This Row],[Strike]]))</f>
        <v>0</v>
      </c>
      <c r="R448" t="b">
        <f>IF(     ISNUMBER(Table133[[#This Row],[Strike]]),RTD("tos.rtd", , "ASK", "."&amp;Table133[[#This Row],[Ticker]]&amp;Table133[[#This Row],[Expiry]]&amp;""&amp;"P"&amp;Table133[[#This Row],[Strike]]))</f>
        <v>0</v>
      </c>
      <c r="S448" s="17"/>
      <c r="T448" t="b">
        <f>IF(     ISNUMBER(Table133[[#This Row],[Strike]]),RTD("tos.rtd", , "OPEN_INT", "."&amp;Table133[[#This Row],[Ticker]]&amp;Table133[[#This Row],[Expiry]]&amp;""&amp;"P"&amp;Table133[[#This Row],[Strike]]))</f>
        <v>0</v>
      </c>
      <c r="U44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8" t="b">
        <f>IF(     ISNUMBER(Table133[[#This Row],[Strike]]),RTD("tos.rtd", , "DELTA", "."&amp;Table133[[#This Row],[Ticker]]&amp;Table133[[#This Row],[Expiry]]&amp;""&amp;"P"&amp;Table133[[#This Row],[Strike]]))</f>
        <v>0</v>
      </c>
      <c r="Y448" s="19">
        <f>-34 * IF($M$1="NDX", 10, IF(OR($M$1="SPX", $M$1="RUT"), 2, 1))</f>
        <v>-68</v>
      </c>
      <c r="Z448">
        <f ca="1">IFERROR(Table133[[#This Row],[call gamma]]*(Table133[[#This Row],[Open.Int]])*$A$4^2,0)</f>
        <v>0</v>
      </c>
      <c r="AA448">
        <f ca="1">IFERROR(((Table133[[#This Row],[Open.Int8]])*Table133[[#This Row],[Put gamma]])*-1*$A$4^2,0)</f>
        <v>0</v>
      </c>
      <c r="AB448">
        <f ca="1">(Table133[[#This Row],[Call Gex]]+Table133[[#This Row],[Put Gex]])</f>
        <v>0</v>
      </c>
      <c r="AC448">
        <f ca="1">Table133[[#This Row],[put delta adj]]+Table133[[#This Row],[call delta adj]]</f>
        <v>0</v>
      </c>
      <c r="AD448">
        <f ca="1">Table133[[#This Row],[Put Gex]]*Table133[[#This Row],[DeltaP]]*-1</f>
        <v>0</v>
      </c>
      <c r="AE448">
        <f ca="1">Table133[[#This Row],[Call Gex]]*Table133[[#This Row],[DeltaC]]</f>
        <v>0</v>
      </c>
      <c r="AF448">
        <f>IF(Table133[[#This Row],[DeltaC]]-ABS(Table133[[#This Row],[DeltaP]])="0","0.01",Table133[[#This Row],[DeltaC]]-ABS(Table133[[#This Row],[DeltaP]]))</f>
        <v>0</v>
      </c>
      <c r="AG448" t="e">
        <f ca="1">((LN($A$4/Table133[[#This Row],[Strike]]) + (0.411 + 0.5 * Table133[[#This Row],[IV Calc P]]^2) *Table133[[#This Row],[T]])) / (Table133[[#This Row],[IV Calc P]] * SQRT(Table133[[#This Row],[T]]))</f>
        <v>#DIV/0!</v>
      </c>
      <c r="AH448" t="e">
        <f ca="1">(LN($A$4/Table133[[#This Row],[Strike]]) + (0.411-0 + 0.5 * Table133[[#This Row],[IV Calc C]]^2) *Table133[[#This Row],[T]]) / (Table133[[#This Row],[IV Calc C]] * SQRT(Table133[[#This Row],[T]]))</f>
        <v>#DIV/0!</v>
      </c>
      <c r="AI448" t="e">
        <f ca="1">(EXP(-(AG448^2)/2)/SQRT(2*PI())*EXP(0*SQRT(Table133[[#This Row],[T]]))/$A$4*18%*SQRT(SQRT(Table133[[#This Row],[T]])))</f>
        <v>#DIV/0!</v>
      </c>
      <c r="AJ448" t="e">
        <f ca="1">(EXP(-(AH448^2)/2)/SQRT(2*PI())*EXP(0*SQRT(Table133[[#This Row],[T]]))/$A$4*18%*SQRT(SQRT(Table133[[#This Row],[T]])))</f>
        <v>#DIV/0!</v>
      </c>
      <c r="AK448" t="e">
        <f ca="1">Table133[[#This Row],[Call D1]]-Table133[[#This Row],[IV Calc C]]*SQRT(Table133[[#This Row],[T]])</f>
        <v>#DIV/0!</v>
      </c>
      <c r="AL448" t="e">
        <f ca="1">Table133[[#This Row],[Put D1]]-Table133[[#This Row],[IV Calc P]]*SQRT(Table133[[#This Row],[T]])</f>
        <v>#DIV/0!</v>
      </c>
      <c r="AM448" t="e">
        <f ca="1">EXP(-0.5*Table133[[#This Row],[Call D1]]^2)/SQRT(2*PI())</f>
        <v>#DIV/0!</v>
      </c>
      <c r="AN448" t="e">
        <f ca="1">EXP(-0.5*Table133[[#This Row],[Put D1]]^2)/SQRT(2*PI())</f>
        <v>#DIV/0!</v>
      </c>
      <c r="AO44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8">
        <f ca="1">((Table133[[#This Row],[call vanna]]+Table133[[#This Row],[put vanna]])*$A$4)</f>
        <v>0</v>
      </c>
      <c r="AR44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8" s="9" t="str" cm="1">
        <f t="array" ref="AT448">_xlfn.IFS(     $M$1="SPX","SPXW",     $M$1="RUT","RUTW",  $M$1="NDX","NDXP",   TRUE,$M$1 )</f>
        <v>SPXW</v>
      </c>
      <c r="AU448" s="2">
        <f t="shared" si="47"/>
        <v>6915</v>
      </c>
      <c r="AV448" t="str">
        <f t="shared" si="48"/>
        <v>000100</v>
      </c>
      <c r="AY44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8">
        <f>((Table133[[#This Row],[High C]]+Table133[[#This Row],[Low C]])/2)*Table133[[#This Row],[gammac]]*Table133[[#This Row],[Volume]]</f>
        <v>0</v>
      </c>
      <c r="BD448">
        <f>((Table133[[#This Row],[High P]]+Table133[[#This Row],[Low P]])/2)*Table133[[#This Row],[gammap]]*Table133[[#This Row],[Volume9]]*-1</f>
        <v>0</v>
      </c>
      <c r="BE448">
        <f>(Table133[[#This Row],[SgammaC]]+Table133[[#This Row],[SgammaP]])*$A$4*-100</f>
        <v>0</v>
      </c>
      <c r="BF448" s="78">
        <f>Table133[[#This Row],[DEXc]]+Table133[[#This Row],[DEXp]]</f>
        <v>0</v>
      </c>
      <c r="BG448">
        <f>IFERROR(Table133[[#This Row],[DeltaC]]*Table133[[#This Row],[Open.Int]]*$A$4,0)</f>
        <v>0</v>
      </c>
      <c r="BH448">
        <f>IFERROR(Table133[[#This Row],[DeltaP]]*Table133[[#This Row],[Open.Int8]]*$A$4,0)</f>
        <v>0</v>
      </c>
      <c r="BI44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8">
        <f ca="1">Table133[[#This Row],[charmc]]+Table133[[#This Row],[charmp]]</f>
        <v>0</v>
      </c>
      <c r="BL44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8" s="78">
        <f ca="1">Table133[[#This Row],[call helper]]+Table133[[#This Row],[put helper]]</f>
        <v>0</v>
      </c>
      <c r="BP448" t="str">
        <f>RTD("tos.rtd", , "STRIKE", "."&amp;Table133[[#This Row],[Ticker]]&amp;Table133[[#This Row],[Expiry]]&amp;""&amp;"C"&amp;Table133[[#This Row],[Spot]]+Table133[[#This Row],[step]])</f>
        <v>N/A</v>
      </c>
    </row>
    <row r="449" spans="1:68" x14ac:dyDescent="0.25">
      <c r="A449" s="14">
        <f t="shared" ca="1" si="44"/>
        <v>-126.14810350076104</v>
      </c>
      <c r="C449" s="17"/>
      <c r="D449" t="str">
        <f>RTD("tos.rtd", , "OPEN_INT", "."&amp;Table133[[#This Row],[Ticker]]&amp;Table133[[#This Row],[Expiry]]&amp;""&amp;"C"&amp;Table133[[#This Row],[Spot]]+Table133[[#This Row],[step]])</f>
        <v>N/A</v>
      </c>
      <c r="E44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9" t="b">
        <f>IF(     ISNUMBER(Table133[[#This Row],[Strike]]),RTD("tos.rtd", , "DELTA", "."&amp;Table133[[#This Row],[Ticker]]&amp;Table133[[#This Row],[Expiry]]&amp;""&amp;"C"&amp;Table133[[#This Row],[Strike]]))</f>
        <v>0</v>
      </c>
      <c r="H449" s="17" cm="1">
        <f t="array" aca="1" ref="H449" ca="1">IndividualLegIVCore($A$4, Table133[[#This Row],[Strike]], 0.0411, Table133[[#This Row],[T]], ((Table133[[#This Row],[BIDC]]+Table133[[#This Row],[ASKC]])/2), TRUE)</f>
        <v>0.01</v>
      </c>
      <c r="I449" t="b">
        <f>IF(     ISNUMBER(Table133[[#This Row],[Strike]]),RTD("tos.rtd", , "BID", "."&amp;Table133[[#This Row],[Ticker]]&amp;Table133[[#This Row],[Expiry]]&amp;""&amp;"C"&amp;Table133[[#This Row],[Strike]]))</f>
        <v>0</v>
      </c>
      <c r="J449" t="b">
        <f>IF(     ISNUMBER(Table133[[#This Row],[Strike]]),RTD("tos.rtd", , "ASK", "."&amp;Table133[[#This Row],[Ticker]]&amp;Table133[[#This Row],[Expiry]]&amp;""&amp;"C"&amp;Table133[[#This Row],[Strike]]))</f>
        <v>0</v>
      </c>
      <c r="K449" s="17"/>
      <c r="M449" s="1">
        <f t="shared" si="45"/>
        <v>0</v>
      </c>
      <c r="N449" t="b">
        <f t="shared" si="46"/>
        <v>0</v>
      </c>
      <c r="P449" s="17" cm="1">
        <f t="array" aca="1" ref="P449" ca="1">IndividualLegIVCore($A$4, Table133[[#This Row],[Strike]], 0.0411, Table133[[#This Row],[T]], ((Table133[[#This Row],[BIDP]]+Table133[[#This Row],[ASKP]])/2), FALSE)</f>
        <v>0.01</v>
      </c>
      <c r="Q449" t="b">
        <f>IF(     ISNUMBER(Table133[[#This Row],[Strike]]),RTD("tos.rtd", , "BID", "."&amp;Table133[[#This Row],[Ticker]]&amp;Table133[[#This Row],[Expiry]]&amp;""&amp;"P"&amp;Table133[[#This Row],[Strike]]))</f>
        <v>0</v>
      </c>
      <c r="R449" t="b">
        <f>IF(     ISNUMBER(Table133[[#This Row],[Strike]]),RTD("tos.rtd", , "ASK", "."&amp;Table133[[#This Row],[Ticker]]&amp;Table133[[#This Row],[Expiry]]&amp;""&amp;"P"&amp;Table133[[#This Row],[Strike]]))</f>
        <v>0</v>
      </c>
      <c r="S449" s="17"/>
      <c r="T449" t="b">
        <f>IF(     ISNUMBER(Table133[[#This Row],[Strike]]),RTD("tos.rtd", , "OPEN_INT", "."&amp;Table133[[#This Row],[Ticker]]&amp;Table133[[#This Row],[Expiry]]&amp;""&amp;"P"&amp;Table133[[#This Row],[Strike]]))</f>
        <v>0</v>
      </c>
      <c r="U44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9" t="b">
        <f>IF(     ISNUMBER(Table133[[#This Row],[Strike]]),RTD("tos.rtd", , "DELTA", "."&amp;Table133[[#This Row],[Ticker]]&amp;Table133[[#This Row],[Expiry]]&amp;""&amp;"P"&amp;Table133[[#This Row],[Strike]]))</f>
        <v>0</v>
      </c>
      <c r="Y449" s="19">
        <f>-33.5 * IF($M$1="NDX", 10, IF(OR($M$1="SPX", $M$1="RUT"), 2, 1))</f>
        <v>-67</v>
      </c>
      <c r="Z449">
        <f ca="1">IFERROR(Table133[[#This Row],[call gamma]]*(Table133[[#This Row],[Open.Int]])*$A$4^2,0)</f>
        <v>0</v>
      </c>
      <c r="AA449">
        <f ca="1">IFERROR(((Table133[[#This Row],[Open.Int8]])*Table133[[#This Row],[Put gamma]])*-1*$A$4^2,0)</f>
        <v>0</v>
      </c>
      <c r="AB449">
        <f ca="1">(Table133[[#This Row],[Call Gex]]+Table133[[#This Row],[Put Gex]])</f>
        <v>0</v>
      </c>
      <c r="AC449">
        <f ca="1">Table133[[#This Row],[put delta adj]]+Table133[[#This Row],[call delta adj]]</f>
        <v>0</v>
      </c>
      <c r="AD449">
        <f ca="1">Table133[[#This Row],[Put Gex]]*Table133[[#This Row],[DeltaP]]*-1</f>
        <v>0</v>
      </c>
      <c r="AE449">
        <f ca="1">Table133[[#This Row],[Call Gex]]*Table133[[#This Row],[DeltaC]]</f>
        <v>0</v>
      </c>
      <c r="AF449">
        <f>IF(Table133[[#This Row],[DeltaC]]-ABS(Table133[[#This Row],[DeltaP]])="0","0.01",Table133[[#This Row],[DeltaC]]-ABS(Table133[[#This Row],[DeltaP]]))</f>
        <v>0</v>
      </c>
      <c r="AG449" t="e">
        <f ca="1">((LN($A$4/Table133[[#This Row],[Strike]]) + (0.411 + 0.5 * Table133[[#This Row],[IV Calc P]]^2) *Table133[[#This Row],[T]])) / (Table133[[#This Row],[IV Calc P]] * SQRT(Table133[[#This Row],[T]]))</f>
        <v>#DIV/0!</v>
      </c>
      <c r="AH449" t="e">
        <f ca="1">(LN($A$4/Table133[[#This Row],[Strike]]) + (0.411-0 + 0.5 * Table133[[#This Row],[IV Calc C]]^2) *Table133[[#This Row],[T]]) / (Table133[[#This Row],[IV Calc C]] * SQRT(Table133[[#This Row],[T]]))</f>
        <v>#DIV/0!</v>
      </c>
      <c r="AI449" t="e">
        <f ca="1">(EXP(-(AG449^2)/2)/SQRT(2*PI())*EXP(0*SQRT(Table133[[#This Row],[T]]))/$A$4*18%*SQRT(SQRT(Table133[[#This Row],[T]])))</f>
        <v>#DIV/0!</v>
      </c>
      <c r="AJ449" t="e">
        <f ca="1">(EXP(-(AH449^2)/2)/SQRT(2*PI())*EXP(0*SQRT(Table133[[#This Row],[T]]))/$A$4*18%*SQRT(SQRT(Table133[[#This Row],[T]])))</f>
        <v>#DIV/0!</v>
      </c>
      <c r="AK449" t="e">
        <f ca="1">Table133[[#This Row],[Call D1]]-Table133[[#This Row],[IV Calc C]]*SQRT(Table133[[#This Row],[T]])</f>
        <v>#DIV/0!</v>
      </c>
      <c r="AL449" t="e">
        <f ca="1">Table133[[#This Row],[Put D1]]-Table133[[#This Row],[IV Calc P]]*SQRT(Table133[[#This Row],[T]])</f>
        <v>#DIV/0!</v>
      </c>
      <c r="AM449" t="e">
        <f ca="1">EXP(-0.5*Table133[[#This Row],[Call D1]]^2)/SQRT(2*PI())</f>
        <v>#DIV/0!</v>
      </c>
      <c r="AN449" t="e">
        <f ca="1">EXP(-0.5*Table133[[#This Row],[Put D1]]^2)/SQRT(2*PI())</f>
        <v>#DIV/0!</v>
      </c>
      <c r="AO44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9">
        <f ca="1">((Table133[[#This Row],[call vanna]]+Table133[[#This Row],[put vanna]])*$A$4)</f>
        <v>0</v>
      </c>
      <c r="AR44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9" s="9" t="str" cm="1">
        <f t="array" ref="AT449">_xlfn.IFS(     $M$1="SPX","SPXW",     $M$1="RUT","RUTW",  $M$1="NDX","NDXP",   TRUE,$M$1 )</f>
        <v>SPXW</v>
      </c>
      <c r="AU449" s="2">
        <f t="shared" si="47"/>
        <v>6915</v>
      </c>
      <c r="AV449" t="str">
        <f t="shared" si="48"/>
        <v>000100</v>
      </c>
      <c r="AY44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9">
        <f>((Table133[[#This Row],[High C]]+Table133[[#This Row],[Low C]])/2)*Table133[[#This Row],[gammac]]*Table133[[#This Row],[Volume]]</f>
        <v>0</v>
      </c>
      <c r="BD449">
        <f>((Table133[[#This Row],[High P]]+Table133[[#This Row],[Low P]])/2)*Table133[[#This Row],[gammap]]*Table133[[#This Row],[Volume9]]*-1</f>
        <v>0</v>
      </c>
      <c r="BE449">
        <f>(Table133[[#This Row],[SgammaC]]+Table133[[#This Row],[SgammaP]])*$A$4*-100</f>
        <v>0</v>
      </c>
      <c r="BF449" s="78">
        <f>Table133[[#This Row],[DEXc]]+Table133[[#This Row],[DEXp]]</f>
        <v>0</v>
      </c>
      <c r="BG449">
        <f>IFERROR(Table133[[#This Row],[DeltaC]]*Table133[[#This Row],[Open.Int]]*$A$4,0)</f>
        <v>0</v>
      </c>
      <c r="BH449">
        <f>IFERROR(Table133[[#This Row],[DeltaP]]*Table133[[#This Row],[Open.Int8]]*$A$4,0)</f>
        <v>0</v>
      </c>
      <c r="BI44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9">
        <f ca="1">Table133[[#This Row],[charmc]]+Table133[[#This Row],[charmp]]</f>
        <v>0</v>
      </c>
      <c r="BL44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9" s="78">
        <f ca="1">Table133[[#This Row],[call helper]]+Table133[[#This Row],[put helper]]</f>
        <v>0</v>
      </c>
      <c r="BP449" t="str">
        <f>RTD("tos.rtd", , "STRIKE", "."&amp;Table133[[#This Row],[Ticker]]&amp;Table133[[#This Row],[Expiry]]&amp;""&amp;"C"&amp;Table133[[#This Row],[Spot]]+Table133[[#This Row],[step]])</f>
        <v>N/A</v>
      </c>
    </row>
    <row r="450" spans="1:68" x14ac:dyDescent="0.25">
      <c r="A450" s="14">
        <f t="shared" ca="1" si="44"/>
        <v>-126.14810350076104</v>
      </c>
      <c r="C450" s="17"/>
      <c r="D450" t="str">
        <f>RTD("tos.rtd", , "OPEN_INT", "."&amp;Table133[[#This Row],[Ticker]]&amp;Table133[[#This Row],[Expiry]]&amp;""&amp;"C"&amp;Table133[[#This Row],[Spot]]+Table133[[#This Row],[step]])</f>
        <v>N/A</v>
      </c>
      <c r="E45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0" t="b">
        <f>IF(     ISNUMBER(Table133[[#This Row],[Strike]]),RTD("tos.rtd", , "DELTA", "."&amp;Table133[[#This Row],[Ticker]]&amp;Table133[[#This Row],[Expiry]]&amp;""&amp;"C"&amp;Table133[[#This Row],[Strike]]))</f>
        <v>0</v>
      </c>
      <c r="H450" s="17" cm="1">
        <f t="array" aca="1" ref="H450" ca="1">IndividualLegIVCore($A$4, Table133[[#This Row],[Strike]], 0.0411, Table133[[#This Row],[T]], ((Table133[[#This Row],[BIDC]]+Table133[[#This Row],[ASKC]])/2), TRUE)</f>
        <v>0.01</v>
      </c>
      <c r="I450" t="b">
        <f>IF(     ISNUMBER(Table133[[#This Row],[Strike]]),RTD("tos.rtd", , "BID", "."&amp;Table133[[#This Row],[Ticker]]&amp;Table133[[#This Row],[Expiry]]&amp;""&amp;"C"&amp;Table133[[#This Row],[Strike]]))</f>
        <v>0</v>
      </c>
      <c r="J450" t="b">
        <f>IF(     ISNUMBER(Table133[[#This Row],[Strike]]),RTD("tos.rtd", , "ASK", "."&amp;Table133[[#This Row],[Ticker]]&amp;Table133[[#This Row],[Expiry]]&amp;""&amp;"C"&amp;Table133[[#This Row],[Strike]]))</f>
        <v>0</v>
      </c>
      <c r="K450" s="17"/>
      <c r="M450" s="1">
        <f t="shared" si="45"/>
        <v>0</v>
      </c>
      <c r="N450" t="b">
        <f t="shared" si="46"/>
        <v>0</v>
      </c>
      <c r="P450" s="17" cm="1">
        <f t="array" aca="1" ref="P450" ca="1">IndividualLegIVCore($A$4, Table133[[#This Row],[Strike]], 0.0411, Table133[[#This Row],[T]], ((Table133[[#This Row],[BIDP]]+Table133[[#This Row],[ASKP]])/2), FALSE)</f>
        <v>0.01</v>
      </c>
      <c r="Q450" t="b">
        <f>IF(     ISNUMBER(Table133[[#This Row],[Strike]]),RTD("tos.rtd", , "BID", "."&amp;Table133[[#This Row],[Ticker]]&amp;Table133[[#This Row],[Expiry]]&amp;""&amp;"P"&amp;Table133[[#This Row],[Strike]]))</f>
        <v>0</v>
      </c>
      <c r="R450" t="b">
        <f>IF(     ISNUMBER(Table133[[#This Row],[Strike]]),RTD("tos.rtd", , "ASK", "."&amp;Table133[[#This Row],[Ticker]]&amp;Table133[[#This Row],[Expiry]]&amp;""&amp;"P"&amp;Table133[[#This Row],[Strike]]))</f>
        <v>0</v>
      </c>
      <c r="S450" s="17"/>
      <c r="T450" t="b">
        <f>IF(     ISNUMBER(Table133[[#This Row],[Strike]]),RTD("tos.rtd", , "OPEN_INT", "."&amp;Table133[[#This Row],[Ticker]]&amp;Table133[[#This Row],[Expiry]]&amp;""&amp;"P"&amp;Table133[[#This Row],[Strike]]))</f>
        <v>0</v>
      </c>
      <c r="U45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0" t="b">
        <f>IF(     ISNUMBER(Table133[[#This Row],[Strike]]),RTD("tos.rtd", , "DELTA", "."&amp;Table133[[#This Row],[Ticker]]&amp;Table133[[#This Row],[Expiry]]&amp;""&amp;"P"&amp;Table133[[#This Row],[Strike]]))</f>
        <v>0</v>
      </c>
      <c r="Y450" s="19">
        <f>-33 * IF($M$1="NDX", 10, IF(OR($M$1="SPX", $M$1="RUT"), 2, 1))</f>
        <v>-66</v>
      </c>
      <c r="Z450">
        <f ca="1">IFERROR(Table133[[#This Row],[call gamma]]*(Table133[[#This Row],[Open.Int]])*$A$4^2,0)</f>
        <v>0</v>
      </c>
      <c r="AA450">
        <f ca="1">IFERROR(((Table133[[#This Row],[Open.Int8]])*Table133[[#This Row],[Put gamma]])*-1*$A$4^2,0)</f>
        <v>0</v>
      </c>
      <c r="AB450">
        <f ca="1">(Table133[[#This Row],[Call Gex]]+Table133[[#This Row],[Put Gex]])</f>
        <v>0</v>
      </c>
      <c r="AC450">
        <f ca="1">Table133[[#This Row],[put delta adj]]+Table133[[#This Row],[call delta adj]]</f>
        <v>0</v>
      </c>
      <c r="AD450">
        <f ca="1">Table133[[#This Row],[Put Gex]]*Table133[[#This Row],[DeltaP]]*-1</f>
        <v>0</v>
      </c>
      <c r="AE450">
        <f ca="1">Table133[[#This Row],[Call Gex]]*Table133[[#This Row],[DeltaC]]</f>
        <v>0</v>
      </c>
      <c r="AF450">
        <f>IF(Table133[[#This Row],[DeltaC]]-ABS(Table133[[#This Row],[DeltaP]])="0","0.01",Table133[[#This Row],[DeltaC]]-ABS(Table133[[#This Row],[DeltaP]]))</f>
        <v>0</v>
      </c>
      <c r="AG450" t="e">
        <f ca="1">((LN($A$4/Table133[[#This Row],[Strike]]) + (0.411 + 0.5 * Table133[[#This Row],[IV Calc P]]^2) *Table133[[#This Row],[T]])) / (Table133[[#This Row],[IV Calc P]] * SQRT(Table133[[#This Row],[T]]))</f>
        <v>#DIV/0!</v>
      </c>
      <c r="AH450" t="e">
        <f ca="1">(LN($A$4/Table133[[#This Row],[Strike]]) + (0.411-0 + 0.5 * Table133[[#This Row],[IV Calc C]]^2) *Table133[[#This Row],[T]]) / (Table133[[#This Row],[IV Calc C]] * SQRT(Table133[[#This Row],[T]]))</f>
        <v>#DIV/0!</v>
      </c>
      <c r="AI450" t="e">
        <f ca="1">(EXP(-(AG450^2)/2)/SQRT(2*PI())*EXP(0*SQRT(Table133[[#This Row],[T]]))/$A$4*18%*SQRT(SQRT(Table133[[#This Row],[T]])))</f>
        <v>#DIV/0!</v>
      </c>
      <c r="AJ450" t="e">
        <f ca="1">(EXP(-(AH450^2)/2)/SQRT(2*PI())*EXP(0*SQRT(Table133[[#This Row],[T]]))/$A$4*18%*SQRT(SQRT(Table133[[#This Row],[T]])))</f>
        <v>#DIV/0!</v>
      </c>
      <c r="AK450" t="e">
        <f ca="1">Table133[[#This Row],[Call D1]]-Table133[[#This Row],[IV Calc C]]*SQRT(Table133[[#This Row],[T]])</f>
        <v>#DIV/0!</v>
      </c>
      <c r="AL450" t="e">
        <f ca="1">Table133[[#This Row],[Put D1]]-Table133[[#This Row],[IV Calc P]]*SQRT(Table133[[#This Row],[T]])</f>
        <v>#DIV/0!</v>
      </c>
      <c r="AM450" t="e">
        <f ca="1">EXP(-0.5*Table133[[#This Row],[Call D1]]^2)/SQRT(2*PI())</f>
        <v>#DIV/0!</v>
      </c>
      <c r="AN450" t="e">
        <f ca="1">EXP(-0.5*Table133[[#This Row],[Put D1]]^2)/SQRT(2*PI())</f>
        <v>#DIV/0!</v>
      </c>
      <c r="AO45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0">
        <f ca="1">((Table133[[#This Row],[call vanna]]+Table133[[#This Row],[put vanna]])*$A$4)</f>
        <v>0</v>
      </c>
      <c r="AR45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0" s="9" t="str" cm="1">
        <f t="array" ref="AT450">_xlfn.IFS(     $M$1="SPX","SPXW",     $M$1="RUT","RUTW",  $M$1="NDX","NDXP",   TRUE,$M$1 )</f>
        <v>SPXW</v>
      </c>
      <c r="AU450" s="2">
        <f t="shared" si="47"/>
        <v>6915</v>
      </c>
      <c r="AV450" t="str">
        <f t="shared" si="48"/>
        <v>000100</v>
      </c>
      <c r="AY45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0">
        <f>((Table133[[#This Row],[High C]]+Table133[[#This Row],[Low C]])/2)*Table133[[#This Row],[gammac]]*Table133[[#This Row],[Volume]]</f>
        <v>0</v>
      </c>
      <c r="BD450">
        <f>((Table133[[#This Row],[High P]]+Table133[[#This Row],[Low P]])/2)*Table133[[#This Row],[gammap]]*Table133[[#This Row],[Volume9]]*-1</f>
        <v>0</v>
      </c>
      <c r="BE450">
        <f>(Table133[[#This Row],[SgammaC]]+Table133[[#This Row],[SgammaP]])*$A$4*-100</f>
        <v>0</v>
      </c>
      <c r="BF450" s="78">
        <f>Table133[[#This Row],[DEXc]]+Table133[[#This Row],[DEXp]]</f>
        <v>0</v>
      </c>
      <c r="BG450">
        <f>IFERROR(Table133[[#This Row],[DeltaC]]*Table133[[#This Row],[Open.Int]]*$A$4,0)</f>
        <v>0</v>
      </c>
      <c r="BH450">
        <f>IFERROR(Table133[[#This Row],[DeltaP]]*Table133[[#This Row],[Open.Int8]]*$A$4,0)</f>
        <v>0</v>
      </c>
      <c r="BI45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0">
        <f ca="1">Table133[[#This Row],[charmc]]+Table133[[#This Row],[charmp]]</f>
        <v>0</v>
      </c>
      <c r="BL45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0" s="78">
        <f ca="1">Table133[[#This Row],[call helper]]+Table133[[#This Row],[put helper]]</f>
        <v>0</v>
      </c>
      <c r="BP450" t="str">
        <f>RTD("tos.rtd", , "STRIKE", "."&amp;Table133[[#This Row],[Ticker]]&amp;Table133[[#This Row],[Expiry]]&amp;""&amp;"C"&amp;Table133[[#This Row],[Spot]]+Table133[[#This Row],[step]])</f>
        <v>N/A</v>
      </c>
    </row>
    <row r="451" spans="1:68" x14ac:dyDescent="0.25">
      <c r="A451" s="14">
        <f t="shared" ca="1" si="44"/>
        <v>-126.14810350076104</v>
      </c>
      <c r="C451" s="17"/>
      <c r="D451" t="str">
        <f>RTD("tos.rtd", , "OPEN_INT", "."&amp;Table133[[#This Row],[Ticker]]&amp;Table133[[#This Row],[Expiry]]&amp;""&amp;"C"&amp;Table133[[#This Row],[Spot]]+Table133[[#This Row],[step]])</f>
        <v>N/A</v>
      </c>
      <c r="E45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1" t="b">
        <f>IF(     ISNUMBER(Table133[[#This Row],[Strike]]),RTD("tos.rtd", , "DELTA", "."&amp;Table133[[#This Row],[Ticker]]&amp;Table133[[#This Row],[Expiry]]&amp;""&amp;"C"&amp;Table133[[#This Row],[Strike]]))</f>
        <v>0</v>
      </c>
      <c r="H451" s="17" cm="1">
        <f t="array" aca="1" ref="H451" ca="1">IndividualLegIVCore($A$4, Table133[[#This Row],[Strike]], 0.0411, Table133[[#This Row],[T]], ((Table133[[#This Row],[BIDC]]+Table133[[#This Row],[ASKC]])/2), TRUE)</f>
        <v>0.01</v>
      </c>
      <c r="I451" t="b">
        <f>IF(     ISNUMBER(Table133[[#This Row],[Strike]]),RTD("tos.rtd", , "BID", "."&amp;Table133[[#This Row],[Ticker]]&amp;Table133[[#This Row],[Expiry]]&amp;""&amp;"C"&amp;Table133[[#This Row],[Strike]]))</f>
        <v>0</v>
      </c>
      <c r="J451" t="b">
        <f>IF(     ISNUMBER(Table133[[#This Row],[Strike]]),RTD("tos.rtd", , "ASK", "."&amp;Table133[[#This Row],[Ticker]]&amp;Table133[[#This Row],[Expiry]]&amp;""&amp;"C"&amp;Table133[[#This Row],[Strike]]))</f>
        <v>0</v>
      </c>
      <c r="K451" s="17"/>
      <c r="M451" s="1">
        <f t="shared" si="45"/>
        <v>0</v>
      </c>
      <c r="N451" t="b">
        <f t="shared" si="46"/>
        <v>0</v>
      </c>
      <c r="P451" s="17" cm="1">
        <f t="array" aca="1" ref="P451" ca="1">IndividualLegIVCore($A$4, Table133[[#This Row],[Strike]], 0.0411, Table133[[#This Row],[T]], ((Table133[[#This Row],[BIDP]]+Table133[[#This Row],[ASKP]])/2), FALSE)</f>
        <v>0.01</v>
      </c>
      <c r="Q451" t="b">
        <f>IF(     ISNUMBER(Table133[[#This Row],[Strike]]),RTD("tos.rtd", , "BID", "."&amp;Table133[[#This Row],[Ticker]]&amp;Table133[[#This Row],[Expiry]]&amp;""&amp;"P"&amp;Table133[[#This Row],[Strike]]))</f>
        <v>0</v>
      </c>
      <c r="R451" t="b">
        <f>IF(     ISNUMBER(Table133[[#This Row],[Strike]]),RTD("tos.rtd", , "ASK", "."&amp;Table133[[#This Row],[Ticker]]&amp;Table133[[#This Row],[Expiry]]&amp;""&amp;"P"&amp;Table133[[#This Row],[Strike]]))</f>
        <v>0</v>
      </c>
      <c r="S451" s="17"/>
      <c r="T451" t="b">
        <f>IF(     ISNUMBER(Table133[[#This Row],[Strike]]),RTD("tos.rtd", , "OPEN_INT", "."&amp;Table133[[#This Row],[Ticker]]&amp;Table133[[#This Row],[Expiry]]&amp;""&amp;"P"&amp;Table133[[#This Row],[Strike]]))</f>
        <v>0</v>
      </c>
      <c r="U45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1" t="b">
        <f>IF(     ISNUMBER(Table133[[#This Row],[Strike]]),RTD("tos.rtd", , "DELTA", "."&amp;Table133[[#This Row],[Ticker]]&amp;Table133[[#This Row],[Expiry]]&amp;""&amp;"P"&amp;Table133[[#This Row],[Strike]]))</f>
        <v>0</v>
      </c>
      <c r="Y451" s="19">
        <f>-32.5 * IF($M$1="NDX", 10, IF(OR($M$1="SPX", $M$1="RUT"), 2, 1))</f>
        <v>-65</v>
      </c>
      <c r="Z451">
        <f ca="1">IFERROR(Table133[[#This Row],[call gamma]]*(Table133[[#This Row],[Open.Int]])*$A$4^2,0)</f>
        <v>0</v>
      </c>
      <c r="AA451">
        <f ca="1">IFERROR(((Table133[[#This Row],[Open.Int8]])*Table133[[#This Row],[Put gamma]])*-1*$A$4^2,0)</f>
        <v>0</v>
      </c>
      <c r="AB451">
        <f ca="1">(Table133[[#This Row],[Call Gex]]+Table133[[#This Row],[Put Gex]])</f>
        <v>0</v>
      </c>
      <c r="AC451">
        <f ca="1">Table133[[#This Row],[put delta adj]]+Table133[[#This Row],[call delta adj]]</f>
        <v>0</v>
      </c>
      <c r="AD451">
        <f ca="1">Table133[[#This Row],[Put Gex]]*Table133[[#This Row],[DeltaP]]*-1</f>
        <v>0</v>
      </c>
      <c r="AE451">
        <f ca="1">Table133[[#This Row],[Call Gex]]*Table133[[#This Row],[DeltaC]]</f>
        <v>0</v>
      </c>
      <c r="AF451">
        <f>IF(Table133[[#This Row],[DeltaC]]-ABS(Table133[[#This Row],[DeltaP]])="0","0.01",Table133[[#This Row],[DeltaC]]-ABS(Table133[[#This Row],[DeltaP]]))</f>
        <v>0</v>
      </c>
      <c r="AG451" t="e">
        <f ca="1">((LN($A$4/Table133[[#This Row],[Strike]]) + (0.411 + 0.5 * Table133[[#This Row],[IV Calc P]]^2) *Table133[[#This Row],[T]])) / (Table133[[#This Row],[IV Calc P]] * SQRT(Table133[[#This Row],[T]]))</f>
        <v>#DIV/0!</v>
      </c>
      <c r="AH451" t="e">
        <f ca="1">(LN($A$4/Table133[[#This Row],[Strike]]) + (0.411-0 + 0.5 * Table133[[#This Row],[IV Calc C]]^2) *Table133[[#This Row],[T]]) / (Table133[[#This Row],[IV Calc C]] * SQRT(Table133[[#This Row],[T]]))</f>
        <v>#DIV/0!</v>
      </c>
      <c r="AI451" t="e">
        <f ca="1">(EXP(-(AG451^2)/2)/SQRT(2*PI())*EXP(0*SQRT(Table133[[#This Row],[T]]))/$A$4*18%*SQRT(SQRT(Table133[[#This Row],[T]])))</f>
        <v>#DIV/0!</v>
      </c>
      <c r="AJ451" t="e">
        <f ca="1">(EXP(-(AH451^2)/2)/SQRT(2*PI())*EXP(0*SQRT(Table133[[#This Row],[T]]))/$A$4*18%*SQRT(SQRT(Table133[[#This Row],[T]])))</f>
        <v>#DIV/0!</v>
      </c>
      <c r="AK451" t="e">
        <f ca="1">Table133[[#This Row],[Call D1]]-Table133[[#This Row],[IV Calc C]]*SQRT(Table133[[#This Row],[T]])</f>
        <v>#DIV/0!</v>
      </c>
      <c r="AL451" t="e">
        <f ca="1">Table133[[#This Row],[Put D1]]-Table133[[#This Row],[IV Calc P]]*SQRT(Table133[[#This Row],[T]])</f>
        <v>#DIV/0!</v>
      </c>
      <c r="AM451" t="e">
        <f ca="1">EXP(-0.5*Table133[[#This Row],[Call D1]]^2)/SQRT(2*PI())</f>
        <v>#DIV/0!</v>
      </c>
      <c r="AN451" t="e">
        <f ca="1">EXP(-0.5*Table133[[#This Row],[Put D1]]^2)/SQRT(2*PI())</f>
        <v>#DIV/0!</v>
      </c>
      <c r="AO45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1">
        <f ca="1">((Table133[[#This Row],[call vanna]]+Table133[[#This Row],[put vanna]])*$A$4)</f>
        <v>0</v>
      </c>
      <c r="AR45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1" s="9" t="str" cm="1">
        <f t="array" ref="AT451">_xlfn.IFS(     $M$1="SPX","SPXW",     $M$1="RUT","RUTW",  $M$1="NDX","NDXP",   TRUE,$M$1 )</f>
        <v>SPXW</v>
      </c>
      <c r="AU451" s="2">
        <f t="shared" si="47"/>
        <v>6915</v>
      </c>
      <c r="AV451" t="str">
        <f t="shared" si="48"/>
        <v>000100</v>
      </c>
      <c r="AY45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1">
        <f>((Table133[[#This Row],[High C]]+Table133[[#This Row],[Low C]])/2)*Table133[[#This Row],[gammac]]*Table133[[#This Row],[Volume]]</f>
        <v>0</v>
      </c>
      <c r="BD451">
        <f>((Table133[[#This Row],[High P]]+Table133[[#This Row],[Low P]])/2)*Table133[[#This Row],[gammap]]*Table133[[#This Row],[Volume9]]*-1</f>
        <v>0</v>
      </c>
      <c r="BE451">
        <f>(Table133[[#This Row],[SgammaC]]+Table133[[#This Row],[SgammaP]])*$A$4*-100</f>
        <v>0</v>
      </c>
      <c r="BF451" s="78">
        <f>Table133[[#This Row],[DEXc]]+Table133[[#This Row],[DEXp]]</f>
        <v>0</v>
      </c>
      <c r="BG451">
        <f>IFERROR(Table133[[#This Row],[DeltaC]]*Table133[[#This Row],[Open.Int]]*$A$4,0)</f>
        <v>0</v>
      </c>
      <c r="BH451">
        <f>IFERROR(Table133[[#This Row],[DeltaP]]*Table133[[#This Row],[Open.Int8]]*$A$4,0)</f>
        <v>0</v>
      </c>
      <c r="BI45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1">
        <f ca="1">Table133[[#This Row],[charmc]]+Table133[[#This Row],[charmp]]</f>
        <v>0</v>
      </c>
      <c r="BL45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1" s="78">
        <f ca="1">Table133[[#This Row],[call helper]]+Table133[[#This Row],[put helper]]</f>
        <v>0</v>
      </c>
      <c r="BP451" t="str">
        <f>RTD("tos.rtd", , "STRIKE", "."&amp;Table133[[#This Row],[Ticker]]&amp;Table133[[#This Row],[Expiry]]&amp;""&amp;"C"&amp;Table133[[#This Row],[Spot]]+Table133[[#This Row],[step]])</f>
        <v>N/A</v>
      </c>
    </row>
    <row r="452" spans="1:68" x14ac:dyDescent="0.25">
      <c r="A452" s="14">
        <f t="shared" ca="1" si="44"/>
        <v>-126.14810350076104</v>
      </c>
      <c r="C452" s="17"/>
      <c r="D452" t="str">
        <f>RTD("tos.rtd", , "OPEN_INT", "."&amp;Table133[[#This Row],[Ticker]]&amp;Table133[[#This Row],[Expiry]]&amp;""&amp;"C"&amp;Table133[[#This Row],[Spot]]+Table133[[#This Row],[step]])</f>
        <v>N/A</v>
      </c>
      <c r="E45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2" t="b">
        <f>IF(     ISNUMBER(Table133[[#This Row],[Strike]]),RTD("tos.rtd", , "DELTA", "."&amp;Table133[[#This Row],[Ticker]]&amp;Table133[[#This Row],[Expiry]]&amp;""&amp;"C"&amp;Table133[[#This Row],[Strike]]))</f>
        <v>0</v>
      </c>
      <c r="H452" s="17" cm="1">
        <f t="array" aca="1" ref="H452" ca="1">IndividualLegIVCore($A$4, Table133[[#This Row],[Strike]], 0.0411, Table133[[#This Row],[T]], ((Table133[[#This Row],[BIDC]]+Table133[[#This Row],[ASKC]])/2), TRUE)</f>
        <v>0.01</v>
      </c>
      <c r="I452" t="b">
        <f>IF(     ISNUMBER(Table133[[#This Row],[Strike]]),RTD("tos.rtd", , "BID", "."&amp;Table133[[#This Row],[Ticker]]&amp;Table133[[#This Row],[Expiry]]&amp;""&amp;"C"&amp;Table133[[#This Row],[Strike]]))</f>
        <v>0</v>
      </c>
      <c r="J452" t="b">
        <f>IF(     ISNUMBER(Table133[[#This Row],[Strike]]),RTD("tos.rtd", , "ASK", "."&amp;Table133[[#This Row],[Ticker]]&amp;Table133[[#This Row],[Expiry]]&amp;""&amp;"C"&amp;Table133[[#This Row],[Strike]]))</f>
        <v>0</v>
      </c>
      <c r="K452" s="17"/>
      <c r="M452" s="1">
        <f t="shared" si="45"/>
        <v>0</v>
      </c>
      <c r="N452" t="b">
        <f t="shared" si="46"/>
        <v>0</v>
      </c>
      <c r="P452" s="17" cm="1">
        <f t="array" aca="1" ref="P452" ca="1">IndividualLegIVCore($A$4, Table133[[#This Row],[Strike]], 0.0411, Table133[[#This Row],[T]], ((Table133[[#This Row],[BIDP]]+Table133[[#This Row],[ASKP]])/2), FALSE)</f>
        <v>0.01</v>
      </c>
      <c r="Q452" t="b">
        <f>IF(     ISNUMBER(Table133[[#This Row],[Strike]]),RTD("tos.rtd", , "BID", "."&amp;Table133[[#This Row],[Ticker]]&amp;Table133[[#This Row],[Expiry]]&amp;""&amp;"P"&amp;Table133[[#This Row],[Strike]]))</f>
        <v>0</v>
      </c>
      <c r="R452" t="b">
        <f>IF(     ISNUMBER(Table133[[#This Row],[Strike]]),RTD("tos.rtd", , "ASK", "."&amp;Table133[[#This Row],[Ticker]]&amp;Table133[[#This Row],[Expiry]]&amp;""&amp;"P"&amp;Table133[[#This Row],[Strike]]))</f>
        <v>0</v>
      </c>
      <c r="S452" s="17"/>
      <c r="T452" t="b">
        <f>IF(     ISNUMBER(Table133[[#This Row],[Strike]]),RTD("tos.rtd", , "OPEN_INT", "."&amp;Table133[[#This Row],[Ticker]]&amp;Table133[[#This Row],[Expiry]]&amp;""&amp;"P"&amp;Table133[[#This Row],[Strike]]))</f>
        <v>0</v>
      </c>
      <c r="U45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2" t="b">
        <f>IF(     ISNUMBER(Table133[[#This Row],[Strike]]),RTD("tos.rtd", , "DELTA", "."&amp;Table133[[#This Row],[Ticker]]&amp;Table133[[#This Row],[Expiry]]&amp;""&amp;"P"&amp;Table133[[#This Row],[Strike]]))</f>
        <v>0</v>
      </c>
      <c r="Y452" s="19">
        <f>-32 * IF($M$1="NDX", 10, IF(OR($M$1="SPX", $M$1="RUT"), 2, 1))</f>
        <v>-64</v>
      </c>
      <c r="Z452">
        <f ca="1">IFERROR(Table133[[#This Row],[call gamma]]*(Table133[[#This Row],[Open.Int]])*$A$4^2,0)</f>
        <v>0</v>
      </c>
      <c r="AA452">
        <f ca="1">IFERROR(((Table133[[#This Row],[Open.Int8]])*Table133[[#This Row],[Put gamma]])*-1*$A$4^2,0)</f>
        <v>0</v>
      </c>
      <c r="AB452">
        <f ca="1">(Table133[[#This Row],[Call Gex]]+Table133[[#This Row],[Put Gex]])</f>
        <v>0</v>
      </c>
      <c r="AC452">
        <f ca="1">Table133[[#This Row],[put delta adj]]+Table133[[#This Row],[call delta adj]]</f>
        <v>0</v>
      </c>
      <c r="AD452">
        <f ca="1">Table133[[#This Row],[Put Gex]]*Table133[[#This Row],[DeltaP]]*-1</f>
        <v>0</v>
      </c>
      <c r="AE452">
        <f ca="1">Table133[[#This Row],[Call Gex]]*Table133[[#This Row],[DeltaC]]</f>
        <v>0</v>
      </c>
      <c r="AF452">
        <f>IF(Table133[[#This Row],[DeltaC]]-ABS(Table133[[#This Row],[DeltaP]])="0","0.01",Table133[[#This Row],[DeltaC]]-ABS(Table133[[#This Row],[DeltaP]]))</f>
        <v>0</v>
      </c>
      <c r="AG452" t="e">
        <f ca="1">((LN($A$4/Table133[[#This Row],[Strike]]) + (0.411 + 0.5 * Table133[[#This Row],[IV Calc P]]^2) *Table133[[#This Row],[T]])) / (Table133[[#This Row],[IV Calc P]] * SQRT(Table133[[#This Row],[T]]))</f>
        <v>#DIV/0!</v>
      </c>
      <c r="AH452" t="e">
        <f ca="1">(LN($A$4/Table133[[#This Row],[Strike]]) + (0.411-0 + 0.5 * Table133[[#This Row],[IV Calc C]]^2) *Table133[[#This Row],[T]]) / (Table133[[#This Row],[IV Calc C]] * SQRT(Table133[[#This Row],[T]]))</f>
        <v>#DIV/0!</v>
      </c>
      <c r="AI452" t="e">
        <f ca="1">(EXP(-(AG452^2)/2)/SQRT(2*PI())*EXP(0*SQRT(Table133[[#This Row],[T]]))/$A$4*18%*SQRT(SQRT(Table133[[#This Row],[T]])))</f>
        <v>#DIV/0!</v>
      </c>
      <c r="AJ452" t="e">
        <f ca="1">(EXP(-(AH452^2)/2)/SQRT(2*PI())*EXP(0*SQRT(Table133[[#This Row],[T]]))/$A$4*18%*SQRT(SQRT(Table133[[#This Row],[T]])))</f>
        <v>#DIV/0!</v>
      </c>
      <c r="AK452" t="e">
        <f ca="1">Table133[[#This Row],[Call D1]]-Table133[[#This Row],[IV Calc C]]*SQRT(Table133[[#This Row],[T]])</f>
        <v>#DIV/0!</v>
      </c>
      <c r="AL452" t="e">
        <f ca="1">Table133[[#This Row],[Put D1]]-Table133[[#This Row],[IV Calc P]]*SQRT(Table133[[#This Row],[T]])</f>
        <v>#DIV/0!</v>
      </c>
      <c r="AM452" t="e">
        <f ca="1">EXP(-0.5*Table133[[#This Row],[Call D1]]^2)/SQRT(2*PI())</f>
        <v>#DIV/0!</v>
      </c>
      <c r="AN452" t="e">
        <f ca="1">EXP(-0.5*Table133[[#This Row],[Put D1]]^2)/SQRT(2*PI())</f>
        <v>#DIV/0!</v>
      </c>
      <c r="AO45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2">
        <f ca="1">((Table133[[#This Row],[call vanna]]+Table133[[#This Row],[put vanna]])*$A$4)</f>
        <v>0</v>
      </c>
      <c r="AR45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2" s="9" t="str" cm="1">
        <f t="array" ref="AT452">_xlfn.IFS(     $M$1="SPX","SPXW",     $M$1="RUT","RUTW",  $M$1="NDX","NDXP",   TRUE,$M$1 )</f>
        <v>SPXW</v>
      </c>
      <c r="AU452" s="2">
        <f t="shared" si="47"/>
        <v>6915</v>
      </c>
      <c r="AV452" t="str">
        <f t="shared" si="48"/>
        <v>000100</v>
      </c>
      <c r="AY45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2">
        <f>((Table133[[#This Row],[High C]]+Table133[[#This Row],[Low C]])/2)*Table133[[#This Row],[gammac]]*Table133[[#This Row],[Volume]]</f>
        <v>0</v>
      </c>
      <c r="BD452">
        <f>((Table133[[#This Row],[High P]]+Table133[[#This Row],[Low P]])/2)*Table133[[#This Row],[gammap]]*Table133[[#This Row],[Volume9]]*-1</f>
        <v>0</v>
      </c>
      <c r="BE452">
        <f>(Table133[[#This Row],[SgammaC]]+Table133[[#This Row],[SgammaP]])*$A$4*-100</f>
        <v>0</v>
      </c>
      <c r="BF452" s="78">
        <f>Table133[[#This Row],[DEXc]]+Table133[[#This Row],[DEXp]]</f>
        <v>0</v>
      </c>
      <c r="BG452">
        <f>IFERROR(Table133[[#This Row],[DeltaC]]*Table133[[#This Row],[Open.Int]]*$A$4,0)</f>
        <v>0</v>
      </c>
      <c r="BH452">
        <f>IFERROR(Table133[[#This Row],[DeltaP]]*Table133[[#This Row],[Open.Int8]]*$A$4,0)</f>
        <v>0</v>
      </c>
      <c r="BI45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2">
        <f ca="1">Table133[[#This Row],[charmc]]+Table133[[#This Row],[charmp]]</f>
        <v>0</v>
      </c>
      <c r="BL45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2" s="78">
        <f ca="1">Table133[[#This Row],[call helper]]+Table133[[#This Row],[put helper]]</f>
        <v>0</v>
      </c>
      <c r="BP452" t="str">
        <f>RTD("tos.rtd", , "STRIKE", "."&amp;Table133[[#This Row],[Ticker]]&amp;Table133[[#This Row],[Expiry]]&amp;""&amp;"C"&amp;Table133[[#This Row],[Spot]]+Table133[[#This Row],[step]])</f>
        <v>N/A</v>
      </c>
    </row>
    <row r="453" spans="1:68" x14ac:dyDescent="0.25">
      <c r="A453" s="14">
        <f t="shared" ca="1" si="44"/>
        <v>-126.14810350076104</v>
      </c>
      <c r="C453" s="17"/>
      <c r="D453" t="str">
        <f>RTD("tos.rtd", , "OPEN_INT", "."&amp;Table133[[#This Row],[Ticker]]&amp;Table133[[#This Row],[Expiry]]&amp;""&amp;"C"&amp;Table133[[#This Row],[Spot]]+Table133[[#This Row],[step]])</f>
        <v>N/A</v>
      </c>
      <c r="E45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3" t="b">
        <f>IF(     ISNUMBER(Table133[[#This Row],[Strike]]),RTD("tos.rtd", , "DELTA", "."&amp;Table133[[#This Row],[Ticker]]&amp;Table133[[#This Row],[Expiry]]&amp;""&amp;"C"&amp;Table133[[#This Row],[Strike]]))</f>
        <v>0</v>
      </c>
      <c r="H453" s="17" cm="1">
        <f t="array" aca="1" ref="H453" ca="1">IndividualLegIVCore($A$4, Table133[[#This Row],[Strike]], 0.0411, Table133[[#This Row],[T]], ((Table133[[#This Row],[BIDC]]+Table133[[#This Row],[ASKC]])/2), TRUE)</f>
        <v>0.01</v>
      </c>
      <c r="I453" t="b">
        <f>IF(     ISNUMBER(Table133[[#This Row],[Strike]]),RTD("tos.rtd", , "BID", "."&amp;Table133[[#This Row],[Ticker]]&amp;Table133[[#This Row],[Expiry]]&amp;""&amp;"C"&amp;Table133[[#This Row],[Strike]]))</f>
        <v>0</v>
      </c>
      <c r="J453" t="b">
        <f>IF(     ISNUMBER(Table133[[#This Row],[Strike]]),RTD("tos.rtd", , "ASK", "."&amp;Table133[[#This Row],[Ticker]]&amp;Table133[[#This Row],[Expiry]]&amp;""&amp;"C"&amp;Table133[[#This Row],[Strike]]))</f>
        <v>0</v>
      </c>
      <c r="K453" s="17"/>
      <c r="M453" s="1">
        <f t="shared" si="45"/>
        <v>0</v>
      </c>
      <c r="N453" t="b">
        <f t="shared" si="46"/>
        <v>0</v>
      </c>
      <c r="P453" s="17" cm="1">
        <f t="array" aca="1" ref="P453" ca="1">IndividualLegIVCore($A$4, Table133[[#This Row],[Strike]], 0.0411, Table133[[#This Row],[T]], ((Table133[[#This Row],[BIDP]]+Table133[[#This Row],[ASKP]])/2), FALSE)</f>
        <v>0.01</v>
      </c>
      <c r="Q453" t="b">
        <f>IF(     ISNUMBER(Table133[[#This Row],[Strike]]),RTD("tos.rtd", , "BID", "."&amp;Table133[[#This Row],[Ticker]]&amp;Table133[[#This Row],[Expiry]]&amp;""&amp;"P"&amp;Table133[[#This Row],[Strike]]))</f>
        <v>0</v>
      </c>
      <c r="R453" t="b">
        <f>IF(     ISNUMBER(Table133[[#This Row],[Strike]]),RTD("tos.rtd", , "ASK", "."&amp;Table133[[#This Row],[Ticker]]&amp;Table133[[#This Row],[Expiry]]&amp;""&amp;"P"&amp;Table133[[#This Row],[Strike]]))</f>
        <v>0</v>
      </c>
      <c r="S453" s="17"/>
      <c r="T453" t="b">
        <f>IF(     ISNUMBER(Table133[[#This Row],[Strike]]),RTD("tos.rtd", , "OPEN_INT", "."&amp;Table133[[#This Row],[Ticker]]&amp;Table133[[#This Row],[Expiry]]&amp;""&amp;"P"&amp;Table133[[#This Row],[Strike]]))</f>
        <v>0</v>
      </c>
      <c r="U45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3" t="b">
        <f>IF(     ISNUMBER(Table133[[#This Row],[Strike]]),RTD("tos.rtd", , "DELTA", "."&amp;Table133[[#This Row],[Ticker]]&amp;Table133[[#This Row],[Expiry]]&amp;""&amp;"P"&amp;Table133[[#This Row],[Strike]]))</f>
        <v>0</v>
      </c>
      <c r="Y453" s="19">
        <f>-31.5 * IF($M$1="NDX", 10, IF(OR($M$1="SPX", $M$1="RUT"), 2, 1))</f>
        <v>-63</v>
      </c>
      <c r="Z453">
        <f ca="1">IFERROR(Table133[[#This Row],[call gamma]]*(Table133[[#This Row],[Open.Int]])*$A$4^2,0)</f>
        <v>0</v>
      </c>
      <c r="AA453">
        <f ca="1">IFERROR(((Table133[[#This Row],[Open.Int8]])*Table133[[#This Row],[Put gamma]])*-1*$A$4^2,0)</f>
        <v>0</v>
      </c>
      <c r="AB453">
        <f ca="1">(Table133[[#This Row],[Call Gex]]+Table133[[#This Row],[Put Gex]])</f>
        <v>0</v>
      </c>
      <c r="AC453">
        <f ca="1">Table133[[#This Row],[put delta adj]]+Table133[[#This Row],[call delta adj]]</f>
        <v>0</v>
      </c>
      <c r="AD453">
        <f ca="1">Table133[[#This Row],[Put Gex]]*Table133[[#This Row],[DeltaP]]*-1</f>
        <v>0</v>
      </c>
      <c r="AE453">
        <f ca="1">Table133[[#This Row],[Call Gex]]*Table133[[#This Row],[DeltaC]]</f>
        <v>0</v>
      </c>
      <c r="AF453">
        <f>IF(Table133[[#This Row],[DeltaC]]-ABS(Table133[[#This Row],[DeltaP]])="0","0.01",Table133[[#This Row],[DeltaC]]-ABS(Table133[[#This Row],[DeltaP]]))</f>
        <v>0</v>
      </c>
      <c r="AG453" t="e">
        <f ca="1">((LN($A$4/Table133[[#This Row],[Strike]]) + (0.411 + 0.5 * Table133[[#This Row],[IV Calc P]]^2) *Table133[[#This Row],[T]])) / (Table133[[#This Row],[IV Calc P]] * SQRT(Table133[[#This Row],[T]]))</f>
        <v>#DIV/0!</v>
      </c>
      <c r="AH453" t="e">
        <f ca="1">(LN($A$4/Table133[[#This Row],[Strike]]) + (0.411-0 + 0.5 * Table133[[#This Row],[IV Calc C]]^2) *Table133[[#This Row],[T]]) / (Table133[[#This Row],[IV Calc C]] * SQRT(Table133[[#This Row],[T]]))</f>
        <v>#DIV/0!</v>
      </c>
      <c r="AI453" t="e">
        <f ca="1">(EXP(-(AG453^2)/2)/SQRT(2*PI())*EXP(0*SQRT(Table133[[#This Row],[T]]))/$A$4*18%*SQRT(SQRT(Table133[[#This Row],[T]])))</f>
        <v>#DIV/0!</v>
      </c>
      <c r="AJ453" t="e">
        <f ca="1">(EXP(-(AH453^2)/2)/SQRT(2*PI())*EXP(0*SQRT(Table133[[#This Row],[T]]))/$A$4*18%*SQRT(SQRT(Table133[[#This Row],[T]])))</f>
        <v>#DIV/0!</v>
      </c>
      <c r="AK453" t="e">
        <f ca="1">Table133[[#This Row],[Call D1]]-Table133[[#This Row],[IV Calc C]]*SQRT(Table133[[#This Row],[T]])</f>
        <v>#DIV/0!</v>
      </c>
      <c r="AL453" t="e">
        <f ca="1">Table133[[#This Row],[Put D1]]-Table133[[#This Row],[IV Calc P]]*SQRT(Table133[[#This Row],[T]])</f>
        <v>#DIV/0!</v>
      </c>
      <c r="AM453" t="e">
        <f ca="1">EXP(-0.5*Table133[[#This Row],[Call D1]]^2)/SQRT(2*PI())</f>
        <v>#DIV/0!</v>
      </c>
      <c r="AN453" t="e">
        <f ca="1">EXP(-0.5*Table133[[#This Row],[Put D1]]^2)/SQRT(2*PI())</f>
        <v>#DIV/0!</v>
      </c>
      <c r="AO45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3">
        <f ca="1">((Table133[[#This Row],[call vanna]]+Table133[[#This Row],[put vanna]])*$A$4)</f>
        <v>0</v>
      </c>
      <c r="AR45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3" s="9" t="str" cm="1">
        <f t="array" ref="AT453">_xlfn.IFS(     $M$1="SPX","SPXW",     $M$1="RUT","RUTW",  $M$1="NDX","NDXP",   TRUE,$M$1 )</f>
        <v>SPXW</v>
      </c>
      <c r="AU453" s="2">
        <f t="shared" si="47"/>
        <v>6915</v>
      </c>
      <c r="AV453" t="str">
        <f t="shared" si="48"/>
        <v>000100</v>
      </c>
      <c r="AY45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3">
        <f>((Table133[[#This Row],[High C]]+Table133[[#This Row],[Low C]])/2)*Table133[[#This Row],[gammac]]*Table133[[#This Row],[Volume]]</f>
        <v>0</v>
      </c>
      <c r="BD453">
        <f>((Table133[[#This Row],[High P]]+Table133[[#This Row],[Low P]])/2)*Table133[[#This Row],[gammap]]*Table133[[#This Row],[Volume9]]*-1</f>
        <v>0</v>
      </c>
      <c r="BE453">
        <f>(Table133[[#This Row],[SgammaC]]+Table133[[#This Row],[SgammaP]])*$A$4*-100</f>
        <v>0</v>
      </c>
      <c r="BF453" s="78">
        <f>Table133[[#This Row],[DEXc]]+Table133[[#This Row],[DEXp]]</f>
        <v>0</v>
      </c>
      <c r="BG453">
        <f>IFERROR(Table133[[#This Row],[DeltaC]]*Table133[[#This Row],[Open.Int]]*$A$4,0)</f>
        <v>0</v>
      </c>
      <c r="BH453">
        <f>IFERROR(Table133[[#This Row],[DeltaP]]*Table133[[#This Row],[Open.Int8]]*$A$4,0)</f>
        <v>0</v>
      </c>
      <c r="BI45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3">
        <f ca="1">Table133[[#This Row],[charmc]]+Table133[[#This Row],[charmp]]</f>
        <v>0</v>
      </c>
      <c r="BL45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3" s="78">
        <f ca="1">Table133[[#This Row],[call helper]]+Table133[[#This Row],[put helper]]</f>
        <v>0</v>
      </c>
      <c r="BP453" t="str">
        <f>RTD("tos.rtd", , "STRIKE", "."&amp;Table133[[#This Row],[Ticker]]&amp;Table133[[#This Row],[Expiry]]&amp;""&amp;"C"&amp;Table133[[#This Row],[Spot]]+Table133[[#This Row],[step]])</f>
        <v>N/A</v>
      </c>
    </row>
    <row r="454" spans="1:68" x14ac:dyDescent="0.25">
      <c r="A454" s="14">
        <f t="shared" ca="1" si="44"/>
        <v>-126.14810350076104</v>
      </c>
      <c r="C454" s="17"/>
      <c r="D454" t="str">
        <f>RTD("tos.rtd", , "OPEN_INT", "."&amp;Table133[[#This Row],[Ticker]]&amp;Table133[[#This Row],[Expiry]]&amp;""&amp;"C"&amp;Table133[[#This Row],[Spot]]+Table133[[#This Row],[step]])</f>
        <v>N/A</v>
      </c>
      <c r="E45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4" t="b">
        <f>IF(     ISNUMBER(Table133[[#This Row],[Strike]]),RTD("tos.rtd", , "DELTA", "."&amp;Table133[[#This Row],[Ticker]]&amp;Table133[[#This Row],[Expiry]]&amp;""&amp;"C"&amp;Table133[[#This Row],[Strike]]))</f>
        <v>0</v>
      </c>
      <c r="H454" s="17" cm="1">
        <f t="array" aca="1" ref="H454" ca="1">IndividualLegIVCore($A$4, Table133[[#This Row],[Strike]], 0.0411, Table133[[#This Row],[T]], ((Table133[[#This Row],[BIDC]]+Table133[[#This Row],[ASKC]])/2), TRUE)</f>
        <v>0.01</v>
      </c>
      <c r="I454" t="b">
        <f>IF(     ISNUMBER(Table133[[#This Row],[Strike]]),RTD("tos.rtd", , "BID", "."&amp;Table133[[#This Row],[Ticker]]&amp;Table133[[#This Row],[Expiry]]&amp;""&amp;"C"&amp;Table133[[#This Row],[Strike]]))</f>
        <v>0</v>
      </c>
      <c r="J454" t="b">
        <f>IF(     ISNUMBER(Table133[[#This Row],[Strike]]),RTD("tos.rtd", , "ASK", "."&amp;Table133[[#This Row],[Ticker]]&amp;Table133[[#This Row],[Expiry]]&amp;""&amp;"C"&amp;Table133[[#This Row],[Strike]]))</f>
        <v>0</v>
      </c>
      <c r="K454" s="17"/>
      <c r="M454" s="1">
        <f t="shared" si="45"/>
        <v>0</v>
      </c>
      <c r="N454" t="b">
        <f t="shared" si="46"/>
        <v>0</v>
      </c>
      <c r="P454" s="17" cm="1">
        <f t="array" aca="1" ref="P454" ca="1">IndividualLegIVCore($A$4, Table133[[#This Row],[Strike]], 0.0411, Table133[[#This Row],[T]], ((Table133[[#This Row],[BIDP]]+Table133[[#This Row],[ASKP]])/2), FALSE)</f>
        <v>0.01</v>
      </c>
      <c r="Q454" t="b">
        <f>IF(     ISNUMBER(Table133[[#This Row],[Strike]]),RTD("tos.rtd", , "BID", "."&amp;Table133[[#This Row],[Ticker]]&amp;Table133[[#This Row],[Expiry]]&amp;""&amp;"P"&amp;Table133[[#This Row],[Strike]]))</f>
        <v>0</v>
      </c>
      <c r="R454" t="b">
        <f>IF(     ISNUMBER(Table133[[#This Row],[Strike]]),RTD("tos.rtd", , "ASK", "."&amp;Table133[[#This Row],[Ticker]]&amp;Table133[[#This Row],[Expiry]]&amp;""&amp;"P"&amp;Table133[[#This Row],[Strike]]))</f>
        <v>0</v>
      </c>
      <c r="S454" s="17"/>
      <c r="T454" t="b">
        <f>IF(     ISNUMBER(Table133[[#This Row],[Strike]]),RTD("tos.rtd", , "OPEN_INT", "."&amp;Table133[[#This Row],[Ticker]]&amp;Table133[[#This Row],[Expiry]]&amp;""&amp;"P"&amp;Table133[[#This Row],[Strike]]))</f>
        <v>0</v>
      </c>
      <c r="U45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4" t="b">
        <f>IF(     ISNUMBER(Table133[[#This Row],[Strike]]),RTD("tos.rtd", , "DELTA", "."&amp;Table133[[#This Row],[Ticker]]&amp;Table133[[#This Row],[Expiry]]&amp;""&amp;"P"&amp;Table133[[#This Row],[Strike]]))</f>
        <v>0</v>
      </c>
      <c r="Y454" s="19">
        <f>-31 * IF($M$1="NDX", 10, IF(OR($M$1="SPX", $M$1="RUT"), 2, 1))</f>
        <v>-62</v>
      </c>
      <c r="Z454">
        <f ca="1">IFERROR(Table133[[#This Row],[call gamma]]*(Table133[[#This Row],[Open.Int]])*$A$4^2,0)</f>
        <v>0</v>
      </c>
      <c r="AA454">
        <f ca="1">IFERROR(((Table133[[#This Row],[Open.Int8]])*Table133[[#This Row],[Put gamma]])*-1*$A$4^2,0)</f>
        <v>0</v>
      </c>
      <c r="AB454">
        <f ca="1">(Table133[[#This Row],[Call Gex]]+Table133[[#This Row],[Put Gex]])</f>
        <v>0</v>
      </c>
      <c r="AC454">
        <f ca="1">Table133[[#This Row],[put delta adj]]+Table133[[#This Row],[call delta adj]]</f>
        <v>0</v>
      </c>
      <c r="AD454">
        <f ca="1">Table133[[#This Row],[Put Gex]]*Table133[[#This Row],[DeltaP]]*-1</f>
        <v>0</v>
      </c>
      <c r="AE454">
        <f ca="1">Table133[[#This Row],[Call Gex]]*Table133[[#This Row],[DeltaC]]</f>
        <v>0</v>
      </c>
      <c r="AF454">
        <f>IF(Table133[[#This Row],[DeltaC]]-ABS(Table133[[#This Row],[DeltaP]])="0","0.01",Table133[[#This Row],[DeltaC]]-ABS(Table133[[#This Row],[DeltaP]]))</f>
        <v>0</v>
      </c>
      <c r="AG454" t="e">
        <f ca="1">((LN($A$4/Table133[[#This Row],[Strike]]) + (0.411 + 0.5 * Table133[[#This Row],[IV Calc P]]^2) *Table133[[#This Row],[T]])) / (Table133[[#This Row],[IV Calc P]] * SQRT(Table133[[#This Row],[T]]))</f>
        <v>#DIV/0!</v>
      </c>
      <c r="AH454" t="e">
        <f ca="1">(LN($A$4/Table133[[#This Row],[Strike]]) + (0.411-0 + 0.5 * Table133[[#This Row],[IV Calc C]]^2) *Table133[[#This Row],[T]]) / (Table133[[#This Row],[IV Calc C]] * SQRT(Table133[[#This Row],[T]]))</f>
        <v>#DIV/0!</v>
      </c>
      <c r="AI454" t="e">
        <f ca="1">(EXP(-(AG454^2)/2)/SQRT(2*PI())*EXP(0*SQRT(Table133[[#This Row],[T]]))/$A$4*18%*SQRT(SQRT(Table133[[#This Row],[T]])))</f>
        <v>#DIV/0!</v>
      </c>
      <c r="AJ454" t="e">
        <f ca="1">(EXP(-(AH454^2)/2)/SQRT(2*PI())*EXP(0*SQRT(Table133[[#This Row],[T]]))/$A$4*18%*SQRT(SQRT(Table133[[#This Row],[T]])))</f>
        <v>#DIV/0!</v>
      </c>
      <c r="AK454" t="e">
        <f ca="1">Table133[[#This Row],[Call D1]]-Table133[[#This Row],[IV Calc C]]*SQRT(Table133[[#This Row],[T]])</f>
        <v>#DIV/0!</v>
      </c>
      <c r="AL454" t="e">
        <f ca="1">Table133[[#This Row],[Put D1]]-Table133[[#This Row],[IV Calc P]]*SQRT(Table133[[#This Row],[T]])</f>
        <v>#DIV/0!</v>
      </c>
      <c r="AM454" t="e">
        <f ca="1">EXP(-0.5*Table133[[#This Row],[Call D1]]^2)/SQRT(2*PI())</f>
        <v>#DIV/0!</v>
      </c>
      <c r="AN454" t="e">
        <f ca="1">EXP(-0.5*Table133[[#This Row],[Put D1]]^2)/SQRT(2*PI())</f>
        <v>#DIV/0!</v>
      </c>
      <c r="AO45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4">
        <f ca="1">((Table133[[#This Row],[call vanna]]+Table133[[#This Row],[put vanna]])*$A$4)</f>
        <v>0</v>
      </c>
      <c r="AR45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4" s="9" t="str" cm="1">
        <f t="array" ref="AT454">_xlfn.IFS(     $M$1="SPX","SPXW",     $M$1="RUT","RUTW",  $M$1="NDX","NDXP",   TRUE,$M$1 )</f>
        <v>SPXW</v>
      </c>
      <c r="AU454" s="2">
        <f t="shared" si="47"/>
        <v>6915</v>
      </c>
      <c r="AV454" t="str">
        <f t="shared" si="48"/>
        <v>000100</v>
      </c>
      <c r="AY45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4">
        <f>((Table133[[#This Row],[High C]]+Table133[[#This Row],[Low C]])/2)*Table133[[#This Row],[gammac]]*Table133[[#This Row],[Volume]]</f>
        <v>0</v>
      </c>
      <c r="BD454">
        <f>((Table133[[#This Row],[High P]]+Table133[[#This Row],[Low P]])/2)*Table133[[#This Row],[gammap]]*Table133[[#This Row],[Volume9]]*-1</f>
        <v>0</v>
      </c>
      <c r="BE454">
        <f>(Table133[[#This Row],[SgammaC]]+Table133[[#This Row],[SgammaP]])*$A$4*-100</f>
        <v>0</v>
      </c>
      <c r="BF454" s="78">
        <f>Table133[[#This Row],[DEXc]]+Table133[[#This Row],[DEXp]]</f>
        <v>0</v>
      </c>
      <c r="BG454">
        <f>IFERROR(Table133[[#This Row],[DeltaC]]*Table133[[#This Row],[Open.Int]]*$A$4,0)</f>
        <v>0</v>
      </c>
      <c r="BH454">
        <f>IFERROR(Table133[[#This Row],[DeltaP]]*Table133[[#This Row],[Open.Int8]]*$A$4,0)</f>
        <v>0</v>
      </c>
      <c r="BI45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4">
        <f ca="1">Table133[[#This Row],[charmc]]+Table133[[#This Row],[charmp]]</f>
        <v>0</v>
      </c>
      <c r="BL45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4" s="78">
        <f ca="1">Table133[[#This Row],[call helper]]+Table133[[#This Row],[put helper]]</f>
        <v>0</v>
      </c>
      <c r="BP454" t="str">
        <f>RTD("tos.rtd", , "STRIKE", "."&amp;Table133[[#This Row],[Ticker]]&amp;Table133[[#This Row],[Expiry]]&amp;""&amp;"C"&amp;Table133[[#This Row],[Spot]]+Table133[[#This Row],[step]])</f>
        <v>N/A</v>
      </c>
    </row>
    <row r="455" spans="1:68" x14ac:dyDescent="0.25">
      <c r="A455" s="14">
        <f t="shared" ca="1" si="44"/>
        <v>-126.14810350076104</v>
      </c>
      <c r="C455" s="17"/>
      <c r="D455" t="str">
        <f>RTD("tos.rtd", , "OPEN_INT", "."&amp;Table133[[#This Row],[Ticker]]&amp;Table133[[#This Row],[Expiry]]&amp;""&amp;"C"&amp;Table133[[#This Row],[Spot]]+Table133[[#This Row],[step]])</f>
        <v>N/A</v>
      </c>
      <c r="E45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5" t="b">
        <f>IF(     ISNUMBER(Table133[[#This Row],[Strike]]),RTD("tos.rtd", , "DELTA", "."&amp;Table133[[#This Row],[Ticker]]&amp;Table133[[#This Row],[Expiry]]&amp;""&amp;"C"&amp;Table133[[#This Row],[Strike]]))</f>
        <v>0</v>
      </c>
      <c r="H455" s="17" cm="1">
        <f t="array" aca="1" ref="H455" ca="1">IndividualLegIVCore($A$4, Table133[[#This Row],[Strike]], 0.0411, Table133[[#This Row],[T]], ((Table133[[#This Row],[BIDC]]+Table133[[#This Row],[ASKC]])/2), TRUE)</f>
        <v>0.01</v>
      </c>
      <c r="I455" t="b">
        <f>IF(     ISNUMBER(Table133[[#This Row],[Strike]]),RTD("tos.rtd", , "BID", "."&amp;Table133[[#This Row],[Ticker]]&amp;Table133[[#This Row],[Expiry]]&amp;""&amp;"C"&amp;Table133[[#This Row],[Strike]]))</f>
        <v>0</v>
      </c>
      <c r="J455" t="b">
        <f>IF(     ISNUMBER(Table133[[#This Row],[Strike]]),RTD("tos.rtd", , "ASK", "."&amp;Table133[[#This Row],[Ticker]]&amp;Table133[[#This Row],[Expiry]]&amp;""&amp;"C"&amp;Table133[[#This Row],[Strike]]))</f>
        <v>0</v>
      </c>
      <c r="K455" s="17"/>
      <c r="M455" s="1">
        <f t="shared" si="45"/>
        <v>0</v>
      </c>
      <c r="N455" t="b">
        <f t="shared" si="46"/>
        <v>0</v>
      </c>
      <c r="P455" s="17" cm="1">
        <f t="array" aca="1" ref="P455" ca="1">IndividualLegIVCore($A$4, Table133[[#This Row],[Strike]], 0.0411, Table133[[#This Row],[T]], ((Table133[[#This Row],[BIDP]]+Table133[[#This Row],[ASKP]])/2), FALSE)</f>
        <v>0.01</v>
      </c>
      <c r="Q455" t="b">
        <f>IF(     ISNUMBER(Table133[[#This Row],[Strike]]),RTD("tos.rtd", , "BID", "."&amp;Table133[[#This Row],[Ticker]]&amp;Table133[[#This Row],[Expiry]]&amp;""&amp;"P"&amp;Table133[[#This Row],[Strike]]))</f>
        <v>0</v>
      </c>
      <c r="R455" t="b">
        <f>IF(     ISNUMBER(Table133[[#This Row],[Strike]]),RTD("tos.rtd", , "ASK", "."&amp;Table133[[#This Row],[Ticker]]&amp;Table133[[#This Row],[Expiry]]&amp;""&amp;"P"&amp;Table133[[#This Row],[Strike]]))</f>
        <v>0</v>
      </c>
      <c r="S455" s="17"/>
      <c r="T455" t="b">
        <f>IF(     ISNUMBER(Table133[[#This Row],[Strike]]),RTD("tos.rtd", , "OPEN_INT", "."&amp;Table133[[#This Row],[Ticker]]&amp;Table133[[#This Row],[Expiry]]&amp;""&amp;"P"&amp;Table133[[#This Row],[Strike]]))</f>
        <v>0</v>
      </c>
      <c r="U45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5" t="b">
        <f>IF(     ISNUMBER(Table133[[#This Row],[Strike]]),RTD("tos.rtd", , "DELTA", "."&amp;Table133[[#This Row],[Ticker]]&amp;Table133[[#This Row],[Expiry]]&amp;""&amp;"P"&amp;Table133[[#This Row],[Strike]]))</f>
        <v>0</v>
      </c>
      <c r="Y455" s="19">
        <f>-30.5* IF($M$1="NDX", 10, IF(OR($M$1="SPX", $M$1="RUT"), 2, 1))</f>
        <v>-61</v>
      </c>
      <c r="Z455">
        <f ca="1">IFERROR(Table133[[#This Row],[call gamma]]*(Table133[[#This Row],[Open.Int]])*$A$4^2,0)</f>
        <v>0</v>
      </c>
      <c r="AA455">
        <f ca="1">IFERROR(((Table133[[#This Row],[Open.Int8]])*Table133[[#This Row],[Put gamma]])*-1*$A$4^2,0)</f>
        <v>0</v>
      </c>
      <c r="AB455">
        <f ca="1">(Table133[[#This Row],[Call Gex]]+Table133[[#This Row],[Put Gex]])</f>
        <v>0</v>
      </c>
      <c r="AC455">
        <f ca="1">Table133[[#This Row],[put delta adj]]+Table133[[#This Row],[call delta adj]]</f>
        <v>0</v>
      </c>
      <c r="AD455">
        <f ca="1">Table133[[#This Row],[Put Gex]]*Table133[[#This Row],[DeltaP]]*-1</f>
        <v>0</v>
      </c>
      <c r="AE455">
        <f ca="1">Table133[[#This Row],[Call Gex]]*Table133[[#This Row],[DeltaC]]</f>
        <v>0</v>
      </c>
      <c r="AF455">
        <f>IF(Table133[[#This Row],[DeltaC]]-ABS(Table133[[#This Row],[DeltaP]])="0","0.01",Table133[[#This Row],[DeltaC]]-ABS(Table133[[#This Row],[DeltaP]]))</f>
        <v>0</v>
      </c>
      <c r="AG455" t="e">
        <f ca="1">((LN($A$4/Table133[[#This Row],[Strike]]) + (0.411 + 0.5 * Table133[[#This Row],[IV Calc P]]^2) *Table133[[#This Row],[T]])) / (Table133[[#This Row],[IV Calc P]] * SQRT(Table133[[#This Row],[T]]))</f>
        <v>#DIV/0!</v>
      </c>
      <c r="AH455" t="e">
        <f ca="1">(LN($A$4/Table133[[#This Row],[Strike]]) + (0.411-0 + 0.5 * Table133[[#This Row],[IV Calc C]]^2) *Table133[[#This Row],[T]]) / (Table133[[#This Row],[IV Calc C]] * SQRT(Table133[[#This Row],[T]]))</f>
        <v>#DIV/0!</v>
      </c>
      <c r="AI455" t="e">
        <f ca="1">(EXP(-(AG455^2)/2)/SQRT(2*PI())*EXP(0*SQRT(Table133[[#This Row],[T]]))/$A$4*18%*SQRT(SQRT(Table133[[#This Row],[T]])))</f>
        <v>#DIV/0!</v>
      </c>
      <c r="AJ455" t="e">
        <f ca="1">(EXP(-(AH455^2)/2)/SQRT(2*PI())*EXP(0*SQRT(Table133[[#This Row],[T]]))/$A$4*18%*SQRT(SQRT(Table133[[#This Row],[T]])))</f>
        <v>#DIV/0!</v>
      </c>
      <c r="AK455" t="e">
        <f ca="1">Table133[[#This Row],[Call D1]]-Table133[[#This Row],[IV Calc C]]*SQRT(Table133[[#This Row],[T]])</f>
        <v>#DIV/0!</v>
      </c>
      <c r="AL455" t="e">
        <f ca="1">Table133[[#This Row],[Put D1]]-Table133[[#This Row],[IV Calc P]]*SQRT(Table133[[#This Row],[T]])</f>
        <v>#DIV/0!</v>
      </c>
      <c r="AM455" t="e">
        <f ca="1">EXP(-0.5*Table133[[#This Row],[Call D1]]^2)/SQRT(2*PI())</f>
        <v>#DIV/0!</v>
      </c>
      <c r="AN455" t="e">
        <f ca="1">EXP(-0.5*Table133[[#This Row],[Put D1]]^2)/SQRT(2*PI())</f>
        <v>#DIV/0!</v>
      </c>
      <c r="AO45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5">
        <f ca="1">((Table133[[#This Row],[call vanna]]+Table133[[#This Row],[put vanna]])*$A$4)</f>
        <v>0</v>
      </c>
      <c r="AR45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5" s="9" t="str" cm="1">
        <f t="array" ref="AT455">_xlfn.IFS(     $M$1="SPX","SPXW",     $M$1="RUT","RUTW",  $M$1="NDX","NDXP",   TRUE,$M$1 )</f>
        <v>SPXW</v>
      </c>
      <c r="AU455" s="2">
        <f t="shared" si="47"/>
        <v>6915</v>
      </c>
      <c r="AV455" t="str">
        <f t="shared" si="48"/>
        <v>000100</v>
      </c>
      <c r="AY45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5">
        <f>((Table133[[#This Row],[High C]]+Table133[[#This Row],[Low C]])/2)*Table133[[#This Row],[gammac]]*Table133[[#This Row],[Volume]]</f>
        <v>0</v>
      </c>
      <c r="BD455">
        <f>((Table133[[#This Row],[High P]]+Table133[[#This Row],[Low P]])/2)*Table133[[#This Row],[gammap]]*Table133[[#This Row],[Volume9]]*-1</f>
        <v>0</v>
      </c>
      <c r="BE455">
        <f>(Table133[[#This Row],[SgammaC]]+Table133[[#This Row],[SgammaP]])*$A$4*-100</f>
        <v>0</v>
      </c>
      <c r="BF455" s="78">
        <f>Table133[[#This Row],[DEXc]]+Table133[[#This Row],[DEXp]]</f>
        <v>0</v>
      </c>
      <c r="BG455">
        <f>IFERROR(Table133[[#This Row],[DeltaC]]*Table133[[#This Row],[Open.Int]]*$A$4,0)</f>
        <v>0</v>
      </c>
      <c r="BH455">
        <f>IFERROR(Table133[[#This Row],[DeltaP]]*Table133[[#This Row],[Open.Int8]]*$A$4,0)</f>
        <v>0</v>
      </c>
      <c r="BI45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5">
        <f ca="1">Table133[[#This Row],[charmc]]+Table133[[#This Row],[charmp]]</f>
        <v>0</v>
      </c>
      <c r="BL45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5" s="78">
        <f ca="1">Table133[[#This Row],[call helper]]+Table133[[#This Row],[put helper]]</f>
        <v>0</v>
      </c>
      <c r="BP455" t="str">
        <f>RTD("tos.rtd", , "STRIKE", "."&amp;Table133[[#This Row],[Ticker]]&amp;Table133[[#This Row],[Expiry]]&amp;""&amp;"C"&amp;Table133[[#This Row],[Spot]]+Table133[[#This Row],[step]])</f>
        <v>N/A</v>
      </c>
    </row>
    <row r="456" spans="1:68" x14ac:dyDescent="0.25">
      <c r="A456" s="14">
        <f t="shared" ca="1" si="44"/>
        <v>-126.14810350076104</v>
      </c>
      <c r="C456" s="17"/>
      <c r="D456" t="str">
        <f>RTD("tos.rtd", , "OPEN_INT", "."&amp;Table133[[#This Row],[Ticker]]&amp;Table133[[#This Row],[Expiry]]&amp;""&amp;"C"&amp;Table133[[#This Row],[Spot]]+Table133[[#This Row],[step]])</f>
        <v>N/A</v>
      </c>
      <c r="E45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6" t="b">
        <f>IF(     ISNUMBER(Table133[[#This Row],[Strike]]),RTD("tos.rtd", , "DELTA", "."&amp;Table133[[#This Row],[Ticker]]&amp;Table133[[#This Row],[Expiry]]&amp;""&amp;"C"&amp;Table133[[#This Row],[Strike]]))</f>
        <v>0</v>
      </c>
      <c r="H456" s="17" cm="1">
        <f t="array" aca="1" ref="H456" ca="1">IndividualLegIVCore($A$4, Table133[[#This Row],[Strike]], 0.0411, Table133[[#This Row],[T]], ((Table133[[#This Row],[BIDC]]+Table133[[#This Row],[ASKC]])/2), TRUE)</f>
        <v>0.01</v>
      </c>
      <c r="I456" t="b">
        <f>IF(     ISNUMBER(Table133[[#This Row],[Strike]]),RTD("tos.rtd", , "BID", "."&amp;Table133[[#This Row],[Ticker]]&amp;Table133[[#This Row],[Expiry]]&amp;""&amp;"C"&amp;Table133[[#This Row],[Strike]]))</f>
        <v>0</v>
      </c>
      <c r="J456" t="b">
        <f>IF(     ISNUMBER(Table133[[#This Row],[Strike]]),RTD("tos.rtd", , "ASK", "."&amp;Table133[[#This Row],[Ticker]]&amp;Table133[[#This Row],[Expiry]]&amp;""&amp;"C"&amp;Table133[[#This Row],[Strike]]))</f>
        <v>0</v>
      </c>
      <c r="K456" s="17"/>
      <c r="M456" s="1">
        <f t="shared" si="45"/>
        <v>0</v>
      </c>
      <c r="N456" t="b">
        <f t="shared" si="46"/>
        <v>0</v>
      </c>
      <c r="P456" s="17" cm="1">
        <f t="array" aca="1" ref="P456" ca="1">IndividualLegIVCore($A$4, Table133[[#This Row],[Strike]], 0.0411, Table133[[#This Row],[T]], ((Table133[[#This Row],[BIDP]]+Table133[[#This Row],[ASKP]])/2), FALSE)</f>
        <v>0.01</v>
      </c>
      <c r="Q456" t="b">
        <f>IF(     ISNUMBER(Table133[[#This Row],[Strike]]),RTD("tos.rtd", , "BID", "."&amp;Table133[[#This Row],[Ticker]]&amp;Table133[[#This Row],[Expiry]]&amp;""&amp;"P"&amp;Table133[[#This Row],[Strike]]))</f>
        <v>0</v>
      </c>
      <c r="R456" t="b">
        <f>IF(     ISNUMBER(Table133[[#This Row],[Strike]]),RTD("tos.rtd", , "ASK", "."&amp;Table133[[#This Row],[Ticker]]&amp;Table133[[#This Row],[Expiry]]&amp;""&amp;"P"&amp;Table133[[#This Row],[Strike]]))</f>
        <v>0</v>
      </c>
      <c r="S456" s="17"/>
      <c r="T456" t="b">
        <f>IF(     ISNUMBER(Table133[[#This Row],[Strike]]),RTD("tos.rtd", , "OPEN_INT", "."&amp;Table133[[#This Row],[Ticker]]&amp;Table133[[#This Row],[Expiry]]&amp;""&amp;"P"&amp;Table133[[#This Row],[Strike]]))</f>
        <v>0</v>
      </c>
      <c r="U45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6" t="b">
        <f>IF(     ISNUMBER(Table133[[#This Row],[Strike]]),RTD("tos.rtd", , "DELTA", "."&amp;Table133[[#This Row],[Ticker]]&amp;Table133[[#This Row],[Expiry]]&amp;""&amp;"P"&amp;Table133[[#This Row],[Strike]]))</f>
        <v>0</v>
      </c>
      <c r="Y456" s="19">
        <f>-30* IF($M$1="NDX", 10, IF(OR($M$1="SPX", $M$1="RUT"), 2, 1))</f>
        <v>-60</v>
      </c>
      <c r="Z456">
        <f ca="1">IFERROR(Table133[[#This Row],[call gamma]]*(Table133[[#This Row],[Open.Int]])*$A$4^2,0)</f>
        <v>0</v>
      </c>
      <c r="AA456">
        <f ca="1">IFERROR(((Table133[[#This Row],[Open.Int8]])*Table133[[#This Row],[Put gamma]])*-1*$A$4^2,0)</f>
        <v>0</v>
      </c>
      <c r="AB456">
        <f ca="1">(Table133[[#This Row],[Call Gex]]+Table133[[#This Row],[Put Gex]])</f>
        <v>0</v>
      </c>
      <c r="AC456">
        <f ca="1">Table133[[#This Row],[put delta adj]]+Table133[[#This Row],[call delta adj]]</f>
        <v>0</v>
      </c>
      <c r="AD456">
        <f ca="1">Table133[[#This Row],[Put Gex]]*Table133[[#This Row],[DeltaP]]*-1</f>
        <v>0</v>
      </c>
      <c r="AE456">
        <f ca="1">Table133[[#This Row],[Call Gex]]*Table133[[#This Row],[DeltaC]]</f>
        <v>0</v>
      </c>
      <c r="AF456">
        <f>IF(Table133[[#This Row],[DeltaC]]-ABS(Table133[[#This Row],[DeltaP]])="0","0.01",Table133[[#This Row],[DeltaC]]-ABS(Table133[[#This Row],[DeltaP]]))</f>
        <v>0</v>
      </c>
      <c r="AG456" t="e">
        <f ca="1">((LN($A$4/Table133[[#This Row],[Strike]]) + (0.411 + 0.5 * Table133[[#This Row],[IV Calc P]]^2) *Table133[[#This Row],[T]])) / (Table133[[#This Row],[IV Calc P]] * SQRT(Table133[[#This Row],[T]]))</f>
        <v>#DIV/0!</v>
      </c>
      <c r="AH456" t="e">
        <f ca="1">(LN($A$4/Table133[[#This Row],[Strike]]) + (0.411-0 + 0.5 * Table133[[#This Row],[IV Calc C]]^2) *Table133[[#This Row],[T]]) / (Table133[[#This Row],[IV Calc C]] * SQRT(Table133[[#This Row],[T]]))</f>
        <v>#DIV/0!</v>
      </c>
      <c r="AI456" t="e">
        <f ca="1">(EXP(-(AG456^2)/2)/SQRT(2*PI())*EXP(0*SQRT(Table133[[#This Row],[T]]))/$A$4*18%*SQRT(SQRT(Table133[[#This Row],[T]])))</f>
        <v>#DIV/0!</v>
      </c>
      <c r="AJ456" t="e">
        <f ca="1">(EXP(-(AH456^2)/2)/SQRT(2*PI())*EXP(0*SQRT(Table133[[#This Row],[T]]))/$A$4*18%*SQRT(SQRT(Table133[[#This Row],[T]])))</f>
        <v>#DIV/0!</v>
      </c>
      <c r="AK456" t="e">
        <f ca="1">Table133[[#This Row],[Call D1]]-Table133[[#This Row],[IV Calc C]]*SQRT(Table133[[#This Row],[T]])</f>
        <v>#DIV/0!</v>
      </c>
      <c r="AL456" t="e">
        <f ca="1">Table133[[#This Row],[Put D1]]-Table133[[#This Row],[IV Calc P]]*SQRT(Table133[[#This Row],[T]])</f>
        <v>#DIV/0!</v>
      </c>
      <c r="AM456" t="e">
        <f ca="1">EXP(-0.5*Table133[[#This Row],[Call D1]]^2)/SQRT(2*PI())</f>
        <v>#DIV/0!</v>
      </c>
      <c r="AN456" t="e">
        <f ca="1">EXP(-0.5*Table133[[#This Row],[Put D1]]^2)/SQRT(2*PI())</f>
        <v>#DIV/0!</v>
      </c>
      <c r="AO45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6">
        <f ca="1">((Table133[[#This Row],[call vanna]]+Table133[[#This Row],[put vanna]])*$A$4)</f>
        <v>0</v>
      </c>
      <c r="AR45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6" s="9" t="str" cm="1">
        <f t="array" ref="AT456">_xlfn.IFS(     $M$1="SPX","SPXW",     $M$1="RUT","RUTW",  $M$1="NDX","NDXP",   TRUE,$M$1 )</f>
        <v>SPXW</v>
      </c>
      <c r="AU456" s="2">
        <f t="shared" si="47"/>
        <v>6915</v>
      </c>
      <c r="AV456" t="str">
        <f t="shared" si="48"/>
        <v>000100</v>
      </c>
      <c r="AY45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6">
        <f>((Table133[[#This Row],[High C]]+Table133[[#This Row],[Low C]])/2)*Table133[[#This Row],[gammac]]*Table133[[#This Row],[Volume]]</f>
        <v>0</v>
      </c>
      <c r="BD456">
        <f>((Table133[[#This Row],[High P]]+Table133[[#This Row],[Low P]])/2)*Table133[[#This Row],[gammap]]*Table133[[#This Row],[Volume9]]*-1</f>
        <v>0</v>
      </c>
      <c r="BE456">
        <f>(Table133[[#This Row],[SgammaC]]+Table133[[#This Row],[SgammaP]])*$A$4*-100</f>
        <v>0</v>
      </c>
      <c r="BF456" s="78">
        <f>Table133[[#This Row],[DEXc]]+Table133[[#This Row],[DEXp]]</f>
        <v>0</v>
      </c>
      <c r="BG456">
        <f>IFERROR(Table133[[#This Row],[DeltaC]]*Table133[[#This Row],[Open.Int]]*$A$4,0)</f>
        <v>0</v>
      </c>
      <c r="BH456">
        <f>IFERROR(Table133[[#This Row],[DeltaP]]*Table133[[#This Row],[Open.Int8]]*$A$4,0)</f>
        <v>0</v>
      </c>
      <c r="BI45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6">
        <f ca="1">Table133[[#This Row],[charmc]]+Table133[[#This Row],[charmp]]</f>
        <v>0</v>
      </c>
      <c r="BL45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6" s="78">
        <f ca="1">Table133[[#This Row],[call helper]]+Table133[[#This Row],[put helper]]</f>
        <v>0</v>
      </c>
      <c r="BP456" t="str">
        <f>RTD("tos.rtd", , "STRIKE", "."&amp;Table133[[#This Row],[Ticker]]&amp;Table133[[#This Row],[Expiry]]&amp;""&amp;"C"&amp;Table133[[#This Row],[Spot]]+Table133[[#This Row],[step]])</f>
        <v>N/A</v>
      </c>
    </row>
    <row r="457" spans="1:68" x14ac:dyDescent="0.25">
      <c r="A457" s="14">
        <f t="shared" ca="1" si="44"/>
        <v>-126.14810350076104</v>
      </c>
      <c r="C457" s="17"/>
      <c r="D457" t="str">
        <f>RTD("tos.rtd", , "OPEN_INT", "."&amp;Table133[[#This Row],[Ticker]]&amp;Table133[[#This Row],[Expiry]]&amp;""&amp;"C"&amp;Table133[[#This Row],[Spot]]+Table133[[#This Row],[step]])</f>
        <v>N/A</v>
      </c>
      <c r="E45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7" t="b">
        <f>IF(     ISNUMBER(Table133[[#This Row],[Strike]]),RTD("tos.rtd", , "DELTA", "."&amp;Table133[[#This Row],[Ticker]]&amp;Table133[[#This Row],[Expiry]]&amp;""&amp;"C"&amp;Table133[[#This Row],[Strike]]))</f>
        <v>0</v>
      </c>
      <c r="H457" s="17" cm="1">
        <f t="array" aca="1" ref="H457" ca="1">IndividualLegIVCore($A$4, Table133[[#This Row],[Strike]], 0.0411, Table133[[#This Row],[T]], ((Table133[[#This Row],[BIDC]]+Table133[[#This Row],[ASKC]])/2), TRUE)</f>
        <v>0.01</v>
      </c>
      <c r="I457" t="b">
        <f>IF(     ISNUMBER(Table133[[#This Row],[Strike]]),RTD("tos.rtd", , "BID", "."&amp;Table133[[#This Row],[Ticker]]&amp;Table133[[#This Row],[Expiry]]&amp;""&amp;"C"&amp;Table133[[#This Row],[Strike]]))</f>
        <v>0</v>
      </c>
      <c r="J457" t="b">
        <f>IF(     ISNUMBER(Table133[[#This Row],[Strike]]),RTD("tos.rtd", , "ASK", "."&amp;Table133[[#This Row],[Ticker]]&amp;Table133[[#This Row],[Expiry]]&amp;""&amp;"C"&amp;Table133[[#This Row],[Strike]]))</f>
        <v>0</v>
      </c>
      <c r="K457" s="17"/>
      <c r="M457" s="1">
        <f t="shared" si="45"/>
        <v>0</v>
      </c>
      <c r="N457" t="b">
        <f t="shared" si="46"/>
        <v>0</v>
      </c>
      <c r="P457" s="17" cm="1">
        <f t="array" aca="1" ref="P457" ca="1">IndividualLegIVCore($A$4, Table133[[#This Row],[Strike]], 0.0411, Table133[[#This Row],[T]], ((Table133[[#This Row],[BIDP]]+Table133[[#This Row],[ASKP]])/2), FALSE)</f>
        <v>0.01</v>
      </c>
      <c r="Q457" t="b">
        <f>IF(     ISNUMBER(Table133[[#This Row],[Strike]]),RTD("tos.rtd", , "BID", "."&amp;Table133[[#This Row],[Ticker]]&amp;Table133[[#This Row],[Expiry]]&amp;""&amp;"P"&amp;Table133[[#This Row],[Strike]]))</f>
        <v>0</v>
      </c>
      <c r="R457" t="b">
        <f>IF(     ISNUMBER(Table133[[#This Row],[Strike]]),RTD("tos.rtd", , "ASK", "."&amp;Table133[[#This Row],[Ticker]]&amp;Table133[[#This Row],[Expiry]]&amp;""&amp;"P"&amp;Table133[[#This Row],[Strike]]))</f>
        <v>0</v>
      </c>
      <c r="S457" s="17"/>
      <c r="T457" t="b">
        <f>IF(     ISNUMBER(Table133[[#This Row],[Strike]]),RTD("tos.rtd", , "OPEN_INT", "."&amp;Table133[[#This Row],[Ticker]]&amp;Table133[[#This Row],[Expiry]]&amp;""&amp;"P"&amp;Table133[[#This Row],[Strike]]))</f>
        <v>0</v>
      </c>
      <c r="U45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7" t="b">
        <f>IF(     ISNUMBER(Table133[[#This Row],[Strike]]),RTD("tos.rtd", , "DELTA", "."&amp;Table133[[#This Row],[Ticker]]&amp;Table133[[#This Row],[Expiry]]&amp;""&amp;"P"&amp;Table133[[#This Row],[Strike]]))</f>
        <v>0</v>
      </c>
      <c r="Y457" s="19">
        <f>-29.5* IF($M$1="NDX", 10, IF(OR($M$1="SPX", $M$1="RUT"), 2, 1))</f>
        <v>-59</v>
      </c>
      <c r="Z457">
        <f ca="1">IFERROR(Table133[[#This Row],[call gamma]]*(Table133[[#This Row],[Open.Int]])*$A$4^2,0)</f>
        <v>0</v>
      </c>
      <c r="AA457">
        <f ca="1">IFERROR(((Table133[[#This Row],[Open.Int8]])*Table133[[#This Row],[Put gamma]])*-1*$A$4^2,0)</f>
        <v>0</v>
      </c>
      <c r="AB457">
        <f ca="1">(Table133[[#This Row],[Call Gex]]+Table133[[#This Row],[Put Gex]])</f>
        <v>0</v>
      </c>
      <c r="AC457">
        <f ca="1">Table133[[#This Row],[put delta adj]]+Table133[[#This Row],[call delta adj]]</f>
        <v>0</v>
      </c>
      <c r="AD457">
        <f ca="1">Table133[[#This Row],[Put Gex]]*Table133[[#This Row],[DeltaP]]*-1</f>
        <v>0</v>
      </c>
      <c r="AE457">
        <f ca="1">Table133[[#This Row],[Call Gex]]*Table133[[#This Row],[DeltaC]]</f>
        <v>0</v>
      </c>
      <c r="AF457">
        <f>IF(Table133[[#This Row],[DeltaC]]-ABS(Table133[[#This Row],[DeltaP]])="0","0.01",Table133[[#This Row],[DeltaC]]-ABS(Table133[[#This Row],[DeltaP]]))</f>
        <v>0</v>
      </c>
      <c r="AG457" t="e">
        <f ca="1">((LN($A$4/Table133[[#This Row],[Strike]]) + (0.411 + 0.5 * Table133[[#This Row],[IV Calc P]]^2) *Table133[[#This Row],[T]])) / (Table133[[#This Row],[IV Calc P]] * SQRT(Table133[[#This Row],[T]]))</f>
        <v>#DIV/0!</v>
      </c>
      <c r="AH457" t="e">
        <f ca="1">(LN($A$4/Table133[[#This Row],[Strike]]) + (0.411-0 + 0.5 * Table133[[#This Row],[IV Calc C]]^2) *Table133[[#This Row],[T]]) / (Table133[[#This Row],[IV Calc C]] * SQRT(Table133[[#This Row],[T]]))</f>
        <v>#DIV/0!</v>
      </c>
      <c r="AI457" t="e">
        <f ca="1">(EXP(-(AG457^2)/2)/SQRT(2*PI())*EXP(0*SQRT(Table133[[#This Row],[T]]))/$A$4*18%*SQRT(SQRT(Table133[[#This Row],[T]])))</f>
        <v>#DIV/0!</v>
      </c>
      <c r="AJ457" t="e">
        <f ca="1">(EXP(-(AH457^2)/2)/SQRT(2*PI())*EXP(0*SQRT(Table133[[#This Row],[T]]))/$A$4*18%*SQRT(SQRT(Table133[[#This Row],[T]])))</f>
        <v>#DIV/0!</v>
      </c>
      <c r="AK457" t="e">
        <f ca="1">Table133[[#This Row],[Call D1]]-Table133[[#This Row],[IV Calc C]]*SQRT(Table133[[#This Row],[T]])</f>
        <v>#DIV/0!</v>
      </c>
      <c r="AL457" t="e">
        <f ca="1">Table133[[#This Row],[Put D1]]-Table133[[#This Row],[IV Calc P]]*SQRT(Table133[[#This Row],[T]])</f>
        <v>#DIV/0!</v>
      </c>
      <c r="AM457" t="e">
        <f ca="1">EXP(-0.5*Table133[[#This Row],[Call D1]]^2)/SQRT(2*PI())</f>
        <v>#DIV/0!</v>
      </c>
      <c r="AN457" t="e">
        <f ca="1">EXP(-0.5*Table133[[#This Row],[Put D1]]^2)/SQRT(2*PI())</f>
        <v>#DIV/0!</v>
      </c>
      <c r="AO45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7">
        <f ca="1">((Table133[[#This Row],[call vanna]]+Table133[[#This Row],[put vanna]])*$A$4)</f>
        <v>0</v>
      </c>
      <c r="AR45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7" s="9" t="str" cm="1">
        <f t="array" ref="AT457">_xlfn.IFS(     $M$1="SPX","SPXW",     $M$1="RUT","RUTW",  $M$1="NDX","NDXP",   TRUE,$M$1 )</f>
        <v>SPXW</v>
      </c>
      <c r="AU457" s="2">
        <f t="shared" si="47"/>
        <v>6915</v>
      </c>
      <c r="AV457" t="str">
        <f t="shared" si="48"/>
        <v>000100</v>
      </c>
      <c r="AY45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7">
        <f>((Table133[[#This Row],[High C]]+Table133[[#This Row],[Low C]])/2)*Table133[[#This Row],[gammac]]*Table133[[#This Row],[Volume]]</f>
        <v>0</v>
      </c>
      <c r="BD457">
        <f>((Table133[[#This Row],[High P]]+Table133[[#This Row],[Low P]])/2)*Table133[[#This Row],[gammap]]*Table133[[#This Row],[Volume9]]*-1</f>
        <v>0</v>
      </c>
      <c r="BE457">
        <f>(Table133[[#This Row],[SgammaC]]+Table133[[#This Row],[SgammaP]])*$A$4*-100</f>
        <v>0</v>
      </c>
      <c r="BF457" s="78">
        <f>Table133[[#This Row],[DEXc]]+Table133[[#This Row],[DEXp]]</f>
        <v>0</v>
      </c>
      <c r="BG457">
        <f>IFERROR(Table133[[#This Row],[DeltaC]]*Table133[[#This Row],[Open.Int]]*$A$4,0)</f>
        <v>0</v>
      </c>
      <c r="BH457">
        <f>IFERROR(Table133[[#This Row],[DeltaP]]*Table133[[#This Row],[Open.Int8]]*$A$4,0)</f>
        <v>0</v>
      </c>
      <c r="BI45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7">
        <f ca="1">Table133[[#This Row],[charmc]]+Table133[[#This Row],[charmp]]</f>
        <v>0</v>
      </c>
      <c r="BL45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7" s="78">
        <f ca="1">Table133[[#This Row],[call helper]]+Table133[[#This Row],[put helper]]</f>
        <v>0</v>
      </c>
      <c r="BP457" t="str">
        <f>RTD("tos.rtd", , "STRIKE", "."&amp;Table133[[#This Row],[Ticker]]&amp;Table133[[#This Row],[Expiry]]&amp;""&amp;"C"&amp;Table133[[#This Row],[Spot]]+Table133[[#This Row],[step]])</f>
        <v>N/A</v>
      </c>
    </row>
    <row r="458" spans="1:68" x14ac:dyDescent="0.25">
      <c r="A458" s="14">
        <f t="shared" ca="1" si="44"/>
        <v>-126.14810350076104</v>
      </c>
      <c r="C458" s="17"/>
      <c r="D458" t="str">
        <f>RTD("tos.rtd", , "OPEN_INT", "."&amp;Table133[[#This Row],[Ticker]]&amp;Table133[[#This Row],[Expiry]]&amp;""&amp;"C"&amp;Table133[[#This Row],[Spot]]+Table133[[#This Row],[step]])</f>
        <v>N/A</v>
      </c>
      <c r="E45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8" t="b">
        <f>IF(     ISNUMBER(Table133[[#This Row],[Strike]]),RTD("tos.rtd", , "DELTA", "."&amp;Table133[[#This Row],[Ticker]]&amp;Table133[[#This Row],[Expiry]]&amp;""&amp;"C"&amp;Table133[[#This Row],[Strike]]))</f>
        <v>0</v>
      </c>
      <c r="H458" s="17" cm="1">
        <f t="array" aca="1" ref="H458" ca="1">IndividualLegIVCore($A$4, Table133[[#This Row],[Strike]], 0.0411, Table133[[#This Row],[T]], ((Table133[[#This Row],[BIDC]]+Table133[[#This Row],[ASKC]])/2), TRUE)</f>
        <v>0.01</v>
      </c>
      <c r="I458" t="b">
        <f>IF(     ISNUMBER(Table133[[#This Row],[Strike]]),RTD("tos.rtd", , "BID", "."&amp;Table133[[#This Row],[Ticker]]&amp;Table133[[#This Row],[Expiry]]&amp;""&amp;"C"&amp;Table133[[#This Row],[Strike]]))</f>
        <v>0</v>
      </c>
      <c r="J458" t="b">
        <f>IF(     ISNUMBER(Table133[[#This Row],[Strike]]),RTD("tos.rtd", , "ASK", "."&amp;Table133[[#This Row],[Ticker]]&amp;Table133[[#This Row],[Expiry]]&amp;""&amp;"C"&amp;Table133[[#This Row],[Strike]]))</f>
        <v>0</v>
      </c>
      <c r="K458" s="17"/>
      <c r="M458" s="1">
        <f t="shared" si="45"/>
        <v>0</v>
      </c>
      <c r="N458" t="b">
        <f t="shared" si="46"/>
        <v>0</v>
      </c>
      <c r="P458" s="17" cm="1">
        <f t="array" aca="1" ref="P458" ca="1">IndividualLegIVCore($A$4, Table133[[#This Row],[Strike]], 0.0411, Table133[[#This Row],[T]], ((Table133[[#This Row],[BIDP]]+Table133[[#This Row],[ASKP]])/2), FALSE)</f>
        <v>0.01</v>
      </c>
      <c r="Q458" t="b">
        <f>IF(     ISNUMBER(Table133[[#This Row],[Strike]]),RTD("tos.rtd", , "BID", "."&amp;Table133[[#This Row],[Ticker]]&amp;Table133[[#This Row],[Expiry]]&amp;""&amp;"P"&amp;Table133[[#This Row],[Strike]]))</f>
        <v>0</v>
      </c>
      <c r="R458" t="b">
        <f>IF(     ISNUMBER(Table133[[#This Row],[Strike]]),RTD("tos.rtd", , "ASK", "."&amp;Table133[[#This Row],[Ticker]]&amp;Table133[[#This Row],[Expiry]]&amp;""&amp;"P"&amp;Table133[[#This Row],[Strike]]))</f>
        <v>0</v>
      </c>
      <c r="S458" s="17"/>
      <c r="T458" t="b">
        <f>IF(     ISNUMBER(Table133[[#This Row],[Strike]]),RTD("tos.rtd", , "OPEN_INT", "."&amp;Table133[[#This Row],[Ticker]]&amp;Table133[[#This Row],[Expiry]]&amp;""&amp;"P"&amp;Table133[[#This Row],[Strike]]))</f>
        <v>0</v>
      </c>
      <c r="U45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8" t="b">
        <f>IF(     ISNUMBER(Table133[[#This Row],[Strike]]),RTD("tos.rtd", , "DELTA", "."&amp;Table133[[#This Row],[Ticker]]&amp;Table133[[#This Row],[Expiry]]&amp;""&amp;"P"&amp;Table133[[#This Row],[Strike]]))</f>
        <v>0</v>
      </c>
      <c r="Y458" s="19">
        <f>-29* IF($M$1="NDX", 10, IF(OR($M$1="SPX", $M$1="RUT"), 2, 1))</f>
        <v>-58</v>
      </c>
      <c r="Z458">
        <f ca="1">IFERROR(Table133[[#This Row],[call gamma]]*(Table133[[#This Row],[Open.Int]])*$A$4^2,0)</f>
        <v>0</v>
      </c>
      <c r="AA458">
        <f ca="1">IFERROR(((Table133[[#This Row],[Open.Int8]])*Table133[[#This Row],[Put gamma]])*-1*$A$4^2,0)</f>
        <v>0</v>
      </c>
      <c r="AB458">
        <f ca="1">(Table133[[#This Row],[Call Gex]]+Table133[[#This Row],[Put Gex]])</f>
        <v>0</v>
      </c>
      <c r="AC458">
        <f ca="1">Table133[[#This Row],[put delta adj]]+Table133[[#This Row],[call delta adj]]</f>
        <v>0</v>
      </c>
      <c r="AD458">
        <f ca="1">Table133[[#This Row],[Put Gex]]*Table133[[#This Row],[DeltaP]]*-1</f>
        <v>0</v>
      </c>
      <c r="AE458">
        <f ca="1">Table133[[#This Row],[Call Gex]]*Table133[[#This Row],[DeltaC]]</f>
        <v>0</v>
      </c>
      <c r="AF458">
        <f>IF(Table133[[#This Row],[DeltaC]]-ABS(Table133[[#This Row],[DeltaP]])="0","0.01",Table133[[#This Row],[DeltaC]]-ABS(Table133[[#This Row],[DeltaP]]))</f>
        <v>0</v>
      </c>
      <c r="AG458" t="e">
        <f ca="1">((LN($A$4/Table133[[#This Row],[Strike]]) + (0.411 + 0.5 * Table133[[#This Row],[IV Calc P]]^2) *Table133[[#This Row],[T]])) / (Table133[[#This Row],[IV Calc P]] * SQRT(Table133[[#This Row],[T]]))</f>
        <v>#DIV/0!</v>
      </c>
      <c r="AH458" t="e">
        <f ca="1">(LN($A$4/Table133[[#This Row],[Strike]]) + (0.411-0 + 0.5 * Table133[[#This Row],[IV Calc C]]^2) *Table133[[#This Row],[T]]) / (Table133[[#This Row],[IV Calc C]] * SQRT(Table133[[#This Row],[T]]))</f>
        <v>#DIV/0!</v>
      </c>
      <c r="AI458" t="e">
        <f ca="1">(EXP(-(AG458^2)/2)/SQRT(2*PI())*EXP(0*SQRT(Table133[[#This Row],[T]]))/$A$4*18%*SQRT(SQRT(Table133[[#This Row],[T]])))</f>
        <v>#DIV/0!</v>
      </c>
      <c r="AJ458" t="e">
        <f ca="1">(EXP(-(AH458^2)/2)/SQRT(2*PI())*EXP(0*SQRT(Table133[[#This Row],[T]]))/$A$4*18%*SQRT(SQRT(Table133[[#This Row],[T]])))</f>
        <v>#DIV/0!</v>
      </c>
      <c r="AK458" t="e">
        <f ca="1">Table133[[#This Row],[Call D1]]-Table133[[#This Row],[IV Calc C]]*SQRT(Table133[[#This Row],[T]])</f>
        <v>#DIV/0!</v>
      </c>
      <c r="AL458" t="e">
        <f ca="1">Table133[[#This Row],[Put D1]]-Table133[[#This Row],[IV Calc P]]*SQRT(Table133[[#This Row],[T]])</f>
        <v>#DIV/0!</v>
      </c>
      <c r="AM458" t="e">
        <f ca="1">EXP(-0.5*Table133[[#This Row],[Call D1]]^2)/SQRT(2*PI())</f>
        <v>#DIV/0!</v>
      </c>
      <c r="AN458" t="e">
        <f ca="1">EXP(-0.5*Table133[[#This Row],[Put D1]]^2)/SQRT(2*PI())</f>
        <v>#DIV/0!</v>
      </c>
      <c r="AO45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8">
        <f ca="1">((Table133[[#This Row],[call vanna]]+Table133[[#This Row],[put vanna]])*$A$4)</f>
        <v>0</v>
      </c>
      <c r="AR45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8" s="9" t="str" cm="1">
        <f t="array" ref="AT458">_xlfn.IFS(     $M$1="SPX","SPXW",     $M$1="RUT","RUTW",  $M$1="NDX","NDXP",   TRUE,$M$1 )</f>
        <v>SPXW</v>
      </c>
      <c r="AU458" s="2">
        <f t="shared" si="47"/>
        <v>6915</v>
      </c>
      <c r="AV458" t="str">
        <f t="shared" si="48"/>
        <v>000100</v>
      </c>
      <c r="AY45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8">
        <f>((Table133[[#This Row],[High C]]+Table133[[#This Row],[Low C]])/2)*Table133[[#This Row],[gammac]]*Table133[[#This Row],[Volume]]</f>
        <v>0</v>
      </c>
      <c r="BD458">
        <f>((Table133[[#This Row],[High P]]+Table133[[#This Row],[Low P]])/2)*Table133[[#This Row],[gammap]]*Table133[[#This Row],[Volume9]]*-1</f>
        <v>0</v>
      </c>
      <c r="BE458">
        <f>(Table133[[#This Row],[SgammaC]]+Table133[[#This Row],[SgammaP]])*$A$4*-100</f>
        <v>0</v>
      </c>
      <c r="BF458" s="78">
        <f>Table133[[#This Row],[DEXc]]+Table133[[#This Row],[DEXp]]</f>
        <v>0</v>
      </c>
      <c r="BG458">
        <f>IFERROR(Table133[[#This Row],[DeltaC]]*Table133[[#This Row],[Open.Int]]*$A$4,0)</f>
        <v>0</v>
      </c>
      <c r="BH458">
        <f>IFERROR(Table133[[#This Row],[DeltaP]]*Table133[[#This Row],[Open.Int8]]*$A$4,0)</f>
        <v>0</v>
      </c>
      <c r="BI45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8">
        <f ca="1">Table133[[#This Row],[charmc]]+Table133[[#This Row],[charmp]]</f>
        <v>0</v>
      </c>
      <c r="BL45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8" s="78">
        <f ca="1">Table133[[#This Row],[call helper]]+Table133[[#This Row],[put helper]]</f>
        <v>0</v>
      </c>
      <c r="BP458" t="str">
        <f>RTD("tos.rtd", , "STRIKE", "."&amp;Table133[[#This Row],[Ticker]]&amp;Table133[[#This Row],[Expiry]]&amp;""&amp;"C"&amp;Table133[[#This Row],[Spot]]+Table133[[#This Row],[step]])</f>
        <v>N/A</v>
      </c>
    </row>
    <row r="459" spans="1:68" x14ac:dyDescent="0.25">
      <c r="A459" s="14">
        <f t="shared" ca="1" si="44"/>
        <v>-126.14810350076104</v>
      </c>
      <c r="C459" s="17"/>
      <c r="D459" t="str">
        <f>RTD("tos.rtd", , "OPEN_INT", "."&amp;Table133[[#This Row],[Ticker]]&amp;Table133[[#This Row],[Expiry]]&amp;""&amp;"C"&amp;Table133[[#This Row],[Spot]]+Table133[[#This Row],[step]])</f>
        <v>N/A</v>
      </c>
      <c r="E45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9" t="b">
        <f>IF(     ISNUMBER(Table133[[#This Row],[Strike]]),RTD("tos.rtd", , "DELTA", "."&amp;Table133[[#This Row],[Ticker]]&amp;Table133[[#This Row],[Expiry]]&amp;""&amp;"C"&amp;Table133[[#This Row],[Strike]]))</f>
        <v>0</v>
      </c>
      <c r="H459" s="17" cm="1">
        <f t="array" aca="1" ref="H459" ca="1">IndividualLegIVCore($A$4, Table133[[#This Row],[Strike]], 0.0411, Table133[[#This Row],[T]], ((Table133[[#This Row],[BIDC]]+Table133[[#This Row],[ASKC]])/2), TRUE)</f>
        <v>0.01</v>
      </c>
      <c r="I459" t="b">
        <f>IF(     ISNUMBER(Table133[[#This Row],[Strike]]),RTD("tos.rtd", , "BID", "."&amp;Table133[[#This Row],[Ticker]]&amp;Table133[[#This Row],[Expiry]]&amp;""&amp;"C"&amp;Table133[[#This Row],[Strike]]))</f>
        <v>0</v>
      </c>
      <c r="J459" t="b">
        <f>IF(     ISNUMBER(Table133[[#This Row],[Strike]]),RTD("tos.rtd", , "ASK", "."&amp;Table133[[#This Row],[Ticker]]&amp;Table133[[#This Row],[Expiry]]&amp;""&amp;"C"&amp;Table133[[#This Row],[Strike]]))</f>
        <v>0</v>
      </c>
      <c r="K459" s="17"/>
      <c r="M459" s="1">
        <f t="shared" si="45"/>
        <v>0</v>
      </c>
      <c r="N459" t="b">
        <f t="shared" si="46"/>
        <v>0</v>
      </c>
      <c r="P459" s="17" cm="1">
        <f t="array" aca="1" ref="P459" ca="1">IndividualLegIVCore($A$4, Table133[[#This Row],[Strike]], 0.0411, Table133[[#This Row],[T]], ((Table133[[#This Row],[BIDP]]+Table133[[#This Row],[ASKP]])/2), FALSE)</f>
        <v>0.01</v>
      </c>
      <c r="Q459" t="b">
        <f>IF(     ISNUMBER(Table133[[#This Row],[Strike]]),RTD("tos.rtd", , "BID", "."&amp;Table133[[#This Row],[Ticker]]&amp;Table133[[#This Row],[Expiry]]&amp;""&amp;"P"&amp;Table133[[#This Row],[Strike]]))</f>
        <v>0</v>
      </c>
      <c r="R459" t="b">
        <f>IF(     ISNUMBER(Table133[[#This Row],[Strike]]),RTD("tos.rtd", , "ASK", "."&amp;Table133[[#This Row],[Ticker]]&amp;Table133[[#This Row],[Expiry]]&amp;""&amp;"P"&amp;Table133[[#This Row],[Strike]]))</f>
        <v>0</v>
      </c>
      <c r="S459" s="17"/>
      <c r="T459" t="b">
        <f>IF(     ISNUMBER(Table133[[#This Row],[Strike]]),RTD("tos.rtd", , "OPEN_INT", "."&amp;Table133[[#This Row],[Ticker]]&amp;Table133[[#This Row],[Expiry]]&amp;""&amp;"P"&amp;Table133[[#This Row],[Strike]]))</f>
        <v>0</v>
      </c>
      <c r="U45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9" t="b">
        <f>IF(     ISNUMBER(Table133[[#This Row],[Strike]]),RTD("tos.rtd", , "DELTA", "."&amp;Table133[[#This Row],[Ticker]]&amp;Table133[[#This Row],[Expiry]]&amp;""&amp;"P"&amp;Table133[[#This Row],[Strike]]))</f>
        <v>0</v>
      </c>
      <c r="Y459" s="19">
        <f>-28.5* IF($M$1="NDX", 10, IF(OR($M$1="SPX", $M$1="RUT"), 2, 1))</f>
        <v>-57</v>
      </c>
      <c r="Z459">
        <f ca="1">IFERROR(Table133[[#This Row],[call gamma]]*(Table133[[#This Row],[Open.Int]])*$A$4^2,0)</f>
        <v>0</v>
      </c>
      <c r="AA459">
        <f ca="1">IFERROR(((Table133[[#This Row],[Open.Int8]])*Table133[[#This Row],[Put gamma]])*-1*$A$4^2,0)</f>
        <v>0</v>
      </c>
      <c r="AB459">
        <f ca="1">(Table133[[#This Row],[Call Gex]]+Table133[[#This Row],[Put Gex]])</f>
        <v>0</v>
      </c>
      <c r="AC459">
        <f ca="1">Table133[[#This Row],[put delta adj]]+Table133[[#This Row],[call delta adj]]</f>
        <v>0</v>
      </c>
      <c r="AD459">
        <f ca="1">Table133[[#This Row],[Put Gex]]*Table133[[#This Row],[DeltaP]]*-1</f>
        <v>0</v>
      </c>
      <c r="AE459">
        <f ca="1">Table133[[#This Row],[Call Gex]]*Table133[[#This Row],[DeltaC]]</f>
        <v>0</v>
      </c>
      <c r="AF459">
        <f>IF(Table133[[#This Row],[DeltaC]]-ABS(Table133[[#This Row],[DeltaP]])="0","0.01",Table133[[#This Row],[DeltaC]]-ABS(Table133[[#This Row],[DeltaP]]))</f>
        <v>0</v>
      </c>
      <c r="AG459" t="e">
        <f ca="1">((LN($A$4/Table133[[#This Row],[Strike]]) + (0.411 + 0.5 * Table133[[#This Row],[IV Calc P]]^2) *Table133[[#This Row],[T]])) / (Table133[[#This Row],[IV Calc P]] * SQRT(Table133[[#This Row],[T]]))</f>
        <v>#DIV/0!</v>
      </c>
      <c r="AH459" t="e">
        <f ca="1">(LN($A$4/Table133[[#This Row],[Strike]]) + (0.411-0 + 0.5 * Table133[[#This Row],[IV Calc C]]^2) *Table133[[#This Row],[T]]) / (Table133[[#This Row],[IV Calc C]] * SQRT(Table133[[#This Row],[T]]))</f>
        <v>#DIV/0!</v>
      </c>
      <c r="AI459" t="e">
        <f ca="1">(EXP(-(AG459^2)/2)/SQRT(2*PI())*EXP(0*SQRT(Table133[[#This Row],[T]]))/$A$4*18%*SQRT(SQRT(Table133[[#This Row],[T]])))</f>
        <v>#DIV/0!</v>
      </c>
      <c r="AJ459" t="e">
        <f ca="1">(EXP(-(AH459^2)/2)/SQRT(2*PI())*EXP(0*SQRT(Table133[[#This Row],[T]]))/$A$4*18%*SQRT(SQRT(Table133[[#This Row],[T]])))</f>
        <v>#DIV/0!</v>
      </c>
      <c r="AK459" t="e">
        <f ca="1">Table133[[#This Row],[Call D1]]-Table133[[#This Row],[IV Calc C]]*SQRT(Table133[[#This Row],[T]])</f>
        <v>#DIV/0!</v>
      </c>
      <c r="AL459" t="e">
        <f ca="1">Table133[[#This Row],[Put D1]]-Table133[[#This Row],[IV Calc P]]*SQRT(Table133[[#This Row],[T]])</f>
        <v>#DIV/0!</v>
      </c>
      <c r="AM459" t="e">
        <f ca="1">EXP(-0.5*Table133[[#This Row],[Call D1]]^2)/SQRT(2*PI())</f>
        <v>#DIV/0!</v>
      </c>
      <c r="AN459" t="e">
        <f ca="1">EXP(-0.5*Table133[[#This Row],[Put D1]]^2)/SQRT(2*PI())</f>
        <v>#DIV/0!</v>
      </c>
      <c r="AO45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9">
        <f ca="1">((Table133[[#This Row],[call vanna]]+Table133[[#This Row],[put vanna]])*$A$4)</f>
        <v>0</v>
      </c>
      <c r="AR45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9" s="9" t="str" cm="1">
        <f t="array" ref="AT459">_xlfn.IFS(     $M$1="SPX","SPXW",     $M$1="RUT","RUTW",  $M$1="NDX","NDXP",   TRUE,$M$1 )</f>
        <v>SPXW</v>
      </c>
      <c r="AU459" s="2">
        <f t="shared" si="47"/>
        <v>6915</v>
      </c>
      <c r="AV459" t="str">
        <f t="shared" si="48"/>
        <v>000100</v>
      </c>
      <c r="AY45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9">
        <f>((Table133[[#This Row],[High C]]+Table133[[#This Row],[Low C]])/2)*Table133[[#This Row],[gammac]]*Table133[[#This Row],[Volume]]</f>
        <v>0</v>
      </c>
      <c r="BD459">
        <f>((Table133[[#This Row],[High P]]+Table133[[#This Row],[Low P]])/2)*Table133[[#This Row],[gammap]]*Table133[[#This Row],[Volume9]]*-1</f>
        <v>0</v>
      </c>
      <c r="BE459">
        <f>(Table133[[#This Row],[SgammaC]]+Table133[[#This Row],[SgammaP]])*$A$4*-100</f>
        <v>0</v>
      </c>
      <c r="BF459" s="78">
        <f>Table133[[#This Row],[DEXc]]+Table133[[#This Row],[DEXp]]</f>
        <v>0</v>
      </c>
      <c r="BG459">
        <f>IFERROR(Table133[[#This Row],[DeltaC]]*Table133[[#This Row],[Open.Int]]*$A$4,0)</f>
        <v>0</v>
      </c>
      <c r="BH459">
        <f>IFERROR(Table133[[#This Row],[DeltaP]]*Table133[[#This Row],[Open.Int8]]*$A$4,0)</f>
        <v>0</v>
      </c>
      <c r="BI45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9">
        <f ca="1">Table133[[#This Row],[charmc]]+Table133[[#This Row],[charmp]]</f>
        <v>0</v>
      </c>
      <c r="BL45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9" s="78">
        <f ca="1">Table133[[#This Row],[call helper]]+Table133[[#This Row],[put helper]]</f>
        <v>0</v>
      </c>
      <c r="BP459" t="str">
        <f>RTD("tos.rtd", , "STRIKE", "."&amp;Table133[[#This Row],[Ticker]]&amp;Table133[[#This Row],[Expiry]]&amp;""&amp;"C"&amp;Table133[[#This Row],[Spot]]+Table133[[#This Row],[step]])</f>
        <v>N/A</v>
      </c>
    </row>
    <row r="460" spans="1:68" x14ac:dyDescent="0.25">
      <c r="A460" s="14">
        <f t="shared" ca="1" si="44"/>
        <v>-126.14810350076104</v>
      </c>
      <c r="C460" s="17"/>
      <c r="D460" t="str">
        <f>RTD("tos.rtd", , "OPEN_INT", "."&amp;Table133[[#This Row],[Ticker]]&amp;Table133[[#This Row],[Expiry]]&amp;""&amp;"C"&amp;Table133[[#This Row],[Spot]]+Table133[[#This Row],[step]])</f>
        <v>N/A</v>
      </c>
      <c r="E46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0" t="b">
        <f>IF(     ISNUMBER(Table133[[#This Row],[Strike]]),RTD("tos.rtd", , "DELTA", "."&amp;Table133[[#This Row],[Ticker]]&amp;Table133[[#This Row],[Expiry]]&amp;""&amp;"C"&amp;Table133[[#This Row],[Strike]]))</f>
        <v>0</v>
      </c>
      <c r="H460" s="17" cm="1">
        <f t="array" aca="1" ref="H460" ca="1">IndividualLegIVCore($A$4, Table133[[#This Row],[Strike]], 0.0411, Table133[[#This Row],[T]], ((Table133[[#This Row],[BIDC]]+Table133[[#This Row],[ASKC]])/2), TRUE)</f>
        <v>0.01</v>
      </c>
      <c r="I460" t="b">
        <f>IF(     ISNUMBER(Table133[[#This Row],[Strike]]),RTD("tos.rtd", , "BID", "."&amp;Table133[[#This Row],[Ticker]]&amp;Table133[[#This Row],[Expiry]]&amp;""&amp;"C"&amp;Table133[[#This Row],[Strike]]))</f>
        <v>0</v>
      </c>
      <c r="J460" t="b">
        <f>IF(     ISNUMBER(Table133[[#This Row],[Strike]]),RTD("tos.rtd", , "ASK", "."&amp;Table133[[#This Row],[Ticker]]&amp;Table133[[#This Row],[Expiry]]&amp;""&amp;"C"&amp;Table133[[#This Row],[Strike]]))</f>
        <v>0</v>
      </c>
      <c r="K460" s="17"/>
      <c r="M460" s="1">
        <f t="shared" si="45"/>
        <v>0</v>
      </c>
      <c r="N460" t="b">
        <f t="shared" si="46"/>
        <v>0</v>
      </c>
      <c r="P460" s="17" cm="1">
        <f t="array" aca="1" ref="P460" ca="1">IndividualLegIVCore($A$4, Table133[[#This Row],[Strike]], 0.0411, Table133[[#This Row],[T]], ((Table133[[#This Row],[BIDP]]+Table133[[#This Row],[ASKP]])/2), FALSE)</f>
        <v>0.01</v>
      </c>
      <c r="Q460" t="b">
        <f>IF(     ISNUMBER(Table133[[#This Row],[Strike]]),RTD("tos.rtd", , "BID", "."&amp;Table133[[#This Row],[Ticker]]&amp;Table133[[#This Row],[Expiry]]&amp;""&amp;"P"&amp;Table133[[#This Row],[Strike]]))</f>
        <v>0</v>
      </c>
      <c r="R460" t="b">
        <f>IF(     ISNUMBER(Table133[[#This Row],[Strike]]),RTD("tos.rtd", , "ASK", "."&amp;Table133[[#This Row],[Ticker]]&amp;Table133[[#This Row],[Expiry]]&amp;""&amp;"P"&amp;Table133[[#This Row],[Strike]]))</f>
        <v>0</v>
      </c>
      <c r="S460" s="17"/>
      <c r="T460" t="b">
        <f>IF(     ISNUMBER(Table133[[#This Row],[Strike]]),RTD("tos.rtd", , "OPEN_INT", "."&amp;Table133[[#This Row],[Ticker]]&amp;Table133[[#This Row],[Expiry]]&amp;""&amp;"P"&amp;Table133[[#This Row],[Strike]]))</f>
        <v>0</v>
      </c>
      <c r="U46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0" t="b">
        <f>IF(     ISNUMBER(Table133[[#This Row],[Strike]]),RTD("tos.rtd", , "DELTA", "."&amp;Table133[[#This Row],[Ticker]]&amp;Table133[[#This Row],[Expiry]]&amp;""&amp;"P"&amp;Table133[[#This Row],[Strike]]))</f>
        <v>0</v>
      </c>
      <c r="Y460" s="19">
        <f>-28* IF($M$1="NDX", 10, IF(OR($M$1="SPX", $M$1="RUT"), 2, 1))</f>
        <v>-56</v>
      </c>
      <c r="Z460">
        <f ca="1">IFERROR(Table133[[#This Row],[call gamma]]*(Table133[[#This Row],[Open.Int]])*$A$4^2,0)</f>
        <v>0</v>
      </c>
      <c r="AA460">
        <f ca="1">IFERROR(((Table133[[#This Row],[Open.Int8]])*Table133[[#This Row],[Put gamma]])*-1*$A$4^2,0)</f>
        <v>0</v>
      </c>
      <c r="AB460">
        <f ca="1">(Table133[[#This Row],[Call Gex]]+Table133[[#This Row],[Put Gex]])</f>
        <v>0</v>
      </c>
      <c r="AC460">
        <f ca="1">Table133[[#This Row],[put delta adj]]+Table133[[#This Row],[call delta adj]]</f>
        <v>0</v>
      </c>
      <c r="AD460">
        <f ca="1">Table133[[#This Row],[Put Gex]]*Table133[[#This Row],[DeltaP]]*-1</f>
        <v>0</v>
      </c>
      <c r="AE460">
        <f ca="1">Table133[[#This Row],[Call Gex]]*Table133[[#This Row],[DeltaC]]</f>
        <v>0</v>
      </c>
      <c r="AF460">
        <f>IF(Table133[[#This Row],[DeltaC]]-ABS(Table133[[#This Row],[DeltaP]])="0","0.01",Table133[[#This Row],[DeltaC]]-ABS(Table133[[#This Row],[DeltaP]]))</f>
        <v>0</v>
      </c>
      <c r="AG460" t="e">
        <f ca="1">((LN($A$4/Table133[[#This Row],[Strike]]) + (0.411 + 0.5 * Table133[[#This Row],[IV Calc P]]^2) *Table133[[#This Row],[T]])) / (Table133[[#This Row],[IV Calc P]] * SQRT(Table133[[#This Row],[T]]))</f>
        <v>#DIV/0!</v>
      </c>
      <c r="AH460" t="e">
        <f ca="1">(LN($A$4/Table133[[#This Row],[Strike]]) + (0.411-0 + 0.5 * Table133[[#This Row],[IV Calc C]]^2) *Table133[[#This Row],[T]]) / (Table133[[#This Row],[IV Calc C]] * SQRT(Table133[[#This Row],[T]]))</f>
        <v>#DIV/0!</v>
      </c>
      <c r="AI460" t="e">
        <f ca="1">(EXP(-(AG460^2)/2)/SQRT(2*PI())*EXP(0*SQRT(Table133[[#This Row],[T]]))/$A$4*18%*SQRT(SQRT(Table133[[#This Row],[T]])))</f>
        <v>#DIV/0!</v>
      </c>
      <c r="AJ460" t="e">
        <f ca="1">(EXP(-(AH460^2)/2)/SQRT(2*PI())*EXP(0*SQRT(Table133[[#This Row],[T]]))/$A$4*18%*SQRT(SQRT(Table133[[#This Row],[T]])))</f>
        <v>#DIV/0!</v>
      </c>
      <c r="AK460" t="e">
        <f ca="1">Table133[[#This Row],[Call D1]]-Table133[[#This Row],[IV Calc C]]*SQRT(Table133[[#This Row],[T]])</f>
        <v>#DIV/0!</v>
      </c>
      <c r="AL460" t="e">
        <f ca="1">Table133[[#This Row],[Put D1]]-Table133[[#This Row],[IV Calc P]]*SQRT(Table133[[#This Row],[T]])</f>
        <v>#DIV/0!</v>
      </c>
      <c r="AM460" t="e">
        <f ca="1">EXP(-0.5*Table133[[#This Row],[Call D1]]^2)/SQRT(2*PI())</f>
        <v>#DIV/0!</v>
      </c>
      <c r="AN460" t="e">
        <f ca="1">EXP(-0.5*Table133[[#This Row],[Put D1]]^2)/SQRT(2*PI())</f>
        <v>#DIV/0!</v>
      </c>
      <c r="AO46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0">
        <f ca="1">((Table133[[#This Row],[call vanna]]+Table133[[#This Row],[put vanna]])*$A$4)</f>
        <v>0</v>
      </c>
      <c r="AR46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0" s="9" t="str" cm="1">
        <f t="array" ref="AT460">_xlfn.IFS(     $M$1="SPX","SPXW",     $M$1="RUT","RUTW",  $M$1="NDX","NDXP",   TRUE,$M$1 )</f>
        <v>SPXW</v>
      </c>
      <c r="AU460" s="2">
        <f t="shared" si="47"/>
        <v>6915</v>
      </c>
      <c r="AV460" t="str">
        <f t="shared" si="48"/>
        <v>000100</v>
      </c>
      <c r="AY46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0">
        <f>((Table133[[#This Row],[High C]]+Table133[[#This Row],[Low C]])/2)*Table133[[#This Row],[gammac]]*Table133[[#This Row],[Volume]]</f>
        <v>0</v>
      </c>
      <c r="BD460">
        <f>((Table133[[#This Row],[High P]]+Table133[[#This Row],[Low P]])/2)*Table133[[#This Row],[gammap]]*Table133[[#This Row],[Volume9]]*-1</f>
        <v>0</v>
      </c>
      <c r="BE460">
        <f>(Table133[[#This Row],[SgammaC]]+Table133[[#This Row],[SgammaP]])*$A$4*-100</f>
        <v>0</v>
      </c>
      <c r="BF460" s="78">
        <f>Table133[[#This Row],[DEXc]]+Table133[[#This Row],[DEXp]]</f>
        <v>0</v>
      </c>
      <c r="BG460">
        <f>IFERROR(Table133[[#This Row],[DeltaC]]*Table133[[#This Row],[Open.Int]]*$A$4,0)</f>
        <v>0</v>
      </c>
      <c r="BH460">
        <f>IFERROR(Table133[[#This Row],[DeltaP]]*Table133[[#This Row],[Open.Int8]]*$A$4,0)</f>
        <v>0</v>
      </c>
      <c r="BI46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0">
        <f ca="1">Table133[[#This Row],[charmc]]+Table133[[#This Row],[charmp]]</f>
        <v>0</v>
      </c>
      <c r="BL46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0" s="78">
        <f ca="1">Table133[[#This Row],[call helper]]+Table133[[#This Row],[put helper]]</f>
        <v>0</v>
      </c>
      <c r="BP460" t="str">
        <f>RTD("tos.rtd", , "STRIKE", "."&amp;Table133[[#This Row],[Ticker]]&amp;Table133[[#This Row],[Expiry]]&amp;""&amp;"C"&amp;Table133[[#This Row],[Spot]]+Table133[[#This Row],[step]])</f>
        <v>N/A</v>
      </c>
    </row>
    <row r="461" spans="1:68" x14ac:dyDescent="0.25">
      <c r="A461" s="14">
        <f t="shared" ca="1" si="44"/>
        <v>-126.14810350076104</v>
      </c>
      <c r="C461" s="17"/>
      <c r="D461" t="str">
        <f>RTD("tos.rtd", , "OPEN_INT", "."&amp;Table133[[#This Row],[Ticker]]&amp;Table133[[#This Row],[Expiry]]&amp;""&amp;"C"&amp;Table133[[#This Row],[Spot]]+Table133[[#This Row],[step]])</f>
        <v>N/A</v>
      </c>
      <c r="E46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1" t="b">
        <f>IF(     ISNUMBER(Table133[[#This Row],[Strike]]),RTD("tos.rtd", , "DELTA", "."&amp;Table133[[#This Row],[Ticker]]&amp;Table133[[#This Row],[Expiry]]&amp;""&amp;"C"&amp;Table133[[#This Row],[Strike]]))</f>
        <v>0</v>
      </c>
      <c r="H461" s="17" cm="1">
        <f t="array" aca="1" ref="H461" ca="1">IndividualLegIVCore($A$4, Table133[[#This Row],[Strike]], 0.0411, Table133[[#This Row],[T]], ((Table133[[#This Row],[BIDC]]+Table133[[#This Row],[ASKC]])/2), TRUE)</f>
        <v>0.01</v>
      </c>
      <c r="I461" t="b">
        <f>IF(     ISNUMBER(Table133[[#This Row],[Strike]]),RTD("tos.rtd", , "BID", "."&amp;Table133[[#This Row],[Ticker]]&amp;Table133[[#This Row],[Expiry]]&amp;""&amp;"C"&amp;Table133[[#This Row],[Strike]]))</f>
        <v>0</v>
      </c>
      <c r="J461" t="b">
        <f>IF(     ISNUMBER(Table133[[#This Row],[Strike]]),RTD("tos.rtd", , "ASK", "."&amp;Table133[[#This Row],[Ticker]]&amp;Table133[[#This Row],[Expiry]]&amp;""&amp;"C"&amp;Table133[[#This Row],[Strike]]))</f>
        <v>0</v>
      </c>
      <c r="K461" s="17"/>
      <c r="M461" s="1">
        <f t="shared" si="45"/>
        <v>0</v>
      </c>
      <c r="N461" t="b">
        <f t="shared" si="46"/>
        <v>0</v>
      </c>
      <c r="P461" s="17" cm="1">
        <f t="array" aca="1" ref="P461" ca="1">IndividualLegIVCore($A$4, Table133[[#This Row],[Strike]], 0.0411, Table133[[#This Row],[T]], ((Table133[[#This Row],[BIDP]]+Table133[[#This Row],[ASKP]])/2), FALSE)</f>
        <v>0.01</v>
      </c>
      <c r="Q461" t="b">
        <f>IF(     ISNUMBER(Table133[[#This Row],[Strike]]),RTD("tos.rtd", , "BID", "."&amp;Table133[[#This Row],[Ticker]]&amp;Table133[[#This Row],[Expiry]]&amp;""&amp;"P"&amp;Table133[[#This Row],[Strike]]))</f>
        <v>0</v>
      </c>
      <c r="R461" t="b">
        <f>IF(     ISNUMBER(Table133[[#This Row],[Strike]]),RTD("tos.rtd", , "ASK", "."&amp;Table133[[#This Row],[Ticker]]&amp;Table133[[#This Row],[Expiry]]&amp;""&amp;"P"&amp;Table133[[#This Row],[Strike]]))</f>
        <v>0</v>
      </c>
      <c r="S461" s="17"/>
      <c r="T461" t="b">
        <f>IF(     ISNUMBER(Table133[[#This Row],[Strike]]),RTD("tos.rtd", , "OPEN_INT", "."&amp;Table133[[#This Row],[Ticker]]&amp;Table133[[#This Row],[Expiry]]&amp;""&amp;"P"&amp;Table133[[#This Row],[Strike]]))</f>
        <v>0</v>
      </c>
      <c r="U46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1" t="b">
        <f>IF(     ISNUMBER(Table133[[#This Row],[Strike]]),RTD("tos.rtd", , "DELTA", "."&amp;Table133[[#This Row],[Ticker]]&amp;Table133[[#This Row],[Expiry]]&amp;""&amp;"P"&amp;Table133[[#This Row],[Strike]]))</f>
        <v>0</v>
      </c>
      <c r="Y461" s="19">
        <f>-27.5* IF($M$1="NDX", 10, IF(OR($M$1="SPX", $M$1="RUT"), 2, 1))</f>
        <v>-55</v>
      </c>
      <c r="Z461">
        <f ca="1">IFERROR(Table133[[#This Row],[call gamma]]*(Table133[[#This Row],[Open.Int]])*$A$4^2,0)</f>
        <v>0</v>
      </c>
      <c r="AA461">
        <f ca="1">IFERROR(((Table133[[#This Row],[Open.Int8]])*Table133[[#This Row],[Put gamma]])*-1*$A$4^2,0)</f>
        <v>0</v>
      </c>
      <c r="AB461">
        <f ca="1">(Table133[[#This Row],[Call Gex]]+Table133[[#This Row],[Put Gex]])</f>
        <v>0</v>
      </c>
      <c r="AC461">
        <f ca="1">Table133[[#This Row],[put delta adj]]+Table133[[#This Row],[call delta adj]]</f>
        <v>0</v>
      </c>
      <c r="AD461">
        <f ca="1">Table133[[#This Row],[Put Gex]]*Table133[[#This Row],[DeltaP]]*-1</f>
        <v>0</v>
      </c>
      <c r="AE461">
        <f ca="1">Table133[[#This Row],[Call Gex]]*Table133[[#This Row],[DeltaC]]</f>
        <v>0</v>
      </c>
      <c r="AF461">
        <f>IF(Table133[[#This Row],[DeltaC]]-ABS(Table133[[#This Row],[DeltaP]])="0","0.01",Table133[[#This Row],[DeltaC]]-ABS(Table133[[#This Row],[DeltaP]]))</f>
        <v>0</v>
      </c>
      <c r="AG461" t="e">
        <f ca="1">((LN($A$4/Table133[[#This Row],[Strike]]) + (0.411 + 0.5 * Table133[[#This Row],[IV Calc P]]^2) *Table133[[#This Row],[T]])) / (Table133[[#This Row],[IV Calc P]] * SQRT(Table133[[#This Row],[T]]))</f>
        <v>#DIV/0!</v>
      </c>
      <c r="AH461" t="e">
        <f ca="1">(LN($A$4/Table133[[#This Row],[Strike]]) + (0.411-0 + 0.5 * Table133[[#This Row],[IV Calc C]]^2) *Table133[[#This Row],[T]]) / (Table133[[#This Row],[IV Calc C]] * SQRT(Table133[[#This Row],[T]]))</f>
        <v>#DIV/0!</v>
      </c>
      <c r="AI461" t="e">
        <f ca="1">(EXP(-(AG461^2)/2)/SQRT(2*PI())*EXP(0*SQRT(Table133[[#This Row],[T]]))/$A$4*18%*SQRT(SQRT(Table133[[#This Row],[T]])))</f>
        <v>#DIV/0!</v>
      </c>
      <c r="AJ461" t="e">
        <f ca="1">(EXP(-(AH461^2)/2)/SQRT(2*PI())*EXP(0*SQRT(Table133[[#This Row],[T]]))/$A$4*18%*SQRT(SQRT(Table133[[#This Row],[T]])))</f>
        <v>#DIV/0!</v>
      </c>
      <c r="AK461" t="e">
        <f ca="1">Table133[[#This Row],[Call D1]]-Table133[[#This Row],[IV Calc C]]*SQRT(Table133[[#This Row],[T]])</f>
        <v>#DIV/0!</v>
      </c>
      <c r="AL461" t="e">
        <f ca="1">Table133[[#This Row],[Put D1]]-Table133[[#This Row],[IV Calc P]]*SQRT(Table133[[#This Row],[T]])</f>
        <v>#DIV/0!</v>
      </c>
      <c r="AM461" t="e">
        <f ca="1">EXP(-0.5*Table133[[#This Row],[Call D1]]^2)/SQRT(2*PI())</f>
        <v>#DIV/0!</v>
      </c>
      <c r="AN461" t="e">
        <f ca="1">EXP(-0.5*Table133[[#This Row],[Put D1]]^2)/SQRT(2*PI())</f>
        <v>#DIV/0!</v>
      </c>
      <c r="AO46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1">
        <f ca="1">((Table133[[#This Row],[call vanna]]+Table133[[#This Row],[put vanna]])*$A$4)</f>
        <v>0</v>
      </c>
      <c r="AR46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1" s="9" t="str" cm="1">
        <f t="array" ref="AT461">_xlfn.IFS(     $M$1="SPX","SPXW",     $M$1="RUT","RUTW",  $M$1="NDX","NDXP",   TRUE,$M$1 )</f>
        <v>SPXW</v>
      </c>
      <c r="AU461" s="2">
        <f t="shared" si="47"/>
        <v>6915</v>
      </c>
      <c r="AV461" t="str">
        <f t="shared" si="48"/>
        <v>000100</v>
      </c>
      <c r="AY46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1">
        <f>((Table133[[#This Row],[High C]]+Table133[[#This Row],[Low C]])/2)*Table133[[#This Row],[gammac]]*Table133[[#This Row],[Volume]]</f>
        <v>0</v>
      </c>
      <c r="BD461">
        <f>((Table133[[#This Row],[High P]]+Table133[[#This Row],[Low P]])/2)*Table133[[#This Row],[gammap]]*Table133[[#This Row],[Volume9]]*-1</f>
        <v>0</v>
      </c>
      <c r="BE461">
        <f>(Table133[[#This Row],[SgammaC]]+Table133[[#This Row],[SgammaP]])*$A$4*-100</f>
        <v>0</v>
      </c>
      <c r="BF461" s="78">
        <f>Table133[[#This Row],[DEXc]]+Table133[[#This Row],[DEXp]]</f>
        <v>0</v>
      </c>
      <c r="BG461">
        <f>IFERROR(Table133[[#This Row],[DeltaC]]*Table133[[#This Row],[Open.Int]]*$A$4,0)</f>
        <v>0</v>
      </c>
      <c r="BH461">
        <f>IFERROR(Table133[[#This Row],[DeltaP]]*Table133[[#This Row],[Open.Int8]]*$A$4,0)</f>
        <v>0</v>
      </c>
      <c r="BI46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1">
        <f ca="1">Table133[[#This Row],[charmc]]+Table133[[#This Row],[charmp]]</f>
        <v>0</v>
      </c>
      <c r="BL46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1" s="78">
        <f ca="1">Table133[[#This Row],[call helper]]+Table133[[#This Row],[put helper]]</f>
        <v>0</v>
      </c>
      <c r="BP461" t="str">
        <f>RTD("tos.rtd", , "STRIKE", "."&amp;Table133[[#This Row],[Ticker]]&amp;Table133[[#This Row],[Expiry]]&amp;""&amp;"C"&amp;Table133[[#This Row],[Spot]]+Table133[[#This Row],[step]])</f>
        <v>N/A</v>
      </c>
    </row>
    <row r="462" spans="1:68" x14ac:dyDescent="0.25">
      <c r="A462" s="14">
        <f t="shared" ca="1" si="44"/>
        <v>-126.14810350076104</v>
      </c>
      <c r="C462" s="17"/>
      <c r="D462" t="str">
        <f>RTD("tos.rtd", , "OPEN_INT", "."&amp;Table133[[#This Row],[Ticker]]&amp;Table133[[#This Row],[Expiry]]&amp;""&amp;"C"&amp;Table133[[#This Row],[Spot]]+Table133[[#This Row],[step]])</f>
        <v>N/A</v>
      </c>
      <c r="E46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2" t="b">
        <f>IF(     ISNUMBER(Table133[[#This Row],[Strike]]),RTD("tos.rtd", , "DELTA", "."&amp;Table133[[#This Row],[Ticker]]&amp;Table133[[#This Row],[Expiry]]&amp;""&amp;"C"&amp;Table133[[#This Row],[Strike]]))</f>
        <v>0</v>
      </c>
      <c r="H462" s="17" cm="1">
        <f t="array" aca="1" ref="H462" ca="1">IndividualLegIVCore($A$4, Table133[[#This Row],[Strike]], 0.0411, Table133[[#This Row],[T]], ((Table133[[#This Row],[BIDC]]+Table133[[#This Row],[ASKC]])/2), TRUE)</f>
        <v>0.01</v>
      </c>
      <c r="I462" t="b">
        <f>IF(     ISNUMBER(Table133[[#This Row],[Strike]]),RTD("tos.rtd", , "BID", "."&amp;Table133[[#This Row],[Ticker]]&amp;Table133[[#This Row],[Expiry]]&amp;""&amp;"C"&amp;Table133[[#This Row],[Strike]]))</f>
        <v>0</v>
      </c>
      <c r="J462" t="b">
        <f>IF(     ISNUMBER(Table133[[#This Row],[Strike]]),RTD("tos.rtd", , "ASK", "."&amp;Table133[[#This Row],[Ticker]]&amp;Table133[[#This Row],[Expiry]]&amp;""&amp;"C"&amp;Table133[[#This Row],[Strike]]))</f>
        <v>0</v>
      </c>
      <c r="K462" s="17"/>
      <c r="M462" s="1">
        <f t="shared" si="45"/>
        <v>0</v>
      </c>
      <c r="N462" t="b">
        <f t="shared" si="46"/>
        <v>0</v>
      </c>
      <c r="P462" s="17" cm="1">
        <f t="array" aca="1" ref="P462" ca="1">IndividualLegIVCore($A$4, Table133[[#This Row],[Strike]], 0.0411, Table133[[#This Row],[T]], ((Table133[[#This Row],[BIDP]]+Table133[[#This Row],[ASKP]])/2), FALSE)</f>
        <v>0.01</v>
      </c>
      <c r="Q462" t="b">
        <f>IF(     ISNUMBER(Table133[[#This Row],[Strike]]),RTD("tos.rtd", , "BID", "."&amp;Table133[[#This Row],[Ticker]]&amp;Table133[[#This Row],[Expiry]]&amp;""&amp;"P"&amp;Table133[[#This Row],[Strike]]))</f>
        <v>0</v>
      </c>
      <c r="R462" t="b">
        <f>IF(     ISNUMBER(Table133[[#This Row],[Strike]]),RTD("tos.rtd", , "ASK", "."&amp;Table133[[#This Row],[Ticker]]&amp;Table133[[#This Row],[Expiry]]&amp;""&amp;"P"&amp;Table133[[#This Row],[Strike]]))</f>
        <v>0</v>
      </c>
      <c r="S462" s="17"/>
      <c r="T462" t="b">
        <f>IF(     ISNUMBER(Table133[[#This Row],[Strike]]),RTD("tos.rtd", , "OPEN_INT", "."&amp;Table133[[#This Row],[Ticker]]&amp;Table133[[#This Row],[Expiry]]&amp;""&amp;"P"&amp;Table133[[#This Row],[Strike]]))</f>
        <v>0</v>
      </c>
      <c r="U46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2" t="b">
        <f>IF(     ISNUMBER(Table133[[#This Row],[Strike]]),RTD("tos.rtd", , "DELTA", "."&amp;Table133[[#This Row],[Ticker]]&amp;Table133[[#This Row],[Expiry]]&amp;""&amp;"P"&amp;Table133[[#This Row],[Strike]]))</f>
        <v>0</v>
      </c>
      <c r="Y462" s="19">
        <f>-27* IF($M$1="NDX", 10, IF(OR($M$1="SPX", $M$1="RUT"), 2, 1))</f>
        <v>-54</v>
      </c>
      <c r="Z462">
        <f ca="1">IFERROR(Table133[[#This Row],[call gamma]]*(Table133[[#This Row],[Open.Int]])*$A$4^2,0)</f>
        <v>0</v>
      </c>
      <c r="AA462">
        <f ca="1">IFERROR(((Table133[[#This Row],[Open.Int8]])*Table133[[#This Row],[Put gamma]])*-1*$A$4^2,0)</f>
        <v>0</v>
      </c>
      <c r="AB462">
        <f ca="1">(Table133[[#This Row],[Call Gex]]+Table133[[#This Row],[Put Gex]])</f>
        <v>0</v>
      </c>
      <c r="AC462">
        <f ca="1">Table133[[#This Row],[put delta adj]]+Table133[[#This Row],[call delta adj]]</f>
        <v>0</v>
      </c>
      <c r="AD462">
        <f ca="1">Table133[[#This Row],[Put Gex]]*Table133[[#This Row],[DeltaP]]*-1</f>
        <v>0</v>
      </c>
      <c r="AE462">
        <f ca="1">Table133[[#This Row],[Call Gex]]*Table133[[#This Row],[DeltaC]]</f>
        <v>0</v>
      </c>
      <c r="AF462">
        <f>IF(Table133[[#This Row],[DeltaC]]-ABS(Table133[[#This Row],[DeltaP]])="0","0.01",Table133[[#This Row],[DeltaC]]-ABS(Table133[[#This Row],[DeltaP]]))</f>
        <v>0</v>
      </c>
      <c r="AG462" t="e">
        <f ca="1">((LN($A$4/Table133[[#This Row],[Strike]]) + (0.411 + 0.5 * Table133[[#This Row],[IV Calc P]]^2) *Table133[[#This Row],[T]])) / (Table133[[#This Row],[IV Calc P]] * SQRT(Table133[[#This Row],[T]]))</f>
        <v>#DIV/0!</v>
      </c>
      <c r="AH462" t="e">
        <f ca="1">(LN($A$4/Table133[[#This Row],[Strike]]) + (0.411-0 + 0.5 * Table133[[#This Row],[IV Calc C]]^2) *Table133[[#This Row],[T]]) / (Table133[[#This Row],[IV Calc C]] * SQRT(Table133[[#This Row],[T]]))</f>
        <v>#DIV/0!</v>
      </c>
      <c r="AI462" t="e">
        <f ca="1">(EXP(-(AG462^2)/2)/SQRT(2*PI())*EXP(0*SQRT(Table133[[#This Row],[T]]))/$A$4*18%*SQRT(SQRT(Table133[[#This Row],[T]])))</f>
        <v>#DIV/0!</v>
      </c>
      <c r="AJ462" t="e">
        <f ca="1">(EXP(-(AH462^2)/2)/SQRT(2*PI())*EXP(0*SQRT(Table133[[#This Row],[T]]))/$A$4*18%*SQRT(SQRT(Table133[[#This Row],[T]])))</f>
        <v>#DIV/0!</v>
      </c>
      <c r="AK462" t="e">
        <f ca="1">Table133[[#This Row],[Call D1]]-Table133[[#This Row],[IV Calc C]]*SQRT(Table133[[#This Row],[T]])</f>
        <v>#DIV/0!</v>
      </c>
      <c r="AL462" t="e">
        <f ca="1">Table133[[#This Row],[Put D1]]-Table133[[#This Row],[IV Calc P]]*SQRT(Table133[[#This Row],[T]])</f>
        <v>#DIV/0!</v>
      </c>
      <c r="AM462" t="e">
        <f ca="1">EXP(-0.5*Table133[[#This Row],[Call D1]]^2)/SQRT(2*PI())</f>
        <v>#DIV/0!</v>
      </c>
      <c r="AN462" t="e">
        <f ca="1">EXP(-0.5*Table133[[#This Row],[Put D1]]^2)/SQRT(2*PI())</f>
        <v>#DIV/0!</v>
      </c>
      <c r="AO46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2">
        <f ca="1">((Table133[[#This Row],[call vanna]]+Table133[[#This Row],[put vanna]])*$A$4)</f>
        <v>0</v>
      </c>
      <c r="AR46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2" s="9" t="str" cm="1">
        <f t="array" ref="AT462">_xlfn.IFS(     $M$1="SPX","SPXW",     $M$1="RUT","RUTW",  $M$1="NDX","NDXP",   TRUE,$M$1 )</f>
        <v>SPXW</v>
      </c>
      <c r="AU462" s="2">
        <f t="shared" si="47"/>
        <v>6915</v>
      </c>
      <c r="AV462" t="str">
        <f t="shared" si="48"/>
        <v>000100</v>
      </c>
      <c r="AY46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2">
        <f>((Table133[[#This Row],[High C]]+Table133[[#This Row],[Low C]])/2)*Table133[[#This Row],[gammac]]*Table133[[#This Row],[Volume]]</f>
        <v>0</v>
      </c>
      <c r="BD462">
        <f>((Table133[[#This Row],[High P]]+Table133[[#This Row],[Low P]])/2)*Table133[[#This Row],[gammap]]*Table133[[#This Row],[Volume9]]*-1</f>
        <v>0</v>
      </c>
      <c r="BE462">
        <f>(Table133[[#This Row],[SgammaC]]+Table133[[#This Row],[SgammaP]])*$A$4*-100</f>
        <v>0</v>
      </c>
      <c r="BF462" s="78">
        <f>Table133[[#This Row],[DEXc]]+Table133[[#This Row],[DEXp]]</f>
        <v>0</v>
      </c>
      <c r="BG462">
        <f>IFERROR(Table133[[#This Row],[DeltaC]]*Table133[[#This Row],[Open.Int]]*$A$4,0)</f>
        <v>0</v>
      </c>
      <c r="BH462">
        <f>IFERROR(Table133[[#This Row],[DeltaP]]*Table133[[#This Row],[Open.Int8]]*$A$4,0)</f>
        <v>0</v>
      </c>
      <c r="BI46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2">
        <f ca="1">Table133[[#This Row],[charmc]]+Table133[[#This Row],[charmp]]</f>
        <v>0</v>
      </c>
      <c r="BL46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2" s="78">
        <f ca="1">Table133[[#This Row],[call helper]]+Table133[[#This Row],[put helper]]</f>
        <v>0</v>
      </c>
      <c r="BP462" t="str">
        <f>RTD("tos.rtd", , "STRIKE", "."&amp;Table133[[#This Row],[Ticker]]&amp;Table133[[#This Row],[Expiry]]&amp;""&amp;"C"&amp;Table133[[#This Row],[Spot]]+Table133[[#This Row],[step]])</f>
        <v>N/A</v>
      </c>
    </row>
    <row r="463" spans="1:68" x14ac:dyDescent="0.25">
      <c r="A463" s="14">
        <f t="shared" ca="1" si="44"/>
        <v>-126.14810350076104</v>
      </c>
      <c r="C463" s="17"/>
      <c r="D463" t="str">
        <f>RTD("tos.rtd", , "OPEN_INT", "."&amp;Table133[[#This Row],[Ticker]]&amp;Table133[[#This Row],[Expiry]]&amp;""&amp;"C"&amp;Table133[[#This Row],[Spot]]+Table133[[#This Row],[step]])</f>
        <v>N/A</v>
      </c>
      <c r="E46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3" t="b">
        <f>IF(     ISNUMBER(Table133[[#This Row],[Strike]]),RTD("tos.rtd", , "DELTA", "."&amp;Table133[[#This Row],[Ticker]]&amp;Table133[[#This Row],[Expiry]]&amp;""&amp;"C"&amp;Table133[[#This Row],[Strike]]))</f>
        <v>0</v>
      </c>
      <c r="H463" s="17" cm="1">
        <f t="array" aca="1" ref="H463" ca="1">IndividualLegIVCore($A$4, Table133[[#This Row],[Strike]], 0.0411, Table133[[#This Row],[T]], ((Table133[[#This Row],[BIDC]]+Table133[[#This Row],[ASKC]])/2), TRUE)</f>
        <v>0.01</v>
      </c>
      <c r="I463" t="b">
        <f>IF(     ISNUMBER(Table133[[#This Row],[Strike]]),RTD("tos.rtd", , "BID", "."&amp;Table133[[#This Row],[Ticker]]&amp;Table133[[#This Row],[Expiry]]&amp;""&amp;"C"&amp;Table133[[#This Row],[Strike]]))</f>
        <v>0</v>
      </c>
      <c r="J463" t="b">
        <f>IF(     ISNUMBER(Table133[[#This Row],[Strike]]),RTD("tos.rtd", , "ASK", "."&amp;Table133[[#This Row],[Ticker]]&amp;Table133[[#This Row],[Expiry]]&amp;""&amp;"C"&amp;Table133[[#This Row],[Strike]]))</f>
        <v>0</v>
      </c>
      <c r="K463" s="17"/>
      <c r="M463" s="1">
        <f t="shared" si="45"/>
        <v>0</v>
      </c>
      <c r="N463" t="b">
        <f t="shared" si="46"/>
        <v>0</v>
      </c>
      <c r="P463" s="17" cm="1">
        <f t="array" aca="1" ref="P463" ca="1">IndividualLegIVCore($A$4, Table133[[#This Row],[Strike]], 0.0411, Table133[[#This Row],[T]], ((Table133[[#This Row],[BIDP]]+Table133[[#This Row],[ASKP]])/2), FALSE)</f>
        <v>0.01</v>
      </c>
      <c r="Q463" t="b">
        <f>IF(     ISNUMBER(Table133[[#This Row],[Strike]]),RTD("tos.rtd", , "BID", "."&amp;Table133[[#This Row],[Ticker]]&amp;Table133[[#This Row],[Expiry]]&amp;""&amp;"P"&amp;Table133[[#This Row],[Strike]]))</f>
        <v>0</v>
      </c>
      <c r="R463" t="b">
        <f>IF(     ISNUMBER(Table133[[#This Row],[Strike]]),RTD("tos.rtd", , "ASK", "."&amp;Table133[[#This Row],[Ticker]]&amp;Table133[[#This Row],[Expiry]]&amp;""&amp;"P"&amp;Table133[[#This Row],[Strike]]))</f>
        <v>0</v>
      </c>
      <c r="S463" s="17"/>
      <c r="T463" t="b">
        <f>IF(     ISNUMBER(Table133[[#This Row],[Strike]]),RTD("tos.rtd", , "OPEN_INT", "."&amp;Table133[[#This Row],[Ticker]]&amp;Table133[[#This Row],[Expiry]]&amp;""&amp;"P"&amp;Table133[[#This Row],[Strike]]))</f>
        <v>0</v>
      </c>
      <c r="U46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3" t="b">
        <f>IF(     ISNUMBER(Table133[[#This Row],[Strike]]),RTD("tos.rtd", , "DELTA", "."&amp;Table133[[#This Row],[Ticker]]&amp;Table133[[#This Row],[Expiry]]&amp;""&amp;"P"&amp;Table133[[#This Row],[Strike]]))</f>
        <v>0</v>
      </c>
      <c r="Y463" s="19">
        <f>-26.5* IF($M$1="NDX", 10, IF(OR($M$1="SPX", $M$1="RUT"), 2, 1))</f>
        <v>-53</v>
      </c>
      <c r="Z463">
        <f ca="1">IFERROR(Table133[[#This Row],[call gamma]]*(Table133[[#This Row],[Open.Int]])*$A$4^2,0)</f>
        <v>0</v>
      </c>
      <c r="AA463">
        <f ca="1">IFERROR(((Table133[[#This Row],[Open.Int8]])*Table133[[#This Row],[Put gamma]])*-1*$A$4^2,0)</f>
        <v>0</v>
      </c>
      <c r="AB463">
        <f ca="1">(Table133[[#This Row],[Call Gex]]+Table133[[#This Row],[Put Gex]])</f>
        <v>0</v>
      </c>
      <c r="AC463">
        <f ca="1">Table133[[#This Row],[put delta adj]]+Table133[[#This Row],[call delta adj]]</f>
        <v>0</v>
      </c>
      <c r="AD463">
        <f ca="1">Table133[[#This Row],[Put Gex]]*Table133[[#This Row],[DeltaP]]*-1</f>
        <v>0</v>
      </c>
      <c r="AE463">
        <f ca="1">Table133[[#This Row],[Call Gex]]*Table133[[#This Row],[DeltaC]]</f>
        <v>0</v>
      </c>
      <c r="AF463">
        <f>IF(Table133[[#This Row],[DeltaC]]-ABS(Table133[[#This Row],[DeltaP]])="0","0.01",Table133[[#This Row],[DeltaC]]-ABS(Table133[[#This Row],[DeltaP]]))</f>
        <v>0</v>
      </c>
      <c r="AG463" t="e">
        <f ca="1">((LN($A$4/Table133[[#This Row],[Strike]]) + (0.411 + 0.5 * Table133[[#This Row],[IV Calc P]]^2) *Table133[[#This Row],[T]])) / (Table133[[#This Row],[IV Calc P]] * SQRT(Table133[[#This Row],[T]]))</f>
        <v>#DIV/0!</v>
      </c>
      <c r="AH463" t="e">
        <f ca="1">(LN($A$4/Table133[[#This Row],[Strike]]) + (0.411-0 + 0.5 * Table133[[#This Row],[IV Calc C]]^2) *Table133[[#This Row],[T]]) / (Table133[[#This Row],[IV Calc C]] * SQRT(Table133[[#This Row],[T]]))</f>
        <v>#DIV/0!</v>
      </c>
      <c r="AI463" t="e">
        <f ca="1">(EXP(-(AG463^2)/2)/SQRT(2*PI())*EXP(0*SQRT(Table133[[#This Row],[T]]))/$A$4*18%*SQRT(SQRT(Table133[[#This Row],[T]])))</f>
        <v>#DIV/0!</v>
      </c>
      <c r="AJ463" t="e">
        <f ca="1">(EXP(-(AH463^2)/2)/SQRT(2*PI())*EXP(0*SQRT(Table133[[#This Row],[T]]))/$A$4*18%*SQRT(SQRT(Table133[[#This Row],[T]])))</f>
        <v>#DIV/0!</v>
      </c>
      <c r="AK463" t="e">
        <f ca="1">Table133[[#This Row],[Call D1]]-Table133[[#This Row],[IV Calc C]]*SQRT(Table133[[#This Row],[T]])</f>
        <v>#DIV/0!</v>
      </c>
      <c r="AL463" t="e">
        <f ca="1">Table133[[#This Row],[Put D1]]-Table133[[#This Row],[IV Calc P]]*SQRT(Table133[[#This Row],[T]])</f>
        <v>#DIV/0!</v>
      </c>
      <c r="AM463" t="e">
        <f ca="1">EXP(-0.5*Table133[[#This Row],[Call D1]]^2)/SQRT(2*PI())</f>
        <v>#DIV/0!</v>
      </c>
      <c r="AN463" t="e">
        <f ca="1">EXP(-0.5*Table133[[#This Row],[Put D1]]^2)/SQRT(2*PI())</f>
        <v>#DIV/0!</v>
      </c>
      <c r="AO46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3">
        <f ca="1">((Table133[[#This Row],[call vanna]]+Table133[[#This Row],[put vanna]])*$A$4)</f>
        <v>0</v>
      </c>
      <c r="AR46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3" s="9" t="str" cm="1">
        <f t="array" ref="AT463">_xlfn.IFS(     $M$1="SPX","SPXW",     $M$1="RUT","RUTW",  $M$1="NDX","NDXP",   TRUE,$M$1 )</f>
        <v>SPXW</v>
      </c>
      <c r="AU463" s="2">
        <f t="shared" si="47"/>
        <v>6915</v>
      </c>
      <c r="AV463" t="str">
        <f t="shared" si="48"/>
        <v>000100</v>
      </c>
      <c r="AY46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3">
        <f>((Table133[[#This Row],[High C]]+Table133[[#This Row],[Low C]])/2)*Table133[[#This Row],[gammac]]*Table133[[#This Row],[Volume]]</f>
        <v>0</v>
      </c>
      <c r="BD463">
        <f>((Table133[[#This Row],[High P]]+Table133[[#This Row],[Low P]])/2)*Table133[[#This Row],[gammap]]*Table133[[#This Row],[Volume9]]*-1</f>
        <v>0</v>
      </c>
      <c r="BE463">
        <f>(Table133[[#This Row],[SgammaC]]+Table133[[#This Row],[SgammaP]])*$A$4*-100</f>
        <v>0</v>
      </c>
      <c r="BF463" s="78">
        <f>Table133[[#This Row],[DEXc]]+Table133[[#This Row],[DEXp]]</f>
        <v>0</v>
      </c>
      <c r="BG463">
        <f>IFERROR(Table133[[#This Row],[DeltaC]]*Table133[[#This Row],[Open.Int]]*$A$4,0)</f>
        <v>0</v>
      </c>
      <c r="BH463">
        <f>IFERROR(Table133[[#This Row],[DeltaP]]*Table133[[#This Row],[Open.Int8]]*$A$4,0)</f>
        <v>0</v>
      </c>
      <c r="BI46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3">
        <f ca="1">Table133[[#This Row],[charmc]]+Table133[[#This Row],[charmp]]</f>
        <v>0</v>
      </c>
      <c r="BL46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3" s="78">
        <f ca="1">Table133[[#This Row],[call helper]]+Table133[[#This Row],[put helper]]</f>
        <v>0</v>
      </c>
      <c r="BP463" t="str">
        <f>RTD("tos.rtd", , "STRIKE", "."&amp;Table133[[#This Row],[Ticker]]&amp;Table133[[#This Row],[Expiry]]&amp;""&amp;"C"&amp;Table133[[#This Row],[Spot]]+Table133[[#This Row],[step]])</f>
        <v>N/A</v>
      </c>
    </row>
    <row r="464" spans="1:68" x14ac:dyDescent="0.25">
      <c r="A464" s="14">
        <f t="shared" ca="1" si="44"/>
        <v>-126.14810350076104</v>
      </c>
      <c r="C464" s="17"/>
      <c r="D464" t="str">
        <f>RTD("tos.rtd", , "OPEN_INT", "."&amp;Table133[[#This Row],[Ticker]]&amp;Table133[[#This Row],[Expiry]]&amp;""&amp;"C"&amp;Table133[[#This Row],[Spot]]+Table133[[#This Row],[step]])</f>
        <v>N/A</v>
      </c>
      <c r="E46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4" t="b">
        <f>IF(     ISNUMBER(Table133[[#This Row],[Strike]]),RTD("tos.rtd", , "DELTA", "."&amp;Table133[[#This Row],[Ticker]]&amp;Table133[[#This Row],[Expiry]]&amp;""&amp;"C"&amp;Table133[[#This Row],[Strike]]))</f>
        <v>0</v>
      </c>
      <c r="H464" s="17" cm="1">
        <f t="array" aca="1" ref="H464" ca="1">IndividualLegIVCore($A$4, Table133[[#This Row],[Strike]], 0.0411, Table133[[#This Row],[T]], ((Table133[[#This Row],[BIDC]]+Table133[[#This Row],[ASKC]])/2), TRUE)</f>
        <v>0.01</v>
      </c>
      <c r="I464" t="b">
        <f>IF(     ISNUMBER(Table133[[#This Row],[Strike]]),RTD("tos.rtd", , "BID", "."&amp;Table133[[#This Row],[Ticker]]&amp;Table133[[#This Row],[Expiry]]&amp;""&amp;"C"&amp;Table133[[#This Row],[Strike]]))</f>
        <v>0</v>
      </c>
      <c r="J464" t="b">
        <f>IF(     ISNUMBER(Table133[[#This Row],[Strike]]),RTD("tos.rtd", , "ASK", "."&amp;Table133[[#This Row],[Ticker]]&amp;Table133[[#This Row],[Expiry]]&amp;""&amp;"C"&amp;Table133[[#This Row],[Strike]]))</f>
        <v>0</v>
      </c>
      <c r="K464" s="17"/>
      <c r="M464" s="1">
        <f t="shared" si="45"/>
        <v>0</v>
      </c>
      <c r="N464" t="b">
        <f t="shared" si="46"/>
        <v>0</v>
      </c>
      <c r="P464" s="17" cm="1">
        <f t="array" aca="1" ref="P464" ca="1">IndividualLegIVCore($A$4, Table133[[#This Row],[Strike]], 0.0411, Table133[[#This Row],[T]], ((Table133[[#This Row],[BIDP]]+Table133[[#This Row],[ASKP]])/2), FALSE)</f>
        <v>0.01</v>
      </c>
      <c r="Q464" t="b">
        <f>IF(     ISNUMBER(Table133[[#This Row],[Strike]]),RTD("tos.rtd", , "BID", "."&amp;Table133[[#This Row],[Ticker]]&amp;Table133[[#This Row],[Expiry]]&amp;""&amp;"P"&amp;Table133[[#This Row],[Strike]]))</f>
        <v>0</v>
      </c>
      <c r="R464" t="b">
        <f>IF(     ISNUMBER(Table133[[#This Row],[Strike]]),RTD("tos.rtd", , "ASK", "."&amp;Table133[[#This Row],[Ticker]]&amp;Table133[[#This Row],[Expiry]]&amp;""&amp;"P"&amp;Table133[[#This Row],[Strike]]))</f>
        <v>0</v>
      </c>
      <c r="S464" s="17"/>
      <c r="T464" t="b">
        <f>IF(     ISNUMBER(Table133[[#This Row],[Strike]]),RTD("tos.rtd", , "OPEN_INT", "."&amp;Table133[[#This Row],[Ticker]]&amp;Table133[[#This Row],[Expiry]]&amp;""&amp;"P"&amp;Table133[[#This Row],[Strike]]))</f>
        <v>0</v>
      </c>
      <c r="U46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4" t="b">
        <f>IF(     ISNUMBER(Table133[[#This Row],[Strike]]),RTD("tos.rtd", , "DELTA", "."&amp;Table133[[#This Row],[Ticker]]&amp;Table133[[#This Row],[Expiry]]&amp;""&amp;"P"&amp;Table133[[#This Row],[Strike]]))</f>
        <v>0</v>
      </c>
      <c r="Y464" s="19">
        <f>-26* IF($M$1="NDX", 10, IF(OR($M$1="SPX", $M$1="RUT"), 2, 1))</f>
        <v>-52</v>
      </c>
      <c r="Z464">
        <f ca="1">IFERROR(Table133[[#This Row],[call gamma]]*(Table133[[#This Row],[Open.Int]])*$A$4^2,0)</f>
        <v>0</v>
      </c>
      <c r="AA464">
        <f ca="1">IFERROR(((Table133[[#This Row],[Open.Int8]])*Table133[[#This Row],[Put gamma]])*-1*$A$4^2,0)</f>
        <v>0</v>
      </c>
      <c r="AB464">
        <f ca="1">(Table133[[#This Row],[Call Gex]]+Table133[[#This Row],[Put Gex]])</f>
        <v>0</v>
      </c>
      <c r="AC464">
        <f ca="1">Table133[[#This Row],[put delta adj]]+Table133[[#This Row],[call delta adj]]</f>
        <v>0</v>
      </c>
      <c r="AD464">
        <f ca="1">Table133[[#This Row],[Put Gex]]*Table133[[#This Row],[DeltaP]]*-1</f>
        <v>0</v>
      </c>
      <c r="AE464">
        <f ca="1">Table133[[#This Row],[Call Gex]]*Table133[[#This Row],[DeltaC]]</f>
        <v>0</v>
      </c>
      <c r="AF464">
        <f>IF(Table133[[#This Row],[DeltaC]]-ABS(Table133[[#This Row],[DeltaP]])="0","0.01",Table133[[#This Row],[DeltaC]]-ABS(Table133[[#This Row],[DeltaP]]))</f>
        <v>0</v>
      </c>
      <c r="AG464" t="e">
        <f ca="1">((LN($A$4/Table133[[#This Row],[Strike]]) + (0.411 + 0.5 * Table133[[#This Row],[IV Calc P]]^2) *Table133[[#This Row],[T]])) / (Table133[[#This Row],[IV Calc P]] * SQRT(Table133[[#This Row],[T]]))</f>
        <v>#DIV/0!</v>
      </c>
      <c r="AH464" t="e">
        <f ca="1">(LN($A$4/Table133[[#This Row],[Strike]]) + (0.411-0 + 0.5 * Table133[[#This Row],[IV Calc C]]^2) *Table133[[#This Row],[T]]) / (Table133[[#This Row],[IV Calc C]] * SQRT(Table133[[#This Row],[T]]))</f>
        <v>#DIV/0!</v>
      </c>
      <c r="AI464" t="e">
        <f ca="1">(EXP(-(AG464^2)/2)/SQRT(2*PI())*EXP(0*SQRT(Table133[[#This Row],[T]]))/$A$4*18%*SQRT(SQRT(Table133[[#This Row],[T]])))</f>
        <v>#DIV/0!</v>
      </c>
      <c r="AJ464" t="e">
        <f ca="1">(EXP(-(AH464^2)/2)/SQRT(2*PI())*EXP(0*SQRT(Table133[[#This Row],[T]]))/$A$4*18%*SQRT(SQRT(Table133[[#This Row],[T]])))</f>
        <v>#DIV/0!</v>
      </c>
      <c r="AK464" t="e">
        <f ca="1">Table133[[#This Row],[Call D1]]-Table133[[#This Row],[IV Calc C]]*SQRT(Table133[[#This Row],[T]])</f>
        <v>#DIV/0!</v>
      </c>
      <c r="AL464" t="e">
        <f ca="1">Table133[[#This Row],[Put D1]]-Table133[[#This Row],[IV Calc P]]*SQRT(Table133[[#This Row],[T]])</f>
        <v>#DIV/0!</v>
      </c>
      <c r="AM464" t="e">
        <f ca="1">EXP(-0.5*Table133[[#This Row],[Call D1]]^2)/SQRT(2*PI())</f>
        <v>#DIV/0!</v>
      </c>
      <c r="AN464" t="e">
        <f ca="1">EXP(-0.5*Table133[[#This Row],[Put D1]]^2)/SQRT(2*PI())</f>
        <v>#DIV/0!</v>
      </c>
      <c r="AO46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4">
        <f ca="1">((Table133[[#This Row],[call vanna]]+Table133[[#This Row],[put vanna]])*$A$4)</f>
        <v>0</v>
      </c>
      <c r="AR46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4" s="9" t="str" cm="1">
        <f t="array" ref="AT464">_xlfn.IFS(     $M$1="SPX","SPXW",     $M$1="RUT","RUTW",  $M$1="NDX","NDXP",   TRUE,$M$1 )</f>
        <v>SPXW</v>
      </c>
      <c r="AU464" s="2">
        <f t="shared" si="47"/>
        <v>6915</v>
      </c>
      <c r="AV464" t="str">
        <f t="shared" si="48"/>
        <v>000100</v>
      </c>
      <c r="AY46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4">
        <f>((Table133[[#This Row],[High C]]+Table133[[#This Row],[Low C]])/2)*Table133[[#This Row],[gammac]]*Table133[[#This Row],[Volume]]</f>
        <v>0</v>
      </c>
      <c r="BD464">
        <f>((Table133[[#This Row],[High P]]+Table133[[#This Row],[Low P]])/2)*Table133[[#This Row],[gammap]]*Table133[[#This Row],[Volume9]]*-1</f>
        <v>0</v>
      </c>
      <c r="BE464">
        <f>(Table133[[#This Row],[SgammaC]]+Table133[[#This Row],[SgammaP]])*$A$4*-100</f>
        <v>0</v>
      </c>
      <c r="BF464" s="78">
        <f>Table133[[#This Row],[DEXc]]+Table133[[#This Row],[DEXp]]</f>
        <v>0</v>
      </c>
      <c r="BG464">
        <f>IFERROR(Table133[[#This Row],[DeltaC]]*Table133[[#This Row],[Open.Int]]*$A$4,0)</f>
        <v>0</v>
      </c>
      <c r="BH464">
        <f>IFERROR(Table133[[#This Row],[DeltaP]]*Table133[[#This Row],[Open.Int8]]*$A$4,0)</f>
        <v>0</v>
      </c>
      <c r="BI46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4">
        <f ca="1">Table133[[#This Row],[charmc]]+Table133[[#This Row],[charmp]]</f>
        <v>0</v>
      </c>
      <c r="BL46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4" s="78">
        <f ca="1">Table133[[#This Row],[call helper]]+Table133[[#This Row],[put helper]]</f>
        <v>0</v>
      </c>
      <c r="BP464" t="str">
        <f>RTD("tos.rtd", , "STRIKE", "."&amp;Table133[[#This Row],[Ticker]]&amp;Table133[[#This Row],[Expiry]]&amp;""&amp;"C"&amp;Table133[[#This Row],[Spot]]+Table133[[#This Row],[step]])</f>
        <v>N/A</v>
      </c>
    </row>
    <row r="465" spans="1:68" x14ac:dyDescent="0.25">
      <c r="A465" s="14">
        <f t="shared" ca="1" si="44"/>
        <v>-126.14810350076104</v>
      </c>
      <c r="C465" s="17"/>
      <c r="D465" t="str">
        <f>RTD("tos.rtd", , "OPEN_INT", "."&amp;Table133[[#This Row],[Ticker]]&amp;Table133[[#This Row],[Expiry]]&amp;""&amp;"C"&amp;Table133[[#This Row],[Spot]]+Table133[[#This Row],[step]])</f>
        <v>N/A</v>
      </c>
      <c r="E46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5" t="b">
        <f>IF(     ISNUMBER(Table133[[#This Row],[Strike]]),RTD("tos.rtd", , "DELTA", "."&amp;Table133[[#This Row],[Ticker]]&amp;Table133[[#This Row],[Expiry]]&amp;""&amp;"C"&amp;Table133[[#This Row],[Strike]]))</f>
        <v>0</v>
      </c>
      <c r="H465" s="17" cm="1">
        <f t="array" aca="1" ref="H465" ca="1">IndividualLegIVCore($A$4, Table133[[#This Row],[Strike]], 0.0411, Table133[[#This Row],[T]], ((Table133[[#This Row],[BIDC]]+Table133[[#This Row],[ASKC]])/2), TRUE)</f>
        <v>0.01</v>
      </c>
      <c r="I465" t="b">
        <f>IF(     ISNUMBER(Table133[[#This Row],[Strike]]),RTD("tos.rtd", , "BID", "."&amp;Table133[[#This Row],[Ticker]]&amp;Table133[[#This Row],[Expiry]]&amp;""&amp;"C"&amp;Table133[[#This Row],[Strike]]))</f>
        <v>0</v>
      </c>
      <c r="J465" t="b">
        <f>IF(     ISNUMBER(Table133[[#This Row],[Strike]]),RTD("tos.rtd", , "ASK", "."&amp;Table133[[#This Row],[Ticker]]&amp;Table133[[#This Row],[Expiry]]&amp;""&amp;"C"&amp;Table133[[#This Row],[Strike]]))</f>
        <v>0</v>
      </c>
      <c r="K465" s="17"/>
      <c r="M465" s="1">
        <f t="shared" si="45"/>
        <v>0</v>
      </c>
      <c r="N465" t="b">
        <f t="shared" si="46"/>
        <v>0</v>
      </c>
      <c r="P465" s="17" cm="1">
        <f t="array" aca="1" ref="P465" ca="1">IndividualLegIVCore($A$4, Table133[[#This Row],[Strike]], 0.0411, Table133[[#This Row],[T]], ((Table133[[#This Row],[BIDP]]+Table133[[#This Row],[ASKP]])/2), FALSE)</f>
        <v>0.01</v>
      </c>
      <c r="Q465" t="b">
        <f>IF(     ISNUMBER(Table133[[#This Row],[Strike]]),RTD("tos.rtd", , "BID", "."&amp;Table133[[#This Row],[Ticker]]&amp;Table133[[#This Row],[Expiry]]&amp;""&amp;"P"&amp;Table133[[#This Row],[Strike]]))</f>
        <v>0</v>
      </c>
      <c r="R465" t="b">
        <f>IF(     ISNUMBER(Table133[[#This Row],[Strike]]),RTD("tos.rtd", , "ASK", "."&amp;Table133[[#This Row],[Ticker]]&amp;Table133[[#This Row],[Expiry]]&amp;""&amp;"P"&amp;Table133[[#This Row],[Strike]]))</f>
        <v>0</v>
      </c>
      <c r="S465" s="17"/>
      <c r="T465" t="b">
        <f>IF(     ISNUMBER(Table133[[#This Row],[Strike]]),RTD("tos.rtd", , "OPEN_INT", "."&amp;Table133[[#This Row],[Ticker]]&amp;Table133[[#This Row],[Expiry]]&amp;""&amp;"P"&amp;Table133[[#This Row],[Strike]]))</f>
        <v>0</v>
      </c>
      <c r="U46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5" t="b">
        <f>IF(     ISNUMBER(Table133[[#This Row],[Strike]]),RTD("tos.rtd", , "DELTA", "."&amp;Table133[[#This Row],[Ticker]]&amp;Table133[[#This Row],[Expiry]]&amp;""&amp;"P"&amp;Table133[[#This Row],[Strike]]))</f>
        <v>0</v>
      </c>
      <c r="Y465" s="19">
        <f>-25.5* IF($M$1="NDX", 10, IF(OR($M$1="SPX", $M$1="RUT"), 2, 1))</f>
        <v>-51</v>
      </c>
      <c r="Z465">
        <f ca="1">IFERROR(Table133[[#This Row],[call gamma]]*(Table133[[#This Row],[Open.Int]])*$A$4^2,0)</f>
        <v>0</v>
      </c>
      <c r="AA465">
        <f ca="1">IFERROR(((Table133[[#This Row],[Open.Int8]])*Table133[[#This Row],[Put gamma]])*-1*$A$4^2,0)</f>
        <v>0</v>
      </c>
      <c r="AB465">
        <f ca="1">(Table133[[#This Row],[Call Gex]]+Table133[[#This Row],[Put Gex]])</f>
        <v>0</v>
      </c>
      <c r="AC465">
        <f ca="1">Table133[[#This Row],[put delta adj]]+Table133[[#This Row],[call delta adj]]</f>
        <v>0</v>
      </c>
      <c r="AD465">
        <f ca="1">Table133[[#This Row],[Put Gex]]*Table133[[#This Row],[DeltaP]]*-1</f>
        <v>0</v>
      </c>
      <c r="AE465">
        <f ca="1">Table133[[#This Row],[Call Gex]]*Table133[[#This Row],[DeltaC]]</f>
        <v>0</v>
      </c>
      <c r="AF465">
        <f>IF(Table133[[#This Row],[DeltaC]]-ABS(Table133[[#This Row],[DeltaP]])="0","0.01",Table133[[#This Row],[DeltaC]]-ABS(Table133[[#This Row],[DeltaP]]))</f>
        <v>0</v>
      </c>
      <c r="AG465" t="e">
        <f ca="1">((LN($A$4/Table133[[#This Row],[Strike]]) + (0.411 + 0.5 * Table133[[#This Row],[IV Calc P]]^2) *Table133[[#This Row],[T]])) / (Table133[[#This Row],[IV Calc P]] * SQRT(Table133[[#This Row],[T]]))</f>
        <v>#DIV/0!</v>
      </c>
      <c r="AH465" t="e">
        <f ca="1">(LN($A$4/Table133[[#This Row],[Strike]]) + (0.411-0 + 0.5 * Table133[[#This Row],[IV Calc C]]^2) *Table133[[#This Row],[T]]) / (Table133[[#This Row],[IV Calc C]] * SQRT(Table133[[#This Row],[T]]))</f>
        <v>#DIV/0!</v>
      </c>
      <c r="AI465" t="e">
        <f ca="1">(EXP(-(AG465^2)/2)/SQRT(2*PI())*EXP(0*SQRT(Table133[[#This Row],[T]]))/$A$4*18%*SQRT(SQRT(Table133[[#This Row],[T]])))</f>
        <v>#DIV/0!</v>
      </c>
      <c r="AJ465" t="e">
        <f ca="1">(EXP(-(AH465^2)/2)/SQRT(2*PI())*EXP(0*SQRT(Table133[[#This Row],[T]]))/$A$4*18%*SQRT(SQRT(Table133[[#This Row],[T]])))</f>
        <v>#DIV/0!</v>
      </c>
      <c r="AK465" t="e">
        <f ca="1">Table133[[#This Row],[Call D1]]-Table133[[#This Row],[IV Calc C]]*SQRT(Table133[[#This Row],[T]])</f>
        <v>#DIV/0!</v>
      </c>
      <c r="AL465" t="e">
        <f ca="1">Table133[[#This Row],[Put D1]]-Table133[[#This Row],[IV Calc P]]*SQRT(Table133[[#This Row],[T]])</f>
        <v>#DIV/0!</v>
      </c>
      <c r="AM465" t="e">
        <f ca="1">EXP(-0.5*Table133[[#This Row],[Call D1]]^2)/SQRT(2*PI())</f>
        <v>#DIV/0!</v>
      </c>
      <c r="AN465" t="e">
        <f ca="1">EXP(-0.5*Table133[[#This Row],[Put D1]]^2)/SQRT(2*PI())</f>
        <v>#DIV/0!</v>
      </c>
      <c r="AO46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5">
        <f ca="1">((Table133[[#This Row],[call vanna]]+Table133[[#This Row],[put vanna]])*$A$4)</f>
        <v>0</v>
      </c>
      <c r="AR46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5" s="9" t="str" cm="1">
        <f t="array" ref="AT465">_xlfn.IFS(     $M$1="SPX","SPXW",     $M$1="RUT","RUTW",  $M$1="NDX","NDXP",   TRUE,$M$1 )</f>
        <v>SPXW</v>
      </c>
      <c r="AU465" s="2">
        <f t="shared" si="47"/>
        <v>6915</v>
      </c>
      <c r="AV465" t="str">
        <f t="shared" si="48"/>
        <v>000100</v>
      </c>
      <c r="AY46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5">
        <f>((Table133[[#This Row],[High C]]+Table133[[#This Row],[Low C]])/2)*Table133[[#This Row],[gammac]]*Table133[[#This Row],[Volume]]</f>
        <v>0</v>
      </c>
      <c r="BD465">
        <f>((Table133[[#This Row],[High P]]+Table133[[#This Row],[Low P]])/2)*Table133[[#This Row],[gammap]]*Table133[[#This Row],[Volume9]]*-1</f>
        <v>0</v>
      </c>
      <c r="BE465">
        <f>(Table133[[#This Row],[SgammaC]]+Table133[[#This Row],[SgammaP]])*$A$4*-100</f>
        <v>0</v>
      </c>
      <c r="BF465" s="78">
        <f>Table133[[#This Row],[DEXc]]+Table133[[#This Row],[DEXp]]</f>
        <v>0</v>
      </c>
      <c r="BG465">
        <f>IFERROR(Table133[[#This Row],[DeltaC]]*Table133[[#This Row],[Open.Int]]*$A$4,0)</f>
        <v>0</v>
      </c>
      <c r="BH465">
        <f>IFERROR(Table133[[#This Row],[DeltaP]]*Table133[[#This Row],[Open.Int8]]*$A$4,0)</f>
        <v>0</v>
      </c>
      <c r="BI46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5">
        <f ca="1">Table133[[#This Row],[charmc]]+Table133[[#This Row],[charmp]]</f>
        <v>0</v>
      </c>
      <c r="BL46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5" s="78">
        <f ca="1">Table133[[#This Row],[call helper]]+Table133[[#This Row],[put helper]]</f>
        <v>0</v>
      </c>
      <c r="BP465" t="str">
        <f>RTD("tos.rtd", , "STRIKE", "."&amp;Table133[[#This Row],[Ticker]]&amp;Table133[[#This Row],[Expiry]]&amp;""&amp;"C"&amp;Table133[[#This Row],[Spot]]+Table133[[#This Row],[step]])</f>
        <v>N/A</v>
      </c>
    </row>
    <row r="466" spans="1:68" x14ac:dyDescent="0.25">
      <c r="A466" s="14">
        <f t="shared" ca="1" si="44"/>
        <v>-126.14810350076104</v>
      </c>
      <c r="C466" s="17"/>
      <c r="D466" t="str">
        <f>RTD("tos.rtd", , "OPEN_INT", "."&amp;Table133[[#This Row],[Ticker]]&amp;Table133[[#This Row],[Expiry]]&amp;""&amp;"C"&amp;Table133[[#This Row],[Spot]]+Table133[[#This Row],[step]])</f>
        <v>N/A</v>
      </c>
      <c r="E46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6" t="b">
        <f>IF(     ISNUMBER(Table133[[#This Row],[Strike]]),RTD("tos.rtd", , "DELTA", "."&amp;Table133[[#This Row],[Ticker]]&amp;Table133[[#This Row],[Expiry]]&amp;""&amp;"C"&amp;Table133[[#This Row],[Strike]]))</f>
        <v>0</v>
      </c>
      <c r="H466" s="17" cm="1">
        <f t="array" aca="1" ref="H466" ca="1">IndividualLegIVCore($A$4, Table133[[#This Row],[Strike]], 0.0411, Table133[[#This Row],[T]], ((Table133[[#This Row],[BIDC]]+Table133[[#This Row],[ASKC]])/2), TRUE)</f>
        <v>0.01</v>
      </c>
      <c r="I466" t="b">
        <f>IF(     ISNUMBER(Table133[[#This Row],[Strike]]),RTD("tos.rtd", , "BID", "."&amp;Table133[[#This Row],[Ticker]]&amp;Table133[[#This Row],[Expiry]]&amp;""&amp;"C"&amp;Table133[[#This Row],[Strike]]))</f>
        <v>0</v>
      </c>
      <c r="J466" t="b">
        <f>IF(     ISNUMBER(Table133[[#This Row],[Strike]]),RTD("tos.rtd", , "ASK", "."&amp;Table133[[#This Row],[Ticker]]&amp;Table133[[#This Row],[Expiry]]&amp;""&amp;"C"&amp;Table133[[#This Row],[Strike]]))</f>
        <v>0</v>
      </c>
      <c r="K466" s="17"/>
      <c r="M466" s="1">
        <f t="shared" si="45"/>
        <v>0</v>
      </c>
      <c r="N466" t="b">
        <f t="shared" si="46"/>
        <v>0</v>
      </c>
      <c r="P466" s="17" cm="1">
        <f t="array" aca="1" ref="P466" ca="1">IndividualLegIVCore($A$4, Table133[[#This Row],[Strike]], 0.0411, Table133[[#This Row],[T]], ((Table133[[#This Row],[BIDP]]+Table133[[#This Row],[ASKP]])/2), FALSE)</f>
        <v>0.01</v>
      </c>
      <c r="Q466" t="b">
        <f>IF(     ISNUMBER(Table133[[#This Row],[Strike]]),RTD("tos.rtd", , "BID", "."&amp;Table133[[#This Row],[Ticker]]&amp;Table133[[#This Row],[Expiry]]&amp;""&amp;"P"&amp;Table133[[#This Row],[Strike]]))</f>
        <v>0</v>
      </c>
      <c r="R466" t="b">
        <f>IF(     ISNUMBER(Table133[[#This Row],[Strike]]),RTD("tos.rtd", , "ASK", "."&amp;Table133[[#This Row],[Ticker]]&amp;Table133[[#This Row],[Expiry]]&amp;""&amp;"P"&amp;Table133[[#This Row],[Strike]]))</f>
        <v>0</v>
      </c>
      <c r="S466" s="17"/>
      <c r="T466" t="b">
        <f>IF(     ISNUMBER(Table133[[#This Row],[Strike]]),RTD("tos.rtd", , "OPEN_INT", "."&amp;Table133[[#This Row],[Ticker]]&amp;Table133[[#This Row],[Expiry]]&amp;""&amp;"P"&amp;Table133[[#This Row],[Strike]]))</f>
        <v>0</v>
      </c>
      <c r="U46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6" t="b">
        <f>IF(     ISNUMBER(Table133[[#This Row],[Strike]]),RTD("tos.rtd", , "DELTA", "."&amp;Table133[[#This Row],[Ticker]]&amp;Table133[[#This Row],[Expiry]]&amp;""&amp;"P"&amp;Table133[[#This Row],[Strike]]))</f>
        <v>0</v>
      </c>
      <c r="Y466" s="19">
        <f>-25* IF($M$1="NDX", 10, IF(OR($M$1="SPX", $M$1="RUT"), 2, 1))</f>
        <v>-50</v>
      </c>
      <c r="Z466">
        <f ca="1">IFERROR(Table133[[#This Row],[call gamma]]*(Table133[[#This Row],[Open.Int]])*$A$4^2,0)</f>
        <v>0</v>
      </c>
      <c r="AA466">
        <f ca="1">IFERROR(((Table133[[#This Row],[Open.Int8]])*Table133[[#This Row],[Put gamma]])*-1*$A$4^2,0)</f>
        <v>0</v>
      </c>
      <c r="AB466">
        <f ca="1">(Table133[[#This Row],[Call Gex]]+Table133[[#This Row],[Put Gex]])</f>
        <v>0</v>
      </c>
      <c r="AC466">
        <f ca="1">Table133[[#This Row],[put delta adj]]+Table133[[#This Row],[call delta adj]]</f>
        <v>0</v>
      </c>
      <c r="AD466">
        <f ca="1">Table133[[#This Row],[Put Gex]]*Table133[[#This Row],[DeltaP]]*-1</f>
        <v>0</v>
      </c>
      <c r="AE466">
        <f ca="1">Table133[[#This Row],[Call Gex]]*Table133[[#This Row],[DeltaC]]</f>
        <v>0</v>
      </c>
      <c r="AF466">
        <f>IF(Table133[[#This Row],[DeltaC]]-ABS(Table133[[#This Row],[DeltaP]])="0","0.01",Table133[[#This Row],[DeltaC]]-ABS(Table133[[#This Row],[DeltaP]]))</f>
        <v>0</v>
      </c>
      <c r="AG466" t="e">
        <f ca="1">((LN($A$4/Table133[[#This Row],[Strike]]) + (0.411 + 0.5 * Table133[[#This Row],[IV Calc P]]^2) *Table133[[#This Row],[T]])) / (Table133[[#This Row],[IV Calc P]] * SQRT(Table133[[#This Row],[T]]))</f>
        <v>#DIV/0!</v>
      </c>
      <c r="AH466" t="e">
        <f ca="1">(LN($A$4/Table133[[#This Row],[Strike]]) + (0.411-0 + 0.5 * Table133[[#This Row],[IV Calc C]]^2) *Table133[[#This Row],[T]]) / (Table133[[#This Row],[IV Calc C]] * SQRT(Table133[[#This Row],[T]]))</f>
        <v>#DIV/0!</v>
      </c>
      <c r="AI466" t="e">
        <f ca="1">(EXP(-(AG466^2)/2)/SQRT(2*PI())*EXP(0*SQRT(Table133[[#This Row],[T]]))/$A$4*18%*SQRT(SQRT(Table133[[#This Row],[T]])))</f>
        <v>#DIV/0!</v>
      </c>
      <c r="AJ466" t="e">
        <f ca="1">(EXP(-(AH466^2)/2)/SQRT(2*PI())*EXP(0*SQRT(Table133[[#This Row],[T]]))/$A$4*18%*SQRT(SQRT(Table133[[#This Row],[T]])))</f>
        <v>#DIV/0!</v>
      </c>
      <c r="AK466" t="e">
        <f ca="1">Table133[[#This Row],[Call D1]]-Table133[[#This Row],[IV Calc C]]*SQRT(Table133[[#This Row],[T]])</f>
        <v>#DIV/0!</v>
      </c>
      <c r="AL466" t="e">
        <f ca="1">Table133[[#This Row],[Put D1]]-Table133[[#This Row],[IV Calc P]]*SQRT(Table133[[#This Row],[T]])</f>
        <v>#DIV/0!</v>
      </c>
      <c r="AM466" t="e">
        <f ca="1">EXP(-0.5*Table133[[#This Row],[Call D1]]^2)/SQRT(2*PI())</f>
        <v>#DIV/0!</v>
      </c>
      <c r="AN466" t="e">
        <f ca="1">EXP(-0.5*Table133[[#This Row],[Put D1]]^2)/SQRT(2*PI())</f>
        <v>#DIV/0!</v>
      </c>
      <c r="AO46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6">
        <f ca="1">((Table133[[#This Row],[call vanna]]+Table133[[#This Row],[put vanna]])*$A$4)</f>
        <v>0</v>
      </c>
      <c r="AR46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6" s="9" t="str" cm="1">
        <f t="array" ref="AT466">_xlfn.IFS(     $M$1="SPX","SPXW",     $M$1="RUT","RUTW",  $M$1="NDX","NDXP",   TRUE,$M$1 )</f>
        <v>SPXW</v>
      </c>
      <c r="AU466" s="2">
        <f t="shared" si="47"/>
        <v>6915</v>
      </c>
      <c r="AV466" t="str">
        <f t="shared" si="48"/>
        <v>000100</v>
      </c>
      <c r="AY46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6">
        <f>((Table133[[#This Row],[High C]]+Table133[[#This Row],[Low C]])/2)*Table133[[#This Row],[gammac]]*Table133[[#This Row],[Volume]]</f>
        <v>0</v>
      </c>
      <c r="BD466">
        <f>((Table133[[#This Row],[High P]]+Table133[[#This Row],[Low P]])/2)*Table133[[#This Row],[gammap]]*Table133[[#This Row],[Volume9]]*-1</f>
        <v>0</v>
      </c>
      <c r="BE466">
        <f>(Table133[[#This Row],[SgammaC]]+Table133[[#This Row],[SgammaP]])*$A$4*-100</f>
        <v>0</v>
      </c>
      <c r="BF466" s="78">
        <f>Table133[[#This Row],[DEXc]]+Table133[[#This Row],[DEXp]]</f>
        <v>0</v>
      </c>
      <c r="BG466">
        <f>IFERROR(Table133[[#This Row],[DeltaC]]*Table133[[#This Row],[Open.Int]]*$A$4,0)</f>
        <v>0</v>
      </c>
      <c r="BH466">
        <f>IFERROR(Table133[[#This Row],[DeltaP]]*Table133[[#This Row],[Open.Int8]]*$A$4,0)</f>
        <v>0</v>
      </c>
      <c r="BI46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6">
        <f ca="1">Table133[[#This Row],[charmc]]+Table133[[#This Row],[charmp]]</f>
        <v>0</v>
      </c>
      <c r="BL46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6" s="78">
        <f ca="1">Table133[[#This Row],[call helper]]+Table133[[#This Row],[put helper]]</f>
        <v>0</v>
      </c>
      <c r="BP466" t="str">
        <f>RTD("tos.rtd", , "STRIKE", "."&amp;Table133[[#This Row],[Ticker]]&amp;Table133[[#This Row],[Expiry]]&amp;""&amp;"C"&amp;Table133[[#This Row],[Spot]]+Table133[[#This Row],[step]])</f>
        <v>N/A</v>
      </c>
    </row>
    <row r="467" spans="1:68" x14ac:dyDescent="0.25">
      <c r="A467" s="14">
        <f t="shared" ca="1" si="44"/>
        <v>-126.14810350076104</v>
      </c>
      <c r="C467" s="17"/>
      <c r="D467" t="str">
        <f>RTD("tos.rtd", , "OPEN_INT", "."&amp;Table133[[#This Row],[Ticker]]&amp;Table133[[#This Row],[Expiry]]&amp;""&amp;"C"&amp;Table133[[#This Row],[Spot]]+Table133[[#This Row],[step]])</f>
        <v>N/A</v>
      </c>
      <c r="E46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7" t="b">
        <f>IF(     ISNUMBER(Table133[[#This Row],[Strike]]),RTD("tos.rtd", , "DELTA", "."&amp;Table133[[#This Row],[Ticker]]&amp;Table133[[#This Row],[Expiry]]&amp;""&amp;"C"&amp;Table133[[#This Row],[Strike]]))</f>
        <v>0</v>
      </c>
      <c r="H467" s="17" cm="1">
        <f t="array" aca="1" ref="H467" ca="1">IndividualLegIVCore($A$4, Table133[[#This Row],[Strike]], 0.0411, Table133[[#This Row],[T]], ((Table133[[#This Row],[BIDC]]+Table133[[#This Row],[ASKC]])/2), TRUE)</f>
        <v>0.01</v>
      </c>
      <c r="I467" t="b">
        <f>IF(     ISNUMBER(Table133[[#This Row],[Strike]]),RTD("tos.rtd", , "BID", "."&amp;Table133[[#This Row],[Ticker]]&amp;Table133[[#This Row],[Expiry]]&amp;""&amp;"C"&amp;Table133[[#This Row],[Strike]]))</f>
        <v>0</v>
      </c>
      <c r="J467" t="b">
        <f>IF(     ISNUMBER(Table133[[#This Row],[Strike]]),RTD("tos.rtd", , "ASK", "."&amp;Table133[[#This Row],[Ticker]]&amp;Table133[[#This Row],[Expiry]]&amp;""&amp;"C"&amp;Table133[[#This Row],[Strike]]))</f>
        <v>0</v>
      </c>
      <c r="K467" s="17"/>
      <c r="M467" s="1">
        <f t="shared" si="45"/>
        <v>0</v>
      </c>
      <c r="N467" t="b">
        <f t="shared" si="46"/>
        <v>0</v>
      </c>
      <c r="P467" s="17" cm="1">
        <f t="array" aca="1" ref="P467" ca="1">IndividualLegIVCore($A$4, Table133[[#This Row],[Strike]], 0.0411, Table133[[#This Row],[T]], ((Table133[[#This Row],[BIDP]]+Table133[[#This Row],[ASKP]])/2), FALSE)</f>
        <v>0.01</v>
      </c>
      <c r="Q467" t="b">
        <f>IF(     ISNUMBER(Table133[[#This Row],[Strike]]),RTD("tos.rtd", , "BID", "."&amp;Table133[[#This Row],[Ticker]]&amp;Table133[[#This Row],[Expiry]]&amp;""&amp;"P"&amp;Table133[[#This Row],[Strike]]))</f>
        <v>0</v>
      </c>
      <c r="R467" t="b">
        <f>IF(     ISNUMBER(Table133[[#This Row],[Strike]]),RTD("tos.rtd", , "ASK", "."&amp;Table133[[#This Row],[Ticker]]&amp;Table133[[#This Row],[Expiry]]&amp;""&amp;"P"&amp;Table133[[#This Row],[Strike]]))</f>
        <v>0</v>
      </c>
      <c r="S467" s="17"/>
      <c r="T467" t="b">
        <f>IF(     ISNUMBER(Table133[[#This Row],[Strike]]),RTD("tos.rtd", , "OPEN_INT", "."&amp;Table133[[#This Row],[Ticker]]&amp;Table133[[#This Row],[Expiry]]&amp;""&amp;"P"&amp;Table133[[#This Row],[Strike]]))</f>
        <v>0</v>
      </c>
      <c r="U46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7" t="b">
        <f>IF(     ISNUMBER(Table133[[#This Row],[Strike]]),RTD("tos.rtd", , "DELTA", "."&amp;Table133[[#This Row],[Ticker]]&amp;Table133[[#This Row],[Expiry]]&amp;""&amp;"P"&amp;Table133[[#This Row],[Strike]]))</f>
        <v>0</v>
      </c>
      <c r="Y467" s="19">
        <f>-24.5* IF($M$1="NDX", 10, IF(OR($M$1="SPX", $M$1="RUT"), 2, 1))</f>
        <v>-49</v>
      </c>
      <c r="Z467">
        <f ca="1">IFERROR(Table133[[#This Row],[call gamma]]*(Table133[[#This Row],[Open.Int]])*$A$4^2,0)</f>
        <v>0</v>
      </c>
      <c r="AA467">
        <f ca="1">IFERROR(((Table133[[#This Row],[Open.Int8]])*Table133[[#This Row],[Put gamma]])*-1*$A$4^2,0)</f>
        <v>0</v>
      </c>
      <c r="AB467">
        <f ca="1">(Table133[[#This Row],[Call Gex]]+Table133[[#This Row],[Put Gex]])</f>
        <v>0</v>
      </c>
      <c r="AC467">
        <f ca="1">Table133[[#This Row],[put delta adj]]+Table133[[#This Row],[call delta adj]]</f>
        <v>0</v>
      </c>
      <c r="AD467">
        <f ca="1">Table133[[#This Row],[Put Gex]]*Table133[[#This Row],[DeltaP]]*-1</f>
        <v>0</v>
      </c>
      <c r="AE467">
        <f ca="1">Table133[[#This Row],[Call Gex]]*Table133[[#This Row],[DeltaC]]</f>
        <v>0</v>
      </c>
      <c r="AF467">
        <f>IF(Table133[[#This Row],[DeltaC]]-ABS(Table133[[#This Row],[DeltaP]])="0","0.01",Table133[[#This Row],[DeltaC]]-ABS(Table133[[#This Row],[DeltaP]]))</f>
        <v>0</v>
      </c>
      <c r="AG467" t="e">
        <f ca="1">((LN($A$4/Table133[[#This Row],[Strike]]) + (0.411 + 0.5 * Table133[[#This Row],[IV Calc P]]^2) *Table133[[#This Row],[T]])) / (Table133[[#This Row],[IV Calc P]] * SQRT(Table133[[#This Row],[T]]))</f>
        <v>#DIV/0!</v>
      </c>
      <c r="AH467" t="e">
        <f ca="1">(LN($A$4/Table133[[#This Row],[Strike]]) + (0.411-0 + 0.5 * Table133[[#This Row],[IV Calc C]]^2) *Table133[[#This Row],[T]]) / (Table133[[#This Row],[IV Calc C]] * SQRT(Table133[[#This Row],[T]]))</f>
        <v>#DIV/0!</v>
      </c>
      <c r="AI467" t="e">
        <f ca="1">(EXP(-(AG467^2)/2)/SQRT(2*PI())*EXP(0*SQRT(Table133[[#This Row],[T]]))/$A$4*18%*SQRT(SQRT(Table133[[#This Row],[T]])))</f>
        <v>#DIV/0!</v>
      </c>
      <c r="AJ467" t="e">
        <f ca="1">(EXP(-(AH467^2)/2)/SQRT(2*PI())*EXP(0*SQRT(Table133[[#This Row],[T]]))/$A$4*18%*SQRT(SQRT(Table133[[#This Row],[T]])))</f>
        <v>#DIV/0!</v>
      </c>
      <c r="AK467" t="e">
        <f ca="1">Table133[[#This Row],[Call D1]]-Table133[[#This Row],[IV Calc C]]*SQRT(Table133[[#This Row],[T]])</f>
        <v>#DIV/0!</v>
      </c>
      <c r="AL467" t="e">
        <f ca="1">Table133[[#This Row],[Put D1]]-Table133[[#This Row],[IV Calc P]]*SQRT(Table133[[#This Row],[T]])</f>
        <v>#DIV/0!</v>
      </c>
      <c r="AM467" t="e">
        <f ca="1">EXP(-0.5*Table133[[#This Row],[Call D1]]^2)/SQRT(2*PI())</f>
        <v>#DIV/0!</v>
      </c>
      <c r="AN467" t="e">
        <f ca="1">EXP(-0.5*Table133[[#This Row],[Put D1]]^2)/SQRT(2*PI())</f>
        <v>#DIV/0!</v>
      </c>
      <c r="AO46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7">
        <f ca="1">((Table133[[#This Row],[call vanna]]+Table133[[#This Row],[put vanna]])*$A$4)</f>
        <v>0</v>
      </c>
      <c r="AR46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7" s="9" t="str" cm="1">
        <f t="array" ref="AT467">_xlfn.IFS(     $M$1="SPX","SPXW",     $M$1="RUT","RUTW",  $M$1="NDX","NDXP",   TRUE,$M$1 )</f>
        <v>SPXW</v>
      </c>
      <c r="AU467" s="2">
        <f t="shared" si="47"/>
        <v>6915</v>
      </c>
      <c r="AV467" t="str">
        <f t="shared" si="48"/>
        <v>000100</v>
      </c>
      <c r="AY46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7">
        <f>((Table133[[#This Row],[High C]]+Table133[[#This Row],[Low C]])/2)*Table133[[#This Row],[gammac]]*Table133[[#This Row],[Volume]]</f>
        <v>0</v>
      </c>
      <c r="BD467">
        <f>((Table133[[#This Row],[High P]]+Table133[[#This Row],[Low P]])/2)*Table133[[#This Row],[gammap]]*Table133[[#This Row],[Volume9]]*-1</f>
        <v>0</v>
      </c>
      <c r="BE467">
        <f>(Table133[[#This Row],[SgammaC]]+Table133[[#This Row],[SgammaP]])*$A$4*-100</f>
        <v>0</v>
      </c>
      <c r="BF467" s="78">
        <f>Table133[[#This Row],[DEXc]]+Table133[[#This Row],[DEXp]]</f>
        <v>0</v>
      </c>
      <c r="BG467">
        <f>IFERROR(Table133[[#This Row],[DeltaC]]*Table133[[#This Row],[Open.Int]]*$A$4,0)</f>
        <v>0</v>
      </c>
      <c r="BH467">
        <f>IFERROR(Table133[[#This Row],[DeltaP]]*Table133[[#This Row],[Open.Int8]]*$A$4,0)</f>
        <v>0</v>
      </c>
      <c r="BI46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7">
        <f ca="1">Table133[[#This Row],[charmc]]+Table133[[#This Row],[charmp]]</f>
        <v>0</v>
      </c>
      <c r="BL46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7" s="78">
        <f ca="1">Table133[[#This Row],[call helper]]+Table133[[#This Row],[put helper]]</f>
        <v>0</v>
      </c>
      <c r="BP467" t="str">
        <f>RTD("tos.rtd", , "STRIKE", "."&amp;Table133[[#This Row],[Ticker]]&amp;Table133[[#This Row],[Expiry]]&amp;""&amp;"C"&amp;Table133[[#This Row],[Spot]]+Table133[[#This Row],[step]])</f>
        <v>N/A</v>
      </c>
    </row>
    <row r="468" spans="1:68" x14ac:dyDescent="0.25">
      <c r="A468" s="14">
        <f t="shared" ca="1" si="44"/>
        <v>-126.14810350076104</v>
      </c>
      <c r="C468" s="17"/>
      <c r="D468" t="str">
        <f>RTD("tos.rtd", , "OPEN_INT", "."&amp;Table133[[#This Row],[Ticker]]&amp;Table133[[#This Row],[Expiry]]&amp;""&amp;"C"&amp;Table133[[#This Row],[Spot]]+Table133[[#This Row],[step]])</f>
        <v>N/A</v>
      </c>
      <c r="E46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8" t="b">
        <f>IF(     ISNUMBER(Table133[[#This Row],[Strike]]),RTD("tos.rtd", , "DELTA", "."&amp;Table133[[#This Row],[Ticker]]&amp;Table133[[#This Row],[Expiry]]&amp;""&amp;"C"&amp;Table133[[#This Row],[Strike]]))</f>
        <v>0</v>
      </c>
      <c r="H468" s="17" cm="1">
        <f t="array" aca="1" ref="H468" ca="1">IndividualLegIVCore($A$4, Table133[[#This Row],[Strike]], 0.0411, Table133[[#This Row],[T]], ((Table133[[#This Row],[BIDC]]+Table133[[#This Row],[ASKC]])/2), TRUE)</f>
        <v>0.01</v>
      </c>
      <c r="I468" t="b">
        <f>IF(     ISNUMBER(Table133[[#This Row],[Strike]]),RTD("tos.rtd", , "BID", "."&amp;Table133[[#This Row],[Ticker]]&amp;Table133[[#This Row],[Expiry]]&amp;""&amp;"C"&amp;Table133[[#This Row],[Strike]]))</f>
        <v>0</v>
      </c>
      <c r="J468" t="b">
        <f>IF(     ISNUMBER(Table133[[#This Row],[Strike]]),RTD("tos.rtd", , "ASK", "."&amp;Table133[[#This Row],[Ticker]]&amp;Table133[[#This Row],[Expiry]]&amp;""&amp;"C"&amp;Table133[[#This Row],[Strike]]))</f>
        <v>0</v>
      </c>
      <c r="K468" s="17"/>
      <c r="M468" s="1">
        <f t="shared" si="45"/>
        <v>0</v>
      </c>
      <c r="N468" t="b">
        <f t="shared" si="46"/>
        <v>0</v>
      </c>
      <c r="P468" s="17" cm="1">
        <f t="array" aca="1" ref="P468" ca="1">IndividualLegIVCore($A$4, Table133[[#This Row],[Strike]], 0.0411, Table133[[#This Row],[T]], ((Table133[[#This Row],[BIDP]]+Table133[[#This Row],[ASKP]])/2), FALSE)</f>
        <v>0.01</v>
      </c>
      <c r="Q468" t="b">
        <f>IF(     ISNUMBER(Table133[[#This Row],[Strike]]),RTD("tos.rtd", , "BID", "."&amp;Table133[[#This Row],[Ticker]]&amp;Table133[[#This Row],[Expiry]]&amp;""&amp;"P"&amp;Table133[[#This Row],[Strike]]))</f>
        <v>0</v>
      </c>
      <c r="R468" t="b">
        <f>IF(     ISNUMBER(Table133[[#This Row],[Strike]]),RTD("tos.rtd", , "ASK", "."&amp;Table133[[#This Row],[Ticker]]&amp;Table133[[#This Row],[Expiry]]&amp;""&amp;"P"&amp;Table133[[#This Row],[Strike]]))</f>
        <v>0</v>
      </c>
      <c r="S468" s="17"/>
      <c r="T468" t="b">
        <f>IF(     ISNUMBER(Table133[[#This Row],[Strike]]),RTD("tos.rtd", , "OPEN_INT", "."&amp;Table133[[#This Row],[Ticker]]&amp;Table133[[#This Row],[Expiry]]&amp;""&amp;"P"&amp;Table133[[#This Row],[Strike]]))</f>
        <v>0</v>
      </c>
      <c r="U46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8" t="b">
        <f>IF(     ISNUMBER(Table133[[#This Row],[Strike]]),RTD("tos.rtd", , "DELTA", "."&amp;Table133[[#This Row],[Ticker]]&amp;Table133[[#This Row],[Expiry]]&amp;""&amp;"P"&amp;Table133[[#This Row],[Strike]]))</f>
        <v>0</v>
      </c>
      <c r="Y468" s="19">
        <f>-24* IF($M$1="NDX", 10, IF(OR($M$1="SPX", $M$1="RUT"), 2, 1))</f>
        <v>-48</v>
      </c>
      <c r="Z468">
        <f ca="1">IFERROR(Table133[[#This Row],[call gamma]]*(Table133[[#This Row],[Open.Int]])*$A$4^2,0)</f>
        <v>0</v>
      </c>
      <c r="AA468">
        <f ca="1">IFERROR(((Table133[[#This Row],[Open.Int8]])*Table133[[#This Row],[Put gamma]])*-1*$A$4^2,0)</f>
        <v>0</v>
      </c>
      <c r="AB468">
        <f ca="1">(Table133[[#This Row],[Call Gex]]+Table133[[#This Row],[Put Gex]])</f>
        <v>0</v>
      </c>
      <c r="AC468">
        <f ca="1">Table133[[#This Row],[put delta adj]]+Table133[[#This Row],[call delta adj]]</f>
        <v>0</v>
      </c>
      <c r="AD468">
        <f ca="1">Table133[[#This Row],[Put Gex]]*Table133[[#This Row],[DeltaP]]*-1</f>
        <v>0</v>
      </c>
      <c r="AE468">
        <f ca="1">Table133[[#This Row],[Call Gex]]*Table133[[#This Row],[DeltaC]]</f>
        <v>0</v>
      </c>
      <c r="AF468">
        <f>IF(Table133[[#This Row],[DeltaC]]-ABS(Table133[[#This Row],[DeltaP]])="0","0.01",Table133[[#This Row],[DeltaC]]-ABS(Table133[[#This Row],[DeltaP]]))</f>
        <v>0</v>
      </c>
      <c r="AG468" t="e">
        <f ca="1">((LN($A$4/Table133[[#This Row],[Strike]]) + (0.411 + 0.5 * Table133[[#This Row],[IV Calc P]]^2) *Table133[[#This Row],[T]])) / (Table133[[#This Row],[IV Calc P]] * SQRT(Table133[[#This Row],[T]]))</f>
        <v>#DIV/0!</v>
      </c>
      <c r="AH468" t="e">
        <f ca="1">(LN($A$4/Table133[[#This Row],[Strike]]) + (0.411-0 + 0.5 * Table133[[#This Row],[IV Calc C]]^2) *Table133[[#This Row],[T]]) / (Table133[[#This Row],[IV Calc C]] * SQRT(Table133[[#This Row],[T]]))</f>
        <v>#DIV/0!</v>
      </c>
      <c r="AI468" t="e">
        <f ca="1">(EXP(-(AG468^2)/2)/SQRT(2*PI())*EXP(0*SQRT(Table133[[#This Row],[T]]))/$A$4*18%*SQRT(SQRT(Table133[[#This Row],[T]])))</f>
        <v>#DIV/0!</v>
      </c>
      <c r="AJ468" t="e">
        <f ca="1">(EXP(-(AH468^2)/2)/SQRT(2*PI())*EXP(0*SQRT(Table133[[#This Row],[T]]))/$A$4*18%*SQRT(SQRT(Table133[[#This Row],[T]])))</f>
        <v>#DIV/0!</v>
      </c>
      <c r="AK468" t="e">
        <f ca="1">Table133[[#This Row],[Call D1]]-Table133[[#This Row],[IV Calc C]]*SQRT(Table133[[#This Row],[T]])</f>
        <v>#DIV/0!</v>
      </c>
      <c r="AL468" t="e">
        <f ca="1">Table133[[#This Row],[Put D1]]-Table133[[#This Row],[IV Calc P]]*SQRT(Table133[[#This Row],[T]])</f>
        <v>#DIV/0!</v>
      </c>
      <c r="AM468" t="e">
        <f ca="1">EXP(-0.5*Table133[[#This Row],[Call D1]]^2)/SQRT(2*PI())</f>
        <v>#DIV/0!</v>
      </c>
      <c r="AN468" t="e">
        <f ca="1">EXP(-0.5*Table133[[#This Row],[Put D1]]^2)/SQRT(2*PI())</f>
        <v>#DIV/0!</v>
      </c>
      <c r="AO46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8">
        <f ca="1">((Table133[[#This Row],[call vanna]]+Table133[[#This Row],[put vanna]])*$A$4)</f>
        <v>0</v>
      </c>
      <c r="AR46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8" s="9" t="str" cm="1">
        <f t="array" ref="AT468">_xlfn.IFS(     $M$1="SPX","SPXW",     $M$1="RUT","RUTW",  $M$1="NDX","NDXP",   TRUE,$M$1 )</f>
        <v>SPXW</v>
      </c>
      <c r="AU468" s="2">
        <f t="shared" si="47"/>
        <v>6915</v>
      </c>
      <c r="AV468" t="str">
        <f t="shared" si="48"/>
        <v>000100</v>
      </c>
      <c r="AY46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8">
        <f>((Table133[[#This Row],[High C]]+Table133[[#This Row],[Low C]])/2)*Table133[[#This Row],[gammac]]*Table133[[#This Row],[Volume]]</f>
        <v>0</v>
      </c>
      <c r="BD468">
        <f>((Table133[[#This Row],[High P]]+Table133[[#This Row],[Low P]])/2)*Table133[[#This Row],[gammap]]*Table133[[#This Row],[Volume9]]*-1</f>
        <v>0</v>
      </c>
      <c r="BE468">
        <f>(Table133[[#This Row],[SgammaC]]+Table133[[#This Row],[SgammaP]])*$A$4*-100</f>
        <v>0</v>
      </c>
      <c r="BF468" s="78">
        <f>Table133[[#This Row],[DEXc]]+Table133[[#This Row],[DEXp]]</f>
        <v>0</v>
      </c>
      <c r="BG468">
        <f>IFERROR(Table133[[#This Row],[DeltaC]]*Table133[[#This Row],[Open.Int]]*$A$4,0)</f>
        <v>0</v>
      </c>
      <c r="BH468">
        <f>IFERROR(Table133[[#This Row],[DeltaP]]*Table133[[#This Row],[Open.Int8]]*$A$4,0)</f>
        <v>0</v>
      </c>
      <c r="BI46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8">
        <f ca="1">Table133[[#This Row],[charmc]]+Table133[[#This Row],[charmp]]</f>
        <v>0</v>
      </c>
      <c r="BL46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8" s="78">
        <f ca="1">Table133[[#This Row],[call helper]]+Table133[[#This Row],[put helper]]</f>
        <v>0</v>
      </c>
      <c r="BP468" t="str">
        <f>RTD("tos.rtd", , "STRIKE", "."&amp;Table133[[#This Row],[Ticker]]&amp;Table133[[#This Row],[Expiry]]&amp;""&amp;"C"&amp;Table133[[#This Row],[Spot]]+Table133[[#This Row],[step]])</f>
        <v>N/A</v>
      </c>
    </row>
    <row r="469" spans="1:68" x14ac:dyDescent="0.25">
      <c r="A469" s="14">
        <f t="shared" ca="1" si="44"/>
        <v>-126.14810350076104</v>
      </c>
      <c r="C469" s="17"/>
      <c r="D469" t="str">
        <f>RTD("tos.rtd", , "OPEN_INT", "."&amp;Table133[[#This Row],[Ticker]]&amp;Table133[[#This Row],[Expiry]]&amp;""&amp;"C"&amp;Table133[[#This Row],[Spot]]+Table133[[#This Row],[step]])</f>
        <v>N/A</v>
      </c>
      <c r="E46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9" t="b">
        <f>IF(     ISNUMBER(Table133[[#This Row],[Strike]]),RTD("tos.rtd", , "DELTA", "."&amp;Table133[[#This Row],[Ticker]]&amp;Table133[[#This Row],[Expiry]]&amp;""&amp;"C"&amp;Table133[[#This Row],[Strike]]))</f>
        <v>0</v>
      </c>
      <c r="H469" s="17" cm="1">
        <f t="array" aca="1" ref="H469" ca="1">IndividualLegIVCore($A$4, Table133[[#This Row],[Strike]], 0.0411, Table133[[#This Row],[T]], ((Table133[[#This Row],[BIDC]]+Table133[[#This Row],[ASKC]])/2), TRUE)</f>
        <v>0.01</v>
      </c>
      <c r="I469" t="b">
        <f>IF(     ISNUMBER(Table133[[#This Row],[Strike]]),RTD("tos.rtd", , "BID", "."&amp;Table133[[#This Row],[Ticker]]&amp;Table133[[#This Row],[Expiry]]&amp;""&amp;"C"&amp;Table133[[#This Row],[Strike]]))</f>
        <v>0</v>
      </c>
      <c r="J469" t="b">
        <f>IF(     ISNUMBER(Table133[[#This Row],[Strike]]),RTD("tos.rtd", , "ASK", "."&amp;Table133[[#This Row],[Ticker]]&amp;Table133[[#This Row],[Expiry]]&amp;""&amp;"C"&amp;Table133[[#This Row],[Strike]]))</f>
        <v>0</v>
      </c>
      <c r="K469" s="17"/>
      <c r="M469" s="1">
        <f t="shared" si="45"/>
        <v>0</v>
      </c>
      <c r="N469" t="b">
        <f t="shared" si="46"/>
        <v>0</v>
      </c>
      <c r="P469" s="17" cm="1">
        <f t="array" aca="1" ref="P469" ca="1">IndividualLegIVCore($A$4, Table133[[#This Row],[Strike]], 0.0411, Table133[[#This Row],[T]], ((Table133[[#This Row],[BIDP]]+Table133[[#This Row],[ASKP]])/2), FALSE)</f>
        <v>0.01</v>
      </c>
      <c r="Q469" t="b">
        <f>IF(     ISNUMBER(Table133[[#This Row],[Strike]]),RTD("tos.rtd", , "BID", "."&amp;Table133[[#This Row],[Ticker]]&amp;Table133[[#This Row],[Expiry]]&amp;""&amp;"P"&amp;Table133[[#This Row],[Strike]]))</f>
        <v>0</v>
      </c>
      <c r="R469" t="b">
        <f>IF(     ISNUMBER(Table133[[#This Row],[Strike]]),RTD("tos.rtd", , "ASK", "."&amp;Table133[[#This Row],[Ticker]]&amp;Table133[[#This Row],[Expiry]]&amp;""&amp;"P"&amp;Table133[[#This Row],[Strike]]))</f>
        <v>0</v>
      </c>
      <c r="S469" s="17"/>
      <c r="T469" t="b">
        <f>IF(     ISNUMBER(Table133[[#This Row],[Strike]]),RTD("tos.rtd", , "OPEN_INT", "."&amp;Table133[[#This Row],[Ticker]]&amp;Table133[[#This Row],[Expiry]]&amp;""&amp;"P"&amp;Table133[[#This Row],[Strike]]))</f>
        <v>0</v>
      </c>
      <c r="U46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9" t="b">
        <f>IF(     ISNUMBER(Table133[[#This Row],[Strike]]),RTD("tos.rtd", , "DELTA", "."&amp;Table133[[#This Row],[Ticker]]&amp;Table133[[#This Row],[Expiry]]&amp;""&amp;"P"&amp;Table133[[#This Row],[Strike]]))</f>
        <v>0</v>
      </c>
      <c r="Y469" s="19">
        <f>-23.5* IF($M$1="NDX", 10, IF(OR($M$1="SPX", $M$1="RUT"), 2, 1))</f>
        <v>-47</v>
      </c>
      <c r="Z469">
        <f ca="1">IFERROR(Table133[[#This Row],[call gamma]]*(Table133[[#This Row],[Open.Int]])*$A$4^2,0)</f>
        <v>0</v>
      </c>
      <c r="AA469">
        <f ca="1">IFERROR(((Table133[[#This Row],[Open.Int8]])*Table133[[#This Row],[Put gamma]])*-1*$A$4^2,0)</f>
        <v>0</v>
      </c>
      <c r="AB469">
        <f ca="1">(Table133[[#This Row],[Call Gex]]+Table133[[#This Row],[Put Gex]])</f>
        <v>0</v>
      </c>
      <c r="AC469">
        <f ca="1">Table133[[#This Row],[put delta adj]]+Table133[[#This Row],[call delta adj]]</f>
        <v>0</v>
      </c>
      <c r="AD469">
        <f ca="1">Table133[[#This Row],[Put Gex]]*Table133[[#This Row],[DeltaP]]*-1</f>
        <v>0</v>
      </c>
      <c r="AE469">
        <f ca="1">Table133[[#This Row],[Call Gex]]*Table133[[#This Row],[DeltaC]]</f>
        <v>0</v>
      </c>
      <c r="AF469">
        <f>IF(Table133[[#This Row],[DeltaC]]-ABS(Table133[[#This Row],[DeltaP]])="0","0.01",Table133[[#This Row],[DeltaC]]-ABS(Table133[[#This Row],[DeltaP]]))</f>
        <v>0</v>
      </c>
      <c r="AG469" t="e">
        <f ca="1">((LN($A$4/Table133[[#This Row],[Strike]]) + (0.411 + 0.5 * Table133[[#This Row],[IV Calc P]]^2) *Table133[[#This Row],[T]])) / (Table133[[#This Row],[IV Calc P]] * SQRT(Table133[[#This Row],[T]]))</f>
        <v>#DIV/0!</v>
      </c>
      <c r="AH469" t="e">
        <f ca="1">(LN($A$4/Table133[[#This Row],[Strike]]) + (0.411-0 + 0.5 * Table133[[#This Row],[IV Calc C]]^2) *Table133[[#This Row],[T]]) / (Table133[[#This Row],[IV Calc C]] * SQRT(Table133[[#This Row],[T]]))</f>
        <v>#DIV/0!</v>
      </c>
      <c r="AI469" t="e">
        <f ca="1">(EXP(-(AG469^2)/2)/SQRT(2*PI())*EXP(0*SQRT(Table133[[#This Row],[T]]))/$A$4*18%*SQRT(SQRT(Table133[[#This Row],[T]])))</f>
        <v>#DIV/0!</v>
      </c>
      <c r="AJ469" t="e">
        <f ca="1">(EXP(-(AH469^2)/2)/SQRT(2*PI())*EXP(0*SQRT(Table133[[#This Row],[T]]))/$A$4*18%*SQRT(SQRT(Table133[[#This Row],[T]])))</f>
        <v>#DIV/0!</v>
      </c>
      <c r="AK469" t="e">
        <f ca="1">Table133[[#This Row],[Call D1]]-Table133[[#This Row],[IV Calc C]]*SQRT(Table133[[#This Row],[T]])</f>
        <v>#DIV/0!</v>
      </c>
      <c r="AL469" t="e">
        <f ca="1">Table133[[#This Row],[Put D1]]-Table133[[#This Row],[IV Calc P]]*SQRT(Table133[[#This Row],[T]])</f>
        <v>#DIV/0!</v>
      </c>
      <c r="AM469" t="e">
        <f ca="1">EXP(-0.5*Table133[[#This Row],[Call D1]]^2)/SQRT(2*PI())</f>
        <v>#DIV/0!</v>
      </c>
      <c r="AN469" t="e">
        <f ca="1">EXP(-0.5*Table133[[#This Row],[Put D1]]^2)/SQRT(2*PI())</f>
        <v>#DIV/0!</v>
      </c>
      <c r="AO46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9">
        <f ca="1">((Table133[[#This Row],[call vanna]]+Table133[[#This Row],[put vanna]])*$A$4)</f>
        <v>0</v>
      </c>
      <c r="AR46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9" s="9" t="str" cm="1">
        <f t="array" ref="AT469">_xlfn.IFS(     $M$1="SPX","SPXW",     $M$1="RUT","RUTW",  $M$1="NDX","NDXP",   TRUE,$M$1 )</f>
        <v>SPXW</v>
      </c>
      <c r="AU469" s="2">
        <f t="shared" si="47"/>
        <v>6915</v>
      </c>
      <c r="AV469" t="str">
        <f t="shared" si="48"/>
        <v>000100</v>
      </c>
      <c r="AY46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9">
        <f>((Table133[[#This Row],[High C]]+Table133[[#This Row],[Low C]])/2)*Table133[[#This Row],[gammac]]*Table133[[#This Row],[Volume]]</f>
        <v>0</v>
      </c>
      <c r="BD469">
        <f>((Table133[[#This Row],[High P]]+Table133[[#This Row],[Low P]])/2)*Table133[[#This Row],[gammap]]*Table133[[#This Row],[Volume9]]*-1</f>
        <v>0</v>
      </c>
      <c r="BE469">
        <f>(Table133[[#This Row],[SgammaC]]+Table133[[#This Row],[SgammaP]])*$A$4*-100</f>
        <v>0</v>
      </c>
      <c r="BF469" s="78">
        <f>Table133[[#This Row],[DEXc]]+Table133[[#This Row],[DEXp]]</f>
        <v>0</v>
      </c>
      <c r="BG469">
        <f>IFERROR(Table133[[#This Row],[DeltaC]]*Table133[[#This Row],[Open.Int]]*$A$4,0)</f>
        <v>0</v>
      </c>
      <c r="BH469">
        <f>IFERROR(Table133[[#This Row],[DeltaP]]*Table133[[#This Row],[Open.Int8]]*$A$4,0)</f>
        <v>0</v>
      </c>
      <c r="BI46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9">
        <f ca="1">Table133[[#This Row],[charmc]]+Table133[[#This Row],[charmp]]</f>
        <v>0</v>
      </c>
      <c r="BL46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9" s="78">
        <f ca="1">Table133[[#This Row],[call helper]]+Table133[[#This Row],[put helper]]</f>
        <v>0</v>
      </c>
      <c r="BP469" t="str">
        <f>RTD("tos.rtd", , "STRIKE", "."&amp;Table133[[#This Row],[Ticker]]&amp;Table133[[#This Row],[Expiry]]&amp;""&amp;"C"&amp;Table133[[#This Row],[Spot]]+Table133[[#This Row],[step]])</f>
        <v>N/A</v>
      </c>
    </row>
    <row r="470" spans="1:68" x14ac:dyDescent="0.25">
      <c r="A470" s="14">
        <f t="shared" ca="1" si="44"/>
        <v>-126.14810350076104</v>
      </c>
      <c r="C470" s="17"/>
      <c r="D470" t="str">
        <f>RTD("tos.rtd", , "OPEN_INT", "."&amp;Table133[[#This Row],[Ticker]]&amp;Table133[[#This Row],[Expiry]]&amp;""&amp;"C"&amp;Table133[[#This Row],[Spot]]+Table133[[#This Row],[step]])</f>
        <v>N/A</v>
      </c>
      <c r="E47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0" t="b">
        <f>IF(     ISNUMBER(Table133[[#This Row],[Strike]]),RTD("tos.rtd", , "DELTA", "."&amp;Table133[[#This Row],[Ticker]]&amp;Table133[[#This Row],[Expiry]]&amp;""&amp;"C"&amp;Table133[[#This Row],[Strike]]))</f>
        <v>0</v>
      </c>
      <c r="H470" s="17" cm="1">
        <f t="array" aca="1" ref="H470" ca="1">IndividualLegIVCore($A$4, Table133[[#This Row],[Strike]], 0.0411, Table133[[#This Row],[T]], ((Table133[[#This Row],[BIDC]]+Table133[[#This Row],[ASKC]])/2), TRUE)</f>
        <v>0.01</v>
      </c>
      <c r="I470" t="b">
        <f>IF(     ISNUMBER(Table133[[#This Row],[Strike]]),RTD("tos.rtd", , "BID", "."&amp;Table133[[#This Row],[Ticker]]&amp;Table133[[#This Row],[Expiry]]&amp;""&amp;"C"&amp;Table133[[#This Row],[Strike]]))</f>
        <v>0</v>
      </c>
      <c r="J470" t="b">
        <f>IF(     ISNUMBER(Table133[[#This Row],[Strike]]),RTD("tos.rtd", , "ASK", "."&amp;Table133[[#This Row],[Ticker]]&amp;Table133[[#This Row],[Expiry]]&amp;""&amp;"C"&amp;Table133[[#This Row],[Strike]]))</f>
        <v>0</v>
      </c>
      <c r="K470" s="17"/>
      <c r="M470" s="1">
        <f t="shared" si="45"/>
        <v>0</v>
      </c>
      <c r="N470" t="b">
        <f t="shared" si="46"/>
        <v>0</v>
      </c>
      <c r="P470" s="17" cm="1">
        <f t="array" aca="1" ref="P470" ca="1">IndividualLegIVCore($A$4, Table133[[#This Row],[Strike]], 0.0411, Table133[[#This Row],[T]], ((Table133[[#This Row],[BIDP]]+Table133[[#This Row],[ASKP]])/2), FALSE)</f>
        <v>0.01</v>
      </c>
      <c r="Q470" t="b">
        <f>IF(     ISNUMBER(Table133[[#This Row],[Strike]]),RTD("tos.rtd", , "BID", "."&amp;Table133[[#This Row],[Ticker]]&amp;Table133[[#This Row],[Expiry]]&amp;""&amp;"P"&amp;Table133[[#This Row],[Strike]]))</f>
        <v>0</v>
      </c>
      <c r="R470" t="b">
        <f>IF(     ISNUMBER(Table133[[#This Row],[Strike]]),RTD("tos.rtd", , "ASK", "."&amp;Table133[[#This Row],[Ticker]]&amp;Table133[[#This Row],[Expiry]]&amp;""&amp;"P"&amp;Table133[[#This Row],[Strike]]))</f>
        <v>0</v>
      </c>
      <c r="S470" s="17"/>
      <c r="T470" t="b">
        <f>IF(     ISNUMBER(Table133[[#This Row],[Strike]]),RTD("tos.rtd", , "OPEN_INT", "."&amp;Table133[[#This Row],[Ticker]]&amp;Table133[[#This Row],[Expiry]]&amp;""&amp;"P"&amp;Table133[[#This Row],[Strike]]))</f>
        <v>0</v>
      </c>
      <c r="U47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0" t="b">
        <f>IF(     ISNUMBER(Table133[[#This Row],[Strike]]),RTD("tos.rtd", , "DELTA", "."&amp;Table133[[#This Row],[Ticker]]&amp;Table133[[#This Row],[Expiry]]&amp;""&amp;"P"&amp;Table133[[#This Row],[Strike]]))</f>
        <v>0</v>
      </c>
      <c r="Y470" s="19">
        <f>-23* IF($M$1="NDX", 10, IF(OR($M$1="SPX", $M$1="RUT"), 2, 1))</f>
        <v>-46</v>
      </c>
      <c r="Z470">
        <f ca="1">IFERROR(Table133[[#This Row],[call gamma]]*(Table133[[#This Row],[Open.Int]])*$A$4^2,0)</f>
        <v>0</v>
      </c>
      <c r="AA470">
        <f ca="1">IFERROR(((Table133[[#This Row],[Open.Int8]])*Table133[[#This Row],[Put gamma]])*-1*$A$4^2,0)</f>
        <v>0</v>
      </c>
      <c r="AB470">
        <f ca="1">(Table133[[#This Row],[Call Gex]]+Table133[[#This Row],[Put Gex]])</f>
        <v>0</v>
      </c>
      <c r="AC470">
        <f ca="1">Table133[[#This Row],[put delta adj]]+Table133[[#This Row],[call delta adj]]</f>
        <v>0</v>
      </c>
      <c r="AD470">
        <f ca="1">Table133[[#This Row],[Put Gex]]*Table133[[#This Row],[DeltaP]]*-1</f>
        <v>0</v>
      </c>
      <c r="AE470">
        <f ca="1">Table133[[#This Row],[Call Gex]]*Table133[[#This Row],[DeltaC]]</f>
        <v>0</v>
      </c>
      <c r="AF470">
        <f>IF(Table133[[#This Row],[DeltaC]]-ABS(Table133[[#This Row],[DeltaP]])="0","0.01",Table133[[#This Row],[DeltaC]]-ABS(Table133[[#This Row],[DeltaP]]))</f>
        <v>0</v>
      </c>
      <c r="AG470" t="e">
        <f ca="1">((LN($A$4/Table133[[#This Row],[Strike]]) + (0.411 + 0.5 * Table133[[#This Row],[IV Calc P]]^2) *Table133[[#This Row],[T]])) / (Table133[[#This Row],[IV Calc P]] * SQRT(Table133[[#This Row],[T]]))</f>
        <v>#DIV/0!</v>
      </c>
      <c r="AH470" t="e">
        <f ca="1">(LN($A$4/Table133[[#This Row],[Strike]]) + (0.411-0 + 0.5 * Table133[[#This Row],[IV Calc C]]^2) *Table133[[#This Row],[T]]) / (Table133[[#This Row],[IV Calc C]] * SQRT(Table133[[#This Row],[T]]))</f>
        <v>#DIV/0!</v>
      </c>
      <c r="AI470" t="e">
        <f ca="1">(EXP(-(AG470^2)/2)/SQRT(2*PI())*EXP(0*SQRT(Table133[[#This Row],[T]]))/$A$4*18%*SQRT(SQRT(Table133[[#This Row],[T]])))</f>
        <v>#DIV/0!</v>
      </c>
      <c r="AJ470" t="e">
        <f ca="1">(EXP(-(AH470^2)/2)/SQRT(2*PI())*EXP(0*SQRT(Table133[[#This Row],[T]]))/$A$4*18%*SQRT(SQRT(Table133[[#This Row],[T]])))</f>
        <v>#DIV/0!</v>
      </c>
      <c r="AK470" t="e">
        <f ca="1">Table133[[#This Row],[Call D1]]-Table133[[#This Row],[IV Calc C]]*SQRT(Table133[[#This Row],[T]])</f>
        <v>#DIV/0!</v>
      </c>
      <c r="AL470" t="e">
        <f ca="1">Table133[[#This Row],[Put D1]]-Table133[[#This Row],[IV Calc P]]*SQRT(Table133[[#This Row],[T]])</f>
        <v>#DIV/0!</v>
      </c>
      <c r="AM470" t="e">
        <f ca="1">EXP(-0.5*Table133[[#This Row],[Call D1]]^2)/SQRT(2*PI())</f>
        <v>#DIV/0!</v>
      </c>
      <c r="AN470" t="e">
        <f ca="1">EXP(-0.5*Table133[[#This Row],[Put D1]]^2)/SQRT(2*PI())</f>
        <v>#DIV/0!</v>
      </c>
      <c r="AO47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0">
        <f ca="1">((Table133[[#This Row],[call vanna]]+Table133[[#This Row],[put vanna]])*$A$4)</f>
        <v>0</v>
      </c>
      <c r="AR47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0" s="9" t="str" cm="1">
        <f t="array" ref="AT470">_xlfn.IFS(     $M$1="SPX","SPXW",     $M$1="RUT","RUTW",  $M$1="NDX","NDXP",   TRUE,$M$1 )</f>
        <v>SPXW</v>
      </c>
      <c r="AU470" s="2">
        <f t="shared" si="47"/>
        <v>6915</v>
      </c>
      <c r="AV470" t="str">
        <f t="shared" si="48"/>
        <v>000100</v>
      </c>
      <c r="AY47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0">
        <f>((Table133[[#This Row],[High C]]+Table133[[#This Row],[Low C]])/2)*Table133[[#This Row],[gammac]]*Table133[[#This Row],[Volume]]</f>
        <v>0</v>
      </c>
      <c r="BD470">
        <f>((Table133[[#This Row],[High P]]+Table133[[#This Row],[Low P]])/2)*Table133[[#This Row],[gammap]]*Table133[[#This Row],[Volume9]]*-1</f>
        <v>0</v>
      </c>
      <c r="BE470">
        <f>(Table133[[#This Row],[SgammaC]]+Table133[[#This Row],[SgammaP]])*$A$4*-100</f>
        <v>0</v>
      </c>
      <c r="BF470" s="78">
        <f>Table133[[#This Row],[DEXc]]+Table133[[#This Row],[DEXp]]</f>
        <v>0</v>
      </c>
      <c r="BG470">
        <f>IFERROR(Table133[[#This Row],[DeltaC]]*Table133[[#This Row],[Open.Int]]*$A$4,0)</f>
        <v>0</v>
      </c>
      <c r="BH470">
        <f>IFERROR(Table133[[#This Row],[DeltaP]]*Table133[[#This Row],[Open.Int8]]*$A$4,0)</f>
        <v>0</v>
      </c>
      <c r="BI47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0">
        <f ca="1">Table133[[#This Row],[charmc]]+Table133[[#This Row],[charmp]]</f>
        <v>0</v>
      </c>
      <c r="BL47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0" s="78">
        <f ca="1">Table133[[#This Row],[call helper]]+Table133[[#This Row],[put helper]]</f>
        <v>0</v>
      </c>
      <c r="BP470" t="str">
        <f>RTD("tos.rtd", , "STRIKE", "."&amp;Table133[[#This Row],[Ticker]]&amp;Table133[[#This Row],[Expiry]]&amp;""&amp;"C"&amp;Table133[[#This Row],[Spot]]+Table133[[#This Row],[step]])</f>
        <v>N/A</v>
      </c>
    </row>
    <row r="471" spans="1:68" x14ac:dyDescent="0.25">
      <c r="A471" s="14">
        <f t="shared" ca="1" si="44"/>
        <v>-126.14810350076104</v>
      </c>
      <c r="C471" s="17"/>
      <c r="D471" t="str">
        <f>RTD("tos.rtd", , "OPEN_INT", "."&amp;Table133[[#This Row],[Ticker]]&amp;Table133[[#This Row],[Expiry]]&amp;""&amp;"C"&amp;Table133[[#This Row],[Spot]]+Table133[[#This Row],[step]])</f>
        <v>N/A</v>
      </c>
      <c r="E47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1" t="b">
        <f>IF(     ISNUMBER(Table133[[#This Row],[Strike]]),RTD("tos.rtd", , "DELTA", "."&amp;Table133[[#This Row],[Ticker]]&amp;Table133[[#This Row],[Expiry]]&amp;""&amp;"C"&amp;Table133[[#This Row],[Strike]]))</f>
        <v>0</v>
      </c>
      <c r="H471" s="17" cm="1">
        <f t="array" aca="1" ref="H471" ca="1">IndividualLegIVCore($A$4, Table133[[#This Row],[Strike]], 0.0411, Table133[[#This Row],[T]], ((Table133[[#This Row],[BIDC]]+Table133[[#This Row],[ASKC]])/2), TRUE)</f>
        <v>0.01</v>
      </c>
      <c r="I471" t="b">
        <f>IF(     ISNUMBER(Table133[[#This Row],[Strike]]),RTD("tos.rtd", , "BID", "."&amp;Table133[[#This Row],[Ticker]]&amp;Table133[[#This Row],[Expiry]]&amp;""&amp;"C"&amp;Table133[[#This Row],[Strike]]))</f>
        <v>0</v>
      </c>
      <c r="J471" t="b">
        <f>IF(     ISNUMBER(Table133[[#This Row],[Strike]]),RTD("tos.rtd", , "ASK", "."&amp;Table133[[#This Row],[Ticker]]&amp;Table133[[#This Row],[Expiry]]&amp;""&amp;"C"&amp;Table133[[#This Row],[Strike]]))</f>
        <v>0</v>
      </c>
      <c r="K471" s="17"/>
      <c r="M471" s="1">
        <f t="shared" si="45"/>
        <v>0</v>
      </c>
      <c r="N471" t="b">
        <f t="shared" si="46"/>
        <v>0</v>
      </c>
      <c r="P471" s="17" cm="1">
        <f t="array" aca="1" ref="P471" ca="1">IndividualLegIVCore($A$4, Table133[[#This Row],[Strike]], 0.0411, Table133[[#This Row],[T]], ((Table133[[#This Row],[BIDP]]+Table133[[#This Row],[ASKP]])/2), FALSE)</f>
        <v>0.01</v>
      </c>
      <c r="Q471" t="b">
        <f>IF(     ISNUMBER(Table133[[#This Row],[Strike]]),RTD("tos.rtd", , "BID", "."&amp;Table133[[#This Row],[Ticker]]&amp;Table133[[#This Row],[Expiry]]&amp;""&amp;"P"&amp;Table133[[#This Row],[Strike]]))</f>
        <v>0</v>
      </c>
      <c r="R471" t="b">
        <f>IF(     ISNUMBER(Table133[[#This Row],[Strike]]),RTD("tos.rtd", , "ASK", "."&amp;Table133[[#This Row],[Ticker]]&amp;Table133[[#This Row],[Expiry]]&amp;""&amp;"P"&amp;Table133[[#This Row],[Strike]]))</f>
        <v>0</v>
      </c>
      <c r="S471" s="17"/>
      <c r="T471" t="b">
        <f>IF(     ISNUMBER(Table133[[#This Row],[Strike]]),RTD("tos.rtd", , "OPEN_INT", "."&amp;Table133[[#This Row],[Ticker]]&amp;Table133[[#This Row],[Expiry]]&amp;""&amp;"P"&amp;Table133[[#This Row],[Strike]]))</f>
        <v>0</v>
      </c>
      <c r="U47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1" t="b">
        <f>IF(     ISNUMBER(Table133[[#This Row],[Strike]]),RTD("tos.rtd", , "DELTA", "."&amp;Table133[[#This Row],[Ticker]]&amp;Table133[[#This Row],[Expiry]]&amp;""&amp;"P"&amp;Table133[[#This Row],[Strike]]))</f>
        <v>0</v>
      </c>
      <c r="Y471" s="19">
        <f>-22.5* IF($M$1="NDX", 10, IF(OR($M$1="SPX", $M$1="RUT"), 2, 1))</f>
        <v>-45</v>
      </c>
      <c r="Z471">
        <f ca="1">IFERROR(Table133[[#This Row],[call gamma]]*(Table133[[#This Row],[Open.Int]])*$A$4^2,0)</f>
        <v>0</v>
      </c>
      <c r="AA471">
        <f ca="1">IFERROR(((Table133[[#This Row],[Open.Int8]])*Table133[[#This Row],[Put gamma]])*-1*$A$4^2,0)</f>
        <v>0</v>
      </c>
      <c r="AB471">
        <f ca="1">(Table133[[#This Row],[Call Gex]]+Table133[[#This Row],[Put Gex]])</f>
        <v>0</v>
      </c>
      <c r="AC471">
        <f ca="1">Table133[[#This Row],[put delta adj]]+Table133[[#This Row],[call delta adj]]</f>
        <v>0</v>
      </c>
      <c r="AD471">
        <f ca="1">Table133[[#This Row],[Put Gex]]*Table133[[#This Row],[DeltaP]]*-1</f>
        <v>0</v>
      </c>
      <c r="AE471">
        <f ca="1">Table133[[#This Row],[Call Gex]]*Table133[[#This Row],[DeltaC]]</f>
        <v>0</v>
      </c>
      <c r="AF471">
        <f>IF(Table133[[#This Row],[DeltaC]]-ABS(Table133[[#This Row],[DeltaP]])="0","0.01",Table133[[#This Row],[DeltaC]]-ABS(Table133[[#This Row],[DeltaP]]))</f>
        <v>0</v>
      </c>
      <c r="AG471" t="e">
        <f ca="1">((LN($A$4/Table133[[#This Row],[Strike]]) + (0.411 + 0.5 * Table133[[#This Row],[IV Calc P]]^2) *Table133[[#This Row],[T]])) / (Table133[[#This Row],[IV Calc P]] * SQRT(Table133[[#This Row],[T]]))</f>
        <v>#DIV/0!</v>
      </c>
      <c r="AH471" t="e">
        <f ca="1">(LN($A$4/Table133[[#This Row],[Strike]]) + (0.411-0 + 0.5 * Table133[[#This Row],[IV Calc C]]^2) *Table133[[#This Row],[T]]) / (Table133[[#This Row],[IV Calc C]] * SQRT(Table133[[#This Row],[T]]))</f>
        <v>#DIV/0!</v>
      </c>
      <c r="AI471" t="e">
        <f ca="1">(EXP(-(AG471^2)/2)/SQRT(2*PI())*EXP(0*SQRT(Table133[[#This Row],[T]]))/$A$4*18%*SQRT(SQRT(Table133[[#This Row],[T]])))</f>
        <v>#DIV/0!</v>
      </c>
      <c r="AJ471" t="e">
        <f ca="1">(EXP(-(AH471^2)/2)/SQRT(2*PI())*EXP(0*SQRT(Table133[[#This Row],[T]]))/$A$4*18%*SQRT(SQRT(Table133[[#This Row],[T]])))</f>
        <v>#DIV/0!</v>
      </c>
      <c r="AK471" t="e">
        <f ca="1">Table133[[#This Row],[Call D1]]-Table133[[#This Row],[IV Calc C]]*SQRT(Table133[[#This Row],[T]])</f>
        <v>#DIV/0!</v>
      </c>
      <c r="AL471" t="e">
        <f ca="1">Table133[[#This Row],[Put D1]]-Table133[[#This Row],[IV Calc P]]*SQRT(Table133[[#This Row],[T]])</f>
        <v>#DIV/0!</v>
      </c>
      <c r="AM471" t="e">
        <f ca="1">EXP(-0.5*Table133[[#This Row],[Call D1]]^2)/SQRT(2*PI())</f>
        <v>#DIV/0!</v>
      </c>
      <c r="AN471" t="e">
        <f ca="1">EXP(-0.5*Table133[[#This Row],[Put D1]]^2)/SQRT(2*PI())</f>
        <v>#DIV/0!</v>
      </c>
      <c r="AO47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1">
        <f ca="1">((Table133[[#This Row],[call vanna]]+Table133[[#This Row],[put vanna]])*$A$4)</f>
        <v>0</v>
      </c>
      <c r="AR47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1" s="9" t="str" cm="1">
        <f t="array" ref="AT471">_xlfn.IFS(     $M$1="SPX","SPXW",     $M$1="RUT","RUTW",  $M$1="NDX","NDXP",   TRUE,$M$1 )</f>
        <v>SPXW</v>
      </c>
      <c r="AU471" s="2">
        <f t="shared" si="47"/>
        <v>6915</v>
      </c>
      <c r="AV471" t="str">
        <f t="shared" si="48"/>
        <v>000100</v>
      </c>
      <c r="AY47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1">
        <f>((Table133[[#This Row],[High C]]+Table133[[#This Row],[Low C]])/2)*Table133[[#This Row],[gammac]]*Table133[[#This Row],[Volume]]</f>
        <v>0</v>
      </c>
      <c r="BD471">
        <f>((Table133[[#This Row],[High P]]+Table133[[#This Row],[Low P]])/2)*Table133[[#This Row],[gammap]]*Table133[[#This Row],[Volume9]]*-1</f>
        <v>0</v>
      </c>
      <c r="BE471">
        <f>(Table133[[#This Row],[SgammaC]]+Table133[[#This Row],[SgammaP]])*$A$4*-100</f>
        <v>0</v>
      </c>
      <c r="BF471" s="78">
        <f>Table133[[#This Row],[DEXc]]+Table133[[#This Row],[DEXp]]</f>
        <v>0</v>
      </c>
      <c r="BG471">
        <f>IFERROR(Table133[[#This Row],[DeltaC]]*Table133[[#This Row],[Open.Int]]*$A$4,0)</f>
        <v>0</v>
      </c>
      <c r="BH471">
        <f>IFERROR(Table133[[#This Row],[DeltaP]]*Table133[[#This Row],[Open.Int8]]*$A$4,0)</f>
        <v>0</v>
      </c>
      <c r="BI47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1">
        <f ca="1">Table133[[#This Row],[charmc]]+Table133[[#This Row],[charmp]]</f>
        <v>0</v>
      </c>
      <c r="BL47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1" s="78">
        <f ca="1">Table133[[#This Row],[call helper]]+Table133[[#This Row],[put helper]]</f>
        <v>0</v>
      </c>
      <c r="BP471" t="str">
        <f>RTD("tos.rtd", , "STRIKE", "."&amp;Table133[[#This Row],[Ticker]]&amp;Table133[[#This Row],[Expiry]]&amp;""&amp;"C"&amp;Table133[[#This Row],[Spot]]+Table133[[#This Row],[step]])</f>
        <v>N/A</v>
      </c>
    </row>
    <row r="472" spans="1:68" x14ac:dyDescent="0.25">
      <c r="A472" s="14">
        <f t="shared" ca="1" si="44"/>
        <v>-126.14810350076104</v>
      </c>
      <c r="C472" s="17"/>
      <c r="D472" t="str">
        <f>RTD("tos.rtd", , "OPEN_INT", "."&amp;Table133[[#This Row],[Ticker]]&amp;Table133[[#This Row],[Expiry]]&amp;""&amp;"C"&amp;Table133[[#This Row],[Spot]]+Table133[[#This Row],[step]])</f>
        <v>N/A</v>
      </c>
      <c r="E47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2" t="b">
        <f>IF(     ISNUMBER(Table133[[#This Row],[Strike]]),RTD("tos.rtd", , "DELTA", "."&amp;Table133[[#This Row],[Ticker]]&amp;Table133[[#This Row],[Expiry]]&amp;""&amp;"C"&amp;Table133[[#This Row],[Strike]]))</f>
        <v>0</v>
      </c>
      <c r="H472" s="17" cm="1">
        <f t="array" aca="1" ref="H472" ca="1">IndividualLegIVCore($A$4, Table133[[#This Row],[Strike]], 0.0411, Table133[[#This Row],[T]], ((Table133[[#This Row],[BIDC]]+Table133[[#This Row],[ASKC]])/2), TRUE)</f>
        <v>0.01</v>
      </c>
      <c r="I472" t="b">
        <f>IF(     ISNUMBER(Table133[[#This Row],[Strike]]),RTD("tos.rtd", , "BID", "."&amp;Table133[[#This Row],[Ticker]]&amp;Table133[[#This Row],[Expiry]]&amp;""&amp;"C"&amp;Table133[[#This Row],[Strike]]))</f>
        <v>0</v>
      </c>
      <c r="J472" t="b">
        <f>IF(     ISNUMBER(Table133[[#This Row],[Strike]]),RTD("tos.rtd", , "ASK", "."&amp;Table133[[#This Row],[Ticker]]&amp;Table133[[#This Row],[Expiry]]&amp;""&amp;"C"&amp;Table133[[#This Row],[Strike]]))</f>
        <v>0</v>
      </c>
      <c r="K472" s="17"/>
      <c r="M472" s="1">
        <f t="shared" si="45"/>
        <v>0</v>
      </c>
      <c r="N472" t="b">
        <f t="shared" si="46"/>
        <v>0</v>
      </c>
      <c r="P472" s="17" cm="1">
        <f t="array" aca="1" ref="P472" ca="1">IndividualLegIVCore($A$4, Table133[[#This Row],[Strike]], 0.0411, Table133[[#This Row],[T]], ((Table133[[#This Row],[BIDP]]+Table133[[#This Row],[ASKP]])/2), FALSE)</f>
        <v>0.01</v>
      </c>
      <c r="Q472" t="b">
        <f>IF(     ISNUMBER(Table133[[#This Row],[Strike]]),RTD("tos.rtd", , "BID", "."&amp;Table133[[#This Row],[Ticker]]&amp;Table133[[#This Row],[Expiry]]&amp;""&amp;"P"&amp;Table133[[#This Row],[Strike]]))</f>
        <v>0</v>
      </c>
      <c r="R472" t="b">
        <f>IF(     ISNUMBER(Table133[[#This Row],[Strike]]),RTD("tos.rtd", , "ASK", "."&amp;Table133[[#This Row],[Ticker]]&amp;Table133[[#This Row],[Expiry]]&amp;""&amp;"P"&amp;Table133[[#This Row],[Strike]]))</f>
        <v>0</v>
      </c>
      <c r="S472" s="17"/>
      <c r="T472" t="b">
        <f>IF(     ISNUMBER(Table133[[#This Row],[Strike]]),RTD("tos.rtd", , "OPEN_INT", "."&amp;Table133[[#This Row],[Ticker]]&amp;Table133[[#This Row],[Expiry]]&amp;""&amp;"P"&amp;Table133[[#This Row],[Strike]]))</f>
        <v>0</v>
      </c>
      <c r="U47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2" t="b">
        <f>IF(     ISNUMBER(Table133[[#This Row],[Strike]]),RTD("tos.rtd", , "DELTA", "."&amp;Table133[[#This Row],[Ticker]]&amp;Table133[[#This Row],[Expiry]]&amp;""&amp;"P"&amp;Table133[[#This Row],[Strike]]))</f>
        <v>0</v>
      </c>
      <c r="Y472" s="19">
        <f>-22* IF($M$1="NDX", 10, IF(OR($M$1="SPX", $M$1="RUT"), 2, 1))</f>
        <v>-44</v>
      </c>
      <c r="Z472">
        <f ca="1">IFERROR(Table133[[#This Row],[call gamma]]*(Table133[[#This Row],[Open.Int]])*$A$4^2,0)</f>
        <v>0</v>
      </c>
      <c r="AA472">
        <f ca="1">IFERROR(((Table133[[#This Row],[Open.Int8]])*Table133[[#This Row],[Put gamma]])*-1*$A$4^2,0)</f>
        <v>0</v>
      </c>
      <c r="AB472">
        <f ca="1">(Table133[[#This Row],[Call Gex]]+Table133[[#This Row],[Put Gex]])</f>
        <v>0</v>
      </c>
      <c r="AC472">
        <f ca="1">Table133[[#This Row],[put delta adj]]+Table133[[#This Row],[call delta adj]]</f>
        <v>0</v>
      </c>
      <c r="AD472">
        <f ca="1">Table133[[#This Row],[Put Gex]]*Table133[[#This Row],[DeltaP]]*-1</f>
        <v>0</v>
      </c>
      <c r="AE472">
        <f ca="1">Table133[[#This Row],[Call Gex]]*Table133[[#This Row],[DeltaC]]</f>
        <v>0</v>
      </c>
      <c r="AF472">
        <f>IF(Table133[[#This Row],[DeltaC]]-ABS(Table133[[#This Row],[DeltaP]])="0","0.01",Table133[[#This Row],[DeltaC]]-ABS(Table133[[#This Row],[DeltaP]]))</f>
        <v>0</v>
      </c>
      <c r="AG472" t="e">
        <f ca="1">((LN($A$4/Table133[[#This Row],[Strike]]) + (0.411 + 0.5 * Table133[[#This Row],[IV Calc P]]^2) *Table133[[#This Row],[T]])) / (Table133[[#This Row],[IV Calc P]] * SQRT(Table133[[#This Row],[T]]))</f>
        <v>#DIV/0!</v>
      </c>
      <c r="AH472" t="e">
        <f ca="1">(LN($A$4/Table133[[#This Row],[Strike]]) + (0.411-0 + 0.5 * Table133[[#This Row],[IV Calc C]]^2) *Table133[[#This Row],[T]]) / (Table133[[#This Row],[IV Calc C]] * SQRT(Table133[[#This Row],[T]]))</f>
        <v>#DIV/0!</v>
      </c>
      <c r="AI472" t="e">
        <f ca="1">(EXP(-(AG472^2)/2)/SQRT(2*PI())*EXP(0*SQRT(Table133[[#This Row],[T]]))/$A$4*18%*SQRT(SQRT(Table133[[#This Row],[T]])))</f>
        <v>#DIV/0!</v>
      </c>
      <c r="AJ472" t="e">
        <f ca="1">(EXP(-(AH472^2)/2)/SQRT(2*PI())*EXP(0*SQRT(Table133[[#This Row],[T]]))/$A$4*18%*SQRT(SQRT(Table133[[#This Row],[T]])))</f>
        <v>#DIV/0!</v>
      </c>
      <c r="AK472" t="e">
        <f ca="1">Table133[[#This Row],[Call D1]]-Table133[[#This Row],[IV Calc C]]*SQRT(Table133[[#This Row],[T]])</f>
        <v>#DIV/0!</v>
      </c>
      <c r="AL472" t="e">
        <f ca="1">Table133[[#This Row],[Put D1]]-Table133[[#This Row],[IV Calc P]]*SQRT(Table133[[#This Row],[T]])</f>
        <v>#DIV/0!</v>
      </c>
      <c r="AM472" t="e">
        <f ca="1">EXP(-0.5*Table133[[#This Row],[Call D1]]^2)/SQRT(2*PI())</f>
        <v>#DIV/0!</v>
      </c>
      <c r="AN472" t="e">
        <f ca="1">EXP(-0.5*Table133[[#This Row],[Put D1]]^2)/SQRT(2*PI())</f>
        <v>#DIV/0!</v>
      </c>
      <c r="AO47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2">
        <f ca="1">((Table133[[#This Row],[call vanna]]+Table133[[#This Row],[put vanna]])*$A$4)</f>
        <v>0</v>
      </c>
      <c r="AR47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2" s="9" t="str" cm="1">
        <f t="array" ref="AT472">_xlfn.IFS(     $M$1="SPX","SPXW",     $M$1="RUT","RUTW",  $M$1="NDX","NDXP",   TRUE,$M$1 )</f>
        <v>SPXW</v>
      </c>
      <c r="AU472" s="2">
        <f t="shared" si="47"/>
        <v>6915</v>
      </c>
      <c r="AV472" t="str">
        <f t="shared" si="48"/>
        <v>000100</v>
      </c>
      <c r="AY47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2">
        <f>((Table133[[#This Row],[High C]]+Table133[[#This Row],[Low C]])/2)*Table133[[#This Row],[gammac]]*Table133[[#This Row],[Volume]]</f>
        <v>0</v>
      </c>
      <c r="BD472">
        <f>((Table133[[#This Row],[High P]]+Table133[[#This Row],[Low P]])/2)*Table133[[#This Row],[gammap]]*Table133[[#This Row],[Volume9]]*-1</f>
        <v>0</v>
      </c>
      <c r="BE472">
        <f>(Table133[[#This Row],[SgammaC]]+Table133[[#This Row],[SgammaP]])*$A$4*-100</f>
        <v>0</v>
      </c>
      <c r="BF472" s="78">
        <f>Table133[[#This Row],[DEXc]]+Table133[[#This Row],[DEXp]]</f>
        <v>0</v>
      </c>
      <c r="BG472">
        <f>IFERROR(Table133[[#This Row],[DeltaC]]*Table133[[#This Row],[Open.Int]]*$A$4,0)</f>
        <v>0</v>
      </c>
      <c r="BH472">
        <f>IFERROR(Table133[[#This Row],[DeltaP]]*Table133[[#This Row],[Open.Int8]]*$A$4,0)</f>
        <v>0</v>
      </c>
      <c r="BI47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2">
        <f ca="1">Table133[[#This Row],[charmc]]+Table133[[#This Row],[charmp]]</f>
        <v>0</v>
      </c>
      <c r="BL47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2" s="78">
        <f ca="1">Table133[[#This Row],[call helper]]+Table133[[#This Row],[put helper]]</f>
        <v>0</v>
      </c>
      <c r="BP472" t="str">
        <f>RTD("tos.rtd", , "STRIKE", "."&amp;Table133[[#This Row],[Ticker]]&amp;Table133[[#This Row],[Expiry]]&amp;""&amp;"C"&amp;Table133[[#This Row],[Spot]]+Table133[[#This Row],[step]])</f>
        <v>N/A</v>
      </c>
    </row>
    <row r="473" spans="1:68" x14ac:dyDescent="0.25">
      <c r="A473" s="14">
        <f t="shared" ca="1" si="44"/>
        <v>-126.14810350076104</v>
      </c>
      <c r="C473" s="17"/>
      <c r="D473" t="str">
        <f>RTD("tos.rtd", , "OPEN_INT", "."&amp;Table133[[#This Row],[Ticker]]&amp;Table133[[#This Row],[Expiry]]&amp;""&amp;"C"&amp;Table133[[#This Row],[Spot]]+Table133[[#This Row],[step]])</f>
        <v>N/A</v>
      </c>
      <c r="E47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3" t="b">
        <f>IF(     ISNUMBER(Table133[[#This Row],[Strike]]),RTD("tos.rtd", , "DELTA", "."&amp;Table133[[#This Row],[Ticker]]&amp;Table133[[#This Row],[Expiry]]&amp;""&amp;"C"&amp;Table133[[#This Row],[Strike]]))</f>
        <v>0</v>
      </c>
      <c r="H473" s="17" cm="1">
        <f t="array" aca="1" ref="H473" ca="1">IndividualLegIVCore($A$4, Table133[[#This Row],[Strike]], 0.0411, Table133[[#This Row],[T]], ((Table133[[#This Row],[BIDC]]+Table133[[#This Row],[ASKC]])/2), TRUE)</f>
        <v>0.01</v>
      </c>
      <c r="I473" t="b">
        <f>IF(     ISNUMBER(Table133[[#This Row],[Strike]]),RTD("tos.rtd", , "BID", "."&amp;Table133[[#This Row],[Ticker]]&amp;Table133[[#This Row],[Expiry]]&amp;""&amp;"C"&amp;Table133[[#This Row],[Strike]]))</f>
        <v>0</v>
      </c>
      <c r="J473" t="b">
        <f>IF(     ISNUMBER(Table133[[#This Row],[Strike]]),RTD("tos.rtd", , "ASK", "."&amp;Table133[[#This Row],[Ticker]]&amp;Table133[[#This Row],[Expiry]]&amp;""&amp;"C"&amp;Table133[[#This Row],[Strike]]))</f>
        <v>0</v>
      </c>
      <c r="K473" s="17"/>
      <c r="M473" s="1">
        <f t="shared" si="45"/>
        <v>0</v>
      </c>
      <c r="N473" t="b">
        <f t="shared" si="46"/>
        <v>0</v>
      </c>
      <c r="P473" s="17" cm="1">
        <f t="array" aca="1" ref="P473" ca="1">IndividualLegIVCore($A$4, Table133[[#This Row],[Strike]], 0.0411, Table133[[#This Row],[T]], ((Table133[[#This Row],[BIDP]]+Table133[[#This Row],[ASKP]])/2), FALSE)</f>
        <v>0.01</v>
      </c>
      <c r="Q473" t="b">
        <f>IF(     ISNUMBER(Table133[[#This Row],[Strike]]),RTD("tos.rtd", , "BID", "."&amp;Table133[[#This Row],[Ticker]]&amp;Table133[[#This Row],[Expiry]]&amp;""&amp;"P"&amp;Table133[[#This Row],[Strike]]))</f>
        <v>0</v>
      </c>
      <c r="R473" t="b">
        <f>IF(     ISNUMBER(Table133[[#This Row],[Strike]]),RTD("tos.rtd", , "ASK", "."&amp;Table133[[#This Row],[Ticker]]&amp;Table133[[#This Row],[Expiry]]&amp;""&amp;"P"&amp;Table133[[#This Row],[Strike]]))</f>
        <v>0</v>
      </c>
      <c r="S473" s="17"/>
      <c r="T473" t="b">
        <f>IF(     ISNUMBER(Table133[[#This Row],[Strike]]),RTD("tos.rtd", , "OPEN_INT", "."&amp;Table133[[#This Row],[Ticker]]&amp;Table133[[#This Row],[Expiry]]&amp;""&amp;"P"&amp;Table133[[#This Row],[Strike]]))</f>
        <v>0</v>
      </c>
      <c r="U47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3" t="b">
        <f>IF(     ISNUMBER(Table133[[#This Row],[Strike]]),RTD("tos.rtd", , "DELTA", "."&amp;Table133[[#This Row],[Ticker]]&amp;Table133[[#This Row],[Expiry]]&amp;""&amp;"P"&amp;Table133[[#This Row],[Strike]]))</f>
        <v>0</v>
      </c>
      <c r="Y473" s="19">
        <f>-21.5* IF($M$1="NDX", 10, IF(OR($M$1="SPX", $M$1="RUT"), 2, 1))</f>
        <v>-43</v>
      </c>
      <c r="Z473">
        <f ca="1">IFERROR(Table133[[#This Row],[call gamma]]*(Table133[[#This Row],[Open.Int]])*$A$4^2,0)</f>
        <v>0</v>
      </c>
      <c r="AA473">
        <f ca="1">IFERROR(((Table133[[#This Row],[Open.Int8]])*Table133[[#This Row],[Put gamma]])*-1*$A$4^2,0)</f>
        <v>0</v>
      </c>
      <c r="AB473">
        <f ca="1">(Table133[[#This Row],[Call Gex]]+Table133[[#This Row],[Put Gex]])</f>
        <v>0</v>
      </c>
      <c r="AC473">
        <f ca="1">Table133[[#This Row],[put delta adj]]+Table133[[#This Row],[call delta adj]]</f>
        <v>0</v>
      </c>
      <c r="AD473">
        <f ca="1">Table133[[#This Row],[Put Gex]]*Table133[[#This Row],[DeltaP]]*-1</f>
        <v>0</v>
      </c>
      <c r="AE473">
        <f ca="1">Table133[[#This Row],[Call Gex]]*Table133[[#This Row],[DeltaC]]</f>
        <v>0</v>
      </c>
      <c r="AF473">
        <f>IF(Table133[[#This Row],[DeltaC]]-ABS(Table133[[#This Row],[DeltaP]])="0","0.01",Table133[[#This Row],[DeltaC]]-ABS(Table133[[#This Row],[DeltaP]]))</f>
        <v>0</v>
      </c>
      <c r="AG473" t="e">
        <f ca="1">((LN($A$4/Table133[[#This Row],[Strike]]) + (0.411 + 0.5 * Table133[[#This Row],[IV Calc P]]^2) *Table133[[#This Row],[T]])) / (Table133[[#This Row],[IV Calc P]] * SQRT(Table133[[#This Row],[T]]))</f>
        <v>#DIV/0!</v>
      </c>
      <c r="AH473" t="e">
        <f ca="1">(LN($A$4/Table133[[#This Row],[Strike]]) + (0.411-0 + 0.5 * Table133[[#This Row],[IV Calc C]]^2) *Table133[[#This Row],[T]]) / (Table133[[#This Row],[IV Calc C]] * SQRT(Table133[[#This Row],[T]]))</f>
        <v>#DIV/0!</v>
      </c>
      <c r="AI473" t="e">
        <f ca="1">(EXP(-(AG473^2)/2)/SQRT(2*PI())*EXP(0*SQRT(Table133[[#This Row],[T]]))/$A$4*18%*SQRT(SQRT(Table133[[#This Row],[T]])))</f>
        <v>#DIV/0!</v>
      </c>
      <c r="AJ473" t="e">
        <f ca="1">(EXP(-(AH473^2)/2)/SQRT(2*PI())*EXP(0*SQRT(Table133[[#This Row],[T]]))/$A$4*18%*SQRT(SQRT(Table133[[#This Row],[T]])))</f>
        <v>#DIV/0!</v>
      </c>
      <c r="AK473" t="e">
        <f ca="1">Table133[[#This Row],[Call D1]]-Table133[[#This Row],[IV Calc C]]*SQRT(Table133[[#This Row],[T]])</f>
        <v>#DIV/0!</v>
      </c>
      <c r="AL473" t="e">
        <f ca="1">Table133[[#This Row],[Put D1]]-Table133[[#This Row],[IV Calc P]]*SQRT(Table133[[#This Row],[T]])</f>
        <v>#DIV/0!</v>
      </c>
      <c r="AM473" t="e">
        <f ca="1">EXP(-0.5*Table133[[#This Row],[Call D1]]^2)/SQRT(2*PI())</f>
        <v>#DIV/0!</v>
      </c>
      <c r="AN473" t="e">
        <f ca="1">EXP(-0.5*Table133[[#This Row],[Put D1]]^2)/SQRT(2*PI())</f>
        <v>#DIV/0!</v>
      </c>
      <c r="AO47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3">
        <f ca="1">((Table133[[#This Row],[call vanna]]+Table133[[#This Row],[put vanna]])*$A$4)</f>
        <v>0</v>
      </c>
      <c r="AR47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3" s="9" t="str" cm="1">
        <f t="array" ref="AT473">_xlfn.IFS(     $M$1="SPX","SPXW",     $M$1="RUT","RUTW",  $M$1="NDX","NDXP",   TRUE,$M$1 )</f>
        <v>SPXW</v>
      </c>
      <c r="AU473" s="2">
        <f t="shared" si="47"/>
        <v>6915</v>
      </c>
      <c r="AV473" t="str">
        <f t="shared" si="48"/>
        <v>000100</v>
      </c>
      <c r="AY47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3">
        <f>((Table133[[#This Row],[High C]]+Table133[[#This Row],[Low C]])/2)*Table133[[#This Row],[gammac]]*Table133[[#This Row],[Volume]]</f>
        <v>0</v>
      </c>
      <c r="BD473">
        <f>((Table133[[#This Row],[High P]]+Table133[[#This Row],[Low P]])/2)*Table133[[#This Row],[gammap]]*Table133[[#This Row],[Volume9]]*-1</f>
        <v>0</v>
      </c>
      <c r="BE473">
        <f>(Table133[[#This Row],[SgammaC]]+Table133[[#This Row],[SgammaP]])*$A$4*-100</f>
        <v>0</v>
      </c>
      <c r="BF473" s="78">
        <f>Table133[[#This Row],[DEXc]]+Table133[[#This Row],[DEXp]]</f>
        <v>0</v>
      </c>
      <c r="BG473">
        <f>IFERROR(Table133[[#This Row],[DeltaC]]*Table133[[#This Row],[Open.Int]]*$A$4,0)</f>
        <v>0</v>
      </c>
      <c r="BH473">
        <f>IFERROR(Table133[[#This Row],[DeltaP]]*Table133[[#This Row],[Open.Int8]]*$A$4,0)</f>
        <v>0</v>
      </c>
      <c r="BI47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3">
        <f ca="1">Table133[[#This Row],[charmc]]+Table133[[#This Row],[charmp]]</f>
        <v>0</v>
      </c>
      <c r="BL47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3" s="78">
        <f ca="1">Table133[[#This Row],[call helper]]+Table133[[#This Row],[put helper]]</f>
        <v>0</v>
      </c>
      <c r="BP473" t="str">
        <f>RTD("tos.rtd", , "STRIKE", "."&amp;Table133[[#This Row],[Ticker]]&amp;Table133[[#This Row],[Expiry]]&amp;""&amp;"C"&amp;Table133[[#This Row],[Spot]]+Table133[[#This Row],[step]])</f>
        <v>N/A</v>
      </c>
    </row>
    <row r="474" spans="1:68" x14ac:dyDescent="0.25">
      <c r="A474" s="14">
        <f t="shared" ca="1" si="44"/>
        <v>-126.14810350076104</v>
      </c>
      <c r="C474" s="17"/>
      <c r="D474" t="str">
        <f>RTD("tos.rtd", , "OPEN_INT", "."&amp;Table133[[#This Row],[Ticker]]&amp;Table133[[#This Row],[Expiry]]&amp;""&amp;"C"&amp;Table133[[#This Row],[Spot]]+Table133[[#This Row],[step]])</f>
        <v>N/A</v>
      </c>
      <c r="E47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4" t="b">
        <f>IF(     ISNUMBER(Table133[[#This Row],[Strike]]),RTD("tos.rtd", , "DELTA", "."&amp;Table133[[#This Row],[Ticker]]&amp;Table133[[#This Row],[Expiry]]&amp;""&amp;"C"&amp;Table133[[#This Row],[Strike]]))</f>
        <v>0</v>
      </c>
      <c r="H474" s="17" cm="1">
        <f t="array" aca="1" ref="H474" ca="1">IndividualLegIVCore($A$4, Table133[[#This Row],[Strike]], 0.0411, Table133[[#This Row],[T]], ((Table133[[#This Row],[BIDC]]+Table133[[#This Row],[ASKC]])/2), TRUE)</f>
        <v>0.01</v>
      </c>
      <c r="I474" t="b">
        <f>IF(     ISNUMBER(Table133[[#This Row],[Strike]]),RTD("tos.rtd", , "BID", "."&amp;Table133[[#This Row],[Ticker]]&amp;Table133[[#This Row],[Expiry]]&amp;""&amp;"C"&amp;Table133[[#This Row],[Strike]]))</f>
        <v>0</v>
      </c>
      <c r="J474" t="b">
        <f>IF(     ISNUMBER(Table133[[#This Row],[Strike]]),RTD("tos.rtd", , "ASK", "."&amp;Table133[[#This Row],[Ticker]]&amp;Table133[[#This Row],[Expiry]]&amp;""&amp;"C"&amp;Table133[[#This Row],[Strike]]))</f>
        <v>0</v>
      </c>
      <c r="K474" s="17"/>
      <c r="M474" s="1">
        <f t="shared" si="45"/>
        <v>0</v>
      </c>
      <c r="N474" t="b">
        <f t="shared" si="46"/>
        <v>0</v>
      </c>
      <c r="P474" s="17" cm="1">
        <f t="array" aca="1" ref="P474" ca="1">IndividualLegIVCore($A$4, Table133[[#This Row],[Strike]], 0.0411, Table133[[#This Row],[T]], ((Table133[[#This Row],[BIDP]]+Table133[[#This Row],[ASKP]])/2), FALSE)</f>
        <v>0.01</v>
      </c>
      <c r="Q474" t="b">
        <f>IF(     ISNUMBER(Table133[[#This Row],[Strike]]),RTD("tos.rtd", , "BID", "."&amp;Table133[[#This Row],[Ticker]]&amp;Table133[[#This Row],[Expiry]]&amp;""&amp;"P"&amp;Table133[[#This Row],[Strike]]))</f>
        <v>0</v>
      </c>
      <c r="R474" t="b">
        <f>IF(     ISNUMBER(Table133[[#This Row],[Strike]]),RTD("tos.rtd", , "ASK", "."&amp;Table133[[#This Row],[Ticker]]&amp;Table133[[#This Row],[Expiry]]&amp;""&amp;"P"&amp;Table133[[#This Row],[Strike]]))</f>
        <v>0</v>
      </c>
      <c r="S474" s="17"/>
      <c r="T474" t="b">
        <f>IF(     ISNUMBER(Table133[[#This Row],[Strike]]),RTD("tos.rtd", , "OPEN_INT", "."&amp;Table133[[#This Row],[Ticker]]&amp;Table133[[#This Row],[Expiry]]&amp;""&amp;"P"&amp;Table133[[#This Row],[Strike]]))</f>
        <v>0</v>
      </c>
      <c r="U47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4" t="b">
        <f>IF(     ISNUMBER(Table133[[#This Row],[Strike]]),RTD("tos.rtd", , "DELTA", "."&amp;Table133[[#This Row],[Ticker]]&amp;Table133[[#This Row],[Expiry]]&amp;""&amp;"P"&amp;Table133[[#This Row],[Strike]]))</f>
        <v>0</v>
      </c>
      <c r="Y474" s="19">
        <f>-21* IF($M$1="NDX", 10, IF(OR($M$1="SPX", $M$1="RUT"), 2, 1))</f>
        <v>-42</v>
      </c>
      <c r="Z474">
        <f ca="1">IFERROR(Table133[[#This Row],[call gamma]]*(Table133[[#This Row],[Open.Int]])*$A$4^2,0)</f>
        <v>0</v>
      </c>
      <c r="AA474">
        <f ca="1">IFERROR(((Table133[[#This Row],[Open.Int8]])*Table133[[#This Row],[Put gamma]])*-1*$A$4^2,0)</f>
        <v>0</v>
      </c>
      <c r="AB474">
        <f ca="1">(Table133[[#This Row],[Call Gex]]+Table133[[#This Row],[Put Gex]])</f>
        <v>0</v>
      </c>
      <c r="AC474">
        <f ca="1">Table133[[#This Row],[put delta adj]]+Table133[[#This Row],[call delta adj]]</f>
        <v>0</v>
      </c>
      <c r="AD474">
        <f ca="1">Table133[[#This Row],[Put Gex]]*Table133[[#This Row],[DeltaP]]*-1</f>
        <v>0</v>
      </c>
      <c r="AE474">
        <f ca="1">Table133[[#This Row],[Call Gex]]*Table133[[#This Row],[DeltaC]]</f>
        <v>0</v>
      </c>
      <c r="AF474">
        <f>IF(Table133[[#This Row],[DeltaC]]-ABS(Table133[[#This Row],[DeltaP]])="0","0.01",Table133[[#This Row],[DeltaC]]-ABS(Table133[[#This Row],[DeltaP]]))</f>
        <v>0</v>
      </c>
      <c r="AG474" t="e">
        <f ca="1">((LN($A$4/Table133[[#This Row],[Strike]]) + (0.411 + 0.5 * Table133[[#This Row],[IV Calc P]]^2) *Table133[[#This Row],[T]])) / (Table133[[#This Row],[IV Calc P]] * SQRT(Table133[[#This Row],[T]]))</f>
        <v>#DIV/0!</v>
      </c>
      <c r="AH474" t="e">
        <f ca="1">(LN($A$4/Table133[[#This Row],[Strike]]) + (0.411-0 + 0.5 * Table133[[#This Row],[IV Calc C]]^2) *Table133[[#This Row],[T]]) / (Table133[[#This Row],[IV Calc C]] * SQRT(Table133[[#This Row],[T]]))</f>
        <v>#DIV/0!</v>
      </c>
      <c r="AI474" t="e">
        <f ca="1">(EXP(-(AG474^2)/2)/SQRT(2*PI())*EXP(0*SQRT(Table133[[#This Row],[T]]))/$A$4*18%*SQRT(SQRT(Table133[[#This Row],[T]])))</f>
        <v>#DIV/0!</v>
      </c>
      <c r="AJ474" t="e">
        <f ca="1">(EXP(-(AH474^2)/2)/SQRT(2*PI())*EXP(0*SQRT(Table133[[#This Row],[T]]))/$A$4*18%*SQRT(SQRT(Table133[[#This Row],[T]])))</f>
        <v>#DIV/0!</v>
      </c>
      <c r="AK474" t="e">
        <f ca="1">Table133[[#This Row],[Call D1]]-Table133[[#This Row],[IV Calc C]]*SQRT(Table133[[#This Row],[T]])</f>
        <v>#DIV/0!</v>
      </c>
      <c r="AL474" t="e">
        <f ca="1">Table133[[#This Row],[Put D1]]-Table133[[#This Row],[IV Calc P]]*SQRT(Table133[[#This Row],[T]])</f>
        <v>#DIV/0!</v>
      </c>
      <c r="AM474" t="e">
        <f ca="1">EXP(-0.5*Table133[[#This Row],[Call D1]]^2)/SQRT(2*PI())</f>
        <v>#DIV/0!</v>
      </c>
      <c r="AN474" t="e">
        <f ca="1">EXP(-0.5*Table133[[#This Row],[Put D1]]^2)/SQRT(2*PI())</f>
        <v>#DIV/0!</v>
      </c>
      <c r="AO47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4">
        <f ca="1">((Table133[[#This Row],[call vanna]]+Table133[[#This Row],[put vanna]])*$A$4)</f>
        <v>0</v>
      </c>
      <c r="AR47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4" s="9" t="str" cm="1">
        <f t="array" ref="AT474">_xlfn.IFS(     $M$1="SPX","SPXW",     $M$1="RUT","RUTW",  $M$1="NDX","NDXP",   TRUE,$M$1 )</f>
        <v>SPXW</v>
      </c>
      <c r="AU474" s="2">
        <f t="shared" si="47"/>
        <v>6915</v>
      </c>
      <c r="AV474" t="str">
        <f t="shared" si="48"/>
        <v>000100</v>
      </c>
      <c r="AY47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4">
        <f>((Table133[[#This Row],[High C]]+Table133[[#This Row],[Low C]])/2)*Table133[[#This Row],[gammac]]*Table133[[#This Row],[Volume]]</f>
        <v>0</v>
      </c>
      <c r="BD474">
        <f>((Table133[[#This Row],[High P]]+Table133[[#This Row],[Low P]])/2)*Table133[[#This Row],[gammap]]*Table133[[#This Row],[Volume9]]*-1</f>
        <v>0</v>
      </c>
      <c r="BE474">
        <f>(Table133[[#This Row],[SgammaC]]+Table133[[#This Row],[SgammaP]])*$A$4*-100</f>
        <v>0</v>
      </c>
      <c r="BF474" s="78">
        <f>Table133[[#This Row],[DEXc]]+Table133[[#This Row],[DEXp]]</f>
        <v>0</v>
      </c>
      <c r="BG474">
        <f>IFERROR(Table133[[#This Row],[DeltaC]]*Table133[[#This Row],[Open.Int]]*$A$4,0)</f>
        <v>0</v>
      </c>
      <c r="BH474">
        <f>IFERROR(Table133[[#This Row],[DeltaP]]*Table133[[#This Row],[Open.Int8]]*$A$4,0)</f>
        <v>0</v>
      </c>
      <c r="BI47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4">
        <f ca="1">Table133[[#This Row],[charmc]]+Table133[[#This Row],[charmp]]</f>
        <v>0</v>
      </c>
      <c r="BL47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4" s="78">
        <f ca="1">Table133[[#This Row],[call helper]]+Table133[[#This Row],[put helper]]</f>
        <v>0</v>
      </c>
      <c r="BP474" t="str">
        <f>RTD("tos.rtd", , "STRIKE", "."&amp;Table133[[#This Row],[Ticker]]&amp;Table133[[#This Row],[Expiry]]&amp;""&amp;"C"&amp;Table133[[#This Row],[Spot]]+Table133[[#This Row],[step]])</f>
        <v>N/A</v>
      </c>
    </row>
    <row r="475" spans="1:68" x14ac:dyDescent="0.25">
      <c r="A475" s="24">
        <f t="shared" ca="1" si="44"/>
        <v>-126.14810350076104</v>
      </c>
      <c r="B475" s="13"/>
      <c r="C475" s="17"/>
      <c r="D475" t="str">
        <f>RTD("tos.rtd", , "OPEN_INT", "."&amp;Table133[[#This Row],[Ticker]]&amp;Table133[[#This Row],[Expiry]]&amp;""&amp;"C"&amp;Table133[[#This Row],[Spot]]+Table133[[#This Row],[step]])</f>
        <v>N/A</v>
      </c>
      <c r="E47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5" t="b">
        <f>IF(     ISNUMBER(Table133[[#This Row],[Strike]]),RTD("tos.rtd", , "DELTA", "."&amp;Table133[[#This Row],[Ticker]]&amp;Table133[[#This Row],[Expiry]]&amp;""&amp;"C"&amp;Table133[[#This Row],[Strike]]))</f>
        <v>0</v>
      </c>
      <c r="H475" s="17" cm="1">
        <f t="array" aca="1" ref="H475" ca="1">IndividualLegIVCore($A$4, Table133[[#This Row],[Strike]], 0.0411, Table133[[#This Row],[T]], ((Table133[[#This Row],[BIDC]]+Table133[[#This Row],[ASKC]])/2), TRUE)</f>
        <v>0.01</v>
      </c>
      <c r="I475" t="b">
        <f>IF(     ISNUMBER(Table133[[#This Row],[Strike]]),RTD("tos.rtd", , "BID", "."&amp;Table133[[#This Row],[Ticker]]&amp;Table133[[#This Row],[Expiry]]&amp;""&amp;"C"&amp;Table133[[#This Row],[Strike]]))</f>
        <v>0</v>
      </c>
      <c r="J475" t="b">
        <f>IF(     ISNUMBER(Table133[[#This Row],[Strike]]),RTD("tos.rtd", , "ASK", "."&amp;Table133[[#This Row],[Ticker]]&amp;Table133[[#This Row],[Expiry]]&amp;""&amp;"C"&amp;Table133[[#This Row],[Strike]]))</f>
        <v>0</v>
      </c>
      <c r="K475" s="17"/>
      <c r="M475" s="1">
        <f t="shared" si="45"/>
        <v>0</v>
      </c>
      <c r="N475" t="b">
        <f t="shared" si="46"/>
        <v>0</v>
      </c>
      <c r="P475" s="17" cm="1">
        <f t="array" aca="1" ref="P475" ca="1">IndividualLegIVCore($A$4, Table133[[#This Row],[Strike]], 0.0411, Table133[[#This Row],[T]], ((Table133[[#This Row],[BIDP]]+Table133[[#This Row],[ASKP]])/2), FALSE)</f>
        <v>0.01</v>
      </c>
      <c r="Q475" t="b">
        <f>IF(     ISNUMBER(Table133[[#This Row],[Strike]]),RTD("tos.rtd", , "BID", "."&amp;Table133[[#This Row],[Ticker]]&amp;Table133[[#This Row],[Expiry]]&amp;""&amp;"P"&amp;Table133[[#This Row],[Strike]]))</f>
        <v>0</v>
      </c>
      <c r="R475" t="b">
        <f>IF(     ISNUMBER(Table133[[#This Row],[Strike]]),RTD("tos.rtd", , "ASK", "."&amp;Table133[[#This Row],[Ticker]]&amp;Table133[[#This Row],[Expiry]]&amp;""&amp;"P"&amp;Table133[[#This Row],[Strike]]))</f>
        <v>0</v>
      </c>
      <c r="S475" s="17"/>
      <c r="T475" t="b">
        <f>IF(     ISNUMBER(Table133[[#This Row],[Strike]]),RTD("tos.rtd", , "OPEN_INT", "."&amp;Table133[[#This Row],[Ticker]]&amp;Table133[[#This Row],[Expiry]]&amp;""&amp;"P"&amp;Table133[[#This Row],[Strike]]))</f>
        <v>0</v>
      </c>
      <c r="U47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5" t="b">
        <f>IF(     ISNUMBER(Table133[[#This Row],[Strike]]),RTD("tos.rtd", , "DELTA", "."&amp;Table133[[#This Row],[Ticker]]&amp;Table133[[#This Row],[Expiry]]&amp;""&amp;"P"&amp;Table133[[#This Row],[Strike]]))</f>
        <v>0</v>
      </c>
      <c r="X475" s="13"/>
      <c r="Y475" s="19">
        <f>-20.5* IF($M$1="NDX", 10, IF(OR($M$1="SPX", $M$1="RUT"), 2, 1))</f>
        <v>-41</v>
      </c>
      <c r="Z475">
        <f ca="1">IFERROR(Table133[[#This Row],[call gamma]]*(Table133[[#This Row],[Open.Int]])*$A$4^2,0)</f>
        <v>0</v>
      </c>
      <c r="AA475">
        <f ca="1">IFERROR(((Table133[[#This Row],[Open.Int8]])*Table133[[#This Row],[Put gamma]])*-1*$A$4^2,0)</f>
        <v>0</v>
      </c>
      <c r="AB475">
        <f ca="1">(Table133[[#This Row],[Call Gex]]+Table133[[#This Row],[Put Gex]])</f>
        <v>0</v>
      </c>
      <c r="AC475">
        <f ca="1">Table133[[#This Row],[put delta adj]]+Table133[[#This Row],[call delta adj]]</f>
        <v>0</v>
      </c>
      <c r="AD475">
        <f ca="1">Table133[[#This Row],[Put Gex]]*Table133[[#This Row],[DeltaP]]*-1</f>
        <v>0</v>
      </c>
      <c r="AE475">
        <f ca="1">Table133[[#This Row],[Call Gex]]*Table133[[#This Row],[DeltaC]]</f>
        <v>0</v>
      </c>
      <c r="AF475">
        <f>IF(Table133[[#This Row],[DeltaC]]-ABS(Table133[[#This Row],[DeltaP]])="0","0.01",Table133[[#This Row],[DeltaC]]-ABS(Table133[[#This Row],[DeltaP]]))</f>
        <v>0</v>
      </c>
      <c r="AG475" t="e">
        <f ca="1">((LN($A$4/Table133[[#This Row],[Strike]]) + (0.411 + 0.5 * Table133[[#This Row],[IV Calc P]]^2) *Table133[[#This Row],[T]])) / (Table133[[#This Row],[IV Calc P]] * SQRT(Table133[[#This Row],[T]]))</f>
        <v>#DIV/0!</v>
      </c>
      <c r="AH475" t="e">
        <f ca="1">(LN($A$4/Table133[[#This Row],[Strike]]) + (0.411-0 + 0.5 * Table133[[#This Row],[IV Calc C]]^2) *Table133[[#This Row],[T]]) / (Table133[[#This Row],[IV Calc C]] * SQRT(Table133[[#This Row],[T]]))</f>
        <v>#DIV/0!</v>
      </c>
      <c r="AI475" t="e">
        <f ca="1">(EXP(-(AG475^2)/2)/SQRT(2*PI())*EXP(0*SQRT(Table133[[#This Row],[T]]))/$A$4*18%*SQRT(SQRT(Table133[[#This Row],[T]])))</f>
        <v>#DIV/0!</v>
      </c>
      <c r="AJ475" t="e">
        <f ca="1">(EXP(-(AH475^2)/2)/SQRT(2*PI())*EXP(0*SQRT(Table133[[#This Row],[T]]))/$A$4*18%*SQRT(SQRT(Table133[[#This Row],[T]])))</f>
        <v>#DIV/0!</v>
      </c>
      <c r="AK475" t="e">
        <f ca="1">Table133[[#This Row],[Call D1]]-Table133[[#This Row],[IV Calc C]]*SQRT(Table133[[#This Row],[T]])</f>
        <v>#DIV/0!</v>
      </c>
      <c r="AL475" t="e">
        <f ca="1">Table133[[#This Row],[Put D1]]-Table133[[#This Row],[IV Calc P]]*SQRT(Table133[[#This Row],[T]])</f>
        <v>#DIV/0!</v>
      </c>
      <c r="AM475" t="e">
        <f ca="1">EXP(-0.5*Table133[[#This Row],[Call D1]]^2)/SQRT(2*PI())</f>
        <v>#DIV/0!</v>
      </c>
      <c r="AN475" t="e">
        <f ca="1">EXP(-0.5*Table133[[#This Row],[Put D1]]^2)/SQRT(2*PI())</f>
        <v>#DIV/0!</v>
      </c>
      <c r="AO47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5">
        <f ca="1">((Table133[[#This Row],[call vanna]]+Table133[[#This Row],[put vanna]])*$A$4)</f>
        <v>0</v>
      </c>
      <c r="AR47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5" s="22" t="str" cm="1">
        <f t="array" ref="AT475">_xlfn.IFS(     $M$1="SPX","SPXW",     $M$1="RUT","RUTW",  $M$1="NDX","NDXP",   TRUE,$M$1 )</f>
        <v>SPXW</v>
      </c>
      <c r="AU475" s="2">
        <f t="shared" si="47"/>
        <v>6915</v>
      </c>
      <c r="AV475" t="str">
        <f t="shared" si="48"/>
        <v>000100</v>
      </c>
      <c r="AY47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5">
        <f>((Table133[[#This Row],[High C]]+Table133[[#This Row],[Low C]])/2)*Table133[[#This Row],[gammac]]*Table133[[#This Row],[Volume]]</f>
        <v>0</v>
      </c>
      <c r="BD475">
        <f>((Table133[[#This Row],[High P]]+Table133[[#This Row],[Low P]])/2)*Table133[[#This Row],[gammap]]*Table133[[#This Row],[Volume9]]*-1</f>
        <v>0</v>
      </c>
      <c r="BE475">
        <f>(Table133[[#This Row],[SgammaC]]+Table133[[#This Row],[SgammaP]])*$A$4*-100</f>
        <v>0</v>
      </c>
      <c r="BF475" s="78">
        <f>Table133[[#This Row],[DEXc]]+Table133[[#This Row],[DEXp]]</f>
        <v>0</v>
      </c>
      <c r="BG475">
        <f>IFERROR(Table133[[#This Row],[DeltaC]]*Table133[[#This Row],[Open.Int]]*$A$4,0)</f>
        <v>0</v>
      </c>
      <c r="BH475">
        <f>IFERROR(Table133[[#This Row],[DeltaP]]*Table133[[#This Row],[Open.Int8]]*$A$4,0)</f>
        <v>0</v>
      </c>
      <c r="BI47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5">
        <f ca="1">Table133[[#This Row],[charmc]]+Table133[[#This Row],[charmp]]</f>
        <v>0</v>
      </c>
      <c r="BL47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5" s="78">
        <f ca="1">Table133[[#This Row],[call helper]]+Table133[[#This Row],[put helper]]</f>
        <v>0</v>
      </c>
      <c r="BP475" t="str">
        <f>RTD("tos.rtd", , "STRIKE", "."&amp;Table133[[#This Row],[Ticker]]&amp;Table133[[#This Row],[Expiry]]&amp;""&amp;"C"&amp;Table133[[#This Row],[Spot]]+Table133[[#This Row],[step]])</f>
        <v>N/A</v>
      </c>
    </row>
    <row r="476" spans="1:68" x14ac:dyDescent="0.25">
      <c r="A476" s="14">
        <f t="shared" ca="1" si="44"/>
        <v>-126.14810350076104</v>
      </c>
      <c r="C476" s="17"/>
      <c r="D476" t="str">
        <f>RTD("tos.rtd", , "OPEN_INT", "."&amp;Table133[[#This Row],[Ticker]]&amp;Table133[[#This Row],[Expiry]]&amp;""&amp;"C"&amp;Table133[[#This Row],[Spot]]+Table133[[#This Row],[step]])</f>
        <v>N/A</v>
      </c>
      <c r="E47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6" t="b">
        <f>IF(     ISNUMBER(Table133[[#This Row],[Strike]]),RTD("tos.rtd", , "DELTA", "."&amp;Table133[[#This Row],[Ticker]]&amp;Table133[[#This Row],[Expiry]]&amp;""&amp;"C"&amp;Table133[[#This Row],[Strike]]))</f>
        <v>0</v>
      </c>
      <c r="H476" s="17" cm="1">
        <f t="array" aca="1" ref="H476" ca="1">IndividualLegIVCore($A$4, Table133[[#This Row],[Strike]], 0.0411, Table133[[#This Row],[T]], ((Table133[[#This Row],[BIDC]]+Table133[[#This Row],[ASKC]])/2), TRUE)</f>
        <v>0.01</v>
      </c>
      <c r="I476" t="b">
        <f>IF(     ISNUMBER(Table133[[#This Row],[Strike]]),RTD("tos.rtd", , "BID", "."&amp;Table133[[#This Row],[Ticker]]&amp;Table133[[#This Row],[Expiry]]&amp;""&amp;"C"&amp;Table133[[#This Row],[Strike]]))</f>
        <v>0</v>
      </c>
      <c r="J476" t="b">
        <f>IF(     ISNUMBER(Table133[[#This Row],[Strike]]),RTD("tos.rtd", , "ASK", "."&amp;Table133[[#This Row],[Ticker]]&amp;Table133[[#This Row],[Expiry]]&amp;""&amp;"C"&amp;Table133[[#This Row],[Strike]]))</f>
        <v>0</v>
      </c>
      <c r="K476" s="17"/>
      <c r="M476" s="1">
        <f t="shared" si="45"/>
        <v>0</v>
      </c>
      <c r="N476" t="b">
        <f t="shared" si="46"/>
        <v>0</v>
      </c>
      <c r="P476" s="17" cm="1">
        <f t="array" aca="1" ref="P476" ca="1">IndividualLegIVCore($A$4, Table133[[#This Row],[Strike]], 0.0411, Table133[[#This Row],[T]], ((Table133[[#This Row],[BIDP]]+Table133[[#This Row],[ASKP]])/2), FALSE)</f>
        <v>0.01</v>
      </c>
      <c r="Q476" t="b">
        <f>IF(     ISNUMBER(Table133[[#This Row],[Strike]]),RTD("tos.rtd", , "BID", "."&amp;Table133[[#This Row],[Ticker]]&amp;Table133[[#This Row],[Expiry]]&amp;""&amp;"P"&amp;Table133[[#This Row],[Strike]]))</f>
        <v>0</v>
      </c>
      <c r="R476" t="b">
        <f>IF(     ISNUMBER(Table133[[#This Row],[Strike]]),RTD("tos.rtd", , "ASK", "."&amp;Table133[[#This Row],[Ticker]]&amp;Table133[[#This Row],[Expiry]]&amp;""&amp;"P"&amp;Table133[[#This Row],[Strike]]))</f>
        <v>0</v>
      </c>
      <c r="S476" s="17"/>
      <c r="T476" t="b">
        <f>IF(     ISNUMBER(Table133[[#This Row],[Strike]]),RTD("tos.rtd", , "OPEN_INT", "."&amp;Table133[[#This Row],[Ticker]]&amp;Table133[[#This Row],[Expiry]]&amp;""&amp;"P"&amp;Table133[[#This Row],[Strike]]))</f>
        <v>0</v>
      </c>
      <c r="U47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6" t="b">
        <f>IF(     ISNUMBER(Table133[[#This Row],[Strike]]),RTD("tos.rtd", , "DELTA", "."&amp;Table133[[#This Row],[Ticker]]&amp;Table133[[#This Row],[Expiry]]&amp;""&amp;"P"&amp;Table133[[#This Row],[Strike]]))</f>
        <v>0</v>
      </c>
      <c r="Y476" s="19">
        <f>-20* IF($M$1="NDX", 10, IF(OR($M$1="SPX", $M$1="RUT"), 2, 1))</f>
        <v>-40</v>
      </c>
      <c r="Z476">
        <f ca="1">IFERROR(Table133[[#This Row],[call gamma]]*(Table133[[#This Row],[Open.Int]])*$A$4^2,0)</f>
        <v>0</v>
      </c>
      <c r="AA476">
        <f ca="1">IFERROR(((Table133[[#This Row],[Open.Int8]])*Table133[[#This Row],[Put gamma]])*-1*$A$4^2,0)</f>
        <v>0</v>
      </c>
      <c r="AB476">
        <f ca="1">(Table133[[#This Row],[Call Gex]]+Table133[[#This Row],[Put Gex]])</f>
        <v>0</v>
      </c>
      <c r="AC476">
        <f ca="1">Table133[[#This Row],[put delta adj]]+Table133[[#This Row],[call delta adj]]</f>
        <v>0</v>
      </c>
      <c r="AD476">
        <f ca="1">Table133[[#This Row],[Put Gex]]*Table133[[#This Row],[DeltaP]]*-1</f>
        <v>0</v>
      </c>
      <c r="AE476">
        <f ca="1">Table133[[#This Row],[Call Gex]]*Table133[[#This Row],[DeltaC]]</f>
        <v>0</v>
      </c>
      <c r="AF476">
        <f>IF(Table133[[#This Row],[DeltaC]]-ABS(Table133[[#This Row],[DeltaP]])="0","0.01",Table133[[#This Row],[DeltaC]]-ABS(Table133[[#This Row],[DeltaP]]))</f>
        <v>0</v>
      </c>
      <c r="AG476" t="e">
        <f ca="1">((LN($A$4/Table133[[#This Row],[Strike]]) + (0.411 + 0.5 * Table133[[#This Row],[IV Calc P]]^2) *Table133[[#This Row],[T]])) / (Table133[[#This Row],[IV Calc P]] * SQRT(Table133[[#This Row],[T]]))</f>
        <v>#DIV/0!</v>
      </c>
      <c r="AH476" t="e">
        <f ca="1">(LN($A$4/Table133[[#This Row],[Strike]]) + (0.411-0 + 0.5 * Table133[[#This Row],[IV Calc C]]^2) *Table133[[#This Row],[T]]) / (Table133[[#This Row],[IV Calc C]] * SQRT(Table133[[#This Row],[T]]))</f>
        <v>#DIV/0!</v>
      </c>
      <c r="AI476" t="e">
        <f ca="1">(EXP(-(AG476^2)/2)/SQRT(2*PI())*EXP(0*SQRT(Table133[[#This Row],[T]]))/$A$4*18%*SQRT(SQRT(Table133[[#This Row],[T]])))</f>
        <v>#DIV/0!</v>
      </c>
      <c r="AJ476" t="e">
        <f ca="1">(EXP(-(AH476^2)/2)/SQRT(2*PI())*EXP(0*SQRT(Table133[[#This Row],[T]]))/$A$4*18%*SQRT(SQRT(Table133[[#This Row],[T]])))</f>
        <v>#DIV/0!</v>
      </c>
      <c r="AK476" t="e">
        <f ca="1">Table133[[#This Row],[Call D1]]-Table133[[#This Row],[IV Calc C]]*SQRT(Table133[[#This Row],[T]])</f>
        <v>#DIV/0!</v>
      </c>
      <c r="AL476" t="e">
        <f ca="1">Table133[[#This Row],[Put D1]]-Table133[[#This Row],[IV Calc P]]*SQRT(Table133[[#This Row],[T]])</f>
        <v>#DIV/0!</v>
      </c>
      <c r="AM476" t="e">
        <f ca="1">EXP(-0.5*Table133[[#This Row],[Call D1]]^2)/SQRT(2*PI())</f>
        <v>#DIV/0!</v>
      </c>
      <c r="AN476" t="e">
        <f ca="1">EXP(-0.5*Table133[[#This Row],[Put D1]]^2)/SQRT(2*PI())</f>
        <v>#DIV/0!</v>
      </c>
      <c r="AO47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6">
        <f ca="1">((Table133[[#This Row],[call vanna]]+Table133[[#This Row],[put vanna]])*$A$4)</f>
        <v>0</v>
      </c>
      <c r="AR47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6" s="9" t="str" cm="1">
        <f t="array" ref="AT476">_xlfn.IFS(     $M$1="SPX","SPXW",     $M$1="RUT","RUTW",  $M$1="NDX","NDXP",   TRUE,$M$1 )</f>
        <v>SPXW</v>
      </c>
      <c r="AU476" s="2">
        <f t="shared" si="47"/>
        <v>6915</v>
      </c>
      <c r="AV476" t="str">
        <f t="shared" si="48"/>
        <v>000100</v>
      </c>
      <c r="AY47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6">
        <f>((Table133[[#This Row],[High C]]+Table133[[#This Row],[Low C]])/2)*Table133[[#This Row],[gammac]]*Table133[[#This Row],[Volume]]</f>
        <v>0</v>
      </c>
      <c r="BD476">
        <f>((Table133[[#This Row],[High P]]+Table133[[#This Row],[Low P]])/2)*Table133[[#This Row],[gammap]]*Table133[[#This Row],[Volume9]]*-1</f>
        <v>0</v>
      </c>
      <c r="BE476">
        <f>(Table133[[#This Row],[SgammaC]]+Table133[[#This Row],[SgammaP]])*$A$4*-100</f>
        <v>0</v>
      </c>
      <c r="BF476" s="78">
        <f>Table133[[#This Row],[DEXc]]+Table133[[#This Row],[DEXp]]</f>
        <v>0</v>
      </c>
      <c r="BG476">
        <f>IFERROR(Table133[[#This Row],[DeltaC]]*Table133[[#This Row],[Open.Int]]*$A$4,0)</f>
        <v>0</v>
      </c>
      <c r="BH476">
        <f>IFERROR(Table133[[#This Row],[DeltaP]]*Table133[[#This Row],[Open.Int8]]*$A$4,0)</f>
        <v>0</v>
      </c>
      <c r="BI47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6">
        <f ca="1">Table133[[#This Row],[charmc]]+Table133[[#This Row],[charmp]]</f>
        <v>0</v>
      </c>
      <c r="BL47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6" s="78">
        <f ca="1">Table133[[#This Row],[call helper]]+Table133[[#This Row],[put helper]]</f>
        <v>0</v>
      </c>
      <c r="BP476" t="str">
        <f>RTD("tos.rtd", , "STRIKE", "."&amp;Table133[[#This Row],[Ticker]]&amp;Table133[[#This Row],[Expiry]]&amp;""&amp;"C"&amp;Table133[[#This Row],[Spot]]+Table133[[#This Row],[step]])</f>
        <v>N/A</v>
      </c>
    </row>
    <row r="477" spans="1:68" x14ac:dyDescent="0.25">
      <c r="A477" s="14">
        <f t="shared" ca="1" si="44"/>
        <v>-126.14810350076104</v>
      </c>
      <c r="C477" s="17"/>
      <c r="D477" t="str">
        <f>RTD("tos.rtd", , "OPEN_INT", "."&amp;Table133[[#This Row],[Ticker]]&amp;Table133[[#This Row],[Expiry]]&amp;""&amp;"C"&amp;Table133[[#This Row],[Spot]]+Table133[[#This Row],[step]])</f>
        <v>N/A</v>
      </c>
      <c r="E47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7" t="b">
        <f>IF(     ISNUMBER(Table133[[#This Row],[Strike]]),RTD("tos.rtd", , "DELTA", "."&amp;Table133[[#This Row],[Ticker]]&amp;Table133[[#This Row],[Expiry]]&amp;""&amp;"C"&amp;Table133[[#This Row],[Strike]]))</f>
        <v>0</v>
      </c>
      <c r="H477" s="17" cm="1">
        <f t="array" aca="1" ref="H477" ca="1">IndividualLegIVCore($A$4, Table133[[#This Row],[Strike]], 0.0411, Table133[[#This Row],[T]], ((Table133[[#This Row],[BIDC]]+Table133[[#This Row],[ASKC]])/2), TRUE)</f>
        <v>0.01</v>
      </c>
      <c r="I477" t="b">
        <f>IF(     ISNUMBER(Table133[[#This Row],[Strike]]),RTD("tos.rtd", , "BID", "."&amp;Table133[[#This Row],[Ticker]]&amp;Table133[[#This Row],[Expiry]]&amp;""&amp;"C"&amp;Table133[[#This Row],[Strike]]))</f>
        <v>0</v>
      </c>
      <c r="J477" t="b">
        <f>IF(     ISNUMBER(Table133[[#This Row],[Strike]]),RTD("tos.rtd", , "ASK", "."&amp;Table133[[#This Row],[Ticker]]&amp;Table133[[#This Row],[Expiry]]&amp;""&amp;"C"&amp;Table133[[#This Row],[Strike]]))</f>
        <v>0</v>
      </c>
      <c r="K477" s="17"/>
      <c r="M477" s="1">
        <f t="shared" si="45"/>
        <v>0</v>
      </c>
      <c r="N477" t="b">
        <f t="shared" si="46"/>
        <v>0</v>
      </c>
      <c r="P477" s="17" cm="1">
        <f t="array" aca="1" ref="P477" ca="1">IndividualLegIVCore($A$4, Table133[[#This Row],[Strike]], 0.0411, Table133[[#This Row],[T]], ((Table133[[#This Row],[BIDP]]+Table133[[#This Row],[ASKP]])/2), FALSE)</f>
        <v>0.01</v>
      </c>
      <c r="Q477" t="b">
        <f>IF(     ISNUMBER(Table133[[#This Row],[Strike]]),RTD("tos.rtd", , "BID", "."&amp;Table133[[#This Row],[Ticker]]&amp;Table133[[#This Row],[Expiry]]&amp;""&amp;"P"&amp;Table133[[#This Row],[Strike]]))</f>
        <v>0</v>
      </c>
      <c r="R477" t="b">
        <f>IF(     ISNUMBER(Table133[[#This Row],[Strike]]),RTD("tos.rtd", , "ASK", "."&amp;Table133[[#This Row],[Ticker]]&amp;Table133[[#This Row],[Expiry]]&amp;""&amp;"P"&amp;Table133[[#This Row],[Strike]]))</f>
        <v>0</v>
      </c>
      <c r="S477" s="17"/>
      <c r="T477" t="b">
        <f>IF(     ISNUMBER(Table133[[#This Row],[Strike]]),RTD("tos.rtd", , "OPEN_INT", "."&amp;Table133[[#This Row],[Ticker]]&amp;Table133[[#This Row],[Expiry]]&amp;""&amp;"P"&amp;Table133[[#This Row],[Strike]]))</f>
        <v>0</v>
      </c>
      <c r="U47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7" t="b">
        <f>IF(     ISNUMBER(Table133[[#This Row],[Strike]]),RTD("tos.rtd", , "DELTA", "."&amp;Table133[[#This Row],[Ticker]]&amp;Table133[[#This Row],[Expiry]]&amp;""&amp;"P"&amp;Table133[[#This Row],[Strike]]))</f>
        <v>0</v>
      </c>
      <c r="Y477" s="19">
        <f>-19.5* IF($M$1="NDX", 10, IF(OR($M$1="SPX", $M$1="RUT"), 2, 1))</f>
        <v>-39</v>
      </c>
      <c r="Z477">
        <f ca="1">IFERROR(Table133[[#This Row],[call gamma]]*(Table133[[#This Row],[Open.Int]])*$A$4^2,0)</f>
        <v>0</v>
      </c>
      <c r="AA477">
        <f ca="1">IFERROR(((Table133[[#This Row],[Open.Int8]])*Table133[[#This Row],[Put gamma]])*-1*$A$4^2,0)</f>
        <v>0</v>
      </c>
      <c r="AB477">
        <f ca="1">(Table133[[#This Row],[Call Gex]]+Table133[[#This Row],[Put Gex]])</f>
        <v>0</v>
      </c>
      <c r="AC477">
        <f ca="1">Table133[[#This Row],[put delta adj]]+Table133[[#This Row],[call delta adj]]</f>
        <v>0</v>
      </c>
      <c r="AD477">
        <f ca="1">Table133[[#This Row],[Put Gex]]*Table133[[#This Row],[DeltaP]]*-1</f>
        <v>0</v>
      </c>
      <c r="AE477">
        <f ca="1">Table133[[#This Row],[Call Gex]]*Table133[[#This Row],[DeltaC]]</f>
        <v>0</v>
      </c>
      <c r="AF477">
        <f>IF(Table133[[#This Row],[DeltaC]]-ABS(Table133[[#This Row],[DeltaP]])="0","0.01",Table133[[#This Row],[DeltaC]]-ABS(Table133[[#This Row],[DeltaP]]))</f>
        <v>0</v>
      </c>
      <c r="AG477" t="e">
        <f ca="1">((LN($A$4/Table133[[#This Row],[Strike]]) + (0.411 + 0.5 * Table133[[#This Row],[IV Calc P]]^2) *Table133[[#This Row],[T]])) / (Table133[[#This Row],[IV Calc P]] * SQRT(Table133[[#This Row],[T]]))</f>
        <v>#DIV/0!</v>
      </c>
      <c r="AH477" t="e">
        <f ca="1">(LN($A$4/Table133[[#This Row],[Strike]]) + (0.411-0 + 0.5 * Table133[[#This Row],[IV Calc C]]^2) *Table133[[#This Row],[T]]) / (Table133[[#This Row],[IV Calc C]] * SQRT(Table133[[#This Row],[T]]))</f>
        <v>#DIV/0!</v>
      </c>
      <c r="AI477" t="e">
        <f ca="1">(EXP(-(AG477^2)/2)/SQRT(2*PI())*EXP(0*SQRT(Table133[[#This Row],[T]]))/$A$4*18%*SQRT(SQRT(Table133[[#This Row],[T]])))</f>
        <v>#DIV/0!</v>
      </c>
      <c r="AJ477" t="e">
        <f ca="1">(EXP(-(AH477^2)/2)/SQRT(2*PI())*EXP(0*SQRT(Table133[[#This Row],[T]]))/$A$4*18%*SQRT(SQRT(Table133[[#This Row],[T]])))</f>
        <v>#DIV/0!</v>
      </c>
      <c r="AK477" t="e">
        <f ca="1">Table133[[#This Row],[Call D1]]-Table133[[#This Row],[IV Calc C]]*SQRT(Table133[[#This Row],[T]])</f>
        <v>#DIV/0!</v>
      </c>
      <c r="AL477" t="e">
        <f ca="1">Table133[[#This Row],[Put D1]]-Table133[[#This Row],[IV Calc P]]*SQRT(Table133[[#This Row],[T]])</f>
        <v>#DIV/0!</v>
      </c>
      <c r="AM477" t="e">
        <f ca="1">EXP(-0.5*Table133[[#This Row],[Call D1]]^2)/SQRT(2*PI())</f>
        <v>#DIV/0!</v>
      </c>
      <c r="AN477" t="e">
        <f ca="1">EXP(-0.5*Table133[[#This Row],[Put D1]]^2)/SQRT(2*PI())</f>
        <v>#DIV/0!</v>
      </c>
      <c r="AO47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7">
        <f ca="1">((Table133[[#This Row],[call vanna]]+Table133[[#This Row],[put vanna]])*$A$4)</f>
        <v>0</v>
      </c>
      <c r="AR47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7" s="9" t="str" cm="1">
        <f t="array" ref="AT477">_xlfn.IFS(     $M$1="SPX","SPXW",     $M$1="RUT","RUTW",  $M$1="NDX","NDXP",   TRUE,$M$1 )</f>
        <v>SPXW</v>
      </c>
      <c r="AU477" s="2">
        <f t="shared" si="47"/>
        <v>6915</v>
      </c>
      <c r="AV477" t="str">
        <f t="shared" si="48"/>
        <v>000100</v>
      </c>
      <c r="AY47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7">
        <f>((Table133[[#This Row],[High C]]+Table133[[#This Row],[Low C]])/2)*Table133[[#This Row],[gammac]]*Table133[[#This Row],[Volume]]</f>
        <v>0</v>
      </c>
      <c r="BD477">
        <f>((Table133[[#This Row],[High P]]+Table133[[#This Row],[Low P]])/2)*Table133[[#This Row],[gammap]]*Table133[[#This Row],[Volume9]]*-1</f>
        <v>0</v>
      </c>
      <c r="BE477">
        <f>(Table133[[#This Row],[SgammaC]]+Table133[[#This Row],[SgammaP]])*$A$4*-100</f>
        <v>0</v>
      </c>
      <c r="BF477" s="78">
        <f>Table133[[#This Row],[DEXc]]+Table133[[#This Row],[DEXp]]</f>
        <v>0</v>
      </c>
      <c r="BG477">
        <f>IFERROR(Table133[[#This Row],[DeltaC]]*Table133[[#This Row],[Open.Int]]*$A$4,0)</f>
        <v>0</v>
      </c>
      <c r="BH477">
        <f>IFERROR(Table133[[#This Row],[DeltaP]]*Table133[[#This Row],[Open.Int8]]*$A$4,0)</f>
        <v>0</v>
      </c>
      <c r="BI47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7">
        <f ca="1">Table133[[#This Row],[charmc]]+Table133[[#This Row],[charmp]]</f>
        <v>0</v>
      </c>
      <c r="BL47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7" s="78">
        <f ca="1">Table133[[#This Row],[call helper]]+Table133[[#This Row],[put helper]]</f>
        <v>0</v>
      </c>
      <c r="BP477" t="str">
        <f>RTD("tos.rtd", , "STRIKE", "."&amp;Table133[[#This Row],[Ticker]]&amp;Table133[[#This Row],[Expiry]]&amp;""&amp;"C"&amp;Table133[[#This Row],[Spot]]+Table133[[#This Row],[step]])</f>
        <v>N/A</v>
      </c>
    </row>
    <row r="478" spans="1:68" x14ac:dyDescent="0.25">
      <c r="A478" s="14">
        <f t="shared" ca="1" si="44"/>
        <v>-126.14810350076104</v>
      </c>
      <c r="C478" s="17"/>
      <c r="D478" t="str">
        <f>RTD("tos.rtd", , "OPEN_INT", "."&amp;Table133[[#This Row],[Ticker]]&amp;Table133[[#This Row],[Expiry]]&amp;""&amp;"C"&amp;Table133[[#This Row],[Spot]]+Table133[[#This Row],[step]])</f>
        <v>N/A</v>
      </c>
      <c r="E47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8" t="b">
        <f>IF(     ISNUMBER(Table133[[#This Row],[Strike]]),RTD("tos.rtd", , "DELTA", "."&amp;Table133[[#This Row],[Ticker]]&amp;Table133[[#This Row],[Expiry]]&amp;""&amp;"C"&amp;Table133[[#This Row],[Strike]]))</f>
        <v>0</v>
      </c>
      <c r="H478" s="17" cm="1">
        <f t="array" aca="1" ref="H478" ca="1">IndividualLegIVCore($A$4, Table133[[#This Row],[Strike]], 0.0411, Table133[[#This Row],[T]], ((Table133[[#This Row],[BIDC]]+Table133[[#This Row],[ASKC]])/2), TRUE)</f>
        <v>0.01</v>
      </c>
      <c r="I478" t="b">
        <f>IF(     ISNUMBER(Table133[[#This Row],[Strike]]),RTD("tos.rtd", , "BID", "."&amp;Table133[[#This Row],[Ticker]]&amp;Table133[[#This Row],[Expiry]]&amp;""&amp;"C"&amp;Table133[[#This Row],[Strike]]))</f>
        <v>0</v>
      </c>
      <c r="J478" t="b">
        <f>IF(     ISNUMBER(Table133[[#This Row],[Strike]]),RTD("tos.rtd", , "ASK", "."&amp;Table133[[#This Row],[Ticker]]&amp;Table133[[#This Row],[Expiry]]&amp;""&amp;"C"&amp;Table133[[#This Row],[Strike]]))</f>
        <v>0</v>
      </c>
      <c r="K478" s="17"/>
      <c r="M478" s="1">
        <f t="shared" si="45"/>
        <v>0</v>
      </c>
      <c r="N478" t="b">
        <f t="shared" si="46"/>
        <v>0</v>
      </c>
      <c r="P478" s="17" cm="1">
        <f t="array" aca="1" ref="P478" ca="1">IndividualLegIVCore($A$4, Table133[[#This Row],[Strike]], 0.0411, Table133[[#This Row],[T]], ((Table133[[#This Row],[BIDP]]+Table133[[#This Row],[ASKP]])/2), FALSE)</f>
        <v>0.01</v>
      </c>
      <c r="Q478" t="b">
        <f>IF(     ISNUMBER(Table133[[#This Row],[Strike]]),RTD("tos.rtd", , "BID", "."&amp;Table133[[#This Row],[Ticker]]&amp;Table133[[#This Row],[Expiry]]&amp;""&amp;"P"&amp;Table133[[#This Row],[Strike]]))</f>
        <v>0</v>
      </c>
      <c r="R478" t="b">
        <f>IF(     ISNUMBER(Table133[[#This Row],[Strike]]),RTD("tos.rtd", , "ASK", "."&amp;Table133[[#This Row],[Ticker]]&amp;Table133[[#This Row],[Expiry]]&amp;""&amp;"P"&amp;Table133[[#This Row],[Strike]]))</f>
        <v>0</v>
      </c>
      <c r="S478" s="17"/>
      <c r="T478" t="b">
        <f>IF(     ISNUMBER(Table133[[#This Row],[Strike]]),RTD("tos.rtd", , "OPEN_INT", "."&amp;Table133[[#This Row],[Ticker]]&amp;Table133[[#This Row],[Expiry]]&amp;""&amp;"P"&amp;Table133[[#This Row],[Strike]]))</f>
        <v>0</v>
      </c>
      <c r="U47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8" t="b">
        <f>IF(     ISNUMBER(Table133[[#This Row],[Strike]]),RTD("tos.rtd", , "DELTA", "."&amp;Table133[[#This Row],[Ticker]]&amp;Table133[[#This Row],[Expiry]]&amp;""&amp;"P"&amp;Table133[[#This Row],[Strike]]))</f>
        <v>0</v>
      </c>
      <c r="Y478" s="19">
        <f>-19* IF($M$1="NDX", 10, IF(OR($M$1="SPX", $M$1="RUT"), 2, 1))</f>
        <v>-38</v>
      </c>
      <c r="Z478">
        <f ca="1">IFERROR(Table133[[#This Row],[call gamma]]*(Table133[[#This Row],[Open.Int]])*$A$4^2,0)</f>
        <v>0</v>
      </c>
      <c r="AA478">
        <f ca="1">IFERROR(((Table133[[#This Row],[Open.Int8]])*Table133[[#This Row],[Put gamma]])*-1*$A$4^2,0)</f>
        <v>0</v>
      </c>
      <c r="AB478">
        <f ca="1">(Table133[[#This Row],[Call Gex]]+Table133[[#This Row],[Put Gex]])</f>
        <v>0</v>
      </c>
      <c r="AC478">
        <f ca="1">Table133[[#This Row],[put delta adj]]+Table133[[#This Row],[call delta adj]]</f>
        <v>0</v>
      </c>
      <c r="AD478">
        <f ca="1">Table133[[#This Row],[Put Gex]]*Table133[[#This Row],[DeltaP]]*-1</f>
        <v>0</v>
      </c>
      <c r="AE478">
        <f ca="1">Table133[[#This Row],[Call Gex]]*Table133[[#This Row],[DeltaC]]</f>
        <v>0</v>
      </c>
      <c r="AF478">
        <f>IF(Table133[[#This Row],[DeltaC]]-ABS(Table133[[#This Row],[DeltaP]])="0","0.01",Table133[[#This Row],[DeltaC]]-ABS(Table133[[#This Row],[DeltaP]]))</f>
        <v>0</v>
      </c>
      <c r="AG478" t="e">
        <f ca="1">((LN($A$4/Table133[[#This Row],[Strike]]) + (0.411 + 0.5 * Table133[[#This Row],[IV Calc P]]^2) *Table133[[#This Row],[T]])) / (Table133[[#This Row],[IV Calc P]] * SQRT(Table133[[#This Row],[T]]))</f>
        <v>#DIV/0!</v>
      </c>
      <c r="AH478" t="e">
        <f ca="1">(LN($A$4/Table133[[#This Row],[Strike]]) + (0.411-0 + 0.5 * Table133[[#This Row],[IV Calc C]]^2) *Table133[[#This Row],[T]]) / (Table133[[#This Row],[IV Calc C]] * SQRT(Table133[[#This Row],[T]]))</f>
        <v>#DIV/0!</v>
      </c>
      <c r="AI478" t="e">
        <f ca="1">(EXP(-(AG478^2)/2)/SQRT(2*PI())*EXP(0*SQRT(Table133[[#This Row],[T]]))/$A$4*18%*SQRT(SQRT(Table133[[#This Row],[T]])))</f>
        <v>#DIV/0!</v>
      </c>
      <c r="AJ478" t="e">
        <f ca="1">(EXP(-(AH478^2)/2)/SQRT(2*PI())*EXP(0*SQRT(Table133[[#This Row],[T]]))/$A$4*18%*SQRT(SQRT(Table133[[#This Row],[T]])))</f>
        <v>#DIV/0!</v>
      </c>
      <c r="AK478" t="e">
        <f ca="1">Table133[[#This Row],[Call D1]]-Table133[[#This Row],[IV Calc C]]*SQRT(Table133[[#This Row],[T]])</f>
        <v>#DIV/0!</v>
      </c>
      <c r="AL478" t="e">
        <f ca="1">Table133[[#This Row],[Put D1]]-Table133[[#This Row],[IV Calc P]]*SQRT(Table133[[#This Row],[T]])</f>
        <v>#DIV/0!</v>
      </c>
      <c r="AM478" t="e">
        <f ca="1">EXP(-0.5*Table133[[#This Row],[Call D1]]^2)/SQRT(2*PI())</f>
        <v>#DIV/0!</v>
      </c>
      <c r="AN478" t="e">
        <f ca="1">EXP(-0.5*Table133[[#This Row],[Put D1]]^2)/SQRT(2*PI())</f>
        <v>#DIV/0!</v>
      </c>
      <c r="AO47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8">
        <f ca="1">((Table133[[#This Row],[call vanna]]+Table133[[#This Row],[put vanna]])*$A$4)</f>
        <v>0</v>
      </c>
      <c r="AR47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8" s="9" t="str" cm="1">
        <f t="array" ref="AT478">_xlfn.IFS(     $M$1="SPX","SPXW",     $M$1="RUT","RUTW",  $M$1="NDX","NDXP",   TRUE,$M$1 )</f>
        <v>SPXW</v>
      </c>
      <c r="AU478" s="2">
        <f t="shared" si="47"/>
        <v>6915</v>
      </c>
      <c r="AV478" t="str">
        <f t="shared" si="48"/>
        <v>000100</v>
      </c>
      <c r="AY47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8">
        <f>((Table133[[#This Row],[High C]]+Table133[[#This Row],[Low C]])/2)*Table133[[#This Row],[gammac]]*Table133[[#This Row],[Volume]]</f>
        <v>0</v>
      </c>
      <c r="BD478">
        <f>((Table133[[#This Row],[High P]]+Table133[[#This Row],[Low P]])/2)*Table133[[#This Row],[gammap]]*Table133[[#This Row],[Volume9]]*-1</f>
        <v>0</v>
      </c>
      <c r="BE478">
        <f>(Table133[[#This Row],[SgammaC]]+Table133[[#This Row],[SgammaP]])*$A$4*-100</f>
        <v>0</v>
      </c>
      <c r="BF478" s="78">
        <f>Table133[[#This Row],[DEXc]]+Table133[[#This Row],[DEXp]]</f>
        <v>0</v>
      </c>
      <c r="BG478">
        <f>IFERROR(Table133[[#This Row],[DeltaC]]*Table133[[#This Row],[Open.Int]]*$A$4,0)</f>
        <v>0</v>
      </c>
      <c r="BH478">
        <f>IFERROR(Table133[[#This Row],[DeltaP]]*Table133[[#This Row],[Open.Int8]]*$A$4,0)</f>
        <v>0</v>
      </c>
      <c r="BI47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8">
        <f ca="1">Table133[[#This Row],[charmc]]+Table133[[#This Row],[charmp]]</f>
        <v>0</v>
      </c>
      <c r="BL47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8" s="78">
        <f ca="1">Table133[[#This Row],[call helper]]+Table133[[#This Row],[put helper]]</f>
        <v>0</v>
      </c>
      <c r="BP478" t="str">
        <f>RTD("tos.rtd", , "STRIKE", "."&amp;Table133[[#This Row],[Ticker]]&amp;Table133[[#This Row],[Expiry]]&amp;""&amp;"C"&amp;Table133[[#This Row],[Spot]]+Table133[[#This Row],[step]])</f>
        <v>N/A</v>
      </c>
    </row>
    <row r="479" spans="1:68" x14ac:dyDescent="0.25">
      <c r="A479" s="14">
        <f t="shared" ca="1" si="44"/>
        <v>-126.14810350076104</v>
      </c>
      <c r="C479" s="17"/>
      <c r="D479" t="str">
        <f>RTD("tos.rtd", , "OPEN_INT", "."&amp;Table133[[#This Row],[Ticker]]&amp;Table133[[#This Row],[Expiry]]&amp;""&amp;"C"&amp;Table133[[#This Row],[Spot]]+Table133[[#This Row],[step]])</f>
        <v>N/A</v>
      </c>
      <c r="E47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9" t="b">
        <f>IF(     ISNUMBER(Table133[[#This Row],[Strike]]),RTD("tos.rtd", , "DELTA", "."&amp;Table133[[#This Row],[Ticker]]&amp;Table133[[#This Row],[Expiry]]&amp;""&amp;"C"&amp;Table133[[#This Row],[Strike]]))</f>
        <v>0</v>
      </c>
      <c r="H479" s="17" cm="1">
        <f t="array" aca="1" ref="H479" ca="1">IndividualLegIVCore($A$4, Table133[[#This Row],[Strike]], 0.0411, Table133[[#This Row],[T]], ((Table133[[#This Row],[BIDC]]+Table133[[#This Row],[ASKC]])/2), TRUE)</f>
        <v>0.01</v>
      </c>
      <c r="I479" t="b">
        <f>IF(     ISNUMBER(Table133[[#This Row],[Strike]]),RTD("tos.rtd", , "BID", "."&amp;Table133[[#This Row],[Ticker]]&amp;Table133[[#This Row],[Expiry]]&amp;""&amp;"C"&amp;Table133[[#This Row],[Strike]]))</f>
        <v>0</v>
      </c>
      <c r="J479" t="b">
        <f>IF(     ISNUMBER(Table133[[#This Row],[Strike]]),RTD("tos.rtd", , "ASK", "."&amp;Table133[[#This Row],[Ticker]]&amp;Table133[[#This Row],[Expiry]]&amp;""&amp;"C"&amp;Table133[[#This Row],[Strike]]))</f>
        <v>0</v>
      </c>
      <c r="K479" s="17"/>
      <c r="M479" s="1">
        <f t="shared" si="45"/>
        <v>0</v>
      </c>
      <c r="N479" t="b">
        <f t="shared" si="46"/>
        <v>0</v>
      </c>
      <c r="P479" s="17" cm="1">
        <f t="array" aca="1" ref="P479" ca="1">IndividualLegIVCore($A$4, Table133[[#This Row],[Strike]], 0.0411, Table133[[#This Row],[T]], ((Table133[[#This Row],[BIDP]]+Table133[[#This Row],[ASKP]])/2), FALSE)</f>
        <v>0.01</v>
      </c>
      <c r="Q479" t="b">
        <f>IF(     ISNUMBER(Table133[[#This Row],[Strike]]),RTD("tos.rtd", , "BID", "."&amp;Table133[[#This Row],[Ticker]]&amp;Table133[[#This Row],[Expiry]]&amp;""&amp;"P"&amp;Table133[[#This Row],[Strike]]))</f>
        <v>0</v>
      </c>
      <c r="R479" t="b">
        <f>IF(     ISNUMBER(Table133[[#This Row],[Strike]]),RTD("tos.rtd", , "ASK", "."&amp;Table133[[#This Row],[Ticker]]&amp;Table133[[#This Row],[Expiry]]&amp;""&amp;"P"&amp;Table133[[#This Row],[Strike]]))</f>
        <v>0</v>
      </c>
      <c r="S479" s="17"/>
      <c r="T479" t="b">
        <f>IF(     ISNUMBER(Table133[[#This Row],[Strike]]),RTD("tos.rtd", , "OPEN_INT", "."&amp;Table133[[#This Row],[Ticker]]&amp;Table133[[#This Row],[Expiry]]&amp;""&amp;"P"&amp;Table133[[#This Row],[Strike]]))</f>
        <v>0</v>
      </c>
      <c r="U47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9" t="b">
        <f>IF(     ISNUMBER(Table133[[#This Row],[Strike]]),RTD("tos.rtd", , "DELTA", "."&amp;Table133[[#This Row],[Ticker]]&amp;Table133[[#This Row],[Expiry]]&amp;""&amp;"P"&amp;Table133[[#This Row],[Strike]]))</f>
        <v>0</v>
      </c>
      <c r="Y479" s="19">
        <f>-18.5* IF($M$1="NDX", 10, IF(OR($M$1="SPX", $M$1="RUT"), 2, 1))</f>
        <v>-37</v>
      </c>
      <c r="Z479">
        <f ca="1">IFERROR(Table133[[#This Row],[call gamma]]*(Table133[[#This Row],[Open.Int]])*$A$4^2,0)</f>
        <v>0</v>
      </c>
      <c r="AA479">
        <f ca="1">IFERROR(((Table133[[#This Row],[Open.Int8]])*Table133[[#This Row],[Put gamma]])*-1*$A$4^2,0)</f>
        <v>0</v>
      </c>
      <c r="AB479">
        <f ca="1">(Table133[[#This Row],[Call Gex]]+Table133[[#This Row],[Put Gex]])</f>
        <v>0</v>
      </c>
      <c r="AC479">
        <f ca="1">Table133[[#This Row],[put delta adj]]+Table133[[#This Row],[call delta adj]]</f>
        <v>0</v>
      </c>
      <c r="AD479">
        <f ca="1">Table133[[#This Row],[Put Gex]]*Table133[[#This Row],[DeltaP]]*-1</f>
        <v>0</v>
      </c>
      <c r="AE479">
        <f ca="1">Table133[[#This Row],[Call Gex]]*Table133[[#This Row],[DeltaC]]</f>
        <v>0</v>
      </c>
      <c r="AF479">
        <f>IF(Table133[[#This Row],[DeltaC]]-ABS(Table133[[#This Row],[DeltaP]])="0","0.01",Table133[[#This Row],[DeltaC]]-ABS(Table133[[#This Row],[DeltaP]]))</f>
        <v>0</v>
      </c>
      <c r="AG479" t="e">
        <f ca="1">((LN($A$4/Table133[[#This Row],[Strike]]) + (0.411 + 0.5 * Table133[[#This Row],[IV Calc P]]^2) *Table133[[#This Row],[T]])) / (Table133[[#This Row],[IV Calc P]] * SQRT(Table133[[#This Row],[T]]))</f>
        <v>#DIV/0!</v>
      </c>
      <c r="AH479" t="e">
        <f ca="1">(LN($A$4/Table133[[#This Row],[Strike]]) + (0.411-0 + 0.5 * Table133[[#This Row],[IV Calc C]]^2) *Table133[[#This Row],[T]]) / (Table133[[#This Row],[IV Calc C]] * SQRT(Table133[[#This Row],[T]]))</f>
        <v>#DIV/0!</v>
      </c>
      <c r="AI479" t="e">
        <f ca="1">(EXP(-(AG479^2)/2)/SQRT(2*PI())*EXP(0*SQRT(Table133[[#This Row],[T]]))/$A$4*18%*SQRT(SQRT(Table133[[#This Row],[T]])))</f>
        <v>#DIV/0!</v>
      </c>
      <c r="AJ479" t="e">
        <f ca="1">(EXP(-(AH479^2)/2)/SQRT(2*PI())*EXP(0*SQRT(Table133[[#This Row],[T]]))/$A$4*18%*SQRT(SQRT(Table133[[#This Row],[T]])))</f>
        <v>#DIV/0!</v>
      </c>
      <c r="AK479" t="e">
        <f ca="1">Table133[[#This Row],[Call D1]]-Table133[[#This Row],[IV Calc C]]*SQRT(Table133[[#This Row],[T]])</f>
        <v>#DIV/0!</v>
      </c>
      <c r="AL479" t="e">
        <f ca="1">Table133[[#This Row],[Put D1]]-Table133[[#This Row],[IV Calc P]]*SQRT(Table133[[#This Row],[T]])</f>
        <v>#DIV/0!</v>
      </c>
      <c r="AM479" t="e">
        <f ca="1">EXP(-0.5*Table133[[#This Row],[Call D1]]^2)/SQRT(2*PI())</f>
        <v>#DIV/0!</v>
      </c>
      <c r="AN479" t="e">
        <f ca="1">EXP(-0.5*Table133[[#This Row],[Put D1]]^2)/SQRT(2*PI())</f>
        <v>#DIV/0!</v>
      </c>
      <c r="AO47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9">
        <f ca="1">((Table133[[#This Row],[call vanna]]+Table133[[#This Row],[put vanna]])*$A$4)</f>
        <v>0</v>
      </c>
      <c r="AR47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9" s="9" t="str" cm="1">
        <f t="array" ref="AT479">_xlfn.IFS(     $M$1="SPX","SPXW",     $M$1="RUT","RUTW",  $M$1="NDX","NDXP",   TRUE,$M$1 )</f>
        <v>SPXW</v>
      </c>
      <c r="AU479" s="2">
        <f t="shared" si="47"/>
        <v>6915</v>
      </c>
      <c r="AV479" t="str">
        <f t="shared" si="48"/>
        <v>000100</v>
      </c>
      <c r="AY47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9">
        <f>((Table133[[#This Row],[High C]]+Table133[[#This Row],[Low C]])/2)*Table133[[#This Row],[gammac]]*Table133[[#This Row],[Volume]]</f>
        <v>0</v>
      </c>
      <c r="BD479">
        <f>((Table133[[#This Row],[High P]]+Table133[[#This Row],[Low P]])/2)*Table133[[#This Row],[gammap]]*Table133[[#This Row],[Volume9]]*-1</f>
        <v>0</v>
      </c>
      <c r="BE479">
        <f>(Table133[[#This Row],[SgammaC]]+Table133[[#This Row],[SgammaP]])*$A$4*-100</f>
        <v>0</v>
      </c>
      <c r="BF479" s="78">
        <f>Table133[[#This Row],[DEXc]]+Table133[[#This Row],[DEXp]]</f>
        <v>0</v>
      </c>
      <c r="BG479">
        <f>IFERROR(Table133[[#This Row],[DeltaC]]*Table133[[#This Row],[Open.Int]]*$A$4,0)</f>
        <v>0</v>
      </c>
      <c r="BH479">
        <f>IFERROR(Table133[[#This Row],[DeltaP]]*Table133[[#This Row],[Open.Int8]]*$A$4,0)</f>
        <v>0</v>
      </c>
      <c r="BI47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9">
        <f ca="1">Table133[[#This Row],[charmc]]+Table133[[#This Row],[charmp]]</f>
        <v>0</v>
      </c>
      <c r="BL47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9" s="78">
        <f ca="1">Table133[[#This Row],[call helper]]+Table133[[#This Row],[put helper]]</f>
        <v>0</v>
      </c>
      <c r="BP479" t="str">
        <f>RTD("tos.rtd", , "STRIKE", "."&amp;Table133[[#This Row],[Ticker]]&amp;Table133[[#This Row],[Expiry]]&amp;""&amp;"C"&amp;Table133[[#This Row],[Spot]]+Table133[[#This Row],[step]])</f>
        <v>N/A</v>
      </c>
    </row>
    <row r="480" spans="1:68" x14ac:dyDescent="0.25">
      <c r="A480" s="14">
        <f t="shared" ref="A480:A543" ca="1" si="49">$Q$3</f>
        <v>-126.14810350076104</v>
      </c>
      <c r="C480" s="17"/>
      <c r="D480" t="str">
        <f>RTD("tos.rtd", , "OPEN_INT", "."&amp;Table133[[#This Row],[Ticker]]&amp;Table133[[#This Row],[Expiry]]&amp;""&amp;"C"&amp;Table133[[#This Row],[Spot]]+Table133[[#This Row],[step]])</f>
        <v>N/A</v>
      </c>
      <c r="E48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0" t="b">
        <f>IF(     ISNUMBER(Table133[[#This Row],[Strike]]),RTD("tos.rtd", , "DELTA", "."&amp;Table133[[#This Row],[Ticker]]&amp;Table133[[#This Row],[Expiry]]&amp;""&amp;"C"&amp;Table133[[#This Row],[Strike]]))</f>
        <v>0</v>
      </c>
      <c r="H480" s="17" cm="1">
        <f t="array" aca="1" ref="H480" ca="1">IndividualLegIVCore($A$4, Table133[[#This Row],[Strike]], 0.0411, Table133[[#This Row],[T]], ((Table133[[#This Row],[BIDC]]+Table133[[#This Row],[ASKC]])/2), TRUE)</f>
        <v>0.01</v>
      </c>
      <c r="I480" t="b">
        <f>IF(     ISNUMBER(Table133[[#This Row],[Strike]]),RTD("tos.rtd", , "BID", "."&amp;Table133[[#This Row],[Ticker]]&amp;Table133[[#This Row],[Expiry]]&amp;""&amp;"C"&amp;Table133[[#This Row],[Strike]]))</f>
        <v>0</v>
      </c>
      <c r="J480" t="b">
        <f>IF(     ISNUMBER(Table133[[#This Row],[Strike]]),RTD("tos.rtd", , "ASK", "."&amp;Table133[[#This Row],[Ticker]]&amp;Table133[[#This Row],[Expiry]]&amp;""&amp;"C"&amp;Table133[[#This Row],[Strike]]))</f>
        <v>0</v>
      </c>
      <c r="K480" s="17"/>
      <c r="M480" s="1">
        <f t="shared" ref="M480:M543" si="50">$Q$1</f>
        <v>0</v>
      </c>
      <c r="N480" t="b">
        <f t="shared" ref="N480:N543" si="51">IF(ISNUMBER($BP480), $BP480, FALSE)</f>
        <v>0</v>
      </c>
      <c r="P480" s="17" cm="1">
        <f t="array" aca="1" ref="P480" ca="1">IndividualLegIVCore($A$4, Table133[[#This Row],[Strike]], 0.0411, Table133[[#This Row],[T]], ((Table133[[#This Row],[BIDP]]+Table133[[#This Row],[ASKP]])/2), FALSE)</f>
        <v>0.01</v>
      </c>
      <c r="Q480" t="b">
        <f>IF(     ISNUMBER(Table133[[#This Row],[Strike]]),RTD("tos.rtd", , "BID", "."&amp;Table133[[#This Row],[Ticker]]&amp;Table133[[#This Row],[Expiry]]&amp;""&amp;"P"&amp;Table133[[#This Row],[Strike]]))</f>
        <v>0</v>
      </c>
      <c r="R480" t="b">
        <f>IF(     ISNUMBER(Table133[[#This Row],[Strike]]),RTD("tos.rtd", , "ASK", "."&amp;Table133[[#This Row],[Ticker]]&amp;Table133[[#This Row],[Expiry]]&amp;""&amp;"P"&amp;Table133[[#This Row],[Strike]]))</f>
        <v>0</v>
      </c>
      <c r="S480" s="17"/>
      <c r="T480" t="b">
        <f>IF(     ISNUMBER(Table133[[#This Row],[Strike]]),RTD("tos.rtd", , "OPEN_INT", "."&amp;Table133[[#This Row],[Ticker]]&amp;Table133[[#This Row],[Expiry]]&amp;""&amp;"P"&amp;Table133[[#This Row],[Strike]]))</f>
        <v>0</v>
      </c>
      <c r="U48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0" t="b">
        <f>IF(     ISNUMBER(Table133[[#This Row],[Strike]]),RTD("tos.rtd", , "DELTA", "."&amp;Table133[[#This Row],[Ticker]]&amp;Table133[[#This Row],[Expiry]]&amp;""&amp;"P"&amp;Table133[[#This Row],[Strike]]))</f>
        <v>0</v>
      </c>
      <c r="Y480" s="19">
        <f>-18* IF($M$1="NDX", 10, IF(OR($M$1="SPX", $M$1="RUT"), 2, 1))</f>
        <v>-36</v>
      </c>
      <c r="Z480">
        <f ca="1">IFERROR(Table133[[#This Row],[call gamma]]*(Table133[[#This Row],[Open.Int]])*$A$4^2,0)</f>
        <v>0</v>
      </c>
      <c r="AA480">
        <f ca="1">IFERROR(((Table133[[#This Row],[Open.Int8]])*Table133[[#This Row],[Put gamma]])*-1*$A$4^2,0)</f>
        <v>0</v>
      </c>
      <c r="AB480">
        <f ca="1">(Table133[[#This Row],[Call Gex]]+Table133[[#This Row],[Put Gex]])</f>
        <v>0</v>
      </c>
      <c r="AC480">
        <f ca="1">Table133[[#This Row],[put delta adj]]+Table133[[#This Row],[call delta adj]]</f>
        <v>0</v>
      </c>
      <c r="AD480">
        <f ca="1">Table133[[#This Row],[Put Gex]]*Table133[[#This Row],[DeltaP]]*-1</f>
        <v>0</v>
      </c>
      <c r="AE480">
        <f ca="1">Table133[[#This Row],[Call Gex]]*Table133[[#This Row],[DeltaC]]</f>
        <v>0</v>
      </c>
      <c r="AF480">
        <f>IF(Table133[[#This Row],[DeltaC]]-ABS(Table133[[#This Row],[DeltaP]])="0","0.01",Table133[[#This Row],[DeltaC]]-ABS(Table133[[#This Row],[DeltaP]]))</f>
        <v>0</v>
      </c>
      <c r="AG480" t="e">
        <f ca="1">((LN($A$4/Table133[[#This Row],[Strike]]) + (0.411 + 0.5 * Table133[[#This Row],[IV Calc P]]^2) *Table133[[#This Row],[T]])) / (Table133[[#This Row],[IV Calc P]] * SQRT(Table133[[#This Row],[T]]))</f>
        <v>#DIV/0!</v>
      </c>
      <c r="AH480" t="e">
        <f ca="1">(LN($A$4/Table133[[#This Row],[Strike]]) + (0.411-0 + 0.5 * Table133[[#This Row],[IV Calc C]]^2) *Table133[[#This Row],[T]]) / (Table133[[#This Row],[IV Calc C]] * SQRT(Table133[[#This Row],[T]]))</f>
        <v>#DIV/0!</v>
      </c>
      <c r="AI480" t="e">
        <f ca="1">(EXP(-(AG480^2)/2)/SQRT(2*PI())*EXP(0*SQRT(Table133[[#This Row],[T]]))/$A$4*18%*SQRT(SQRT(Table133[[#This Row],[T]])))</f>
        <v>#DIV/0!</v>
      </c>
      <c r="AJ480" t="e">
        <f ca="1">(EXP(-(AH480^2)/2)/SQRT(2*PI())*EXP(0*SQRT(Table133[[#This Row],[T]]))/$A$4*18%*SQRT(SQRT(Table133[[#This Row],[T]])))</f>
        <v>#DIV/0!</v>
      </c>
      <c r="AK480" t="e">
        <f ca="1">Table133[[#This Row],[Call D1]]-Table133[[#This Row],[IV Calc C]]*SQRT(Table133[[#This Row],[T]])</f>
        <v>#DIV/0!</v>
      </c>
      <c r="AL480" t="e">
        <f ca="1">Table133[[#This Row],[Put D1]]-Table133[[#This Row],[IV Calc P]]*SQRT(Table133[[#This Row],[T]])</f>
        <v>#DIV/0!</v>
      </c>
      <c r="AM480" t="e">
        <f ca="1">EXP(-0.5*Table133[[#This Row],[Call D1]]^2)/SQRT(2*PI())</f>
        <v>#DIV/0!</v>
      </c>
      <c r="AN480" t="e">
        <f ca="1">EXP(-0.5*Table133[[#This Row],[Put D1]]^2)/SQRT(2*PI())</f>
        <v>#DIV/0!</v>
      </c>
      <c r="AO48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0">
        <f ca="1">((Table133[[#This Row],[call vanna]]+Table133[[#This Row],[put vanna]])*$A$4)</f>
        <v>0</v>
      </c>
      <c r="AR48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0" s="9" t="str" cm="1">
        <f t="array" ref="AT480">_xlfn.IFS(     $M$1="SPX","SPXW",     $M$1="RUT","RUTW",  $M$1="NDX","NDXP",   TRUE,$M$1 )</f>
        <v>SPXW</v>
      </c>
      <c r="AU480" s="2">
        <f t="shared" ref="AU480:AU543" si="52">$N$1</f>
        <v>6915</v>
      </c>
      <c r="AV480" t="str">
        <f t="shared" ref="AV480:AV543" si="53">$Q$2</f>
        <v>000100</v>
      </c>
      <c r="AY48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0">
        <f>((Table133[[#This Row],[High C]]+Table133[[#This Row],[Low C]])/2)*Table133[[#This Row],[gammac]]*Table133[[#This Row],[Volume]]</f>
        <v>0</v>
      </c>
      <c r="BD480">
        <f>((Table133[[#This Row],[High P]]+Table133[[#This Row],[Low P]])/2)*Table133[[#This Row],[gammap]]*Table133[[#This Row],[Volume9]]*-1</f>
        <v>0</v>
      </c>
      <c r="BE480">
        <f>(Table133[[#This Row],[SgammaC]]+Table133[[#This Row],[SgammaP]])*$A$4*-100</f>
        <v>0</v>
      </c>
      <c r="BF480" s="78">
        <f>Table133[[#This Row],[DEXc]]+Table133[[#This Row],[DEXp]]</f>
        <v>0</v>
      </c>
      <c r="BG480">
        <f>IFERROR(Table133[[#This Row],[DeltaC]]*Table133[[#This Row],[Open.Int]]*$A$4,0)</f>
        <v>0</v>
      </c>
      <c r="BH480">
        <f>IFERROR(Table133[[#This Row],[DeltaP]]*Table133[[#This Row],[Open.Int8]]*$A$4,0)</f>
        <v>0</v>
      </c>
      <c r="BI48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0">
        <f ca="1">Table133[[#This Row],[charmc]]+Table133[[#This Row],[charmp]]</f>
        <v>0</v>
      </c>
      <c r="BL48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0" s="78">
        <f ca="1">Table133[[#This Row],[call helper]]+Table133[[#This Row],[put helper]]</f>
        <v>0</v>
      </c>
      <c r="BP480" t="str">
        <f>RTD("tos.rtd", , "STRIKE", "."&amp;Table133[[#This Row],[Ticker]]&amp;Table133[[#This Row],[Expiry]]&amp;""&amp;"C"&amp;Table133[[#This Row],[Spot]]+Table133[[#This Row],[step]])</f>
        <v>N/A</v>
      </c>
    </row>
    <row r="481" spans="1:68" x14ac:dyDescent="0.25">
      <c r="A481" s="14">
        <f t="shared" ca="1" si="49"/>
        <v>-126.14810350076104</v>
      </c>
      <c r="C481" s="17"/>
      <c r="D481" t="str">
        <f>RTD("tos.rtd", , "OPEN_INT", "."&amp;Table133[[#This Row],[Ticker]]&amp;Table133[[#This Row],[Expiry]]&amp;""&amp;"C"&amp;Table133[[#This Row],[Spot]]+Table133[[#This Row],[step]])</f>
        <v>N/A</v>
      </c>
      <c r="E48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1" t="b">
        <f>IF(     ISNUMBER(Table133[[#This Row],[Strike]]),RTD("tos.rtd", , "DELTA", "."&amp;Table133[[#This Row],[Ticker]]&amp;Table133[[#This Row],[Expiry]]&amp;""&amp;"C"&amp;Table133[[#This Row],[Strike]]))</f>
        <v>0</v>
      </c>
      <c r="H481" s="17" cm="1">
        <f t="array" aca="1" ref="H481" ca="1">IndividualLegIVCore($A$4, Table133[[#This Row],[Strike]], 0.0411, Table133[[#This Row],[T]], ((Table133[[#This Row],[BIDC]]+Table133[[#This Row],[ASKC]])/2), TRUE)</f>
        <v>0.01</v>
      </c>
      <c r="I481" t="b">
        <f>IF(     ISNUMBER(Table133[[#This Row],[Strike]]),RTD("tos.rtd", , "BID", "."&amp;Table133[[#This Row],[Ticker]]&amp;Table133[[#This Row],[Expiry]]&amp;""&amp;"C"&amp;Table133[[#This Row],[Strike]]))</f>
        <v>0</v>
      </c>
      <c r="J481" t="b">
        <f>IF(     ISNUMBER(Table133[[#This Row],[Strike]]),RTD("tos.rtd", , "ASK", "."&amp;Table133[[#This Row],[Ticker]]&amp;Table133[[#This Row],[Expiry]]&amp;""&amp;"C"&amp;Table133[[#This Row],[Strike]]))</f>
        <v>0</v>
      </c>
      <c r="K481" s="17"/>
      <c r="M481" s="1">
        <f t="shared" si="50"/>
        <v>0</v>
      </c>
      <c r="N481" t="b">
        <f t="shared" si="51"/>
        <v>0</v>
      </c>
      <c r="P481" s="17" cm="1">
        <f t="array" aca="1" ref="P481" ca="1">IndividualLegIVCore($A$4, Table133[[#This Row],[Strike]], 0.0411, Table133[[#This Row],[T]], ((Table133[[#This Row],[BIDP]]+Table133[[#This Row],[ASKP]])/2), FALSE)</f>
        <v>0.01</v>
      </c>
      <c r="Q481" t="b">
        <f>IF(     ISNUMBER(Table133[[#This Row],[Strike]]),RTD("tos.rtd", , "BID", "."&amp;Table133[[#This Row],[Ticker]]&amp;Table133[[#This Row],[Expiry]]&amp;""&amp;"P"&amp;Table133[[#This Row],[Strike]]))</f>
        <v>0</v>
      </c>
      <c r="R481" t="b">
        <f>IF(     ISNUMBER(Table133[[#This Row],[Strike]]),RTD("tos.rtd", , "ASK", "."&amp;Table133[[#This Row],[Ticker]]&amp;Table133[[#This Row],[Expiry]]&amp;""&amp;"P"&amp;Table133[[#This Row],[Strike]]))</f>
        <v>0</v>
      </c>
      <c r="S481" s="17"/>
      <c r="T481" t="b">
        <f>IF(     ISNUMBER(Table133[[#This Row],[Strike]]),RTD("tos.rtd", , "OPEN_INT", "."&amp;Table133[[#This Row],[Ticker]]&amp;Table133[[#This Row],[Expiry]]&amp;""&amp;"P"&amp;Table133[[#This Row],[Strike]]))</f>
        <v>0</v>
      </c>
      <c r="U48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1" t="b">
        <f>IF(     ISNUMBER(Table133[[#This Row],[Strike]]),RTD("tos.rtd", , "DELTA", "."&amp;Table133[[#This Row],[Ticker]]&amp;Table133[[#This Row],[Expiry]]&amp;""&amp;"P"&amp;Table133[[#This Row],[Strike]]))</f>
        <v>0</v>
      </c>
      <c r="Y481" s="19">
        <f>-17.5* IF($M$1="NDX", 10, IF(OR($M$1="SPX", $M$1="RUT"), 2, 1))</f>
        <v>-35</v>
      </c>
      <c r="Z481">
        <f ca="1">IFERROR(Table133[[#This Row],[call gamma]]*(Table133[[#This Row],[Open.Int]])*$A$4^2,0)</f>
        <v>0</v>
      </c>
      <c r="AA481">
        <f ca="1">IFERROR(((Table133[[#This Row],[Open.Int8]])*Table133[[#This Row],[Put gamma]])*-1*$A$4^2,0)</f>
        <v>0</v>
      </c>
      <c r="AB481">
        <f ca="1">(Table133[[#This Row],[Call Gex]]+Table133[[#This Row],[Put Gex]])</f>
        <v>0</v>
      </c>
      <c r="AC481">
        <f ca="1">Table133[[#This Row],[put delta adj]]+Table133[[#This Row],[call delta adj]]</f>
        <v>0</v>
      </c>
      <c r="AD481">
        <f ca="1">Table133[[#This Row],[Put Gex]]*Table133[[#This Row],[DeltaP]]*-1</f>
        <v>0</v>
      </c>
      <c r="AE481">
        <f ca="1">Table133[[#This Row],[Call Gex]]*Table133[[#This Row],[DeltaC]]</f>
        <v>0</v>
      </c>
      <c r="AF481">
        <f>IF(Table133[[#This Row],[DeltaC]]-ABS(Table133[[#This Row],[DeltaP]])="0","0.01",Table133[[#This Row],[DeltaC]]-ABS(Table133[[#This Row],[DeltaP]]))</f>
        <v>0</v>
      </c>
      <c r="AG481" t="e">
        <f ca="1">((LN($A$4/Table133[[#This Row],[Strike]]) + (0.411 + 0.5 * Table133[[#This Row],[IV Calc P]]^2) *Table133[[#This Row],[T]])) / (Table133[[#This Row],[IV Calc P]] * SQRT(Table133[[#This Row],[T]]))</f>
        <v>#DIV/0!</v>
      </c>
      <c r="AH481" t="e">
        <f ca="1">(LN($A$4/Table133[[#This Row],[Strike]]) + (0.411-0 + 0.5 * Table133[[#This Row],[IV Calc C]]^2) *Table133[[#This Row],[T]]) / (Table133[[#This Row],[IV Calc C]] * SQRT(Table133[[#This Row],[T]]))</f>
        <v>#DIV/0!</v>
      </c>
      <c r="AI481" t="e">
        <f ca="1">(EXP(-(AG481^2)/2)/SQRT(2*PI())*EXP(0*SQRT(Table133[[#This Row],[T]]))/$A$4*18%*SQRT(SQRT(Table133[[#This Row],[T]])))</f>
        <v>#DIV/0!</v>
      </c>
      <c r="AJ481" t="e">
        <f ca="1">(EXP(-(AH481^2)/2)/SQRT(2*PI())*EXP(0*SQRT(Table133[[#This Row],[T]]))/$A$4*18%*SQRT(SQRT(Table133[[#This Row],[T]])))</f>
        <v>#DIV/0!</v>
      </c>
      <c r="AK481" t="e">
        <f ca="1">Table133[[#This Row],[Call D1]]-Table133[[#This Row],[IV Calc C]]*SQRT(Table133[[#This Row],[T]])</f>
        <v>#DIV/0!</v>
      </c>
      <c r="AL481" t="e">
        <f ca="1">Table133[[#This Row],[Put D1]]-Table133[[#This Row],[IV Calc P]]*SQRT(Table133[[#This Row],[T]])</f>
        <v>#DIV/0!</v>
      </c>
      <c r="AM481" t="e">
        <f ca="1">EXP(-0.5*Table133[[#This Row],[Call D1]]^2)/SQRT(2*PI())</f>
        <v>#DIV/0!</v>
      </c>
      <c r="AN481" t="e">
        <f ca="1">EXP(-0.5*Table133[[#This Row],[Put D1]]^2)/SQRT(2*PI())</f>
        <v>#DIV/0!</v>
      </c>
      <c r="AO48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1">
        <f ca="1">((Table133[[#This Row],[call vanna]]+Table133[[#This Row],[put vanna]])*$A$4)</f>
        <v>0</v>
      </c>
      <c r="AR48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1" s="9" t="str" cm="1">
        <f t="array" ref="AT481">_xlfn.IFS(     $M$1="SPX","SPXW",     $M$1="RUT","RUTW",  $M$1="NDX","NDXP",   TRUE,$M$1 )</f>
        <v>SPXW</v>
      </c>
      <c r="AU481" s="2">
        <f t="shared" si="52"/>
        <v>6915</v>
      </c>
      <c r="AV481" t="str">
        <f t="shared" si="53"/>
        <v>000100</v>
      </c>
      <c r="AY48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1">
        <f>((Table133[[#This Row],[High C]]+Table133[[#This Row],[Low C]])/2)*Table133[[#This Row],[gammac]]*Table133[[#This Row],[Volume]]</f>
        <v>0</v>
      </c>
      <c r="BD481">
        <f>((Table133[[#This Row],[High P]]+Table133[[#This Row],[Low P]])/2)*Table133[[#This Row],[gammap]]*Table133[[#This Row],[Volume9]]*-1</f>
        <v>0</v>
      </c>
      <c r="BE481">
        <f>(Table133[[#This Row],[SgammaC]]+Table133[[#This Row],[SgammaP]])*$A$4*-100</f>
        <v>0</v>
      </c>
      <c r="BF481" s="78">
        <f>Table133[[#This Row],[DEXc]]+Table133[[#This Row],[DEXp]]</f>
        <v>0</v>
      </c>
      <c r="BG481">
        <f>IFERROR(Table133[[#This Row],[DeltaC]]*Table133[[#This Row],[Open.Int]]*$A$4,0)</f>
        <v>0</v>
      </c>
      <c r="BH481">
        <f>IFERROR(Table133[[#This Row],[DeltaP]]*Table133[[#This Row],[Open.Int8]]*$A$4,0)</f>
        <v>0</v>
      </c>
      <c r="BI48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1">
        <f ca="1">Table133[[#This Row],[charmc]]+Table133[[#This Row],[charmp]]</f>
        <v>0</v>
      </c>
      <c r="BL48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1" s="78">
        <f ca="1">Table133[[#This Row],[call helper]]+Table133[[#This Row],[put helper]]</f>
        <v>0</v>
      </c>
      <c r="BP481" t="str">
        <f>RTD("tos.rtd", , "STRIKE", "."&amp;Table133[[#This Row],[Ticker]]&amp;Table133[[#This Row],[Expiry]]&amp;""&amp;"C"&amp;Table133[[#This Row],[Spot]]+Table133[[#This Row],[step]])</f>
        <v>N/A</v>
      </c>
    </row>
    <row r="482" spans="1:68" x14ac:dyDescent="0.25">
      <c r="A482" s="14">
        <f t="shared" ca="1" si="49"/>
        <v>-126.14810350076104</v>
      </c>
      <c r="C482" s="17"/>
      <c r="D482" t="str">
        <f>RTD("tos.rtd", , "OPEN_INT", "."&amp;Table133[[#This Row],[Ticker]]&amp;Table133[[#This Row],[Expiry]]&amp;""&amp;"C"&amp;Table133[[#This Row],[Spot]]+Table133[[#This Row],[step]])</f>
        <v>N/A</v>
      </c>
      <c r="E48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2" t="b">
        <f>IF(     ISNUMBER(Table133[[#This Row],[Strike]]),RTD("tos.rtd", , "DELTA", "."&amp;Table133[[#This Row],[Ticker]]&amp;Table133[[#This Row],[Expiry]]&amp;""&amp;"C"&amp;Table133[[#This Row],[Strike]]))</f>
        <v>0</v>
      </c>
      <c r="H482" s="17" cm="1">
        <f t="array" aca="1" ref="H482" ca="1">IndividualLegIVCore($A$4, Table133[[#This Row],[Strike]], 0.0411, Table133[[#This Row],[T]], ((Table133[[#This Row],[BIDC]]+Table133[[#This Row],[ASKC]])/2), TRUE)</f>
        <v>0.01</v>
      </c>
      <c r="I482" t="b">
        <f>IF(     ISNUMBER(Table133[[#This Row],[Strike]]),RTD("tos.rtd", , "BID", "."&amp;Table133[[#This Row],[Ticker]]&amp;Table133[[#This Row],[Expiry]]&amp;""&amp;"C"&amp;Table133[[#This Row],[Strike]]))</f>
        <v>0</v>
      </c>
      <c r="J482" t="b">
        <f>IF(     ISNUMBER(Table133[[#This Row],[Strike]]),RTD("tos.rtd", , "ASK", "."&amp;Table133[[#This Row],[Ticker]]&amp;Table133[[#This Row],[Expiry]]&amp;""&amp;"C"&amp;Table133[[#This Row],[Strike]]))</f>
        <v>0</v>
      </c>
      <c r="K482" s="17"/>
      <c r="M482" s="1">
        <f t="shared" si="50"/>
        <v>0</v>
      </c>
      <c r="N482" t="b">
        <f t="shared" si="51"/>
        <v>0</v>
      </c>
      <c r="P482" s="17" cm="1">
        <f t="array" aca="1" ref="P482" ca="1">IndividualLegIVCore($A$4, Table133[[#This Row],[Strike]], 0.0411, Table133[[#This Row],[T]], ((Table133[[#This Row],[BIDP]]+Table133[[#This Row],[ASKP]])/2), FALSE)</f>
        <v>0.01</v>
      </c>
      <c r="Q482" t="b">
        <f>IF(     ISNUMBER(Table133[[#This Row],[Strike]]),RTD("tos.rtd", , "BID", "."&amp;Table133[[#This Row],[Ticker]]&amp;Table133[[#This Row],[Expiry]]&amp;""&amp;"P"&amp;Table133[[#This Row],[Strike]]))</f>
        <v>0</v>
      </c>
      <c r="R482" t="b">
        <f>IF(     ISNUMBER(Table133[[#This Row],[Strike]]),RTD("tos.rtd", , "ASK", "."&amp;Table133[[#This Row],[Ticker]]&amp;Table133[[#This Row],[Expiry]]&amp;""&amp;"P"&amp;Table133[[#This Row],[Strike]]))</f>
        <v>0</v>
      </c>
      <c r="S482" s="17"/>
      <c r="T482" t="b">
        <f>IF(     ISNUMBER(Table133[[#This Row],[Strike]]),RTD("tos.rtd", , "OPEN_INT", "."&amp;Table133[[#This Row],[Ticker]]&amp;Table133[[#This Row],[Expiry]]&amp;""&amp;"P"&amp;Table133[[#This Row],[Strike]]))</f>
        <v>0</v>
      </c>
      <c r="U48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2" t="b">
        <f>IF(     ISNUMBER(Table133[[#This Row],[Strike]]),RTD("tos.rtd", , "DELTA", "."&amp;Table133[[#This Row],[Ticker]]&amp;Table133[[#This Row],[Expiry]]&amp;""&amp;"P"&amp;Table133[[#This Row],[Strike]]))</f>
        <v>0</v>
      </c>
      <c r="Y482" s="19">
        <f>-17* IF($M$1="NDX", 10, IF(OR($M$1="SPX", $M$1="RUT"), 2, 1))</f>
        <v>-34</v>
      </c>
      <c r="Z482">
        <f ca="1">IFERROR(Table133[[#This Row],[call gamma]]*(Table133[[#This Row],[Open.Int]])*$A$4^2,0)</f>
        <v>0</v>
      </c>
      <c r="AA482">
        <f ca="1">IFERROR(((Table133[[#This Row],[Open.Int8]])*Table133[[#This Row],[Put gamma]])*-1*$A$4^2,0)</f>
        <v>0</v>
      </c>
      <c r="AB482">
        <f ca="1">(Table133[[#This Row],[Call Gex]]+Table133[[#This Row],[Put Gex]])</f>
        <v>0</v>
      </c>
      <c r="AC482">
        <f ca="1">Table133[[#This Row],[put delta adj]]+Table133[[#This Row],[call delta adj]]</f>
        <v>0</v>
      </c>
      <c r="AD482">
        <f ca="1">Table133[[#This Row],[Put Gex]]*Table133[[#This Row],[DeltaP]]*-1</f>
        <v>0</v>
      </c>
      <c r="AE482">
        <f ca="1">Table133[[#This Row],[Call Gex]]*Table133[[#This Row],[DeltaC]]</f>
        <v>0</v>
      </c>
      <c r="AF482">
        <f>IF(Table133[[#This Row],[DeltaC]]-ABS(Table133[[#This Row],[DeltaP]])="0","0.01",Table133[[#This Row],[DeltaC]]-ABS(Table133[[#This Row],[DeltaP]]))</f>
        <v>0</v>
      </c>
      <c r="AG482" t="e">
        <f ca="1">((LN($A$4/Table133[[#This Row],[Strike]]) + (0.411 + 0.5 * Table133[[#This Row],[IV Calc P]]^2) *Table133[[#This Row],[T]])) / (Table133[[#This Row],[IV Calc P]] * SQRT(Table133[[#This Row],[T]]))</f>
        <v>#DIV/0!</v>
      </c>
      <c r="AH482" t="e">
        <f ca="1">(LN($A$4/Table133[[#This Row],[Strike]]) + (0.411-0 + 0.5 * Table133[[#This Row],[IV Calc C]]^2) *Table133[[#This Row],[T]]) / (Table133[[#This Row],[IV Calc C]] * SQRT(Table133[[#This Row],[T]]))</f>
        <v>#DIV/0!</v>
      </c>
      <c r="AI482" t="e">
        <f ca="1">(EXP(-(AG482^2)/2)/SQRT(2*PI())*EXP(0*SQRT(Table133[[#This Row],[T]]))/$A$4*18%*SQRT(SQRT(Table133[[#This Row],[T]])))</f>
        <v>#DIV/0!</v>
      </c>
      <c r="AJ482" t="e">
        <f ca="1">(EXP(-(AH482^2)/2)/SQRT(2*PI())*EXP(0*SQRT(Table133[[#This Row],[T]]))/$A$4*18%*SQRT(SQRT(Table133[[#This Row],[T]])))</f>
        <v>#DIV/0!</v>
      </c>
      <c r="AK482" t="e">
        <f ca="1">Table133[[#This Row],[Call D1]]-Table133[[#This Row],[IV Calc C]]*SQRT(Table133[[#This Row],[T]])</f>
        <v>#DIV/0!</v>
      </c>
      <c r="AL482" t="e">
        <f ca="1">Table133[[#This Row],[Put D1]]-Table133[[#This Row],[IV Calc P]]*SQRT(Table133[[#This Row],[T]])</f>
        <v>#DIV/0!</v>
      </c>
      <c r="AM482" t="e">
        <f ca="1">EXP(-0.5*Table133[[#This Row],[Call D1]]^2)/SQRT(2*PI())</f>
        <v>#DIV/0!</v>
      </c>
      <c r="AN482" t="e">
        <f ca="1">EXP(-0.5*Table133[[#This Row],[Put D1]]^2)/SQRT(2*PI())</f>
        <v>#DIV/0!</v>
      </c>
      <c r="AO48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2">
        <f ca="1">((Table133[[#This Row],[call vanna]]+Table133[[#This Row],[put vanna]])*$A$4)</f>
        <v>0</v>
      </c>
      <c r="AR48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2" s="9" t="str" cm="1">
        <f t="array" ref="AT482">_xlfn.IFS(     $M$1="SPX","SPXW",     $M$1="RUT","RUTW",  $M$1="NDX","NDXP",   TRUE,$M$1 )</f>
        <v>SPXW</v>
      </c>
      <c r="AU482" s="2">
        <f t="shared" si="52"/>
        <v>6915</v>
      </c>
      <c r="AV482" t="str">
        <f t="shared" si="53"/>
        <v>000100</v>
      </c>
      <c r="AY48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2">
        <f>((Table133[[#This Row],[High C]]+Table133[[#This Row],[Low C]])/2)*Table133[[#This Row],[gammac]]*Table133[[#This Row],[Volume]]</f>
        <v>0</v>
      </c>
      <c r="BD482">
        <f>((Table133[[#This Row],[High P]]+Table133[[#This Row],[Low P]])/2)*Table133[[#This Row],[gammap]]*Table133[[#This Row],[Volume9]]*-1</f>
        <v>0</v>
      </c>
      <c r="BE482">
        <f>(Table133[[#This Row],[SgammaC]]+Table133[[#This Row],[SgammaP]])*$A$4*-100</f>
        <v>0</v>
      </c>
      <c r="BF482" s="78">
        <f>Table133[[#This Row],[DEXc]]+Table133[[#This Row],[DEXp]]</f>
        <v>0</v>
      </c>
      <c r="BG482">
        <f>IFERROR(Table133[[#This Row],[DeltaC]]*Table133[[#This Row],[Open.Int]]*$A$4,0)</f>
        <v>0</v>
      </c>
      <c r="BH482">
        <f>IFERROR(Table133[[#This Row],[DeltaP]]*Table133[[#This Row],[Open.Int8]]*$A$4,0)</f>
        <v>0</v>
      </c>
      <c r="BI48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2">
        <f ca="1">Table133[[#This Row],[charmc]]+Table133[[#This Row],[charmp]]</f>
        <v>0</v>
      </c>
      <c r="BL48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2" s="78">
        <f ca="1">Table133[[#This Row],[call helper]]+Table133[[#This Row],[put helper]]</f>
        <v>0</v>
      </c>
      <c r="BP482" t="str">
        <f>RTD("tos.rtd", , "STRIKE", "."&amp;Table133[[#This Row],[Ticker]]&amp;Table133[[#This Row],[Expiry]]&amp;""&amp;"C"&amp;Table133[[#This Row],[Spot]]+Table133[[#This Row],[step]])</f>
        <v>N/A</v>
      </c>
    </row>
    <row r="483" spans="1:68" x14ac:dyDescent="0.25">
      <c r="A483" s="14">
        <f t="shared" ca="1" si="49"/>
        <v>-126.14810350076104</v>
      </c>
      <c r="C483" s="17"/>
      <c r="D483" t="str">
        <f>RTD("tos.rtd", , "OPEN_INT", "."&amp;Table133[[#This Row],[Ticker]]&amp;Table133[[#This Row],[Expiry]]&amp;""&amp;"C"&amp;Table133[[#This Row],[Spot]]+Table133[[#This Row],[step]])</f>
        <v>N/A</v>
      </c>
      <c r="E48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3" t="b">
        <f>IF(     ISNUMBER(Table133[[#This Row],[Strike]]),RTD("tos.rtd", , "DELTA", "."&amp;Table133[[#This Row],[Ticker]]&amp;Table133[[#This Row],[Expiry]]&amp;""&amp;"C"&amp;Table133[[#This Row],[Strike]]))</f>
        <v>0</v>
      </c>
      <c r="H483" s="17" cm="1">
        <f t="array" aca="1" ref="H483" ca="1">IndividualLegIVCore($A$4, Table133[[#This Row],[Strike]], 0.0411, Table133[[#This Row],[T]], ((Table133[[#This Row],[BIDC]]+Table133[[#This Row],[ASKC]])/2), TRUE)</f>
        <v>0.01</v>
      </c>
      <c r="I483" t="b">
        <f>IF(     ISNUMBER(Table133[[#This Row],[Strike]]),RTD("tos.rtd", , "BID", "."&amp;Table133[[#This Row],[Ticker]]&amp;Table133[[#This Row],[Expiry]]&amp;""&amp;"C"&amp;Table133[[#This Row],[Strike]]))</f>
        <v>0</v>
      </c>
      <c r="J483" t="b">
        <f>IF(     ISNUMBER(Table133[[#This Row],[Strike]]),RTD("tos.rtd", , "ASK", "."&amp;Table133[[#This Row],[Ticker]]&amp;Table133[[#This Row],[Expiry]]&amp;""&amp;"C"&amp;Table133[[#This Row],[Strike]]))</f>
        <v>0</v>
      </c>
      <c r="K483" s="17"/>
      <c r="M483" s="1">
        <f t="shared" si="50"/>
        <v>0</v>
      </c>
      <c r="N483" t="b">
        <f t="shared" si="51"/>
        <v>0</v>
      </c>
      <c r="P483" s="17" cm="1">
        <f t="array" aca="1" ref="P483" ca="1">IndividualLegIVCore($A$4, Table133[[#This Row],[Strike]], 0.0411, Table133[[#This Row],[T]], ((Table133[[#This Row],[BIDP]]+Table133[[#This Row],[ASKP]])/2), FALSE)</f>
        <v>0.01</v>
      </c>
      <c r="Q483" t="b">
        <f>IF(     ISNUMBER(Table133[[#This Row],[Strike]]),RTD("tos.rtd", , "BID", "."&amp;Table133[[#This Row],[Ticker]]&amp;Table133[[#This Row],[Expiry]]&amp;""&amp;"P"&amp;Table133[[#This Row],[Strike]]))</f>
        <v>0</v>
      </c>
      <c r="R483" t="b">
        <f>IF(     ISNUMBER(Table133[[#This Row],[Strike]]),RTD("tos.rtd", , "ASK", "."&amp;Table133[[#This Row],[Ticker]]&amp;Table133[[#This Row],[Expiry]]&amp;""&amp;"P"&amp;Table133[[#This Row],[Strike]]))</f>
        <v>0</v>
      </c>
      <c r="S483" s="17"/>
      <c r="T483" t="b">
        <f>IF(     ISNUMBER(Table133[[#This Row],[Strike]]),RTD("tos.rtd", , "OPEN_INT", "."&amp;Table133[[#This Row],[Ticker]]&amp;Table133[[#This Row],[Expiry]]&amp;""&amp;"P"&amp;Table133[[#This Row],[Strike]]))</f>
        <v>0</v>
      </c>
      <c r="U48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3" t="b">
        <f>IF(     ISNUMBER(Table133[[#This Row],[Strike]]),RTD("tos.rtd", , "DELTA", "."&amp;Table133[[#This Row],[Ticker]]&amp;Table133[[#This Row],[Expiry]]&amp;""&amp;"P"&amp;Table133[[#This Row],[Strike]]))</f>
        <v>0</v>
      </c>
      <c r="Y483" s="19">
        <f>-16.5* IF($M$1="NDX", 10, IF(OR($M$1="SPX", $M$1="RUT"), 2, 1))</f>
        <v>-33</v>
      </c>
      <c r="Z483">
        <f ca="1">IFERROR(Table133[[#This Row],[call gamma]]*(Table133[[#This Row],[Open.Int]])*$A$4^2,0)</f>
        <v>0</v>
      </c>
      <c r="AA483">
        <f ca="1">IFERROR(((Table133[[#This Row],[Open.Int8]])*Table133[[#This Row],[Put gamma]])*-1*$A$4^2,0)</f>
        <v>0</v>
      </c>
      <c r="AB483">
        <f ca="1">(Table133[[#This Row],[Call Gex]]+Table133[[#This Row],[Put Gex]])</f>
        <v>0</v>
      </c>
      <c r="AC483">
        <f ca="1">Table133[[#This Row],[put delta adj]]+Table133[[#This Row],[call delta adj]]</f>
        <v>0</v>
      </c>
      <c r="AD483">
        <f ca="1">Table133[[#This Row],[Put Gex]]*Table133[[#This Row],[DeltaP]]*-1</f>
        <v>0</v>
      </c>
      <c r="AE483">
        <f ca="1">Table133[[#This Row],[Call Gex]]*Table133[[#This Row],[DeltaC]]</f>
        <v>0</v>
      </c>
      <c r="AF483">
        <f>IF(Table133[[#This Row],[DeltaC]]-ABS(Table133[[#This Row],[DeltaP]])="0","0.01",Table133[[#This Row],[DeltaC]]-ABS(Table133[[#This Row],[DeltaP]]))</f>
        <v>0</v>
      </c>
      <c r="AG483" t="e">
        <f ca="1">((LN($A$4/Table133[[#This Row],[Strike]]) + (0.411 + 0.5 * Table133[[#This Row],[IV Calc P]]^2) *Table133[[#This Row],[T]])) / (Table133[[#This Row],[IV Calc P]] * SQRT(Table133[[#This Row],[T]]))</f>
        <v>#DIV/0!</v>
      </c>
      <c r="AH483" t="e">
        <f ca="1">(LN($A$4/Table133[[#This Row],[Strike]]) + (0.411-0 + 0.5 * Table133[[#This Row],[IV Calc C]]^2) *Table133[[#This Row],[T]]) / (Table133[[#This Row],[IV Calc C]] * SQRT(Table133[[#This Row],[T]]))</f>
        <v>#DIV/0!</v>
      </c>
      <c r="AI483" t="e">
        <f ca="1">(EXP(-(AG483^2)/2)/SQRT(2*PI())*EXP(0*SQRT(Table133[[#This Row],[T]]))/$A$4*18%*SQRT(SQRT(Table133[[#This Row],[T]])))</f>
        <v>#DIV/0!</v>
      </c>
      <c r="AJ483" t="e">
        <f ca="1">(EXP(-(AH483^2)/2)/SQRT(2*PI())*EXP(0*SQRT(Table133[[#This Row],[T]]))/$A$4*18%*SQRT(SQRT(Table133[[#This Row],[T]])))</f>
        <v>#DIV/0!</v>
      </c>
      <c r="AK483" t="e">
        <f ca="1">Table133[[#This Row],[Call D1]]-Table133[[#This Row],[IV Calc C]]*SQRT(Table133[[#This Row],[T]])</f>
        <v>#DIV/0!</v>
      </c>
      <c r="AL483" t="e">
        <f ca="1">Table133[[#This Row],[Put D1]]-Table133[[#This Row],[IV Calc P]]*SQRT(Table133[[#This Row],[T]])</f>
        <v>#DIV/0!</v>
      </c>
      <c r="AM483" t="e">
        <f ca="1">EXP(-0.5*Table133[[#This Row],[Call D1]]^2)/SQRT(2*PI())</f>
        <v>#DIV/0!</v>
      </c>
      <c r="AN483" t="e">
        <f ca="1">EXP(-0.5*Table133[[#This Row],[Put D1]]^2)/SQRT(2*PI())</f>
        <v>#DIV/0!</v>
      </c>
      <c r="AO48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3">
        <f ca="1">((Table133[[#This Row],[call vanna]]+Table133[[#This Row],[put vanna]])*$A$4)</f>
        <v>0</v>
      </c>
      <c r="AR48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3" s="9" t="str" cm="1">
        <f t="array" ref="AT483">_xlfn.IFS(     $M$1="SPX","SPXW",     $M$1="RUT","RUTW",  $M$1="NDX","NDXP",   TRUE,$M$1 )</f>
        <v>SPXW</v>
      </c>
      <c r="AU483" s="2">
        <f t="shared" si="52"/>
        <v>6915</v>
      </c>
      <c r="AV483" t="str">
        <f t="shared" si="53"/>
        <v>000100</v>
      </c>
      <c r="AY48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3">
        <f>((Table133[[#This Row],[High C]]+Table133[[#This Row],[Low C]])/2)*Table133[[#This Row],[gammac]]*Table133[[#This Row],[Volume]]</f>
        <v>0</v>
      </c>
      <c r="BD483">
        <f>((Table133[[#This Row],[High P]]+Table133[[#This Row],[Low P]])/2)*Table133[[#This Row],[gammap]]*Table133[[#This Row],[Volume9]]*-1</f>
        <v>0</v>
      </c>
      <c r="BE483">
        <f>(Table133[[#This Row],[SgammaC]]+Table133[[#This Row],[SgammaP]])*$A$4*-100</f>
        <v>0</v>
      </c>
      <c r="BF483" s="78">
        <f>Table133[[#This Row],[DEXc]]+Table133[[#This Row],[DEXp]]</f>
        <v>0</v>
      </c>
      <c r="BG483">
        <f>IFERROR(Table133[[#This Row],[DeltaC]]*Table133[[#This Row],[Open.Int]]*$A$4,0)</f>
        <v>0</v>
      </c>
      <c r="BH483">
        <f>IFERROR(Table133[[#This Row],[DeltaP]]*Table133[[#This Row],[Open.Int8]]*$A$4,0)</f>
        <v>0</v>
      </c>
      <c r="BI48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3">
        <f ca="1">Table133[[#This Row],[charmc]]+Table133[[#This Row],[charmp]]</f>
        <v>0</v>
      </c>
      <c r="BL48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3" s="78">
        <f ca="1">Table133[[#This Row],[call helper]]+Table133[[#This Row],[put helper]]</f>
        <v>0</v>
      </c>
      <c r="BP483" t="str">
        <f>RTD("tos.rtd", , "STRIKE", "."&amp;Table133[[#This Row],[Ticker]]&amp;Table133[[#This Row],[Expiry]]&amp;""&amp;"C"&amp;Table133[[#This Row],[Spot]]+Table133[[#This Row],[step]])</f>
        <v>N/A</v>
      </c>
    </row>
    <row r="484" spans="1:68" x14ac:dyDescent="0.25">
      <c r="A484" s="14">
        <f t="shared" ca="1" si="49"/>
        <v>-126.14810350076104</v>
      </c>
      <c r="C484" s="17"/>
      <c r="D484" t="str">
        <f>RTD("tos.rtd", , "OPEN_INT", "."&amp;Table133[[#This Row],[Ticker]]&amp;Table133[[#This Row],[Expiry]]&amp;""&amp;"C"&amp;Table133[[#This Row],[Spot]]+Table133[[#This Row],[step]])</f>
        <v>N/A</v>
      </c>
      <c r="E48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4" t="b">
        <f>IF(     ISNUMBER(Table133[[#This Row],[Strike]]),RTD("tos.rtd", , "DELTA", "."&amp;Table133[[#This Row],[Ticker]]&amp;Table133[[#This Row],[Expiry]]&amp;""&amp;"C"&amp;Table133[[#This Row],[Strike]]))</f>
        <v>0</v>
      </c>
      <c r="H484" s="17" cm="1">
        <f t="array" aca="1" ref="H484" ca="1">IndividualLegIVCore($A$4, Table133[[#This Row],[Strike]], 0.0411, Table133[[#This Row],[T]], ((Table133[[#This Row],[BIDC]]+Table133[[#This Row],[ASKC]])/2), TRUE)</f>
        <v>0.01</v>
      </c>
      <c r="I484" t="b">
        <f>IF(     ISNUMBER(Table133[[#This Row],[Strike]]),RTD("tos.rtd", , "BID", "."&amp;Table133[[#This Row],[Ticker]]&amp;Table133[[#This Row],[Expiry]]&amp;""&amp;"C"&amp;Table133[[#This Row],[Strike]]))</f>
        <v>0</v>
      </c>
      <c r="J484" t="b">
        <f>IF(     ISNUMBER(Table133[[#This Row],[Strike]]),RTD("tos.rtd", , "ASK", "."&amp;Table133[[#This Row],[Ticker]]&amp;Table133[[#This Row],[Expiry]]&amp;""&amp;"C"&amp;Table133[[#This Row],[Strike]]))</f>
        <v>0</v>
      </c>
      <c r="K484" s="17"/>
      <c r="M484" s="1">
        <f t="shared" si="50"/>
        <v>0</v>
      </c>
      <c r="N484" t="b">
        <f t="shared" si="51"/>
        <v>0</v>
      </c>
      <c r="P484" s="17" cm="1">
        <f t="array" aca="1" ref="P484" ca="1">IndividualLegIVCore($A$4, Table133[[#This Row],[Strike]], 0.0411, Table133[[#This Row],[T]], ((Table133[[#This Row],[BIDP]]+Table133[[#This Row],[ASKP]])/2), FALSE)</f>
        <v>0.01</v>
      </c>
      <c r="Q484" t="b">
        <f>IF(     ISNUMBER(Table133[[#This Row],[Strike]]),RTD("tos.rtd", , "BID", "."&amp;Table133[[#This Row],[Ticker]]&amp;Table133[[#This Row],[Expiry]]&amp;""&amp;"P"&amp;Table133[[#This Row],[Strike]]))</f>
        <v>0</v>
      </c>
      <c r="R484" t="b">
        <f>IF(     ISNUMBER(Table133[[#This Row],[Strike]]),RTD("tos.rtd", , "ASK", "."&amp;Table133[[#This Row],[Ticker]]&amp;Table133[[#This Row],[Expiry]]&amp;""&amp;"P"&amp;Table133[[#This Row],[Strike]]))</f>
        <v>0</v>
      </c>
      <c r="S484" s="17"/>
      <c r="T484" t="b">
        <f>IF(     ISNUMBER(Table133[[#This Row],[Strike]]),RTD("tos.rtd", , "OPEN_INT", "."&amp;Table133[[#This Row],[Ticker]]&amp;Table133[[#This Row],[Expiry]]&amp;""&amp;"P"&amp;Table133[[#This Row],[Strike]]))</f>
        <v>0</v>
      </c>
      <c r="U48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4" t="b">
        <f>IF(     ISNUMBER(Table133[[#This Row],[Strike]]),RTD("tos.rtd", , "DELTA", "."&amp;Table133[[#This Row],[Ticker]]&amp;Table133[[#This Row],[Expiry]]&amp;""&amp;"P"&amp;Table133[[#This Row],[Strike]]))</f>
        <v>0</v>
      </c>
      <c r="Y484" s="19">
        <f>-16* IF($M$1="NDX", 10, IF(OR($M$1="SPX", $M$1="RUT"), 2, 1))</f>
        <v>-32</v>
      </c>
      <c r="Z484">
        <f ca="1">IFERROR(Table133[[#This Row],[call gamma]]*(Table133[[#This Row],[Open.Int]])*$A$4^2,0)</f>
        <v>0</v>
      </c>
      <c r="AA484">
        <f ca="1">IFERROR(((Table133[[#This Row],[Open.Int8]])*Table133[[#This Row],[Put gamma]])*-1*$A$4^2,0)</f>
        <v>0</v>
      </c>
      <c r="AB484">
        <f ca="1">(Table133[[#This Row],[Call Gex]]+Table133[[#This Row],[Put Gex]])</f>
        <v>0</v>
      </c>
      <c r="AC484">
        <f ca="1">Table133[[#This Row],[put delta adj]]+Table133[[#This Row],[call delta adj]]</f>
        <v>0</v>
      </c>
      <c r="AD484">
        <f ca="1">Table133[[#This Row],[Put Gex]]*Table133[[#This Row],[DeltaP]]*-1</f>
        <v>0</v>
      </c>
      <c r="AE484">
        <f ca="1">Table133[[#This Row],[Call Gex]]*Table133[[#This Row],[DeltaC]]</f>
        <v>0</v>
      </c>
      <c r="AF484">
        <f>IF(Table133[[#This Row],[DeltaC]]-ABS(Table133[[#This Row],[DeltaP]])="0","0.01",Table133[[#This Row],[DeltaC]]-ABS(Table133[[#This Row],[DeltaP]]))</f>
        <v>0</v>
      </c>
      <c r="AG484" t="e">
        <f ca="1">((LN($A$4/Table133[[#This Row],[Strike]]) + (0.411 + 0.5 * Table133[[#This Row],[IV Calc P]]^2) *Table133[[#This Row],[T]])) / (Table133[[#This Row],[IV Calc P]] * SQRT(Table133[[#This Row],[T]]))</f>
        <v>#DIV/0!</v>
      </c>
      <c r="AH484" t="e">
        <f ca="1">(LN($A$4/Table133[[#This Row],[Strike]]) + (0.411-0 + 0.5 * Table133[[#This Row],[IV Calc C]]^2) *Table133[[#This Row],[T]]) / (Table133[[#This Row],[IV Calc C]] * SQRT(Table133[[#This Row],[T]]))</f>
        <v>#DIV/0!</v>
      </c>
      <c r="AI484" t="e">
        <f ca="1">(EXP(-(AG484^2)/2)/SQRT(2*PI())*EXP(0*SQRT(Table133[[#This Row],[T]]))/$A$4*18%*SQRT(SQRT(Table133[[#This Row],[T]])))</f>
        <v>#DIV/0!</v>
      </c>
      <c r="AJ484" t="e">
        <f ca="1">(EXP(-(AH484^2)/2)/SQRT(2*PI())*EXP(0*SQRT(Table133[[#This Row],[T]]))/$A$4*18%*SQRT(SQRT(Table133[[#This Row],[T]])))</f>
        <v>#DIV/0!</v>
      </c>
      <c r="AK484" t="e">
        <f ca="1">Table133[[#This Row],[Call D1]]-Table133[[#This Row],[IV Calc C]]*SQRT(Table133[[#This Row],[T]])</f>
        <v>#DIV/0!</v>
      </c>
      <c r="AL484" t="e">
        <f ca="1">Table133[[#This Row],[Put D1]]-Table133[[#This Row],[IV Calc P]]*SQRT(Table133[[#This Row],[T]])</f>
        <v>#DIV/0!</v>
      </c>
      <c r="AM484" t="e">
        <f ca="1">EXP(-0.5*Table133[[#This Row],[Call D1]]^2)/SQRT(2*PI())</f>
        <v>#DIV/0!</v>
      </c>
      <c r="AN484" t="e">
        <f ca="1">EXP(-0.5*Table133[[#This Row],[Put D1]]^2)/SQRT(2*PI())</f>
        <v>#DIV/0!</v>
      </c>
      <c r="AO48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4">
        <f ca="1">((Table133[[#This Row],[call vanna]]+Table133[[#This Row],[put vanna]])*$A$4)</f>
        <v>0</v>
      </c>
      <c r="AR48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4" s="9" t="str" cm="1">
        <f t="array" ref="AT484">_xlfn.IFS(     $M$1="SPX","SPXW",     $M$1="RUT","RUTW",  $M$1="NDX","NDXP",   TRUE,$M$1 )</f>
        <v>SPXW</v>
      </c>
      <c r="AU484" s="2">
        <f t="shared" si="52"/>
        <v>6915</v>
      </c>
      <c r="AV484" t="str">
        <f t="shared" si="53"/>
        <v>000100</v>
      </c>
      <c r="AY48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4">
        <f>((Table133[[#This Row],[High C]]+Table133[[#This Row],[Low C]])/2)*Table133[[#This Row],[gammac]]*Table133[[#This Row],[Volume]]</f>
        <v>0</v>
      </c>
      <c r="BD484">
        <f>((Table133[[#This Row],[High P]]+Table133[[#This Row],[Low P]])/2)*Table133[[#This Row],[gammap]]*Table133[[#This Row],[Volume9]]*-1</f>
        <v>0</v>
      </c>
      <c r="BE484">
        <f>(Table133[[#This Row],[SgammaC]]+Table133[[#This Row],[SgammaP]])*$A$4*-100</f>
        <v>0</v>
      </c>
      <c r="BF484" s="78">
        <f>Table133[[#This Row],[DEXc]]+Table133[[#This Row],[DEXp]]</f>
        <v>0</v>
      </c>
      <c r="BG484">
        <f>IFERROR(Table133[[#This Row],[DeltaC]]*Table133[[#This Row],[Open.Int]]*$A$4,0)</f>
        <v>0</v>
      </c>
      <c r="BH484">
        <f>IFERROR(Table133[[#This Row],[DeltaP]]*Table133[[#This Row],[Open.Int8]]*$A$4,0)</f>
        <v>0</v>
      </c>
      <c r="BI48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4">
        <f ca="1">Table133[[#This Row],[charmc]]+Table133[[#This Row],[charmp]]</f>
        <v>0</v>
      </c>
      <c r="BL48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4" s="78">
        <f ca="1">Table133[[#This Row],[call helper]]+Table133[[#This Row],[put helper]]</f>
        <v>0</v>
      </c>
      <c r="BP484" t="str">
        <f>RTD("tos.rtd", , "STRIKE", "."&amp;Table133[[#This Row],[Ticker]]&amp;Table133[[#This Row],[Expiry]]&amp;""&amp;"C"&amp;Table133[[#This Row],[Spot]]+Table133[[#This Row],[step]])</f>
        <v>N/A</v>
      </c>
    </row>
    <row r="485" spans="1:68" x14ac:dyDescent="0.25">
      <c r="A485" s="14">
        <f t="shared" ca="1" si="49"/>
        <v>-126.14810350076104</v>
      </c>
      <c r="C485" s="17"/>
      <c r="D485" t="str">
        <f>RTD("tos.rtd", , "OPEN_INT", "."&amp;Table133[[#This Row],[Ticker]]&amp;Table133[[#This Row],[Expiry]]&amp;""&amp;"C"&amp;Table133[[#This Row],[Spot]]+Table133[[#This Row],[step]])</f>
        <v>N/A</v>
      </c>
      <c r="E48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5" t="b">
        <f>IF(     ISNUMBER(Table133[[#This Row],[Strike]]),RTD("tos.rtd", , "DELTA", "."&amp;Table133[[#This Row],[Ticker]]&amp;Table133[[#This Row],[Expiry]]&amp;""&amp;"C"&amp;Table133[[#This Row],[Strike]]))</f>
        <v>0</v>
      </c>
      <c r="H485" s="17" cm="1">
        <f t="array" aca="1" ref="H485" ca="1">IndividualLegIVCore($A$4, Table133[[#This Row],[Strike]], 0.0411, Table133[[#This Row],[T]], ((Table133[[#This Row],[BIDC]]+Table133[[#This Row],[ASKC]])/2), TRUE)</f>
        <v>0.01</v>
      </c>
      <c r="I485" t="b">
        <f>IF(     ISNUMBER(Table133[[#This Row],[Strike]]),RTD("tos.rtd", , "BID", "."&amp;Table133[[#This Row],[Ticker]]&amp;Table133[[#This Row],[Expiry]]&amp;""&amp;"C"&amp;Table133[[#This Row],[Strike]]))</f>
        <v>0</v>
      </c>
      <c r="J485" t="b">
        <f>IF(     ISNUMBER(Table133[[#This Row],[Strike]]),RTD("tos.rtd", , "ASK", "."&amp;Table133[[#This Row],[Ticker]]&amp;Table133[[#This Row],[Expiry]]&amp;""&amp;"C"&amp;Table133[[#This Row],[Strike]]))</f>
        <v>0</v>
      </c>
      <c r="K485" s="17"/>
      <c r="M485" s="1">
        <f t="shared" si="50"/>
        <v>0</v>
      </c>
      <c r="N485" t="b">
        <f t="shared" si="51"/>
        <v>0</v>
      </c>
      <c r="P485" s="17" cm="1">
        <f t="array" aca="1" ref="P485" ca="1">IndividualLegIVCore($A$4, Table133[[#This Row],[Strike]], 0.0411, Table133[[#This Row],[T]], ((Table133[[#This Row],[BIDP]]+Table133[[#This Row],[ASKP]])/2), FALSE)</f>
        <v>0.01</v>
      </c>
      <c r="Q485" t="b">
        <f>IF(     ISNUMBER(Table133[[#This Row],[Strike]]),RTD("tos.rtd", , "BID", "."&amp;Table133[[#This Row],[Ticker]]&amp;Table133[[#This Row],[Expiry]]&amp;""&amp;"P"&amp;Table133[[#This Row],[Strike]]))</f>
        <v>0</v>
      </c>
      <c r="R485" t="b">
        <f>IF(     ISNUMBER(Table133[[#This Row],[Strike]]),RTD("tos.rtd", , "ASK", "."&amp;Table133[[#This Row],[Ticker]]&amp;Table133[[#This Row],[Expiry]]&amp;""&amp;"P"&amp;Table133[[#This Row],[Strike]]))</f>
        <v>0</v>
      </c>
      <c r="S485" s="17"/>
      <c r="T485" t="b">
        <f>IF(     ISNUMBER(Table133[[#This Row],[Strike]]),RTD("tos.rtd", , "OPEN_INT", "."&amp;Table133[[#This Row],[Ticker]]&amp;Table133[[#This Row],[Expiry]]&amp;""&amp;"P"&amp;Table133[[#This Row],[Strike]]))</f>
        <v>0</v>
      </c>
      <c r="U48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5" t="b">
        <f>IF(     ISNUMBER(Table133[[#This Row],[Strike]]),RTD("tos.rtd", , "DELTA", "."&amp;Table133[[#This Row],[Ticker]]&amp;Table133[[#This Row],[Expiry]]&amp;""&amp;"P"&amp;Table133[[#This Row],[Strike]]))</f>
        <v>0</v>
      </c>
      <c r="Y485" s="21">
        <f>-15.5* IF($M$1="NDX", 10, IF(OR($M$1="SPX", $M$1="RUT"), 2, 1))</f>
        <v>-31</v>
      </c>
      <c r="Z485">
        <f ca="1">IFERROR(Table133[[#This Row],[call gamma]]*(Table133[[#This Row],[Open.Int]])*$A$4^2,0)</f>
        <v>0</v>
      </c>
      <c r="AA485">
        <f ca="1">IFERROR(((Table133[[#This Row],[Open.Int8]])*Table133[[#This Row],[Put gamma]])*-1*$A$4^2,0)</f>
        <v>0</v>
      </c>
      <c r="AB485">
        <f ca="1">(Table133[[#This Row],[Call Gex]]+Table133[[#This Row],[Put Gex]])</f>
        <v>0</v>
      </c>
      <c r="AC485">
        <f ca="1">Table133[[#This Row],[put delta adj]]+Table133[[#This Row],[call delta adj]]</f>
        <v>0</v>
      </c>
      <c r="AD485">
        <f ca="1">Table133[[#This Row],[Put Gex]]*Table133[[#This Row],[DeltaP]]*-1</f>
        <v>0</v>
      </c>
      <c r="AE485">
        <f ca="1">Table133[[#This Row],[Call Gex]]*Table133[[#This Row],[DeltaC]]</f>
        <v>0</v>
      </c>
      <c r="AF485">
        <f>IF(Table133[[#This Row],[DeltaC]]-ABS(Table133[[#This Row],[DeltaP]])="0","0.01",Table133[[#This Row],[DeltaC]]-ABS(Table133[[#This Row],[DeltaP]]))</f>
        <v>0</v>
      </c>
      <c r="AG485" t="e">
        <f ca="1">((LN($A$4/Table133[[#This Row],[Strike]]) + (0.411 + 0.5 * Table133[[#This Row],[IV Calc P]]^2) *Table133[[#This Row],[T]])) / (Table133[[#This Row],[IV Calc P]] * SQRT(Table133[[#This Row],[T]]))</f>
        <v>#DIV/0!</v>
      </c>
      <c r="AH485" t="e">
        <f ca="1">(LN($A$4/Table133[[#This Row],[Strike]]) + (0.411-0 + 0.5 * Table133[[#This Row],[IV Calc C]]^2) *Table133[[#This Row],[T]]) / (Table133[[#This Row],[IV Calc C]] * SQRT(Table133[[#This Row],[T]]))</f>
        <v>#DIV/0!</v>
      </c>
      <c r="AI485" t="e">
        <f ca="1">(EXP(-(AG485^2)/2)/SQRT(2*PI())*EXP(0*SQRT(Table133[[#This Row],[T]]))/$A$4*18%*SQRT(SQRT(Table133[[#This Row],[T]])))</f>
        <v>#DIV/0!</v>
      </c>
      <c r="AJ485" t="e">
        <f ca="1">(EXP(-(AH485^2)/2)/SQRT(2*PI())*EXP(0*SQRT(Table133[[#This Row],[T]]))/$A$4*18%*SQRT(SQRT(Table133[[#This Row],[T]])))</f>
        <v>#DIV/0!</v>
      </c>
      <c r="AK485" t="e">
        <f ca="1">Table133[[#This Row],[Call D1]]-Table133[[#This Row],[IV Calc C]]*SQRT(Table133[[#This Row],[T]])</f>
        <v>#DIV/0!</v>
      </c>
      <c r="AL485" t="e">
        <f ca="1">Table133[[#This Row],[Put D1]]-Table133[[#This Row],[IV Calc P]]*SQRT(Table133[[#This Row],[T]])</f>
        <v>#DIV/0!</v>
      </c>
      <c r="AM485" t="e">
        <f ca="1">EXP(-0.5*Table133[[#This Row],[Call D1]]^2)/SQRT(2*PI())</f>
        <v>#DIV/0!</v>
      </c>
      <c r="AN485" t="e">
        <f ca="1">EXP(-0.5*Table133[[#This Row],[Put D1]]^2)/SQRT(2*PI())</f>
        <v>#DIV/0!</v>
      </c>
      <c r="AO48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5">
        <f ca="1">((Table133[[#This Row],[call vanna]]+Table133[[#This Row],[put vanna]])*$A$4)</f>
        <v>0</v>
      </c>
      <c r="AR48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5" s="9" t="str" cm="1">
        <f t="array" ref="AT485">_xlfn.IFS(     $M$1="SPX","SPXW",     $M$1="RUT","RUTW",  $M$1="NDX","NDXP",   TRUE,$M$1 )</f>
        <v>SPXW</v>
      </c>
      <c r="AU485" s="2">
        <f t="shared" si="52"/>
        <v>6915</v>
      </c>
      <c r="AV485" t="str">
        <f t="shared" si="53"/>
        <v>000100</v>
      </c>
      <c r="AY48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5">
        <f>((Table133[[#This Row],[High C]]+Table133[[#This Row],[Low C]])/2)*Table133[[#This Row],[gammac]]*Table133[[#This Row],[Volume]]</f>
        <v>0</v>
      </c>
      <c r="BD485">
        <f>((Table133[[#This Row],[High P]]+Table133[[#This Row],[Low P]])/2)*Table133[[#This Row],[gammap]]*Table133[[#This Row],[Volume9]]*-1</f>
        <v>0</v>
      </c>
      <c r="BE485">
        <f>(Table133[[#This Row],[SgammaC]]+Table133[[#This Row],[SgammaP]])*$A$4*-100</f>
        <v>0</v>
      </c>
      <c r="BF485" s="78">
        <f>Table133[[#This Row],[DEXc]]+Table133[[#This Row],[DEXp]]</f>
        <v>0</v>
      </c>
      <c r="BG485">
        <f>IFERROR(Table133[[#This Row],[DeltaC]]*Table133[[#This Row],[Open.Int]]*$A$4,0)</f>
        <v>0</v>
      </c>
      <c r="BH485">
        <f>IFERROR(Table133[[#This Row],[DeltaP]]*Table133[[#This Row],[Open.Int8]]*$A$4,0)</f>
        <v>0</v>
      </c>
      <c r="BI48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5">
        <f ca="1">Table133[[#This Row],[charmc]]+Table133[[#This Row],[charmp]]</f>
        <v>0</v>
      </c>
      <c r="BL48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5" s="78">
        <f ca="1">Table133[[#This Row],[call helper]]+Table133[[#This Row],[put helper]]</f>
        <v>0</v>
      </c>
      <c r="BP485" t="str">
        <f>RTD("tos.rtd", , "STRIKE", "."&amp;Table133[[#This Row],[Ticker]]&amp;Table133[[#This Row],[Expiry]]&amp;""&amp;"C"&amp;Table133[[#This Row],[Spot]]+Table133[[#This Row],[step]])</f>
        <v>N/A</v>
      </c>
    </row>
    <row r="486" spans="1:68" x14ac:dyDescent="0.25">
      <c r="A486" s="14">
        <f t="shared" ca="1" si="49"/>
        <v>-126.14810350076104</v>
      </c>
      <c r="C486" s="17"/>
      <c r="D486" t="str">
        <f>RTD("tos.rtd", , "OPEN_INT", "."&amp;Table133[[#This Row],[Ticker]]&amp;Table133[[#This Row],[Expiry]]&amp;""&amp;"C"&amp;Table133[[#This Row],[Spot]]+Table133[[#This Row],[step]])</f>
        <v>N/A</v>
      </c>
      <c r="E48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6" t="b">
        <f>IF(     ISNUMBER(Table133[[#This Row],[Strike]]),RTD("tos.rtd", , "DELTA", "."&amp;Table133[[#This Row],[Ticker]]&amp;Table133[[#This Row],[Expiry]]&amp;""&amp;"C"&amp;Table133[[#This Row],[Strike]]))</f>
        <v>0</v>
      </c>
      <c r="H486" s="17" cm="1">
        <f t="array" aca="1" ref="H486" ca="1">IndividualLegIVCore($A$4, Table133[[#This Row],[Strike]], 0.0411, Table133[[#This Row],[T]], ((Table133[[#This Row],[BIDC]]+Table133[[#This Row],[ASKC]])/2), TRUE)</f>
        <v>0.01</v>
      </c>
      <c r="I486" t="b">
        <f>IF(     ISNUMBER(Table133[[#This Row],[Strike]]),RTD("tos.rtd", , "BID", "."&amp;Table133[[#This Row],[Ticker]]&amp;Table133[[#This Row],[Expiry]]&amp;""&amp;"C"&amp;Table133[[#This Row],[Strike]]))</f>
        <v>0</v>
      </c>
      <c r="J486" t="b">
        <f>IF(     ISNUMBER(Table133[[#This Row],[Strike]]),RTD("tos.rtd", , "ASK", "."&amp;Table133[[#This Row],[Ticker]]&amp;Table133[[#This Row],[Expiry]]&amp;""&amp;"C"&amp;Table133[[#This Row],[Strike]]))</f>
        <v>0</v>
      </c>
      <c r="K486" s="17"/>
      <c r="M486" s="1">
        <f t="shared" si="50"/>
        <v>0</v>
      </c>
      <c r="N486" t="b">
        <f t="shared" si="51"/>
        <v>0</v>
      </c>
      <c r="P486" s="17" cm="1">
        <f t="array" aca="1" ref="P486" ca="1">IndividualLegIVCore($A$4, Table133[[#This Row],[Strike]], 0.0411, Table133[[#This Row],[T]], ((Table133[[#This Row],[BIDP]]+Table133[[#This Row],[ASKP]])/2), FALSE)</f>
        <v>0.01</v>
      </c>
      <c r="Q486" t="b">
        <f>IF(     ISNUMBER(Table133[[#This Row],[Strike]]),RTD("tos.rtd", , "BID", "."&amp;Table133[[#This Row],[Ticker]]&amp;Table133[[#This Row],[Expiry]]&amp;""&amp;"P"&amp;Table133[[#This Row],[Strike]]))</f>
        <v>0</v>
      </c>
      <c r="R486" t="b">
        <f>IF(     ISNUMBER(Table133[[#This Row],[Strike]]),RTD("tos.rtd", , "ASK", "."&amp;Table133[[#This Row],[Ticker]]&amp;Table133[[#This Row],[Expiry]]&amp;""&amp;"P"&amp;Table133[[#This Row],[Strike]]))</f>
        <v>0</v>
      </c>
      <c r="S486" s="17"/>
      <c r="T486" t="b">
        <f>IF(     ISNUMBER(Table133[[#This Row],[Strike]]),RTD("tos.rtd", , "OPEN_INT", "."&amp;Table133[[#This Row],[Ticker]]&amp;Table133[[#This Row],[Expiry]]&amp;""&amp;"P"&amp;Table133[[#This Row],[Strike]]))</f>
        <v>0</v>
      </c>
      <c r="U48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6" t="b">
        <f>IF(     ISNUMBER(Table133[[#This Row],[Strike]]),RTD("tos.rtd", , "DELTA", "."&amp;Table133[[#This Row],[Ticker]]&amp;Table133[[#This Row],[Expiry]]&amp;""&amp;"P"&amp;Table133[[#This Row],[Strike]]))</f>
        <v>0</v>
      </c>
      <c r="Y486" s="19">
        <f>-15* IF($M$1="NDX", 10, IF(OR($M$1="SPX", $M$1="RUT"), 2, 1))</f>
        <v>-30</v>
      </c>
      <c r="Z486">
        <f ca="1">IFERROR(Table133[[#This Row],[call gamma]]*(Table133[[#This Row],[Open.Int]])*$A$4^2,0)</f>
        <v>0</v>
      </c>
      <c r="AA486">
        <f ca="1">IFERROR(((Table133[[#This Row],[Open.Int8]])*Table133[[#This Row],[Put gamma]])*-1*$A$4^2,0)</f>
        <v>0</v>
      </c>
      <c r="AB486">
        <f ca="1">(Table133[[#This Row],[Call Gex]]+Table133[[#This Row],[Put Gex]])</f>
        <v>0</v>
      </c>
      <c r="AC486">
        <f ca="1">Table133[[#This Row],[put delta adj]]+Table133[[#This Row],[call delta adj]]</f>
        <v>0</v>
      </c>
      <c r="AD486">
        <f ca="1">Table133[[#This Row],[Put Gex]]*Table133[[#This Row],[DeltaP]]*-1</f>
        <v>0</v>
      </c>
      <c r="AE486">
        <f ca="1">Table133[[#This Row],[Call Gex]]*Table133[[#This Row],[DeltaC]]</f>
        <v>0</v>
      </c>
      <c r="AF486">
        <f>IF(Table133[[#This Row],[DeltaC]]-ABS(Table133[[#This Row],[DeltaP]])="0","0.01",Table133[[#This Row],[DeltaC]]-ABS(Table133[[#This Row],[DeltaP]]))</f>
        <v>0</v>
      </c>
      <c r="AG486" t="e">
        <f ca="1">((LN($A$4/Table133[[#This Row],[Strike]]) + (0.411 + 0.5 * Table133[[#This Row],[IV Calc P]]^2) *Table133[[#This Row],[T]])) / (Table133[[#This Row],[IV Calc P]] * SQRT(Table133[[#This Row],[T]]))</f>
        <v>#DIV/0!</v>
      </c>
      <c r="AH486" t="e">
        <f ca="1">(LN($A$4/Table133[[#This Row],[Strike]]) + (0.411-0 + 0.5 * Table133[[#This Row],[IV Calc C]]^2) *Table133[[#This Row],[T]]) / (Table133[[#This Row],[IV Calc C]] * SQRT(Table133[[#This Row],[T]]))</f>
        <v>#DIV/0!</v>
      </c>
      <c r="AI486" t="e">
        <f ca="1">(EXP(-(AG486^2)/2)/SQRT(2*PI())*EXP(0*SQRT(Table133[[#This Row],[T]]))/$A$4*18%*SQRT(SQRT(Table133[[#This Row],[T]])))</f>
        <v>#DIV/0!</v>
      </c>
      <c r="AJ486" t="e">
        <f ca="1">(EXP(-(AH486^2)/2)/SQRT(2*PI())*EXP(0*SQRT(Table133[[#This Row],[T]]))/$A$4*18%*SQRT(SQRT(Table133[[#This Row],[T]])))</f>
        <v>#DIV/0!</v>
      </c>
      <c r="AK486" t="e">
        <f ca="1">Table133[[#This Row],[Call D1]]-Table133[[#This Row],[IV Calc C]]*SQRT(Table133[[#This Row],[T]])</f>
        <v>#DIV/0!</v>
      </c>
      <c r="AL486" t="e">
        <f ca="1">Table133[[#This Row],[Put D1]]-Table133[[#This Row],[IV Calc P]]*SQRT(Table133[[#This Row],[T]])</f>
        <v>#DIV/0!</v>
      </c>
      <c r="AM486" t="e">
        <f ca="1">EXP(-0.5*Table133[[#This Row],[Call D1]]^2)/SQRT(2*PI())</f>
        <v>#DIV/0!</v>
      </c>
      <c r="AN486" t="e">
        <f ca="1">EXP(-0.5*Table133[[#This Row],[Put D1]]^2)/SQRT(2*PI())</f>
        <v>#DIV/0!</v>
      </c>
      <c r="AO48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6">
        <f ca="1">((Table133[[#This Row],[call vanna]]+Table133[[#This Row],[put vanna]])*$A$4)</f>
        <v>0</v>
      </c>
      <c r="AR48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6" s="9" t="str" cm="1">
        <f t="array" ref="AT486">_xlfn.IFS(     $M$1="SPX","SPXW",     $M$1="RUT","RUTW",  $M$1="NDX","NDXP",   TRUE,$M$1 )</f>
        <v>SPXW</v>
      </c>
      <c r="AU486" s="2">
        <f t="shared" si="52"/>
        <v>6915</v>
      </c>
      <c r="AV486" t="str">
        <f t="shared" si="53"/>
        <v>000100</v>
      </c>
      <c r="AY48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6">
        <f>((Table133[[#This Row],[High C]]+Table133[[#This Row],[Low C]])/2)*Table133[[#This Row],[gammac]]*Table133[[#This Row],[Volume]]</f>
        <v>0</v>
      </c>
      <c r="BD486">
        <f>((Table133[[#This Row],[High P]]+Table133[[#This Row],[Low P]])/2)*Table133[[#This Row],[gammap]]*Table133[[#This Row],[Volume9]]*-1</f>
        <v>0</v>
      </c>
      <c r="BE486">
        <f>(Table133[[#This Row],[SgammaC]]+Table133[[#This Row],[SgammaP]])*$A$4*-100</f>
        <v>0</v>
      </c>
      <c r="BF486" s="78">
        <f>Table133[[#This Row],[DEXc]]+Table133[[#This Row],[DEXp]]</f>
        <v>0</v>
      </c>
      <c r="BG486">
        <f>IFERROR(Table133[[#This Row],[DeltaC]]*Table133[[#This Row],[Open.Int]]*$A$4,0)</f>
        <v>0</v>
      </c>
      <c r="BH486">
        <f>IFERROR(Table133[[#This Row],[DeltaP]]*Table133[[#This Row],[Open.Int8]]*$A$4,0)</f>
        <v>0</v>
      </c>
      <c r="BI48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6">
        <f ca="1">Table133[[#This Row],[charmc]]+Table133[[#This Row],[charmp]]</f>
        <v>0</v>
      </c>
      <c r="BL48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6" s="78">
        <f ca="1">Table133[[#This Row],[call helper]]+Table133[[#This Row],[put helper]]</f>
        <v>0</v>
      </c>
      <c r="BP486" t="str">
        <f>RTD("tos.rtd", , "STRIKE", "."&amp;Table133[[#This Row],[Ticker]]&amp;Table133[[#This Row],[Expiry]]&amp;""&amp;"C"&amp;Table133[[#This Row],[Spot]]+Table133[[#This Row],[step]])</f>
        <v>N/A</v>
      </c>
    </row>
    <row r="487" spans="1:68" x14ac:dyDescent="0.25">
      <c r="A487" s="24">
        <f t="shared" ca="1" si="49"/>
        <v>-126.14810350076104</v>
      </c>
      <c r="B487" s="13"/>
      <c r="C487" s="17"/>
      <c r="D487" t="str">
        <f>RTD("tos.rtd", , "OPEN_INT", "."&amp;Table133[[#This Row],[Ticker]]&amp;Table133[[#This Row],[Expiry]]&amp;""&amp;"C"&amp;Table133[[#This Row],[Spot]]+Table133[[#This Row],[step]])</f>
        <v>N/A</v>
      </c>
      <c r="E48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7" t="b">
        <f>IF(     ISNUMBER(Table133[[#This Row],[Strike]]),RTD("tos.rtd", , "DELTA", "."&amp;Table133[[#This Row],[Ticker]]&amp;Table133[[#This Row],[Expiry]]&amp;""&amp;"C"&amp;Table133[[#This Row],[Strike]]))</f>
        <v>0</v>
      </c>
      <c r="H487" s="17" cm="1">
        <f t="array" aca="1" ref="H487" ca="1">IndividualLegIVCore($A$4, Table133[[#This Row],[Strike]], 0.0411, Table133[[#This Row],[T]], ((Table133[[#This Row],[BIDC]]+Table133[[#This Row],[ASKC]])/2), TRUE)</f>
        <v>0.01</v>
      </c>
      <c r="I487" t="b">
        <f>IF(     ISNUMBER(Table133[[#This Row],[Strike]]),RTD("tos.rtd", , "BID", "."&amp;Table133[[#This Row],[Ticker]]&amp;Table133[[#This Row],[Expiry]]&amp;""&amp;"C"&amp;Table133[[#This Row],[Strike]]))</f>
        <v>0</v>
      </c>
      <c r="J487" t="b">
        <f>IF(     ISNUMBER(Table133[[#This Row],[Strike]]),RTD("tos.rtd", , "ASK", "."&amp;Table133[[#This Row],[Ticker]]&amp;Table133[[#This Row],[Expiry]]&amp;""&amp;"C"&amp;Table133[[#This Row],[Strike]]))</f>
        <v>0</v>
      </c>
      <c r="K487" s="17"/>
      <c r="M487" s="1">
        <f t="shared" si="50"/>
        <v>0</v>
      </c>
      <c r="N487" t="b">
        <f t="shared" si="51"/>
        <v>0</v>
      </c>
      <c r="P487" s="17" cm="1">
        <f t="array" aca="1" ref="P487" ca="1">IndividualLegIVCore($A$4, Table133[[#This Row],[Strike]], 0.0411, Table133[[#This Row],[T]], ((Table133[[#This Row],[BIDP]]+Table133[[#This Row],[ASKP]])/2), FALSE)</f>
        <v>0.01</v>
      </c>
      <c r="Q487" t="b">
        <f>IF(     ISNUMBER(Table133[[#This Row],[Strike]]),RTD("tos.rtd", , "BID", "."&amp;Table133[[#This Row],[Ticker]]&amp;Table133[[#This Row],[Expiry]]&amp;""&amp;"P"&amp;Table133[[#This Row],[Strike]]))</f>
        <v>0</v>
      </c>
      <c r="R487" t="b">
        <f>IF(     ISNUMBER(Table133[[#This Row],[Strike]]),RTD("tos.rtd", , "ASK", "."&amp;Table133[[#This Row],[Ticker]]&amp;Table133[[#This Row],[Expiry]]&amp;""&amp;"P"&amp;Table133[[#This Row],[Strike]]))</f>
        <v>0</v>
      </c>
      <c r="S487" s="17"/>
      <c r="T487" t="b">
        <f>IF(     ISNUMBER(Table133[[#This Row],[Strike]]),RTD("tos.rtd", , "OPEN_INT", "."&amp;Table133[[#This Row],[Ticker]]&amp;Table133[[#This Row],[Expiry]]&amp;""&amp;"P"&amp;Table133[[#This Row],[Strike]]))</f>
        <v>0</v>
      </c>
      <c r="U48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7" t="b">
        <f>IF(     ISNUMBER(Table133[[#This Row],[Strike]]),RTD("tos.rtd", , "DELTA", "."&amp;Table133[[#This Row],[Ticker]]&amp;Table133[[#This Row],[Expiry]]&amp;""&amp;"P"&amp;Table133[[#This Row],[Strike]]))</f>
        <v>0</v>
      </c>
      <c r="X487" s="13"/>
      <c r="Y487" s="19">
        <f>-14.5* IF($M$1="NDX", 10, IF(OR($M$1="SPX", $M$1="RUT"), 2, 1))</f>
        <v>-29</v>
      </c>
      <c r="Z487">
        <f ca="1">IFERROR(Table133[[#This Row],[call gamma]]*(Table133[[#This Row],[Open.Int]])*$A$4^2,0)</f>
        <v>0</v>
      </c>
      <c r="AA487">
        <f ca="1">IFERROR(((Table133[[#This Row],[Open.Int8]])*Table133[[#This Row],[Put gamma]])*-1*$A$4^2,0)</f>
        <v>0</v>
      </c>
      <c r="AB487">
        <f ca="1">(Table133[[#This Row],[Call Gex]]+Table133[[#This Row],[Put Gex]])</f>
        <v>0</v>
      </c>
      <c r="AC487">
        <f ca="1">Table133[[#This Row],[put delta adj]]+Table133[[#This Row],[call delta adj]]</f>
        <v>0</v>
      </c>
      <c r="AD487">
        <f ca="1">Table133[[#This Row],[Put Gex]]*Table133[[#This Row],[DeltaP]]*-1</f>
        <v>0</v>
      </c>
      <c r="AE487">
        <f ca="1">Table133[[#This Row],[Call Gex]]*Table133[[#This Row],[DeltaC]]</f>
        <v>0</v>
      </c>
      <c r="AF487">
        <f>IF(Table133[[#This Row],[DeltaC]]-ABS(Table133[[#This Row],[DeltaP]])="0","0.01",Table133[[#This Row],[DeltaC]]-ABS(Table133[[#This Row],[DeltaP]]))</f>
        <v>0</v>
      </c>
      <c r="AG487" t="e">
        <f ca="1">((LN($A$4/Table133[[#This Row],[Strike]]) + (0.411 + 0.5 * Table133[[#This Row],[IV Calc P]]^2) *Table133[[#This Row],[T]])) / (Table133[[#This Row],[IV Calc P]] * SQRT(Table133[[#This Row],[T]]))</f>
        <v>#DIV/0!</v>
      </c>
      <c r="AH487" t="e">
        <f ca="1">(LN($A$4/Table133[[#This Row],[Strike]]) + (0.411-0 + 0.5 * Table133[[#This Row],[IV Calc C]]^2) *Table133[[#This Row],[T]]) / (Table133[[#This Row],[IV Calc C]] * SQRT(Table133[[#This Row],[T]]))</f>
        <v>#DIV/0!</v>
      </c>
      <c r="AI487" t="e">
        <f ca="1">(EXP(-(AG487^2)/2)/SQRT(2*PI())*EXP(0*SQRT(Table133[[#This Row],[T]]))/$A$4*18%*SQRT(SQRT(Table133[[#This Row],[T]])))</f>
        <v>#DIV/0!</v>
      </c>
      <c r="AJ487" t="e">
        <f ca="1">(EXP(-(AH487^2)/2)/SQRT(2*PI())*EXP(0*SQRT(Table133[[#This Row],[T]]))/$A$4*18%*SQRT(SQRT(Table133[[#This Row],[T]])))</f>
        <v>#DIV/0!</v>
      </c>
      <c r="AK487" t="e">
        <f ca="1">Table133[[#This Row],[Call D1]]-Table133[[#This Row],[IV Calc C]]*SQRT(Table133[[#This Row],[T]])</f>
        <v>#DIV/0!</v>
      </c>
      <c r="AL487" t="e">
        <f ca="1">Table133[[#This Row],[Put D1]]-Table133[[#This Row],[IV Calc P]]*SQRT(Table133[[#This Row],[T]])</f>
        <v>#DIV/0!</v>
      </c>
      <c r="AM487" t="e">
        <f ca="1">EXP(-0.5*Table133[[#This Row],[Call D1]]^2)/SQRT(2*PI())</f>
        <v>#DIV/0!</v>
      </c>
      <c r="AN487" t="e">
        <f ca="1">EXP(-0.5*Table133[[#This Row],[Put D1]]^2)/SQRT(2*PI())</f>
        <v>#DIV/0!</v>
      </c>
      <c r="AO48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7">
        <f ca="1">((Table133[[#This Row],[call vanna]]+Table133[[#This Row],[put vanna]])*$A$4)</f>
        <v>0</v>
      </c>
      <c r="AR48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7" s="22" t="str" cm="1">
        <f t="array" ref="AT487">_xlfn.IFS(     $M$1="SPX","SPXW",     $M$1="RUT","RUTW",  $M$1="NDX","NDXP",   TRUE,$M$1 )</f>
        <v>SPXW</v>
      </c>
      <c r="AU487" s="2">
        <f t="shared" si="52"/>
        <v>6915</v>
      </c>
      <c r="AV487" t="str">
        <f t="shared" si="53"/>
        <v>000100</v>
      </c>
      <c r="AY48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7">
        <f>((Table133[[#This Row],[High C]]+Table133[[#This Row],[Low C]])/2)*Table133[[#This Row],[gammac]]*Table133[[#This Row],[Volume]]</f>
        <v>0</v>
      </c>
      <c r="BD487">
        <f>((Table133[[#This Row],[High P]]+Table133[[#This Row],[Low P]])/2)*Table133[[#This Row],[gammap]]*Table133[[#This Row],[Volume9]]*-1</f>
        <v>0</v>
      </c>
      <c r="BE487">
        <f>(Table133[[#This Row],[SgammaC]]+Table133[[#This Row],[SgammaP]])*$A$4*-100</f>
        <v>0</v>
      </c>
      <c r="BF487" s="78">
        <f>Table133[[#This Row],[DEXc]]+Table133[[#This Row],[DEXp]]</f>
        <v>0</v>
      </c>
      <c r="BG487">
        <f>IFERROR(Table133[[#This Row],[DeltaC]]*Table133[[#This Row],[Open.Int]]*$A$4,0)</f>
        <v>0</v>
      </c>
      <c r="BH487">
        <f>IFERROR(Table133[[#This Row],[DeltaP]]*Table133[[#This Row],[Open.Int8]]*$A$4,0)</f>
        <v>0</v>
      </c>
      <c r="BI48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7">
        <f ca="1">Table133[[#This Row],[charmc]]+Table133[[#This Row],[charmp]]</f>
        <v>0</v>
      </c>
      <c r="BL48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7" s="78">
        <f ca="1">Table133[[#This Row],[call helper]]+Table133[[#This Row],[put helper]]</f>
        <v>0</v>
      </c>
      <c r="BP487" t="str">
        <f>RTD("tos.rtd", , "STRIKE", "."&amp;Table133[[#This Row],[Ticker]]&amp;Table133[[#This Row],[Expiry]]&amp;""&amp;"C"&amp;Table133[[#This Row],[Spot]]+Table133[[#This Row],[step]])</f>
        <v>N/A</v>
      </c>
    </row>
    <row r="488" spans="1:68" x14ac:dyDescent="0.25">
      <c r="A488" s="14">
        <f t="shared" ca="1" si="49"/>
        <v>-126.14810350076104</v>
      </c>
      <c r="C488" s="17"/>
      <c r="D488" t="str">
        <f>RTD("tos.rtd", , "OPEN_INT", "."&amp;Table133[[#This Row],[Ticker]]&amp;Table133[[#This Row],[Expiry]]&amp;""&amp;"C"&amp;Table133[[#This Row],[Spot]]+Table133[[#This Row],[step]])</f>
        <v>N/A</v>
      </c>
      <c r="E48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8" t="b">
        <f>IF(     ISNUMBER(Table133[[#This Row],[Strike]]),RTD("tos.rtd", , "DELTA", "."&amp;Table133[[#This Row],[Ticker]]&amp;Table133[[#This Row],[Expiry]]&amp;""&amp;"C"&amp;Table133[[#This Row],[Strike]]))</f>
        <v>0</v>
      </c>
      <c r="H488" s="17" cm="1">
        <f t="array" aca="1" ref="H488" ca="1">IndividualLegIVCore($A$4, Table133[[#This Row],[Strike]], 0.0411, Table133[[#This Row],[T]], ((Table133[[#This Row],[BIDC]]+Table133[[#This Row],[ASKC]])/2), TRUE)</f>
        <v>0.01</v>
      </c>
      <c r="I488" t="b">
        <f>IF(     ISNUMBER(Table133[[#This Row],[Strike]]),RTD("tos.rtd", , "BID", "."&amp;Table133[[#This Row],[Ticker]]&amp;Table133[[#This Row],[Expiry]]&amp;""&amp;"C"&amp;Table133[[#This Row],[Strike]]))</f>
        <v>0</v>
      </c>
      <c r="J488" t="b">
        <f>IF(     ISNUMBER(Table133[[#This Row],[Strike]]),RTD("tos.rtd", , "ASK", "."&amp;Table133[[#This Row],[Ticker]]&amp;Table133[[#This Row],[Expiry]]&amp;""&amp;"C"&amp;Table133[[#This Row],[Strike]]))</f>
        <v>0</v>
      </c>
      <c r="K488" s="17"/>
      <c r="M488" s="1">
        <f t="shared" si="50"/>
        <v>0</v>
      </c>
      <c r="N488" t="b">
        <f t="shared" si="51"/>
        <v>0</v>
      </c>
      <c r="P488" s="17" cm="1">
        <f t="array" aca="1" ref="P488" ca="1">IndividualLegIVCore($A$4, Table133[[#This Row],[Strike]], 0.0411, Table133[[#This Row],[T]], ((Table133[[#This Row],[BIDP]]+Table133[[#This Row],[ASKP]])/2), FALSE)</f>
        <v>0.01</v>
      </c>
      <c r="Q488" t="b">
        <f>IF(     ISNUMBER(Table133[[#This Row],[Strike]]),RTD("tos.rtd", , "BID", "."&amp;Table133[[#This Row],[Ticker]]&amp;Table133[[#This Row],[Expiry]]&amp;""&amp;"P"&amp;Table133[[#This Row],[Strike]]))</f>
        <v>0</v>
      </c>
      <c r="R488" t="b">
        <f>IF(     ISNUMBER(Table133[[#This Row],[Strike]]),RTD("tos.rtd", , "ASK", "."&amp;Table133[[#This Row],[Ticker]]&amp;Table133[[#This Row],[Expiry]]&amp;""&amp;"P"&amp;Table133[[#This Row],[Strike]]))</f>
        <v>0</v>
      </c>
      <c r="S488" s="17"/>
      <c r="T488" t="b">
        <f>IF(     ISNUMBER(Table133[[#This Row],[Strike]]),RTD("tos.rtd", , "OPEN_INT", "."&amp;Table133[[#This Row],[Ticker]]&amp;Table133[[#This Row],[Expiry]]&amp;""&amp;"P"&amp;Table133[[#This Row],[Strike]]))</f>
        <v>0</v>
      </c>
      <c r="U48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8" t="b">
        <f>IF(     ISNUMBER(Table133[[#This Row],[Strike]]),RTD("tos.rtd", , "DELTA", "."&amp;Table133[[#This Row],[Ticker]]&amp;Table133[[#This Row],[Expiry]]&amp;""&amp;"P"&amp;Table133[[#This Row],[Strike]]))</f>
        <v>0</v>
      </c>
      <c r="Y488" s="19">
        <f>-14* IF($M$1="NDX", 10, IF(OR($M$1="SPX", $M$1="RUT"), 2, 1))</f>
        <v>-28</v>
      </c>
      <c r="Z488">
        <f ca="1">IFERROR(Table133[[#This Row],[call gamma]]*(Table133[[#This Row],[Open.Int]])*$A$4^2,0)</f>
        <v>0</v>
      </c>
      <c r="AA488">
        <f ca="1">IFERROR(((Table133[[#This Row],[Open.Int8]])*Table133[[#This Row],[Put gamma]])*-1*$A$4^2,0)</f>
        <v>0</v>
      </c>
      <c r="AB488">
        <f ca="1">(Table133[[#This Row],[Call Gex]]+Table133[[#This Row],[Put Gex]])</f>
        <v>0</v>
      </c>
      <c r="AC488">
        <f ca="1">Table133[[#This Row],[put delta adj]]+Table133[[#This Row],[call delta adj]]</f>
        <v>0</v>
      </c>
      <c r="AD488">
        <f ca="1">Table133[[#This Row],[Put Gex]]*Table133[[#This Row],[DeltaP]]*-1</f>
        <v>0</v>
      </c>
      <c r="AE488">
        <f ca="1">Table133[[#This Row],[Call Gex]]*Table133[[#This Row],[DeltaC]]</f>
        <v>0</v>
      </c>
      <c r="AF488">
        <f>IF(Table133[[#This Row],[DeltaC]]-ABS(Table133[[#This Row],[DeltaP]])="0","0.01",Table133[[#This Row],[DeltaC]]-ABS(Table133[[#This Row],[DeltaP]]))</f>
        <v>0</v>
      </c>
      <c r="AG488" t="e">
        <f ca="1">((LN($A$4/Table133[[#This Row],[Strike]]) + (0.411 + 0.5 * Table133[[#This Row],[IV Calc P]]^2) *Table133[[#This Row],[T]])) / (Table133[[#This Row],[IV Calc P]] * SQRT(Table133[[#This Row],[T]]))</f>
        <v>#DIV/0!</v>
      </c>
      <c r="AH488" t="e">
        <f ca="1">(LN($A$4/Table133[[#This Row],[Strike]]) + (0.411-0 + 0.5 * Table133[[#This Row],[IV Calc C]]^2) *Table133[[#This Row],[T]]) / (Table133[[#This Row],[IV Calc C]] * SQRT(Table133[[#This Row],[T]]))</f>
        <v>#DIV/0!</v>
      </c>
      <c r="AI488" t="e">
        <f ca="1">(EXP(-(AG488^2)/2)/SQRT(2*PI())*EXP(0*SQRT(Table133[[#This Row],[T]]))/$A$4*18%*SQRT(SQRT(Table133[[#This Row],[T]])))</f>
        <v>#DIV/0!</v>
      </c>
      <c r="AJ488" t="e">
        <f ca="1">(EXP(-(AH488^2)/2)/SQRT(2*PI())*EXP(0*SQRT(Table133[[#This Row],[T]]))/$A$4*18%*SQRT(SQRT(Table133[[#This Row],[T]])))</f>
        <v>#DIV/0!</v>
      </c>
      <c r="AK488" t="e">
        <f ca="1">Table133[[#This Row],[Call D1]]-Table133[[#This Row],[IV Calc C]]*SQRT(Table133[[#This Row],[T]])</f>
        <v>#DIV/0!</v>
      </c>
      <c r="AL488" t="e">
        <f ca="1">Table133[[#This Row],[Put D1]]-Table133[[#This Row],[IV Calc P]]*SQRT(Table133[[#This Row],[T]])</f>
        <v>#DIV/0!</v>
      </c>
      <c r="AM488" t="e">
        <f ca="1">EXP(-0.5*Table133[[#This Row],[Call D1]]^2)/SQRT(2*PI())</f>
        <v>#DIV/0!</v>
      </c>
      <c r="AN488" t="e">
        <f ca="1">EXP(-0.5*Table133[[#This Row],[Put D1]]^2)/SQRT(2*PI())</f>
        <v>#DIV/0!</v>
      </c>
      <c r="AO48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8">
        <f ca="1">((Table133[[#This Row],[call vanna]]+Table133[[#This Row],[put vanna]])*$A$4)</f>
        <v>0</v>
      </c>
      <c r="AR48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8" s="9" t="str" cm="1">
        <f t="array" ref="AT488">_xlfn.IFS(     $M$1="SPX","SPXW",     $M$1="RUT","RUTW",  $M$1="NDX","NDXP",   TRUE,$M$1 )</f>
        <v>SPXW</v>
      </c>
      <c r="AU488" s="2">
        <f t="shared" si="52"/>
        <v>6915</v>
      </c>
      <c r="AV488" t="str">
        <f t="shared" si="53"/>
        <v>000100</v>
      </c>
      <c r="AY48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8">
        <f>((Table133[[#This Row],[High C]]+Table133[[#This Row],[Low C]])/2)*Table133[[#This Row],[gammac]]*Table133[[#This Row],[Volume]]</f>
        <v>0</v>
      </c>
      <c r="BD488">
        <f>((Table133[[#This Row],[High P]]+Table133[[#This Row],[Low P]])/2)*Table133[[#This Row],[gammap]]*Table133[[#This Row],[Volume9]]*-1</f>
        <v>0</v>
      </c>
      <c r="BE488">
        <f>(Table133[[#This Row],[SgammaC]]+Table133[[#This Row],[SgammaP]])*$A$4*-100</f>
        <v>0</v>
      </c>
      <c r="BF488" s="78">
        <f>Table133[[#This Row],[DEXc]]+Table133[[#This Row],[DEXp]]</f>
        <v>0</v>
      </c>
      <c r="BG488">
        <f>IFERROR(Table133[[#This Row],[DeltaC]]*Table133[[#This Row],[Open.Int]]*$A$4,0)</f>
        <v>0</v>
      </c>
      <c r="BH488">
        <f>IFERROR(Table133[[#This Row],[DeltaP]]*Table133[[#This Row],[Open.Int8]]*$A$4,0)</f>
        <v>0</v>
      </c>
      <c r="BI48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8">
        <f ca="1">Table133[[#This Row],[charmc]]+Table133[[#This Row],[charmp]]</f>
        <v>0</v>
      </c>
      <c r="BL48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8" s="78">
        <f ca="1">Table133[[#This Row],[call helper]]+Table133[[#This Row],[put helper]]</f>
        <v>0</v>
      </c>
      <c r="BP488" t="str">
        <f>RTD("tos.rtd", , "STRIKE", "."&amp;Table133[[#This Row],[Ticker]]&amp;Table133[[#This Row],[Expiry]]&amp;""&amp;"C"&amp;Table133[[#This Row],[Spot]]+Table133[[#This Row],[step]])</f>
        <v>N/A</v>
      </c>
    </row>
    <row r="489" spans="1:68" x14ac:dyDescent="0.25">
      <c r="A489" s="14">
        <f t="shared" ca="1" si="49"/>
        <v>-126.14810350076104</v>
      </c>
      <c r="C489" s="17"/>
      <c r="D489" t="str">
        <f>RTD("tos.rtd", , "OPEN_INT", "."&amp;Table133[[#This Row],[Ticker]]&amp;Table133[[#This Row],[Expiry]]&amp;""&amp;"C"&amp;Table133[[#This Row],[Spot]]+Table133[[#This Row],[step]])</f>
        <v>N/A</v>
      </c>
      <c r="E48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9" t="b">
        <f>IF(     ISNUMBER(Table133[[#This Row],[Strike]]),RTD("tos.rtd", , "DELTA", "."&amp;Table133[[#This Row],[Ticker]]&amp;Table133[[#This Row],[Expiry]]&amp;""&amp;"C"&amp;Table133[[#This Row],[Strike]]))</f>
        <v>0</v>
      </c>
      <c r="H489" s="17" cm="1">
        <f t="array" aca="1" ref="H489" ca="1">IndividualLegIVCore($A$4, Table133[[#This Row],[Strike]], 0.0411, Table133[[#This Row],[T]], ((Table133[[#This Row],[BIDC]]+Table133[[#This Row],[ASKC]])/2), TRUE)</f>
        <v>0.01</v>
      </c>
      <c r="I489" t="b">
        <f>IF(     ISNUMBER(Table133[[#This Row],[Strike]]),RTD("tos.rtd", , "BID", "."&amp;Table133[[#This Row],[Ticker]]&amp;Table133[[#This Row],[Expiry]]&amp;""&amp;"C"&amp;Table133[[#This Row],[Strike]]))</f>
        <v>0</v>
      </c>
      <c r="J489" t="b">
        <f>IF(     ISNUMBER(Table133[[#This Row],[Strike]]),RTD("tos.rtd", , "ASK", "."&amp;Table133[[#This Row],[Ticker]]&amp;Table133[[#This Row],[Expiry]]&amp;""&amp;"C"&amp;Table133[[#This Row],[Strike]]))</f>
        <v>0</v>
      </c>
      <c r="K489" s="17"/>
      <c r="M489" s="1">
        <f t="shared" si="50"/>
        <v>0</v>
      </c>
      <c r="N489" t="b">
        <f t="shared" si="51"/>
        <v>0</v>
      </c>
      <c r="P489" s="17" cm="1">
        <f t="array" aca="1" ref="P489" ca="1">IndividualLegIVCore($A$4, Table133[[#This Row],[Strike]], 0.0411, Table133[[#This Row],[T]], ((Table133[[#This Row],[BIDP]]+Table133[[#This Row],[ASKP]])/2), FALSE)</f>
        <v>0.01</v>
      </c>
      <c r="Q489" t="b">
        <f>IF(     ISNUMBER(Table133[[#This Row],[Strike]]),RTD("tos.rtd", , "BID", "."&amp;Table133[[#This Row],[Ticker]]&amp;Table133[[#This Row],[Expiry]]&amp;""&amp;"P"&amp;Table133[[#This Row],[Strike]]))</f>
        <v>0</v>
      </c>
      <c r="R489" t="b">
        <f>IF(     ISNUMBER(Table133[[#This Row],[Strike]]),RTD("tos.rtd", , "ASK", "."&amp;Table133[[#This Row],[Ticker]]&amp;Table133[[#This Row],[Expiry]]&amp;""&amp;"P"&amp;Table133[[#This Row],[Strike]]))</f>
        <v>0</v>
      </c>
      <c r="S489" s="17"/>
      <c r="T489" t="b">
        <f>IF(     ISNUMBER(Table133[[#This Row],[Strike]]),RTD("tos.rtd", , "OPEN_INT", "."&amp;Table133[[#This Row],[Ticker]]&amp;Table133[[#This Row],[Expiry]]&amp;""&amp;"P"&amp;Table133[[#This Row],[Strike]]))</f>
        <v>0</v>
      </c>
      <c r="U48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9" t="b">
        <f>IF(     ISNUMBER(Table133[[#This Row],[Strike]]),RTD("tos.rtd", , "DELTA", "."&amp;Table133[[#This Row],[Ticker]]&amp;Table133[[#This Row],[Expiry]]&amp;""&amp;"P"&amp;Table133[[#This Row],[Strike]]))</f>
        <v>0</v>
      </c>
      <c r="Y489" s="19">
        <f>-13.5* IF($M$1="NDX", 10, IF(OR($M$1="SPX", $M$1="RUT"), 2, 1))</f>
        <v>-27</v>
      </c>
      <c r="Z489">
        <f ca="1">IFERROR(Table133[[#This Row],[call gamma]]*(Table133[[#This Row],[Open.Int]])*$A$4^2,0)</f>
        <v>0</v>
      </c>
      <c r="AA489">
        <f ca="1">IFERROR(((Table133[[#This Row],[Open.Int8]])*Table133[[#This Row],[Put gamma]])*-1*$A$4^2,0)</f>
        <v>0</v>
      </c>
      <c r="AB489">
        <f ca="1">(Table133[[#This Row],[Call Gex]]+Table133[[#This Row],[Put Gex]])</f>
        <v>0</v>
      </c>
      <c r="AC489">
        <f ca="1">Table133[[#This Row],[put delta adj]]+Table133[[#This Row],[call delta adj]]</f>
        <v>0</v>
      </c>
      <c r="AD489">
        <f ca="1">Table133[[#This Row],[Put Gex]]*Table133[[#This Row],[DeltaP]]*-1</f>
        <v>0</v>
      </c>
      <c r="AE489">
        <f ca="1">Table133[[#This Row],[Call Gex]]*Table133[[#This Row],[DeltaC]]</f>
        <v>0</v>
      </c>
      <c r="AF489">
        <f>IF(Table133[[#This Row],[DeltaC]]-ABS(Table133[[#This Row],[DeltaP]])="0","0.01",Table133[[#This Row],[DeltaC]]-ABS(Table133[[#This Row],[DeltaP]]))</f>
        <v>0</v>
      </c>
      <c r="AG489" t="e">
        <f ca="1">((LN($A$4/Table133[[#This Row],[Strike]]) + (0.411 + 0.5 * Table133[[#This Row],[IV Calc P]]^2) *Table133[[#This Row],[T]])) / (Table133[[#This Row],[IV Calc P]] * SQRT(Table133[[#This Row],[T]]))</f>
        <v>#DIV/0!</v>
      </c>
      <c r="AH489" t="e">
        <f ca="1">(LN($A$4/Table133[[#This Row],[Strike]]) + (0.411-0 + 0.5 * Table133[[#This Row],[IV Calc C]]^2) *Table133[[#This Row],[T]]) / (Table133[[#This Row],[IV Calc C]] * SQRT(Table133[[#This Row],[T]]))</f>
        <v>#DIV/0!</v>
      </c>
      <c r="AI489" t="e">
        <f ca="1">(EXP(-(AG489^2)/2)/SQRT(2*PI())*EXP(0*SQRT(Table133[[#This Row],[T]]))/$A$4*18%*SQRT(SQRT(Table133[[#This Row],[T]])))</f>
        <v>#DIV/0!</v>
      </c>
      <c r="AJ489" t="e">
        <f ca="1">(EXP(-(AH489^2)/2)/SQRT(2*PI())*EXP(0*SQRT(Table133[[#This Row],[T]]))/$A$4*18%*SQRT(SQRT(Table133[[#This Row],[T]])))</f>
        <v>#DIV/0!</v>
      </c>
      <c r="AK489" t="e">
        <f ca="1">Table133[[#This Row],[Call D1]]-Table133[[#This Row],[IV Calc C]]*SQRT(Table133[[#This Row],[T]])</f>
        <v>#DIV/0!</v>
      </c>
      <c r="AL489" t="e">
        <f ca="1">Table133[[#This Row],[Put D1]]-Table133[[#This Row],[IV Calc P]]*SQRT(Table133[[#This Row],[T]])</f>
        <v>#DIV/0!</v>
      </c>
      <c r="AM489" t="e">
        <f ca="1">EXP(-0.5*Table133[[#This Row],[Call D1]]^2)/SQRT(2*PI())</f>
        <v>#DIV/0!</v>
      </c>
      <c r="AN489" t="e">
        <f ca="1">EXP(-0.5*Table133[[#This Row],[Put D1]]^2)/SQRT(2*PI())</f>
        <v>#DIV/0!</v>
      </c>
      <c r="AO48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9">
        <f ca="1">((Table133[[#This Row],[call vanna]]+Table133[[#This Row],[put vanna]])*$A$4)</f>
        <v>0</v>
      </c>
      <c r="AR48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9" s="9" t="str" cm="1">
        <f t="array" ref="AT489">_xlfn.IFS(     $M$1="SPX","SPXW",     $M$1="RUT","RUTW",  $M$1="NDX","NDXP",   TRUE,$M$1 )</f>
        <v>SPXW</v>
      </c>
      <c r="AU489" s="2">
        <f t="shared" si="52"/>
        <v>6915</v>
      </c>
      <c r="AV489" t="str">
        <f t="shared" si="53"/>
        <v>000100</v>
      </c>
      <c r="AY48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9">
        <f>((Table133[[#This Row],[High C]]+Table133[[#This Row],[Low C]])/2)*Table133[[#This Row],[gammac]]*Table133[[#This Row],[Volume]]</f>
        <v>0</v>
      </c>
      <c r="BD489">
        <f>((Table133[[#This Row],[High P]]+Table133[[#This Row],[Low P]])/2)*Table133[[#This Row],[gammap]]*Table133[[#This Row],[Volume9]]*-1</f>
        <v>0</v>
      </c>
      <c r="BE489">
        <f>(Table133[[#This Row],[SgammaC]]+Table133[[#This Row],[SgammaP]])*$A$4*-100</f>
        <v>0</v>
      </c>
      <c r="BF489" s="78">
        <f>Table133[[#This Row],[DEXc]]+Table133[[#This Row],[DEXp]]</f>
        <v>0</v>
      </c>
      <c r="BG489">
        <f>IFERROR(Table133[[#This Row],[DeltaC]]*Table133[[#This Row],[Open.Int]]*$A$4,0)</f>
        <v>0</v>
      </c>
      <c r="BH489">
        <f>IFERROR(Table133[[#This Row],[DeltaP]]*Table133[[#This Row],[Open.Int8]]*$A$4,0)</f>
        <v>0</v>
      </c>
      <c r="BI48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9">
        <f ca="1">Table133[[#This Row],[charmc]]+Table133[[#This Row],[charmp]]</f>
        <v>0</v>
      </c>
      <c r="BL48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9" s="78">
        <f ca="1">Table133[[#This Row],[call helper]]+Table133[[#This Row],[put helper]]</f>
        <v>0</v>
      </c>
      <c r="BP489" t="str">
        <f>RTD("tos.rtd", , "STRIKE", "."&amp;Table133[[#This Row],[Ticker]]&amp;Table133[[#This Row],[Expiry]]&amp;""&amp;"C"&amp;Table133[[#This Row],[Spot]]+Table133[[#This Row],[step]])</f>
        <v>N/A</v>
      </c>
    </row>
    <row r="490" spans="1:68" x14ac:dyDescent="0.25">
      <c r="A490" s="14">
        <f t="shared" ca="1" si="49"/>
        <v>-126.14810350076104</v>
      </c>
      <c r="C490" s="17"/>
      <c r="D490" t="str">
        <f>RTD("tos.rtd", , "OPEN_INT", "."&amp;Table133[[#This Row],[Ticker]]&amp;Table133[[#This Row],[Expiry]]&amp;""&amp;"C"&amp;Table133[[#This Row],[Spot]]+Table133[[#This Row],[step]])</f>
        <v>N/A</v>
      </c>
      <c r="E49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0" t="b">
        <f>IF(     ISNUMBER(Table133[[#This Row],[Strike]]),RTD("tos.rtd", , "DELTA", "."&amp;Table133[[#This Row],[Ticker]]&amp;Table133[[#This Row],[Expiry]]&amp;""&amp;"C"&amp;Table133[[#This Row],[Strike]]))</f>
        <v>0</v>
      </c>
      <c r="H490" s="17" cm="1">
        <f t="array" aca="1" ref="H490" ca="1">IndividualLegIVCore($A$4, Table133[[#This Row],[Strike]], 0.0411, Table133[[#This Row],[T]], ((Table133[[#This Row],[BIDC]]+Table133[[#This Row],[ASKC]])/2), TRUE)</f>
        <v>0.01</v>
      </c>
      <c r="I490" t="b">
        <f>IF(     ISNUMBER(Table133[[#This Row],[Strike]]),RTD("tos.rtd", , "BID", "."&amp;Table133[[#This Row],[Ticker]]&amp;Table133[[#This Row],[Expiry]]&amp;""&amp;"C"&amp;Table133[[#This Row],[Strike]]))</f>
        <v>0</v>
      </c>
      <c r="J490" t="b">
        <f>IF(     ISNUMBER(Table133[[#This Row],[Strike]]),RTD("tos.rtd", , "ASK", "."&amp;Table133[[#This Row],[Ticker]]&amp;Table133[[#This Row],[Expiry]]&amp;""&amp;"C"&amp;Table133[[#This Row],[Strike]]))</f>
        <v>0</v>
      </c>
      <c r="K490" s="17"/>
      <c r="M490" s="1">
        <f t="shared" si="50"/>
        <v>0</v>
      </c>
      <c r="N490" t="b">
        <f t="shared" si="51"/>
        <v>0</v>
      </c>
      <c r="P490" s="17" cm="1">
        <f t="array" aca="1" ref="P490" ca="1">IndividualLegIVCore($A$4, Table133[[#This Row],[Strike]], 0.0411, Table133[[#This Row],[T]], ((Table133[[#This Row],[BIDP]]+Table133[[#This Row],[ASKP]])/2), FALSE)</f>
        <v>0.01</v>
      </c>
      <c r="Q490" t="b">
        <f>IF(     ISNUMBER(Table133[[#This Row],[Strike]]),RTD("tos.rtd", , "BID", "."&amp;Table133[[#This Row],[Ticker]]&amp;Table133[[#This Row],[Expiry]]&amp;""&amp;"P"&amp;Table133[[#This Row],[Strike]]))</f>
        <v>0</v>
      </c>
      <c r="R490" t="b">
        <f>IF(     ISNUMBER(Table133[[#This Row],[Strike]]),RTD("tos.rtd", , "ASK", "."&amp;Table133[[#This Row],[Ticker]]&amp;Table133[[#This Row],[Expiry]]&amp;""&amp;"P"&amp;Table133[[#This Row],[Strike]]))</f>
        <v>0</v>
      </c>
      <c r="S490" s="17"/>
      <c r="T490" t="b">
        <f>IF(     ISNUMBER(Table133[[#This Row],[Strike]]),RTD("tos.rtd", , "OPEN_INT", "."&amp;Table133[[#This Row],[Ticker]]&amp;Table133[[#This Row],[Expiry]]&amp;""&amp;"P"&amp;Table133[[#This Row],[Strike]]))</f>
        <v>0</v>
      </c>
      <c r="U49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0" t="b">
        <f>IF(     ISNUMBER(Table133[[#This Row],[Strike]]),RTD("tos.rtd", , "DELTA", "."&amp;Table133[[#This Row],[Ticker]]&amp;Table133[[#This Row],[Expiry]]&amp;""&amp;"P"&amp;Table133[[#This Row],[Strike]]))</f>
        <v>0</v>
      </c>
      <c r="Y490" s="19">
        <f>-13* IF($M$1="NDX", 10, IF(OR($M$1="SPX", $M$1="RUT"), 2, 1))</f>
        <v>-26</v>
      </c>
      <c r="Z490">
        <f ca="1">IFERROR(Table133[[#This Row],[call gamma]]*(Table133[[#This Row],[Open.Int]])*$A$4^2,0)</f>
        <v>0</v>
      </c>
      <c r="AA490">
        <f ca="1">IFERROR(((Table133[[#This Row],[Open.Int8]])*Table133[[#This Row],[Put gamma]])*-1*$A$4^2,0)</f>
        <v>0</v>
      </c>
      <c r="AB490">
        <f ca="1">(Table133[[#This Row],[Call Gex]]+Table133[[#This Row],[Put Gex]])</f>
        <v>0</v>
      </c>
      <c r="AC490">
        <f ca="1">Table133[[#This Row],[put delta adj]]+Table133[[#This Row],[call delta adj]]</f>
        <v>0</v>
      </c>
      <c r="AD490">
        <f ca="1">Table133[[#This Row],[Put Gex]]*Table133[[#This Row],[DeltaP]]*-1</f>
        <v>0</v>
      </c>
      <c r="AE490">
        <f ca="1">Table133[[#This Row],[Call Gex]]*Table133[[#This Row],[DeltaC]]</f>
        <v>0</v>
      </c>
      <c r="AF490">
        <f>IF(Table133[[#This Row],[DeltaC]]-ABS(Table133[[#This Row],[DeltaP]])="0","0.01",Table133[[#This Row],[DeltaC]]-ABS(Table133[[#This Row],[DeltaP]]))</f>
        <v>0</v>
      </c>
      <c r="AG490" t="e">
        <f ca="1">((LN($A$4/Table133[[#This Row],[Strike]]) + (0.411 + 0.5 * Table133[[#This Row],[IV Calc P]]^2) *Table133[[#This Row],[T]])) / (Table133[[#This Row],[IV Calc P]] * SQRT(Table133[[#This Row],[T]]))</f>
        <v>#DIV/0!</v>
      </c>
      <c r="AH490" t="e">
        <f ca="1">(LN($A$4/Table133[[#This Row],[Strike]]) + (0.411-0 + 0.5 * Table133[[#This Row],[IV Calc C]]^2) *Table133[[#This Row],[T]]) / (Table133[[#This Row],[IV Calc C]] * SQRT(Table133[[#This Row],[T]]))</f>
        <v>#DIV/0!</v>
      </c>
      <c r="AI490" t="e">
        <f ca="1">(EXP(-(AG490^2)/2)/SQRT(2*PI())*EXP(0*SQRT(Table133[[#This Row],[T]]))/$A$4*18%*SQRT(SQRT(Table133[[#This Row],[T]])))</f>
        <v>#DIV/0!</v>
      </c>
      <c r="AJ490" t="e">
        <f ca="1">(EXP(-(AH490^2)/2)/SQRT(2*PI())*EXP(0*SQRT(Table133[[#This Row],[T]]))/$A$4*18%*SQRT(SQRT(Table133[[#This Row],[T]])))</f>
        <v>#DIV/0!</v>
      </c>
      <c r="AK490" t="e">
        <f ca="1">Table133[[#This Row],[Call D1]]-Table133[[#This Row],[IV Calc C]]*SQRT(Table133[[#This Row],[T]])</f>
        <v>#DIV/0!</v>
      </c>
      <c r="AL490" t="e">
        <f ca="1">Table133[[#This Row],[Put D1]]-Table133[[#This Row],[IV Calc P]]*SQRT(Table133[[#This Row],[T]])</f>
        <v>#DIV/0!</v>
      </c>
      <c r="AM490" t="e">
        <f ca="1">EXP(-0.5*Table133[[#This Row],[Call D1]]^2)/SQRT(2*PI())</f>
        <v>#DIV/0!</v>
      </c>
      <c r="AN490" t="e">
        <f ca="1">EXP(-0.5*Table133[[#This Row],[Put D1]]^2)/SQRT(2*PI())</f>
        <v>#DIV/0!</v>
      </c>
      <c r="AO49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0">
        <f ca="1">((Table133[[#This Row],[call vanna]]+Table133[[#This Row],[put vanna]])*$A$4)</f>
        <v>0</v>
      </c>
      <c r="AR49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0" s="9" t="str" cm="1">
        <f t="array" ref="AT490">_xlfn.IFS(     $M$1="SPX","SPXW",     $M$1="RUT","RUTW",  $M$1="NDX","NDXP",   TRUE,$M$1 )</f>
        <v>SPXW</v>
      </c>
      <c r="AU490" s="2">
        <f t="shared" si="52"/>
        <v>6915</v>
      </c>
      <c r="AV490" t="str">
        <f t="shared" si="53"/>
        <v>000100</v>
      </c>
      <c r="AY49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0">
        <f>((Table133[[#This Row],[High C]]+Table133[[#This Row],[Low C]])/2)*Table133[[#This Row],[gammac]]*Table133[[#This Row],[Volume]]</f>
        <v>0</v>
      </c>
      <c r="BD490">
        <f>((Table133[[#This Row],[High P]]+Table133[[#This Row],[Low P]])/2)*Table133[[#This Row],[gammap]]*Table133[[#This Row],[Volume9]]*-1</f>
        <v>0</v>
      </c>
      <c r="BE490">
        <f>(Table133[[#This Row],[SgammaC]]+Table133[[#This Row],[SgammaP]])*$A$4*-100</f>
        <v>0</v>
      </c>
      <c r="BF490" s="78">
        <f>Table133[[#This Row],[DEXc]]+Table133[[#This Row],[DEXp]]</f>
        <v>0</v>
      </c>
      <c r="BG490">
        <f>IFERROR(Table133[[#This Row],[DeltaC]]*Table133[[#This Row],[Open.Int]]*$A$4,0)</f>
        <v>0</v>
      </c>
      <c r="BH490">
        <f>IFERROR(Table133[[#This Row],[DeltaP]]*Table133[[#This Row],[Open.Int8]]*$A$4,0)</f>
        <v>0</v>
      </c>
      <c r="BI49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0">
        <f ca="1">Table133[[#This Row],[charmc]]+Table133[[#This Row],[charmp]]</f>
        <v>0</v>
      </c>
      <c r="BL49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0" s="78">
        <f ca="1">Table133[[#This Row],[call helper]]+Table133[[#This Row],[put helper]]</f>
        <v>0</v>
      </c>
      <c r="BP490" t="str">
        <f>RTD("tos.rtd", , "STRIKE", "."&amp;Table133[[#This Row],[Ticker]]&amp;Table133[[#This Row],[Expiry]]&amp;""&amp;"C"&amp;Table133[[#This Row],[Spot]]+Table133[[#This Row],[step]])</f>
        <v>N/A</v>
      </c>
    </row>
    <row r="491" spans="1:68" x14ac:dyDescent="0.25">
      <c r="A491" s="14">
        <f t="shared" ca="1" si="49"/>
        <v>-126.14810350076104</v>
      </c>
      <c r="C491" s="17"/>
      <c r="D491" t="str">
        <f>RTD("tos.rtd", , "OPEN_INT", "."&amp;Table133[[#This Row],[Ticker]]&amp;Table133[[#This Row],[Expiry]]&amp;""&amp;"C"&amp;Table133[[#This Row],[Spot]]+Table133[[#This Row],[step]])</f>
        <v>N/A</v>
      </c>
      <c r="E49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1" t="b">
        <f>IF(     ISNUMBER(Table133[[#This Row],[Strike]]),RTD("tos.rtd", , "DELTA", "."&amp;Table133[[#This Row],[Ticker]]&amp;Table133[[#This Row],[Expiry]]&amp;""&amp;"C"&amp;Table133[[#This Row],[Strike]]))</f>
        <v>0</v>
      </c>
      <c r="H491" s="17" cm="1">
        <f t="array" aca="1" ref="H491" ca="1">IndividualLegIVCore($A$4, Table133[[#This Row],[Strike]], 0.0411, Table133[[#This Row],[T]], ((Table133[[#This Row],[BIDC]]+Table133[[#This Row],[ASKC]])/2), TRUE)</f>
        <v>0.01</v>
      </c>
      <c r="I491" t="b">
        <f>IF(     ISNUMBER(Table133[[#This Row],[Strike]]),RTD("tos.rtd", , "BID", "."&amp;Table133[[#This Row],[Ticker]]&amp;Table133[[#This Row],[Expiry]]&amp;""&amp;"C"&amp;Table133[[#This Row],[Strike]]))</f>
        <v>0</v>
      </c>
      <c r="J491" t="b">
        <f>IF(     ISNUMBER(Table133[[#This Row],[Strike]]),RTD("tos.rtd", , "ASK", "."&amp;Table133[[#This Row],[Ticker]]&amp;Table133[[#This Row],[Expiry]]&amp;""&amp;"C"&amp;Table133[[#This Row],[Strike]]))</f>
        <v>0</v>
      </c>
      <c r="K491" s="17"/>
      <c r="M491" s="1">
        <f t="shared" si="50"/>
        <v>0</v>
      </c>
      <c r="N491" t="b">
        <f t="shared" si="51"/>
        <v>0</v>
      </c>
      <c r="P491" s="17" cm="1">
        <f t="array" aca="1" ref="P491" ca="1">IndividualLegIVCore($A$4, Table133[[#This Row],[Strike]], 0.0411, Table133[[#This Row],[T]], ((Table133[[#This Row],[BIDP]]+Table133[[#This Row],[ASKP]])/2), FALSE)</f>
        <v>0.01</v>
      </c>
      <c r="Q491" t="b">
        <f>IF(     ISNUMBER(Table133[[#This Row],[Strike]]),RTD("tos.rtd", , "BID", "."&amp;Table133[[#This Row],[Ticker]]&amp;Table133[[#This Row],[Expiry]]&amp;""&amp;"P"&amp;Table133[[#This Row],[Strike]]))</f>
        <v>0</v>
      </c>
      <c r="R491" t="b">
        <f>IF(     ISNUMBER(Table133[[#This Row],[Strike]]),RTD("tos.rtd", , "ASK", "."&amp;Table133[[#This Row],[Ticker]]&amp;Table133[[#This Row],[Expiry]]&amp;""&amp;"P"&amp;Table133[[#This Row],[Strike]]))</f>
        <v>0</v>
      </c>
      <c r="S491" s="17"/>
      <c r="T491" t="b">
        <f>IF(     ISNUMBER(Table133[[#This Row],[Strike]]),RTD("tos.rtd", , "OPEN_INT", "."&amp;Table133[[#This Row],[Ticker]]&amp;Table133[[#This Row],[Expiry]]&amp;""&amp;"P"&amp;Table133[[#This Row],[Strike]]))</f>
        <v>0</v>
      </c>
      <c r="U49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1" t="b">
        <f>IF(     ISNUMBER(Table133[[#This Row],[Strike]]),RTD("tos.rtd", , "DELTA", "."&amp;Table133[[#This Row],[Ticker]]&amp;Table133[[#This Row],[Expiry]]&amp;""&amp;"P"&amp;Table133[[#This Row],[Strike]]))</f>
        <v>0</v>
      </c>
      <c r="Y491" s="19">
        <f>-12.5* IF($M$1="NDX", 10, IF(OR($M$1="SPX", $M$1="RUT"), 2, 1))</f>
        <v>-25</v>
      </c>
      <c r="Z491">
        <f ca="1">IFERROR(Table133[[#This Row],[call gamma]]*(Table133[[#This Row],[Open.Int]])*$A$4^2,0)</f>
        <v>0</v>
      </c>
      <c r="AA491">
        <f ca="1">IFERROR(((Table133[[#This Row],[Open.Int8]])*Table133[[#This Row],[Put gamma]])*-1*$A$4^2,0)</f>
        <v>0</v>
      </c>
      <c r="AB491">
        <f ca="1">(Table133[[#This Row],[Call Gex]]+Table133[[#This Row],[Put Gex]])</f>
        <v>0</v>
      </c>
      <c r="AC491">
        <f ca="1">Table133[[#This Row],[put delta adj]]+Table133[[#This Row],[call delta adj]]</f>
        <v>0</v>
      </c>
      <c r="AD491">
        <f ca="1">Table133[[#This Row],[Put Gex]]*Table133[[#This Row],[DeltaP]]*-1</f>
        <v>0</v>
      </c>
      <c r="AE491">
        <f ca="1">Table133[[#This Row],[Call Gex]]*Table133[[#This Row],[DeltaC]]</f>
        <v>0</v>
      </c>
      <c r="AF491">
        <f>IF(Table133[[#This Row],[DeltaC]]-ABS(Table133[[#This Row],[DeltaP]])="0","0.01",Table133[[#This Row],[DeltaC]]-ABS(Table133[[#This Row],[DeltaP]]))</f>
        <v>0</v>
      </c>
      <c r="AG491" t="e">
        <f ca="1">((LN($A$4/Table133[[#This Row],[Strike]]) + (0.411 + 0.5 * Table133[[#This Row],[IV Calc P]]^2) *Table133[[#This Row],[T]])) / (Table133[[#This Row],[IV Calc P]] * SQRT(Table133[[#This Row],[T]]))</f>
        <v>#DIV/0!</v>
      </c>
      <c r="AH491" t="e">
        <f ca="1">(LN($A$4/Table133[[#This Row],[Strike]]) + (0.411-0 + 0.5 * Table133[[#This Row],[IV Calc C]]^2) *Table133[[#This Row],[T]]) / (Table133[[#This Row],[IV Calc C]] * SQRT(Table133[[#This Row],[T]]))</f>
        <v>#DIV/0!</v>
      </c>
      <c r="AI491" t="e">
        <f ca="1">(EXP(-(AG491^2)/2)/SQRT(2*PI())*EXP(0*SQRT(Table133[[#This Row],[T]]))/$A$4*18%*SQRT(SQRT(Table133[[#This Row],[T]])))</f>
        <v>#DIV/0!</v>
      </c>
      <c r="AJ491" t="e">
        <f ca="1">(EXP(-(AH491^2)/2)/SQRT(2*PI())*EXP(0*SQRT(Table133[[#This Row],[T]]))/$A$4*18%*SQRT(SQRT(Table133[[#This Row],[T]])))</f>
        <v>#DIV/0!</v>
      </c>
      <c r="AK491" t="e">
        <f ca="1">Table133[[#This Row],[Call D1]]-Table133[[#This Row],[IV Calc C]]*SQRT(Table133[[#This Row],[T]])</f>
        <v>#DIV/0!</v>
      </c>
      <c r="AL491" t="e">
        <f ca="1">Table133[[#This Row],[Put D1]]-Table133[[#This Row],[IV Calc P]]*SQRT(Table133[[#This Row],[T]])</f>
        <v>#DIV/0!</v>
      </c>
      <c r="AM491" t="e">
        <f ca="1">EXP(-0.5*Table133[[#This Row],[Call D1]]^2)/SQRT(2*PI())</f>
        <v>#DIV/0!</v>
      </c>
      <c r="AN491" t="e">
        <f ca="1">EXP(-0.5*Table133[[#This Row],[Put D1]]^2)/SQRT(2*PI())</f>
        <v>#DIV/0!</v>
      </c>
      <c r="AO49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1">
        <f ca="1">((Table133[[#This Row],[call vanna]]+Table133[[#This Row],[put vanna]])*$A$4)</f>
        <v>0</v>
      </c>
      <c r="AR49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1" s="9" t="str" cm="1">
        <f t="array" ref="AT491">_xlfn.IFS(     $M$1="SPX","SPXW",     $M$1="RUT","RUTW",  $M$1="NDX","NDXP",   TRUE,$M$1 )</f>
        <v>SPXW</v>
      </c>
      <c r="AU491" s="2">
        <f t="shared" si="52"/>
        <v>6915</v>
      </c>
      <c r="AV491" t="str">
        <f t="shared" si="53"/>
        <v>000100</v>
      </c>
      <c r="AY49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1">
        <f>((Table133[[#This Row],[High C]]+Table133[[#This Row],[Low C]])/2)*Table133[[#This Row],[gammac]]*Table133[[#This Row],[Volume]]</f>
        <v>0</v>
      </c>
      <c r="BD491">
        <f>((Table133[[#This Row],[High P]]+Table133[[#This Row],[Low P]])/2)*Table133[[#This Row],[gammap]]*Table133[[#This Row],[Volume9]]*-1</f>
        <v>0</v>
      </c>
      <c r="BE491">
        <f>(Table133[[#This Row],[SgammaC]]+Table133[[#This Row],[SgammaP]])*$A$4*-100</f>
        <v>0</v>
      </c>
      <c r="BF491" s="78">
        <f>Table133[[#This Row],[DEXc]]+Table133[[#This Row],[DEXp]]</f>
        <v>0</v>
      </c>
      <c r="BG491">
        <f>IFERROR(Table133[[#This Row],[DeltaC]]*Table133[[#This Row],[Open.Int]]*$A$4,0)</f>
        <v>0</v>
      </c>
      <c r="BH491">
        <f>IFERROR(Table133[[#This Row],[DeltaP]]*Table133[[#This Row],[Open.Int8]]*$A$4,0)</f>
        <v>0</v>
      </c>
      <c r="BI49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1">
        <f ca="1">Table133[[#This Row],[charmc]]+Table133[[#This Row],[charmp]]</f>
        <v>0</v>
      </c>
      <c r="BL49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1" s="78">
        <f ca="1">Table133[[#This Row],[call helper]]+Table133[[#This Row],[put helper]]</f>
        <v>0</v>
      </c>
      <c r="BP491" t="str">
        <f>RTD("tos.rtd", , "STRIKE", "."&amp;Table133[[#This Row],[Ticker]]&amp;Table133[[#This Row],[Expiry]]&amp;""&amp;"C"&amp;Table133[[#This Row],[Spot]]+Table133[[#This Row],[step]])</f>
        <v>N/A</v>
      </c>
    </row>
    <row r="492" spans="1:68" x14ac:dyDescent="0.25">
      <c r="A492" s="14">
        <f t="shared" ca="1" si="49"/>
        <v>-126.14810350076104</v>
      </c>
      <c r="C492" s="17"/>
      <c r="D492" t="str">
        <f>RTD("tos.rtd", , "OPEN_INT", "."&amp;Table133[[#This Row],[Ticker]]&amp;Table133[[#This Row],[Expiry]]&amp;""&amp;"C"&amp;Table133[[#This Row],[Spot]]+Table133[[#This Row],[step]])</f>
        <v>N/A</v>
      </c>
      <c r="E49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2" t="b">
        <f>IF(     ISNUMBER(Table133[[#This Row],[Strike]]),RTD("tos.rtd", , "DELTA", "."&amp;Table133[[#This Row],[Ticker]]&amp;Table133[[#This Row],[Expiry]]&amp;""&amp;"C"&amp;Table133[[#This Row],[Strike]]))</f>
        <v>0</v>
      </c>
      <c r="H492" s="17" cm="1">
        <f t="array" aca="1" ref="H492" ca="1">IndividualLegIVCore($A$4, Table133[[#This Row],[Strike]], 0.0411, Table133[[#This Row],[T]], ((Table133[[#This Row],[BIDC]]+Table133[[#This Row],[ASKC]])/2), TRUE)</f>
        <v>0.01</v>
      </c>
      <c r="I492" t="b">
        <f>IF(     ISNUMBER(Table133[[#This Row],[Strike]]),RTD("tos.rtd", , "BID", "."&amp;Table133[[#This Row],[Ticker]]&amp;Table133[[#This Row],[Expiry]]&amp;""&amp;"C"&amp;Table133[[#This Row],[Strike]]))</f>
        <v>0</v>
      </c>
      <c r="J492" t="b">
        <f>IF(     ISNUMBER(Table133[[#This Row],[Strike]]),RTD("tos.rtd", , "ASK", "."&amp;Table133[[#This Row],[Ticker]]&amp;Table133[[#This Row],[Expiry]]&amp;""&amp;"C"&amp;Table133[[#This Row],[Strike]]))</f>
        <v>0</v>
      </c>
      <c r="K492" s="17"/>
      <c r="M492" s="1">
        <f t="shared" si="50"/>
        <v>0</v>
      </c>
      <c r="N492" t="b">
        <f t="shared" si="51"/>
        <v>0</v>
      </c>
      <c r="P492" s="17" cm="1">
        <f t="array" aca="1" ref="P492" ca="1">IndividualLegIVCore($A$4, Table133[[#This Row],[Strike]], 0.0411, Table133[[#This Row],[T]], ((Table133[[#This Row],[BIDP]]+Table133[[#This Row],[ASKP]])/2), FALSE)</f>
        <v>0.01</v>
      </c>
      <c r="Q492" t="b">
        <f>IF(     ISNUMBER(Table133[[#This Row],[Strike]]),RTD("tos.rtd", , "BID", "."&amp;Table133[[#This Row],[Ticker]]&amp;Table133[[#This Row],[Expiry]]&amp;""&amp;"P"&amp;Table133[[#This Row],[Strike]]))</f>
        <v>0</v>
      </c>
      <c r="R492" t="b">
        <f>IF(     ISNUMBER(Table133[[#This Row],[Strike]]),RTD("tos.rtd", , "ASK", "."&amp;Table133[[#This Row],[Ticker]]&amp;Table133[[#This Row],[Expiry]]&amp;""&amp;"P"&amp;Table133[[#This Row],[Strike]]))</f>
        <v>0</v>
      </c>
      <c r="S492" s="17"/>
      <c r="T492" t="b">
        <f>IF(     ISNUMBER(Table133[[#This Row],[Strike]]),RTD("tos.rtd", , "OPEN_INT", "."&amp;Table133[[#This Row],[Ticker]]&amp;Table133[[#This Row],[Expiry]]&amp;""&amp;"P"&amp;Table133[[#This Row],[Strike]]))</f>
        <v>0</v>
      </c>
      <c r="U49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2" t="b">
        <f>IF(     ISNUMBER(Table133[[#This Row],[Strike]]),RTD("tos.rtd", , "DELTA", "."&amp;Table133[[#This Row],[Ticker]]&amp;Table133[[#This Row],[Expiry]]&amp;""&amp;"P"&amp;Table133[[#This Row],[Strike]]))</f>
        <v>0</v>
      </c>
      <c r="Y492" s="19">
        <f>-12* IF($M$1="NDX", 10, IF(OR($M$1="SPX", $M$1="RUT"), 2, 1))</f>
        <v>-24</v>
      </c>
      <c r="Z492">
        <f ca="1">IFERROR(Table133[[#This Row],[call gamma]]*(Table133[[#This Row],[Open.Int]])*$A$4^2,0)</f>
        <v>0</v>
      </c>
      <c r="AA492">
        <f ca="1">IFERROR(((Table133[[#This Row],[Open.Int8]])*Table133[[#This Row],[Put gamma]])*-1*$A$4^2,0)</f>
        <v>0</v>
      </c>
      <c r="AB492">
        <f ca="1">(Table133[[#This Row],[Call Gex]]+Table133[[#This Row],[Put Gex]])</f>
        <v>0</v>
      </c>
      <c r="AC492">
        <f ca="1">Table133[[#This Row],[put delta adj]]+Table133[[#This Row],[call delta adj]]</f>
        <v>0</v>
      </c>
      <c r="AD492">
        <f ca="1">Table133[[#This Row],[Put Gex]]*Table133[[#This Row],[DeltaP]]*-1</f>
        <v>0</v>
      </c>
      <c r="AE492">
        <f ca="1">Table133[[#This Row],[Call Gex]]*Table133[[#This Row],[DeltaC]]</f>
        <v>0</v>
      </c>
      <c r="AF492">
        <f>IF(Table133[[#This Row],[DeltaC]]-ABS(Table133[[#This Row],[DeltaP]])="0","0.01",Table133[[#This Row],[DeltaC]]-ABS(Table133[[#This Row],[DeltaP]]))</f>
        <v>0</v>
      </c>
      <c r="AG492" t="e">
        <f ca="1">((LN($A$4/Table133[[#This Row],[Strike]]) + (0.411 + 0.5 * Table133[[#This Row],[IV Calc P]]^2) *Table133[[#This Row],[T]])) / (Table133[[#This Row],[IV Calc P]] * SQRT(Table133[[#This Row],[T]]))</f>
        <v>#DIV/0!</v>
      </c>
      <c r="AH492" t="e">
        <f ca="1">(LN($A$4/Table133[[#This Row],[Strike]]) + (0.411-0 + 0.5 * Table133[[#This Row],[IV Calc C]]^2) *Table133[[#This Row],[T]]) / (Table133[[#This Row],[IV Calc C]] * SQRT(Table133[[#This Row],[T]]))</f>
        <v>#DIV/0!</v>
      </c>
      <c r="AI492" t="e">
        <f ca="1">(EXP(-(AG492^2)/2)/SQRT(2*PI())*EXP(0*SQRT(Table133[[#This Row],[T]]))/$A$4*18%*SQRT(SQRT(Table133[[#This Row],[T]])))</f>
        <v>#DIV/0!</v>
      </c>
      <c r="AJ492" t="e">
        <f ca="1">(EXP(-(AH492^2)/2)/SQRT(2*PI())*EXP(0*SQRT(Table133[[#This Row],[T]]))/$A$4*18%*SQRT(SQRT(Table133[[#This Row],[T]])))</f>
        <v>#DIV/0!</v>
      </c>
      <c r="AK492" t="e">
        <f ca="1">Table133[[#This Row],[Call D1]]-Table133[[#This Row],[IV Calc C]]*SQRT(Table133[[#This Row],[T]])</f>
        <v>#DIV/0!</v>
      </c>
      <c r="AL492" t="e">
        <f ca="1">Table133[[#This Row],[Put D1]]-Table133[[#This Row],[IV Calc P]]*SQRT(Table133[[#This Row],[T]])</f>
        <v>#DIV/0!</v>
      </c>
      <c r="AM492" t="e">
        <f ca="1">EXP(-0.5*Table133[[#This Row],[Call D1]]^2)/SQRT(2*PI())</f>
        <v>#DIV/0!</v>
      </c>
      <c r="AN492" t="e">
        <f ca="1">EXP(-0.5*Table133[[#This Row],[Put D1]]^2)/SQRT(2*PI())</f>
        <v>#DIV/0!</v>
      </c>
      <c r="AO49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2">
        <f ca="1">((Table133[[#This Row],[call vanna]]+Table133[[#This Row],[put vanna]])*$A$4)</f>
        <v>0</v>
      </c>
      <c r="AR49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2" s="9" t="str" cm="1">
        <f t="array" ref="AT492">_xlfn.IFS(     $M$1="SPX","SPXW",     $M$1="RUT","RUTW",  $M$1="NDX","NDXP",   TRUE,$M$1 )</f>
        <v>SPXW</v>
      </c>
      <c r="AU492" s="2">
        <f t="shared" si="52"/>
        <v>6915</v>
      </c>
      <c r="AV492" t="str">
        <f t="shared" si="53"/>
        <v>000100</v>
      </c>
      <c r="AY49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2">
        <f>((Table133[[#This Row],[High C]]+Table133[[#This Row],[Low C]])/2)*Table133[[#This Row],[gammac]]*Table133[[#This Row],[Volume]]</f>
        <v>0</v>
      </c>
      <c r="BD492">
        <f>((Table133[[#This Row],[High P]]+Table133[[#This Row],[Low P]])/2)*Table133[[#This Row],[gammap]]*Table133[[#This Row],[Volume9]]*-1</f>
        <v>0</v>
      </c>
      <c r="BE492">
        <f>(Table133[[#This Row],[SgammaC]]+Table133[[#This Row],[SgammaP]])*$A$4*-100</f>
        <v>0</v>
      </c>
      <c r="BF492" s="78">
        <f>Table133[[#This Row],[DEXc]]+Table133[[#This Row],[DEXp]]</f>
        <v>0</v>
      </c>
      <c r="BG492">
        <f>IFERROR(Table133[[#This Row],[DeltaC]]*Table133[[#This Row],[Open.Int]]*$A$4,0)</f>
        <v>0</v>
      </c>
      <c r="BH492">
        <f>IFERROR(Table133[[#This Row],[DeltaP]]*Table133[[#This Row],[Open.Int8]]*$A$4,0)</f>
        <v>0</v>
      </c>
      <c r="BI49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2">
        <f ca="1">Table133[[#This Row],[charmc]]+Table133[[#This Row],[charmp]]</f>
        <v>0</v>
      </c>
      <c r="BL49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2" s="78">
        <f ca="1">Table133[[#This Row],[call helper]]+Table133[[#This Row],[put helper]]</f>
        <v>0</v>
      </c>
      <c r="BP492" t="str">
        <f>RTD("tos.rtd", , "STRIKE", "."&amp;Table133[[#This Row],[Ticker]]&amp;Table133[[#This Row],[Expiry]]&amp;""&amp;"C"&amp;Table133[[#This Row],[Spot]]+Table133[[#This Row],[step]])</f>
        <v>N/A</v>
      </c>
    </row>
    <row r="493" spans="1:68" x14ac:dyDescent="0.25">
      <c r="A493" s="14">
        <f t="shared" ca="1" si="49"/>
        <v>-126.14810350076104</v>
      </c>
      <c r="C493" s="17"/>
      <c r="D493" t="str">
        <f>RTD("tos.rtd", , "OPEN_INT", "."&amp;Table133[[#This Row],[Ticker]]&amp;Table133[[#This Row],[Expiry]]&amp;""&amp;"C"&amp;Table133[[#This Row],[Spot]]+Table133[[#This Row],[step]])</f>
        <v>N/A</v>
      </c>
      <c r="E49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3" t="b">
        <f>IF(     ISNUMBER(Table133[[#This Row],[Strike]]),RTD("tos.rtd", , "DELTA", "."&amp;Table133[[#This Row],[Ticker]]&amp;Table133[[#This Row],[Expiry]]&amp;""&amp;"C"&amp;Table133[[#This Row],[Strike]]))</f>
        <v>0</v>
      </c>
      <c r="H493" s="17" cm="1">
        <f t="array" aca="1" ref="H493" ca="1">IndividualLegIVCore($A$4, Table133[[#This Row],[Strike]], 0.0411, Table133[[#This Row],[T]], ((Table133[[#This Row],[BIDC]]+Table133[[#This Row],[ASKC]])/2), TRUE)</f>
        <v>0.01</v>
      </c>
      <c r="I493" t="b">
        <f>IF(     ISNUMBER(Table133[[#This Row],[Strike]]),RTD("tos.rtd", , "BID", "."&amp;Table133[[#This Row],[Ticker]]&amp;Table133[[#This Row],[Expiry]]&amp;""&amp;"C"&amp;Table133[[#This Row],[Strike]]))</f>
        <v>0</v>
      </c>
      <c r="J493" t="b">
        <f>IF(     ISNUMBER(Table133[[#This Row],[Strike]]),RTD("tos.rtd", , "ASK", "."&amp;Table133[[#This Row],[Ticker]]&amp;Table133[[#This Row],[Expiry]]&amp;""&amp;"C"&amp;Table133[[#This Row],[Strike]]))</f>
        <v>0</v>
      </c>
      <c r="K493" s="17"/>
      <c r="M493" s="1">
        <f t="shared" si="50"/>
        <v>0</v>
      </c>
      <c r="N493" t="b">
        <f t="shared" si="51"/>
        <v>0</v>
      </c>
      <c r="P493" s="17" cm="1">
        <f t="array" aca="1" ref="P493" ca="1">IndividualLegIVCore($A$4, Table133[[#This Row],[Strike]], 0.0411, Table133[[#This Row],[T]], ((Table133[[#This Row],[BIDP]]+Table133[[#This Row],[ASKP]])/2), FALSE)</f>
        <v>0.01</v>
      </c>
      <c r="Q493" t="b">
        <f>IF(     ISNUMBER(Table133[[#This Row],[Strike]]),RTD("tos.rtd", , "BID", "."&amp;Table133[[#This Row],[Ticker]]&amp;Table133[[#This Row],[Expiry]]&amp;""&amp;"P"&amp;Table133[[#This Row],[Strike]]))</f>
        <v>0</v>
      </c>
      <c r="R493" t="b">
        <f>IF(     ISNUMBER(Table133[[#This Row],[Strike]]),RTD("tos.rtd", , "ASK", "."&amp;Table133[[#This Row],[Ticker]]&amp;Table133[[#This Row],[Expiry]]&amp;""&amp;"P"&amp;Table133[[#This Row],[Strike]]))</f>
        <v>0</v>
      </c>
      <c r="S493" s="17"/>
      <c r="T493" t="b">
        <f>IF(     ISNUMBER(Table133[[#This Row],[Strike]]),RTD("tos.rtd", , "OPEN_INT", "."&amp;Table133[[#This Row],[Ticker]]&amp;Table133[[#This Row],[Expiry]]&amp;""&amp;"P"&amp;Table133[[#This Row],[Strike]]))</f>
        <v>0</v>
      </c>
      <c r="U49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3" t="b">
        <f>IF(     ISNUMBER(Table133[[#This Row],[Strike]]),RTD("tos.rtd", , "DELTA", "."&amp;Table133[[#This Row],[Ticker]]&amp;Table133[[#This Row],[Expiry]]&amp;""&amp;"P"&amp;Table133[[#This Row],[Strike]]))</f>
        <v>0</v>
      </c>
      <c r="Y493" s="19">
        <f>-11.5* IF($M$1="NDX", 10, IF(OR($M$1="SPX", $M$1="RUT"), 2, 1))</f>
        <v>-23</v>
      </c>
      <c r="Z493">
        <f ca="1">IFERROR(Table133[[#This Row],[call gamma]]*(Table133[[#This Row],[Open.Int]])*$A$4^2,0)</f>
        <v>0</v>
      </c>
      <c r="AA493">
        <f ca="1">IFERROR(((Table133[[#This Row],[Open.Int8]])*Table133[[#This Row],[Put gamma]])*-1*$A$4^2,0)</f>
        <v>0</v>
      </c>
      <c r="AB493">
        <f ca="1">(Table133[[#This Row],[Call Gex]]+Table133[[#This Row],[Put Gex]])</f>
        <v>0</v>
      </c>
      <c r="AC493">
        <f ca="1">Table133[[#This Row],[put delta adj]]+Table133[[#This Row],[call delta adj]]</f>
        <v>0</v>
      </c>
      <c r="AD493">
        <f ca="1">Table133[[#This Row],[Put Gex]]*Table133[[#This Row],[DeltaP]]*-1</f>
        <v>0</v>
      </c>
      <c r="AE493">
        <f ca="1">Table133[[#This Row],[Call Gex]]*Table133[[#This Row],[DeltaC]]</f>
        <v>0</v>
      </c>
      <c r="AF493">
        <f>IF(Table133[[#This Row],[DeltaC]]-ABS(Table133[[#This Row],[DeltaP]])="0","0.01",Table133[[#This Row],[DeltaC]]-ABS(Table133[[#This Row],[DeltaP]]))</f>
        <v>0</v>
      </c>
      <c r="AG493" t="e">
        <f ca="1">((LN($A$4/Table133[[#This Row],[Strike]]) + (0.411 + 0.5 * Table133[[#This Row],[IV Calc P]]^2) *Table133[[#This Row],[T]])) / (Table133[[#This Row],[IV Calc P]] * SQRT(Table133[[#This Row],[T]]))</f>
        <v>#DIV/0!</v>
      </c>
      <c r="AH493" t="e">
        <f ca="1">(LN($A$4/Table133[[#This Row],[Strike]]) + (0.411-0 + 0.5 * Table133[[#This Row],[IV Calc C]]^2) *Table133[[#This Row],[T]]) / (Table133[[#This Row],[IV Calc C]] * SQRT(Table133[[#This Row],[T]]))</f>
        <v>#DIV/0!</v>
      </c>
      <c r="AI493" t="e">
        <f ca="1">(EXP(-(AG493^2)/2)/SQRT(2*PI())*EXP(0*SQRT(Table133[[#This Row],[T]]))/$A$4*18%*SQRT(SQRT(Table133[[#This Row],[T]])))</f>
        <v>#DIV/0!</v>
      </c>
      <c r="AJ493" t="e">
        <f ca="1">(EXP(-(AH493^2)/2)/SQRT(2*PI())*EXP(0*SQRT(Table133[[#This Row],[T]]))/$A$4*18%*SQRT(SQRT(Table133[[#This Row],[T]])))</f>
        <v>#DIV/0!</v>
      </c>
      <c r="AK493" t="e">
        <f ca="1">Table133[[#This Row],[Call D1]]-Table133[[#This Row],[IV Calc C]]*SQRT(Table133[[#This Row],[T]])</f>
        <v>#DIV/0!</v>
      </c>
      <c r="AL493" t="e">
        <f ca="1">Table133[[#This Row],[Put D1]]-Table133[[#This Row],[IV Calc P]]*SQRT(Table133[[#This Row],[T]])</f>
        <v>#DIV/0!</v>
      </c>
      <c r="AM493" t="e">
        <f ca="1">EXP(-0.5*Table133[[#This Row],[Call D1]]^2)/SQRT(2*PI())</f>
        <v>#DIV/0!</v>
      </c>
      <c r="AN493" t="e">
        <f ca="1">EXP(-0.5*Table133[[#This Row],[Put D1]]^2)/SQRT(2*PI())</f>
        <v>#DIV/0!</v>
      </c>
      <c r="AO49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3">
        <f ca="1">((Table133[[#This Row],[call vanna]]+Table133[[#This Row],[put vanna]])*$A$4)</f>
        <v>0</v>
      </c>
      <c r="AR49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3" s="9" t="str" cm="1">
        <f t="array" ref="AT493">_xlfn.IFS(     $M$1="SPX","SPXW",     $M$1="RUT","RUTW",  $M$1="NDX","NDXP",   TRUE,$M$1 )</f>
        <v>SPXW</v>
      </c>
      <c r="AU493" s="2">
        <f t="shared" si="52"/>
        <v>6915</v>
      </c>
      <c r="AV493" t="str">
        <f t="shared" si="53"/>
        <v>000100</v>
      </c>
      <c r="AY49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3">
        <f>((Table133[[#This Row],[High C]]+Table133[[#This Row],[Low C]])/2)*Table133[[#This Row],[gammac]]*Table133[[#This Row],[Volume]]</f>
        <v>0</v>
      </c>
      <c r="BD493">
        <f>((Table133[[#This Row],[High P]]+Table133[[#This Row],[Low P]])/2)*Table133[[#This Row],[gammap]]*Table133[[#This Row],[Volume9]]*-1</f>
        <v>0</v>
      </c>
      <c r="BE493">
        <f>(Table133[[#This Row],[SgammaC]]+Table133[[#This Row],[SgammaP]])*$A$4*-100</f>
        <v>0</v>
      </c>
      <c r="BF493" s="78">
        <f>Table133[[#This Row],[DEXc]]+Table133[[#This Row],[DEXp]]</f>
        <v>0</v>
      </c>
      <c r="BG493">
        <f>IFERROR(Table133[[#This Row],[DeltaC]]*Table133[[#This Row],[Open.Int]]*$A$4,0)</f>
        <v>0</v>
      </c>
      <c r="BH493">
        <f>IFERROR(Table133[[#This Row],[DeltaP]]*Table133[[#This Row],[Open.Int8]]*$A$4,0)</f>
        <v>0</v>
      </c>
      <c r="BI49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3">
        <f ca="1">Table133[[#This Row],[charmc]]+Table133[[#This Row],[charmp]]</f>
        <v>0</v>
      </c>
      <c r="BL49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3" s="78">
        <f ca="1">Table133[[#This Row],[call helper]]+Table133[[#This Row],[put helper]]</f>
        <v>0</v>
      </c>
      <c r="BP493" t="str">
        <f>RTD("tos.rtd", , "STRIKE", "."&amp;Table133[[#This Row],[Ticker]]&amp;Table133[[#This Row],[Expiry]]&amp;""&amp;"C"&amp;Table133[[#This Row],[Spot]]+Table133[[#This Row],[step]])</f>
        <v>N/A</v>
      </c>
    </row>
    <row r="494" spans="1:68" x14ac:dyDescent="0.25">
      <c r="A494" s="14">
        <f t="shared" ca="1" si="49"/>
        <v>-126.14810350076104</v>
      </c>
      <c r="C494" s="17"/>
      <c r="D494" t="str">
        <f>RTD("tos.rtd", , "OPEN_INT", "."&amp;Table133[[#This Row],[Ticker]]&amp;Table133[[#This Row],[Expiry]]&amp;""&amp;"C"&amp;Table133[[#This Row],[Spot]]+Table133[[#This Row],[step]])</f>
        <v>N/A</v>
      </c>
      <c r="E49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4" t="b">
        <f>IF(     ISNUMBER(Table133[[#This Row],[Strike]]),RTD("tos.rtd", , "DELTA", "."&amp;Table133[[#This Row],[Ticker]]&amp;Table133[[#This Row],[Expiry]]&amp;""&amp;"C"&amp;Table133[[#This Row],[Strike]]))</f>
        <v>0</v>
      </c>
      <c r="H494" s="17" cm="1">
        <f t="array" aca="1" ref="H494" ca="1">IndividualLegIVCore($A$4, Table133[[#This Row],[Strike]], 0.0411, Table133[[#This Row],[T]], ((Table133[[#This Row],[BIDC]]+Table133[[#This Row],[ASKC]])/2), TRUE)</f>
        <v>0.01</v>
      </c>
      <c r="I494" t="b">
        <f>IF(     ISNUMBER(Table133[[#This Row],[Strike]]),RTD("tos.rtd", , "BID", "."&amp;Table133[[#This Row],[Ticker]]&amp;Table133[[#This Row],[Expiry]]&amp;""&amp;"C"&amp;Table133[[#This Row],[Strike]]))</f>
        <v>0</v>
      </c>
      <c r="J494" t="b">
        <f>IF(     ISNUMBER(Table133[[#This Row],[Strike]]),RTD("tos.rtd", , "ASK", "."&amp;Table133[[#This Row],[Ticker]]&amp;Table133[[#This Row],[Expiry]]&amp;""&amp;"C"&amp;Table133[[#This Row],[Strike]]))</f>
        <v>0</v>
      </c>
      <c r="K494" s="17"/>
      <c r="M494" s="1">
        <f t="shared" si="50"/>
        <v>0</v>
      </c>
      <c r="N494" t="b">
        <f t="shared" si="51"/>
        <v>0</v>
      </c>
      <c r="P494" s="17" cm="1">
        <f t="array" aca="1" ref="P494" ca="1">IndividualLegIVCore($A$4, Table133[[#This Row],[Strike]], 0.0411, Table133[[#This Row],[T]], ((Table133[[#This Row],[BIDP]]+Table133[[#This Row],[ASKP]])/2), FALSE)</f>
        <v>0.01</v>
      </c>
      <c r="Q494" t="b">
        <f>IF(     ISNUMBER(Table133[[#This Row],[Strike]]),RTD("tos.rtd", , "BID", "."&amp;Table133[[#This Row],[Ticker]]&amp;Table133[[#This Row],[Expiry]]&amp;""&amp;"P"&amp;Table133[[#This Row],[Strike]]))</f>
        <v>0</v>
      </c>
      <c r="R494" t="b">
        <f>IF(     ISNUMBER(Table133[[#This Row],[Strike]]),RTD("tos.rtd", , "ASK", "."&amp;Table133[[#This Row],[Ticker]]&amp;Table133[[#This Row],[Expiry]]&amp;""&amp;"P"&amp;Table133[[#This Row],[Strike]]))</f>
        <v>0</v>
      </c>
      <c r="S494" s="17"/>
      <c r="T494" t="b">
        <f>IF(     ISNUMBER(Table133[[#This Row],[Strike]]),RTD("tos.rtd", , "OPEN_INT", "."&amp;Table133[[#This Row],[Ticker]]&amp;Table133[[#This Row],[Expiry]]&amp;""&amp;"P"&amp;Table133[[#This Row],[Strike]]))</f>
        <v>0</v>
      </c>
      <c r="U49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4" t="b">
        <f>IF(     ISNUMBER(Table133[[#This Row],[Strike]]),RTD("tos.rtd", , "DELTA", "."&amp;Table133[[#This Row],[Ticker]]&amp;Table133[[#This Row],[Expiry]]&amp;""&amp;"P"&amp;Table133[[#This Row],[Strike]]))</f>
        <v>0</v>
      </c>
      <c r="Y494" s="19">
        <f>-11* IF($M$1="NDX", 10, IF(OR($M$1="SPX", $M$1="RUT"), 2, 1))</f>
        <v>-22</v>
      </c>
      <c r="Z494">
        <f ca="1">IFERROR(Table133[[#This Row],[call gamma]]*(Table133[[#This Row],[Open.Int]])*$A$4^2,0)</f>
        <v>0</v>
      </c>
      <c r="AA494">
        <f ca="1">IFERROR(((Table133[[#This Row],[Open.Int8]])*Table133[[#This Row],[Put gamma]])*-1*$A$4^2,0)</f>
        <v>0</v>
      </c>
      <c r="AB494">
        <f ca="1">(Table133[[#This Row],[Call Gex]]+Table133[[#This Row],[Put Gex]])</f>
        <v>0</v>
      </c>
      <c r="AC494">
        <f ca="1">Table133[[#This Row],[put delta adj]]+Table133[[#This Row],[call delta adj]]</f>
        <v>0</v>
      </c>
      <c r="AD494">
        <f ca="1">Table133[[#This Row],[Put Gex]]*Table133[[#This Row],[DeltaP]]*-1</f>
        <v>0</v>
      </c>
      <c r="AE494">
        <f ca="1">Table133[[#This Row],[Call Gex]]*Table133[[#This Row],[DeltaC]]</f>
        <v>0</v>
      </c>
      <c r="AF494">
        <f>IF(Table133[[#This Row],[DeltaC]]-ABS(Table133[[#This Row],[DeltaP]])="0","0.01",Table133[[#This Row],[DeltaC]]-ABS(Table133[[#This Row],[DeltaP]]))</f>
        <v>0</v>
      </c>
      <c r="AG494" t="e">
        <f ca="1">((LN($A$4/Table133[[#This Row],[Strike]]) + (0.411 + 0.5 * Table133[[#This Row],[IV Calc P]]^2) *Table133[[#This Row],[T]])) / (Table133[[#This Row],[IV Calc P]] * SQRT(Table133[[#This Row],[T]]))</f>
        <v>#DIV/0!</v>
      </c>
      <c r="AH494" t="e">
        <f ca="1">(LN($A$4/Table133[[#This Row],[Strike]]) + (0.411-0 + 0.5 * Table133[[#This Row],[IV Calc C]]^2) *Table133[[#This Row],[T]]) / (Table133[[#This Row],[IV Calc C]] * SQRT(Table133[[#This Row],[T]]))</f>
        <v>#DIV/0!</v>
      </c>
      <c r="AI494" t="e">
        <f ca="1">(EXP(-(AG494^2)/2)/SQRT(2*PI())*EXP(0*SQRT(Table133[[#This Row],[T]]))/$A$4*18%*SQRT(SQRT(Table133[[#This Row],[T]])))</f>
        <v>#DIV/0!</v>
      </c>
      <c r="AJ494" t="e">
        <f ca="1">(EXP(-(AH494^2)/2)/SQRT(2*PI())*EXP(0*SQRT(Table133[[#This Row],[T]]))/$A$4*18%*SQRT(SQRT(Table133[[#This Row],[T]])))</f>
        <v>#DIV/0!</v>
      </c>
      <c r="AK494" t="e">
        <f ca="1">Table133[[#This Row],[Call D1]]-Table133[[#This Row],[IV Calc C]]*SQRT(Table133[[#This Row],[T]])</f>
        <v>#DIV/0!</v>
      </c>
      <c r="AL494" t="e">
        <f ca="1">Table133[[#This Row],[Put D1]]-Table133[[#This Row],[IV Calc P]]*SQRT(Table133[[#This Row],[T]])</f>
        <v>#DIV/0!</v>
      </c>
      <c r="AM494" t="e">
        <f ca="1">EXP(-0.5*Table133[[#This Row],[Call D1]]^2)/SQRT(2*PI())</f>
        <v>#DIV/0!</v>
      </c>
      <c r="AN494" t="e">
        <f ca="1">EXP(-0.5*Table133[[#This Row],[Put D1]]^2)/SQRT(2*PI())</f>
        <v>#DIV/0!</v>
      </c>
      <c r="AO49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4">
        <f ca="1">((Table133[[#This Row],[call vanna]]+Table133[[#This Row],[put vanna]])*$A$4)</f>
        <v>0</v>
      </c>
      <c r="AR49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4" s="9" t="str" cm="1">
        <f t="array" ref="AT494">_xlfn.IFS(     $M$1="SPX","SPXW",     $M$1="RUT","RUTW",  $M$1="NDX","NDXP",   TRUE,$M$1 )</f>
        <v>SPXW</v>
      </c>
      <c r="AU494" s="2">
        <f t="shared" si="52"/>
        <v>6915</v>
      </c>
      <c r="AV494" t="str">
        <f t="shared" si="53"/>
        <v>000100</v>
      </c>
      <c r="AY49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4">
        <f>((Table133[[#This Row],[High C]]+Table133[[#This Row],[Low C]])/2)*Table133[[#This Row],[gammac]]*Table133[[#This Row],[Volume]]</f>
        <v>0</v>
      </c>
      <c r="BD494">
        <f>((Table133[[#This Row],[High P]]+Table133[[#This Row],[Low P]])/2)*Table133[[#This Row],[gammap]]*Table133[[#This Row],[Volume9]]*-1</f>
        <v>0</v>
      </c>
      <c r="BE494">
        <f>(Table133[[#This Row],[SgammaC]]+Table133[[#This Row],[SgammaP]])*$A$4*-100</f>
        <v>0</v>
      </c>
      <c r="BF494" s="78">
        <f>Table133[[#This Row],[DEXc]]+Table133[[#This Row],[DEXp]]</f>
        <v>0</v>
      </c>
      <c r="BG494">
        <f>IFERROR(Table133[[#This Row],[DeltaC]]*Table133[[#This Row],[Open.Int]]*$A$4,0)</f>
        <v>0</v>
      </c>
      <c r="BH494">
        <f>IFERROR(Table133[[#This Row],[DeltaP]]*Table133[[#This Row],[Open.Int8]]*$A$4,0)</f>
        <v>0</v>
      </c>
      <c r="BI49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4">
        <f ca="1">Table133[[#This Row],[charmc]]+Table133[[#This Row],[charmp]]</f>
        <v>0</v>
      </c>
      <c r="BL49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4" s="78">
        <f ca="1">Table133[[#This Row],[call helper]]+Table133[[#This Row],[put helper]]</f>
        <v>0</v>
      </c>
      <c r="BP494" t="str">
        <f>RTD("tos.rtd", , "STRIKE", "."&amp;Table133[[#This Row],[Ticker]]&amp;Table133[[#This Row],[Expiry]]&amp;""&amp;"C"&amp;Table133[[#This Row],[Spot]]+Table133[[#This Row],[step]])</f>
        <v>N/A</v>
      </c>
    </row>
    <row r="495" spans="1:68" x14ac:dyDescent="0.25">
      <c r="A495" s="14">
        <f t="shared" ca="1" si="49"/>
        <v>-126.14810350076104</v>
      </c>
      <c r="C495" s="17"/>
      <c r="D495" t="str">
        <f>RTD("tos.rtd", , "OPEN_INT", "."&amp;Table133[[#This Row],[Ticker]]&amp;Table133[[#This Row],[Expiry]]&amp;""&amp;"C"&amp;Table133[[#This Row],[Spot]]+Table133[[#This Row],[step]])</f>
        <v>N/A</v>
      </c>
      <c r="E49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5" t="b">
        <f>IF(     ISNUMBER(Table133[[#This Row],[Strike]]),RTD("tos.rtd", , "DELTA", "."&amp;Table133[[#This Row],[Ticker]]&amp;Table133[[#This Row],[Expiry]]&amp;""&amp;"C"&amp;Table133[[#This Row],[Strike]]))</f>
        <v>0</v>
      </c>
      <c r="H495" s="17" cm="1">
        <f t="array" aca="1" ref="H495" ca="1">IndividualLegIVCore($A$4, Table133[[#This Row],[Strike]], 0.0411, Table133[[#This Row],[T]], ((Table133[[#This Row],[BIDC]]+Table133[[#This Row],[ASKC]])/2), TRUE)</f>
        <v>0.01</v>
      </c>
      <c r="I495" t="b">
        <f>IF(     ISNUMBER(Table133[[#This Row],[Strike]]),RTD("tos.rtd", , "BID", "."&amp;Table133[[#This Row],[Ticker]]&amp;Table133[[#This Row],[Expiry]]&amp;""&amp;"C"&amp;Table133[[#This Row],[Strike]]))</f>
        <v>0</v>
      </c>
      <c r="J495" t="b">
        <f>IF(     ISNUMBER(Table133[[#This Row],[Strike]]),RTD("tos.rtd", , "ASK", "."&amp;Table133[[#This Row],[Ticker]]&amp;Table133[[#This Row],[Expiry]]&amp;""&amp;"C"&amp;Table133[[#This Row],[Strike]]))</f>
        <v>0</v>
      </c>
      <c r="K495" s="17"/>
      <c r="M495" s="1">
        <f t="shared" si="50"/>
        <v>0</v>
      </c>
      <c r="N495" t="b">
        <f t="shared" si="51"/>
        <v>0</v>
      </c>
      <c r="P495" s="17" cm="1">
        <f t="array" aca="1" ref="P495" ca="1">IndividualLegIVCore($A$4, Table133[[#This Row],[Strike]], 0.0411, Table133[[#This Row],[T]], ((Table133[[#This Row],[BIDP]]+Table133[[#This Row],[ASKP]])/2), FALSE)</f>
        <v>0.01</v>
      </c>
      <c r="Q495" t="b">
        <f>IF(     ISNUMBER(Table133[[#This Row],[Strike]]),RTD("tos.rtd", , "BID", "."&amp;Table133[[#This Row],[Ticker]]&amp;Table133[[#This Row],[Expiry]]&amp;""&amp;"P"&amp;Table133[[#This Row],[Strike]]))</f>
        <v>0</v>
      </c>
      <c r="R495" t="b">
        <f>IF(     ISNUMBER(Table133[[#This Row],[Strike]]),RTD("tos.rtd", , "ASK", "."&amp;Table133[[#This Row],[Ticker]]&amp;Table133[[#This Row],[Expiry]]&amp;""&amp;"P"&amp;Table133[[#This Row],[Strike]]))</f>
        <v>0</v>
      </c>
      <c r="S495" s="17"/>
      <c r="T495" t="b">
        <f>IF(     ISNUMBER(Table133[[#This Row],[Strike]]),RTD("tos.rtd", , "OPEN_INT", "."&amp;Table133[[#This Row],[Ticker]]&amp;Table133[[#This Row],[Expiry]]&amp;""&amp;"P"&amp;Table133[[#This Row],[Strike]]))</f>
        <v>0</v>
      </c>
      <c r="U49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5" t="b">
        <f>IF(     ISNUMBER(Table133[[#This Row],[Strike]]),RTD("tos.rtd", , "DELTA", "."&amp;Table133[[#This Row],[Ticker]]&amp;Table133[[#This Row],[Expiry]]&amp;""&amp;"P"&amp;Table133[[#This Row],[Strike]]))</f>
        <v>0</v>
      </c>
      <c r="Y495" s="19">
        <f>-10.5* IF($M$1="NDX", 10, IF(OR($M$1="SPX", $M$1="RUT"), 2, 1))</f>
        <v>-21</v>
      </c>
      <c r="Z495">
        <f ca="1">IFERROR(Table133[[#This Row],[call gamma]]*(Table133[[#This Row],[Open.Int]])*$A$4^2,0)</f>
        <v>0</v>
      </c>
      <c r="AA495">
        <f ca="1">IFERROR(((Table133[[#This Row],[Open.Int8]])*Table133[[#This Row],[Put gamma]])*-1*$A$4^2,0)</f>
        <v>0</v>
      </c>
      <c r="AB495">
        <f ca="1">(Table133[[#This Row],[Call Gex]]+Table133[[#This Row],[Put Gex]])</f>
        <v>0</v>
      </c>
      <c r="AC495">
        <f ca="1">Table133[[#This Row],[put delta adj]]+Table133[[#This Row],[call delta adj]]</f>
        <v>0</v>
      </c>
      <c r="AD495">
        <f ca="1">Table133[[#This Row],[Put Gex]]*Table133[[#This Row],[DeltaP]]*-1</f>
        <v>0</v>
      </c>
      <c r="AE495">
        <f ca="1">Table133[[#This Row],[Call Gex]]*Table133[[#This Row],[DeltaC]]</f>
        <v>0</v>
      </c>
      <c r="AF495">
        <f>IF(Table133[[#This Row],[DeltaC]]-ABS(Table133[[#This Row],[DeltaP]])="0","0.01",Table133[[#This Row],[DeltaC]]-ABS(Table133[[#This Row],[DeltaP]]))</f>
        <v>0</v>
      </c>
      <c r="AG495" t="e">
        <f ca="1">((LN($A$4/Table133[[#This Row],[Strike]]) + (0.411 + 0.5 * Table133[[#This Row],[IV Calc P]]^2) *Table133[[#This Row],[T]])) / (Table133[[#This Row],[IV Calc P]] * SQRT(Table133[[#This Row],[T]]))</f>
        <v>#DIV/0!</v>
      </c>
      <c r="AH495" t="e">
        <f ca="1">(LN($A$4/Table133[[#This Row],[Strike]]) + (0.411-0 + 0.5 * Table133[[#This Row],[IV Calc C]]^2) *Table133[[#This Row],[T]]) / (Table133[[#This Row],[IV Calc C]] * SQRT(Table133[[#This Row],[T]]))</f>
        <v>#DIV/0!</v>
      </c>
      <c r="AI495" t="e">
        <f ca="1">(EXP(-(AG495^2)/2)/SQRT(2*PI())*EXP(0*SQRT(Table133[[#This Row],[T]]))/$A$4*18%*SQRT(SQRT(Table133[[#This Row],[T]])))</f>
        <v>#DIV/0!</v>
      </c>
      <c r="AJ495" t="e">
        <f ca="1">(EXP(-(AH495^2)/2)/SQRT(2*PI())*EXP(0*SQRT(Table133[[#This Row],[T]]))/$A$4*18%*SQRT(SQRT(Table133[[#This Row],[T]])))</f>
        <v>#DIV/0!</v>
      </c>
      <c r="AK495" t="e">
        <f ca="1">Table133[[#This Row],[Call D1]]-Table133[[#This Row],[IV Calc C]]*SQRT(Table133[[#This Row],[T]])</f>
        <v>#DIV/0!</v>
      </c>
      <c r="AL495" t="e">
        <f ca="1">Table133[[#This Row],[Put D1]]-Table133[[#This Row],[IV Calc P]]*SQRT(Table133[[#This Row],[T]])</f>
        <v>#DIV/0!</v>
      </c>
      <c r="AM495" t="e">
        <f ca="1">EXP(-0.5*Table133[[#This Row],[Call D1]]^2)/SQRT(2*PI())</f>
        <v>#DIV/0!</v>
      </c>
      <c r="AN495" t="e">
        <f ca="1">EXP(-0.5*Table133[[#This Row],[Put D1]]^2)/SQRT(2*PI())</f>
        <v>#DIV/0!</v>
      </c>
      <c r="AO49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5">
        <f ca="1">((Table133[[#This Row],[call vanna]]+Table133[[#This Row],[put vanna]])*$A$4)</f>
        <v>0</v>
      </c>
      <c r="AR49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5" s="9" t="str" cm="1">
        <f t="array" ref="AT495">_xlfn.IFS(     $M$1="SPX","SPXW",     $M$1="RUT","RUTW",  $M$1="NDX","NDXP",   TRUE,$M$1 )</f>
        <v>SPXW</v>
      </c>
      <c r="AU495" s="2">
        <f t="shared" si="52"/>
        <v>6915</v>
      </c>
      <c r="AV495" t="str">
        <f t="shared" si="53"/>
        <v>000100</v>
      </c>
      <c r="AY49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5">
        <f>((Table133[[#This Row],[High C]]+Table133[[#This Row],[Low C]])/2)*Table133[[#This Row],[gammac]]*Table133[[#This Row],[Volume]]</f>
        <v>0</v>
      </c>
      <c r="BD495">
        <f>((Table133[[#This Row],[High P]]+Table133[[#This Row],[Low P]])/2)*Table133[[#This Row],[gammap]]*Table133[[#This Row],[Volume9]]*-1</f>
        <v>0</v>
      </c>
      <c r="BE495">
        <f>(Table133[[#This Row],[SgammaC]]+Table133[[#This Row],[SgammaP]])*$A$4*-100</f>
        <v>0</v>
      </c>
      <c r="BF495" s="78">
        <f>Table133[[#This Row],[DEXc]]+Table133[[#This Row],[DEXp]]</f>
        <v>0</v>
      </c>
      <c r="BG495">
        <f>IFERROR(Table133[[#This Row],[DeltaC]]*Table133[[#This Row],[Open.Int]]*$A$4,0)</f>
        <v>0</v>
      </c>
      <c r="BH495">
        <f>IFERROR(Table133[[#This Row],[DeltaP]]*Table133[[#This Row],[Open.Int8]]*$A$4,0)</f>
        <v>0</v>
      </c>
      <c r="BI49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5">
        <f ca="1">Table133[[#This Row],[charmc]]+Table133[[#This Row],[charmp]]</f>
        <v>0</v>
      </c>
      <c r="BL49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5" s="78">
        <f ca="1">Table133[[#This Row],[call helper]]+Table133[[#This Row],[put helper]]</f>
        <v>0</v>
      </c>
      <c r="BP495" t="str">
        <f>RTD("tos.rtd", , "STRIKE", "."&amp;Table133[[#This Row],[Ticker]]&amp;Table133[[#This Row],[Expiry]]&amp;""&amp;"C"&amp;Table133[[#This Row],[Spot]]+Table133[[#This Row],[step]])</f>
        <v>N/A</v>
      </c>
    </row>
    <row r="496" spans="1:68" x14ac:dyDescent="0.25">
      <c r="A496" s="14">
        <f t="shared" ca="1" si="49"/>
        <v>-126.14810350076104</v>
      </c>
      <c r="C496" s="17"/>
      <c r="D496" t="str">
        <f>RTD("tos.rtd", , "OPEN_INT", "."&amp;Table133[[#This Row],[Ticker]]&amp;Table133[[#This Row],[Expiry]]&amp;""&amp;"C"&amp;Table133[[#This Row],[Spot]]+Table133[[#This Row],[step]])</f>
        <v>N/A</v>
      </c>
      <c r="E49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6" t="b">
        <f>IF(     ISNUMBER(Table133[[#This Row],[Strike]]),RTD("tos.rtd", , "DELTA", "."&amp;Table133[[#This Row],[Ticker]]&amp;Table133[[#This Row],[Expiry]]&amp;""&amp;"C"&amp;Table133[[#This Row],[Strike]]))</f>
        <v>0</v>
      </c>
      <c r="H496" s="17" cm="1">
        <f t="array" aca="1" ref="H496" ca="1">IndividualLegIVCore($A$4, Table133[[#This Row],[Strike]], 0.0411, Table133[[#This Row],[T]], ((Table133[[#This Row],[BIDC]]+Table133[[#This Row],[ASKC]])/2), TRUE)</f>
        <v>0.01</v>
      </c>
      <c r="I496" t="b">
        <f>IF(     ISNUMBER(Table133[[#This Row],[Strike]]),RTD("tos.rtd", , "BID", "."&amp;Table133[[#This Row],[Ticker]]&amp;Table133[[#This Row],[Expiry]]&amp;""&amp;"C"&amp;Table133[[#This Row],[Strike]]))</f>
        <v>0</v>
      </c>
      <c r="J496" t="b">
        <f>IF(     ISNUMBER(Table133[[#This Row],[Strike]]),RTD("tos.rtd", , "ASK", "."&amp;Table133[[#This Row],[Ticker]]&amp;Table133[[#This Row],[Expiry]]&amp;""&amp;"C"&amp;Table133[[#This Row],[Strike]]))</f>
        <v>0</v>
      </c>
      <c r="K496" s="17"/>
      <c r="M496" s="1">
        <f t="shared" si="50"/>
        <v>0</v>
      </c>
      <c r="N496" t="b">
        <f t="shared" si="51"/>
        <v>0</v>
      </c>
      <c r="P496" s="17" cm="1">
        <f t="array" aca="1" ref="P496" ca="1">IndividualLegIVCore($A$4, Table133[[#This Row],[Strike]], 0.0411, Table133[[#This Row],[T]], ((Table133[[#This Row],[BIDP]]+Table133[[#This Row],[ASKP]])/2), FALSE)</f>
        <v>0.01</v>
      </c>
      <c r="Q496" t="b">
        <f>IF(     ISNUMBER(Table133[[#This Row],[Strike]]),RTD("tos.rtd", , "BID", "."&amp;Table133[[#This Row],[Ticker]]&amp;Table133[[#This Row],[Expiry]]&amp;""&amp;"P"&amp;Table133[[#This Row],[Strike]]))</f>
        <v>0</v>
      </c>
      <c r="R496" t="b">
        <f>IF(     ISNUMBER(Table133[[#This Row],[Strike]]),RTD("tos.rtd", , "ASK", "."&amp;Table133[[#This Row],[Ticker]]&amp;Table133[[#This Row],[Expiry]]&amp;""&amp;"P"&amp;Table133[[#This Row],[Strike]]))</f>
        <v>0</v>
      </c>
      <c r="S496" s="17"/>
      <c r="T496" t="b">
        <f>IF(     ISNUMBER(Table133[[#This Row],[Strike]]),RTD("tos.rtd", , "OPEN_INT", "."&amp;Table133[[#This Row],[Ticker]]&amp;Table133[[#This Row],[Expiry]]&amp;""&amp;"P"&amp;Table133[[#This Row],[Strike]]))</f>
        <v>0</v>
      </c>
      <c r="U49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6" t="b">
        <f>IF(     ISNUMBER(Table133[[#This Row],[Strike]]),RTD("tos.rtd", , "DELTA", "."&amp;Table133[[#This Row],[Ticker]]&amp;Table133[[#This Row],[Expiry]]&amp;""&amp;"P"&amp;Table133[[#This Row],[Strike]]))</f>
        <v>0</v>
      </c>
      <c r="Y496" s="19">
        <f>-10* IF($M$1="NDX", 10, IF(OR($M$1="SPX", $M$1="RUT"), 2, 1))</f>
        <v>-20</v>
      </c>
      <c r="Z496">
        <f ca="1">IFERROR(Table133[[#This Row],[call gamma]]*(Table133[[#This Row],[Open.Int]])*$A$4^2,0)</f>
        <v>0</v>
      </c>
      <c r="AA496">
        <f ca="1">IFERROR(((Table133[[#This Row],[Open.Int8]])*Table133[[#This Row],[Put gamma]])*-1*$A$4^2,0)</f>
        <v>0</v>
      </c>
      <c r="AB496">
        <f ca="1">(Table133[[#This Row],[Call Gex]]+Table133[[#This Row],[Put Gex]])</f>
        <v>0</v>
      </c>
      <c r="AC496">
        <f ca="1">Table133[[#This Row],[put delta adj]]+Table133[[#This Row],[call delta adj]]</f>
        <v>0</v>
      </c>
      <c r="AD496">
        <f ca="1">Table133[[#This Row],[Put Gex]]*Table133[[#This Row],[DeltaP]]*-1</f>
        <v>0</v>
      </c>
      <c r="AE496">
        <f ca="1">Table133[[#This Row],[Call Gex]]*Table133[[#This Row],[DeltaC]]</f>
        <v>0</v>
      </c>
      <c r="AF496">
        <f>IF(Table133[[#This Row],[DeltaC]]-ABS(Table133[[#This Row],[DeltaP]])="0","0.01",Table133[[#This Row],[DeltaC]]-ABS(Table133[[#This Row],[DeltaP]]))</f>
        <v>0</v>
      </c>
      <c r="AG496" t="e">
        <f ca="1">((LN($A$4/Table133[[#This Row],[Strike]]) + (0.411 + 0.5 * Table133[[#This Row],[IV Calc P]]^2) *Table133[[#This Row],[T]])) / (Table133[[#This Row],[IV Calc P]] * SQRT(Table133[[#This Row],[T]]))</f>
        <v>#DIV/0!</v>
      </c>
      <c r="AH496" t="e">
        <f ca="1">(LN($A$4/Table133[[#This Row],[Strike]]) + (0.411-0 + 0.5 * Table133[[#This Row],[IV Calc C]]^2) *Table133[[#This Row],[T]]) / (Table133[[#This Row],[IV Calc C]] * SQRT(Table133[[#This Row],[T]]))</f>
        <v>#DIV/0!</v>
      </c>
      <c r="AI496" t="e">
        <f ca="1">(EXP(-(AG496^2)/2)/SQRT(2*PI())*EXP(0*SQRT(Table133[[#This Row],[T]]))/$A$4*18%*SQRT(SQRT(Table133[[#This Row],[T]])))</f>
        <v>#DIV/0!</v>
      </c>
      <c r="AJ496" t="e">
        <f ca="1">(EXP(-(AH496^2)/2)/SQRT(2*PI())*EXP(0*SQRT(Table133[[#This Row],[T]]))/$A$4*18%*SQRT(SQRT(Table133[[#This Row],[T]])))</f>
        <v>#DIV/0!</v>
      </c>
      <c r="AK496" t="e">
        <f ca="1">Table133[[#This Row],[Call D1]]-Table133[[#This Row],[IV Calc C]]*SQRT(Table133[[#This Row],[T]])</f>
        <v>#DIV/0!</v>
      </c>
      <c r="AL496" t="e">
        <f ca="1">Table133[[#This Row],[Put D1]]-Table133[[#This Row],[IV Calc P]]*SQRT(Table133[[#This Row],[T]])</f>
        <v>#DIV/0!</v>
      </c>
      <c r="AM496" t="e">
        <f ca="1">EXP(-0.5*Table133[[#This Row],[Call D1]]^2)/SQRT(2*PI())</f>
        <v>#DIV/0!</v>
      </c>
      <c r="AN496" t="e">
        <f ca="1">EXP(-0.5*Table133[[#This Row],[Put D1]]^2)/SQRT(2*PI())</f>
        <v>#DIV/0!</v>
      </c>
      <c r="AO49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6">
        <f ca="1">((Table133[[#This Row],[call vanna]]+Table133[[#This Row],[put vanna]])*$A$4)</f>
        <v>0</v>
      </c>
      <c r="AR49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6" s="9" t="str" cm="1">
        <f t="array" ref="AT496">_xlfn.IFS(     $M$1="SPX","SPXW",     $M$1="RUT","RUTW",  $M$1="NDX","NDXP",   TRUE,$M$1 )</f>
        <v>SPXW</v>
      </c>
      <c r="AU496" s="2">
        <f t="shared" si="52"/>
        <v>6915</v>
      </c>
      <c r="AV496" t="str">
        <f t="shared" si="53"/>
        <v>000100</v>
      </c>
      <c r="AY49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6">
        <f>((Table133[[#This Row],[High C]]+Table133[[#This Row],[Low C]])/2)*Table133[[#This Row],[gammac]]*Table133[[#This Row],[Volume]]</f>
        <v>0</v>
      </c>
      <c r="BD496">
        <f>((Table133[[#This Row],[High P]]+Table133[[#This Row],[Low P]])/2)*Table133[[#This Row],[gammap]]*Table133[[#This Row],[Volume9]]*-1</f>
        <v>0</v>
      </c>
      <c r="BE496">
        <f>(Table133[[#This Row],[SgammaC]]+Table133[[#This Row],[SgammaP]])*$A$4*-100</f>
        <v>0</v>
      </c>
      <c r="BF496" s="78">
        <f>Table133[[#This Row],[DEXc]]+Table133[[#This Row],[DEXp]]</f>
        <v>0</v>
      </c>
      <c r="BG496">
        <f>IFERROR(Table133[[#This Row],[DeltaC]]*Table133[[#This Row],[Open.Int]]*$A$4,0)</f>
        <v>0</v>
      </c>
      <c r="BH496">
        <f>IFERROR(Table133[[#This Row],[DeltaP]]*Table133[[#This Row],[Open.Int8]]*$A$4,0)</f>
        <v>0</v>
      </c>
      <c r="BI49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6">
        <f ca="1">Table133[[#This Row],[charmc]]+Table133[[#This Row],[charmp]]</f>
        <v>0</v>
      </c>
      <c r="BL49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6" s="78">
        <f ca="1">Table133[[#This Row],[call helper]]+Table133[[#This Row],[put helper]]</f>
        <v>0</v>
      </c>
      <c r="BP496" t="str">
        <f>RTD("tos.rtd", , "STRIKE", "."&amp;Table133[[#This Row],[Ticker]]&amp;Table133[[#This Row],[Expiry]]&amp;""&amp;"C"&amp;Table133[[#This Row],[Spot]]+Table133[[#This Row],[step]])</f>
        <v>N/A</v>
      </c>
    </row>
    <row r="497" spans="1:68" x14ac:dyDescent="0.25">
      <c r="A497" s="14">
        <f t="shared" ca="1" si="49"/>
        <v>-126.14810350076104</v>
      </c>
      <c r="C497" s="17"/>
      <c r="D497" t="str">
        <f>RTD("tos.rtd", , "OPEN_INT", "."&amp;Table133[[#This Row],[Ticker]]&amp;Table133[[#This Row],[Expiry]]&amp;""&amp;"C"&amp;Table133[[#This Row],[Spot]]+Table133[[#This Row],[step]])</f>
        <v>N/A</v>
      </c>
      <c r="E49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7" t="b">
        <f>IF(     ISNUMBER(Table133[[#This Row],[Strike]]),RTD("tos.rtd", , "DELTA", "."&amp;Table133[[#This Row],[Ticker]]&amp;Table133[[#This Row],[Expiry]]&amp;""&amp;"C"&amp;Table133[[#This Row],[Strike]]))</f>
        <v>0</v>
      </c>
      <c r="H497" s="17" cm="1">
        <f t="array" aca="1" ref="H497" ca="1">IndividualLegIVCore($A$4, Table133[[#This Row],[Strike]], 0.0411, Table133[[#This Row],[T]], ((Table133[[#This Row],[BIDC]]+Table133[[#This Row],[ASKC]])/2), TRUE)</f>
        <v>0.01</v>
      </c>
      <c r="I497" t="b">
        <f>IF(     ISNUMBER(Table133[[#This Row],[Strike]]),RTD("tos.rtd", , "BID", "."&amp;Table133[[#This Row],[Ticker]]&amp;Table133[[#This Row],[Expiry]]&amp;""&amp;"C"&amp;Table133[[#This Row],[Strike]]))</f>
        <v>0</v>
      </c>
      <c r="J497" t="b">
        <f>IF(     ISNUMBER(Table133[[#This Row],[Strike]]),RTD("tos.rtd", , "ASK", "."&amp;Table133[[#This Row],[Ticker]]&amp;Table133[[#This Row],[Expiry]]&amp;""&amp;"C"&amp;Table133[[#This Row],[Strike]]))</f>
        <v>0</v>
      </c>
      <c r="K497" s="17"/>
      <c r="M497" s="1">
        <f t="shared" si="50"/>
        <v>0</v>
      </c>
      <c r="N497" t="b">
        <f t="shared" si="51"/>
        <v>0</v>
      </c>
      <c r="P497" s="17" cm="1">
        <f t="array" aca="1" ref="P497" ca="1">IndividualLegIVCore($A$4, Table133[[#This Row],[Strike]], 0.0411, Table133[[#This Row],[T]], ((Table133[[#This Row],[BIDP]]+Table133[[#This Row],[ASKP]])/2), FALSE)</f>
        <v>0.01</v>
      </c>
      <c r="Q497" t="b">
        <f>IF(     ISNUMBER(Table133[[#This Row],[Strike]]),RTD("tos.rtd", , "BID", "."&amp;Table133[[#This Row],[Ticker]]&amp;Table133[[#This Row],[Expiry]]&amp;""&amp;"P"&amp;Table133[[#This Row],[Strike]]))</f>
        <v>0</v>
      </c>
      <c r="R497" t="b">
        <f>IF(     ISNUMBER(Table133[[#This Row],[Strike]]),RTD("tos.rtd", , "ASK", "."&amp;Table133[[#This Row],[Ticker]]&amp;Table133[[#This Row],[Expiry]]&amp;""&amp;"P"&amp;Table133[[#This Row],[Strike]]))</f>
        <v>0</v>
      </c>
      <c r="S497" s="17"/>
      <c r="T497" t="b">
        <f>IF(     ISNUMBER(Table133[[#This Row],[Strike]]),RTD("tos.rtd", , "OPEN_INT", "."&amp;Table133[[#This Row],[Ticker]]&amp;Table133[[#This Row],[Expiry]]&amp;""&amp;"P"&amp;Table133[[#This Row],[Strike]]))</f>
        <v>0</v>
      </c>
      <c r="U49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7" t="b">
        <f>IF(     ISNUMBER(Table133[[#This Row],[Strike]]),RTD("tos.rtd", , "DELTA", "."&amp;Table133[[#This Row],[Ticker]]&amp;Table133[[#This Row],[Expiry]]&amp;""&amp;"P"&amp;Table133[[#This Row],[Strike]]))</f>
        <v>0</v>
      </c>
      <c r="Y497" s="21">
        <f>-9.5* IF($M$1="NDX", 10, IF(OR($M$1="SPX", $M$1="RUT"), 2, 1))</f>
        <v>-19</v>
      </c>
      <c r="Z497">
        <f ca="1">IFERROR(Table133[[#This Row],[call gamma]]*(Table133[[#This Row],[Open.Int]])*$A$4^2,0)</f>
        <v>0</v>
      </c>
      <c r="AA497">
        <f ca="1">IFERROR(((Table133[[#This Row],[Open.Int8]])*Table133[[#This Row],[Put gamma]])*-1*$A$4^2,0)</f>
        <v>0</v>
      </c>
      <c r="AB497">
        <f ca="1">(Table133[[#This Row],[Call Gex]]+Table133[[#This Row],[Put Gex]])</f>
        <v>0</v>
      </c>
      <c r="AC497">
        <f ca="1">Table133[[#This Row],[put delta adj]]+Table133[[#This Row],[call delta adj]]</f>
        <v>0</v>
      </c>
      <c r="AD497">
        <f ca="1">Table133[[#This Row],[Put Gex]]*Table133[[#This Row],[DeltaP]]*-1</f>
        <v>0</v>
      </c>
      <c r="AE497">
        <f ca="1">Table133[[#This Row],[Call Gex]]*Table133[[#This Row],[DeltaC]]</f>
        <v>0</v>
      </c>
      <c r="AF497">
        <f>IF(Table133[[#This Row],[DeltaC]]-ABS(Table133[[#This Row],[DeltaP]])="0","0.01",Table133[[#This Row],[DeltaC]]-ABS(Table133[[#This Row],[DeltaP]]))</f>
        <v>0</v>
      </c>
      <c r="AG497" t="e">
        <f ca="1">((LN($A$4/Table133[[#This Row],[Strike]]) + (0.411 + 0.5 * Table133[[#This Row],[IV Calc P]]^2) *Table133[[#This Row],[T]])) / (Table133[[#This Row],[IV Calc P]] * SQRT(Table133[[#This Row],[T]]))</f>
        <v>#DIV/0!</v>
      </c>
      <c r="AH497" t="e">
        <f ca="1">(LN($A$4/Table133[[#This Row],[Strike]]) + (0.411-0 + 0.5 * Table133[[#This Row],[IV Calc C]]^2) *Table133[[#This Row],[T]]) / (Table133[[#This Row],[IV Calc C]] * SQRT(Table133[[#This Row],[T]]))</f>
        <v>#DIV/0!</v>
      </c>
      <c r="AI497" t="e">
        <f ca="1">(EXP(-(AG497^2)/2)/SQRT(2*PI())*EXP(0*SQRT(Table133[[#This Row],[T]]))/$A$4*18%*SQRT(SQRT(Table133[[#This Row],[T]])))</f>
        <v>#DIV/0!</v>
      </c>
      <c r="AJ497" t="e">
        <f ca="1">(EXP(-(AH497^2)/2)/SQRT(2*PI())*EXP(0*SQRT(Table133[[#This Row],[T]]))/$A$4*18%*SQRT(SQRT(Table133[[#This Row],[T]])))</f>
        <v>#DIV/0!</v>
      </c>
      <c r="AK497" t="e">
        <f ca="1">Table133[[#This Row],[Call D1]]-Table133[[#This Row],[IV Calc C]]*SQRT(Table133[[#This Row],[T]])</f>
        <v>#DIV/0!</v>
      </c>
      <c r="AL497" t="e">
        <f ca="1">Table133[[#This Row],[Put D1]]-Table133[[#This Row],[IV Calc P]]*SQRT(Table133[[#This Row],[T]])</f>
        <v>#DIV/0!</v>
      </c>
      <c r="AM497" t="e">
        <f ca="1">EXP(-0.5*Table133[[#This Row],[Call D1]]^2)/SQRT(2*PI())</f>
        <v>#DIV/0!</v>
      </c>
      <c r="AN497" t="e">
        <f ca="1">EXP(-0.5*Table133[[#This Row],[Put D1]]^2)/SQRT(2*PI())</f>
        <v>#DIV/0!</v>
      </c>
      <c r="AO49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7">
        <f ca="1">((Table133[[#This Row],[call vanna]]+Table133[[#This Row],[put vanna]])*$A$4)</f>
        <v>0</v>
      </c>
      <c r="AR49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7" s="9" t="str" cm="1">
        <f t="array" ref="AT497">_xlfn.IFS(     $M$1="SPX","SPXW",     $M$1="RUT","RUTW",  $M$1="NDX","NDXP",   TRUE,$M$1 )</f>
        <v>SPXW</v>
      </c>
      <c r="AU497" s="2">
        <f t="shared" si="52"/>
        <v>6915</v>
      </c>
      <c r="AV497" t="str">
        <f t="shared" si="53"/>
        <v>000100</v>
      </c>
      <c r="AY49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7">
        <f>((Table133[[#This Row],[High C]]+Table133[[#This Row],[Low C]])/2)*Table133[[#This Row],[gammac]]*Table133[[#This Row],[Volume]]</f>
        <v>0</v>
      </c>
      <c r="BD497">
        <f>((Table133[[#This Row],[High P]]+Table133[[#This Row],[Low P]])/2)*Table133[[#This Row],[gammap]]*Table133[[#This Row],[Volume9]]*-1</f>
        <v>0</v>
      </c>
      <c r="BE497">
        <f>(Table133[[#This Row],[SgammaC]]+Table133[[#This Row],[SgammaP]])*$A$4*-100</f>
        <v>0</v>
      </c>
      <c r="BF497" s="78">
        <f>Table133[[#This Row],[DEXc]]+Table133[[#This Row],[DEXp]]</f>
        <v>0</v>
      </c>
      <c r="BG497">
        <f>IFERROR(Table133[[#This Row],[DeltaC]]*Table133[[#This Row],[Open.Int]]*$A$4,0)</f>
        <v>0</v>
      </c>
      <c r="BH497">
        <f>IFERROR(Table133[[#This Row],[DeltaP]]*Table133[[#This Row],[Open.Int8]]*$A$4,0)</f>
        <v>0</v>
      </c>
      <c r="BI49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7">
        <f ca="1">Table133[[#This Row],[charmc]]+Table133[[#This Row],[charmp]]</f>
        <v>0</v>
      </c>
      <c r="BL49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7" s="78">
        <f ca="1">Table133[[#This Row],[call helper]]+Table133[[#This Row],[put helper]]</f>
        <v>0</v>
      </c>
      <c r="BP497" t="str">
        <f>RTD("tos.rtd", , "STRIKE", "."&amp;Table133[[#This Row],[Ticker]]&amp;Table133[[#This Row],[Expiry]]&amp;""&amp;"C"&amp;Table133[[#This Row],[Spot]]+Table133[[#This Row],[step]])</f>
        <v>N/A</v>
      </c>
    </row>
    <row r="498" spans="1:68" x14ac:dyDescent="0.25">
      <c r="A498" s="14">
        <f t="shared" ca="1" si="49"/>
        <v>-126.14810350076104</v>
      </c>
      <c r="C498" s="17"/>
      <c r="D498" t="str">
        <f>RTD("tos.rtd", , "OPEN_INT", "."&amp;Table133[[#This Row],[Ticker]]&amp;Table133[[#This Row],[Expiry]]&amp;""&amp;"C"&amp;Table133[[#This Row],[Spot]]+Table133[[#This Row],[step]])</f>
        <v>N/A</v>
      </c>
      <c r="E49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8" t="b">
        <f>IF(     ISNUMBER(Table133[[#This Row],[Strike]]),RTD("tos.rtd", , "DELTA", "."&amp;Table133[[#This Row],[Ticker]]&amp;Table133[[#This Row],[Expiry]]&amp;""&amp;"C"&amp;Table133[[#This Row],[Strike]]))</f>
        <v>0</v>
      </c>
      <c r="H498" s="17" cm="1">
        <f t="array" aca="1" ref="H498" ca="1">IndividualLegIVCore($A$4, Table133[[#This Row],[Strike]], 0.0411, Table133[[#This Row],[T]], ((Table133[[#This Row],[BIDC]]+Table133[[#This Row],[ASKC]])/2), TRUE)</f>
        <v>0.01</v>
      </c>
      <c r="I498" t="b">
        <f>IF(     ISNUMBER(Table133[[#This Row],[Strike]]),RTD("tos.rtd", , "BID", "."&amp;Table133[[#This Row],[Ticker]]&amp;Table133[[#This Row],[Expiry]]&amp;""&amp;"C"&amp;Table133[[#This Row],[Strike]]))</f>
        <v>0</v>
      </c>
      <c r="J498" t="b">
        <f>IF(     ISNUMBER(Table133[[#This Row],[Strike]]),RTD("tos.rtd", , "ASK", "."&amp;Table133[[#This Row],[Ticker]]&amp;Table133[[#This Row],[Expiry]]&amp;""&amp;"C"&amp;Table133[[#This Row],[Strike]]))</f>
        <v>0</v>
      </c>
      <c r="K498" s="17"/>
      <c r="M498" s="1">
        <f t="shared" si="50"/>
        <v>0</v>
      </c>
      <c r="N498" t="b">
        <f t="shared" si="51"/>
        <v>0</v>
      </c>
      <c r="P498" s="17" cm="1">
        <f t="array" aca="1" ref="P498" ca="1">IndividualLegIVCore($A$4, Table133[[#This Row],[Strike]], 0.0411, Table133[[#This Row],[T]], ((Table133[[#This Row],[BIDP]]+Table133[[#This Row],[ASKP]])/2), FALSE)</f>
        <v>0.01</v>
      </c>
      <c r="Q498" t="b">
        <f>IF(     ISNUMBER(Table133[[#This Row],[Strike]]),RTD("tos.rtd", , "BID", "."&amp;Table133[[#This Row],[Ticker]]&amp;Table133[[#This Row],[Expiry]]&amp;""&amp;"P"&amp;Table133[[#This Row],[Strike]]))</f>
        <v>0</v>
      </c>
      <c r="R498" t="b">
        <f>IF(     ISNUMBER(Table133[[#This Row],[Strike]]),RTD("tos.rtd", , "ASK", "."&amp;Table133[[#This Row],[Ticker]]&amp;Table133[[#This Row],[Expiry]]&amp;""&amp;"P"&amp;Table133[[#This Row],[Strike]]))</f>
        <v>0</v>
      </c>
      <c r="S498" s="17"/>
      <c r="T498" t="b">
        <f>IF(     ISNUMBER(Table133[[#This Row],[Strike]]),RTD("tos.rtd", , "OPEN_INT", "."&amp;Table133[[#This Row],[Ticker]]&amp;Table133[[#This Row],[Expiry]]&amp;""&amp;"P"&amp;Table133[[#This Row],[Strike]]))</f>
        <v>0</v>
      </c>
      <c r="U49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8" t="b">
        <f>IF(     ISNUMBER(Table133[[#This Row],[Strike]]),RTD("tos.rtd", , "DELTA", "."&amp;Table133[[#This Row],[Ticker]]&amp;Table133[[#This Row],[Expiry]]&amp;""&amp;"P"&amp;Table133[[#This Row],[Strike]]))</f>
        <v>0</v>
      </c>
      <c r="Y498" s="19">
        <f>-9* IF($M$1="NDX", 10, IF(OR($M$1="SPX", $M$1="RUT"), 2, 1))</f>
        <v>-18</v>
      </c>
      <c r="Z498">
        <f ca="1">IFERROR(Table133[[#This Row],[call gamma]]*(Table133[[#This Row],[Open.Int]])*$A$4^2,0)</f>
        <v>0</v>
      </c>
      <c r="AA498">
        <f ca="1">IFERROR(((Table133[[#This Row],[Open.Int8]])*Table133[[#This Row],[Put gamma]])*-1*$A$4^2,0)</f>
        <v>0</v>
      </c>
      <c r="AB498">
        <f ca="1">(Table133[[#This Row],[Call Gex]]+Table133[[#This Row],[Put Gex]])</f>
        <v>0</v>
      </c>
      <c r="AC498">
        <f ca="1">Table133[[#This Row],[put delta adj]]+Table133[[#This Row],[call delta adj]]</f>
        <v>0</v>
      </c>
      <c r="AD498">
        <f ca="1">Table133[[#This Row],[Put Gex]]*Table133[[#This Row],[DeltaP]]*-1</f>
        <v>0</v>
      </c>
      <c r="AE498">
        <f ca="1">Table133[[#This Row],[Call Gex]]*Table133[[#This Row],[DeltaC]]</f>
        <v>0</v>
      </c>
      <c r="AF498">
        <f>IF(Table133[[#This Row],[DeltaC]]-ABS(Table133[[#This Row],[DeltaP]])="0","0.01",Table133[[#This Row],[DeltaC]]-ABS(Table133[[#This Row],[DeltaP]]))</f>
        <v>0</v>
      </c>
      <c r="AG498" t="e">
        <f ca="1">((LN($A$4/Table133[[#This Row],[Strike]]) + (0.411 + 0.5 * Table133[[#This Row],[IV Calc P]]^2) *Table133[[#This Row],[T]])) / (Table133[[#This Row],[IV Calc P]] * SQRT(Table133[[#This Row],[T]]))</f>
        <v>#DIV/0!</v>
      </c>
      <c r="AH498" t="e">
        <f ca="1">(LN($A$4/Table133[[#This Row],[Strike]]) + (0.411-0 + 0.5 * Table133[[#This Row],[IV Calc C]]^2) *Table133[[#This Row],[T]]) / (Table133[[#This Row],[IV Calc C]] * SQRT(Table133[[#This Row],[T]]))</f>
        <v>#DIV/0!</v>
      </c>
      <c r="AI498" t="e">
        <f ca="1">(EXP(-(AG498^2)/2)/SQRT(2*PI())*EXP(0*SQRT(Table133[[#This Row],[T]]))/$A$4*18%*SQRT(SQRT(Table133[[#This Row],[T]])))</f>
        <v>#DIV/0!</v>
      </c>
      <c r="AJ498" t="e">
        <f ca="1">(EXP(-(AH498^2)/2)/SQRT(2*PI())*EXP(0*SQRT(Table133[[#This Row],[T]]))/$A$4*18%*SQRT(SQRT(Table133[[#This Row],[T]])))</f>
        <v>#DIV/0!</v>
      </c>
      <c r="AK498" t="e">
        <f ca="1">Table133[[#This Row],[Call D1]]-Table133[[#This Row],[IV Calc C]]*SQRT(Table133[[#This Row],[T]])</f>
        <v>#DIV/0!</v>
      </c>
      <c r="AL498" t="e">
        <f ca="1">Table133[[#This Row],[Put D1]]-Table133[[#This Row],[IV Calc P]]*SQRT(Table133[[#This Row],[T]])</f>
        <v>#DIV/0!</v>
      </c>
      <c r="AM498" t="e">
        <f ca="1">EXP(-0.5*Table133[[#This Row],[Call D1]]^2)/SQRT(2*PI())</f>
        <v>#DIV/0!</v>
      </c>
      <c r="AN498" t="e">
        <f ca="1">EXP(-0.5*Table133[[#This Row],[Put D1]]^2)/SQRT(2*PI())</f>
        <v>#DIV/0!</v>
      </c>
      <c r="AO49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8">
        <f ca="1">((Table133[[#This Row],[call vanna]]+Table133[[#This Row],[put vanna]])*$A$4)</f>
        <v>0</v>
      </c>
      <c r="AR49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8" s="9" t="str" cm="1">
        <f t="array" ref="AT498">_xlfn.IFS(     $M$1="SPX","SPXW",     $M$1="RUT","RUTW",  $M$1="NDX","NDXP",   TRUE,$M$1 )</f>
        <v>SPXW</v>
      </c>
      <c r="AU498" s="2">
        <f t="shared" si="52"/>
        <v>6915</v>
      </c>
      <c r="AV498" t="str">
        <f t="shared" si="53"/>
        <v>000100</v>
      </c>
      <c r="AY49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8">
        <f>((Table133[[#This Row],[High C]]+Table133[[#This Row],[Low C]])/2)*Table133[[#This Row],[gammac]]*Table133[[#This Row],[Volume]]</f>
        <v>0</v>
      </c>
      <c r="BD498">
        <f>((Table133[[#This Row],[High P]]+Table133[[#This Row],[Low P]])/2)*Table133[[#This Row],[gammap]]*Table133[[#This Row],[Volume9]]*-1</f>
        <v>0</v>
      </c>
      <c r="BE498">
        <f>(Table133[[#This Row],[SgammaC]]+Table133[[#This Row],[SgammaP]])*$A$4*-100</f>
        <v>0</v>
      </c>
      <c r="BF498" s="78">
        <f>Table133[[#This Row],[DEXc]]+Table133[[#This Row],[DEXp]]</f>
        <v>0</v>
      </c>
      <c r="BG498">
        <f>IFERROR(Table133[[#This Row],[DeltaC]]*Table133[[#This Row],[Open.Int]]*$A$4,0)</f>
        <v>0</v>
      </c>
      <c r="BH498">
        <f>IFERROR(Table133[[#This Row],[DeltaP]]*Table133[[#This Row],[Open.Int8]]*$A$4,0)</f>
        <v>0</v>
      </c>
      <c r="BI49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8">
        <f ca="1">Table133[[#This Row],[charmc]]+Table133[[#This Row],[charmp]]</f>
        <v>0</v>
      </c>
      <c r="BL49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8" s="78">
        <f ca="1">Table133[[#This Row],[call helper]]+Table133[[#This Row],[put helper]]</f>
        <v>0</v>
      </c>
      <c r="BP498" t="str">
        <f>RTD("tos.rtd", , "STRIKE", "."&amp;Table133[[#This Row],[Ticker]]&amp;Table133[[#This Row],[Expiry]]&amp;""&amp;"C"&amp;Table133[[#This Row],[Spot]]+Table133[[#This Row],[step]])</f>
        <v>N/A</v>
      </c>
    </row>
    <row r="499" spans="1:68" x14ac:dyDescent="0.25">
      <c r="A499" s="14">
        <f t="shared" ca="1" si="49"/>
        <v>-126.14810350076104</v>
      </c>
      <c r="C499" s="17"/>
      <c r="D499" t="str">
        <f>RTD("tos.rtd", , "OPEN_INT", "."&amp;Table133[[#This Row],[Ticker]]&amp;Table133[[#This Row],[Expiry]]&amp;""&amp;"C"&amp;Table133[[#This Row],[Spot]]+Table133[[#This Row],[step]])</f>
        <v>N/A</v>
      </c>
      <c r="E49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9" t="b">
        <f>IF(     ISNUMBER(Table133[[#This Row],[Strike]]),RTD("tos.rtd", , "DELTA", "."&amp;Table133[[#This Row],[Ticker]]&amp;Table133[[#This Row],[Expiry]]&amp;""&amp;"C"&amp;Table133[[#This Row],[Strike]]))</f>
        <v>0</v>
      </c>
      <c r="H499" s="17" cm="1">
        <f t="array" aca="1" ref="H499" ca="1">IndividualLegIVCore($A$4, Table133[[#This Row],[Strike]], 0.0411, Table133[[#This Row],[T]], ((Table133[[#This Row],[BIDC]]+Table133[[#This Row],[ASKC]])/2), TRUE)</f>
        <v>0.01</v>
      </c>
      <c r="I499" t="b">
        <f>IF(     ISNUMBER(Table133[[#This Row],[Strike]]),RTD("tos.rtd", , "BID", "."&amp;Table133[[#This Row],[Ticker]]&amp;Table133[[#This Row],[Expiry]]&amp;""&amp;"C"&amp;Table133[[#This Row],[Strike]]))</f>
        <v>0</v>
      </c>
      <c r="J499" t="b">
        <f>IF(     ISNUMBER(Table133[[#This Row],[Strike]]),RTD("tos.rtd", , "ASK", "."&amp;Table133[[#This Row],[Ticker]]&amp;Table133[[#This Row],[Expiry]]&amp;""&amp;"C"&amp;Table133[[#This Row],[Strike]]))</f>
        <v>0</v>
      </c>
      <c r="K499" s="17"/>
      <c r="M499" s="1">
        <f t="shared" si="50"/>
        <v>0</v>
      </c>
      <c r="N499" t="b">
        <f t="shared" si="51"/>
        <v>0</v>
      </c>
      <c r="P499" s="17" cm="1">
        <f t="array" aca="1" ref="P499" ca="1">IndividualLegIVCore($A$4, Table133[[#This Row],[Strike]], 0.0411, Table133[[#This Row],[T]], ((Table133[[#This Row],[BIDP]]+Table133[[#This Row],[ASKP]])/2), FALSE)</f>
        <v>0.01</v>
      </c>
      <c r="Q499" t="b">
        <f>IF(     ISNUMBER(Table133[[#This Row],[Strike]]),RTD("tos.rtd", , "BID", "."&amp;Table133[[#This Row],[Ticker]]&amp;Table133[[#This Row],[Expiry]]&amp;""&amp;"P"&amp;Table133[[#This Row],[Strike]]))</f>
        <v>0</v>
      </c>
      <c r="R499" t="b">
        <f>IF(     ISNUMBER(Table133[[#This Row],[Strike]]),RTD("tos.rtd", , "ASK", "."&amp;Table133[[#This Row],[Ticker]]&amp;Table133[[#This Row],[Expiry]]&amp;""&amp;"P"&amp;Table133[[#This Row],[Strike]]))</f>
        <v>0</v>
      </c>
      <c r="S499" s="17"/>
      <c r="T499" t="b">
        <f>IF(     ISNUMBER(Table133[[#This Row],[Strike]]),RTD("tos.rtd", , "OPEN_INT", "."&amp;Table133[[#This Row],[Ticker]]&amp;Table133[[#This Row],[Expiry]]&amp;""&amp;"P"&amp;Table133[[#This Row],[Strike]]))</f>
        <v>0</v>
      </c>
      <c r="U49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9" t="b">
        <f>IF(     ISNUMBER(Table133[[#This Row],[Strike]]),RTD("tos.rtd", , "DELTA", "."&amp;Table133[[#This Row],[Ticker]]&amp;Table133[[#This Row],[Expiry]]&amp;""&amp;"P"&amp;Table133[[#This Row],[Strike]]))</f>
        <v>0</v>
      </c>
      <c r="Y499" s="19">
        <f>-8.5* IF($M$1="NDX", 10, IF(OR($M$1="SPX", $M$1="RUT"), 2, 1))</f>
        <v>-17</v>
      </c>
      <c r="Z499">
        <f ca="1">IFERROR(Table133[[#This Row],[call gamma]]*(Table133[[#This Row],[Open.Int]])*$A$4^2,0)</f>
        <v>0</v>
      </c>
      <c r="AA499">
        <f ca="1">IFERROR(((Table133[[#This Row],[Open.Int8]])*Table133[[#This Row],[Put gamma]])*-1*$A$4^2,0)</f>
        <v>0</v>
      </c>
      <c r="AB499">
        <f ca="1">(Table133[[#This Row],[Call Gex]]+Table133[[#This Row],[Put Gex]])</f>
        <v>0</v>
      </c>
      <c r="AC499">
        <f ca="1">Table133[[#This Row],[put delta adj]]+Table133[[#This Row],[call delta adj]]</f>
        <v>0</v>
      </c>
      <c r="AD499">
        <f ca="1">Table133[[#This Row],[Put Gex]]*Table133[[#This Row],[DeltaP]]*-1</f>
        <v>0</v>
      </c>
      <c r="AE499">
        <f ca="1">Table133[[#This Row],[Call Gex]]*Table133[[#This Row],[DeltaC]]</f>
        <v>0</v>
      </c>
      <c r="AF499">
        <f>IF(Table133[[#This Row],[DeltaC]]-ABS(Table133[[#This Row],[DeltaP]])="0","0.01",Table133[[#This Row],[DeltaC]]-ABS(Table133[[#This Row],[DeltaP]]))</f>
        <v>0</v>
      </c>
      <c r="AG499" t="e">
        <f ca="1">((LN($A$4/Table133[[#This Row],[Strike]]) + (0.411 + 0.5 * Table133[[#This Row],[IV Calc P]]^2) *Table133[[#This Row],[T]])) / (Table133[[#This Row],[IV Calc P]] * SQRT(Table133[[#This Row],[T]]))</f>
        <v>#DIV/0!</v>
      </c>
      <c r="AH499" t="e">
        <f ca="1">(LN($A$4/Table133[[#This Row],[Strike]]) + (0.411-0 + 0.5 * Table133[[#This Row],[IV Calc C]]^2) *Table133[[#This Row],[T]]) / (Table133[[#This Row],[IV Calc C]] * SQRT(Table133[[#This Row],[T]]))</f>
        <v>#DIV/0!</v>
      </c>
      <c r="AI499" t="e">
        <f ca="1">(EXP(-(AG499^2)/2)/SQRT(2*PI())*EXP(0*SQRT(Table133[[#This Row],[T]]))/$A$4*18%*SQRT(SQRT(Table133[[#This Row],[T]])))</f>
        <v>#DIV/0!</v>
      </c>
      <c r="AJ499" t="e">
        <f ca="1">(EXP(-(AH499^2)/2)/SQRT(2*PI())*EXP(0*SQRT(Table133[[#This Row],[T]]))/$A$4*18%*SQRT(SQRT(Table133[[#This Row],[T]])))</f>
        <v>#DIV/0!</v>
      </c>
      <c r="AK499" t="e">
        <f ca="1">Table133[[#This Row],[Call D1]]-Table133[[#This Row],[IV Calc C]]*SQRT(Table133[[#This Row],[T]])</f>
        <v>#DIV/0!</v>
      </c>
      <c r="AL499" t="e">
        <f ca="1">Table133[[#This Row],[Put D1]]-Table133[[#This Row],[IV Calc P]]*SQRT(Table133[[#This Row],[T]])</f>
        <v>#DIV/0!</v>
      </c>
      <c r="AM499" t="e">
        <f ca="1">EXP(-0.5*Table133[[#This Row],[Call D1]]^2)/SQRT(2*PI())</f>
        <v>#DIV/0!</v>
      </c>
      <c r="AN499" t="e">
        <f ca="1">EXP(-0.5*Table133[[#This Row],[Put D1]]^2)/SQRT(2*PI())</f>
        <v>#DIV/0!</v>
      </c>
      <c r="AO49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9">
        <f ca="1">((Table133[[#This Row],[call vanna]]+Table133[[#This Row],[put vanna]])*$A$4)</f>
        <v>0</v>
      </c>
      <c r="AR49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9" s="9" t="str" cm="1">
        <f t="array" ref="AT499">_xlfn.IFS(     $M$1="SPX","SPXW",     $M$1="RUT","RUTW",  $M$1="NDX","NDXP",   TRUE,$M$1 )</f>
        <v>SPXW</v>
      </c>
      <c r="AU499" s="2">
        <f t="shared" si="52"/>
        <v>6915</v>
      </c>
      <c r="AV499" t="str">
        <f t="shared" si="53"/>
        <v>000100</v>
      </c>
      <c r="AY49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9">
        <f>((Table133[[#This Row],[High C]]+Table133[[#This Row],[Low C]])/2)*Table133[[#This Row],[gammac]]*Table133[[#This Row],[Volume]]</f>
        <v>0</v>
      </c>
      <c r="BD499">
        <f>((Table133[[#This Row],[High P]]+Table133[[#This Row],[Low P]])/2)*Table133[[#This Row],[gammap]]*Table133[[#This Row],[Volume9]]*-1</f>
        <v>0</v>
      </c>
      <c r="BE499">
        <f>(Table133[[#This Row],[SgammaC]]+Table133[[#This Row],[SgammaP]])*$A$4*-100</f>
        <v>0</v>
      </c>
      <c r="BF499" s="78">
        <f>Table133[[#This Row],[DEXc]]+Table133[[#This Row],[DEXp]]</f>
        <v>0</v>
      </c>
      <c r="BG499">
        <f>IFERROR(Table133[[#This Row],[DeltaC]]*Table133[[#This Row],[Open.Int]]*$A$4,0)</f>
        <v>0</v>
      </c>
      <c r="BH499">
        <f>IFERROR(Table133[[#This Row],[DeltaP]]*Table133[[#This Row],[Open.Int8]]*$A$4,0)</f>
        <v>0</v>
      </c>
      <c r="BI49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9">
        <f ca="1">Table133[[#This Row],[charmc]]+Table133[[#This Row],[charmp]]</f>
        <v>0</v>
      </c>
      <c r="BL49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9" s="78">
        <f ca="1">Table133[[#This Row],[call helper]]+Table133[[#This Row],[put helper]]</f>
        <v>0</v>
      </c>
      <c r="BP499" t="str">
        <f>RTD("tos.rtd", , "STRIKE", "."&amp;Table133[[#This Row],[Ticker]]&amp;Table133[[#This Row],[Expiry]]&amp;""&amp;"C"&amp;Table133[[#This Row],[Spot]]+Table133[[#This Row],[step]])</f>
        <v>N/A</v>
      </c>
    </row>
    <row r="500" spans="1:68" x14ac:dyDescent="0.25">
      <c r="A500" s="14">
        <f t="shared" ca="1" si="49"/>
        <v>-126.14810350076104</v>
      </c>
      <c r="C500" s="17"/>
      <c r="D500" t="str">
        <f>RTD("tos.rtd", , "OPEN_INT", "."&amp;Table133[[#This Row],[Ticker]]&amp;Table133[[#This Row],[Expiry]]&amp;""&amp;"C"&amp;Table133[[#This Row],[Spot]]+Table133[[#This Row],[step]])</f>
        <v>N/A</v>
      </c>
      <c r="E50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0" t="b">
        <f>IF(     ISNUMBER(Table133[[#This Row],[Strike]]),RTD("tos.rtd", , "DELTA", "."&amp;Table133[[#This Row],[Ticker]]&amp;Table133[[#This Row],[Expiry]]&amp;""&amp;"C"&amp;Table133[[#This Row],[Strike]]))</f>
        <v>0</v>
      </c>
      <c r="H500" s="17" cm="1">
        <f t="array" aca="1" ref="H500" ca="1">IndividualLegIVCore($A$4, Table133[[#This Row],[Strike]], 0.0411, Table133[[#This Row],[T]], ((Table133[[#This Row],[BIDC]]+Table133[[#This Row],[ASKC]])/2), TRUE)</f>
        <v>0.01</v>
      </c>
      <c r="I500" t="b">
        <f>IF(     ISNUMBER(Table133[[#This Row],[Strike]]),RTD("tos.rtd", , "BID", "."&amp;Table133[[#This Row],[Ticker]]&amp;Table133[[#This Row],[Expiry]]&amp;""&amp;"C"&amp;Table133[[#This Row],[Strike]]))</f>
        <v>0</v>
      </c>
      <c r="J500" t="b">
        <f>IF(     ISNUMBER(Table133[[#This Row],[Strike]]),RTD("tos.rtd", , "ASK", "."&amp;Table133[[#This Row],[Ticker]]&amp;Table133[[#This Row],[Expiry]]&amp;""&amp;"C"&amp;Table133[[#This Row],[Strike]]))</f>
        <v>0</v>
      </c>
      <c r="K500" s="17"/>
      <c r="M500" s="1">
        <f t="shared" si="50"/>
        <v>0</v>
      </c>
      <c r="N500" t="b">
        <f t="shared" si="51"/>
        <v>0</v>
      </c>
      <c r="P500" s="17" cm="1">
        <f t="array" aca="1" ref="P500" ca="1">IndividualLegIVCore($A$4, Table133[[#This Row],[Strike]], 0.0411, Table133[[#This Row],[T]], ((Table133[[#This Row],[BIDP]]+Table133[[#This Row],[ASKP]])/2), FALSE)</f>
        <v>0.01</v>
      </c>
      <c r="Q500" t="b">
        <f>IF(     ISNUMBER(Table133[[#This Row],[Strike]]),RTD("tos.rtd", , "BID", "."&amp;Table133[[#This Row],[Ticker]]&amp;Table133[[#This Row],[Expiry]]&amp;""&amp;"P"&amp;Table133[[#This Row],[Strike]]))</f>
        <v>0</v>
      </c>
      <c r="R500" t="b">
        <f>IF(     ISNUMBER(Table133[[#This Row],[Strike]]),RTD("tos.rtd", , "ASK", "."&amp;Table133[[#This Row],[Ticker]]&amp;Table133[[#This Row],[Expiry]]&amp;""&amp;"P"&amp;Table133[[#This Row],[Strike]]))</f>
        <v>0</v>
      </c>
      <c r="S500" s="17"/>
      <c r="T500" t="b">
        <f>IF(     ISNUMBER(Table133[[#This Row],[Strike]]),RTD("tos.rtd", , "OPEN_INT", "."&amp;Table133[[#This Row],[Ticker]]&amp;Table133[[#This Row],[Expiry]]&amp;""&amp;"P"&amp;Table133[[#This Row],[Strike]]))</f>
        <v>0</v>
      </c>
      <c r="U50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0" t="b">
        <f>IF(     ISNUMBER(Table133[[#This Row],[Strike]]),RTD("tos.rtd", , "DELTA", "."&amp;Table133[[#This Row],[Ticker]]&amp;Table133[[#This Row],[Expiry]]&amp;""&amp;"P"&amp;Table133[[#This Row],[Strike]]))</f>
        <v>0</v>
      </c>
      <c r="Y500" s="19">
        <f>-8* IF($M$1="NDX", 10, IF(OR($M$1="SPX", $M$1="RUT"), 2, 1))</f>
        <v>-16</v>
      </c>
      <c r="Z500">
        <f ca="1">IFERROR(Table133[[#This Row],[call gamma]]*(Table133[[#This Row],[Open.Int]])*$A$4^2,0)</f>
        <v>0</v>
      </c>
      <c r="AA500">
        <f ca="1">IFERROR(((Table133[[#This Row],[Open.Int8]])*Table133[[#This Row],[Put gamma]])*-1*$A$4^2,0)</f>
        <v>0</v>
      </c>
      <c r="AB500">
        <f ca="1">(Table133[[#This Row],[Call Gex]]+Table133[[#This Row],[Put Gex]])</f>
        <v>0</v>
      </c>
      <c r="AC500">
        <f ca="1">Table133[[#This Row],[put delta adj]]+Table133[[#This Row],[call delta adj]]</f>
        <v>0</v>
      </c>
      <c r="AD500">
        <f ca="1">Table133[[#This Row],[Put Gex]]*Table133[[#This Row],[DeltaP]]*-1</f>
        <v>0</v>
      </c>
      <c r="AE500">
        <f ca="1">Table133[[#This Row],[Call Gex]]*Table133[[#This Row],[DeltaC]]</f>
        <v>0</v>
      </c>
      <c r="AF500">
        <f>IF(Table133[[#This Row],[DeltaC]]-ABS(Table133[[#This Row],[DeltaP]])="0","0.01",Table133[[#This Row],[DeltaC]]-ABS(Table133[[#This Row],[DeltaP]]))</f>
        <v>0</v>
      </c>
      <c r="AG500" t="e">
        <f ca="1">((LN($A$4/Table133[[#This Row],[Strike]]) + (0.411 + 0.5 * Table133[[#This Row],[IV Calc P]]^2) *Table133[[#This Row],[T]])) / (Table133[[#This Row],[IV Calc P]] * SQRT(Table133[[#This Row],[T]]))</f>
        <v>#DIV/0!</v>
      </c>
      <c r="AH500" t="e">
        <f ca="1">(LN($A$4/Table133[[#This Row],[Strike]]) + (0.411-0 + 0.5 * Table133[[#This Row],[IV Calc C]]^2) *Table133[[#This Row],[T]]) / (Table133[[#This Row],[IV Calc C]] * SQRT(Table133[[#This Row],[T]]))</f>
        <v>#DIV/0!</v>
      </c>
      <c r="AI500" t="e">
        <f ca="1">(EXP(-(AG500^2)/2)/SQRT(2*PI())*EXP(0*SQRT(Table133[[#This Row],[T]]))/$A$4*18%*SQRT(SQRT(Table133[[#This Row],[T]])))</f>
        <v>#DIV/0!</v>
      </c>
      <c r="AJ500" t="e">
        <f ca="1">(EXP(-(AH500^2)/2)/SQRT(2*PI())*EXP(0*SQRT(Table133[[#This Row],[T]]))/$A$4*18%*SQRT(SQRT(Table133[[#This Row],[T]])))</f>
        <v>#DIV/0!</v>
      </c>
      <c r="AK500" t="e">
        <f ca="1">Table133[[#This Row],[Call D1]]-Table133[[#This Row],[IV Calc C]]*SQRT(Table133[[#This Row],[T]])</f>
        <v>#DIV/0!</v>
      </c>
      <c r="AL500" t="e">
        <f ca="1">Table133[[#This Row],[Put D1]]-Table133[[#This Row],[IV Calc P]]*SQRT(Table133[[#This Row],[T]])</f>
        <v>#DIV/0!</v>
      </c>
      <c r="AM500" t="e">
        <f ca="1">EXP(-0.5*Table133[[#This Row],[Call D1]]^2)/SQRT(2*PI())</f>
        <v>#DIV/0!</v>
      </c>
      <c r="AN500" t="e">
        <f ca="1">EXP(-0.5*Table133[[#This Row],[Put D1]]^2)/SQRT(2*PI())</f>
        <v>#DIV/0!</v>
      </c>
      <c r="AO50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0">
        <f ca="1">((Table133[[#This Row],[call vanna]]+Table133[[#This Row],[put vanna]])*$A$4)</f>
        <v>0</v>
      </c>
      <c r="AR50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0" s="9" t="str" cm="1">
        <f t="array" ref="AT500">_xlfn.IFS(     $M$1="SPX","SPXW",     $M$1="RUT","RUTW",  $M$1="NDX","NDXP",   TRUE,$M$1 )</f>
        <v>SPXW</v>
      </c>
      <c r="AU500" s="2">
        <f t="shared" si="52"/>
        <v>6915</v>
      </c>
      <c r="AV500" t="str">
        <f t="shared" si="53"/>
        <v>000100</v>
      </c>
      <c r="AY50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0">
        <f>((Table133[[#This Row],[High C]]+Table133[[#This Row],[Low C]])/2)*Table133[[#This Row],[gammac]]*Table133[[#This Row],[Volume]]</f>
        <v>0</v>
      </c>
      <c r="BD500">
        <f>((Table133[[#This Row],[High P]]+Table133[[#This Row],[Low P]])/2)*Table133[[#This Row],[gammap]]*Table133[[#This Row],[Volume9]]*-1</f>
        <v>0</v>
      </c>
      <c r="BE500">
        <f>(Table133[[#This Row],[SgammaC]]+Table133[[#This Row],[SgammaP]])*$A$4*-100</f>
        <v>0</v>
      </c>
      <c r="BF500" s="78">
        <f>Table133[[#This Row],[DEXc]]+Table133[[#This Row],[DEXp]]</f>
        <v>0</v>
      </c>
      <c r="BG500">
        <f>IFERROR(Table133[[#This Row],[DeltaC]]*Table133[[#This Row],[Open.Int]]*$A$4,0)</f>
        <v>0</v>
      </c>
      <c r="BH500">
        <f>IFERROR(Table133[[#This Row],[DeltaP]]*Table133[[#This Row],[Open.Int8]]*$A$4,0)</f>
        <v>0</v>
      </c>
      <c r="BI50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0">
        <f ca="1">Table133[[#This Row],[charmc]]+Table133[[#This Row],[charmp]]</f>
        <v>0</v>
      </c>
      <c r="BL50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0" s="78">
        <f ca="1">Table133[[#This Row],[call helper]]+Table133[[#This Row],[put helper]]</f>
        <v>0</v>
      </c>
      <c r="BP500" t="str">
        <f>RTD("tos.rtd", , "STRIKE", "."&amp;Table133[[#This Row],[Ticker]]&amp;Table133[[#This Row],[Expiry]]&amp;""&amp;"C"&amp;Table133[[#This Row],[Spot]]+Table133[[#This Row],[step]])</f>
        <v>N/A</v>
      </c>
    </row>
    <row r="501" spans="1:68" x14ac:dyDescent="0.25">
      <c r="A501" s="14">
        <f t="shared" ca="1" si="49"/>
        <v>-126.14810350076104</v>
      </c>
      <c r="C501" s="17"/>
      <c r="D501" t="str">
        <f>RTD("tos.rtd", , "OPEN_INT", "."&amp;Table133[[#This Row],[Ticker]]&amp;Table133[[#This Row],[Expiry]]&amp;""&amp;"C"&amp;Table133[[#This Row],[Spot]]+Table133[[#This Row],[step]])</f>
        <v>N/A</v>
      </c>
      <c r="E50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1" t="b">
        <f>IF(     ISNUMBER(Table133[[#This Row],[Strike]]),RTD("tos.rtd", , "DELTA", "."&amp;Table133[[#This Row],[Ticker]]&amp;Table133[[#This Row],[Expiry]]&amp;""&amp;"C"&amp;Table133[[#This Row],[Strike]]))</f>
        <v>0</v>
      </c>
      <c r="H501" s="17" cm="1">
        <f t="array" aca="1" ref="H501" ca="1">IndividualLegIVCore($A$4, Table133[[#This Row],[Strike]], 0.0411, Table133[[#This Row],[T]], ((Table133[[#This Row],[BIDC]]+Table133[[#This Row],[ASKC]])/2), TRUE)</f>
        <v>0.01</v>
      </c>
      <c r="I501" t="b">
        <f>IF(     ISNUMBER(Table133[[#This Row],[Strike]]),RTD("tos.rtd", , "BID", "."&amp;Table133[[#This Row],[Ticker]]&amp;Table133[[#This Row],[Expiry]]&amp;""&amp;"C"&amp;Table133[[#This Row],[Strike]]))</f>
        <v>0</v>
      </c>
      <c r="J501" t="b">
        <f>IF(     ISNUMBER(Table133[[#This Row],[Strike]]),RTD("tos.rtd", , "ASK", "."&amp;Table133[[#This Row],[Ticker]]&amp;Table133[[#This Row],[Expiry]]&amp;""&amp;"C"&amp;Table133[[#This Row],[Strike]]))</f>
        <v>0</v>
      </c>
      <c r="K501" s="17"/>
      <c r="M501" s="1">
        <f t="shared" si="50"/>
        <v>0</v>
      </c>
      <c r="N501" t="b">
        <f t="shared" si="51"/>
        <v>0</v>
      </c>
      <c r="P501" s="17" cm="1">
        <f t="array" aca="1" ref="P501" ca="1">IndividualLegIVCore($A$4, Table133[[#This Row],[Strike]], 0.0411, Table133[[#This Row],[T]], ((Table133[[#This Row],[BIDP]]+Table133[[#This Row],[ASKP]])/2), FALSE)</f>
        <v>0.01</v>
      </c>
      <c r="Q501" t="b">
        <f>IF(     ISNUMBER(Table133[[#This Row],[Strike]]),RTD("tos.rtd", , "BID", "."&amp;Table133[[#This Row],[Ticker]]&amp;Table133[[#This Row],[Expiry]]&amp;""&amp;"P"&amp;Table133[[#This Row],[Strike]]))</f>
        <v>0</v>
      </c>
      <c r="R501" t="b">
        <f>IF(     ISNUMBER(Table133[[#This Row],[Strike]]),RTD("tos.rtd", , "ASK", "."&amp;Table133[[#This Row],[Ticker]]&amp;Table133[[#This Row],[Expiry]]&amp;""&amp;"P"&amp;Table133[[#This Row],[Strike]]))</f>
        <v>0</v>
      </c>
      <c r="S501" s="17"/>
      <c r="T501" t="b">
        <f>IF(     ISNUMBER(Table133[[#This Row],[Strike]]),RTD("tos.rtd", , "OPEN_INT", "."&amp;Table133[[#This Row],[Ticker]]&amp;Table133[[#This Row],[Expiry]]&amp;""&amp;"P"&amp;Table133[[#This Row],[Strike]]))</f>
        <v>0</v>
      </c>
      <c r="U50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1" t="b">
        <f>IF(     ISNUMBER(Table133[[#This Row],[Strike]]),RTD("tos.rtd", , "DELTA", "."&amp;Table133[[#This Row],[Ticker]]&amp;Table133[[#This Row],[Expiry]]&amp;""&amp;"P"&amp;Table133[[#This Row],[Strike]]))</f>
        <v>0</v>
      </c>
      <c r="Y501" s="19">
        <f>-7.5* IF($M$1="NDX", 10, IF(OR($M$1="SPX", $M$1="RUT"), 2, 1))</f>
        <v>-15</v>
      </c>
      <c r="Z501">
        <f ca="1">IFERROR(Table133[[#This Row],[call gamma]]*(Table133[[#This Row],[Open.Int]])*$A$4^2,0)</f>
        <v>0</v>
      </c>
      <c r="AA501">
        <f ca="1">IFERROR(((Table133[[#This Row],[Open.Int8]])*Table133[[#This Row],[Put gamma]])*-1*$A$4^2,0)</f>
        <v>0</v>
      </c>
      <c r="AB501">
        <f ca="1">(Table133[[#This Row],[Call Gex]]+Table133[[#This Row],[Put Gex]])</f>
        <v>0</v>
      </c>
      <c r="AC501">
        <f ca="1">Table133[[#This Row],[put delta adj]]+Table133[[#This Row],[call delta adj]]</f>
        <v>0</v>
      </c>
      <c r="AD501">
        <f ca="1">Table133[[#This Row],[Put Gex]]*Table133[[#This Row],[DeltaP]]*-1</f>
        <v>0</v>
      </c>
      <c r="AE501">
        <f ca="1">Table133[[#This Row],[Call Gex]]*Table133[[#This Row],[DeltaC]]</f>
        <v>0</v>
      </c>
      <c r="AF501">
        <f>IF(Table133[[#This Row],[DeltaC]]-ABS(Table133[[#This Row],[DeltaP]])="0","0.01",Table133[[#This Row],[DeltaC]]-ABS(Table133[[#This Row],[DeltaP]]))</f>
        <v>0</v>
      </c>
      <c r="AG501" t="e">
        <f ca="1">((LN($A$4/Table133[[#This Row],[Strike]]) + (0.411 + 0.5 * Table133[[#This Row],[IV Calc P]]^2) *Table133[[#This Row],[T]])) / (Table133[[#This Row],[IV Calc P]] * SQRT(Table133[[#This Row],[T]]))</f>
        <v>#DIV/0!</v>
      </c>
      <c r="AH501" t="e">
        <f ca="1">(LN($A$4/Table133[[#This Row],[Strike]]) + (0.411-0 + 0.5 * Table133[[#This Row],[IV Calc C]]^2) *Table133[[#This Row],[T]]) / (Table133[[#This Row],[IV Calc C]] * SQRT(Table133[[#This Row],[T]]))</f>
        <v>#DIV/0!</v>
      </c>
      <c r="AI501" t="e">
        <f ca="1">(EXP(-(AG501^2)/2)/SQRT(2*PI())*EXP(0*SQRT(Table133[[#This Row],[T]]))/$A$4*18%*SQRT(SQRT(Table133[[#This Row],[T]])))</f>
        <v>#DIV/0!</v>
      </c>
      <c r="AJ501" t="e">
        <f ca="1">(EXP(-(AH501^2)/2)/SQRT(2*PI())*EXP(0*SQRT(Table133[[#This Row],[T]]))/$A$4*18%*SQRT(SQRT(Table133[[#This Row],[T]])))</f>
        <v>#DIV/0!</v>
      </c>
      <c r="AK501" t="e">
        <f ca="1">Table133[[#This Row],[Call D1]]-Table133[[#This Row],[IV Calc C]]*SQRT(Table133[[#This Row],[T]])</f>
        <v>#DIV/0!</v>
      </c>
      <c r="AL501" t="e">
        <f ca="1">Table133[[#This Row],[Put D1]]-Table133[[#This Row],[IV Calc P]]*SQRT(Table133[[#This Row],[T]])</f>
        <v>#DIV/0!</v>
      </c>
      <c r="AM501" t="e">
        <f ca="1">EXP(-0.5*Table133[[#This Row],[Call D1]]^2)/SQRT(2*PI())</f>
        <v>#DIV/0!</v>
      </c>
      <c r="AN501" t="e">
        <f ca="1">EXP(-0.5*Table133[[#This Row],[Put D1]]^2)/SQRT(2*PI())</f>
        <v>#DIV/0!</v>
      </c>
      <c r="AO50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1">
        <f ca="1">((Table133[[#This Row],[call vanna]]+Table133[[#This Row],[put vanna]])*$A$4)</f>
        <v>0</v>
      </c>
      <c r="AR50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1" s="9" t="str" cm="1">
        <f t="array" ref="AT501">_xlfn.IFS(     $M$1="SPX","SPXW",     $M$1="RUT","RUTW",  $M$1="NDX","NDXP",   TRUE,$M$1 )</f>
        <v>SPXW</v>
      </c>
      <c r="AU501" s="2">
        <f t="shared" si="52"/>
        <v>6915</v>
      </c>
      <c r="AV501" t="str">
        <f t="shared" si="53"/>
        <v>000100</v>
      </c>
      <c r="AY50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1">
        <f>((Table133[[#This Row],[High C]]+Table133[[#This Row],[Low C]])/2)*Table133[[#This Row],[gammac]]*Table133[[#This Row],[Volume]]</f>
        <v>0</v>
      </c>
      <c r="BD501">
        <f>((Table133[[#This Row],[High P]]+Table133[[#This Row],[Low P]])/2)*Table133[[#This Row],[gammap]]*Table133[[#This Row],[Volume9]]*-1</f>
        <v>0</v>
      </c>
      <c r="BE501">
        <f>(Table133[[#This Row],[SgammaC]]+Table133[[#This Row],[SgammaP]])*$A$4*-100</f>
        <v>0</v>
      </c>
      <c r="BF501" s="78">
        <f>Table133[[#This Row],[DEXc]]+Table133[[#This Row],[DEXp]]</f>
        <v>0</v>
      </c>
      <c r="BG501">
        <f>IFERROR(Table133[[#This Row],[DeltaC]]*Table133[[#This Row],[Open.Int]]*$A$4,0)</f>
        <v>0</v>
      </c>
      <c r="BH501">
        <f>IFERROR(Table133[[#This Row],[DeltaP]]*Table133[[#This Row],[Open.Int8]]*$A$4,0)</f>
        <v>0</v>
      </c>
      <c r="BI50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1">
        <f ca="1">Table133[[#This Row],[charmc]]+Table133[[#This Row],[charmp]]</f>
        <v>0</v>
      </c>
      <c r="BL50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1" s="78">
        <f ca="1">Table133[[#This Row],[call helper]]+Table133[[#This Row],[put helper]]</f>
        <v>0</v>
      </c>
      <c r="BP501" t="str">
        <f>RTD("tos.rtd", , "STRIKE", "."&amp;Table133[[#This Row],[Ticker]]&amp;Table133[[#This Row],[Expiry]]&amp;""&amp;"C"&amp;Table133[[#This Row],[Spot]]+Table133[[#This Row],[step]])</f>
        <v>N/A</v>
      </c>
    </row>
    <row r="502" spans="1:68" x14ac:dyDescent="0.25">
      <c r="A502" s="14">
        <f t="shared" ca="1" si="49"/>
        <v>-126.14810350076104</v>
      </c>
      <c r="C502" s="17"/>
      <c r="D502" t="str">
        <f>RTD("tos.rtd", , "OPEN_INT", "."&amp;Table133[[#This Row],[Ticker]]&amp;Table133[[#This Row],[Expiry]]&amp;""&amp;"C"&amp;Table133[[#This Row],[Spot]]+Table133[[#This Row],[step]])</f>
        <v>N/A</v>
      </c>
      <c r="E50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2" t="b">
        <f>IF(     ISNUMBER(Table133[[#This Row],[Strike]]),RTD("tos.rtd", , "DELTA", "."&amp;Table133[[#This Row],[Ticker]]&amp;Table133[[#This Row],[Expiry]]&amp;""&amp;"C"&amp;Table133[[#This Row],[Strike]]))</f>
        <v>0</v>
      </c>
      <c r="H502" s="17" cm="1">
        <f t="array" aca="1" ref="H502" ca="1">IndividualLegIVCore($A$4, Table133[[#This Row],[Strike]], 0.0411, Table133[[#This Row],[T]], ((Table133[[#This Row],[BIDC]]+Table133[[#This Row],[ASKC]])/2), TRUE)</f>
        <v>0.01</v>
      </c>
      <c r="I502" t="b">
        <f>IF(     ISNUMBER(Table133[[#This Row],[Strike]]),RTD("tos.rtd", , "BID", "."&amp;Table133[[#This Row],[Ticker]]&amp;Table133[[#This Row],[Expiry]]&amp;""&amp;"C"&amp;Table133[[#This Row],[Strike]]))</f>
        <v>0</v>
      </c>
      <c r="J502" t="b">
        <f>IF(     ISNUMBER(Table133[[#This Row],[Strike]]),RTD("tos.rtd", , "ASK", "."&amp;Table133[[#This Row],[Ticker]]&amp;Table133[[#This Row],[Expiry]]&amp;""&amp;"C"&amp;Table133[[#This Row],[Strike]]))</f>
        <v>0</v>
      </c>
      <c r="K502" s="17"/>
      <c r="M502" s="1">
        <f t="shared" si="50"/>
        <v>0</v>
      </c>
      <c r="N502" t="b">
        <f t="shared" si="51"/>
        <v>0</v>
      </c>
      <c r="P502" s="17" cm="1">
        <f t="array" aca="1" ref="P502" ca="1">IndividualLegIVCore($A$4, Table133[[#This Row],[Strike]], 0.0411, Table133[[#This Row],[T]], ((Table133[[#This Row],[BIDP]]+Table133[[#This Row],[ASKP]])/2), FALSE)</f>
        <v>0.01</v>
      </c>
      <c r="Q502" t="b">
        <f>IF(     ISNUMBER(Table133[[#This Row],[Strike]]),RTD("tos.rtd", , "BID", "."&amp;Table133[[#This Row],[Ticker]]&amp;Table133[[#This Row],[Expiry]]&amp;""&amp;"P"&amp;Table133[[#This Row],[Strike]]))</f>
        <v>0</v>
      </c>
      <c r="R502" t="b">
        <f>IF(     ISNUMBER(Table133[[#This Row],[Strike]]),RTD("tos.rtd", , "ASK", "."&amp;Table133[[#This Row],[Ticker]]&amp;Table133[[#This Row],[Expiry]]&amp;""&amp;"P"&amp;Table133[[#This Row],[Strike]]))</f>
        <v>0</v>
      </c>
      <c r="S502" s="17"/>
      <c r="T502" t="b">
        <f>IF(     ISNUMBER(Table133[[#This Row],[Strike]]),RTD("tos.rtd", , "OPEN_INT", "."&amp;Table133[[#This Row],[Ticker]]&amp;Table133[[#This Row],[Expiry]]&amp;""&amp;"P"&amp;Table133[[#This Row],[Strike]]))</f>
        <v>0</v>
      </c>
      <c r="U50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2" t="b">
        <f>IF(     ISNUMBER(Table133[[#This Row],[Strike]]),RTD("tos.rtd", , "DELTA", "."&amp;Table133[[#This Row],[Ticker]]&amp;Table133[[#This Row],[Expiry]]&amp;""&amp;"P"&amp;Table133[[#This Row],[Strike]]))</f>
        <v>0</v>
      </c>
      <c r="Y502" s="19">
        <f>-7* IF($M$1="NDX", 10, IF(OR($M$1="SPX", $M$1="RUT"), 2, 1))</f>
        <v>-14</v>
      </c>
      <c r="Z502">
        <f ca="1">IFERROR(Table133[[#This Row],[call gamma]]*(Table133[[#This Row],[Open.Int]])*$A$4^2,0)</f>
        <v>0</v>
      </c>
      <c r="AA502">
        <f ca="1">IFERROR(((Table133[[#This Row],[Open.Int8]])*Table133[[#This Row],[Put gamma]])*-1*$A$4^2,0)</f>
        <v>0</v>
      </c>
      <c r="AB502">
        <f ca="1">(Table133[[#This Row],[Call Gex]]+Table133[[#This Row],[Put Gex]])</f>
        <v>0</v>
      </c>
      <c r="AC502">
        <f ca="1">Table133[[#This Row],[put delta adj]]+Table133[[#This Row],[call delta adj]]</f>
        <v>0</v>
      </c>
      <c r="AD502">
        <f ca="1">Table133[[#This Row],[Put Gex]]*Table133[[#This Row],[DeltaP]]*-1</f>
        <v>0</v>
      </c>
      <c r="AE502">
        <f ca="1">Table133[[#This Row],[Call Gex]]*Table133[[#This Row],[DeltaC]]</f>
        <v>0</v>
      </c>
      <c r="AF502">
        <f>IF(Table133[[#This Row],[DeltaC]]-ABS(Table133[[#This Row],[DeltaP]])="0","0.01",Table133[[#This Row],[DeltaC]]-ABS(Table133[[#This Row],[DeltaP]]))</f>
        <v>0</v>
      </c>
      <c r="AG502" t="e">
        <f ca="1">((LN($A$4/Table133[[#This Row],[Strike]]) + (0.411 + 0.5 * Table133[[#This Row],[IV Calc P]]^2) *Table133[[#This Row],[T]])) / (Table133[[#This Row],[IV Calc P]] * SQRT(Table133[[#This Row],[T]]))</f>
        <v>#DIV/0!</v>
      </c>
      <c r="AH502" t="e">
        <f ca="1">(LN($A$4/Table133[[#This Row],[Strike]]) + (0.411-0 + 0.5 * Table133[[#This Row],[IV Calc C]]^2) *Table133[[#This Row],[T]]) / (Table133[[#This Row],[IV Calc C]] * SQRT(Table133[[#This Row],[T]]))</f>
        <v>#DIV/0!</v>
      </c>
      <c r="AI502" t="e">
        <f ca="1">(EXP(-(AG502^2)/2)/SQRT(2*PI())*EXP(0*SQRT(Table133[[#This Row],[T]]))/$A$4*18%*SQRT(SQRT(Table133[[#This Row],[T]])))</f>
        <v>#DIV/0!</v>
      </c>
      <c r="AJ502" t="e">
        <f ca="1">(EXP(-(AH502^2)/2)/SQRT(2*PI())*EXP(0*SQRT(Table133[[#This Row],[T]]))/$A$4*18%*SQRT(SQRT(Table133[[#This Row],[T]])))</f>
        <v>#DIV/0!</v>
      </c>
      <c r="AK502" t="e">
        <f ca="1">Table133[[#This Row],[Call D1]]-Table133[[#This Row],[IV Calc C]]*SQRT(Table133[[#This Row],[T]])</f>
        <v>#DIV/0!</v>
      </c>
      <c r="AL502" t="e">
        <f ca="1">Table133[[#This Row],[Put D1]]-Table133[[#This Row],[IV Calc P]]*SQRT(Table133[[#This Row],[T]])</f>
        <v>#DIV/0!</v>
      </c>
      <c r="AM502" t="e">
        <f ca="1">EXP(-0.5*Table133[[#This Row],[Call D1]]^2)/SQRT(2*PI())</f>
        <v>#DIV/0!</v>
      </c>
      <c r="AN502" t="e">
        <f ca="1">EXP(-0.5*Table133[[#This Row],[Put D1]]^2)/SQRT(2*PI())</f>
        <v>#DIV/0!</v>
      </c>
      <c r="AO50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2">
        <f ca="1">((Table133[[#This Row],[call vanna]]+Table133[[#This Row],[put vanna]])*$A$4)</f>
        <v>0</v>
      </c>
      <c r="AR50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2" s="9" t="str" cm="1">
        <f t="array" ref="AT502">_xlfn.IFS(     $M$1="SPX","SPXW",     $M$1="RUT","RUTW",  $M$1="NDX","NDXP",   TRUE,$M$1 )</f>
        <v>SPXW</v>
      </c>
      <c r="AU502" s="2">
        <f t="shared" si="52"/>
        <v>6915</v>
      </c>
      <c r="AV502" t="str">
        <f t="shared" si="53"/>
        <v>000100</v>
      </c>
      <c r="AY50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2">
        <f>((Table133[[#This Row],[High C]]+Table133[[#This Row],[Low C]])/2)*Table133[[#This Row],[gammac]]*Table133[[#This Row],[Volume]]</f>
        <v>0</v>
      </c>
      <c r="BD502">
        <f>((Table133[[#This Row],[High P]]+Table133[[#This Row],[Low P]])/2)*Table133[[#This Row],[gammap]]*Table133[[#This Row],[Volume9]]*-1</f>
        <v>0</v>
      </c>
      <c r="BE502">
        <f>(Table133[[#This Row],[SgammaC]]+Table133[[#This Row],[SgammaP]])*$A$4*-100</f>
        <v>0</v>
      </c>
      <c r="BF502" s="78">
        <f>Table133[[#This Row],[DEXc]]+Table133[[#This Row],[DEXp]]</f>
        <v>0</v>
      </c>
      <c r="BG502">
        <f>IFERROR(Table133[[#This Row],[DeltaC]]*Table133[[#This Row],[Open.Int]]*$A$4,0)</f>
        <v>0</v>
      </c>
      <c r="BH502">
        <f>IFERROR(Table133[[#This Row],[DeltaP]]*Table133[[#This Row],[Open.Int8]]*$A$4,0)</f>
        <v>0</v>
      </c>
      <c r="BI50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2">
        <f ca="1">Table133[[#This Row],[charmc]]+Table133[[#This Row],[charmp]]</f>
        <v>0</v>
      </c>
      <c r="BL50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2" s="78">
        <f ca="1">Table133[[#This Row],[call helper]]+Table133[[#This Row],[put helper]]</f>
        <v>0</v>
      </c>
      <c r="BP502" t="str">
        <f>RTD("tos.rtd", , "STRIKE", "."&amp;Table133[[#This Row],[Ticker]]&amp;Table133[[#This Row],[Expiry]]&amp;""&amp;"C"&amp;Table133[[#This Row],[Spot]]+Table133[[#This Row],[step]])</f>
        <v>N/A</v>
      </c>
    </row>
    <row r="503" spans="1:68" x14ac:dyDescent="0.25">
      <c r="A503" s="14">
        <f t="shared" ca="1" si="49"/>
        <v>-126.14810350076104</v>
      </c>
      <c r="C503" s="17"/>
      <c r="D503" t="str">
        <f>RTD("tos.rtd", , "OPEN_INT", "."&amp;Table133[[#This Row],[Ticker]]&amp;Table133[[#This Row],[Expiry]]&amp;""&amp;"C"&amp;Table133[[#This Row],[Spot]]+Table133[[#This Row],[step]])</f>
        <v>N/A</v>
      </c>
      <c r="E50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3" t="b">
        <f>IF(     ISNUMBER(Table133[[#This Row],[Strike]]),RTD("tos.rtd", , "DELTA", "."&amp;Table133[[#This Row],[Ticker]]&amp;Table133[[#This Row],[Expiry]]&amp;""&amp;"C"&amp;Table133[[#This Row],[Strike]]))</f>
        <v>0</v>
      </c>
      <c r="H503" s="17" cm="1">
        <f t="array" aca="1" ref="H503" ca="1">IndividualLegIVCore($A$4, Table133[[#This Row],[Strike]], 0.0411, Table133[[#This Row],[T]], ((Table133[[#This Row],[BIDC]]+Table133[[#This Row],[ASKC]])/2), TRUE)</f>
        <v>0.01</v>
      </c>
      <c r="I503" t="b">
        <f>IF(     ISNUMBER(Table133[[#This Row],[Strike]]),RTD("tos.rtd", , "BID", "."&amp;Table133[[#This Row],[Ticker]]&amp;Table133[[#This Row],[Expiry]]&amp;""&amp;"C"&amp;Table133[[#This Row],[Strike]]))</f>
        <v>0</v>
      </c>
      <c r="J503" t="b">
        <f>IF(     ISNUMBER(Table133[[#This Row],[Strike]]),RTD("tos.rtd", , "ASK", "."&amp;Table133[[#This Row],[Ticker]]&amp;Table133[[#This Row],[Expiry]]&amp;""&amp;"C"&amp;Table133[[#This Row],[Strike]]))</f>
        <v>0</v>
      </c>
      <c r="K503" s="17"/>
      <c r="M503" s="1">
        <f t="shared" si="50"/>
        <v>0</v>
      </c>
      <c r="N503" t="b">
        <f t="shared" si="51"/>
        <v>0</v>
      </c>
      <c r="P503" s="17" cm="1">
        <f t="array" aca="1" ref="P503" ca="1">IndividualLegIVCore($A$4, Table133[[#This Row],[Strike]], 0.0411, Table133[[#This Row],[T]], ((Table133[[#This Row],[BIDP]]+Table133[[#This Row],[ASKP]])/2), FALSE)</f>
        <v>0.01</v>
      </c>
      <c r="Q503" t="b">
        <f>IF(     ISNUMBER(Table133[[#This Row],[Strike]]),RTD("tos.rtd", , "BID", "."&amp;Table133[[#This Row],[Ticker]]&amp;Table133[[#This Row],[Expiry]]&amp;""&amp;"P"&amp;Table133[[#This Row],[Strike]]))</f>
        <v>0</v>
      </c>
      <c r="R503" t="b">
        <f>IF(     ISNUMBER(Table133[[#This Row],[Strike]]),RTD("tos.rtd", , "ASK", "."&amp;Table133[[#This Row],[Ticker]]&amp;Table133[[#This Row],[Expiry]]&amp;""&amp;"P"&amp;Table133[[#This Row],[Strike]]))</f>
        <v>0</v>
      </c>
      <c r="S503" s="17"/>
      <c r="T503" t="b">
        <f>IF(     ISNUMBER(Table133[[#This Row],[Strike]]),RTD("tos.rtd", , "OPEN_INT", "."&amp;Table133[[#This Row],[Ticker]]&amp;Table133[[#This Row],[Expiry]]&amp;""&amp;"P"&amp;Table133[[#This Row],[Strike]]))</f>
        <v>0</v>
      </c>
      <c r="U50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3" t="b">
        <f>IF(     ISNUMBER(Table133[[#This Row],[Strike]]),RTD("tos.rtd", , "DELTA", "."&amp;Table133[[#This Row],[Ticker]]&amp;Table133[[#This Row],[Expiry]]&amp;""&amp;"P"&amp;Table133[[#This Row],[Strike]]))</f>
        <v>0</v>
      </c>
      <c r="Y503" s="19">
        <f>-6.5* IF($M$1="NDX", 10, IF(OR($M$1="SPX", $M$1="RUT"), 2, 1))</f>
        <v>-13</v>
      </c>
      <c r="Z503">
        <f ca="1">IFERROR(Table133[[#This Row],[call gamma]]*(Table133[[#This Row],[Open.Int]])*$A$4^2,0)</f>
        <v>0</v>
      </c>
      <c r="AA503">
        <f ca="1">IFERROR(((Table133[[#This Row],[Open.Int8]])*Table133[[#This Row],[Put gamma]])*-1*$A$4^2,0)</f>
        <v>0</v>
      </c>
      <c r="AB503">
        <f ca="1">(Table133[[#This Row],[Call Gex]]+Table133[[#This Row],[Put Gex]])</f>
        <v>0</v>
      </c>
      <c r="AC503">
        <f ca="1">Table133[[#This Row],[put delta adj]]+Table133[[#This Row],[call delta adj]]</f>
        <v>0</v>
      </c>
      <c r="AD503">
        <f ca="1">Table133[[#This Row],[Put Gex]]*Table133[[#This Row],[DeltaP]]*-1</f>
        <v>0</v>
      </c>
      <c r="AE503">
        <f ca="1">Table133[[#This Row],[Call Gex]]*Table133[[#This Row],[DeltaC]]</f>
        <v>0</v>
      </c>
      <c r="AF503">
        <f>IF(Table133[[#This Row],[DeltaC]]-ABS(Table133[[#This Row],[DeltaP]])="0","0.01",Table133[[#This Row],[DeltaC]]-ABS(Table133[[#This Row],[DeltaP]]))</f>
        <v>0</v>
      </c>
      <c r="AG503" t="e">
        <f ca="1">((LN($A$4/Table133[[#This Row],[Strike]]) + (0.411 + 0.5 * Table133[[#This Row],[IV Calc P]]^2) *Table133[[#This Row],[T]])) / (Table133[[#This Row],[IV Calc P]] * SQRT(Table133[[#This Row],[T]]))</f>
        <v>#DIV/0!</v>
      </c>
      <c r="AH503" t="e">
        <f ca="1">(LN($A$4/Table133[[#This Row],[Strike]]) + (0.411-0 + 0.5 * Table133[[#This Row],[IV Calc C]]^2) *Table133[[#This Row],[T]]) / (Table133[[#This Row],[IV Calc C]] * SQRT(Table133[[#This Row],[T]]))</f>
        <v>#DIV/0!</v>
      </c>
      <c r="AI503" t="e">
        <f ca="1">(EXP(-(AG503^2)/2)/SQRT(2*PI())*EXP(0*SQRT(Table133[[#This Row],[T]]))/$A$4*18%*SQRT(SQRT(Table133[[#This Row],[T]])))</f>
        <v>#DIV/0!</v>
      </c>
      <c r="AJ503" t="e">
        <f ca="1">(EXP(-(AH503^2)/2)/SQRT(2*PI())*EXP(0*SQRT(Table133[[#This Row],[T]]))/$A$4*18%*SQRT(SQRT(Table133[[#This Row],[T]])))</f>
        <v>#DIV/0!</v>
      </c>
      <c r="AK503" t="e">
        <f ca="1">Table133[[#This Row],[Call D1]]-Table133[[#This Row],[IV Calc C]]*SQRT(Table133[[#This Row],[T]])</f>
        <v>#DIV/0!</v>
      </c>
      <c r="AL503" t="e">
        <f ca="1">Table133[[#This Row],[Put D1]]-Table133[[#This Row],[IV Calc P]]*SQRT(Table133[[#This Row],[T]])</f>
        <v>#DIV/0!</v>
      </c>
      <c r="AM503" t="e">
        <f ca="1">EXP(-0.5*Table133[[#This Row],[Call D1]]^2)/SQRT(2*PI())</f>
        <v>#DIV/0!</v>
      </c>
      <c r="AN503" t="e">
        <f ca="1">EXP(-0.5*Table133[[#This Row],[Put D1]]^2)/SQRT(2*PI())</f>
        <v>#DIV/0!</v>
      </c>
      <c r="AO50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3">
        <f ca="1">((Table133[[#This Row],[call vanna]]+Table133[[#This Row],[put vanna]])*$A$4)</f>
        <v>0</v>
      </c>
      <c r="AR50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3" s="9" t="str" cm="1">
        <f t="array" ref="AT503">_xlfn.IFS(     $M$1="SPX","SPXW",     $M$1="RUT","RUTW",  $M$1="NDX","NDXP",   TRUE,$M$1 )</f>
        <v>SPXW</v>
      </c>
      <c r="AU503" s="2">
        <f t="shared" si="52"/>
        <v>6915</v>
      </c>
      <c r="AV503" t="str">
        <f t="shared" si="53"/>
        <v>000100</v>
      </c>
      <c r="AY50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3">
        <f>((Table133[[#This Row],[High C]]+Table133[[#This Row],[Low C]])/2)*Table133[[#This Row],[gammac]]*Table133[[#This Row],[Volume]]</f>
        <v>0</v>
      </c>
      <c r="BD503">
        <f>((Table133[[#This Row],[High P]]+Table133[[#This Row],[Low P]])/2)*Table133[[#This Row],[gammap]]*Table133[[#This Row],[Volume9]]*-1</f>
        <v>0</v>
      </c>
      <c r="BE503">
        <f>(Table133[[#This Row],[SgammaC]]+Table133[[#This Row],[SgammaP]])*$A$4*-100</f>
        <v>0</v>
      </c>
      <c r="BF503" s="78">
        <f>Table133[[#This Row],[DEXc]]+Table133[[#This Row],[DEXp]]</f>
        <v>0</v>
      </c>
      <c r="BG503">
        <f>IFERROR(Table133[[#This Row],[DeltaC]]*Table133[[#This Row],[Open.Int]]*$A$4,0)</f>
        <v>0</v>
      </c>
      <c r="BH503">
        <f>IFERROR(Table133[[#This Row],[DeltaP]]*Table133[[#This Row],[Open.Int8]]*$A$4,0)</f>
        <v>0</v>
      </c>
      <c r="BI50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3">
        <f ca="1">Table133[[#This Row],[charmc]]+Table133[[#This Row],[charmp]]</f>
        <v>0</v>
      </c>
      <c r="BL50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3" s="78">
        <f ca="1">Table133[[#This Row],[call helper]]+Table133[[#This Row],[put helper]]</f>
        <v>0</v>
      </c>
      <c r="BP503" t="str">
        <f>RTD("tos.rtd", , "STRIKE", "."&amp;Table133[[#This Row],[Ticker]]&amp;Table133[[#This Row],[Expiry]]&amp;""&amp;"C"&amp;Table133[[#This Row],[Spot]]+Table133[[#This Row],[step]])</f>
        <v>N/A</v>
      </c>
    </row>
    <row r="504" spans="1:68" x14ac:dyDescent="0.25">
      <c r="A504" s="14">
        <f t="shared" ca="1" si="49"/>
        <v>-126.14810350076104</v>
      </c>
      <c r="C504" s="17"/>
      <c r="D504" t="str">
        <f>RTD("tos.rtd", , "OPEN_INT", "."&amp;Table133[[#This Row],[Ticker]]&amp;Table133[[#This Row],[Expiry]]&amp;""&amp;"C"&amp;Table133[[#This Row],[Spot]]+Table133[[#This Row],[step]])</f>
        <v>N/A</v>
      </c>
      <c r="E50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4" t="b">
        <f>IF(     ISNUMBER(Table133[[#This Row],[Strike]]),RTD("tos.rtd", , "DELTA", "."&amp;Table133[[#This Row],[Ticker]]&amp;Table133[[#This Row],[Expiry]]&amp;""&amp;"C"&amp;Table133[[#This Row],[Strike]]))</f>
        <v>0</v>
      </c>
      <c r="H504" s="17" cm="1">
        <f t="array" aca="1" ref="H504" ca="1">IndividualLegIVCore($A$4, Table133[[#This Row],[Strike]], 0.0411, Table133[[#This Row],[T]], ((Table133[[#This Row],[BIDC]]+Table133[[#This Row],[ASKC]])/2), TRUE)</f>
        <v>0.01</v>
      </c>
      <c r="I504" t="b">
        <f>IF(     ISNUMBER(Table133[[#This Row],[Strike]]),RTD("tos.rtd", , "BID", "."&amp;Table133[[#This Row],[Ticker]]&amp;Table133[[#This Row],[Expiry]]&amp;""&amp;"C"&amp;Table133[[#This Row],[Strike]]))</f>
        <v>0</v>
      </c>
      <c r="J504" t="b">
        <f>IF(     ISNUMBER(Table133[[#This Row],[Strike]]),RTD("tos.rtd", , "ASK", "."&amp;Table133[[#This Row],[Ticker]]&amp;Table133[[#This Row],[Expiry]]&amp;""&amp;"C"&amp;Table133[[#This Row],[Strike]]))</f>
        <v>0</v>
      </c>
      <c r="K504" s="17"/>
      <c r="M504" s="1">
        <f t="shared" si="50"/>
        <v>0</v>
      </c>
      <c r="N504" t="b">
        <f t="shared" si="51"/>
        <v>0</v>
      </c>
      <c r="P504" s="17" cm="1">
        <f t="array" aca="1" ref="P504" ca="1">IndividualLegIVCore($A$4, Table133[[#This Row],[Strike]], 0.0411, Table133[[#This Row],[T]], ((Table133[[#This Row],[BIDP]]+Table133[[#This Row],[ASKP]])/2), FALSE)</f>
        <v>0.01</v>
      </c>
      <c r="Q504" t="b">
        <f>IF(     ISNUMBER(Table133[[#This Row],[Strike]]),RTD("tos.rtd", , "BID", "."&amp;Table133[[#This Row],[Ticker]]&amp;Table133[[#This Row],[Expiry]]&amp;""&amp;"P"&amp;Table133[[#This Row],[Strike]]))</f>
        <v>0</v>
      </c>
      <c r="R504" t="b">
        <f>IF(     ISNUMBER(Table133[[#This Row],[Strike]]),RTD("tos.rtd", , "ASK", "."&amp;Table133[[#This Row],[Ticker]]&amp;Table133[[#This Row],[Expiry]]&amp;""&amp;"P"&amp;Table133[[#This Row],[Strike]]))</f>
        <v>0</v>
      </c>
      <c r="S504" s="17"/>
      <c r="T504" t="b">
        <f>IF(     ISNUMBER(Table133[[#This Row],[Strike]]),RTD("tos.rtd", , "OPEN_INT", "."&amp;Table133[[#This Row],[Ticker]]&amp;Table133[[#This Row],[Expiry]]&amp;""&amp;"P"&amp;Table133[[#This Row],[Strike]]))</f>
        <v>0</v>
      </c>
      <c r="U50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4" t="b">
        <f>IF(     ISNUMBER(Table133[[#This Row],[Strike]]),RTD("tos.rtd", , "DELTA", "."&amp;Table133[[#This Row],[Ticker]]&amp;Table133[[#This Row],[Expiry]]&amp;""&amp;"P"&amp;Table133[[#This Row],[Strike]]))</f>
        <v>0</v>
      </c>
      <c r="Y504" s="19">
        <f>-6* IF($M$1="NDX", 10, IF(OR($M$1="SPX", $M$1="RUT"), 2, 1))</f>
        <v>-12</v>
      </c>
      <c r="Z504">
        <f ca="1">IFERROR(Table133[[#This Row],[call gamma]]*(Table133[[#This Row],[Open.Int]])*$A$4^2,0)</f>
        <v>0</v>
      </c>
      <c r="AA504">
        <f ca="1">IFERROR(((Table133[[#This Row],[Open.Int8]])*Table133[[#This Row],[Put gamma]])*-1*$A$4^2,0)</f>
        <v>0</v>
      </c>
      <c r="AB504">
        <f ca="1">(Table133[[#This Row],[Call Gex]]+Table133[[#This Row],[Put Gex]])</f>
        <v>0</v>
      </c>
      <c r="AC504">
        <f ca="1">Table133[[#This Row],[put delta adj]]+Table133[[#This Row],[call delta adj]]</f>
        <v>0</v>
      </c>
      <c r="AD504">
        <f ca="1">Table133[[#This Row],[Put Gex]]*Table133[[#This Row],[DeltaP]]*-1</f>
        <v>0</v>
      </c>
      <c r="AE504">
        <f ca="1">Table133[[#This Row],[Call Gex]]*Table133[[#This Row],[DeltaC]]</f>
        <v>0</v>
      </c>
      <c r="AF504">
        <f>IF(Table133[[#This Row],[DeltaC]]-ABS(Table133[[#This Row],[DeltaP]])="0","0.01",Table133[[#This Row],[DeltaC]]-ABS(Table133[[#This Row],[DeltaP]]))</f>
        <v>0</v>
      </c>
      <c r="AG504" t="e">
        <f ca="1">((LN($A$4/Table133[[#This Row],[Strike]]) + (0.411 + 0.5 * Table133[[#This Row],[IV Calc P]]^2) *Table133[[#This Row],[T]])) / (Table133[[#This Row],[IV Calc P]] * SQRT(Table133[[#This Row],[T]]))</f>
        <v>#DIV/0!</v>
      </c>
      <c r="AH504" t="e">
        <f ca="1">(LN($A$4/Table133[[#This Row],[Strike]]) + (0.411-0 + 0.5 * Table133[[#This Row],[IV Calc C]]^2) *Table133[[#This Row],[T]]) / (Table133[[#This Row],[IV Calc C]] * SQRT(Table133[[#This Row],[T]]))</f>
        <v>#DIV/0!</v>
      </c>
      <c r="AI504" t="e">
        <f ca="1">(EXP(-(AG504^2)/2)/SQRT(2*PI())*EXP(0*SQRT(Table133[[#This Row],[T]]))/$A$4*18%*SQRT(SQRT(Table133[[#This Row],[T]])))</f>
        <v>#DIV/0!</v>
      </c>
      <c r="AJ504" t="e">
        <f ca="1">(EXP(-(AH504^2)/2)/SQRT(2*PI())*EXP(0*SQRT(Table133[[#This Row],[T]]))/$A$4*18%*SQRT(SQRT(Table133[[#This Row],[T]])))</f>
        <v>#DIV/0!</v>
      </c>
      <c r="AK504" t="e">
        <f ca="1">Table133[[#This Row],[Call D1]]-Table133[[#This Row],[IV Calc C]]*SQRT(Table133[[#This Row],[T]])</f>
        <v>#DIV/0!</v>
      </c>
      <c r="AL504" t="e">
        <f ca="1">Table133[[#This Row],[Put D1]]-Table133[[#This Row],[IV Calc P]]*SQRT(Table133[[#This Row],[T]])</f>
        <v>#DIV/0!</v>
      </c>
      <c r="AM504" t="e">
        <f ca="1">EXP(-0.5*Table133[[#This Row],[Call D1]]^2)/SQRT(2*PI())</f>
        <v>#DIV/0!</v>
      </c>
      <c r="AN504" t="e">
        <f ca="1">EXP(-0.5*Table133[[#This Row],[Put D1]]^2)/SQRT(2*PI())</f>
        <v>#DIV/0!</v>
      </c>
      <c r="AO50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4">
        <f ca="1">((Table133[[#This Row],[call vanna]]+Table133[[#This Row],[put vanna]])*$A$4)</f>
        <v>0</v>
      </c>
      <c r="AR50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4" s="9" t="str" cm="1">
        <f t="array" ref="AT504">_xlfn.IFS(     $M$1="SPX","SPXW",     $M$1="RUT","RUTW",  $M$1="NDX","NDXP",   TRUE,$M$1 )</f>
        <v>SPXW</v>
      </c>
      <c r="AU504" s="2">
        <f t="shared" si="52"/>
        <v>6915</v>
      </c>
      <c r="AV504" t="str">
        <f t="shared" si="53"/>
        <v>000100</v>
      </c>
      <c r="AY50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4">
        <f>((Table133[[#This Row],[High C]]+Table133[[#This Row],[Low C]])/2)*Table133[[#This Row],[gammac]]*Table133[[#This Row],[Volume]]</f>
        <v>0</v>
      </c>
      <c r="BD504">
        <f>((Table133[[#This Row],[High P]]+Table133[[#This Row],[Low P]])/2)*Table133[[#This Row],[gammap]]*Table133[[#This Row],[Volume9]]*-1</f>
        <v>0</v>
      </c>
      <c r="BE504">
        <f>(Table133[[#This Row],[SgammaC]]+Table133[[#This Row],[SgammaP]])*$A$4*-100</f>
        <v>0</v>
      </c>
      <c r="BF504" s="78">
        <f>Table133[[#This Row],[DEXc]]+Table133[[#This Row],[DEXp]]</f>
        <v>0</v>
      </c>
      <c r="BG504">
        <f>IFERROR(Table133[[#This Row],[DeltaC]]*Table133[[#This Row],[Open.Int]]*$A$4,0)</f>
        <v>0</v>
      </c>
      <c r="BH504">
        <f>IFERROR(Table133[[#This Row],[DeltaP]]*Table133[[#This Row],[Open.Int8]]*$A$4,0)</f>
        <v>0</v>
      </c>
      <c r="BI50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4">
        <f ca="1">Table133[[#This Row],[charmc]]+Table133[[#This Row],[charmp]]</f>
        <v>0</v>
      </c>
      <c r="BL50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4" s="78">
        <f ca="1">Table133[[#This Row],[call helper]]+Table133[[#This Row],[put helper]]</f>
        <v>0</v>
      </c>
      <c r="BP504" t="str">
        <f>RTD("tos.rtd", , "STRIKE", "."&amp;Table133[[#This Row],[Ticker]]&amp;Table133[[#This Row],[Expiry]]&amp;""&amp;"C"&amp;Table133[[#This Row],[Spot]]+Table133[[#This Row],[step]])</f>
        <v>N/A</v>
      </c>
    </row>
    <row r="505" spans="1:68" x14ac:dyDescent="0.25">
      <c r="A505" s="14">
        <f t="shared" ca="1" si="49"/>
        <v>-126.14810350076104</v>
      </c>
      <c r="C505" s="17"/>
      <c r="D505" t="str">
        <f>RTD("tos.rtd", , "OPEN_INT", "."&amp;Table133[[#This Row],[Ticker]]&amp;Table133[[#This Row],[Expiry]]&amp;""&amp;"C"&amp;Table133[[#This Row],[Spot]]+Table133[[#This Row],[step]])</f>
        <v>N/A</v>
      </c>
      <c r="E50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5" t="b">
        <f>IF(     ISNUMBER(Table133[[#This Row],[Strike]]),RTD("tos.rtd", , "DELTA", "."&amp;Table133[[#This Row],[Ticker]]&amp;Table133[[#This Row],[Expiry]]&amp;""&amp;"C"&amp;Table133[[#This Row],[Strike]]))</f>
        <v>0</v>
      </c>
      <c r="H505" s="17" cm="1">
        <f t="array" aca="1" ref="H505" ca="1">IndividualLegIVCore($A$4, Table133[[#This Row],[Strike]], 0.0411, Table133[[#This Row],[T]], ((Table133[[#This Row],[BIDC]]+Table133[[#This Row],[ASKC]])/2), TRUE)</f>
        <v>0.01</v>
      </c>
      <c r="I505" t="b">
        <f>IF(     ISNUMBER(Table133[[#This Row],[Strike]]),RTD("tos.rtd", , "BID", "."&amp;Table133[[#This Row],[Ticker]]&amp;Table133[[#This Row],[Expiry]]&amp;""&amp;"C"&amp;Table133[[#This Row],[Strike]]))</f>
        <v>0</v>
      </c>
      <c r="J505" t="b">
        <f>IF(     ISNUMBER(Table133[[#This Row],[Strike]]),RTD("tos.rtd", , "ASK", "."&amp;Table133[[#This Row],[Ticker]]&amp;Table133[[#This Row],[Expiry]]&amp;""&amp;"C"&amp;Table133[[#This Row],[Strike]]))</f>
        <v>0</v>
      </c>
      <c r="K505" s="17"/>
      <c r="M505" s="1">
        <f t="shared" si="50"/>
        <v>0</v>
      </c>
      <c r="N505" t="b">
        <f t="shared" si="51"/>
        <v>0</v>
      </c>
      <c r="P505" s="17" cm="1">
        <f t="array" aca="1" ref="P505" ca="1">IndividualLegIVCore($A$4, Table133[[#This Row],[Strike]], 0.0411, Table133[[#This Row],[T]], ((Table133[[#This Row],[BIDP]]+Table133[[#This Row],[ASKP]])/2), FALSE)</f>
        <v>0.01</v>
      </c>
      <c r="Q505" t="b">
        <f>IF(     ISNUMBER(Table133[[#This Row],[Strike]]),RTD("tos.rtd", , "BID", "."&amp;Table133[[#This Row],[Ticker]]&amp;Table133[[#This Row],[Expiry]]&amp;""&amp;"P"&amp;Table133[[#This Row],[Strike]]))</f>
        <v>0</v>
      </c>
      <c r="R505" t="b">
        <f>IF(     ISNUMBER(Table133[[#This Row],[Strike]]),RTD("tos.rtd", , "ASK", "."&amp;Table133[[#This Row],[Ticker]]&amp;Table133[[#This Row],[Expiry]]&amp;""&amp;"P"&amp;Table133[[#This Row],[Strike]]))</f>
        <v>0</v>
      </c>
      <c r="S505" s="17"/>
      <c r="T505" t="b">
        <f>IF(     ISNUMBER(Table133[[#This Row],[Strike]]),RTD("tos.rtd", , "OPEN_INT", "."&amp;Table133[[#This Row],[Ticker]]&amp;Table133[[#This Row],[Expiry]]&amp;""&amp;"P"&amp;Table133[[#This Row],[Strike]]))</f>
        <v>0</v>
      </c>
      <c r="U50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5" t="b">
        <f>IF(     ISNUMBER(Table133[[#This Row],[Strike]]),RTD("tos.rtd", , "DELTA", "."&amp;Table133[[#This Row],[Ticker]]&amp;Table133[[#This Row],[Expiry]]&amp;""&amp;"P"&amp;Table133[[#This Row],[Strike]]))</f>
        <v>0</v>
      </c>
      <c r="Y505" s="19">
        <f>-5.5* IF($M$1="NDX", 10, IF(OR($M$1="SPX", $M$1="RUT"), 2, 1))</f>
        <v>-11</v>
      </c>
      <c r="Z505">
        <f ca="1">IFERROR(Table133[[#This Row],[call gamma]]*(Table133[[#This Row],[Open.Int]])*$A$4^2,0)</f>
        <v>0</v>
      </c>
      <c r="AA505">
        <f ca="1">IFERROR(((Table133[[#This Row],[Open.Int8]])*Table133[[#This Row],[Put gamma]])*-1*$A$4^2,0)</f>
        <v>0</v>
      </c>
      <c r="AB505">
        <f ca="1">(Table133[[#This Row],[Call Gex]]+Table133[[#This Row],[Put Gex]])</f>
        <v>0</v>
      </c>
      <c r="AC505">
        <f ca="1">Table133[[#This Row],[put delta adj]]+Table133[[#This Row],[call delta adj]]</f>
        <v>0</v>
      </c>
      <c r="AD505">
        <f ca="1">Table133[[#This Row],[Put Gex]]*Table133[[#This Row],[DeltaP]]*-1</f>
        <v>0</v>
      </c>
      <c r="AE505">
        <f ca="1">Table133[[#This Row],[Call Gex]]*Table133[[#This Row],[DeltaC]]</f>
        <v>0</v>
      </c>
      <c r="AF505">
        <f>IF(Table133[[#This Row],[DeltaC]]-ABS(Table133[[#This Row],[DeltaP]])="0","0.01",Table133[[#This Row],[DeltaC]]-ABS(Table133[[#This Row],[DeltaP]]))</f>
        <v>0</v>
      </c>
      <c r="AG505" t="e">
        <f ca="1">((LN($A$4/Table133[[#This Row],[Strike]]) + (0.411 + 0.5 * Table133[[#This Row],[IV Calc P]]^2) *Table133[[#This Row],[T]])) / (Table133[[#This Row],[IV Calc P]] * SQRT(Table133[[#This Row],[T]]))</f>
        <v>#DIV/0!</v>
      </c>
      <c r="AH505" t="e">
        <f ca="1">(LN($A$4/Table133[[#This Row],[Strike]]) + (0.411-0 + 0.5 * Table133[[#This Row],[IV Calc C]]^2) *Table133[[#This Row],[T]]) / (Table133[[#This Row],[IV Calc C]] * SQRT(Table133[[#This Row],[T]]))</f>
        <v>#DIV/0!</v>
      </c>
      <c r="AI505" t="e">
        <f ca="1">(EXP(-(AG505^2)/2)/SQRT(2*PI())*EXP(0*SQRT(Table133[[#This Row],[T]]))/$A$4*18%*SQRT(SQRT(Table133[[#This Row],[T]])))</f>
        <v>#DIV/0!</v>
      </c>
      <c r="AJ505" t="e">
        <f ca="1">(EXP(-(AH505^2)/2)/SQRT(2*PI())*EXP(0*SQRT(Table133[[#This Row],[T]]))/$A$4*18%*SQRT(SQRT(Table133[[#This Row],[T]])))</f>
        <v>#DIV/0!</v>
      </c>
      <c r="AK505" t="e">
        <f ca="1">Table133[[#This Row],[Call D1]]-Table133[[#This Row],[IV Calc C]]*SQRT(Table133[[#This Row],[T]])</f>
        <v>#DIV/0!</v>
      </c>
      <c r="AL505" t="e">
        <f ca="1">Table133[[#This Row],[Put D1]]-Table133[[#This Row],[IV Calc P]]*SQRT(Table133[[#This Row],[T]])</f>
        <v>#DIV/0!</v>
      </c>
      <c r="AM505" t="e">
        <f ca="1">EXP(-0.5*Table133[[#This Row],[Call D1]]^2)/SQRT(2*PI())</f>
        <v>#DIV/0!</v>
      </c>
      <c r="AN505" t="e">
        <f ca="1">EXP(-0.5*Table133[[#This Row],[Put D1]]^2)/SQRT(2*PI())</f>
        <v>#DIV/0!</v>
      </c>
      <c r="AO50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5">
        <f ca="1">((Table133[[#This Row],[call vanna]]+Table133[[#This Row],[put vanna]])*$A$4)</f>
        <v>0</v>
      </c>
      <c r="AR50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5" s="9" t="str" cm="1">
        <f t="array" ref="AT505">_xlfn.IFS(     $M$1="SPX","SPXW",     $M$1="RUT","RUTW",  $M$1="NDX","NDXP",   TRUE,$M$1 )</f>
        <v>SPXW</v>
      </c>
      <c r="AU505" s="2">
        <f t="shared" si="52"/>
        <v>6915</v>
      </c>
      <c r="AV505" t="str">
        <f t="shared" si="53"/>
        <v>000100</v>
      </c>
      <c r="AY50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5">
        <f>((Table133[[#This Row],[High C]]+Table133[[#This Row],[Low C]])/2)*Table133[[#This Row],[gammac]]*Table133[[#This Row],[Volume]]</f>
        <v>0</v>
      </c>
      <c r="BD505">
        <f>((Table133[[#This Row],[High P]]+Table133[[#This Row],[Low P]])/2)*Table133[[#This Row],[gammap]]*Table133[[#This Row],[Volume9]]*-1</f>
        <v>0</v>
      </c>
      <c r="BE505">
        <f>(Table133[[#This Row],[SgammaC]]+Table133[[#This Row],[SgammaP]])*$A$4*-100</f>
        <v>0</v>
      </c>
      <c r="BF505" s="78">
        <f>Table133[[#This Row],[DEXc]]+Table133[[#This Row],[DEXp]]</f>
        <v>0</v>
      </c>
      <c r="BG505">
        <f>IFERROR(Table133[[#This Row],[DeltaC]]*Table133[[#This Row],[Open.Int]]*$A$4,0)</f>
        <v>0</v>
      </c>
      <c r="BH505">
        <f>IFERROR(Table133[[#This Row],[DeltaP]]*Table133[[#This Row],[Open.Int8]]*$A$4,0)</f>
        <v>0</v>
      </c>
      <c r="BI50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5">
        <f ca="1">Table133[[#This Row],[charmc]]+Table133[[#This Row],[charmp]]</f>
        <v>0</v>
      </c>
      <c r="BL50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5" s="78">
        <f ca="1">Table133[[#This Row],[call helper]]+Table133[[#This Row],[put helper]]</f>
        <v>0</v>
      </c>
      <c r="BP505" t="str">
        <f>RTD("tos.rtd", , "STRIKE", "."&amp;Table133[[#This Row],[Ticker]]&amp;Table133[[#This Row],[Expiry]]&amp;""&amp;"C"&amp;Table133[[#This Row],[Spot]]+Table133[[#This Row],[step]])</f>
        <v>N/A</v>
      </c>
    </row>
    <row r="506" spans="1:68" x14ac:dyDescent="0.25">
      <c r="A506" s="14">
        <f t="shared" ca="1" si="49"/>
        <v>-126.14810350076104</v>
      </c>
      <c r="C506" s="17"/>
      <c r="D506" t="str">
        <f>RTD("tos.rtd", , "OPEN_INT", "."&amp;Table133[[#This Row],[Ticker]]&amp;Table133[[#This Row],[Expiry]]&amp;""&amp;"C"&amp;Table133[[#This Row],[Spot]]+Table133[[#This Row],[step]])</f>
        <v>N/A</v>
      </c>
      <c r="E50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6" t="b">
        <f>IF(     ISNUMBER(Table133[[#This Row],[Strike]]),RTD("tos.rtd", , "DELTA", "."&amp;Table133[[#This Row],[Ticker]]&amp;Table133[[#This Row],[Expiry]]&amp;""&amp;"C"&amp;Table133[[#This Row],[Strike]]))</f>
        <v>0</v>
      </c>
      <c r="H506" s="17" cm="1">
        <f t="array" aca="1" ref="H506" ca="1">IndividualLegIVCore($A$4, Table133[[#This Row],[Strike]], 0.0411, Table133[[#This Row],[T]], ((Table133[[#This Row],[BIDC]]+Table133[[#This Row],[ASKC]])/2), TRUE)</f>
        <v>0.01</v>
      </c>
      <c r="I506" t="b">
        <f>IF(     ISNUMBER(Table133[[#This Row],[Strike]]),RTD("tos.rtd", , "BID", "."&amp;Table133[[#This Row],[Ticker]]&amp;Table133[[#This Row],[Expiry]]&amp;""&amp;"C"&amp;Table133[[#This Row],[Strike]]))</f>
        <v>0</v>
      </c>
      <c r="J506" t="b">
        <f>IF(     ISNUMBER(Table133[[#This Row],[Strike]]),RTD("tos.rtd", , "ASK", "."&amp;Table133[[#This Row],[Ticker]]&amp;Table133[[#This Row],[Expiry]]&amp;""&amp;"C"&amp;Table133[[#This Row],[Strike]]))</f>
        <v>0</v>
      </c>
      <c r="K506" s="17"/>
      <c r="M506" s="1">
        <f t="shared" si="50"/>
        <v>0</v>
      </c>
      <c r="N506" t="b">
        <f t="shared" si="51"/>
        <v>0</v>
      </c>
      <c r="P506" s="17" cm="1">
        <f t="array" aca="1" ref="P506" ca="1">IndividualLegIVCore($A$4, Table133[[#This Row],[Strike]], 0.0411, Table133[[#This Row],[T]], ((Table133[[#This Row],[BIDP]]+Table133[[#This Row],[ASKP]])/2), FALSE)</f>
        <v>0.01</v>
      </c>
      <c r="Q506" t="b">
        <f>IF(     ISNUMBER(Table133[[#This Row],[Strike]]),RTD("tos.rtd", , "BID", "."&amp;Table133[[#This Row],[Ticker]]&amp;Table133[[#This Row],[Expiry]]&amp;""&amp;"P"&amp;Table133[[#This Row],[Strike]]))</f>
        <v>0</v>
      </c>
      <c r="R506" t="b">
        <f>IF(     ISNUMBER(Table133[[#This Row],[Strike]]),RTD("tos.rtd", , "ASK", "."&amp;Table133[[#This Row],[Ticker]]&amp;Table133[[#This Row],[Expiry]]&amp;""&amp;"P"&amp;Table133[[#This Row],[Strike]]))</f>
        <v>0</v>
      </c>
      <c r="S506" s="17"/>
      <c r="T506" t="b">
        <f>IF(     ISNUMBER(Table133[[#This Row],[Strike]]),RTD("tos.rtd", , "OPEN_INT", "."&amp;Table133[[#This Row],[Ticker]]&amp;Table133[[#This Row],[Expiry]]&amp;""&amp;"P"&amp;Table133[[#This Row],[Strike]]))</f>
        <v>0</v>
      </c>
      <c r="U50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6" t="b">
        <f>IF(     ISNUMBER(Table133[[#This Row],[Strike]]),RTD("tos.rtd", , "DELTA", "."&amp;Table133[[#This Row],[Ticker]]&amp;Table133[[#This Row],[Expiry]]&amp;""&amp;"P"&amp;Table133[[#This Row],[Strike]]))</f>
        <v>0</v>
      </c>
      <c r="Y506" s="19">
        <f>-5* IF($M$1="NDX", 10, IF(OR($M$1="SPX", $M$1="RUT"), 2, 1))</f>
        <v>-10</v>
      </c>
      <c r="Z506">
        <f ca="1">IFERROR(Table133[[#This Row],[call gamma]]*(Table133[[#This Row],[Open.Int]])*$A$4^2,0)</f>
        <v>0</v>
      </c>
      <c r="AA506">
        <f ca="1">IFERROR(((Table133[[#This Row],[Open.Int8]])*Table133[[#This Row],[Put gamma]])*-1*$A$4^2,0)</f>
        <v>0</v>
      </c>
      <c r="AB506">
        <f ca="1">(Table133[[#This Row],[Call Gex]]+Table133[[#This Row],[Put Gex]])</f>
        <v>0</v>
      </c>
      <c r="AC506">
        <f ca="1">Table133[[#This Row],[put delta adj]]+Table133[[#This Row],[call delta adj]]</f>
        <v>0</v>
      </c>
      <c r="AD506">
        <f ca="1">Table133[[#This Row],[Put Gex]]*Table133[[#This Row],[DeltaP]]*-1</f>
        <v>0</v>
      </c>
      <c r="AE506">
        <f ca="1">Table133[[#This Row],[Call Gex]]*Table133[[#This Row],[DeltaC]]</f>
        <v>0</v>
      </c>
      <c r="AF506">
        <f>IF(Table133[[#This Row],[DeltaC]]-ABS(Table133[[#This Row],[DeltaP]])="0","0.01",Table133[[#This Row],[DeltaC]]-ABS(Table133[[#This Row],[DeltaP]]))</f>
        <v>0</v>
      </c>
      <c r="AG506" t="e">
        <f ca="1">((LN($A$4/Table133[[#This Row],[Strike]]) + (0.411 + 0.5 * Table133[[#This Row],[IV Calc P]]^2) *Table133[[#This Row],[T]])) / (Table133[[#This Row],[IV Calc P]] * SQRT(Table133[[#This Row],[T]]))</f>
        <v>#DIV/0!</v>
      </c>
      <c r="AH506" t="e">
        <f ca="1">(LN($A$4/Table133[[#This Row],[Strike]]) + (0.411-0 + 0.5 * Table133[[#This Row],[IV Calc C]]^2) *Table133[[#This Row],[T]]) / (Table133[[#This Row],[IV Calc C]] * SQRT(Table133[[#This Row],[T]]))</f>
        <v>#DIV/0!</v>
      </c>
      <c r="AI506" t="e">
        <f ca="1">(EXP(-(AG506^2)/2)/SQRT(2*PI())*EXP(0*SQRT(Table133[[#This Row],[T]]))/$A$4*18%*SQRT(SQRT(Table133[[#This Row],[T]])))</f>
        <v>#DIV/0!</v>
      </c>
      <c r="AJ506" t="e">
        <f ca="1">(EXP(-(AH506^2)/2)/SQRT(2*PI())*EXP(0*SQRT(Table133[[#This Row],[T]]))/$A$4*18%*SQRT(SQRT(Table133[[#This Row],[T]])))</f>
        <v>#DIV/0!</v>
      </c>
      <c r="AK506" t="e">
        <f ca="1">Table133[[#This Row],[Call D1]]-Table133[[#This Row],[IV Calc C]]*SQRT(Table133[[#This Row],[T]])</f>
        <v>#DIV/0!</v>
      </c>
      <c r="AL506" t="e">
        <f ca="1">Table133[[#This Row],[Put D1]]-Table133[[#This Row],[IV Calc P]]*SQRT(Table133[[#This Row],[T]])</f>
        <v>#DIV/0!</v>
      </c>
      <c r="AM506" t="e">
        <f ca="1">EXP(-0.5*Table133[[#This Row],[Call D1]]^2)/SQRT(2*PI())</f>
        <v>#DIV/0!</v>
      </c>
      <c r="AN506" t="e">
        <f ca="1">EXP(-0.5*Table133[[#This Row],[Put D1]]^2)/SQRT(2*PI())</f>
        <v>#DIV/0!</v>
      </c>
      <c r="AO50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6">
        <f ca="1">((Table133[[#This Row],[call vanna]]+Table133[[#This Row],[put vanna]])*$A$4)</f>
        <v>0</v>
      </c>
      <c r="AR50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6" s="9" t="str" cm="1">
        <f t="array" ref="AT506">_xlfn.IFS(     $M$1="SPX","SPXW",     $M$1="RUT","RUTW",  $M$1="NDX","NDXP",   TRUE,$M$1 )</f>
        <v>SPXW</v>
      </c>
      <c r="AU506" s="2">
        <f t="shared" si="52"/>
        <v>6915</v>
      </c>
      <c r="AV506" t="str">
        <f t="shared" si="53"/>
        <v>000100</v>
      </c>
      <c r="AY50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6">
        <f>((Table133[[#This Row],[High C]]+Table133[[#This Row],[Low C]])/2)*Table133[[#This Row],[gammac]]*Table133[[#This Row],[Volume]]</f>
        <v>0</v>
      </c>
      <c r="BD506">
        <f>((Table133[[#This Row],[High P]]+Table133[[#This Row],[Low P]])/2)*Table133[[#This Row],[gammap]]*Table133[[#This Row],[Volume9]]*-1</f>
        <v>0</v>
      </c>
      <c r="BE506">
        <f>(Table133[[#This Row],[SgammaC]]+Table133[[#This Row],[SgammaP]])*$A$4*-100</f>
        <v>0</v>
      </c>
      <c r="BF506" s="78">
        <f>Table133[[#This Row],[DEXc]]+Table133[[#This Row],[DEXp]]</f>
        <v>0</v>
      </c>
      <c r="BG506">
        <f>IFERROR(Table133[[#This Row],[DeltaC]]*Table133[[#This Row],[Open.Int]]*$A$4,0)</f>
        <v>0</v>
      </c>
      <c r="BH506">
        <f>IFERROR(Table133[[#This Row],[DeltaP]]*Table133[[#This Row],[Open.Int8]]*$A$4,0)</f>
        <v>0</v>
      </c>
      <c r="BI50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6">
        <f ca="1">Table133[[#This Row],[charmc]]+Table133[[#This Row],[charmp]]</f>
        <v>0</v>
      </c>
      <c r="BL50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6" s="78">
        <f ca="1">Table133[[#This Row],[call helper]]+Table133[[#This Row],[put helper]]</f>
        <v>0</v>
      </c>
      <c r="BP506" t="str">
        <f>RTD("tos.rtd", , "STRIKE", "."&amp;Table133[[#This Row],[Ticker]]&amp;Table133[[#This Row],[Expiry]]&amp;""&amp;"C"&amp;Table133[[#This Row],[Spot]]+Table133[[#This Row],[step]])</f>
        <v>N/A</v>
      </c>
    </row>
    <row r="507" spans="1:68" x14ac:dyDescent="0.25">
      <c r="A507" s="14">
        <f t="shared" ca="1" si="49"/>
        <v>-126.14810350076104</v>
      </c>
      <c r="C507" s="17"/>
      <c r="D507" t="str">
        <f>RTD("tos.rtd", , "OPEN_INT", "."&amp;Table133[[#This Row],[Ticker]]&amp;Table133[[#This Row],[Expiry]]&amp;""&amp;"C"&amp;Table133[[#This Row],[Spot]]+Table133[[#This Row],[step]])</f>
        <v>N/A</v>
      </c>
      <c r="E50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7" t="b">
        <f>IF(     ISNUMBER(Table133[[#This Row],[Strike]]),RTD("tos.rtd", , "DELTA", "."&amp;Table133[[#This Row],[Ticker]]&amp;Table133[[#This Row],[Expiry]]&amp;""&amp;"C"&amp;Table133[[#This Row],[Strike]]))</f>
        <v>0</v>
      </c>
      <c r="H507" s="17" cm="1">
        <f t="array" aca="1" ref="H507" ca="1">IndividualLegIVCore($A$4, Table133[[#This Row],[Strike]], 0.0411, Table133[[#This Row],[T]], ((Table133[[#This Row],[BIDC]]+Table133[[#This Row],[ASKC]])/2), TRUE)</f>
        <v>0.01</v>
      </c>
      <c r="I507" t="b">
        <f>IF(     ISNUMBER(Table133[[#This Row],[Strike]]),RTD("tos.rtd", , "BID", "."&amp;Table133[[#This Row],[Ticker]]&amp;Table133[[#This Row],[Expiry]]&amp;""&amp;"C"&amp;Table133[[#This Row],[Strike]]))</f>
        <v>0</v>
      </c>
      <c r="J507" t="b">
        <f>IF(     ISNUMBER(Table133[[#This Row],[Strike]]),RTD("tos.rtd", , "ASK", "."&amp;Table133[[#This Row],[Ticker]]&amp;Table133[[#This Row],[Expiry]]&amp;""&amp;"C"&amp;Table133[[#This Row],[Strike]]))</f>
        <v>0</v>
      </c>
      <c r="K507" s="17"/>
      <c r="M507" s="1">
        <f t="shared" si="50"/>
        <v>0</v>
      </c>
      <c r="N507" t="b">
        <f t="shared" si="51"/>
        <v>0</v>
      </c>
      <c r="P507" s="17" cm="1">
        <f t="array" aca="1" ref="P507" ca="1">IndividualLegIVCore($A$4, Table133[[#This Row],[Strike]], 0.0411, Table133[[#This Row],[T]], ((Table133[[#This Row],[BIDP]]+Table133[[#This Row],[ASKP]])/2), FALSE)</f>
        <v>0.01</v>
      </c>
      <c r="Q507" t="b">
        <f>IF(     ISNUMBER(Table133[[#This Row],[Strike]]),RTD("tos.rtd", , "BID", "."&amp;Table133[[#This Row],[Ticker]]&amp;Table133[[#This Row],[Expiry]]&amp;""&amp;"P"&amp;Table133[[#This Row],[Strike]]))</f>
        <v>0</v>
      </c>
      <c r="R507" t="b">
        <f>IF(     ISNUMBER(Table133[[#This Row],[Strike]]),RTD("tos.rtd", , "ASK", "."&amp;Table133[[#This Row],[Ticker]]&amp;Table133[[#This Row],[Expiry]]&amp;""&amp;"P"&amp;Table133[[#This Row],[Strike]]))</f>
        <v>0</v>
      </c>
      <c r="S507" s="17"/>
      <c r="T507" t="b">
        <f>IF(     ISNUMBER(Table133[[#This Row],[Strike]]),RTD("tos.rtd", , "OPEN_INT", "."&amp;Table133[[#This Row],[Ticker]]&amp;Table133[[#This Row],[Expiry]]&amp;""&amp;"P"&amp;Table133[[#This Row],[Strike]]))</f>
        <v>0</v>
      </c>
      <c r="U50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7" t="b">
        <f>IF(     ISNUMBER(Table133[[#This Row],[Strike]]),RTD("tos.rtd", , "DELTA", "."&amp;Table133[[#This Row],[Ticker]]&amp;Table133[[#This Row],[Expiry]]&amp;""&amp;"P"&amp;Table133[[#This Row],[Strike]]))</f>
        <v>0</v>
      </c>
      <c r="Y507" s="19">
        <f>-4.5* IF($M$1="NDX", 10, IF(OR($M$1="SPX", $M$1="RUT"), 2, 1))</f>
        <v>-9</v>
      </c>
      <c r="Z507">
        <f ca="1">IFERROR(Table133[[#This Row],[call gamma]]*(Table133[[#This Row],[Open.Int]])*$A$4^2,0)</f>
        <v>0</v>
      </c>
      <c r="AA507">
        <f ca="1">IFERROR(((Table133[[#This Row],[Open.Int8]])*Table133[[#This Row],[Put gamma]])*-1*$A$4^2,0)</f>
        <v>0</v>
      </c>
      <c r="AB507">
        <f ca="1">(Table133[[#This Row],[Call Gex]]+Table133[[#This Row],[Put Gex]])</f>
        <v>0</v>
      </c>
      <c r="AC507">
        <f ca="1">Table133[[#This Row],[put delta adj]]+Table133[[#This Row],[call delta adj]]</f>
        <v>0</v>
      </c>
      <c r="AD507">
        <f ca="1">Table133[[#This Row],[Put Gex]]*Table133[[#This Row],[DeltaP]]*-1</f>
        <v>0</v>
      </c>
      <c r="AE507">
        <f ca="1">Table133[[#This Row],[Call Gex]]*Table133[[#This Row],[DeltaC]]</f>
        <v>0</v>
      </c>
      <c r="AF507">
        <f>IF(Table133[[#This Row],[DeltaC]]-ABS(Table133[[#This Row],[DeltaP]])="0","0.01",Table133[[#This Row],[DeltaC]]-ABS(Table133[[#This Row],[DeltaP]]))</f>
        <v>0</v>
      </c>
      <c r="AG507" t="e">
        <f ca="1">((LN($A$4/Table133[[#This Row],[Strike]]) + (0.411 + 0.5 * Table133[[#This Row],[IV Calc P]]^2) *Table133[[#This Row],[T]])) / (Table133[[#This Row],[IV Calc P]] * SQRT(Table133[[#This Row],[T]]))</f>
        <v>#DIV/0!</v>
      </c>
      <c r="AH507" t="e">
        <f ca="1">(LN($A$4/Table133[[#This Row],[Strike]]) + (0.411-0 + 0.5 * Table133[[#This Row],[IV Calc C]]^2) *Table133[[#This Row],[T]]) / (Table133[[#This Row],[IV Calc C]] * SQRT(Table133[[#This Row],[T]]))</f>
        <v>#DIV/0!</v>
      </c>
      <c r="AI507" t="e">
        <f ca="1">(EXP(-(AG507^2)/2)/SQRT(2*PI())*EXP(0*SQRT(Table133[[#This Row],[T]]))/$A$4*18%*SQRT(SQRT(Table133[[#This Row],[T]])))</f>
        <v>#DIV/0!</v>
      </c>
      <c r="AJ507" t="e">
        <f ca="1">(EXP(-(AH507^2)/2)/SQRT(2*PI())*EXP(0*SQRT(Table133[[#This Row],[T]]))/$A$4*18%*SQRT(SQRT(Table133[[#This Row],[T]])))</f>
        <v>#DIV/0!</v>
      </c>
      <c r="AK507" t="e">
        <f ca="1">Table133[[#This Row],[Call D1]]-Table133[[#This Row],[IV Calc C]]*SQRT(Table133[[#This Row],[T]])</f>
        <v>#DIV/0!</v>
      </c>
      <c r="AL507" t="e">
        <f ca="1">Table133[[#This Row],[Put D1]]-Table133[[#This Row],[IV Calc P]]*SQRT(Table133[[#This Row],[T]])</f>
        <v>#DIV/0!</v>
      </c>
      <c r="AM507" t="e">
        <f ca="1">EXP(-0.5*Table133[[#This Row],[Call D1]]^2)/SQRT(2*PI())</f>
        <v>#DIV/0!</v>
      </c>
      <c r="AN507" t="e">
        <f ca="1">EXP(-0.5*Table133[[#This Row],[Put D1]]^2)/SQRT(2*PI())</f>
        <v>#DIV/0!</v>
      </c>
      <c r="AO50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7">
        <f ca="1">((Table133[[#This Row],[call vanna]]+Table133[[#This Row],[put vanna]])*$A$4)</f>
        <v>0</v>
      </c>
      <c r="AR50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7" s="9" t="str" cm="1">
        <f t="array" ref="AT507">_xlfn.IFS(     $M$1="SPX","SPXW",     $M$1="RUT","RUTW",  $M$1="NDX","NDXP",   TRUE,$M$1 )</f>
        <v>SPXW</v>
      </c>
      <c r="AU507" s="2">
        <f t="shared" si="52"/>
        <v>6915</v>
      </c>
      <c r="AV507" t="str">
        <f t="shared" si="53"/>
        <v>000100</v>
      </c>
      <c r="AY50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7">
        <f>((Table133[[#This Row],[High C]]+Table133[[#This Row],[Low C]])/2)*Table133[[#This Row],[gammac]]*Table133[[#This Row],[Volume]]</f>
        <v>0</v>
      </c>
      <c r="BD507">
        <f>((Table133[[#This Row],[High P]]+Table133[[#This Row],[Low P]])/2)*Table133[[#This Row],[gammap]]*Table133[[#This Row],[Volume9]]*-1</f>
        <v>0</v>
      </c>
      <c r="BE507">
        <f>(Table133[[#This Row],[SgammaC]]+Table133[[#This Row],[SgammaP]])*$A$4*-100</f>
        <v>0</v>
      </c>
      <c r="BF507" s="78">
        <f>Table133[[#This Row],[DEXc]]+Table133[[#This Row],[DEXp]]</f>
        <v>0</v>
      </c>
      <c r="BG507">
        <f>IFERROR(Table133[[#This Row],[DeltaC]]*Table133[[#This Row],[Open.Int]]*$A$4,0)</f>
        <v>0</v>
      </c>
      <c r="BH507">
        <f>IFERROR(Table133[[#This Row],[DeltaP]]*Table133[[#This Row],[Open.Int8]]*$A$4,0)</f>
        <v>0</v>
      </c>
      <c r="BI50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7">
        <f ca="1">Table133[[#This Row],[charmc]]+Table133[[#This Row],[charmp]]</f>
        <v>0</v>
      </c>
      <c r="BL50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7" s="78">
        <f ca="1">Table133[[#This Row],[call helper]]+Table133[[#This Row],[put helper]]</f>
        <v>0</v>
      </c>
      <c r="BP507" t="str">
        <f>RTD("tos.rtd", , "STRIKE", "."&amp;Table133[[#This Row],[Ticker]]&amp;Table133[[#This Row],[Expiry]]&amp;""&amp;"C"&amp;Table133[[#This Row],[Spot]]+Table133[[#This Row],[step]])</f>
        <v>N/A</v>
      </c>
    </row>
    <row r="508" spans="1:68" x14ac:dyDescent="0.25">
      <c r="A508" s="14">
        <f t="shared" ca="1" si="49"/>
        <v>-126.14810350076104</v>
      </c>
      <c r="C508" s="17"/>
      <c r="D508" t="str">
        <f>RTD("tos.rtd", , "OPEN_INT", "."&amp;Table133[[#This Row],[Ticker]]&amp;Table133[[#This Row],[Expiry]]&amp;""&amp;"C"&amp;Table133[[#This Row],[Spot]]+Table133[[#This Row],[step]])</f>
        <v>N/A</v>
      </c>
      <c r="E50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8" t="b">
        <f>IF(     ISNUMBER(Table133[[#This Row],[Strike]]),RTD("tos.rtd", , "DELTA", "."&amp;Table133[[#This Row],[Ticker]]&amp;Table133[[#This Row],[Expiry]]&amp;""&amp;"C"&amp;Table133[[#This Row],[Strike]]))</f>
        <v>0</v>
      </c>
      <c r="H508" s="17" cm="1">
        <f t="array" aca="1" ref="H508" ca="1">IndividualLegIVCore($A$4, Table133[[#This Row],[Strike]], 0.0411, Table133[[#This Row],[T]], ((Table133[[#This Row],[BIDC]]+Table133[[#This Row],[ASKC]])/2), TRUE)</f>
        <v>0.01</v>
      </c>
      <c r="I508" t="b">
        <f>IF(     ISNUMBER(Table133[[#This Row],[Strike]]),RTD("tos.rtd", , "BID", "."&amp;Table133[[#This Row],[Ticker]]&amp;Table133[[#This Row],[Expiry]]&amp;""&amp;"C"&amp;Table133[[#This Row],[Strike]]))</f>
        <v>0</v>
      </c>
      <c r="J508" t="b">
        <f>IF(     ISNUMBER(Table133[[#This Row],[Strike]]),RTD("tos.rtd", , "ASK", "."&amp;Table133[[#This Row],[Ticker]]&amp;Table133[[#This Row],[Expiry]]&amp;""&amp;"C"&amp;Table133[[#This Row],[Strike]]))</f>
        <v>0</v>
      </c>
      <c r="K508" s="17"/>
      <c r="M508" s="1">
        <f t="shared" si="50"/>
        <v>0</v>
      </c>
      <c r="N508" t="b">
        <f t="shared" si="51"/>
        <v>0</v>
      </c>
      <c r="P508" s="17" cm="1">
        <f t="array" aca="1" ref="P508" ca="1">IndividualLegIVCore($A$4, Table133[[#This Row],[Strike]], 0.0411, Table133[[#This Row],[T]], ((Table133[[#This Row],[BIDP]]+Table133[[#This Row],[ASKP]])/2), FALSE)</f>
        <v>0.01</v>
      </c>
      <c r="Q508" t="b">
        <f>IF(     ISNUMBER(Table133[[#This Row],[Strike]]),RTD("tos.rtd", , "BID", "."&amp;Table133[[#This Row],[Ticker]]&amp;Table133[[#This Row],[Expiry]]&amp;""&amp;"P"&amp;Table133[[#This Row],[Strike]]))</f>
        <v>0</v>
      </c>
      <c r="R508" t="b">
        <f>IF(     ISNUMBER(Table133[[#This Row],[Strike]]),RTD("tos.rtd", , "ASK", "."&amp;Table133[[#This Row],[Ticker]]&amp;Table133[[#This Row],[Expiry]]&amp;""&amp;"P"&amp;Table133[[#This Row],[Strike]]))</f>
        <v>0</v>
      </c>
      <c r="S508" s="17"/>
      <c r="T508" t="b">
        <f>IF(     ISNUMBER(Table133[[#This Row],[Strike]]),RTD("tos.rtd", , "OPEN_INT", "."&amp;Table133[[#This Row],[Ticker]]&amp;Table133[[#This Row],[Expiry]]&amp;""&amp;"P"&amp;Table133[[#This Row],[Strike]]))</f>
        <v>0</v>
      </c>
      <c r="U50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8" t="b">
        <f>IF(     ISNUMBER(Table133[[#This Row],[Strike]]),RTD("tos.rtd", , "DELTA", "."&amp;Table133[[#This Row],[Ticker]]&amp;Table133[[#This Row],[Expiry]]&amp;""&amp;"P"&amp;Table133[[#This Row],[Strike]]))</f>
        <v>0</v>
      </c>
      <c r="Y508" s="19">
        <f>-4* IF($M$1="NDX", 10, IF(OR($M$1="SPX", $M$1="RUT"), 2, 1))</f>
        <v>-8</v>
      </c>
      <c r="Z508">
        <f ca="1">IFERROR(Table133[[#This Row],[call gamma]]*(Table133[[#This Row],[Open.Int]])*$A$4^2,0)</f>
        <v>0</v>
      </c>
      <c r="AA508">
        <f ca="1">IFERROR(((Table133[[#This Row],[Open.Int8]])*Table133[[#This Row],[Put gamma]])*-1*$A$4^2,0)</f>
        <v>0</v>
      </c>
      <c r="AB508">
        <f ca="1">(Table133[[#This Row],[Call Gex]]+Table133[[#This Row],[Put Gex]])</f>
        <v>0</v>
      </c>
      <c r="AC508">
        <f ca="1">Table133[[#This Row],[put delta adj]]+Table133[[#This Row],[call delta adj]]</f>
        <v>0</v>
      </c>
      <c r="AD508">
        <f ca="1">Table133[[#This Row],[Put Gex]]*Table133[[#This Row],[DeltaP]]*-1</f>
        <v>0</v>
      </c>
      <c r="AE508">
        <f ca="1">Table133[[#This Row],[Call Gex]]*Table133[[#This Row],[DeltaC]]</f>
        <v>0</v>
      </c>
      <c r="AF508">
        <f>IF(Table133[[#This Row],[DeltaC]]-ABS(Table133[[#This Row],[DeltaP]])="0","0.01",Table133[[#This Row],[DeltaC]]-ABS(Table133[[#This Row],[DeltaP]]))</f>
        <v>0</v>
      </c>
      <c r="AG508" t="e">
        <f ca="1">((LN($A$4/Table133[[#This Row],[Strike]]) + (0.411 + 0.5 * Table133[[#This Row],[IV Calc P]]^2) *Table133[[#This Row],[T]])) / (Table133[[#This Row],[IV Calc P]] * SQRT(Table133[[#This Row],[T]]))</f>
        <v>#DIV/0!</v>
      </c>
      <c r="AH508" t="e">
        <f ca="1">(LN($A$4/Table133[[#This Row],[Strike]]) + (0.411-0 + 0.5 * Table133[[#This Row],[IV Calc C]]^2) *Table133[[#This Row],[T]]) / (Table133[[#This Row],[IV Calc C]] * SQRT(Table133[[#This Row],[T]]))</f>
        <v>#DIV/0!</v>
      </c>
      <c r="AI508" t="e">
        <f ca="1">(EXP(-(AG508^2)/2)/SQRT(2*PI())*EXP(0*SQRT(Table133[[#This Row],[T]]))/$A$4*18%*SQRT(SQRT(Table133[[#This Row],[T]])))</f>
        <v>#DIV/0!</v>
      </c>
      <c r="AJ508" t="e">
        <f ca="1">(EXP(-(AH508^2)/2)/SQRT(2*PI())*EXP(0*SQRT(Table133[[#This Row],[T]]))/$A$4*18%*SQRT(SQRT(Table133[[#This Row],[T]])))</f>
        <v>#DIV/0!</v>
      </c>
      <c r="AK508" t="e">
        <f ca="1">Table133[[#This Row],[Call D1]]-Table133[[#This Row],[IV Calc C]]*SQRT(Table133[[#This Row],[T]])</f>
        <v>#DIV/0!</v>
      </c>
      <c r="AL508" t="e">
        <f ca="1">Table133[[#This Row],[Put D1]]-Table133[[#This Row],[IV Calc P]]*SQRT(Table133[[#This Row],[T]])</f>
        <v>#DIV/0!</v>
      </c>
      <c r="AM508" t="e">
        <f ca="1">EXP(-0.5*Table133[[#This Row],[Call D1]]^2)/SQRT(2*PI())</f>
        <v>#DIV/0!</v>
      </c>
      <c r="AN508" t="e">
        <f ca="1">EXP(-0.5*Table133[[#This Row],[Put D1]]^2)/SQRT(2*PI())</f>
        <v>#DIV/0!</v>
      </c>
      <c r="AO50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8">
        <f ca="1">((Table133[[#This Row],[call vanna]]+Table133[[#This Row],[put vanna]])*$A$4)</f>
        <v>0</v>
      </c>
      <c r="AR50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8" s="9" t="str" cm="1">
        <f t="array" ref="AT508">_xlfn.IFS(     $M$1="SPX","SPXW",     $M$1="RUT","RUTW",  $M$1="NDX","NDXP",   TRUE,$M$1 )</f>
        <v>SPXW</v>
      </c>
      <c r="AU508" s="2">
        <f t="shared" si="52"/>
        <v>6915</v>
      </c>
      <c r="AV508" t="str">
        <f t="shared" si="53"/>
        <v>000100</v>
      </c>
      <c r="AY50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8">
        <f>((Table133[[#This Row],[High C]]+Table133[[#This Row],[Low C]])/2)*Table133[[#This Row],[gammac]]*Table133[[#This Row],[Volume]]</f>
        <v>0</v>
      </c>
      <c r="BD508">
        <f>((Table133[[#This Row],[High P]]+Table133[[#This Row],[Low P]])/2)*Table133[[#This Row],[gammap]]*Table133[[#This Row],[Volume9]]*-1</f>
        <v>0</v>
      </c>
      <c r="BE508">
        <f>(Table133[[#This Row],[SgammaC]]+Table133[[#This Row],[SgammaP]])*$A$4*-100</f>
        <v>0</v>
      </c>
      <c r="BF508" s="78">
        <f>Table133[[#This Row],[DEXc]]+Table133[[#This Row],[DEXp]]</f>
        <v>0</v>
      </c>
      <c r="BG508">
        <f>IFERROR(Table133[[#This Row],[DeltaC]]*Table133[[#This Row],[Open.Int]]*$A$4,0)</f>
        <v>0</v>
      </c>
      <c r="BH508">
        <f>IFERROR(Table133[[#This Row],[DeltaP]]*Table133[[#This Row],[Open.Int8]]*$A$4,0)</f>
        <v>0</v>
      </c>
      <c r="BI50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8">
        <f ca="1">Table133[[#This Row],[charmc]]+Table133[[#This Row],[charmp]]</f>
        <v>0</v>
      </c>
      <c r="BL50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8" s="78">
        <f ca="1">Table133[[#This Row],[call helper]]+Table133[[#This Row],[put helper]]</f>
        <v>0</v>
      </c>
      <c r="BP508" t="str">
        <f>RTD("tos.rtd", , "STRIKE", "."&amp;Table133[[#This Row],[Ticker]]&amp;Table133[[#This Row],[Expiry]]&amp;""&amp;"C"&amp;Table133[[#This Row],[Spot]]+Table133[[#This Row],[step]])</f>
        <v>N/A</v>
      </c>
    </row>
    <row r="509" spans="1:68" x14ac:dyDescent="0.25">
      <c r="A509" s="14">
        <f t="shared" ca="1" si="49"/>
        <v>-126.14810350076104</v>
      </c>
      <c r="C509" s="17"/>
      <c r="D509" t="str">
        <f>RTD("tos.rtd", , "OPEN_INT", "."&amp;Table133[[#This Row],[Ticker]]&amp;Table133[[#This Row],[Expiry]]&amp;""&amp;"C"&amp;Table133[[#This Row],[Spot]]+Table133[[#This Row],[step]])</f>
        <v>N/A</v>
      </c>
      <c r="E50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9" t="b">
        <f>IF(     ISNUMBER(Table133[[#This Row],[Strike]]),RTD("tos.rtd", , "DELTA", "."&amp;Table133[[#This Row],[Ticker]]&amp;Table133[[#This Row],[Expiry]]&amp;""&amp;"C"&amp;Table133[[#This Row],[Strike]]))</f>
        <v>0</v>
      </c>
      <c r="H509" s="17" cm="1">
        <f t="array" aca="1" ref="H509" ca="1">IndividualLegIVCore($A$4, Table133[[#This Row],[Strike]], 0.0411, Table133[[#This Row],[T]], ((Table133[[#This Row],[BIDC]]+Table133[[#This Row],[ASKC]])/2), TRUE)</f>
        <v>0.01</v>
      </c>
      <c r="I509" t="b">
        <f>IF(     ISNUMBER(Table133[[#This Row],[Strike]]),RTD("tos.rtd", , "BID", "."&amp;Table133[[#This Row],[Ticker]]&amp;Table133[[#This Row],[Expiry]]&amp;""&amp;"C"&amp;Table133[[#This Row],[Strike]]))</f>
        <v>0</v>
      </c>
      <c r="J509" t="b">
        <f>IF(     ISNUMBER(Table133[[#This Row],[Strike]]),RTD("tos.rtd", , "ASK", "."&amp;Table133[[#This Row],[Ticker]]&amp;Table133[[#This Row],[Expiry]]&amp;""&amp;"C"&amp;Table133[[#This Row],[Strike]]))</f>
        <v>0</v>
      </c>
      <c r="K509" s="17"/>
      <c r="M509" s="1">
        <f t="shared" si="50"/>
        <v>0</v>
      </c>
      <c r="N509" t="b">
        <f t="shared" si="51"/>
        <v>0</v>
      </c>
      <c r="P509" s="17" cm="1">
        <f t="array" aca="1" ref="P509" ca="1">IndividualLegIVCore($A$4, Table133[[#This Row],[Strike]], 0.0411, Table133[[#This Row],[T]], ((Table133[[#This Row],[BIDP]]+Table133[[#This Row],[ASKP]])/2), FALSE)</f>
        <v>0.01</v>
      </c>
      <c r="Q509" t="b">
        <f>IF(     ISNUMBER(Table133[[#This Row],[Strike]]),RTD("tos.rtd", , "BID", "."&amp;Table133[[#This Row],[Ticker]]&amp;Table133[[#This Row],[Expiry]]&amp;""&amp;"P"&amp;Table133[[#This Row],[Strike]]))</f>
        <v>0</v>
      </c>
      <c r="R509" t="b">
        <f>IF(     ISNUMBER(Table133[[#This Row],[Strike]]),RTD("tos.rtd", , "ASK", "."&amp;Table133[[#This Row],[Ticker]]&amp;Table133[[#This Row],[Expiry]]&amp;""&amp;"P"&amp;Table133[[#This Row],[Strike]]))</f>
        <v>0</v>
      </c>
      <c r="S509" s="17"/>
      <c r="T509" t="b">
        <f>IF(     ISNUMBER(Table133[[#This Row],[Strike]]),RTD("tos.rtd", , "OPEN_INT", "."&amp;Table133[[#This Row],[Ticker]]&amp;Table133[[#This Row],[Expiry]]&amp;""&amp;"P"&amp;Table133[[#This Row],[Strike]]))</f>
        <v>0</v>
      </c>
      <c r="U50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9" t="b">
        <f>IF(     ISNUMBER(Table133[[#This Row],[Strike]]),RTD("tos.rtd", , "DELTA", "."&amp;Table133[[#This Row],[Ticker]]&amp;Table133[[#This Row],[Expiry]]&amp;""&amp;"P"&amp;Table133[[#This Row],[Strike]]))</f>
        <v>0</v>
      </c>
      <c r="Y509" s="19">
        <f>-3.5* IF($M$1="NDX", 10, IF(OR($M$1="SPX", $M$1="RUT"), 2, 1))</f>
        <v>-7</v>
      </c>
      <c r="Z509">
        <f ca="1">IFERROR(Table133[[#This Row],[call gamma]]*(Table133[[#This Row],[Open.Int]])*$A$4^2,0)</f>
        <v>0</v>
      </c>
      <c r="AA509">
        <f ca="1">IFERROR(((Table133[[#This Row],[Open.Int8]])*Table133[[#This Row],[Put gamma]])*-1*$A$4^2,0)</f>
        <v>0</v>
      </c>
      <c r="AB509">
        <f ca="1">(Table133[[#This Row],[Call Gex]]+Table133[[#This Row],[Put Gex]])</f>
        <v>0</v>
      </c>
      <c r="AC509">
        <f ca="1">Table133[[#This Row],[put delta adj]]+Table133[[#This Row],[call delta adj]]</f>
        <v>0</v>
      </c>
      <c r="AD509">
        <f ca="1">Table133[[#This Row],[Put Gex]]*Table133[[#This Row],[DeltaP]]*-1</f>
        <v>0</v>
      </c>
      <c r="AE509">
        <f ca="1">Table133[[#This Row],[Call Gex]]*Table133[[#This Row],[DeltaC]]</f>
        <v>0</v>
      </c>
      <c r="AF509">
        <f>IF(Table133[[#This Row],[DeltaC]]-ABS(Table133[[#This Row],[DeltaP]])="0","0.01",Table133[[#This Row],[DeltaC]]-ABS(Table133[[#This Row],[DeltaP]]))</f>
        <v>0</v>
      </c>
      <c r="AG509" t="e">
        <f ca="1">((LN($A$4/Table133[[#This Row],[Strike]]) + (0.411 + 0.5 * Table133[[#This Row],[IV Calc P]]^2) *Table133[[#This Row],[T]])) / (Table133[[#This Row],[IV Calc P]] * SQRT(Table133[[#This Row],[T]]))</f>
        <v>#DIV/0!</v>
      </c>
      <c r="AH509" t="e">
        <f ca="1">(LN($A$4/Table133[[#This Row],[Strike]]) + (0.411-0 + 0.5 * Table133[[#This Row],[IV Calc C]]^2) *Table133[[#This Row],[T]]) / (Table133[[#This Row],[IV Calc C]] * SQRT(Table133[[#This Row],[T]]))</f>
        <v>#DIV/0!</v>
      </c>
      <c r="AI509" t="e">
        <f ca="1">(EXP(-(AG509^2)/2)/SQRT(2*PI())*EXP(0*SQRT(Table133[[#This Row],[T]]))/$A$4*18%*SQRT(SQRT(Table133[[#This Row],[T]])))</f>
        <v>#DIV/0!</v>
      </c>
      <c r="AJ509" t="e">
        <f ca="1">(EXP(-(AH509^2)/2)/SQRT(2*PI())*EXP(0*SQRT(Table133[[#This Row],[T]]))/$A$4*18%*SQRT(SQRT(Table133[[#This Row],[T]])))</f>
        <v>#DIV/0!</v>
      </c>
      <c r="AK509" t="e">
        <f ca="1">Table133[[#This Row],[Call D1]]-Table133[[#This Row],[IV Calc C]]*SQRT(Table133[[#This Row],[T]])</f>
        <v>#DIV/0!</v>
      </c>
      <c r="AL509" t="e">
        <f ca="1">Table133[[#This Row],[Put D1]]-Table133[[#This Row],[IV Calc P]]*SQRT(Table133[[#This Row],[T]])</f>
        <v>#DIV/0!</v>
      </c>
      <c r="AM509" t="e">
        <f ca="1">EXP(-0.5*Table133[[#This Row],[Call D1]]^2)/SQRT(2*PI())</f>
        <v>#DIV/0!</v>
      </c>
      <c r="AN509" t="e">
        <f ca="1">EXP(-0.5*Table133[[#This Row],[Put D1]]^2)/SQRT(2*PI())</f>
        <v>#DIV/0!</v>
      </c>
      <c r="AO50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9">
        <f ca="1">((Table133[[#This Row],[call vanna]]+Table133[[#This Row],[put vanna]])*$A$4)</f>
        <v>0</v>
      </c>
      <c r="AR50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9" s="9" t="str" cm="1">
        <f t="array" ref="AT509">_xlfn.IFS(     $M$1="SPX","SPXW",     $M$1="RUT","RUTW",  $M$1="NDX","NDXP",   TRUE,$M$1 )</f>
        <v>SPXW</v>
      </c>
      <c r="AU509" s="2">
        <f t="shared" si="52"/>
        <v>6915</v>
      </c>
      <c r="AV509" t="str">
        <f t="shared" si="53"/>
        <v>000100</v>
      </c>
      <c r="AY50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9">
        <f>((Table133[[#This Row],[High C]]+Table133[[#This Row],[Low C]])/2)*Table133[[#This Row],[gammac]]*Table133[[#This Row],[Volume]]</f>
        <v>0</v>
      </c>
      <c r="BD509">
        <f>((Table133[[#This Row],[High P]]+Table133[[#This Row],[Low P]])/2)*Table133[[#This Row],[gammap]]*Table133[[#This Row],[Volume9]]*-1</f>
        <v>0</v>
      </c>
      <c r="BE509">
        <f>(Table133[[#This Row],[SgammaC]]+Table133[[#This Row],[SgammaP]])*$A$4*-100</f>
        <v>0</v>
      </c>
      <c r="BF509" s="78">
        <f>Table133[[#This Row],[DEXc]]+Table133[[#This Row],[DEXp]]</f>
        <v>0</v>
      </c>
      <c r="BG509">
        <f>IFERROR(Table133[[#This Row],[DeltaC]]*Table133[[#This Row],[Open.Int]]*$A$4,0)</f>
        <v>0</v>
      </c>
      <c r="BH509">
        <f>IFERROR(Table133[[#This Row],[DeltaP]]*Table133[[#This Row],[Open.Int8]]*$A$4,0)</f>
        <v>0</v>
      </c>
      <c r="BI50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9">
        <f ca="1">Table133[[#This Row],[charmc]]+Table133[[#This Row],[charmp]]</f>
        <v>0</v>
      </c>
      <c r="BL50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9" s="78">
        <f ca="1">Table133[[#This Row],[call helper]]+Table133[[#This Row],[put helper]]</f>
        <v>0</v>
      </c>
      <c r="BP509" t="str">
        <f>RTD("tos.rtd", , "STRIKE", "."&amp;Table133[[#This Row],[Ticker]]&amp;Table133[[#This Row],[Expiry]]&amp;""&amp;"C"&amp;Table133[[#This Row],[Spot]]+Table133[[#This Row],[step]])</f>
        <v>N/A</v>
      </c>
    </row>
    <row r="510" spans="1:68" x14ac:dyDescent="0.25">
      <c r="A510" s="14">
        <f t="shared" ca="1" si="49"/>
        <v>-126.14810350076104</v>
      </c>
      <c r="C510" s="17"/>
      <c r="D510" t="str">
        <f>RTD("tos.rtd", , "OPEN_INT", "."&amp;Table133[[#This Row],[Ticker]]&amp;Table133[[#This Row],[Expiry]]&amp;""&amp;"C"&amp;Table133[[#This Row],[Spot]]+Table133[[#This Row],[step]])</f>
        <v>N/A</v>
      </c>
      <c r="E51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0" t="b">
        <f>IF(     ISNUMBER(Table133[[#This Row],[Strike]]),RTD("tos.rtd", , "DELTA", "."&amp;Table133[[#This Row],[Ticker]]&amp;Table133[[#This Row],[Expiry]]&amp;""&amp;"C"&amp;Table133[[#This Row],[Strike]]))</f>
        <v>0</v>
      </c>
      <c r="H510" s="17" cm="1">
        <f t="array" aca="1" ref="H510" ca="1">IndividualLegIVCore($A$4, Table133[[#This Row],[Strike]], 0.0411, Table133[[#This Row],[T]], ((Table133[[#This Row],[BIDC]]+Table133[[#This Row],[ASKC]])/2), TRUE)</f>
        <v>0.01</v>
      </c>
      <c r="I510" t="b">
        <f>IF(     ISNUMBER(Table133[[#This Row],[Strike]]),RTD("tos.rtd", , "BID", "."&amp;Table133[[#This Row],[Ticker]]&amp;Table133[[#This Row],[Expiry]]&amp;""&amp;"C"&amp;Table133[[#This Row],[Strike]]))</f>
        <v>0</v>
      </c>
      <c r="J510" t="b">
        <f>IF(     ISNUMBER(Table133[[#This Row],[Strike]]),RTD("tos.rtd", , "ASK", "."&amp;Table133[[#This Row],[Ticker]]&amp;Table133[[#This Row],[Expiry]]&amp;""&amp;"C"&amp;Table133[[#This Row],[Strike]]))</f>
        <v>0</v>
      </c>
      <c r="K510" s="17"/>
      <c r="M510" s="1">
        <f t="shared" si="50"/>
        <v>0</v>
      </c>
      <c r="N510" t="b">
        <f t="shared" si="51"/>
        <v>0</v>
      </c>
      <c r="P510" s="17" cm="1">
        <f t="array" aca="1" ref="P510" ca="1">IndividualLegIVCore($A$4, Table133[[#This Row],[Strike]], 0.0411, Table133[[#This Row],[T]], ((Table133[[#This Row],[BIDP]]+Table133[[#This Row],[ASKP]])/2), FALSE)</f>
        <v>0.01</v>
      </c>
      <c r="Q510" t="b">
        <f>IF(     ISNUMBER(Table133[[#This Row],[Strike]]),RTD("tos.rtd", , "BID", "."&amp;Table133[[#This Row],[Ticker]]&amp;Table133[[#This Row],[Expiry]]&amp;""&amp;"P"&amp;Table133[[#This Row],[Strike]]))</f>
        <v>0</v>
      </c>
      <c r="R510" t="b">
        <f>IF(     ISNUMBER(Table133[[#This Row],[Strike]]),RTD("tos.rtd", , "ASK", "."&amp;Table133[[#This Row],[Ticker]]&amp;Table133[[#This Row],[Expiry]]&amp;""&amp;"P"&amp;Table133[[#This Row],[Strike]]))</f>
        <v>0</v>
      </c>
      <c r="S510" s="17"/>
      <c r="T510" t="b">
        <f>IF(     ISNUMBER(Table133[[#This Row],[Strike]]),RTD("tos.rtd", , "OPEN_INT", "."&amp;Table133[[#This Row],[Ticker]]&amp;Table133[[#This Row],[Expiry]]&amp;""&amp;"P"&amp;Table133[[#This Row],[Strike]]))</f>
        <v>0</v>
      </c>
      <c r="U51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0" t="b">
        <f>IF(     ISNUMBER(Table133[[#This Row],[Strike]]),RTD("tos.rtd", , "DELTA", "."&amp;Table133[[#This Row],[Ticker]]&amp;Table133[[#This Row],[Expiry]]&amp;""&amp;"P"&amp;Table133[[#This Row],[Strike]]))</f>
        <v>0</v>
      </c>
      <c r="Y510" s="19">
        <f>-3* IF($M$1="NDX", 10, IF(OR($M$1="SPX", $M$1="RUT"), 2, 1))</f>
        <v>-6</v>
      </c>
      <c r="Z510">
        <f ca="1">IFERROR(Table133[[#This Row],[call gamma]]*(Table133[[#This Row],[Open.Int]])*$A$4^2,0)</f>
        <v>0</v>
      </c>
      <c r="AA510">
        <f ca="1">IFERROR(((Table133[[#This Row],[Open.Int8]])*Table133[[#This Row],[Put gamma]])*-1*$A$4^2,0)</f>
        <v>0</v>
      </c>
      <c r="AB510">
        <f ca="1">(Table133[[#This Row],[Call Gex]]+Table133[[#This Row],[Put Gex]])</f>
        <v>0</v>
      </c>
      <c r="AC510">
        <f ca="1">Table133[[#This Row],[put delta adj]]+Table133[[#This Row],[call delta adj]]</f>
        <v>0</v>
      </c>
      <c r="AD510">
        <f ca="1">Table133[[#This Row],[Put Gex]]*Table133[[#This Row],[DeltaP]]*-1</f>
        <v>0</v>
      </c>
      <c r="AE510">
        <f ca="1">Table133[[#This Row],[Call Gex]]*Table133[[#This Row],[DeltaC]]</f>
        <v>0</v>
      </c>
      <c r="AF510">
        <f>IF(Table133[[#This Row],[DeltaC]]-ABS(Table133[[#This Row],[DeltaP]])="0","0.01",Table133[[#This Row],[DeltaC]]-ABS(Table133[[#This Row],[DeltaP]]))</f>
        <v>0</v>
      </c>
      <c r="AG510" t="e">
        <f ca="1">((LN($A$4/Table133[[#This Row],[Strike]]) + (0.411 + 0.5 * Table133[[#This Row],[IV Calc P]]^2) *Table133[[#This Row],[T]])) / (Table133[[#This Row],[IV Calc P]] * SQRT(Table133[[#This Row],[T]]))</f>
        <v>#DIV/0!</v>
      </c>
      <c r="AH510" t="e">
        <f ca="1">(LN($A$4/Table133[[#This Row],[Strike]]) + (0.411-0 + 0.5 * Table133[[#This Row],[IV Calc C]]^2) *Table133[[#This Row],[T]]) / (Table133[[#This Row],[IV Calc C]] * SQRT(Table133[[#This Row],[T]]))</f>
        <v>#DIV/0!</v>
      </c>
      <c r="AI510" t="e">
        <f ca="1">(EXP(-(AG510^2)/2)/SQRT(2*PI())*EXP(0*SQRT(Table133[[#This Row],[T]]))/$A$4*18%*SQRT(SQRT(Table133[[#This Row],[T]])))</f>
        <v>#DIV/0!</v>
      </c>
      <c r="AJ510" t="e">
        <f ca="1">(EXP(-(AH510^2)/2)/SQRT(2*PI())*EXP(0*SQRT(Table133[[#This Row],[T]]))/$A$4*18%*SQRT(SQRT(Table133[[#This Row],[T]])))</f>
        <v>#DIV/0!</v>
      </c>
      <c r="AK510" t="e">
        <f ca="1">Table133[[#This Row],[Call D1]]-Table133[[#This Row],[IV Calc C]]*SQRT(Table133[[#This Row],[T]])</f>
        <v>#DIV/0!</v>
      </c>
      <c r="AL510" t="e">
        <f ca="1">Table133[[#This Row],[Put D1]]-Table133[[#This Row],[IV Calc P]]*SQRT(Table133[[#This Row],[T]])</f>
        <v>#DIV/0!</v>
      </c>
      <c r="AM510" t="e">
        <f ca="1">EXP(-0.5*Table133[[#This Row],[Call D1]]^2)/SQRT(2*PI())</f>
        <v>#DIV/0!</v>
      </c>
      <c r="AN510" t="e">
        <f ca="1">EXP(-0.5*Table133[[#This Row],[Put D1]]^2)/SQRT(2*PI())</f>
        <v>#DIV/0!</v>
      </c>
      <c r="AO51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0">
        <f ca="1">((Table133[[#This Row],[call vanna]]+Table133[[#This Row],[put vanna]])*$A$4)</f>
        <v>0</v>
      </c>
      <c r="AR51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0" s="9" t="str" cm="1">
        <f t="array" ref="AT510">_xlfn.IFS(     $M$1="SPX","SPXW",     $M$1="RUT","RUTW",  $M$1="NDX","NDXP",   TRUE,$M$1 )</f>
        <v>SPXW</v>
      </c>
      <c r="AU510" s="2">
        <f t="shared" si="52"/>
        <v>6915</v>
      </c>
      <c r="AV510" t="str">
        <f t="shared" si="53"/>
        <v>000100</v>
      </c>
      <c r="AY51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0">
        <f>((Table133[[#This Row],[High C]]+Table133[[#This Row],[Low C]])/2)*Table133[[#This Row],[gammac]]*Table133[[#This Row],[Volume]]</f>
        <v>0</v>
      </c>
      <c r="BD510">
        <f>((Table133[[#This Row],[High P]]+Table133[[#This Row],[Low P]])/2)*Table133[[#This Row],[gammap]]*Table133[[#This Row],[Volume9]]*-1</f>
        <v>0</v>
      </c>
      <c r="BE510">
        <f>(Table133[[#This Row],[SgammaC]]+Table133[[#This Row],[SgammaP]])*$A$4*-100</f>
        <v>0</v>
      </c>
      <c r="BF510" s="78">
        <f>Table133[[#This Row],[DEXc]]+Table133[[#This Row],[DEXp]]</f>
        <v>0</v>
      </c>
      <c r="BG510">
        <f>IFERROR(Table133[[#This Row],[DeltaC]]*Table133[[#This Row],[Open.Int]]*$A$4,0)</f>
        <v>0</v>
      </c>
      <c r="BH510">
        <f>IFERROR(Table133[[#This Row],[DeltaP]]*Table133[[#This Row],[Open.Int8]]*$A$4,0)</f>
        <v>0</v>
      </c>
      <c r="BI51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0">
        <f ca="1">Table133[[#This Row],[charmc]]+Table133[[#This Row],[charmp]]</f>
        <v>0</v>
      </c>
      <c r="BL51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0" s="78">
        <f ca="1">Table133[[#This Row],[call helper]]+Table133[[#This Row],[put helper]]</f>
        <v>0</v>
      </c>
      <c r="BP510" t="str">
        <f>RTD("tos.rtd", , "STRIKE", "."&amp;Table133[[#This Row],[Ticker]]&amp;Table133[[#This Row],[Expiry]]&amp;""&amp;"C"&amp;Table133[[#This Row],[Spot]]+Table133[[#This Row],[step]])</f>
        <v>N/A</v>
      </c>
    </row>
    <row r="511" spans="1:68" x14ac:dyDescent="0.25">
      <c r="A511" s="14">
        <f t="shared" ca="1" si="49"/>
        <v>-126.14810350076104</v>
      </c>
      <c r="C511" s="17"/>
      <c r="D511" t="str">
        <f>RTD("tos.rtd", , "OPEN_INT", "."&amp;Table133[[#This Row],[Ticker]]&amp;Table133[[#This Row],[Expiry]]&amp;""&amp;"C"&amp;Table133[[#This Row],[Spot]]+Table133[[#This Row],[step]])</f>
        <v>N/A</v>
      </c>
      <c r="E51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1" t="b">
        <f>IF(     ISNUMBER(Table133[[#This Row],[Strike]]),RTD("tos.rtd", , "DELTA", "."&amp;Table133[[#This Row],[Ticker]]&amp;Table133[[#This Row],[Expiry]]&amp;""&amp;"C"&amp;Table133[[#This Row],[Strike]]))</f>
        <v>0</v>
      </c>
      <c r="H511" s="17" cm="1">
        <f t="array" aca="1" ref="H511" ca="1">IndividualLegIVCore($A$4, Table133[[#This Row],[Strike]], 0.0411, Table133[[#This Row],[T]], ((Table133[[#This Row],[BIDC]]+Table133[[#This Row],[ASKC]])/2), TRUE)</f>
        <v>0.01</v>
      </c>
      <c r="I511" t="b">
        <f>IF(     ISNUMBER(Table133[[#This Row],[Strike]]),RTD("tos.rtd", , "BID", "."&amp;Table133[[#This Row],[Ticker]]&amp;Table133[[#This Row],[Expiry]]&amp;""&amp;"C"&amp;Table133[[#This Row],[Strike]]))</f>
        <v>0</v>
      </c>
      <c r="J511" t="b">
        <f>IF(     ISNUMBER(Table133[[#This Row],[Strike]]),RTD("tos.rtd", , "ASK", "."&amp;Table133[[#This Row],[Ticker]]&amp;Table133[[#This Row],[Expiry]]&amp;""&amp;"C"&amp;Table133[[#This Row],[Strike]]))</f>
        <v>0</v>
      </c>
      <c r="K511" s="17"/>
      <c r="M511" s="1">
        <f t="shared" si="50"/>
        <v>0</v>
      </c>
      <c r="N511" t="b">
        <f t="shared" si="51"/>
        <v>0</v>
      </c>
      <c r="P511" s="17" cm="1">
        <f t="array" aca="1" ref="P511" ca="1">IndividualLegIVCore($A$4, Table133[[#This Row],[Strike]], 0.0411, Table133[[#This Row],[T]], ((Table133[[#This Row],[BIDP]]+Table133[[#This Row],[ASKP]])/2), FALSE)</f>
        <v>0.01</v>
      </c>
      <c r="Q511" t="b">
        <f>IF(     ISNUMBER(Table133[[#This Row],[Strike]]),RTD("tos.rtd", , "BID", "."&amp;Table133[[#This Row],[Ticker]]&amp;Table133[[#This Row],[Expiry]]&amp;""&amp;"P"&amp;Table133[[#This Row],[Strike]]))</f>
        <v>0</v>
      </c>
      <c r="R511" t="b">
        <f>IF(     ISNUMBER(Table133[[#This Row],[Strike]]),RTD("tos.rtd", , "ASK", "."&amp;Table133[[#This Row],[Ticker]]&amp;Table133[[#This Row],[Expiry]]&amp;""&amp;"P"&amp;Table133[[#This Row],[Strike]]))</f>
        <v>0</v>
      </c>
      <c r="S511" s="17"/>
      <c r="T511" t="b">
        <f>IF(     ISNUMBER(Table133[[#This Row],[Strike]]),RTD("tos.rtd", , "OPEN_INT", "."&amp;Table133[[#This Row],[Ticker]]&amp;Table133[[#This Row],[Expiry]]&amp;""&amp;"P"&amp;Table133[[#This Row],[Strike]]))</f>
        <v>0</v>
      </c>
      <c r="U51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1" t="b">
        <f>IF(     ISNUMBER(Table133[[#This Row],[Strike]]),RTD("tos.rtd", , "DELTA", "."&amp;Table133[[#This Row],[Ticker]]&amp;Table133[[#This Row],[Expiry]]&amp;""&amp;"P"&amp;Table133[[#This Row],[Strike]]))</f>
        <v>0</v>
      </c>
      <c r="Y511" s="19">
        <f>-2.5* IF($M$1="NDX", 10, IF(OR($M$1="SPX", $M$1="RUT"), 2, 1))</f>
        <v>-5</v>
      </c>
      <c r="Z511">
        <f ca="1">IFERROR(Table133[[#This Row],[call gamma]]*(Table133[[#This Row],[Open.Int]])*$A$4^2,0)</f>
        <v>0</v>
      </c>
      <c r="AA511">
        <f ca="1">IFERROR(((Table133[[#This Row],[Open.Int8]])*Table133[[#This Row],[Put gamma]])*-1*$A$4^2,0)</f>
        <v>0</v>
      </c>
      <c r="AB511">
        <f ca="1">(Table133[[#This Row],[Call Gex]]+Table133[[#This Row],[Put Gex]])</f>
        <v>0</v>
      </c>
      <c r="AC511">
        <f ca="1">Table133[[#This Row],[put delta adj]]+Table133[[#This Row],[call delta adj]]</f>
        <v>0</v>
      </c>
      <c r="AD511">
        <f ca="1">Table133[[#This Row],[Put Gex]]*Table133[[#This Row],[DeltaP]]*-1</f>
        <v>0</v>
      </c>
      <c r="AE511">
        <f ca="1">Table133[[#This Row],[Call Gex]]*Table133[[#This Row],[DeltaC]]</f>
        <v>0</v>
      </c>
      <c r="AF511">
        <f>IF(Table133[[#This Row],[DeltaC]]-ABS(Table133[[#This Row],[DeltaP]])="0","0.01",Table133[[#This Row],[DeltaC]]-ABS(Table133[[#This Row],[DeltaP]]))</f>
        <v>0</v>
      </c>
      <c r="AG511" t="e">
        <f ca="1">((LN($A$4/Table133[[#This Row],[Strike]]) + (0.411 + 0.5 * Table133[[#This Row],[IV Calc P]]^2) *Table133[[#This Row],[T]])) / (Table133[[#This Row],[IV Calc P]] * SQRT(Table133[[#This Row],[T]]))</f>
        <v>#DIV/0!</v>
      </c>
      <c r="AH511" t="e">
        <f ca="1">(LN($A$4/Table133[[#This Row],[Strike]]) + (0.411-0 + 0.5 * Table133[[#This Row],[IV Calc C]]^2) *Table133[[#This Row],[T]]) / (Table133[[#This Row],[IV Calc C]] * SQRT(Table133[[#This Row],[T]]))</f>
        <v>#DIV/0!</v>
      </c>
      <c r="AI511" t="e">
        <f ca="1">(EXP(-(AG511^2)/2)/SQRT(2*PI())*EXP(0*SQRT(Table133[[#This Row],[T]]))/$A$4*18%*SQRT(SQRT(Table133[[#This Row],[T]])))</f>
        <v>#DIV/0!</v>
      </c>
      <c r="AJ511" t="e">
        <f ca="1">(EXP(-(AH511^2)/2)/SQRT(2*PI())*EXP(0*SQRT(Table133[[#This Row],[T]]))/$A$4*18%*SQRT(SQRT(Table133[[#This Row],[T]])))</f>
        <v>#DIV/0!</v>
      </c>
      <c r="AK511" t="e">
        <f ca="1">Table133[[#This Row],[Call D1]]-Table133[[#This Row],[IV Calc C]]*SQRT(Table133[[#This Row],[T]])</f>
        <v>#DIV/0!</v>
      </c>
      <c r="AL511" t="e">
        <f ca="1">Table133[[#This Row],[Put D1]]-Table133[[#This Row],[IV Calc P]]*SQRT(Table133[[#This Row],[T]])</f>
        <v>#DIV/0!</v>
      </c>
      <c r="AM511" t="e">
        <f ca="1">EXP(-0.5*Table133[[#This Row],[Call D1]]^2)/SQRT(2*PI())</f>
        <v>#DIV/0!</v>
      </c>
      <c r="AN511" t="e">
        <f ca="1">EXP(-0.5*Table133[[#This Row],[Put D1]]^2)/SQRT(2*PI())</f>
        <v>#DIV/0!</v>
      </c>
      <c r="AO51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1">
        <f ca="1">((Table133[[#This Row],[call vanna]]+Table133[[#This Row],[put vanna]])*$A$4)</f>
        <v>0</v>
      </c>
      <c r="AR51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1" s="9" t="str" cm="1">
        <f t="array" ref="AT511">_xlfn.IFS(     $M$1="SPX","SPXW",     $M$1="RUT","RUTW",  $M$1="NDX","NDXP",   TRUE,$M$1 )</f>
        <v>SPXW</v>
      </c>
      <c r="AU511" s="2">
        <f t="shared" si="52"/>
        <v>6915</v>
      </c>
      <c r="AV511" t="str">
        <f t="shared" si="53"/>
        <v>000100</v>
      </c>
      <c r="AY51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1">
        <f>((Table133[[#This Row],[High C]]+Table133[[#This Row],[Low C]])/2)*Table133[[#This Row],[gammac]]*Table133[[#This Row],[Volume]]</f>
        <v>0</v>
      </c>
      <c r="BD511">
        <f>((Table133[[#This Row],[High P]]+Table133[[#This Row],[Low P]])/2)*Table133[[#This Row],[gammap]]*Table133[[#This Row],[Volume9]]*-1</f>
        <v>0</v>
      </c>
      <c r="BE511">
        <f>(Table133[[#This Row],[SgammaC]]+Table133[[#This Row],[SgammaP]])*$A$4*-100</f>
        <v>0</v>
      </c>
      <c r="BF511" s="78">
        <f>Table133[[#This Row],[DEXc]]+Table133[[#This Row],[DEXp]]</f>
        <v>0</v>
      </c>
      <c r="BG511">
        <f>IFERROR(Table133[[#This Row],[DeltaC]]*Table133[[#This Row],[Open.Int]]*$A$4,0)</f>
        <v>0</v>
      </c>
      <c r="BH511">
        <f>IFERROR(Table133[[#This Row],[DeltaP]]*Table133[[#This Row],[Open.Int8]]*$A$4,0)</f>
        <v>0</v>
      </c>
      <c r="BI51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1">
        <f ca="1">Table133[[#This Row],[charmc]]+Table133[[#This Row],[charmp]]</f>
        <v>0</v>
      </c>
      <c r="BL51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1" s="78">
        <f ca="1">Table133[[#This Row],[call helper]]+Table133[[#This Row],[put helper]]</f>
        <v>0</v>
      </c>
      <c r="BP511" t="str">
        <f>RTD("tos.rtd", , "STRIKE", "."&amp;Table133[[#This Row],[Ticker]]&amp;Table133[[#This Row],[Expiry]]&amp;""&amp;"C"&amp;Table133[[#This Row],[Spot]]+Table133[[#This Row],[step]])</f>
        <v>N/A</v>
      </c>
    </row>
    <row r="512" spans="1:68" x14ac:dyDescent="0.25">
      <c r="A512" s="14">
        <f t="shared" ca="1" si="49"/>
        <v>-126.14810350076104</v>
      </c>
      <c r="C512" s="17"/>
      <c r="D512" t="str">
        <f>RTD("tos.rtd", , "OPEN_INT", "."&amp;Table133[[#This Row],[Ticker]]&amp;Table133[[#This Row],[Expiry]]&amp;""&amp;"C"&amp;Table133[[#This Row],[Spot]]+Table133[[#This Row],[step]])</f>
        <v>N/A</v>
      </c>
      <c r="E51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2" t="b">
        <f>IF(     ISNUMBER(Table133[[#This Row],[Strike]]),RTD("tos.rtd", , "DELTA", "."&amp;Table133[[#This Row],[Ticker]]&amp;Table133[[#This Row],[Expiry]]&amp;""&amp;"C"&amp;Table133[[#This Row],[Strike]]))</f>
        <v>0</v>
      </c>
      <c r="H512" s="17" cm="1">
        <f t="array" aca="1" ref="H512" ca="1">IndividualLegIVCore($A$4, Table133[[#This Row],[Strike]], 0.0411, Table133[[#This Row],[T]], ((Table133[[#This Row],[BIDC]]+Table133[[#This Row],[ASKC]])/2), TRUE)</f>
        <v>0.01</v>
      </c>
      <c r="I512" t="b">
        <f>IF(     ISNUMBER(Table133[[#This Row],[Strike]]),RTD("tos.rtd", , "BID", "."&amp;Table133[[#This Row],[Ticker]]&amp;Table133[[#This Row],[Expiry]]&amp;""&amp;"C"&amp;Table133[[#This Row],[Strike]]))</f>
        <v>0</v>
      </c>
      <c r="J512" t="b">
        <f>IF(     ISNUMBER(Table133[[#This Row],[Strike]]),RTD("tos.rtd", , "ASK", "."&amp;Table133[[#This Row],[Ticker]]&amp;Table133[[#This Row],[Expiry]]&amp;""&amp;"C"&amp;Table133[[#This Row],[Strike]]))</f>
        <v>0</v>
      </c>
      <c r="K512" s="17"/>
      <c r="M512" s="1">
        <f t="shared" si="50"/>
        <v>0</v>
      </c>
      <c r="N512" t="b">
        <f t="shared" si="51"/>
        <v>0</v>
      </c>
      <c r="P512" s="17" cm="1">
        <f t="array" aca="1" ref="P512" ca="1">IndividualLegIVCore($A$4, Table133[[#This Row],[Strike]], 0.0411, Table133[[#This Row],[T]], ((Table133[[#This Row],[BIDP]]+Table133[[#This Row],[ASKP]])/2), FALSE)</f>
        <v>0.01</v>
      </c>
      <c r="Q512" t="b">
        <f>IF(     ISNUMBER(Table133[[#This Row],[Strike]]),RTD("tos.rtd", , "BID", "."&amp;Table133[[#This Row],[Ticker]]&amp;Table133[[#This Row],[Expiry]]&amp;""&amp;"P"&amp;Table133[[#This Row],[Strike]]))</f>
        <v>0</v>
      </c>
      <c r="R512" t="b">
        <f>IF(     ISNUMBER(Table133[[#This Row],[Strike]]),RTD("tos.rtd", , "ASK", "."&amp;Table133[[#This Row],[Ticker]]&amp;Table133[[#This Row],[Expiry]]&amp;""&amp;"P"&amp;Table133[[#This Row],[Strike]]))</f>
        <v>0</v>
      </c>
      <c r="S512" s="17"/>
      <c r="T512" t="b">
        <f>IF(     ISNUMBER(Table133[[#This Row],[Strike]]),RTD("tos.rtd", , "OPEN_INT", "."&amp;Table133[[#This Row],[Ticker]]&amp;Table133[[#This Row],[Expiry]]&amp;""&amp;"P"&amp;Table133[[#This Row],[Strike]]))</f>
        <v>0</v>
      </c>
      <c r="U51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2" t="b">
        <f>IF(     ISNUMBER(Table133[[#This Row],[Strike]]),RTD("tos.rtd", , "DELTA", "."&amp;Table133[[#This Row],[Ticker]]&amp;Table133[[#This Row],[Expiry]]&amp;""&amp;"P"&amp;Table133[[#This Row],[Strike]]))</f>
        <v>0</v>
      </c>
      <c r="Y512" s="19">
        <f>-2* IF($M$1="NDX", 10, IF(OR($M$1="SPX", $M$1="RUT"), 2, 1))</f>
        <v>-4</v>
      </c>
      <c r="Z512">
        <f ca="1">IFERROR(Table133[[#This Row],[call gamma]]*(Table133[[#This Row],[Open.Int]])*$A$4^2,0)</f>
        <v>0</v>
      </c>
      <c r="AA512">
        <f ca="1">IFERROR(((Table133[[#This Row],[Open.Int8]])*Table133[[#This Row],[Put gamma]])*-1*$A$4^2,0)</f>
        <v>0</v>
      </c>
      <c r="AB512">
        <f ca="1">(Table133[[#This Row],[Call Gex]]+Table133[[#This Row],[Put Gex]])</f>
        <v>0</v>
      </c>
      <c r="AC512">
        <f ca="1">Table133[[#This Row],[put delta adj]]+Table133[[#This Row],[call delta adj]]</f>
        <v>0</v>
      </c>
      <c r="AD512">
        <f ca="1">Table133[[#This Row],[Put Gex]]*Table133[[#This Row],[DeltaP]]*-1</f>
        <v>0</v>
      </c>
      <c r="AE512">
        <f ca="1">Table133[[#This Row],[Call Gex]]*Table133[[#This Row],[DeltaC]]</f>
        <v>0</v>
      </c>
      <c r="AF512">
        <f>IF(Table133[[#This Row],[DeltaC]]-ABS(Table133[[#This Row],[DeltaP]])="0","0.01",Table133[[#This Row],[DeltaC]]-ABS(Table133[[#This Row],[DeltaP]]))</f>
        <v>0</v>
      </c>
      <c r="AG512" t="e">
        <f ca="1">((LN($A$4/Table133[[#This Row],[Strike]]) + (0.411 + 0.5 * Table133[[#This Row],[IV Calc P]]^2) *Table133[[#This Row],[T]])) / (Table133[[#This Row],[IV Calc P]] * SQRT(Table133[[#This Row],[T]]))</f>
        <v>#DIV/0!</v>
      </c>
      <c r="AH512" t="e">
        <f ca="1">(LN($A$4/Table133[[#This Row],[Strike]]) + (0.411-0 + 0.5 * Table133[[#This Row],[IV Calc C]]^2) *Table133[[#This Row],[T]]) / (Table133[[#This Row],[IV Calc C]] * SQRT(Table133[[#This Row],[T]]))</f>
        <v>#DIV/0!</v>
      </c>
      <c r="AI512" t="e">
        <f ca="1">(EXP(-(AG512^2)/2)/SQRT(2*PI())*EXP(0*SQRT(Table133[[#This Row],[T]]))/$A$4*18%*SQRT(SQRT(Table133[[#This Row],[T]])))</f>
        <v>#DIV/0!</v>
      </c>
      <c r="AJ512" t="e">
        <f ca="1">(EXP(-(AH512^2)/2)/SQRT(2*PI())*EXP(0*SQRT(Table133[[#This Row],[T]]))/$A$4*18%*SQRT(SQRT(Table133[[#This Row],[T]])))</f>
        <v>#DIV/0!</v>
      </c>
      <c r="AK512" t="e">
        <f ca="1">Table133[[#This Row],[Call D1]]-Table133[[#This Row],[IV Calc C]]*SQRT(Table133[[#This Row],[T]])</f>
        <v>#DIV/0!</v>
      </c>
      <c r="AL512" t="e">
        <f ca="1">Table133[[#This Row],[Put D1]]-Table133[[#This Row],[IV Calc P]]*SQRT(Table133[[#This Row],[T]])</f>
        <v>#DIV/0!</v>
      </c>
      <c r="AM512" t="e">
        <f ca="1">EXP(-0.5*Table133[[#This Row],[Call D1]]^2)/SQRT(2*PI())</f>
        <v>#DIV/0!</v>
      </c>
      <c r="AN512" t="e">
        <f ca="1">EXP(-0.5*Table133[[#This Row],[Put D1]]^2)/SQRT(2*PI())</f>
        <v>#DIV/0!</v>
      </c>
      <c r="AO51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2">
        <f ca="1">((Table133[[#This Row],[call vanna]]+Table133[[#This Row],[put vanna]])*$A$4)</f>
        <v>0</v>
      </c>
      <c r="AR51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2" s="9" t="str" cm="1">
        <f t="array" ref="AT512">_xlfn.IFS(     $M$1="SPX","SPXW",     $M$1="RUT","RUTW",  $M$1="NDX","NDXP",   TRUE,$M$1 )</f>
        <v>SPXW</v>
      </c>
      <c r="AU512" s="2">
        <f t="shared" si="52"/>
        <v>6915</v>
      </c>
      <c r="AV512" t="str">
        <f t="shared" si="53"/>
        <v>000100</v>
      </c>
      <c r="AY51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2">
        <f>((Table133[[#This Row],[High C]]+Table133[[#This Row],[Low C]])/2)*Table133[[#This Row],[gammac]]*Table133[[#This Row],[Volume]]</f>
        <v>0</v>
      </c>
      <c r="BD512">
        <f>((Table133[[#This Row],[High P]]+Table133[[#This Row],[Low P]])/2)*Table133[[#This Row],[gammap]]*Table133[[#This Row],[Volume9]]*-1</f>
        <v>0</v>
      </c>
      <c r="BE512">
        <f>(Table133[[#This Row],[SgammaC]]+Table133[[#This Row],[SgammaP]])*$A$4*-100</f>
        <v>0</v>
      </c>
      <c r="BF512" s="78">
        <f>Table133[[#This Row],[DEXc]]+Table133[[#This Row],[DEXp]]</f>
        <v>0</v>
      </c>
      <c r="BG512">
        <f>IFERROR(Table133[[#This Row],[DeltaC]]*Table133[[#This Row],[Open.Int]]*$A$4,0)</f>
        <v>0</v>
      </c>
      <c r="BH512">
        <f>IFERROR(Table133[[#This Row],[DeltaP]]*Table133[[#This Row],[Open.Int8]]*$A$4,0)</f>
        <v>0</v>
      </c>
      <c r="BI51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2">
        <f ca="1">Table133[[#This Row],[charmc]]+Table133[[#This Row],[charmp]]</f>
        <v>0</v>
      </c>
      <c r="BL51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2" s="78">
        <f ca="1">Table133[[#This Row],[call helper]]+Table133[[#This Row],[put helper]]</f>
        <v>0</v>
      </c>
      <c r="BP512" t="str">
        <f>RTD("tos.rtd", , "STRIKE", "."&amp;Table133[[#This Row],[Ticker]]&amp;Table133[[#This Row],[Expiry]]&amp;""&amp;"C"&amp;Table133[[#This Row],[Spot]]+Table133[[#This Row],[step]])</f>
        <v>N/A</v>
      </c>
    </row>
    <row r="513" spans="1:68" x14ac:dyDescent="0.25">
      <c r="A513" s="14">
        <f t="shared" ca="1" si="49"/>
        <v>-126.14810350076104</v>
      </c>
      <c r="C513" s="17"/>
      <c r="D513" t="str">
        <f>RTD("tos.rtd", , "OPEN_INT", "."&amp;Table133[[#This Row],[Ticker]]&amp;Table133[[#This Row],[Expiry]]&amp;""&amp;"C"&amp;Table133[[#This Row],[Spot]]+Table133[[#This Row],[step]])</f>
        <v>N/A</v>
      </c>
      <c r="E51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3" t="b">
        <f>IF(     ISNUMBER(Table133[[#This Row],[Strike]]),RTD("tos.rtd", , "DELTA", "."&amp;Table133[[#This Row],[Ticker]]&amp;Table133[[#This Row],[Expiry]]&amp;""&amp;"C"&amp;Table133[[#This Row],[Strike]]))</f>
        <v>0</v>
      </c>
      <c r="H513" s="17" cm="1">
        <f t="array" aca="1" ref="H513" ca="1">IndividualLegIVCore($A$4, Table133[[#This Row],[Strike]], 0.0411, Table133[[#This Row],[T]], ((Table133[[#This Row],[BIDC]]+Table133[[#This Row],[ASKC]])/2), TRUE)</f>
        <v>0.01</v>
      </c>
      <c r="I513" t="b">
        <f>IF(     ISNUMBER(Table133[[#This Row],[Strike]]),RTD("tos.rtd", , "BID", "."&amp;Table133[[#This Row],[Ticker]]&amp;Table133[[#This Row],[Expiry]]&amp;""&amp;"C"&amp;Table133[[#This Row],[Strike]]))</f>
        <v>0</v>
      </c>
      <c r="J513" t="b">
        <f>IF(     ISNUMBER(Table133[[#This Row],[Strike]]),RTD("tos.rtd", , "ASK", "."&amp;Table133[[#This Row],[Ticker]]&amp;Table133[[#This Row],[Expiry]]&amp;""&amp;"C"&amp;Table133[[#This Row],[Strike]]))</f>
        <v>0</v>
      </c>
      <c r="K513" s="17"/>
      <c r="M513" s="1">
        <f t="shared" si="50"/>
        <v>0</v>
      </c>
      <c r="N513" t="b">
        <f t="shared" si="51"/>
        <v>0</v>
      </c>
      <c r="P513" s="17" cm="1">
        <f t="array" aca="1" ref="P513" ca="1">IndividualLegIVCore($A$4, Table133[[#This Row],[Strike]], 0.0411, Table133[[#This Row],[T]], ((Table133[[#This Row],[BIDP]]+Table133[[#This Row],[ASKP]])/2), FALSE)</f>
        <v>0.01</v>
      </c>
      <c r="Q513" t="b">
        <f>IF(     ISNUMBER(Table133[[#This Row],[Strike]]),RTD("tos.rtd", , "BID", "."&amp;Table133[[#This Row],[Ticker]]&amp;Table133[[#This Row],[Expiry]]&amp;""&amp;"P"&amp;Table133[[#This Row],[Strike]]))</f>
        <v>0</v>
      </c>
      <c r="R513" t="b">
        <f>IF(     ISNUMBER(Table133[[#This Row],[Strike]]),RTD("tos.rtd", , "ASK", "."&amp;Table133[[#This Row],[Ticker]]&amp;Table133[[#This Row],[Expiry]]&amp;""&amp;"P"&amp;Table133[[#This Row],[Strike]]))</f>
        <v>0</v>
      </c>
      <c r="S513" s="17"/>
      <c r="T513" t="b">
        <f>IF(     ISNUMBER(Table133[[#This Row],[Strike]]),RTD("tos.rtd", , "OPEN_INT", "."&amp;Table133[[#This Row],[Ticker]]&amp;Table133[[#This Row],[Expiry]]&amp;""&amp;"P"&amp;Table133[[#This Row],[Strike]]))</f>
        <v>0</v>
      </c>
      <c r="U51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3" t="b">
        <f>IF(     ISNUMBER(Table133[[#This Row],[Strike]]),RTD("tos.rtd", , "DELTA", "."&amp;Table133[[#This Row],[Ticker]]&amp;Table133[[#This Row],[Expiry]]&amp;""&amp;"P"&amp;Table133[[#This Row],[Strike]]))</f>
        <v>0</v>
      </c>
      <c r="Y513" s="19">
        <f>-1.5* IF($M$1="NDX", 10, IF(OR($M$1="SPX", $M$1="RUT"), 2, 1))</f>
        <v>-3</v>
      </c>
      <c r="Z513">
        <f ca="1">IFERROR(Table133[[#This Row],[call gamma]]*(Table133[[#This Row],[Open.Int]])*$A$4^2,0)</f>
        <v>0</v>
      </c>
      <c r="AA513">
        <f ca="1">IFERROR(((Table133[[#This Row],[Open.Int8]])*Table133[[#This Row],[Put gamma]])*-1*$A$4^2,0)</f>
        <v>0</v>
      </c>
      <c r="AB513">
        <f ca="1">(Table133[[#This Row],[Call Gex]]+Table133[[#This Row],[Put Gex]])</f>
        <v>0</v>
      </c>
      <c r="AC513">
        <f ca="1">Table133[[#This Row],[put delta adj]]+Table133[[#This Row],[call delta adj]]</f>
        <v>0</v>
      </c>
      <c r="AD513">
        <f ca="1">Table133[[#This Row],[Put Gex]]*Table133[[#This Row],[DeltaP]]*-1</f>
        <v>0</v>
      </c>
      <c r="AE513">
        <f ca="1">Table133[[#This Row],[Call Gex]]*Table133[[#This Row],[DeltaC]]</f>
        <v>0</v>
      </c>
      <c r="AF513">
        <f>IF(Table133[[#This Row],[DeltaC]]-ABS(Table133[[#This Row],[DeltaP]])="0","0.01",Table133[[#This Row],[DeltaC]]-ABS(Table133[[#This Row],[DeltaP]]))</f>
        <v>0</v>
      </c>
      <c r="AG513" t="e">
        <f ca="1">((LN($A$4/Table133[[#This Row],[Strike]]) + (0.411 + 0.5 * Table133[[#This Row],[IV Calc P]]^2) *Table133[[#This Row],[T]])) / (Table133[[#This Row],[IV Calc P]] * SQRT(Table133[[#This Row],[T]]))</f>
        <v>#DIV/0!</v>
      </c>
      <c r="AH513" t="e">
        <f ca="1">(LN($A$4/Table133[[#This Row],[Strike]]) + (0.411-0 + 0.5 * Table133[[#This Row],[IV Calc C]]^2) *Table133[[#This Row],[T]]) / (Table133[[#This Row],[IV Calc C]] * SQRT(Table133[[#This Row],[T]]))</f>
        <v>#DIV/0!</v>
      </c>
      <c r="AI513" t="e">
        <f ca="1">(EXP(-(AG513^2)/2)/SQRT(2*PI())*EXP(0*SQRT(Table133[[#This Row],[T]]))/$A$4*18%*SQRT(SQRT(Table133[[#This Row],[T]])))</f>
        <v>#DIV/0!</v>
      </c>
      <c r="AJ513" t="e">
        <f ca="1">(EXP(-(AH513^2)/2)/SQRT(2*PI())*EXP(0*SQRT(Table133[[#This Row],[T]]))/$A$4*18%*SQRT(SQRT(Table133[[#This Row],[T]])))</f>
        <v>#DIV/0!</v>
      </c>
      <c r="AK513" t="e">
        <f ca="1">Table133[[#This Row],[Call D1]]-Table133[[#This Row],[IV Calc C]]*SQRT(Table133[[#This Row],[T]])</f>
        <v>#DIV/0!</v>
      </c>
      <c r="AL513" t="e">
        <f ca="1">Table133[[#This Row],[Put D1]]-Table133[[#This Row],[IV Calc P]]*SQRT(Table133[[#This Row],[T]])</f>
        <v>#DIV/0!</v>
      </c>
      <c r="AM513" t="e">
        <f ca="1">EXP(-0.5*Table133[[#This Row],[Call D1]]^2)/SQRT(2*PI())</f>
        <v>#DIV/0!</v>
      </c>
      <c r="AN513" t="e">
        <f ca="1">EXP(-0.5*Table133[[#This Row],[Put D1]]^2)/SQRT(2*PI())</f>
        <v>#DIV/0!</v>
      </c>
      <c r="AO51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3">
        <f ca="1">((Table133[[#This Row],[call vanna]]+Table133[[#This Row],[put vanna]])*$A$4)</f>
        <v>0</v>
      </c>
      <c r="AR51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3" s="9" t="str" cm="1">
        <f t="array" ref="AT513">_xlfn.IFS(     $M$1="SPX","SPXW",     $M$1="RUT","RUTW",  $M$1="NDX","NDXP",   TRUE,$M$1 )</f>
        <v>SPXW</v>
      </c>
      <c r="AU513" s="2">
        <f t="shared" si="52"/>
        <v>6915</v>
      </c>
      <c r="AV513" t="str">
        <f t="shared" si="53"/>
        <v>000100</v>
      </c>
      <c r="AY51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3">
        <f>((Table133[[#This Row],[High C]]+Table133[[#This Row],[Low C]])/2)*Table133[[#This Row],[gammac]]*Table133[[#This Row],[Volume]]</f>
        <v>0</v>
      </c>
      <c r="BD513">
        <f>((Table133[[#This Row],[High P]]+Table133[[#This Row],[Low P]])/2)*Table133[[#This Row],[gammap]]*Table133[[#This Row],[Volume9]]*-1</f>
        <v>0</v>
      </c>
      <c r="BE513">
        <f>(Table133[[#This Row],[SgammaC]]+Table133[[#This Row],[SgammaP]])*$A$4*-100</f>
        <v>0</v>
      </c>
      <c r="BF513" s="78">
        <f>Table133[[#This Row],[DEXc]]+Table133[[#This Row],[DEXp]]</f>
        <v>0</v>
      </c>
      <c r="BG513">
        <f>IFERROR(Table133[[#This Row],[DeltaC]]*Table133[[#This Row],[Open.Int]]*$A$4,0)</f>
        <v>0</v>
      </c>
      <c r="BH513">
        <f>IFERROR(Table133[[#This Row],[DeltaP]]*Table133[[#This Row],[Open.Int8]]*$A$4,0)</f>
        <v>0</v>
      </c>
      <c r="BI51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3">
        <f ca="1">Table133[[#This Row],[charmc]]+Table133[[#This Row],[charmp]]</f>
        <v>0</v>
      </c>
      <c r="BL51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3" s="78">
        <f ca="1">Table133[[#This Row],[call helper]]+Table133[[#This Row],[put helper]]</f>
        <v>0</v>
      </c>
      <c r="BP513" t="str">
        <f>RTD("tos.rtd", , "STRIKE", "."&amp;Table133[[#This Row],[Ticker]]&amp;Table133[[#This Row],[Expiry]]&amp;""&amp;"C"&amp;Table133[[#This Row],[Spot]]+Table133[[#This Row],[step]])</f>
        <v>N/A</v>
      </c>
    </row>
    <row r="514" spans="1:68" x14ac:dyDescent="0.25">
      <c r="A514" s="14">
        <f t="shared" ca="1" si="49"/>
        <v>-126.14810350076104</v>
      </c>
      <c r="C514" s="17"/>
      <c r="D514" t="str">
        <f>RTD("tos.rtd", , "OPEN_INT", "."&amp;Table133[[#This Row],[Ticker]]&amp;Table133[[#This Row],[Expiry]]&amp;""&amp;"C"&amp;Table133[[#This Row],[Spot]]+Table133[[#This Row],[step]])</f>
        <v>N/A</v>
      </c>
      <c r="E51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4" t="b">
        <f>IF(     ISNUMBER(Table133[[#This Row],[Strike]]),RTD("tos.rtd", , "DELTA", "."&amp;Table133[[#This Row],[Ticker]]&amp;Table133[[#This Row],[Expiry]]&amp;""&amp;"C"&amp;Table133[[#This Row],[Strike]]))</f>
        <v>0</v>
      </c>
      <c r="H514" s="17" cm="1">
        <f t="array" aca="1" ref="H514" ca="1">IndividualLegIVCore($A$4, Table133[[#This Row],[Strike]], 0.0411, Table133[[#This Row],[T]], ((Table133[[#This Row],[BIDC]]+Table133[[#This Row],[ASKC]])/2), TRUE)</f>
        <v>0.01</v>
      </c>
      <c r="I514" t="b">
        <f>IF(     ISNUMBER(Table133[[#This Row],[Strike]]),RTD("tos.rtd", , "BID", "."&amp;Table133[[#This Row],[Ticker]]&amp;Table133[[#This Row],[Expiry]]&amp;""&amp;"C"&amp;Table133[[#This Row],[Strike]]))</f>
        <v>0</v>
      </c>
      <c r="J514" t="b">
        <f>IF(     ISNUMBER(Table133[[#This Row],[Strike]]),RTD("tos.rtd", , "ASK", "."&amp;Table133[[#This Row],[Ticker]]&amp;Table133[[#This Row],[Expiry]]&amp;""&amp;"C"&amp;Table133[[#This Row],[Strike]]))</f>
        <v>0</v>
      </c>
      <c r="K514" s="17"/>
      <c r="M514" s="1">
        <f t="shared" si="50"/>
        <v>0</v>
      </c>
      <c r="N514" t="b">
        <f t="shared" si="51"/>
        <v>0</v>
      </c>
      <c r="P514" s="17" cm="1">
        <f t="array" aca="1" ref="P514" ca="1">IndividualLegIVCore($A$4, Table133[[#This Row],[Strike]], 0.0411, Table133[[#This Row],[T]], ((Table133[[#This Row],[BIDP]]+Table133[[#This Row],[ASKP]])/2), FALSE)</f>
        <v>0.01</v>
      </c>
      <c r="Q514" t="b">
        <f>IF(     ISNUMBER(Table133[[#This Row],[Strike]]),RTD("tos.rtd", , "BID", "."&amp;Table133[[#This Row],[Ticker]]&amp;Table133[[#This Row],[Expiry]]&amp;""&amp;"P"&amp;Table133[[#This Row],[Strike]]))</f>
        <v>0</v>
      </c>
      <c r="R514" t="b">
        <f>IF(     ISNUMBER(Table133[[#This Row],[Strike]]),RTD("tos.rtd", , "ASK", "."&amp;Table133[[#This Row],[Ticker]]&amp;Table133[[#This Row],[Expiry]]&amp;""&amp;"P"&amp;Table133[[#This Row],[Strike]]))</f>
        <v>0</v>
      </c>
      <c r="S514" s="17"/>
      <c r="T514" t="b">
        <f>IF(     ISNUMBER(Table133[[#This Row],[Strike]]),RTD("tos.rtd", , "OPEN_INT", "."&amp;Table133[[#This Row],[Ticker]]&amp;Table133[[#This Row],[Expiry]]&amp;""&amp;"P"&amp;Table133[[#This Row],[Strike]]))</f>
        <v>0</v>
      </c>
      <c r="U51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4" t="b">
        <f>IF(     ISNUMBER(Table133[[#This Row],[Strike]]),RTD("tos.rtd", , "DELTA", "."&amp;Table133[[#This Row],[Ticker]]&amp;Table133[[#This Row],[Expiry]]&amp;""&amp;"P"&amp;Table133[[#This Row],[Strike]]))</f>
        <v>0</v>
      </c>
      <c r="Y514" s="19">
        <f>-1* IF($M$1="NDX", 10, IF(OR($M$1="SPX", $M$1="RUT"), 2, 1))</f>
        <v>-2</v>
      </c>
      <c r="Z514">
        <f ca="1">IFERROR(Table133[[#This Row],[call gamma]]*(Table133[[#This Row],[Open.Int]])*$A$4^2,0)</f>
        <v>0</v>
      </c>
      <c r="AA514">
        <f ca="1">IFERROR(((Table133[[#This Row],[Open.Int8]])*Table133[[#This Row],[Put gamma]])*-1*$A$4^2,0)</f>
        <v>0</v>
      </c>
      <c r="AB514">
        <f ca="1">(Table133[[#This Row],[Call Gex]]+Table133[[#This Row],[Put Gex]])</f>
        <v>0</v>
      </c>
      <c r="AC514">
        <f ca="1">Table133[[#This Row],[put delta adj]]+Table133[[#This Row],[call delta adj]]</f>
        <v>0</v>
      </c>
      <c r="AD514">
        <f ca="1">Table133[[#This Row],[Put Gex]]*Table133[[#This Row],[DeltaP]]*-1</f>
        <v>0</v>
      </c>
      <c r="AE514">
        <f ca="1">Table133[[#This Row],[Call Gex]]*Table133[[#This Row],[DeltaC]]</f>
        <v>0</v>
      </c>
      <c r="AF514">
        <f>IF(Table133[[#This Row],[DeltaC]]-ABS(Table133[[#This Row],[DeltaP]])="0","0.01",Table133[[#This Row],[DeltaC]]-ABS(Table133[[#This Row],[DeltaP]]))</f>
        <v>0</v>
      </c>
      <c r="AG514" t="e">
        <f ca="1">((LN($A$4/Table133[[#This Row],[Strike]]) + (0.411 + 0.5 * Table133[[#This Row],[IV Calc P]]^2) *Table133[[#This Row],[T]])) / (Table133[[#This Row],[IV Calc P]] * SQRT(Table133[[#This Row],[T]]))</f>
        <v>#DIV/0!</v>
      </c>
      <c r="AH514" t="e">
        <f ca="1">(LN($A$4/Table133[[#This Row],[Strike]]) + (0.411-0 + 0.5 * Table133[[#This Row],[IV Calc C]]^2) *Table133[[#This Row],[T]]) / (Table133[[#This Row],[IV Calc C]] * SQRT(Table133[[#This Row],[T]]))</f>
        <v>#DIV/0!</v>
      </c>
      <c r="AI514" t="e">
        <f ca="1">(EXP(-(AG514^2)/2)/SQRT(2*PI())*EXP(0*SQRT(Table133[[#This Row],[T]]))/$A$4*18%*SQRT(SQRT(Table133[[#This Row],[T]])))</f>
        <v>#DIV/0!</v>
      </c>
      <c r="AJ514" t="e">
        <f ca="1">(EXP(-(AH514^2)/2)/SQRT(2*PI())*EXP(0*SQRT(Table133[[#This Row],[T]]))/$A$4*18%*SQRT(SQRT(Table133[[#This Row],[T]])))</f>
        <v>#DIV/0!</v>
      </c>
      <c r="AK514" t="e">
        <f ca="1">Table133[[#This Row],[Call D1]]-Table133[[#This Row],[IV Calc C]]*SQRT(Table133[[#This Row],[T]])</f>
        <v>#DIV/0!</v>
      </c>
      <c r="AL514" t="e">
        <f ca="1">Table133[[#This Row],[Put D1]]-Table133[[#This Row],[IV Calc P]]*SQRT(Table133[[#This Row],[T]])</f>
        <v>#DIV/0!</v>
      </c>
      <c r="AM514" t="e">
        <f ca="1">EXP(-0.5*Table133[[#This Row],[Call D1]]^2)/SQRT(2*PI())</f>
        <v>#DIV/0!</v>
      </c>
      <c r="AN514" t="e">
        <f ca="1">EXP(-0.5*Table133[[#This Row],[Put D1]]^2)/SQRT(2*PI())</f>
        <v>#DIV/0!</v>
      </c>
      <c r="AO51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4">
        <f ca="1">((Table133[[#This Row],[call vanna]]+Table133[[#This Row],[put vanna]])*$A$4)</f>
        <v>0</v>
      </c>
      <c r="AR51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4" s="9" t="str" cm="1">
        <f t="array" ref="AT514">_xlfn.IFS(     $M$1="SPX","SPXW",     $M$1="RUT","RUTW",  $M$1="NDX","NDXP",   TRUE,$M$1 )</f>
        <v>SPXW</v>
      </c>
      <c r="AU514" s="2">
        <f t="shared" si="52"/>
        <v>6915</v>
      </c>
      <c r="AV514" t="str">
        <f t="shared" si="53"/>
        <v>000100</v>
      </c>
      <c r="AY51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4">
        <f>((Table133[[#This Row],[High C]]+Table133[[#This Row],[Low C]])/2)*Table133[[#This Row],[gammac]]*Table133[[#This Row],[Volume]]</f>
        <v>0</v>
      </c>
      <c r="BD514">
        <f>((Table133[[#This Row],[High P]]+Table133[[#This Row],[Low P]])/2)*Table133[[#This Row],[gammap]]*Table133[[#This Row],[Volume9]]*-1</f>
        <v>0</v>
      </c>
      <c r="BE514">
        <f>(Table133[[#This Row],[SgammaC]]+Table133[[#This Row],[SgammaP]])*$A$4*-100</f>
        <v>0</v>
      </c>
      <c r="BF514" s="78">
        <f>Table133[[#This Row],[DEXc]]+Table133[[#This Row],[DEXp]]</f>
        <v>0</v>
      </c>
      <c r="BG514">
        <f>IFERROR(Table133[[#This Row],[DeltaC]]*Table133[[#This Row],[Open.Int]]*$A$4,0)</f>
        <v>0</v>
      </c>
      <c r="BH514">
        <f>IFERROR(Table133[[#This Row],[DeltaP]]*Table133[[#This Row],[Open.Int8]]*$A$4,0)</f>
        <v>0</v>
      </c>
      <c r="BI51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4">
        <f ca="1">Table133[[#This Row],[charmc]]+Table133[[#This Row],[charmp]]</f>
        <v>0</v>
      </c>
      <c r="BL51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4" s="78">
        <f ca="1">Table133[[#This Row],[call helper]]+Table133[[#This Row],[put helper]]</f>
        <v>0</v>
      </c>
      <c r="BP514" t="str">
        <f>RTD("tos.rtd", , "STRIKE", "."&amp;Table133[[#This Row],[Ticker]]&amp;Table133[[#This Row],[Expiry]]&amp;""&amp;"C"&amp;Table133[[#This Row],[Spot]]+Table133[[#This Row],[step]])</f>
        <v>N/A</v>
      </c>
    </row>
    <row r="515" spans="1:68" ht="15.75" thickBot="1" x14ac:dyDescent="0.3">
      <c r="A515" s="14">
        <f t="shared" ca="1" si="49"/>
        <v>-126.14810350076104</v>
      </c>
      <c r="C515" s="17"/>
      <c r="D515" t="str">
        <f>RTD("tos.rtd", , "OPEN_INT", "."&amp;Table133[[#This Row],[Ticker]]&amp;Table133[[#This Row],[Expiry]]&amp;""&amp;"C"&amp;Table133[[#This Row],[Spot]]+Table133[[#This Row],[step]])</f>
        <v>N/A</v>
      </c>
      <c r="E51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5" t="b">
        <f>IF(     ISNUMBER(Table133[[#This Row],[Strike]]),RTD("tos.rtd", , "DELTA", "."&amp;Table133[[#This Row],[Ticker]]&amp;Table133[[#This Row],[Expiry]]&amp;""&amp;"C"&amp;Table133[[#This Row],[Strike]]))</f>
        <v>0</v>
      </c>
      <c r="H515" s="17" cm="1">
        <f t="array" aca="1" ref="H515" ca="1">IndividualLegIVCore($A$4, Table133[[#This Row],[Strike]], 0.0411, Table133[[#This Row],[T]], ((Table133[[#This Row],[BIDC]]+Table133[[#This Row],[ASKC]])/2), TRUE)</f>
        <v>0.01</v>
      </c>
      <c r="I515" t="b">
        <f>IF(     ISNUMBER(Table133[[#This Row],[Strike]]),RTD("tos.rtd", , "BID", "."&amp;Table133[[#This Row],[Ticker]]&amp;Table133[[#This Row],[Expiry]]&amp;""&amp;"C"&amp;Table133[[#This Row],[Strike]]))</f>
        <v>0</v>
      </c>
      <c r="J515" t="b">
        <f>IF(     ISNUMBER(Table133[[#This Row],[Strike]]),RTD("tos.rtd", , "ASK", "."&amp;Table133[[#This Row],[Ticker]]&amp;Table133[[#This Row],[Expiry]]&amp;""&amp;"C"&amp;Table133[[#This Row],[Strike]]))</f>
        <v>0</v>
      </c>
      <c r="K515" s="17"/>
      <c r="M515" s="1">
        <f t="shared" si="50"/>
        <v>0</v>
      </c>
      <c r="N515" t="b">
        <f t="shared" si="51"/>
        <v>0</v>
      </c>
      <c r="P515" s="17" cm="1">
        <f t="array" aca="1" ref="P515" ca="1">IndividualLegIVCore($A$4, Table133[[#This Row],[Strike]], 0.0411, Table133[[#This Row],[T]], ((Table133[[#This Row],[BIDP]]+Table133[[#This Row],[ASKP]])/2), FALSE)</f>
        <v>0.01</v>
      </c>
      <c r="Q515" t="b">
        <f>IF(     ISNUMBER(Table133[[#This Row],[Strike]]),RTD("tos.rtd", , "BID", "."&amp;Table133[[#This Row],[Ticker]]&amp;Table133[[#This Row],[Expiry]]&amp;""&amp;"P"&amp;Table133[[#This Row],[Strike]]))</f>
        <v>0</v>
      </c>
      <c r="R515" t="b">
        <f>IF(     ISNUMBER(Table133[[#This Row],[Strike]]),RTD("tos.rtd", , "ASK", "."&amp;Table133[[#This Row],[Ticker]]&amp;Table133[[#This Row],[Expiry]]&amp;""&amp;"P"&amp;Table133[[#This Row],[Strike]]))</f>
        <v>0</v>
      </c>
      <c r="S515" s="17"/>
      <c r="T515" t="b">
        <f>IF(     ISNUMBER(Table133[[#This Row],[Strike]]),RTD("tos.rtd", , "OPEN_INT", "."&amp;Table133[[#This Row],[Ticker]]&amp;Table133[[#This Row],[Expiry]]&amp;""&amp;"P"&amp;Table133[[#This Row],[Strike]]))</f>
        <v>0</v>
      </c>
      <c r="U51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5" t="b">
        <f>IF(     ISNUMBER(Table133[[#This Row],[Strike]]),RTD("tos.rtd", , "DELTA", "."&amp;Table133[[#This Row],[Ticker]]&amp;Table133[[#This Row],[Expiry]]&amp;""&amp;"P"&amp;Table133[[#This Row],[Strike]]))</f>
        <v>0</v>
      </c>
      <c r="Y515" s="19">
        <f>-0.5* IF($M$1="NDX", 10, IF(OR($M$1="SPX", $M$1="RUT"), 2, 1))</f>
        <v>-1</v>
      </c>
      <c r="Z515">
        <f ca="1">IFERROR(Table133[[#This Row],[call gamma]]*(Table133[[#This Row],[Open.Int]])*$A$4^2,0)</f>
        <v>0</v>
      </c>
      <c r="AA515">
        <f ca="1">IFERROR(((Table133[[#This Row],[Open.Int8]])*Table133[[#This Row],[Put gamma]])*-1*$A$4^2,0)</f>
        <v>0</v>
      </c>
      <c r="AB515">
        <f ca="1">(Table133[[#This Row],[Call Gex]]+Table133[[#This Row],[Put Gex]])</f>
        <v>0</v>
      </c>
      <c r="AC515">
        <f ca="1">Table133[[#This Row],[put delta adj]]+Table133[[#This Row],[call delta adj]]</f>
        <v>0</v>
      </c>
      <c r="AD515">
        <f ca="1">Table133[[#This Row],[Put Gex]]*Table133[[#This Row],[DeltaP]]*-1</f>
        <v>0</v>
      </c>
      <c r="AE515">
        <f ca="1">Table133[[#This Row],[Call Gex]]*Table133[[#This Row],[DeltaC]]</f>
        <v>0</v>
      </c>
      <c r="AF515">
        <f>IF(Table133[[#This Row],[DeltaC]]-ABS(Table133[[#This Row],[DeltaP]])="0","0.01",Table133[[#This Row],[DeltaC]]-ABS(Table133[[#This Row],[DeltaP]]))</f>
        <v>0</v>
      </c>
      <c r="AG515" t="e">
        <f ca="1">((LN($A$4/Table133[[#This Row],[Strike]]) + (0.411 + 0.5 * Table133[[#This Row],[IV Calc P]]^2) *Table133[[#This Row],[T]])) / (Table133[[#This Row],[IV Calc P]] * SQRT(Table133[[#This Row],[T]]))</f>
        <v>#DIV/0!</v>
      </c>
      <c r="AH515" t="e">
        <f ca="1">(LN($A$4/Table133[[#This Row],[Strike]]) + (0.411-0 + 0.5 * Table133[[#This Row],[IV Calc C]]^2) *Table133[[#This Row],[T]]) / (Table133[[#This Row],[IV Calc C]] * SQRT(Table133[[#This Row],[T]]))</f>
        <v>#DIV/0!</v>
      </c>
      <c r="AI515" t="e">
        <f ca="1">(EXP(-(AG515^2)/2)/SQRT(2*PI())*EXP(0*SQRT(Table133[[#This Row],[T]]))/$A$4*18%*SQRT(SQRT(Table133[[#This Row],[T]])))</f>
        <v>#DIV/0!</v>
      </c>
      <c r="AJ515" t="e">
        <f ca="1">(EXP(-(AH515^2)/2)/SQRT(2*PI())*EXP(0*SQRT(Table133[[#This Row],[T]]))/$A$4*18%*SQRT(SQRT(Table133[[#This Row],[T]])))</f>
        <v>#DIV/0!</v>
      </c>
      <c r="AK515" t="e">
        <f ca="1">Table133[[#This Row],[Call D1]]-Table133[[#This Row],[IV Calc C]]*SQRT(Table133[[#This Row],[T]])</f>
        <v>#DIV/0!</v>
      </c>
      <c r="AL515" t="e">
        <f ca="1">Table133[[#This Row],[Put D1]]-Table133[[#This Row],[IV Calc P]]*SQRT(Table133[[#This Row],[T]])</f>
        <v>#DIV/0!</v>
      </c>
      <c r="AM515" t="e">
        <f ca="1">EXP(-0.5*Table133[[#This Row],[Call D1]]^2)/SQRT(2*PI())</f>
        <v>#DIV/0!</v>
      </c>
      <c r="AN515" t="e">
        <f ca="1">EXP(-0.5*Table133[[#This Row],[Put D1]]^2)/SQRT(2*PI())</f>
        <v>#DIV/0!</v>
      </c>
      <c r="AO51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5">
        <f ca="1">((Table133[[#This Row],[call vanna]]+Table133[[#This Row],[put vanna]])*$A$4)</f>
        <v>0</v>
      </c>
      <c r="AR51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5" s="9" t="str" cm="1">
        <f t="array" ref="AT515">_xlfn.IFS(     $M$1="SPX","SPXW",     $M$1="RUT","RUTW",  $M$1="NDX","NDXP",   TRUE,$M$1 )</f>
        <v>SPXW</v>
      </c>
      <c r="AU515" s="2">
        <f t="shared" si="52"/>
        <v>6915</v>
      </c>
      <c r="AV515" t="str">
        <f t="shared" si="53"/>
        <v>000100</v>
      </c>
      <c r="AY51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5">
        <f>((Table133[[#This Row],[High C]]+Table133[[#This Row],[Low C]])/2)*Table133[[#This Row],[gammac]]*Table133[[#This Row],[Volume]]</f>
        <v>0</v>
      </c>
      <c r="BD515">
        <f>((Table133[[#This Row],[High P]]+Table133[[#This Row],[Low P]])/2)*Table133[[#This Row],[gammap]]*Table133[[#This Row],[Volume9]]*-1</f>
        <v>0</v>
      </c>
      <c r="BE515">
        <f>(Table133[[#This Row],[SgammaC]]+Table133[[#This Row],[SgammaP]])*$A$4*-100</f>
        <v>0</v>
      </c>
      <c r="BF515" s="78">
        <f>Table133[[#This Row],[DEXc]]+Table133[[#This Row],[DEXp]]</f>
        <v>0</v>
      </c>
      <c r="BG515">
        <f>IFERROR(Table133[[#This Row],[DeltaC]]*Table133[[#This Row],[Open.Int]]*$A$4,0)</f>
        <v>0</v>
      </c>
      <c r="BH515">
        <f>IFERROR(Table133[[#This Row],[DeltaP]]*Table133[[#This Row],[Open.Int8]]*$A$4,0)</f>
        <v>0</v>
      </c>
      <c r="BI51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5">
        <f ca="1">Table133[[#This Row],[charmc]]+Table133[[#This Row],[charmp]]</f>
        <v>0</v>
      </c>
      <c r="BL51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5" s="78">
        <f ca="1">Table133[[#This Row],[call helper]]+Table133[[#This Row],[put helper]]</f>
        <v>0</v>
      </c>
      <c r="BP515" t="str">
        <f>RTD("tos.rtd", , "STRIKE", "."&amp;Table133[[#This Row],[Ticker]]&amp;Table133[[#This Row],[Expiry]]&amp;""&amp;"C"&amp;Table133[[#This Row],[Spot]]+Table133[[#This Row],[step]])</f>
        <v>N/A</v>
      </c>
    </row>
    <row r="516" spans="1:68" ht="15.75" thickBot="1" x14ac:dyDescent="0.3">
      <c r="A516" s="14">
        <f t="shared" ca="1" si="49"/>
        <v>-126.14810350076104</v>
      </c>
      <c r="C516" s="17"/>
      <c r="D516" t="str">
        <f>RTD("tos.rtd", , "OPEN_INT", "."&amp;Table133[[#This Row],[Ticker]]&amp;Table133[[#This Row],[Expiry]]&amp;""&amp;"C"&amp;Table133[[#This Row],[Spot]]+Table133[[#This Row],[step]])</f>
        <v>N/A</v>
      </c>
      <c r="E5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6" t="b">
        <f>IF(     ISNUMBER(Table133[[#This Row],[Strike]]),RTD("tos.rtd", , "DELTA", "."&amp;Table133[[#This Row],[Ticker]]&amp;Table133[[#This Row],[Expiry]]&amp;""&amp;"C"&amp;Table133[[#This Row],[Strike]]))</f>
        <v>0</v>
      </c>
      <c r="H516" s="17" cm="1">
        <f t="array" aca="1" ref="H516" ca="1">IndividualLegIVCore($A$4, Table133[[#This Row],[Strike]], 0.0411, Table133[[#This Row],[T]], ((Table133[[#This Row],[BIDC]]+Table133[[#This Row],[ASKC]])/2), TRUE)</f>
        <v>0.01</v>
      </c>
      <c r="I516" t="b">
        <f>IF(     ISNUMBER(Table133[[#This Row],[Strike]]),RTD("tos.rtd", , "BID", "."&amp;Table133[[#This Row],[Ticker]]&amp;Table133[[#This Row],[Expiry]]&amp;""&amp;"C"&amp;Table133[[#This Row],[Strike]]))</f>
        <v>0</v>
      </c>
      <c r="J516" t="b">
        <f>IF(     ISNUMBER(Table133[[#This Row],[Strike]]),RTD("tos.rtd", , "ASK", "."&amp;Table133[[#This Row],[Ticker]]&amp;Table133[[#This Row],[Expiry]]&amp;""&amp;"C"&amp;Table133[[#This Row],[Strike]]))</f>
        <v>0</v>
      </c>
      <c r="K516" s="17"/>
      <c r="M516" s="1">
        <f t="shared" si="50"/>
        <v>0</v>
      </c>
      <c r="N516" t="b">
        <f t="shared" si="51"/>
        <v>0</v>
      </c>
      <c r="P516" s="17" cm="1">
        <f t="array" aca="1" ref="P516" ca="1">IndividualLegIVCore($A$4, Table133[[#This Row],[Strike]], 0.0411, Table133[[#This Row],[T]], ((Table133[[#This Row],[BIDP]]+Table133[[#This Row],[ASKP]])/2), FALSE)</f>
        <v>0.01</v>
      </c>
      <c r="Q516" t="b">
        <f>IF(     ISNUMBER(Table133[[#This Row],[Strike]]),RTD("tos.rtd", , "BID", "."&amp;Table133[[#This Row],[Ticker]]&amp;Table133[[#This Row],[Expiry]]&amp;""&amp;"P"&amp;Table133[[#This Row],[Strike]]))</f>
        <v>0</v>
      </c>
      <c r="R516" t="b">
        <f>IF(     ISNUMBER(Table133[[#This Row],[Strike]]),RTD("tos.rtd", , "ASK", "."&amp;Table133[[#This Row],[Ticker]]&amp;Table133[[#This Row],[Expiry]]&amp;""&amp;"P"&amp;Table133[[#This Row],[Strike]]))</f>
        <v>0</v>
      </c>
      <c r="S516" s="17"/>
      <c r="T516" t="b">
        <f>IF(     ISNUMBER(Table133[[#This Row],[Strike]]),RTD("tos.rtd", , "OPEN_INT", "."&amp;Table133[[#This Row],[Ticker]]&amp;Table133[[#This Row],[Expiry]]&amp;""&amp;"P"&amp;Table133[[#This Row],[Strike]]))</f>
        <v>0</v>
      </c>
      <c r="U5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6" t="b">
        <f>IF(     ISNUMBER(Table133[[#This Row],[Strike]]),RTD("tos.rtd", , "DELTA", "."&amp;Table133[[#This Row],[Ticker]]&amp;Table133[[#This Row],[Expiry]]&amp;""&amp;"P"&amp;Table133[[#This Row],[Strike]]))</f>
        <v>0</v>
      </c>
      <c r="Y516" s="55">
        <v>0</v>
      </c>
      <c r="Z516">
        <f ca="1">IFERROR(Table133[[#This Row],[call gamma]]*(Table133[[#This Row],[Open.Int]])*$A$4^2,0)</f>
        <v>0</v>
      </c>
      <c r="AA516">
        <f ca="1">IFERROR(((Table133[[#This Row],[Open.Int8]])*Table133[[#This Row],[Put gamma]])*-1*$A$4^2,0)</f>
        <v>0</v>
      </c>
      <c r="AB516">
        <f ca="1">(Table133[[#This Row],[Call Gex]]+Table133[[#This Row],[Put Gex]])</f>
        <v>0</v>
      </c>
      <c r="AC516">
        <f ca="1">Table133[[#This Row],[put delta adj]]+Table133[[#This Row],[call delta adj]]</f>
        <v>0</v>
      </c>
      <c r="AD516">
        <f ca="1">Table133[[#This Row],[Put Gex]]*Table133[[#This Row],[DeltaP]]*-1</f>
        <v>0</v>
      </c>
      <c r="AE516">
        <f ca="1">Table133[[#This Row],[Call Gex]]*Table133[[#This Row],[DeltaC]]</f>
        <v>0</v>
      </c>
      <c r="AF516">
        <f>IF(Table133[[#This Row],[DeltaC]]-ABS(Table133[[#This Row],[DeltaP]])="0","0.01",Table133[[#This Row],[DeltaC]]-ABS(Table133[[#This Row],[DeltaP]]))</f>
        <v>0</v>
      </c>
      <c r="AG516" t="e">
        <f ca="1">((LN($A$4/Table133[[#This Row],[Strike]]) + (0.411 + 0.5 * Table133[[#This Row],[IV Calc P]]^2) *Table133[[#This Row],[T]])) / (Table133[[#This Row],[IV Calc P]] * SQRT(Table133[[#This Row],[T]]))</f>
        <v>#DIV/0!</v>
      </c>
      <c r="AH516" t="e">
        <f ca="1">(LN($A$4/Table133[[#This Row],[Strike]]) + (0.411-0 + 0.5 * Table133[[#This Row],[IV Calc C]]^2) *Table133[[#This Row],[T]]) / (Table133[[#This Row],[IV Calc C]] * SQRT(Table133[[#This Row],[T]]))</f>
        <v>#DIV/0!</v>
      </c>
      <c r="AI516" t="e">
        <f ca="1">(EXP(-(AG516^2)/2)/SQRT(2*PI())*EXP(0*SQRT(Table133[[#This Row],[T]]))/$A$4*18%*SQRT(SQRT(Table133[[#This Row],[T]])))</f>
        <v>#DIV/0!</v>
      </c>
      <c r="AJ516" t="e">
        <f ca="1">(EXP(-(AH516^2)/2)/SQRT(2*PI())*EXP(0*SQRT(Table133[[#This Row],[T]]))/$A$4*18%*SQRT(SQRT(Table133[[#This Row],[T]])))</f>
        <v>#DIV/0!</v>
      </c>
      <c r="AK516" t="e">
        <f ca="1">Table133[[#This Row],[Call D1]]-Table133[[#This Row],[IV Calc C]]*SQRT(Table133[[#This Row],[T]])</f>
        <v>#DIV/0!</v>
      </c>
      <c r="AL516" t="e">
        <f ca="1">Table133[[#This Row],[Put D1]]-Table133[[#This Row],[IV Calc P]]*SQRT(Table133[[#This Row],[T]])</f>
        <v>#DIV/0!</v>
      </c>
      <c r="AM516" t="e">
        <f ca="1">EXP(-0.5*Table133[[#This Row],[Call D1]]^2)/SQRT(2*PI())</f>
        <v>#DIV/0!</v>
      </c>
      <c r="AN516" t="e">
        <f ca="1">EXP(-0.5*Table133[[#This Row],[Put D1]]^2)/SQRT(2*PI())</f>
        <v>#DIV/0!</v>
      </c>
      <c r="AO5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6">
        <f ca="1">((Table133[[#This Row],[call vanna]]+Table133[[#This Row],[put vanna]])*$A$4)</f>
        <v>0</v>
      </c>
      <c r="AR5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6" s="9" t="str" cm="1">
        <f t="array" ref="AT516">_xlfn.IFS(     $M$1="SPX","SPXW",     $M$1="RUT","RUTW",  $M$1="NDX","NDXP",   TRUE,$M$1 )</f>
        <v>SPXW</v>
      </c>
      <c r="AU516" s="2">
        <f t="shared" si="52"/>
        <v>6915</v>
      </c>
      <c r="AV516" t="str">
        <f t="shared" si="53"/>
        <v>000100</v>
      </c>
      <c r="AY5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6">
        <f>((Table133[[#This Row],[High C]]+Table133[[#This Row],[Low C]])/2)*Table133[[#This Row],[gammac]]*Table133[[#This Row],[Volume]]</f>
        <v>0</v>
      </c>
      <c r="BD516">
        <f>((Table133[[#This Row],[High P]]+Table133[[#This Row],[Low P]])/2)*Table133[[#This Row],[gammap]]*Table133[[#This Row],[Volume9]]*-1</f>
        <v>0</v>
      </c>
      <c r="BE516">
        <f>(Table133[[#This Row],[SgammaC]]+Table133[[#This Row],[SgammaP]])*$A$4*-100</f>
        <v>0</v>
      </c>
      <c r="BF516" s="78">
        <f>Table133[[#This Row],[DEXc]]+Table133[[#This Row],[DEXp]]</f>
        <v>0</v>
      </c>
      <c r="BG516">
        <f>IFERROR(Table133[[#This Row],[DeltaC]]*Table133[[#This Row],[Open.Int]]*$A$4,0)</f>
        <v>0</v>
      </c>
      <c r="BH516">
        <f>IFERROR(Table133[[#This Row],[DeltaP]]*Table133[[#This Row],[Open.Int8]]*$A$4,0)</f>
        <v>0</v>
      </c>
      <c r="BI51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6">
        <f ca="1">Table133[[#This Row],[charmc]]+Table133[[#This Row],[charmp]]</f>
        <v>0</v>
      </c>
      <c r="BL51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6" s="78">
        <f ca="1">Table133[[#This Row],[call helper]]+Table133[[#This Row],[put helper]]</f>
        <v>0</v>
      </c>
      <c r="BP516" t="str">
        <f>RTD("tos.rtd", , "STRIKE", "."&amp;Table133[[#This Row],[Ticker]]&amp;Table133[[#This Row],[Expiry]]&amp;""&amp;"C"&amp;Table133[[#This Row],[Spot]]+Table133[[#This Row],[step]])</f>
        <v>N/A</v>
      </c>
    </row>
    <row r="517" spans="1:68" x14ac:dyDescent="0.25">
      <c r="A517" s="14">
        <f t="shared" ca="1" si="49"/>
        <v>-126.14810350076104</v>
      </c>
      <c r="C517" s="17"/>
      <c r="D517" t="str">
        <f>RTD("tos.rtd", , "OPEN_INT", "."&amp;Table133[[#This Row],[Ticker]]&amp;Table133[[#This Row],[Expiry]]&amp;""&amp;"C"&amp;Table133[[#This Row],[Spot]]+Table133[[#This Row],[step]])</f>
        <v>N/A</v>
      </c>
      <c r="E51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7" t="b">
        <f>IF(     ISNUMBER(Table133[[#This Row],[Strike]]),RTD("tos.rtd", , "DELTA", "."&amp;Table133[[#This Row],[Ticker]]&amp;Table133[[#This Row],[Expiry]]&amp;""&amp;"C"&amp;Table133[[#This Row],[Strike]]))</f>
        <v>0</v>
      </c>
      <c r="H517" s="17" cm="1">
        <f t="array" aca="1" ref="H517" ca="1">IndividualLegIVCore($A$4, Table133[[#This Row],[Strike]], 0.0411, Table133[[#This Row],[T]], ((Table133[[#This Row],[BIDC]]+Table133[[#This Row],[ASKC]])/2), TRUE)</f>
        <v>0.01</v>
      </c>
      <c r="I517" t="b">
        <f>IF(     ISNUMBER(Table133[[#This Row],[Strike]]),RTD("tos.rtd", , "BID", "."&amp;Table133[[#This Row],[Ticker]]&amp;Table133[[#This Row],[Expiry]]&amp;""&amp;"C"&amp;Table133[[#This Row],[Strike]]))</f>
        <v>0</v>
      </c>
      <c r="J517" t="b">
        <f>IF(     ISNUMBER(Table133[[#This Row],[Strike]]),RTD("tos.rtd", , "ASK", "."&amp;Table133[[#This Row],[Ticker]]&amp;Table133[[#This Row],[Expiry]]&amp;""&amp;"C"&amp;Table133[[#This Row],[Strike]]))</f>
        <v>0</v>
      </c>
      <c r="K517" s="17"/>
      <c r="M517" s="1">
        <f t="shared" si="50"/>
        <v>0</v>
      </c>
      <c r="N517" t="b">
        <f t="shared" si="51"/>
        <v>0</v>
      </c>
      <c r="P517" s="17" cm="1">
        <f t="array" aca="1" ref="P517" ca="1">IndividualLegIVCore($A$4, Table133[[#This Row],[Strike]], 0.0411, Table133[[#This Row],[T]], ((Table133[[#This Row],[BIDP]]+Table133[[#This Row],[ASKP]])/2), FALSE)</f>
        <v>0.01</v>
      </c>
      <c r="Q517" t="b">
        <f>IF(     ISNUMBER(Table133[[#This Row],[Strike]]),RTD("tos.rtd", , "BID", "."&amp;Table133[[#This Row],[Ticker]]&amp;Table133[[#This Row],[Expiry]]&amp;""&amp;"P"&amp;Table133[[#This Row],[Strike]]))</f>
        <v>0</v>
      </c>
      <c r="R517" t="b">
        <f>IF(     ISNUMBER(Table133[[#This Row],[Strike]]),RTD("tos.rtd", , "ASK", "."&amp;Table133[[#This Row],[Ticker]]&amp;Table133[[#This Row],[Expiry]]&amp;""&amp;"P"&amp;Table133[[#This Row],[Strike]]))</f>
        <v>0</v>
      </c>
      <c r="S517" s="17"/>
      <c r="T517" t="b">
        <f>IF(     ISNUMBER(Table133[[#This Row],[Strike]]),RTD("tos.rtd", , "OPEN_INT", "."&amp;Table133[[#This Row],[Ticker]]&amp;Table133[[#This Row],[Expiry]]&amp;""&amp;"P"&amp;Table133[[#This Row],[Strike]]))</f>
        <v>0</v>
      </c>
      <c r="U51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7" t="b">
        <f>IF(     ISNUMBER(Table133[[#This Row],[Strike]]),RTD("tos.rtd", , "DELTA", "."&amp;Table133[[#This Row],[Ticker]]&amp;Table133[[#This Row],[Expiry]]&amp;""&amp;"P"&amp;Table133[[#This Row],[Strike]]))</f>
        <v>0</v>
      </c>
      <c r="Y517">
        <f>0.5* IF($M$1="NDX", 10, IF(OR($M$1="SPX", $M$1="RUT"), 2, 1))</f>
        <v>1</v>
      </c>
      <c r="Z517">
        <f ca="1">IFERROR(Table133[[#This Row],[call gamma]]*(Table133[[#This Row],[Open.Int]])*$A$4^2,0)</f>
        <v>0</v>
      </c>
      <c r="AA517">
        <f ca="1">IFERROR(((Table133[[#This Row],[Open.Int8]])*Table133[[#This Row],[Put gamma]])*-1*$A$4^2,0)</f>
        <v>0</v>
      </c>
      <c r="AB517">
        <f ca="1">(Table133[[#This Row],[Call Gex]]+Table133[[#This Row],[Put Gex]])</f>
        <v>0</v>
      </c>
      <c r="AC517">
        <f ca="1">Table133[[#This Row],[put delta adj]]+Table133[[#This Row],[call delta adj]]</f>
        <v>0</v>
      </c>
      <c r="AD517">
        <f ca="1">Table133[[#This Row],[Put Gex]]*Table133[[#This Row],[DeltaP]]*-1</f>
        <v>0</v>
      </c>
      <c r="AE517">
        <f ca="1">Table133[[#This Row],[Call Gex]]*Table133[[#This Row],[DeltaC]]</f>
        <v>0</v>
      </c>
      <c r="AF517">
        <f>IF(Table133[[#This Row],[DeltaC]]-ABS(Table133[[#This Row],[DeltaP]])="0","0.01",Table133[[#This Row],[DeltaC]]-ABS(Table133[[#This Row],[DeltaP]]))</f>
        <v>0</v>
      </c>
      <c r="AG517" t="e">
        <f ca="1">((LN($A$4/Table133[[#This Row],[Strike]]) + (0.411 + 0.5 * Table133[[#This Row],[IV Calc P]]^2) *Table133[[#This Row],[T]])) / (Table133[[#This Row],[IV Calc P]] * SQRT(Table133[[#This Row],[T]]))</f>
        <v>#DIV/0!</v>
      </c>
      <c r="AH517" t="e">
        <f ca="1">(LN($A$4/Table133[[#This Row],[Strike]]) + (0.411-0 + 0.5 * Table133[[#This Row],[IV Calc C]]^2) *Table133[[#This Row],[T]]) / (Table133[[#This Row],[IV Calc C]] * SQRT(Table133[[#This Row],[T]]))</f>
        <v>#DIV/0!</v>
      </c>
      <c r="AI517" t="e">
        <f ca="1">(EXP(-(AG517^2)/2)/SQRT(2*PI())*EXP(0*SQRT(Table133[[#This Row],[T]]))/$A$4*18%*SQRT(SQRT(Table133[[#This Row],[T]])))</f>
        <v>#DIV/0!</v>
      </c>
      <c r="AJ517" t="e">
        <f ca="1">(EXP(-(AH517^2)/2)/SQRT(2*PI())*EXP(0*SQRT(Table133[[#This Row],[T]]))/$A$4*18%*SQRT(SQRT(Table133[[#This Row],[T]])))</f>
        <v>#DIV/0!</v>
      </c>
      <c r="AK517" t="e">
        <f ca="1">Table133[[#This Row],[Call D1]]-Table133[[#This Row],[IV Calc C]]*SQRT(Table133[[#This Row],[T]])</f>
        <v>#DIV/0!</v>
      </c>
      <c r="AL517" t="e">
        <f ca="1">Table133[[#This Row],[Put D1]]-Table133[[#This Row],[IV Calc P]]*SQRT(Table133[[#This Row],[T]])</f>
        <v>#DIV/0!</v>
      </c>
      <c r="AM517" t="e">
        <f ca="1">EXP(-0.5*Table133[[#This Row],[Call D1]]^2)/SQRT(2*PI())</f>
        <v>#DIV/0!</v>
      </c>
      <c r="AN517" t="e">
        <f ca="1">EXP(-0.5*Table133[[#This Row],[Put D1]]^2)/SQRT(2*PI())</f>
        <v>#DIV/0!</v>
      </c>
      <c r="AO51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7">
        <f ca="1">((Table133[[#This Row],[call vanna]]+Table133[[#This Row],[put vanna]])*$A$4)</f>
        <v>0</v>
      </c>
      <c r="AR51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7" s="9" t="str" cm="1">
        <f t="array" ref="AT517">_xlfn.IFS(     $M$1="SPX","SPXW",     $M$1="RUT","RUTW",  $M$1="NDX","NDXP",   TRUE,$M$1 )</f>
        <v>SPXW</v>
      </c>
      <c r="AU517" s="2">
        <f t="shared" si="52"/>
        <v>6915</v>
      </c>
      <c r="AV517" t="str">
        <f t="shared" si="53"/>
        <v>000100</v>
      </c>
      <c r="AY51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7">
        <f>((Table133[[#This Row],[High C]]+Table133[[#This Row],[Low C]])/2)*Table133[[#This Row],[gammac]]*Table133[[#This Row],[Volume]]</f>
        <v>0</v>
      </c>
      <c r="BD517">
        <f>((Table133[[#This Row],[High P]]+Table133[[#This Row],[Low P]])/2)*Table133[[#This Row],[gammap]]*Table133[[#This Row],[Volume9]]*-1</f>
        <v>0</v>
      </c>
      <c r="BE517">
        <f>(Table133[[#This Row],[SgammaC]]+Table133[[#This Row],[SgammaP]])*$A$4*-100</f>
        <v>0</v>
      </c>
      <c r="BF517" s="78">
        <f>Table133[[#This Row],[DEXc]]+Table133[[#This Row],[DEXp]]</f>
        <v>0</v>
      </c>
      <c r="BG517">
        <f>IFERROR(Table133[[#This Row],[DeltaC]]*Table133[[#This Row],[Open.Int]]*$A$4,0)</f>
        <v>0</v>
      </c>
      <c r="BH517">
        <f>IFERROR(Table133[[#This Row],[DeltaP]]*Table133[[#This Row],[Open.Int8]]*$A$4,0)</f>
        <v>0</v>
      </c>
      <c r="BI51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7">
        <f ca="1">Table133[[#This Row],[charmc]]+Table133[[#This Row],[charmp]]</f>
        <v>0</v>
      </c>
      <c r="BL51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7" s="78">
        <f ca="1">Table133[[#This Row],[call helper]]+Table133[[#This Row],[put helper]]</f>
        <v>0</v>
      </c>
      <c r="BP517" t="str">
        <f>RTD("tos.rtd", , "STRIKE", "."&amp;Table133[[#This Row],[Ticker]]&amp;Table133[[#This Row],[Expiry]]&amp;""&amp;"C"&amp;Table133[[#This Row],[Spot]]+Table133[[#This Row],[step]])</f>
        <v>N/A</v>
      </c>
    </row>
    <row r="518" spans="1:68" x14ac:dyDescent="0.25">
      <c r="A518" s="14">
        <f t="shared" ca="1" si="49"/>
        <v>-126.14810350076104</v>
      </c>
      <c r="C518" s="17"/>
      <c r="D518" t="str">
        <f>RTD("tos.rtd", , "OPEN_INT", "."&amp;Table133[[#This Row],[Ticker]]&amp;Table133[[#This Row],[Expiry]]&amp;""&amp;"C"&amp;Table133[[#This Row],[Spot]]+Table133[[#This Row],[step]])</f>
        <v>N/A</v>
      </c>
      <c r="E51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8" t="b">
        <f>IF(     ISNUMBER(Table133[[#This Row],[Strike]]),RTD("tos.rtd", , "DELTA", "."&amp;Table133[[#This Row],[Ticker]]&amp;Table133[[#This Row],[Expiry]]&amp;""&amp;"C"&amp;Table133[[#This Row],[Strike]]))</f>
        <v>0</v>
      </c>
      <c r="H518" s="17" cm="1">
        <f t="array" aca="1" ref="H518" ca="1">IndividualLegIVCore($A$4, Table133[[#This Row],[Strike]], 0.0411, Table133[[#This Row],[T]], ((Table133[[#This Row],[BIDC]]+Table133[[#This Row],[ASKC]])/2), TRUE)</f>
        <v>0.01</v>
      </c>
      <c r="I518" t="b">
        <f>IF(     ISNUMBER(Table133[[#This Row],[Strike]]),RTD("tos.rtd", , "BID", "."&amp;Table133[[#This Row],[Ticker]]&amp;Table133[[#This Row],[Expiry]]&amp;""&amp;"C"&amp;Table133[[#This Row],[Strike]]))</f>
        <v>0</v>
      </c>
      <c r="J518" t="b">
        <f>IF(     ISNUMBER(Table133[[#This Row],[Strike]]),RTD("tos.rtd", , "ASK", "."&amp;Table133[[#This Row],[Ticker]]&amp;Table133[[#This Row],[Expiry]]&amp;""&amp;"C"&amp;Table133[[#This Row],[Strike]]))</f>
        <v>0</v>
      </c>
      <c r="K518" s="17"/>
      <c r="M518" s="1">
        <f t="shared" si="50"/>
        <v>0</v>
      </c>
      <c r="N518" t="b">
        <f t="shared" si="51"/>
        <v>0</v>
      </c>
      <c r="P518" s="17" cm="1">
        <f t="array" aca="1" ref="P518" ca="1">IndividualLegIVCore($A$4, Table133[[#This Row],[Strike]], 0.0411, Table133[[#This Row],[T]], ((Table133[[#This Row],[BIDP]]+Table133[[#This Row],[ASKP]])/2), FALSE)</f>
        <v>0.01</v>
      </c>
      <c r="Q518" t="b">
        <f>IF(     ISNUMBER(Table133[[#This Row],[Strike]]),RTD("tos.rtd", , "BID", "."&amp;Table133[[#This Row],[Ticker]]&amp;Table133[[#This Row],[Expiry]]&amp;""&amp;"P"&amp;Table133[[#This Row],[Strike]]))</f>
        <v>0</v>
      </c>
      <c r="R518" t="b">
        <f>IF(     ISNUMBER(Table133[[#This Row],[Strike]]),RTD("tos.rtd", , "ASK", "."&amp;Table133[[#This Row],[Ticker]]&amp;Table133[[#This Row],[Expiry]]&amp;""&amp;"P"&amp;Table133[[#This Row],[Strike]]))</f>
        <v>0</v>
      </c>
      <c r="S518" s="17"/>
      <c r="T518" t="b">
        <f>IF(     ISNUMBER(Table133[[#This Row],[Strike]]),RTD("tos.rtd", , "OPEN_INT", "."&amp;Table133[[#This Row],[Ticker]]&amp;Table133[[#This Row],[Expiry]]&amp;""&amp;"P"&amp;Table133[[#This Row],[Strike]]))</f>
        <v>0</v>
      </c>
      <c r="U51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8" t="b">
        <f>IF(     ISNUMBER(Table133[[#This Row],[Strike]]),RTD("tos.rtd", , "DELTA", "."&amp;Table133[[#This Row],[Ticker]]&amp;Table133[[#This Row],[Expiry]]&amp;""&amp;"P"&amp;Table133[[#This Row],[Strike]]))</f>
        <v>0</v>
      </c>
      <c r="Y518" s="19">
        <f>1* IF($M$1="NDX", 10, IF(OR($M$1="SPX", $M$1="RUT"), 2, 1))</f>
        <v>2</v>
      </c>
      <c r="Z518">
        <f ca="1">IFERROR(Table133[[#This Row],[call gamma]]*(Table133[[#This Row],[Open.Int]])*$A$4^2,0)</f>
        <v>0</v>
      </c>
      <c r="AA518">
        <f ca="1">IFERROR(((Table133[[#This Row],[Open.Int8]])*Table133[[#This Row],[Put gamma]])*-1*$A$4^2,0)</f>
        <v>0</v>
      </c>
      <c r="AB518">
        <f ca="1">(Table133[[#This Row],[Call Gex]]+Table133[[#This Row],[Put Gex]])</f>
        <v>0</v>
      </c>
      <c r="AC518">
        <f ca="1">Table133[[#This Row],[put delta adj]]+Table133[[#This Row],[call delta adj]]</f>
        <v>0</v>
      </c>
      <c r="AD518">
        <f ca="1">Table133[[#This Row],[Put Gex]]*Table133[[#This Row],[DeltaP]]*-1</f>
        <v>0</v>
      </c>
      <c r="AE518">
        <f ca="1">Table133[[#This Row],[Call Gex]]*Table133[[#This Row],[DeltaC]]</f>
        <v>0</v>
      </c>
      <c r="AF518">
        <f>IF(Table133[[#This Row],[DeltaC]]-ABS(Table133[[#This Row],[DeltaP]])="0","0.01",Table133[[#This Row],[DeltaC]]-ABS(Table133[[#This Row],[DeltaP]]))</f>
        <v>0</v>
      </c>
      <c r="AG518" t="e">
        <f ca="1">((LN($A$4/Table133[[#This Row],[Strike]]) + (0.411 + 0.5 * Table133[[#This Row],[IV Calc P]]^2) *Table133[[#This Row],[T]])) / (Table133[[#This Row],[IV Calc P]] * SQRT(Table133[[#This Row],[T]]))</f>
        <v>#DIV/0!</v>
      </c>
      <c r="AH518" t="e">
        <f ca="1">(LN($A$4/Table133[[#This Row],[Strike]]) + (0.411-0 + 0.5 * Table133[[#This Row],[IV Calc C]]^2) *Table133[[#This Row],[T]]) / (Table133[[#This Row],[IV Calc C]] * SQRT(Table133[[#This Row],[T]]))</f>
        <v>#DIV/0!</v>
      </c>
      <c r="AI518" t="e">
        <f ca="1">(EXP(-(AG518^2)/2)/SQRT(2*PI())*EXP(0*SQRT(Table133[[#This Row],[T]]))/$A$4*18%*SQRT(SQRT(Table133[[#This Row],[T]])))</f>
        <v>#DIV/0!</v>
      </c>
      <c r="AJ518" t="e">
        <f ca="1">(EXP(-(AH518^2)/2)/SQRT(2*PI())*EXP(0*SQRT(Table133[[#This Row],[T]]))/$A$4*18%*SQRT(SQRT(Table133[[#This Row],[T]])))</f>
        <v>#DIV/0!</v>
      </c>
      <c r="AK518" t="e">
        <f ca="1">Table133[[#This Row],[Call D1]]-Table133[[#This Row],[IV Calc C]]*SQRT(Table133[[#This Row],[T]])</f>
        <v>#DIV/0!</v>
      </c>
      <c r="AL518" t="e">
        <f ca="1">Table133[[#This Row],[Put D1]]-Table133[[#This Row],[IV Calc P]]*SQRT(Table133[[#This Row],[T]])</f>
        <v>#DIV/0!</v>
      </c>
      <c r="AM518" t="e">
        <f ca="1">EXP(-0.5*Table133[[#This Row],[Call D1]]^2)/SQRT(2*PI())</f>
        <v>#DIV/0!</v>
      </c>
      <c r="AN518" t="e">
        <f ca="1">EXP(-0.5*Table133[[#This Row],[Put D1]]^2)/SQRT(2*PI())</f>
        <v>#DIV/0!</v>
      </c>
      <c r="AO51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8">
        <f ca="1">((Table133[[#This Row],[call vanna]]+Table133[[#This Row],[put vanna]])*$A$4)</f>
        <v>0</v>
      </c>
      <c r="AR51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8" s="9" t="str" cm="1">
        <f t="array" ref="AT518">_xlfn.IFS(     $M$1="SPX","SPXW",     $M$1="RUT","RUTW",  $M$1="NDX","NDXP",   TRUE,$M$1 )</f>
        <v>SPXW</v>
      </c>
      <c r="AU518" s="2">
        <f t="shared" si="52"/>
        <v>6915</v>
      </c>
      <c r="AV518" t="str">
        <f t="shared" si="53"/>
        <v>000100</v>
      </c>
      <c r="AY51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8">
        <f>((Table133[[#This Row],[High C]]+Table133[[#This Row],[Low C]])/2)*Table133[[#This Row],[gammac]]*Table133[[#This Row],[Volume]]</f>
        <v>0</v>
      </c>
      <c r="BD518">
        <f>((Table133[[#This Row],[High P]]+Table133[[#This Row],[Low P]])/2)*Table133[[#This Row],[gammap]]*Table133[[#This Row],[Volume9]]*-1</f>
        <v>0</v>
      </c>
      <c r="BE518">
        <f>(Table133[[#This Row],[SgammaC]]+Table133[[#This Row],[SgammaP]])*$A$4*-100</f>
        <v>0</v>
      </c>
      <c r="BF518" s="78">
        <f>Table133[[#This Row],[DEXc]]+Table133[[#This Row],[DEXp]]</f>
        <v>0</v>
      </c>
      <c r="BG518">
        <f>IFERROR(Table133[[#This Row],[DeltaC]]*Table133[[#This Row],[Open.Int]]*$A$4,0)</f>
        <v>0</v>
      </c>
      <c r="BH518">
        <f>IFERROR(Table133[[#This Row],[DeltaP]]*Table133[[#This Row],[Open.Int8]]*$A$4,0)</f>
        <v>0</v>
      </c>
      <c r="BI51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8">
        <f ca="1">Table133[[#This Row],[charmc]]+Table133[[#This Row],[charmp]]</f>
        <v>0</v>
      </c>
      <c r="BL51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8" s="78">
        <f ca="1">Table133[[#This Row],[call helper]]+Table133[[#This Row],[put helper]]</f>
        <v>0</v>
      </c>
      <c r="BP518" t="str">
        <f>RTD("tos.rtd", , "STRIKE", "."&amp;Table133[[#This Row],[Ticker]]&amp;Table133[[#This Row],[Expiry]]&amp;""&amp;"C"&amp;Table133[[#This Row],[Spot]]+Table133[[#This Row],[step]])</f>
        <v>N/A</v>
      </c>
    </row>
    <row r="519" spans="1:68" x14ac:dyDescent="0.25">
      <c r="A519" s="14">
        <f t="shared" ca="1" si="49"/>
        <v>-126.14810350076104</v>
      </c>
      <c r="C519" s="17"/>
      <c r="D519" t="str">
        <f>RTD("tos.rtd", , "OPEN_INT", "."&amp;Table133[[#This Row],[Ticker]]&amp;Table133[[#This Row],[Expiry]]&amp;""&amp;"C"&amp;Table133[[#This Row],[Spot]]+Table133[[#This Row],[step]])</f>
        <v>N/A</v>
      </c>
      <c r="E51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9" t="b">
        <f>IF(     ISNUMBER(Table133[[#This Row],[Strike]]),RTD("tos.rtd", , "DELTA", "."&amp;Table133[[#This Row],[Ticker]]&amp;Table133[[#This Row],[Expiry]]&amp;""&amp;"C"&amp;Table133[[#This Row],[Strike]]))</f>
        <v>0</v>
      </c>
      <c r="H519" s="17" cm="1">
        <f t="array" aca="1" ref="H519" ca="1">IndividualLegIVCore($A$4, Table133[[#This Row],[Strike]], 0.0411, Table133[[#This Row],[T]], ((Table133[[#This Row],[BIDC]]+Table133[[#This Row],[ASKC]])/2), TRUE)</f>
        <v>0.01</v>
      </c>
      <c r="I519" t="b">
        <f>IF(     ISNUMBER(Table133[[#This Row],[Strike]]),RTD("tos.rtd", , "BID", "."&amp;Table133[[#This Row],[Ticker]]&amp;Table133[[#This Row],[Expiry]]&amp;""&amp;"C"&amp;Table133[[#This Row],[Strike]]))</f>
        <v>0</v>
      </c>
      <c r="J519" t="b">
        <f>IF(     ISNUMBER(Table133[[#This Row],[Strike]]),RTD("tos.rtd", , "ASK", "."&amp;Table133[[#This Row],[Ticker]]&amp;Table133[[#This Row],[Expiry]]&amp;""&amp;"C"&amp;Table133[[#This Row],[Strike]]))</f>
        <v>0</v>
      </c>
      <c r="K519" s="17"/>
      <c r="M519" s="1">
        <f t="shared" si="50"/>
        <v>0</v>
      </c>
      <c r="N519" t="b">
        <f t="shared" si="51"/>
        <v>0</v>
      </c>
      <c r="P519" s="17" cm="1">
        <f t="array" aca="1" ref="P519" ca="1">IndividualLegIVCore($A$4, Table133[[#This Row],[Strike]], 0.0411, Table133[[#This Row],[T]], ((Table133[[#This Row],[BIDP]]+Table133[[#This Row],[ASKP]])/2), FALSE)</f>
        <v>0.01</v>
      </c>
      <c r="Q519" t="b">
        <f>IF(     ISNUMBER(Table133[[#This Row],[Strike]]),RTD("tos.rtd", , "BID", "."&amp;Table133[[#This Row],[Ticker]]&amp;Table133[[#This Row],[Expiry]]&amp;""&amp;"P"&amp;Table133[[#This Row],[Strike]]))</f>
        <v>0</v>
      </c>
      <c r="R519" t="b">
        <f>IF(     ISNUMBER(Table133[[#This Row],[Strike]]),RTD("tos.rtd", , "ASK", "."&amp;Table133[[#This Row],[Ticker]]&amp;Table133[[#This Row],[Expiry]]&amp;""&amp;"P"&amp;Table133[[#This Row],[Strike]]))</f>
        <v>0</v>
      </c>
      <c r="S519" s="17"/>
      <c r="T519" t="b">
        <f>IF(     ISNUMBER(Table133[[#This Row],[Strike]]),RTD("tos.rtd", , "OPEN_INT", "."&amp;Table133[[#This Row],[Ticker]]&amp;Table133[[#This Row],[Expiry]]&amp;""&amp;"P"&amp;Table133[[#This Row],[Strike]]))</f>
        <v>0</v>
      </c>
      <c r="U51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9" t="b">
        <f>IF(     ISNUMBER(Table133[[#This Row],[Strike]]),RTD("tos.rtd", , "DELTA", "."&amp;Table133[[#This Row],[Ticker]]&amp;Table133[[#This Row],[Expiry]]&amp;""&amp;"P"&amp;Table133[[#This Row],[Strike]]))</f>
        <v>0</v>
      </c>
      <c r="Y519" s="19">
        <f>1.5* IF($M$1="NDX", 10, IF(OR($M$1="SPX", $M$1="RUT"), 2, 1))</f>
        <v>3</v>
      </c>
      <c r="Z519">
        <f ca="1">IFERROR(Table133[[#This Row],[call gamma]]*(Table133[[#This Row],[Open.Int]])*$A$4^2,0)</f>
        <v>0</v>
      </c>
      <c r="AA519">
        <f ca="1">IFERROR(((Table133[[#This Row],[Open.Int8]])*Table133[[#This Row],[Put gamma]])*-1*$A$4^2,0)</f>
        <v>0</v>
      </c>
      <c r="AB519">
        <f ca="1">(Table133[[#This Row],[Call Gex]]+Table133[[#This Row],[Put Gex]])</f>
        <v>0</v>
      </c>
      <c r="AC519">
        <f ca="1">Table133[[#This Row],[put delta adj]]+Table133[[#This Row],[call delta adj]]</f>
        <v>0</v>
      </c>
      <c r="AD519">
        <f ca="1">Table133[[#This Row],[Put Gex]]*Table133[[#This Row],[DeltaP]]*-1</f>
        <v>0</v>
      </c>
      <c r="AE519">
        <f ca="1">Table133[[#This Row],[Call Gex]]*Table133[[#This Row],[DeltaC]]</f>
        <v>0</v>
      </c>
      <c r="AF519">
        <f>IF(Table133[[#This Row],[DeltaC]]-ABS(Table133[[#This Row],[DeltaP]])="0","0.01",Table133[[#This Row],[DeltaC]]-ABS(Table133[[#This Row],[DeltaP]]))</f>
        <v>0</v>
      </c>
      <c r="AG519" t="e">
        <f ca="1">((LN($A$4/Table133[[#This Row],[Strike]]) + (0.411 + 0.5 * Table133[[#This Row],[IV Calc P]]^2) *Table133[[#This Row],[T]])) / (Table133[[#This Row],[IV Calc P]] * SQRT(Table133[[#This Row],[T]]))</f>
        <v>#DIV/0!</v>
      </c>
      <c r="AH519" t="e">
        <f ca="1">(LN($A$4/Table133[[#This Row],[Strike]]) + (0.411-0 + 0.5 * Table133[[#This Row],[IV Calc C]]^2) *Table133[[#This Row],[T]]) / (Table133[[#This Row],[IV Calc C]] * SQRT(Table133[[#This Row],[T]]))</f>
        <v>#DIV/0!</v>
      </c>
      <c r="AI519" t="e">
        <f ca="1">(EXP(-(AG519^2)/2)/SQRT(2*PI())*EXP(0*SQRT(Table133[[#This Row],[T]]))/$A$4*18%*SQRT(SQRT(Table133[[#This Row],[T]])))</f>
        <v>#DIV/0!</v>
      </c>
      <c r="AJ519" t="e">
        <f ca="1">(EXP(-(AH519^2)/2)/SQRT(2*PI())*EXP(0*SQRT(Table133[[#This Row],[T]]))/$A$4*18%*SQRT(SQRT(Table133[[#This Row],[T]])))</f>
        <v>#DIV/0!</v>
      </c>
      <c r="AK519" t="e">
        <f ca="1">Table133[[#This Row],[Call D1]]-Table133[[#This Row],[IV Calc C]]*SQRT(Table133[[#This Row],[T]])</f>
        <v>#DIV/0!</v>
      </c>
      <c r="AL519" t="e">
        <f ca="1">Table133[[#This Row],[Put D1]]-Table133[[#This Row],[IV Calc P]]*SQRT(Table133[[#This Row],[T]])</f>
        <v>#DIV/0!</v>
      </c>
      <c r="AM519" t="e">
        <f ca="1">EXP(-0.5*Table133[[#This Row],[Call D1]]^2)/SQRT(2*PI())</f>
        <v>#DIV/0!</v>
      </c>
      <c r="AN519" t="e">
        <f ca="1">EXP(-0.5*Table133[[#This Row],[Put D1]]^2)/SQRT(2*PI())</f>
        <v>#DIV/0!</v>
      </c>
      <c r="AO51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9">
        <f ca="1">((Table133[[#This Row],[call vanna]]+Table133[[#This Row],[put vanna]])*$A$4)</f>
        <v>0</v>
      </c>
      <c r="AR51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9" s="9" t="str" cm="1">
        <f t="array" ref="AT519">_xlfn.IFS(     $M$1="SPX","SPXW",     $M$1="RUT","RUTW",  $M$1="NDX","NDXP",   TRUE,$M$1 )</f>
        <v>SPXW</v>
      </c>
      <c r="AU519" s="2">
        <f t="shared" si="52"/>
        <v>6915</v>
      </c>
      <c r="AV519" t="str">
        <f t="shared" si="53"/>
        <v>000100</v>
      </c>
      <c r="AY51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9">
        <f>((Table133[[#This Row],[High C]]+Table133[[#This Row],[Low C]])/2)*Table133[[#This Row],[gammac]]*Table133[[#This Row],[Volume]]</f>
        <v>0</v>
      </c>
      <c r="BD519">
        <f>((Table133[[#This Row],[High P]]+Table133[[#This Row],[Low P]])/2)*Table133[[#This Row],[gammap]]*Table133[[#This Row],[Volume9]]*-1</f>
        <v>0</v>
      </c>
      <c r="BE519">
        <f>(Table133[[#This Row],[SgammaC]]+Table133[[#This Row],[SgammaP]])*$A$4*-100</f>
        <v>0</v>
      </c>
      <c r="BF519" s="78">
        <f>Table133[[#This Row],[DEXc]]+Table133[[#This Row],[DEXp]]</f>
        <v>0</v>
      </c>
      <c r="BG519">
        <f>IFERROR(Table133[[#This Row],[DeltaC]]*Table133[[#This Row],[Open.Int]]*$A$4,0)</f>
        <v>0</v>
      </c>
      <c r="BH519">
        <f>IFERROR(Table133[[#This Row],[DeltaP]]*Table133[[#This Row],[Open.Int8]]*$A$4,0)</f>
        <v>0</v>
      </c>
      <c r="BI51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9">
        <f ca="1">Table133[[#This Row],[charmc]]+Table133[[#This Row],[charmp]]</f>
        <v>0</v>
      </c>
      <c r="BL51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9" s="78">
        <f ca="1">Table133[[#This Row],[call helper]]+Table133[[#This Row],[put helper]]</f>
        <v>0</v>
      </c>
      <c r="BP519" t="str">
        <f>RTD("tos.rtd", , "STRIKE", "."&amp;Table133[[#This Row],[Ticker]]&amp;Table133[[#This Row],[Expiry]]&amp;""&amp;"C"&amp;Table133[[#This Row],[Spot]]+Table133[[#This Row],[step]])</f>
        <v>N/A</v>
      </c>
    </row>
    <row r="520" spans="1:68" x14ac:dyDescent="0.25">
      <c r="A520" s="14">
        <f t="shared" ca="1" si="49"/>
        <v>-126.14810350076104</v>
      </c>
      <c r="C520" s="17"/>
      <c r="D520" t="str">
        <f>RTD("tos.rtd", , "OPEN_INT", "."&amp;Table133[[#This Row],[Ticker]]&amp;Table133[[#This Row],[Expiry]]&amp;""&amp;"C"&amp;Table133[[#This Row],[Spot]]+Table133[[#This Row],[step]])</f>
        <v>N/A</v>
      </c>
      <c r="E52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0" t="b">
        <f>IF(     ISNUMBER(Table133[[#This Row],[Strike]]),RTD("tos.rtd", , "DELTA", "."&amp;Table133[[#This Row],[Ticker]]&amp;Table133[[#This Row],[Expiry]]&amp;""&amp;"C"&amp;Table133[[#This Row],[Strike]]))</f>
        <v>0</v>
      </c>
      <c r="H520" s="17" cm="1">
        <f t="array" aca="1" ref="H520" ca="1">IndividualLegIVCore($A$4, Table133[[#This Row],[Strike]], 0.0411, Table133[[#This Row],[T]], ((Table133[[#This Row],[BIDC]]+Table133[[#This Row],[ASKC]])/2), TRUE)</f>
        <v>0.01</v>
      </c>
      <c r="I520" t="b">
        <f>IF(     ISNUMBER(Table133[[#This Row],[Strike]]),RTD("tos.rtd", , "BID", "."&amp;Table133[[#This Row],[Ticker]]&amp;Table133[[#This Row],[Expiry]]&amp;""&amp;"C"&amp;Table133[[#This Row],[Strike]]))</f>
        <v>0</v>
      </c>
      <c r="J520" t="b">
        <f>IF(     ISNUMBER(Table133[[#This Row],[Strike]]),RTD("tos.rtd", , "ASK", "."&amp;Table133[[#This Row],[Ticker]]&amp;Table133[[#This Row],[Expiry]]&amp;""&amp;"C"&amp;Table133[[#This Row],[Strike]]))</f>
        <v>0</v>
      </c>
      <c r="K520" s="17"/>
      <c r="M520" s="1">
        <f t="shared" si="50"/>
        <v>0</v>
      </c>
      <c r="N520" t="b">
        <f t="shared" si="51"/>
        <v>0</v>
      </c>
      <c r="P520" s="17" cm="1">
        <f t="array" aca="1" ref="P520" ca="1">IndividualLegIVCore($A$4, Table133[[#This Row],[Strike]], 0.0411, Table133[[#This Row],[T]], ((Table133[[#This Row],[BIDP]]+Table133[[#This Row],[ASKP]])/2), FALSE)</f>
        <v>0.01</v>
      </c>
      <c r="Q520" t="b">
        <f>IF(     ISNUMBER(Table133[[#This Row],[Strike]]),RTD("tos.rtd", , "BID", "."&amp;Table133[[#This Row],[Ticker]]&amp;Table133[[#This Row],[Expiry]]&amp;""&amp;"P"&amp;Table133[[#This Row],[Strike]]))</f>
        <v>0</v>
      </c>
      <c r="R520" t="b">
        <f>IF(     ISNUMBER(Table133[[#This Row],[Strike]]),RTD("tos.rtd", , "ASK", "."&amp;Table133[[#This Row],[Ticker]]&amp;Table133[[#This Row],[Expiry]]&amp;""&amp;"P"&amp;Table133[[#This Row],[Strike]]))</f>
        <v>0</v>
      </c>
      <c r="S520" s="17"/>
      <c r="T520" t="b">
        <f>IF(     ISNUMBER(Table133[[#This Row],[Strike]]),RTD("tos.rtd", , "OPEN_INT", "."&amp;Table133[[#This Row],[Ticker]]&amp;Table133[[#This Row],[Expiry]]&amp;""&amp;"P"&amp;Table133[[#This Row],[Strike]]))</f>
        <v>0</v>
      </c>
      <c r="U52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0" t="b">
        <f>IF(     ISNUMBER(Table133[[#This Row],[Strike]]),RTD("tos.rtd", , "DELTA", "."&amp;Table133[[#This Row],[Ticker]]&amp;Table133[[#This Row],[Expiry]]&amp;""&amp;"P"&amp;Table133[[#This Row],[Strike]]))</f>
        <v>0</v>
      </c>
      <c r="Y520" s="19">
        <f>2 * IF($M$1="NDX", 10, IF(OR($M$1="SPX", $M$1="RUT"), 2, 1))</f>
        <v>4</v>
      </c>
      <c r="Z520">
        <f ca="1">IFERROR(Table133[[#This Row],[call gamma]]*(Table133[[#This Row],[Open.Int]])*$A$4^2,0)</f>
        <v>0</v>
      </c>
      <c r="AA520">
        <f ca="1">IFERROR(((Table133[[#This Row],[Open.Int8]])*Table133[[#This Row],[Put gamma]])*-1*$A$4^2,0)</f>
        <v>0</v>
      </c>
      <c r="AB520">
        <f ca="1">(Table133[[#This Row],[Call Gex]]+Table133[[#This Row],[Put Gex]])</f>
        <v>0</v>
      </c>
      <c r="AC520">
        <f ca="1">Table133[[#This Row],[put delta adj]]+Table133[[#This Row],[call delta adj]]</f>
        <v>0</v>
      </c>
      <c r="AD520">
        <f ca="1">Table133[[#This Row],[Put Gex]]*Table133[[#This Row],[DeltaP]]*-1</f>
        <v>0</v>
      </c>
      <c r="AE520">
        <f ca="1">Table133[[#This Row],[Call Gex]]*Table133[[#This Row],[DeltaC]]</f>
        <v>0</v>
      </c>
      <c r="AF520">
        <f>IF(Table133[[#This Row],[DeltaC]]-ABS(Table133[[#This Row],[DeltaP]])="0","0.01",Table133[[#This Row],[DeltaC]]-ABS(Table133[[#This Row],[DeltaP]]))</f>
        <v>0</v>
      </c>
      <c r="AG520" t="e">
        <f ca="1">((LN($A$4/Table133[[#This Row],[Strike]]) + (0.411 + 0.5 * Table133[[#This Row],[IV Calc P]]^2) *Table133[[#This Row],[T]])) / (Table133[[#This Row],[IV Calc P]] * SQRT(Table133[[#This Row],[T]]))</f>
        <v>#DIV/0!</v>
      </c>
      <c r="AH520" t="e">
        <f ca="1">(LN($A$4/Table133[[#This Row],[Strike]]) + (0.411-0 + 0.5 * Table133[[#This Row],[IV Calc C]]^2) *Table133[[#This Row],[T]]) / (Table133[[#This Row],[IV Calc C]] * SQRT(Table133[[#This Row],[T]]))</f>
        <v>#DIV/0!</v>
      </c>
      <c r="AI520" t="e">
        <f ca="1">(EXP(-(AG520^2)/2)/SQRT(2*PI())*EXP(0*SQRT(Table133[[#This Row],[T]]))/$A$4*18%*SQRT(SQRT(Table133[[#This Row],[T]])))</f>
        <v>#DIV/0!</v>
      </c>
      <c r="AJ520" t="e">
        <f ca="1">(EXP(-(AH520^2)/2)/SQRT(2*PI())*EXP(0*SQRT(Table133[[#This Row],[T]]))/$A$4*18%*SQRT(SQRT(Table133[[#This Row],[T]])))</f>
        <v>#DIV/0!</v>
      </c>
      <c r="AK520" t="e">
        <f ca="1">Table133[[#This Row],[Call D1]]-Table133[[#This Row],[IV Calc C]]*SQRT(Table133[[#This Row],[T]])</f>
        <v>#DIV/0!</v>
      </c>
      <c r="AL520" t="e">
        <f ca="1">Table133[[#This Row],[Put D1]]-Table133[[#This Row],[IV Calc P]]*SQRT(Table133[[#This Row],[T]])</f>
        <v>#DIV/0!</v>
      </c>
      <c r="AM520" t="e">
        <f ca="1">EXP(-0.5*Table133[[#This Row],[Call D1]]^2)/SQRT(2*PI())</f>
        <v>#DIV/0!</v>
      </c>
      <c r="AN520" t="e">
        <f ca="1">EXP(-0.5*Table133[[#This Row],[Put D1]]^2)/SQRT(2*PI())</f>
        <v>#DIV/0!</v>
      </c>
      <c r="AO52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0">
        <f ca="1">((Table133[[#This Row],[call vanna]]+Table133[[#This Row],[put vanna]])*$A$4)</f>
        <v>0</v>
      </c>
      <c r="AR52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0" s="9" t="str" cm="1">
        <f t="array" ref="AT520">_xlfn.IFS(     $M$1="SPX","SPXW",     $M$1="RUT","RUTW",  $M$1="NDX","NDXP",   TRUE,$M$1 )</f>
        <v>SPXW</v>
      </c>
      <c r="AU520" s="2">
        <f t="shared" si="52"/>
        <v>6915</v>
      </c>
      <c r="AV520" t="str">
        <f t="shared" si="53"/>
        <v>000100</v>
      </c>
      <c r="AY52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0">
        <f>((Table133[[#This Row],[High C]]+Table133[[#This Row],[Low C]])/2)*Table133[[#This Row],[gammac]]*Table133[[#This Row],[Volume]]</f>
        <v>0</v>
      </c>
      <c r="BD520">
        <f>((Table133[[#This Row],[High P]]+Table133[[#This Row],[Low P]])/2)*Table133[[#This Row],[gammap]]*Table133[[#This Row],[Volume9]]*-1</f>
        <v>0</v>
      </c>
      <c r="BE520">
        <f>(Table133[[#This Row],[SgammaC]]+Table133[[#This Row],[SgammaP]])*$A$4*-100</f>
        <v>0</v>
      </c>
      <c r="BF520" s="78">
        <f>Table133[[#This Row],[DEXc]]+Table133[[#This Row],[DEXp]]</f>
        <v>0</v>
      </c>
      <c r="BG520">
        <f>IFERROR(Table133[[#This Row],[DeltaC]]*Table133[[#This Row],[Open.Int]]*$A$4,0)</f>
        <v>0</v>
      </c>
      <c r="BH520">
        <f>IFERROR(Table133[[#This Row],[DeltaP]]*Table133[[#This Row],[Open.Int8]]*$A$4,0)</f>
        <v>0</v>
      </c>
      <c r="BI52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0">
        <f ca="1">Table133[[#This Row],[charmc]]+Table133[[#This Row],[charmp]]</f>
        <v>0</v>
      </c>
      <c r="BL52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0" s="78">
        <f ca="1">Table133[[#This Row],[call helper]]+Table133[[#This Row],[put helper]]</f>
        <v>0</v>
      </c>
      <c r="BP520" t="str">
        <f>RTD("tos.rtd", , "STRIKE", "."&amp;Table133[[#This Row],[Ticker]]&amp;Table133[[#This Row],[Expiry]]&amp;""&amp;"C"&amp;Table133[[#This Row],[Spot]]+Table133[[#This Row],[step]])</f>
        <v>N/A</v>
      </c>
    </row>
    <row r="521" spans="1:68" x14ac:dyDescent="0.25">
      <c r="A521" s="14">
        <f t="shared" ca="1" si="49"/>
        <v>-126.14810350076104</v>
      </c>
      <c r="C521" s="17"/>
      <c r="D521" t="str">
        <f>RTD("tos.rtd", , "OPEN_INT", "."&amp;Table133[[#This Row],[Ticker]]&amp;Table133[[#This Row],[Expiry]]&amp;""&amp;"C"&amp;Table133[[#This Row],[Spot]]+Table133[[#This Row],[step]])</f>
        <v>N/A</v>
      </c>
      <c r="E52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1" t="b">
        <f>IF(     ISNUMBER(Table133[[#This Row],[Strike]]),RTD("tos.rtd", , "DELTA", "."&amp;Table133[[#This Row],[Ticker]]&amp;Table133[[#This Row],[Expiry]]&amp;""&amp;"C"&amp;Table133[[#This Row],[Strike]]))</f>
        <v>0</v>
      </c>
      <c r="H521" s="17" cm="1">
        <f t="array" aca="1" ref="H521" ca="1">IndividualLegIVCore($A$4, Table133[[#This Row],[Strike]], 0.0411, Table133[[#This Row],[T]], ((Table133[[#This Row],[BIDC]]+Table133[[#This Row],[ASKC]])/2), TRUE)</f>
        <v>0.01</v>
      </c>
      <c r="I521" t="b">
        <f>IF(     ISNUMBER(Table133[[#This Row],[Strike]]),RTD("tos.rtd", , "BID", "."&amp;Table133[[#This Row],[Ticker]]&amp;Table133[[#This Row],[Expiry]]&amp;""&amp;"C"&amp;Table133[[#This Row],[Strike]]))</f>
        <v>0</v>
      </c>
      <c r="J521" t="b">
        <f>IF(     ISNUMBER(Table133[[#This Row],[Strike]]),RTD("tos.rtd", , "ASK", "."&amp;Table133[[#This Row],[Ticker]]&amp;Table133[[#This Row],[Expiry]]&amp;""&amp;"C"&amp;Table133[[#This Row],[Strike]]))</f>
        <v>0</v>
      </c>
      <c r="K521" s="17"/>
      <c r="M521" s="1">
        <f t="shared" si="50"/>
        <v>0</v>
      </c>
      <c r="N521" t="b">
        <f t="shared" si="51"/>
        <v>0</v>
      </c>
      <c r="P521" s="17" cm="1">
        <f t="array" aca="1" ref="P521" ca="1">IndividualLegIVCore($A$4, Table133[[#This Row],[Strike]], 0.0411, Table133[[#This Row],[T]], ((Table133[[#This Row],[BIDP]]+Table133[[#This Row],[ASKP]])/2), FALSE)</f>
        <v>0.01</v>
      </c>
      <c r="Q521" t="b">
        <f>IF(     ISNUMBER(Table133[[#This Row],[Strike]]),RTD("tos.rtd", , "BID", "."&amp;Table133[[#This Row],[Ticker]]&amp;Table133[[#This Row],[Expiry]]&amp;""&amp;"P"&amp;Table133[[#This Row],[Strike]]))</f>
        <v>0</v>
      </c>
      <c r="R521" t="b">
        <f>IF(     ISNUMBER(Table133[[#This Row],[Strike]]),RTD("tos.rtd", , "ASK", "."&amp;Table133[[#This Row],[Ticker]]&amp;Table133[[#This Row],[Expiry]]&amp;""&amp;"P"&amp;Table133[[#This Row],[Strike]]))</f>
        <v>0</v>
      </c>
      <c r="S521" s="17"/>
      <c r="T521" t="b">
        <f>IF(     ISNUMBER(Table133[[#This Row],[Strike]]),RTD("tos.rtd", , "OPEN_INT", "."&amp;Table133[[#This Row],[Ticker]]&amp;Table133[[#This Row],[Expiry]]&amp;""&amp;"P"&amp;Table133[[#This Row],[Strike]]))</f>
        <v>0</v>
      </c>
      <c r="U52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1" t="b">
        <f>IF(     ISNUMBER(Table133[[#This Row],[Strike]]),RTD("tos.rtd", , "DELTA", "."&amp;Table133[[#This Row],[Ticker]]&amp;Table133[[#This Row],[Expiry]]&amp;""&amp;"P"&amp;Table133[[#This Row],[Strike]]))</f>
        <v>0</v>
      </c>
      <c r="Y521" s="19">
        <f>2.5* IF($M$1="NDX", 10, IF(OR($M$1="SPX", $M$1="RUT"), 2, 1))</f>
        <v>5</v>
      </c>
      <c r="Z521">
        <f ca="1">IFERROR(Table133[[#This Row],[call gamma]]*(Table133[[#This Row],[Open.Int]])*$A$4^2,0)</f>
        <v>0</v>
      </c>
      <c r="AA521">
        <f ca="1">IFERROR(((Table133[[#This Row],[Open.Int8]])*Table133[[#This Row],[Put gamma]])*-1*$A$4^2,0)</f>
        <v>0</v>
      </c>
      <c r="AB521">
        <f ca="1">(Table133[[#This Row],[Call Gex]]+Table133[[#This Row],[Put Gex]])</f>
        <v>0</v>
      </c>
      <c r="AC521">
        <f ca="1">Table133[[#This Row],[put delta adj]]+Table133[[#This Row],[call delta adj]]</f>
        <v>0</v>
      </c>
      <c r="AD521">
        <f ca="1">Table133[[#This Row],[Put Gex]]*Table133[[#This Row],[DeltaP]]*-1</f>
        <v>0</v>
      </c>
      <c r="AE521">
        <f ca="1">Table133[[#This Row],[Call Gex]]*Table133[[#This Row],[DeltaC]]</f>
        <v>0</v>
      </c>
      <c r="AF521">
        <f>IF(Table133[[#This Row],[DeltaC]]-ABS(Table133[[#This Row],[DeltaP]])="0","0.01",Table133[[#This Row],[DeltaC]]-ABS(Table133[[#This Row],[DeltaP]]))</f>
        <v>0</v>
      </c>
      <c r="AG521" t="e">
        <f ca="1">((LN($A$4/Table133[[#This Row],[Strike]]) + (0.411 + 0.5 * Table133[[#This Row],[IV Calc P]]^2) *Table133[[#This Row],[T]])) / (Table133[[#This Row],[IV Calc P]] * SQRT(Table133[[#This Row],[T]]))</f>
        <v>#DIV/0!</v>
      </c>
      <c r="AH521" t="e">
        <f ca="1">(LN($A$4/Table133[[#This Row],[Strike]]) + (0.411-0 + 0.5 * Table133[[#This Row],[IV Calc C]]^2) *Table133[[#This Row],[T]]) / (Table133[[#This Row],[IV Calc C]] * SQRT(Table133[[#This Row],[T]]))</f>
        <v>#DIV/0!</v>
      </c>
      <c r="AI521" t="e">
        <f ca="1">(EXP(-(AG521^2)/2)/SQRT(2*PI())*EXP(0*SQRT(Table133[[#This Row],[T]]))/$A$4*18%*SQRT(SQRT(Table133[[#This Row],[T]])))</f>
        <v>#DIV/0!</v>
      </c>
      <c r="AJ521" t="e">
        <f ca="1">(EXP(-(AH521^2)/2)/SQRT(2*PI())*EXP(0*SQRT(Table133[[#This Row],[T]]))/$A$4*18%*SQRT(SQRT(Table133[[#This Row],[T]])))</f>
        <v>#DIV/0!</v>
      </c>
      <c r="AK521" t="e">
        <f ca="1">Table133[[#This Row],[Call D1]]-Table133[[#This Row],[IV Calc C]]*SQRT(Table133[[#This Row],[T]])</f>
        <v>#DIV/0!</v>
      </c>
      <c r="AL521" t="e">
        <f ca="1">Table133[[#This Row],[Put D1]]-Table133[[#This Row],[IV Calc P]]*SQRT(Table133[[#This Row],[T]])</f>
        <v>#DIV/0!</v>
      </c>
      <c r="AM521" t="e">
        <f ca="1">EXP(-0.5*Table133[[#This Row],[Call D1]]^2)/SQRT(2*PI())</f>
        <v>#DIV/0!</v>
      </c>
      <c r="AN521" t="e">
        <f ca="1">EXP(-0.5*Table133[[#This Row],[Put D1]]^2)/SQRT(2*PI())</f>
        <v>#DIV/0!</v>
      </c>
      <c r="AO52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1">
        <f ca="1">((Table133[[#This Row],[call vanna]]+Table133[[#This Row],[put vanna]])*$A$4)</f>
        <v>0</v>
      </c>
      <c r="AR52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1" s="9" t="str" cm="1">
        <f t="array" ref="AT521">_xlfn.IFS(     $M$1="SPX","SPXW",     $M$1="RUT","RUTW",  $M$1="NDX","NDXP",   TRUE,$M$1 )</f>
        <v>SPXW</v>
      </c>
      <c r="AU521" s="2">
        <f t="shared" si="52"/>
        <v>6915</v>
      </c>
      <c r="AV521" t="str">
        <f t="shared" si="53"/>
        <v>000100</v>
      </c>
      <c r="AY52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1">
        <f>((Table133[[#This Row],[High C]]+Table133[[#This Row],[Low C]])/2)*Table133[[#This Row],[gammac]]*Table133[[#This Row],[Volume]]</f>
        <v>0</v>
      </c>
      <c r="BD521">
        <f>((Table133[[#This Row],[High P]]+Table133[[#This Row],[Low P]])/2)*Table133[[#This Row],[gammap]]*Table133[[#This Row],[Volume9]]*-1</f>
        <v>0</v>
      </c>
      <c r="BE521">
        <f>(Table133[[#This Row],[SgammaC]]+Table133[[#This Row],[SgammaP]])*$A$4*-100</f>
        <v>0</v>
      </c>
      <c r="BF521" s="78">
        <f>Table133[[#This Row],[DEXc]]+Table133[[#This Row],[DEXp]]</f>
        <v>0</v>
      </c>
      <c r="BG521">
        <f>IFERROR(Table133[[#This Row],[DeltaC]]*Table133[[#This Row],[Open.Int]]*$A$4,0)</f>
        <v>0</v>
      </c>
      <c r="BH521">
        <f>IFERROR(Table133[[#This Row],[DeltaP]]*Table133[[#This Row],[Open.Int8]]*$A$4,0)</f>
        <v>0</v>
      </c>
      <c r="BI52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1">
        <f ca="1">Table133[[#This Row],[charmc]]+Table133[[#This Row],[charmp]]</f>
        <v>0</v>
      </c>
      <c r="BL52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1" s="78">
        <f ca="1">Table133[[#This Row],[call helper]]+Table133[[#This Row],[put helper]]</f>
        <v>0</v>
      </c>
      <c r="BP521" t="str">
        <f>RTD("tos.rtd", , "STRIKE", "."&amp;Table133[[#This Row],[Ticker]]&amp;Table133[[#This Row],[Expiry]]&amp;""&amp;"C"&amp;Table133[[#This Row],[Spot]]+Table133[[#This Row],[step]])</f>
        <v>N/A</v>
      </c>
    </row>
    <row r="522" spans="1:68" x14ac:dyDescent="0.25">
      <c r="A522" s="14">
        <f t="shared" ca="1" si="49"/>
        <v>-126.14810350076104</v>
      </c>
      <c r="C522" s="17"/>
      <c r="D522" t="str">
        <f>RTD("tos.rtd", , "OPEN_INT", "."&amp;Table133[[#This Row],[Ticker]]&amp;Table133[[#This Row],[Expiry]]&amp;""&amp;"C"&amp;Table133[[#This Row],[Spot]]+Table133[[#This Row],[step]])</f>
        <v>N/A</v>
      </c>
      <c r="E52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2" t="b">
        <f>IF(     ISNUMBER(Table133[[#This Row],[Strike]]),RTD("tos.rtd", , "DELTA", "."&amp;Table133[[#This Row],[Ticker]]&amp;Table133[[#This Row],[Expiry]]&amp;""&amp;"C"&amp;Table133[[#This Row],[Strike]]))</f>
        <v>0</v>
      </c>
      <c r="H522" s="17" cm="1">
        <f t="array" aca="1" ref="H522" ca="1">IndividualLegIVCore($A$4, Table133[[#This Row],[Strike]], 0.0411, Table133[[#This Row],[T]], ((Table133[[#This Row],[BIDC]]+Table133[[#This Row],[ASKC]])/2), TRUE)</f>
        <v>0.01</v>
      </c>
      <c r="I522" t="b">
        <f>IF(     ISNUMBER(Table133[[#This Row],[Strike]]),RTD("tos.rtd", , "BID", "."&amp;Table133[[#This Row],[Ticker]]&amp;Table133[[#This Row],[Expiry]]&amp;""&amp;"C"&amp;Table133[[#This Row],[Strike]]))</f>
        <v>0</v>
      </c>
      <c r="J522" t="b">
        <f>IF(     ISNUMBER(Table133[[#This Row],[Strike]]),RTD("tos.rtd", , "ASK", "."&amp;Table133[[#This Row],[Ticker]]&amp;Table133[[#This Row],[Expiry]]&amp;""&amp;"C"&amp;Table133[[#This Row],[Strike]]))</f>
        <v>0</v>
      </c>
      <c r="K522" s="17"/>
      <c r="M522" s="1">
        <f t="shared" si="50"/>
        <v>0</v>
      </c>
      <c r="N522" t="b">
        <f t="shared" si="51"/>
        <v>0</v>
      </c>
      <c r="P522" s="17" cm="1">
        <f t="array" aca="1" ref="P522" ca="1">IndividualLegIVCore($A$4, Table133[[#This Row],[Strike]], 0.0411, Table133[[#This Row],[T]], ((Table133[[#This Row],[BIDP]]+Table133[[#This Row],[ASKP]])/2), FALSE)</f>
        <v>0.01</v>
      </c>
      <c r="Q522" t="b">
        <f>IF(     ISNUMBER(Table133[[#This Row],[Strike]]),RTD("tos.rtd", , "BID", "."&amp;Table133[[#This Row],[Ticker]]&amp;Table133[[#This Row],[Expiry]]&amp;""&amp;"P"&amp;Table133[[#This Row],[Strike]]))</f>
        <v>0</v>
      </c>
      <c r="R522" t="b">
        <f>IF(     ISNUMBER(Table133[[#This Row],[Strike]]),RTD("tos.rtd", , "ASK", "."&amp;Table133[[#This Row],[Ticker]]&amp;Table133[[#This Row],[Expiry]]&amp;""&amp;"P"&amp;Table133[[#This Row],[Strike]]))</f>
        <v>0</v>
      </c>
      <c r="S522" s="17"/>
      <c r="T522" t="b">
        <f>IF(     ISNUMBER(Table133[[#This Row],[Strike]]),RTD("tos.rtd", , "OPEN_INT", "."&amp;Table133[[#This Row],[Ticker]]&amp;Table133[[#This Row],[Expiry]]&amp;""&amp;"P"&amp;Table133[[#This Row],[Strike]]))</f>
        <v>0</v>
      </c>
      <c r="U52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2" t="b">
        <f>IF(     ISNUMBER(Table133[[#This Row],[Strike]]),RTD("tos.rtd", , "DELTA", "."&amp;Table133[[#This Row],[Ticker]]&amp;Table133[[#This Row],[Expiry]]&amp;""&amp;"P"&amp;Table133[[#This Row],[Strike]]))</f>
        <v>0</v>
      </c>
      <c r="Y522" s="19">
        <f>3* IF($M$1="NDX", 10, IF(OR($M$1="SPX", $M$1="RUT"), 2, 1))</f>
        <v>6</v>
      </c>
      <c r="Z522">
        <f ca="1">IFERROR(Table133[[#This Row],[call gamma]]*(Table133[[#This Row],[Open.Int]])*$A$4^2,0)</f>
        <v>0</v>
      </c>
      <c r="AA522">
        <f ca="1">IFERROR(((Table133[[#This Row],[Open.Int8]])*Table133[[#This Row],[Put gamma]])*-1*$A$4^2,0)</f>
        <v>0</v>
      </c>
      <c r="AB522">
        <f ca="1">(Table133[[#This Row],[Call Gex]]+Table133[[#This Row],[Put Gex]])</f>
        <v>0</v>
      </c>
      <c r="AC522">
        <f ca="1">Table133[[#This Row],[put delta adj]]+Table133[[#This Row],[call delta adj]]</f>
        <v>0</v>
      </c>
      <c r="AD522">
        <f ca="1">Table133[[#This Row],[Put Gex]]*Table133[[#This Row],[DeltaP]]*-1</f>
        <v>0</v>
      </c>
      <c r="AE522">
        <f ca="1">Table133[[#This Row],[Call Gex]]*Table133[[#This Row],[DeltaC]]</f>
        <v>0</v>
      </c>
      <c r="AF522">
        <f>IF(Table133[[#This Row],[DeltaC]]-ABS(Table133[[#This Row],[DeltaP]])="0","0.01",Table133[[#This Row],[DeltaC]]-ABS(Table133[[#This Row],[DeltaP]]))</f>
        <v>0</v>
      </c>
      <c r="AG522" t="e">
        <f ca="1">((LN($A$4/Table133[[#This Row],[Strike]]) + (0.411 + 0.5 * Table133[[#This Row],[IV Calc P]]^2) *Table133[[#This Row],[T]])) / (Table133[[#This Row],[IV Calc P]] * SQRT(Table133[[#This Row],[T]]))</f>
        <v>#DIV/0!</v>
      </c>
      <c r="AH522" t="e">
        <f ca="1">(LN($A$4/Table133[[#This Row],[Strike]]) + (0.411-0 + 0.5 * Table133[[#This Row],[IV Calc C]]^2) *Table133[[#This Row],[T]]) / (Table133[[#This Row],[IV Calc C]] * SQRT(Table133[[#This Row],[T]]))</f>
        <v>#DIV/0!</v>
      </c>
      <c r="AI522" t="e">
        <f ca="1">(EXP(-(AG522^2)/2)/SQRT(2*PI())*EXP(0*SQRT(Table133[[#This Row],[T]]))/$A$4*18%*SQRT(SQRT(Table133[[#This Row],[T]])))</f>
        <v>#DIV/0!</v>
      </c>
      <c r="AJ522" t="e">
        <f ca="1">(EXP(-(AH522^2)/2)/SQRT(2*PI())*EXP(0*SQRT(Table133[[#This Row],[T]]))/$A$4*18%*SQRT(SQRT(Table133[[#This Row],[T]])))</f>
        <v>#DIV/0!</v>
      </c>
      <c r="AK522" t="e">
        <f ca="1">Table133[[#This Row],[Call D1]]-Table133[[#This Row],[IV Calc C]]*SQRT(Table133[[#This Row],[T]])</f>
        <v>#DIV/0!</v>
      </c>
      <c r="AL522" t="e">
        <f ca="1">Table133[[#This Row],[Put D1]]-Table133[[#This Row],[IV Calc P]]*SQRT(Table133[[#This Row],[T]])</f>
        <v>#DIV/0!</v>
      </c>
      <c r="AM522" t="e">
        <f ca="1">EXP(-0.5*Table133[[#This Row],[Call D1]]^2)/SQRT(2*PI())</f>
        <v>#DIV/0!</v>
      </c>
      <c r="AN522" t="e">
        <f ca="1">EXP(-0.5*Table133[[#This Row],[Put D1]]^2)/SQRT(2*PI())</f>
        <v>#DIV/0!</v>
      </c>
      <c r="AO52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2">
        <f ca="1">((Table133[[#This Row],[call vanna]]+Table133[[#This Row],[put vanna]])*$A$4)</f>
        <v>0</v>
      </c>
      <c r="AR52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2" s="9" t="str" cm="1">
        <f t="array" ref="AT522">_xlfn.IFS(     $M$1="SPX","SPXW",     $M$1="RUT","RUTW",  $M$1="NDX","NDXP",   TRUE,$M$1 )</f>
        <v>SPXW</v>
      </c>
      <c r="AU522" s="2">
        <f t="shared" si="52"/>
        <v>6915</v>
      </c>
      <c r="AV522" t="str">
        <f t="shared" si="53"/>
        <v>000100</v>
      </c>
      <c r="AY52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2">
        <f>((Table133[[#This Row],[High C]]+Table133[[#This Row],[Low C]])/2)*Table133[[#This Row],[gammac]]*Table133[[#This Row],[Volume]]</f>
        <v>0</v>
      </c>
      <c r="BD522">
        <f>((Table133[[#This Row],[High P]]+Table133[[#This Row],[Low P]])/2)*Table133[[#This Row],[gammap]]*Table133[[#This Row],[Volume9]]*-1</f>
        <v>0</v>
      </c>
      <c r="BE522">
        <f>(Table133[[#This Row],[SgammaC]]+Table133[[#This Row],[SgammaP]])*$A$4*-100</f>
        <v>0</v>
      </c>
      <c r="BF522" s="78">
        <f>Table133[[#This Row],[DEXc]]+Table133[[#This Row],[DEXp]]</f>
        <v>0</v>
      </c>
      <c r="BG522">
        <f>IFERROR(Table133[[#This Row],[DeltaC]]*Table133[[#This Row],[Open.Int]]*$A$4,0)</f>
        <v>0</v>
      </c>
      <c r="BH522">
        <f>IFERROR(Table133[[#This Row],[DeltaP]]*Table133[[#This Row],[Open.Int8]]*$A$4,0)</f>
        <v>0</v>
      </c>
      <c r="BI52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2">
        <f ca="1">Table133[[#This Row],[charmc]]+Table133[[#This Row],[charmp]]</f>
        <v>0</v>
      </c>
      <c r="BL52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2" s="78">
        <f ca="1">Table133[[#This Row],[call helper]]+Table133[[#This Row],[put helper]]</f>
        <v>0</v>
      </c>
      <c r="BP522" t="str">
        <f>RTD("tos.rtd", , "STRIKE", "."&amp;Table133[[#This Row],[Ticker]]&amp;Table133[[#This Row],[Expiry]]&amp;""&amp;"C"&amp;Table133[[#This Row],[Spot]]+Table133[[#This Row],[step]])</f>
        <v>N/A</v>
      </c>
    </row>
    <row r="523" spans="1:68" x14ac:dyDescent="0.25">
      <c r="A523" s="14">
        <f t="shared" ca="1" si="49"/>
        <v>-126.14810350076104</v>
      </c>
      <c r="C523" s="17"/>
      <c r="D523" t="str">
        <f>RTD("tos.rtd", , "OPEN_INT", "."&amp;Table133[[#This Row],[Ticker]]&amp;Table133[[#This Row],[Expiry]]&amp;""&amp;"C"&amp;Table133[[#This Row],[Spot]]+Table133[[#This Row],[step]])</f>
        <v>N/A</v>
      </c>
      <c r="E52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3" t="b">
        <f>IF(     ISNUMBER(Table133[[#This Row],[Strike]]),RTD("tos.rtd", , "DELTA", "."&amp;Table133[[#This Row],[Ticker]]&amp;Table133[[#This Row],[Expiry]]&amp;""&amp;"C"&amp;Table133[[#This Row],[Strike]]))</f>
        <v>0</v>
      </c>
      <c r="H523" s="17" cm="1">
        <f t="array" aca="1" ref="H523" ca="1">IndividualLegIVCore($A$4, Table133[[#This Row],[Strike]], 0.0411, Table133[[#This Row],[T]], ((Table133[[#This Row],[BIDC]]+Table133[[#This Row],[ASKC]])/2), TRUE)</f>
        <v>0.01</v>
      </c>
      <c r="I523" t="b">
        <f>IF(     ISNUMBER(Table133[[#This Row],[Strike]]),RTD("tos.rtd", , "BID", "."&amp;Table133[[#This Row],[Ticker]]&amp;Table133[[#This Row],[Expiry]]&amp;""&amp;"C"&amp;Table133[[#This Row],[Strike]]))</f>
        <v>0</v>
      </c>
      <c r="J523" t="b">
        <f>IF(     ISNUMBER(Table133[[#This Row],[Strike]]),RTD("tos.rtd", , "ASK", "."&amp;Table133[[#This Row],[Ticker]]&amp;Table133[[#This Row],[Expiry]]&amp;""&amp;"C"&amp;Table133[[#This Row],[Strike]]))</f>
        <v>0</v>
      </c>
      <c r="K523" s="17"/>
      <c r="M523" s="1">
        <f t="shared" si="50"/>
        <v>0</v>
      </c>
      <c r="N523" t="b">
        <f t="shared" si="51"/>
        <v>0</v>
      </c>
      <c r="P523" s="17" cm="1">
        <f t="array" aca="1" ref="P523" ca="1">IndividualLegIVCore($A$4, Table133[[#This Row],[Strike]], 0.0411, Table133[[#This Row],[T]], ((Table133[[#This Row],[BIDP]]+Table133[[#This Row],[ASKP]])/2), FALSE)</f>
        <v>0.01</v>
      </c>
      <c r="Q523" t="b">
        <f>IF(     ISNUMBER(Table133[[#This Row],[Strike]]),RTD("tos.rtd", , "BID", "."&amp;Table133[[#This Row],[Ticker]]&amp;Table133[[#This Row],[Expiry]]&amp;""&amp;"P"&amp;Table133[[#This Row],[Strike]]))</f>
        <v>0</v>
      </c>
      <c r="R523" t="b">
        <f>IF(     ISNUMBER(Table133[[#This Row],[Strike]]),RTD("tos.rtd", , "ASK", "."&amp;Table133[[#This Row],[Ticker]]&amp;Table133[[#This Row],[Expiry]]&amp;""&amp;"P"&amp;Table133[[#This Row],[Strike]]))</f>
        <v>0</v>
      </c>
      <c r="S523" s="17"/>
      <c r="T523" t="b">
        <f>IF(     ISNUMBER(Table133[[#This Row],[Strike]]),RTD("tos.rtd", , "OPEN_INT", "."&amp;Table133[[#This Row],[Ticker]]&amp;Table133[[#This Row],[Expiry]]&amp;""&amp;"P"&amp;Table133[[#This Row],[Strike]]))</f>
        <v>0</v>
      </c>
      <c r="U52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3" t="b">
        <f>IF(     ISNUMBER(Table133[[#This Row],[Strike]]),RTD("tos.rtd", , "DELTA", "."&amp;Table133[[#This Row],[Ticker]]&amp;Table133[[#This Row],[Expiry]]&amp;""&amp;"P"&amp;Table133[[#This Row],[Strike]]))</f>
        <v>0</v>
      </c>
      <c r="Y523" s="19">
        <f>3.5* IF($M$1="NDX", 10, IF(OR($M$1="SPX", $M$1="RUT"), 2, 1))</f>
        <v>7</v>
      </c>
      <c r="Z523">
        <f ca="1">IFERROR(Table133[[#This Row],[call gamma]]*(Table133[[#This Row],[Open.Int]])*$A$4^2,0)</f>
        <v>0</v>
      </c>
      <c r="AA523">
        <f ca="1">IFERROR(((Table133[[#This Row],[Open.Int8]])*Table133[[#This Row],[Put gamma]])*-1*$A$4^2,0)</f>
        <v>0</v>
      </c>
      <c r="AB523">
        <f ca="1">(Table133[[#This Row],[Call Gex]]+Table133[[#This Row],[Put Gex]])</f>
        <v>0</v>
      </c>
      <c r="AC523">
        <f ca="1">Table133[[#This Row],[put delta adj]]+Table133[[#This Row],[call delta adj]]</f>
        <v>0</v>
      </c>
      <c r="AD523">
        <f ca="1">Table133[[#This Row],[Put Gex]]*Table133[[#This Row],[DeltaP]]*-1</f>
        <v>0</v>
      </c>
      <c r="AE523">
        <f ca="1">Table133[[#This Row],[Call Gex]]*Table133[[#This Row],[DeltaC]]</f>
        <v>0</v>
      </c>
      <c r="AF523">
        <f>IF(Table133[[#This Row],[DeltaC]]-ABS(Table133[[#This Row],[DeltaP]])="0","0.01",Table133[[#This Row],[DeltaC]]-ABS(Table133[[#This Row],[DeltaP]]))</f>
        <v>0</v>
      </c>
      <c r="AG523" t="e">
        <f ca="1">((LN($A$4/Table133[[#This Row],[Strike]]) + (0.411 + 0.5 * Table133[[#This Row],[IV Calc P]]^2) *Table133[[#This Row],[T]])) / (Table133[[#This Row],[IV Calc P]] * SQRT(Table133[[#This Row],[T]]))</f>
        <v>#DIV/0!</v>
      </c>
      <c r="AH523" t="e">
        <f ca="1">(LN($A$4/Table133[[#This Row],[Strike]]) + (0.411-0 + 0.5 * Table133[[#This Row],[IV Calc C]]^2) *Table133[[#This Row],[T]]) / (Table133[[#This Row],[IV Calc C]] * SQRT(Table133[[#This Row],[T]]))</f>
        <v>#DIV/0!</v>
      </c>
      <c r="AI523" t="e">
        <f ca="1">(EXP(-(AG523^2)/2)/SQRT(2*PI())*EXP(0*SQRT(Table133[[#This Row],[T]]))/$A$4*18%*SQRT(SQRT(Table133[[#This Row],[T]])))</f>
        <v>#DIV/0!</v>
      </c>
      <c r="AJ523" t="e">
        <f ca="1">(EXP(-(AH523^2)/2)/SQRT(2*PI())*EXP(0*SQRT(Table133[[#This Row],[T]]))/$A$4*18%*SQRT(SQRT(Table133[[#This Row],[T]])))</f>
        <v>#DIV/0!</v>
      </c>
      <c r="AK523" t="e">
        <f ca="1">Table133[[#This Row],[Call D1]]-Table133[[#This Row],[IV Calc C]]*SQRT(Table133[[#This Row],[T]])</f>
        <v>#DIV/0!</v>
      </c>
      <c r="AL523" t="e">
        <f ca="1">Table133[[#This Row],[Put D1]]-Table133[[#This Row],[IV Calc P]]*SQRT(Table133[[#This Row],[T]])</f>
        <v>#DIV/0!</v>
      </c>
      <c r="AM523" t="e">
        <f ca="1">EXP(-0.5*Table133[[#This Row],[Call D1]]^2)/SQRT(2*PI())</f>
        <v>#DIV/0!</v>
      </c>
      <c r="AN523" t="e">
        <f ca="1">EXP(-0.5*Table133[[#This Row],[Put D1]]^2)/SQRT(2*PI())</f>
        <v>#DIV/0!</v>
      </c>
      <c r="AO52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3">
        <f ca="1">((Table133[[#This Row],[call vanna]]+Table133[[#This Row],[put vanna]])*$A$4)</f>
        <v>0</v>
      </c>
      <c r="AR52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3" s="9" t="str" cm="1">
        <f t="array" ref="AT523">_xlfn.IFS(     $M$1="SPX","SPXW",     $M$1="RUT","RUTW",  $M$1="NDX","NDXP",   TRUE,$M$1 )</f>
        <v>SPXW</v>
      </c>
      <c r="AU523" s="2">
        <f t="shared" si="52"/>
        <v>6915</v>
      </c>
      <c r="AV523" t="str">
        <f t="shared" si="53"/>
        <v>000100</v>
      </c>
      <c r="AY52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3">
        <f>((Table133[[#This Row],[High C]]+Table133[[#This Row],[Low C]])/2)*Table133[[#This Row],[gammac]]*Table133[[#This Row],[Volume]]</f>
        <v>0</v>
      </c>
      <c r="BD523">
        <f>((Table133[[#This Row],[High P]]+Table133[[#This Row],[Low P]])/2)*Table133[[#This Row],[gammap]]*Table133[[#This Row],[Volume9]]*-1</f>
        <v>0</v>
      </c>
      <c r="BE523">
        <f>(Table133[[#This Row],[SgammaC]]+Table133[[#This Row],[SgammaP]])*$A$4*-100</f>
        <v>0</v>
      </c>
      <c r="BF523" s="78">
        <f>Table133[[#This Row],[DEXc]]+Table133[[#This Row],[DEXp]]</f>
        <v>0</v>
      </c>
      <c r="BG523">
        <f>IFERROR(Table133[[#This Row],[DeltaC]]*Table133[[#This Row],[Open.Int]]*$A$4,0)</f>
        <v>0</v>
      </c>
      <c r="BH523">
        <f>IFERROR(Table133[[#This Row],[DeltaP]]*Table133[[#This Row],[Open.Int8]]*$A$4,0)</f>
        <v>0</v>
      </c>
      <c r="BI52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3">
        <f ca="1">Table133[[#This Row],[charmc]]+Table133[[#This Row],[charmp]]</f>
        <v>0</v>
      </c>
      <c r="BL52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3" s="78">
        <f ca="1">Table133[[#This Row],[call helper]]+Table133[[#This Row],[put helper]]</f>
        <v>0</v>
      </c>
      <c r="BP523" t="str">
        <f>RTD("tos.rtd", , "STRIKE", "."&amp;Table133[[#This Row],[Ticker]]&amp;Table133[[#This Row],[Expiry]]&amp;""&amp;"C"&amp;Table133[[#This Row],[Spot]]+Table133[[#This Row],[step]])</f>
        <v>N/A</v>
      </c>
    </row>
    <row r="524" spans="1:68" x14ac:dyDescent="0.25">
      <c r="A524" s="14">
        <f t="shared" ca="1" si="49"/>
        <v>-126.14810350076104</v>
      </c>
      <c r="C524" s="17"/>
      <c r="D524" t="str">
        <f>RTD("tos.rtd", , "OPEN_INT", "."&amp;Table133[[#This Row],[Ticker]]&amp;Table133[[#This Row],[Expiry]]&amp;""&amp;"C"&amp;Table133[[#This Row],[Spot]]+Table133[[#This Row],[step]])</f>
        <v>N/A</v>
      </c>
      <c r="E52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4" t="b">
        <f>IF(     ISNUMBER(Table133[[#This Row],[Strike]]),RTD("tos.rtd", , "DELTA", "."&amp;Table133[[#This Row],[Ticker]]&amp;Table133[[#This Row],[Expiry]]&amp;""&amp;"C"&amp;Table133[[#This Row],[Strike]]))</f>
        <v>0</v>
      </c>
      <c r="H524" s="17" cm="1">
        <f t="array" aca="1" ref="H524" ca="1">IndividualLegIVCore($A$4, Table133[[#This Row],[Strike]], 0.0411, Table133[[#This Row],[T]], ((Table133[[#This Row],[BIDC]]+Table133[[#This Row],[ASKC]])/2), TRUE)</f>
        <v>0.01</v>
      </c>
      <c r="I524" t="b">
        <f>IF(     ISNUMBER(Table133[[#This Row],[Strike]]),RTD("tos.rtd", , "BID", "."&amp;Table133[[#This Row],[Ticker]]&amp;Table133[[#This Row],[Expiry]]&amp;""&amp;"C"&amp;Table133[[#This Row],[Strike]]))</f>
        <v>0</v>
      </c>
      <c r="J524" t="b">
        <f>IF(     ISNUMBER(Table133[[#This Row],[Strike]]),RTD("tos.rtd", , "ASK", "."&amp;Table133[[#This Row],[Ticker]]&amp;Table133[[#This Row],[Expiry]]&amp;""&amp;"C"&amp;Table133[[#This Row],[Strike]]))</f>
        <v>0</v>
      </c>
      <c r="K524" s="17"/>
      <c r="M524" s="1">
        <f t="shared" si="50"/>
        <v>0</v>
      </c>
      <c r="N524" t="b">
        <f t="shared" si="51"/>
        <v>0</v>
      </c>
      <c r="P524" s="17" cm="1">
        <f t="array" aca="1" ref="P524" ca="1">IndividualLegIVCore($A$4, Table133[[#This Row],[Strike]], 0.0411, Table133[[#This Row],[T]], ((Table133[[#This Row],[BIDP]]+Table133[[#This Row],[ASKP]])/2), FALSE)</f>
        <v>0.01</v>
      </c>
      <c r="Q524" t="b">
        <f>IF(     ISNUMBER(Table133[[#This Row],[Strike]]),RTD("tos.rtd", , "BID", "."&amp;Table133[[#This Row],[Ticker]]&amp;Table133[[#This Row],[Expiry]]&amp;""&amp;"P"&amp;Table133[[#This Row],[Strike]]))</f>
        <v>0</v>
      </c>
      <c r="R524" t="b">
        <f>IF(     ISNUMBER(Table133[[#This Row],[Strike]]),RTD("tos.rtd", , "ASK", "."&amp;Table133[[#This Row],[Ticker]]&amp;Table133[[#This Row],[Expiry]]&amp;""&amp;"P"&amp;Table133[[#This Row],[Strike]]))</f>
        <v>0</v>
      </c>
      <c r="S524" s="17"/>
      <c r="T524" t="b">
        <f>IF(     ISNUMBER(Table133[[#This Row],[Strike]]),RTD("tos.rtd", , "OPEN_INT", "."&amp;Table133[[#This Row],[Ticker]]&amp;Table133[[#This Row],[Expiry]]&amp;""&amp;"P"&amp;Table133[[#This Row],[Strike]]))</f>
        <v>0</v>
      </c>
      <c r="U52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4" t="b">
        <f>IF(     ISNUMBER(Table133[[#This Row],[Strike]]),RTD("tos.rtd", , "DELTA", "."&amp;Table133[[#This Row],[Ticker]]&amp;Table133[[#This Row],[Expiry]]&amp;""&amp;"P"&amp;Table133[[#This Row],[Strike]]))</f>
        <v>0</v>
      </c>
      <c r="Y524" s="19">
        <f>4* IF($M$1="NDX", 10, IF(OR($M$1="SPX", $M$1="RUT"), 2, 1))</f>
        <v>8</v>
      </c>
      <c r="Z524">
        <f ca="1">IFERROR(Table133[[#This Row],[call gamma]]*(Table133[[#This Row],[Open.Int]])*$A$4^2,0)</f>
        <v>0</v>
      </c>
      <c r="AA524">
        <f ca="1">IFERROR(((Table133[[#This Row],[Open.Int8]])*Table133[[#This Row],[Put gamma]])*-1*$A$4^2,0)</f>
        <v>0</v>
      </c>
      <c r="AB524">
        <f ca="1">(Table133[[#This Row],[Call Gex]]+Table133[[#This Row],[Put Gex]])</f>
        <v>0</v>
      </c>
      <c r="AC524">
        <f ca="1">Table133[[#This Row],[put delta adj]]+Table133[[#This Row],[call delta adj]]</f>
        <v>0</v>
      </c>
      <c r="AD524">
        <f ca="1">Table133[[#This Row],[Put Gex]]*Table133[[#This Row],[DeltaP]]*-1</f>
        <v>0</v>
      </c>
      <c r="AE524">
        <f ca="1">Table133[[#This Row],[Call Gex]]*Table133[[#This Row],[DeltaC]]</f>
        <v>0</v>
      </c>
      <c r="AF524">
        <f>IF(Table133[[#This Row],[DeltaC]]-ABS(Table133[[#This Row],[DeltaP]])="0","0.01",Table133[[#This Row],[DeltaC]]-ABS(Table133[[#This Row],[DeltaP]]))</f>
        <v>0</v>
      </c>
      <c r="AG524" t="e">
        <f ca="1">((LN($A$4/Table133[[#This Row],[Strike]]) + (0.411 + 0.5 * Table133[[#This Row],[IV Calc P]]^2) *Table133[[#This Row],[T]])) / (Table133[[#This Row],[IV Calc P]] * SQRT(Table133[[#This Row],[T]]))</f>
        <v>#DIV/0!</v>
      </c>
      <c r="AH524" t="e">
        <f ca="1">(LN($A$4/Table133[[#This Row],[Strike]]) + (0.411-0 + 0.5 * Table133[[#This Row],[IV Calc C]]^2) *Table133[[#This Row],[T]]) / (Table133[[#This Row],[IV Calc C]] * SQRT(Table133[[#This Row],[T]]))</f>
        <v>#DIV/0!</v>
      </c>
      <c r="AI524" t="e">
        <f ca="1">(EXP(-(AG524^2)/2)/SQRT(2*PI())*EXP(0*SQRT(Table133[[#This Row],[T]]))/$A$4*18%*SQRT(SQRT(Table133[[#This Row],[T]])))</f>
        <v>#DIV/0!</v>
      </c>
      <c r="AJ524" t="e">
        <f ca="1">(EXP(-(AH524^2)/2)/SQRT(2*PI())*EXP(0*SQRT(Table133[[#This Row],[T]]))/$A$4*18%*SQRT(SQRT(Table133[[#This Row],[T]])))</f>
        <v>#DIV/0!</v>
      </c>
      <c r="AK524" t="e">
        <f ca="1">Table133[[#This Row],[Call D1]]-Table133[[#This Row],[IV Calc C]]*SQRT(Table133[[#This Row],[T]])</f>
        <v>#DIV/0!</v>
      </c>
      <c r="AL524" t="e">
        <f ca="1">Table133[[#This Row],[Put D1]]-Table133[[#This Row],[IV Calc P]]*SQRT(Table133[[#This Row],[T]])</f>
        <v>#DIV/0!</v>
      </c>
      <c r="AM524" t="e">
        <f ca="1">EXP(-0.5*Table133[[#This Row],[Call D1]]^2)/SQRT(2*PI())</f>
        <v>#DIV/0!</v>
      </c>
      <c r="AN524" t="e">
        <f ca="1">EXP(-0.5*Table133[[#This Row],[Put D1]]^2)/SQRT(2*PI())</f>
        <v>#DIV/0!</v>
      </c>
      <c r="AO52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4">
        <f ca="1">((Table133[[#This Row],[call vanna]]+Table133[[#This Row],[put vanna]])*$A$4)</f>
        <v>0</v>
      </c>
      <c r="AR52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4" s="9" t="str" cm="1">
        <f t="array" ref="AT524">_xlfn.IFS(     $M$1="SPX","SPXW",     $M$1="RUT","RUTW",  $M$1="NDX","NDXP",   TRUE,$M$1 )</f>
        <v>SPXW</v>
      </c>
      <c r="AU524" s="2">
        <f t="shared" si="52"/>
        <v>6915</v>
      </c>
      <c r="AV524" t="str">
        <f t="shared" si="53"/>
        <v>000100</v>
      </c>
      <c r="AY52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4">
        <f>((Table133[[#This Row],[High C]]+Table133[[#This Row],[Low C]])/2)*Table133[[#This Row],[gammac]]*Table133[[#This Row],[Volume]]</f>
        <v>0</v>
      </c>
      <c r="BD524">
        <f>((Table133[[#This Row],[High P]]+Table133[[#This Row],[Low P]])/2)*Table133[[#This Row],[gammap]]*Table133[[#This Row],[Volume9]]*-1</f>
        <v>0</v>
      </c>
      <c r="BE524">
        <f>(Table133[[#This Row],[SgammaC]]+Table133[[#This Row],[SgammaP]])*$A$4*-100</f>
        <v>0</v>
      </c>
      <c r="BF524" s="78">
        <f>Table133[[#This Row],[DEXc]]+Table133[[#This Row],[DEXp]]</f>
        <v>0</v>
      </c>
      <c r="BG524">
        <f>IFERROR(Table133[[#This Row],[DeltaC]]*Table133[[#This Row],[Open.Int]]*$A$4,0)</f>
        <v>0</v>
      </c>
      <c r="BH524">
        <f>IFERROR(Table133[[#This Row],[DeltaP]]*Table133[[#This Row],[Open.Int8]]*$A$4,0)</f>
        <v>0</v>
      </c>
      <c r="BI52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4">
        <f ca="1">Table133[[#This Row],[charmc]]+Table133[[#This Row],[charmp]]</f>
        <v>0</v>
      </c>
      <c r="BL52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4" s="78">
        <f ca="1">Table133[[#This Row],[call helper]]+Table133[[#This Row],[put helper]]</f>
        <v>0</v>
      </c>
      <c r="BP524" t="str">
        <f>RTD("tos.rtd", , "STRIKE", "."&amp;Table133[[#This Row],[Ticker]]&amp;Table133[[#This Row],[Expiry]]&amp;""&amp;"C"&amp;Table133[[#This Row],[Spot]]+Table133[[#This Row],[step]])</f>
        <v>N/A</v>
      </c>
    </row>
    <row r="525" spans="1:68" x14ac:dyDescent="0.25">
      <c r="A525" s="14">
        <f t="shared" ca="1" si="49"/>
        <v>-126.14810350076104</v>
      </c>
      <c r="C525" s="17"/>
      <c r="D525" t="str">
        <f>RTD("tos.rtd", , "OPEN_INT", "."&amp;Table133[[#This Row],[Ticker]]&amp;Table133[[#This Row],[Expiry]]&amp;""&amp;"C"&amp;Table133[[#This Row],[Spot]]+Table133[[#This Row],[step]])</f>
        <v>N/A</v>
      </c>
      <c r="E52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5" t="b">
        <f>IF(     ISNUMBER(Table133[[#This Row],[Strike]]),RTD("tos.rtd", , "DELTA", "."&amp;Table133[[#This Row],[Ticker]]&amp;Table133[[#This Row],[Expiry]]&amp;""&amp;"C"&amp;Table133[[#This Row],[Strike]]))</f>
        <v>0</v>
      </c>
      <c r="H525" s="17" cm="1">
        <f t="array" aca="1" ref="H525" ca="1">IndividualLegIVCore($A$4, Table133[[#This Row],[Strike]], 0.0411, Table133[[#This Row],[T]], ((Table133[[#This Row],[BIDC]]+Table133[[#This Row],[ASKC]])/2), TRUE)</f>
        <v>0.01</v>
      </c>
      <c r="I525" t="b">
        <f>IF(     ISNUMBER(Table133[[#This Row],[Strike]]),RTD("tos.rtd", , "BID", "."&amp;Table133[[#This Row],[Ticker]]&amp;Table133[[#This Row],[Expiry]]&amp;""&amp;"C"&amp;Table133[[#This Row],[Strike]]))</f>
        <v>0</v>
      </c>
      <c r="J525" t="b">
        <f>IF(     ISNUMBER(Table133[[#This Row],[Strike]]),RTD("tos.rtd", , "ASK", "."&amp;Table133[[#This Row],[Ticker]]&amp;Table133[[#This Row],[Expiry]]&amp;""&amp;"C"&amp;Table133[[#This Row],[Strike]]))</f>
        <v>0</v>
      </c>
      <c r="K525" s="17"/>
      <c r="M525" s="1">
        <f t="shared" si="50"/>
        <v>0</v>
      </c>
      <c r="N525" t="b">
        <f t="shared" si="51"/>
        <v>0</v>
      </c>
      <c r="P525" s="17" cm="1">
        <f t="array" aca="1" ref="P525" ca="1">IndividualLegIVCore($A$4, Table133[[#This Row],[Strike]], 0.0411, Table133[[#This Row],[T]], ((Table133[[#This Row],[BIDP]]+Table133[[#This Row],[ASKP]])/2), FALSE)</f>
        <v>0.01</v>
      </c>
      <c r="Q525" t="b">
        <f>IF(     ISNUMBER(Table133[[#This Row],[Strike]]),RTD("tos.rtd", , "BID", "."&amp;Table133[[#This Row],[Ticker]]&amp;Table133[[#This Row],[Expiry]]&amp;""&amp;"P"&amp;Table133[[#This Row],[Strike]]))</f>
        <v>0</v>
      </c>
      <c r="R525" t="b">
        <f>IF(     ISNUMBER(Table133[[#This Row],[Strike]]),RTD("tos.rtd", , "ASK", "."&amp;Table133[[#This Row],[Ticker]]&amp;Table133[[#This Row],[Expiry]]&amp;""&amp;"P"&amp;Table133[[#This Row],[Strike]]))</f>
        <v>0</v>
      </c>
      <c r="S525" s="17"/>
      <c r="T525" t="b">
        <f>IF(     ISNUMBER(Table133[[#This Row],[Strike]]),RTD("tos.rtd", , "OPEN_INT", "."&amp;Table133[[#This Row],[Ticker]]&amp;Table133[[#This Row],[Expiry]]&amp;""&amp;"P"&amp;Table133[[#This Row],[Strike]]))</f>
        <v>0</v>
      </c>
      <c r="U52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5" t="b">
        <f>IF(     ISNUMBER(Table133[[#This Row],[Strike]]),RTD("tos.rtd", , "DELTA", "."&amp;Table133[[#This Row],[Ticker]]&amp;Table133[[#This Row],[Expiry]]&amp;""&amp;"P"&amp;Table133[[#This Row],[Strike]]))</f>
        <v>0</v>
      </c>
      <c r="Y525" s="19">
        <f>4.5* IF($M$1="NDX", 10, IF(OR($M$1="SPX", $M$1="RUT"), 2, 1))</f>
        <v>9</v>
      </c>
      <c r="Z525">
        <f ca="1">IFERROR(Table133[[#This Row],[call gamma]]*(Table133[[#This Row],[Open.Int]])*$A$4^2,0)</f>
        <v>0</v>
      </c>
      <c r="AA525">
        <f ca="1">IFERROR(((Table133[[#This Row],[Open.Int8]])*Table133[[#This Row],[Put gamma]])*-1*$A$4^2,0)</f>
        <v>0</v>
      </c>
      <c r="AB525">
        <f ca="1">(Table133[[#This Row],[Call Gex]]+Table133[[#This Row],[Put Gex]])</f>
        <v>0</v>
      </c>
      <c r="AC525">
        <f ca="1">Table133[[#This Row],[put delta adj]]+Table133[[#This Row],[call delta adj]]</f>
        <v>0</v>
      </c>
      <c r="AD525">
        <f ca="1">Table133[[#This Row],[Put Gex]]*Table133[[#This Row],[DeltaP]]*-1</f>
        <v>0</v>
      </c>
      <c r="AE525">
        <f ca="1">Table133[[#This Row],[Call Gex]]*Table133[[#This Row],[DeltaC]]</f>
        <v>0</v>
      </c>
      <c r="AF525">
        <f>IF(Table133[[#This Row],[DeltaC]]-ABS(Table133[[#This Row],[DeltaP]])="0","0.01",Table133[[#This Row],[DeltaC]]-ABS(Table133[[#This Row],[DeltaP]]))</f>
        <v>0</v>
      </c>
      <c r="AG525" t="e">
        <f ca="1">((LN($A$4/Table133[[#This Row],[Strike]]) + (0.411 + 0.5 * Table133[[#This Row],[IV Calc P]]^2) *Table133[[#This Row],[T]])) / (Table133[[#This Row],[IV Calc P]] * SQRT(Table133[[#This Row],[T]]))</f>
        <v>#DIV/0!</v>
      </c>
      <c r="AH525" t="e">
        <f ca="1">(LN($A$4/Table133[[#This Row],[Strike]]) + (0.411-0 + 0.5 * Table133[[#This Row],[IV Calc C]]^2) *Table133[[#This Row],[T]]) / (Table133[[#This Row],[IV Calc C]] * SQRT(Table133[[#This Row],[T]]))</f>
        <v>#DIV/0!</v>
      </c>
      <c r="AI525" t="e">
        <f ca="1">(EXP(-(AG525^2)/2)/SQRT(2*PI())*EXP(0*SQRT(Table133[[#This Row],[T]]))/$A$4*18%*SQRT(SQRT(Table133[[#This Row],[T]])))</f>
        <v>#DIV/0!</v>
      </c>
      <c r="AJ525" t="e">
        <f ca="1">(EXP(-(AH525^2)/2)/SQRT(2*PI())*EXP(0*SQRT(Table133[[#This Row],[T]]))/$A$4*18%*SQRT(SQRT(Table133[[#This Row],[T]])))</f>
        <v>#DIV/0!</v>
      </c>
      <c r="AK525" t="e">
        <f ca="1">Table133[[#This Row],[Call D1]]-Table133[[#This Row],[IV Calc C]]*SQRT(Table133[[#This Row],[T]])</f>
        <v>#DIV/0!</v>
      </c>
      <c r="AL525" t="e">
        <f ca="1">Table133[[#This Row],[Put D1]]-Table133[[#This Row],[IV Calc P]]*SQRT(Table133[[#This Row],[T]])</f>
        <v>#DIV/0!</v>
      </c>
      <c r="AM525" t="e">
        <f ca="1">EXP(-0.5*Table133[[#This Row],[Call D1]]^2)/SQRT(2*PI())</f>
        <v>#DIV/0!</v>
      </c>
      <c r="AN525" t="e">
        <f ca="1">EXP(-0.5*Table133[[#This Row],[Put D1]]^2)/SQRT(2*PI())</f>
        <v>#DIV/0!</v>
      </c>
      <c r="AO52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5">
        <f ca="1">((Table133[[#This Row],[call vanna]]+Table133[[#This Row],[put vanna]])*$A$4)</f>
        <v>0</v>
      </c>
      <c r="AR52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5" s="9" t="str" cm="1">
        <f t="array" ref="AT525">_xlfn.IFS(     $M$1="SPX","SPXW",     $M$1="RUT","RUTW",  $M$1="NDX","NDXP",   TRUE,$M$1 )</f>
        <v>SPXW</v>
      </c>
      <c r="AU525" s="2">
        <f t="shared" si="52"/>
        <v>6915</v>
      </c>
      <c r="AV525" t="str">
        <f t="shared" si="53"/>
        <v>000100</v>
      </c>
      <c r="AY52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5">
        <f>((Table133[[#This Row],[High C]]+Table133[[#This Row],[Low C]])/2)*Table133[[#This Row],[gammac]]*Table133[[#This Row],[Volume]]</f>
        <v>0</v>
      </c>
      <c r="BD525">
        <f>((Table133[[#This Row],[High P]]+Table133[[#This Row],[Low P]])/2)*Table133[[#This Row],[gammap]]*Table133[[#This Row],[Volume9]]*-1</f>
        <v>0</v>
      </c>
      <c r="BE525">
        <f>(Table133[[#This Row],[SgammaC]]+Table133[[#This Row],[SgammaP]])*$A$4*-100</f>
        <v>0</v>
      </c>
      <c r="BF525" s="78">
        <f>Table133[[#This Row],[DEXc]]+Table133[[#This Row],[DEXp]]</f>
        <v>0</v>
      </c>
      <c r="BG525">
        <f>IFERROR(Table133[[#This Row],[DeltaC]]*Table133[[#This Row],[Open.Int]]*$A$4,0)</f>
        <v>0</v>
      </c>
      <c r="BH525">
        <f>IFERROR(Table133[[#This Row],[DeltaP]]*Table133[[#This Row],[Open.Int8]]*$A$4,0)</f>
        <v>0</v>
      </c>
      <c r="BI52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5">
        <f ca="1">Table133[[#This Row],[charmc]]+Table133[[#This Row],[charmp]]</f>
        <v>0</v>
      </c>
      <c r="BL52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5" s="78">
        <f ca="1">Table133[[#This Row],[call helper]]+Table133[[#This Row],[put helper]]</f>
        <v>0</v>
      </c>
      <c r="BP525" t="str">
        <f>RTD("tos.rtd", , "STRIKE", "."&amp;Table133[[#This Row],[Ticker]]&amp;Table133[[#This Row],[Expiry]]&amp;""&amp;"C"&amp;Table133[[#This Row],[Spot]]+Table133[[#This Row],[step]])</f>
        <v>N/A</v>
      </c>
    </row>
    <row r="526" spans="1:68" x14ac:dyDescent="0.25">
      <c r="A526" s="14">
        <f t="shared" ca="1" si="49"/>
        <v>-126.14810350076104</v>
      </c>
      <c r="C526" s="17"/>
      <c r="D526" t="str">
        <f>RTD("tos.rtd", , "OPEN_INT", "."&amp;Table133[[#This Row],[Ticker]]&amp;Table133[[#This Row],[Expiry]]&amp;""&amp;"C"&amp;Table133[[#This Row],[Spot]]+Table133[[#This Row],[step]])</f>
        <v>N/A</v>
      </c>
      <c r="E52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6" t="b">
        <f>IF(     ISNUMBER(Table133[[#This Row],[Strike]]),RTD("tos.rtd", , "DELTA", "."&amp;Table133[[#This Row],[Ticker]]&amp;Table133[[#This Row],[Expiry]]&amp;""&amp;"C"&amp;Table133[[#This Row],[Strike]]))</f>
        <v>0</v>
      </c>
      <c r="H526" s="17" cm="1">
        <f t="array" aca="1" ref="H526" ca="1">IndividualLegIVCore($A$4, Table133[[#This Row],[Strike]], 0.0411, Table133[[#This Row],[T]], ((Table133[[#This Row],[BIDC]]+Table133[[#This Row],[ASKC]])/2), TRUE)</f>
        <v>0.01</v>
      </c>
      <c r="I526" t="b">
        <f>IF(     ISNUMBER(Table133[[#This Row],[Strike]]),RTD("tos.rtd", , "BID", "."&amp;Table133[[#This Row],[Ticker]]&amp;Table133[[#This Row],[Expiry]]&amp;""&amp;"C"&amp;Table133[[#This Row],[Strike]]))</f>
        <v>0</v>
      </c>
      <c r="J526" t="b">
        <f>IF(     ISNUMBER(Table133[[#This Row],[Strike]]),RTD("tos.rtd", , "ASK", "."&amp;Table133[[#This Row],[Ticker]]&amp;Table133[[#This Row],[Expiry]]&amp;""&amp;"C"&amp;Table133[[#This Row],[Strike]]))</f>
        <v>0</v>
      </c>
      <c r="K526" s="17"/>
      <c r="M526" s="1">
        <f t="shared" si="50"/>
        <v>0</v>
      </c>
      <c r="N526" t="b">
        <f t="shared" si="51"/>
        <v>0</v>
      </c>
      <c r="P526" s="17" cm="1">
        <f t="array" aca="1" ref="P526" ca="1">IndividualLegIVCore($A$4, Table133[[#This Row],[Strike]], 0.0411, Table133[[#This Row],[T]], ((Table133[[#This Row],[BIDP]]+Table133[[#This Row],[ASKP]])/2), FALSE)</f>
        <v>0.01</v>
      </c>
      <c r="Q526" t="b">
        <f>IF(     ISNUMBER(Table133[[#This Row],[Strike]]),RTD("tos.rtd", , "BID", "."&amp;Table133[[#This Row],[Ticker]]&amp;Table133[[#This Row],[Expiry]]&amp;""&amp;"P"&amp;Table133[[#This Row],[Strike]]))</f>
        <v>0</v>
      </c>
      <c r="R526" t="b">
        <f>IF(     ISNUMBER(Table133[[#This Row],[Strike]]),RTD("tos.rtd", , "ASK", "."&amp;Table133[[#This Row],[Ticker]]&amp;Table133[[#This Row],[Expiry]]&amp;""&amp;"P"&amp;Table133[[#This Row],[Strike]]))</f>
        <v>0</v>
      </c>
      <c r="S526" s="17"/>
      <c r="T526" t="b">
        <f>IF(     ISNUMBER(Table133[[#This Row],[Strike]]),RTD("tos.rtd", , "OPEN_INT", "."&amp;Table133[[#This Row],[Ticker]]&amp;Table133[[#This Row],[Expiry]]&amp;""&amp;"P"&amp;Table133[[#This Row],[Strike]]))</f>
        <v>0</v>
      </c>
      <c r="U52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6" t="b">
        <f>IF(     ISNUMBER(Table133[[#This Row],[Strike]]),RTD("tos.rtd", , "DELTA", "."&amp;Table133[[#This Row],[Ticker]]&amp;Table133[[#This Row],[Expiry]]&amp;""&amp;"P"&amp;Table133[[#This Row],[Strike]]))</f>
        <v>0</v>
      </c>
      <c r="Y526" s="19">
        <f>5* IF($M$1="NDX", 10, IF(OR($M$1="SPX", $M$1="RUT"), 2, 1))</f>
        <v>10</v>
      </c>
      <c r="Z526">
        <f ca="1">IFERROR(Table133[[#This Row],[call gamma]]*(Table133[[#This Row],[Open.Int]])*$A$4^2,0)</f>
        <v>0</v>
      </c>
      <c r="AA526">
        <f ca="1">IFERROR(((Table133[[#This Row],[Open.Int8]])*Table133[[#This Row],[Put gamma]])*-1*$A$4^2,0)</f>
        <v>0</v>
      </c>
      <c r="AB526">
        <f ca="1">(Table133[[#This Row],[Call Gex]]+Table133[[#This Row],[Put Gex]])</f>
        <v>0</v>
      </c>
      <c r="AC526">
        <f ca="1">Table133[[#This Row],[put delta adj]]+Table133[[#This Row],[call delta adj]]</f>
        <v>0</v>
      </c>
      <c r="AD526">
        <f ca="1">Table133[[#This Row],[Put Gex]]*Table133[[#This Row],[DeltaP]]*-1</f>
        <v>0</v>
      </c>
      <c r="AE526">
        <f ca="1">Table133[[#This Row],[Call Gex]]*Table133[[#This Row],[DeltaC]]</f>
        <v>0</v>
      </c>
      <c r="AF526">
        <f>IF(Table133[[#This Row],[DeltaC]]-ABS(Table133[[#This Row],[DeltaP]])="0","0.01",Table133[[#This Row],[DeltaC]]-ABS(Table133[[#This Row],[DeltaP]]))</f>
        <v>0</v>
      </c>
      <c r="AG526" t="e">
        <f ca="1">((LN($A$4/Table133[[#This Row],[Strike]]) + (0.411 + 0.5 * Table133[[#This Row],[IV Calc P]]^2) *Table133[[#This Row],[T]])) / (Table133[[#This Row],[IV Calc P]] * SQRT(Table133[[#This Row],[T]]))</f>
        <v>#DIV/0!</v>
      </c>
      <c r="AH526" t="e">
        <f ca="1">(LN($A$4/Table133[[#This Row],[Strike]]) + (0.411-0 + 0.5 * Table133[[#This Row],[IV Calc C]]^2) *Table133[[#This Row],[T]]) / (Table133[[#This Row],[IV Calc C]] * SQRT(Table133[[#This Row],[T]]))</f>
        <v>#DIV/0!</v>
      </c>
      <c r="AI526" t="e">
        <f ca="1">(EXP(-(AG526^2)/2)/SQRT(2*PI())*EXP(0*SQRT(Table133[[#This Row],[T]]))/$A$4*18%*SQRT(SQRT(Table133[[#This Row],[T]])))</f>
        <v>#DIV/0!</v>
      </c>
      <c r="AJ526" t="e">
        <f ca="1">(EXP(-(AH526^2)/2)/SQRT(2*PI())*EXP(0*SQRT(Table133[[#This Row],[T]]))/$A$4*18%*SQRT(SQRT(Table133[[#This Row],[T]])))</f>
        <v>#DIV/0!</v>
      </c>
      <c r="AK526" t="e">
        <f ca="1">Table133[[#This Row],[Call D1]]-Table133[[#This Row],[IV Calc C]]*SQRT(Table133[[#This Row],[T]])</f>
        <v>#DIV/0!</v>
      </c>
      <c r="AL526" t="e">
        <f ca="1">Table133[[#This Row],[Put D1]]-Table133[[#This Row],[IV Calc P]]*SQRT(Table133[[#This Row],[T]])</f>
        <v>#DIV/0!</v>
      </c>
      <c r="AM526" t="e">
        <f ca="1">EXP(-0.5*Table133[[#This Row],[Call D1]]^2)/SQRT(2*PI())</f>
        <v>#DIV/0!</v>
      </c>
      <c r="AN526" t="e">
        <f ca="1">EXP(-0.5*Table133[[#This Row],[Put D1]]^2)/SQRT(2*PI())</f>
        <v>#DIV/0!</v>
      </c>
      <c r="AO52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6">
        <f ca="1">((Table133[[#This Row],[call vanna]]+Table133[[#This Row],[put vanna]])*$A$4)</f>
        <v>0</v>
      </c>
      <c r="AR52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6" s="9" t="str" cm="1">
        <f t="array" ref="AT526">_xlfn.IFS(     $M$1="SPX","SPXW",     $M$1="RUT","RUTW",  $M$1="NDX","NDXP",   TRUE,$M$1 )</f>
        <v>SPXW</v>
      </c>
      <c r="AU526" s="2">
        <f t="shared" si="52"/>
        <v>6915</v>
      </c>
      <c r="AV526" t="str">
        <f t="shared" si="53"/>
        <v>000100</v>
      </c>
      <c r="AY52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6">
        <f>((Table133[[#This Row],[High C]]+Table133[[#This Row],[Low C]])/2)*Table133[[#This Row],[gammac]]*Table133[[#This Row],[Volume]]</f>
        <v>0</v>
      </c>
      <c r="BD526">
        <f>((Table133[[#This Row],[High P]]+Table133[[#This Row],[Low P]])/2)*Table133[[#This Row],[gammap]]*Table133[[#This Row],[Volume9]]*-1</f>
        <v>0</v>
      </c>
      <c r="BE526">
        <f>(Table133[[#This Row],[SgammaC]]+Table133[[#This Row],[SgammaP]])*$A$4*-100</f>
        <v>0</v>
      </c>
      <c r="BF526" s="78">
        <f>Table133[[#This Row],[DEXc]]+Table133[[#This Row],[DEXp]]</f>
        <v>0</v>
      </c>
      <c r="BG526">
        <f>IFERROR(Table133[[#This Row],[DeltaC]]*Table133[[#This Row],[Open.Int]]*$A$4,0)</f>
        <v>0</v>
      </c>
      <c r="BH526">
        <f>IFERROR(Table133[[#This Row],[DeltaP]]*Table133[[#This Row],[Open.Int8]]*$A$4,0)</f>
        <v>0</v>
      </c>
      <c r="BI52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6">
        <f ca="1">Table133[[#This Row],[charmc]]+Table133[[#This Row],[charmp]]</f>
        <v>0</v>
      </c>
      <c r="BL52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6" s="78">
        <f ca="1">Table133[[#This Row],[call helper]]+Table133[[#This Row],[put helper]]</f>
        <v>0</v>
      </c>
      <c r="BP526" t="str">
        <f>RTD("tos.rtd", , "STRIKE", "."&amp;Table133[[#This Row],[Ticker]]&amp;Table133[[#This Row],[Expiry]]&amp;""&amp;"C"&amp;Table133[[#This Row],[Spot]]+Table133[[#This Row],[step]])</f>
        <v>N/A</v>
      </c>
    </row>
    <row r="527" spans="1:68" x14ac:dyDescent="0.25">
      <c r="A527" s="14">
        <f t="shared" ca="1" si="49"/>
        <v>-126.14810350076104</v>
      </c>
      <c r="C527" s="17"/>
      <c r="D527" t="str">
        <f>RTD("tos.rtd", , "OPEN_INT", "."&amp;Table133[[#This Row],[Ticker]]&amp;Table133[[#This Row],[Expiry]]&amp;""&amp;"C"&amp;Table133[[#This Row],[Spot]]+Table133[[#This Row],[step]])</f>
        <v>N/A</v>
      </c>
      <c r="E52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7" t="b">
        <f>IF(     ISNUMBER(Table133[[#This Row],[Strike]]),RTD("tos.rtd", , "DELTA", "."&amp;Table133[[#This Row],[Ticker]]&amp;Table133[[#This Row],[Expiry]]&amp;""&amp;"C"&amp;Table133[[#This Row],[Strike]]))</f>
        <v>0</v>
      </c>
      <c r="H527" s="17" cm="1">
        <f t="array" aca="1" ref="H527" ca="1">IndividualLegIVCore($A$4, Table133[[#This Row],[Strike]], 0.0411, Table133[[#This Row],[T]], ((Table133[[#This Row],[BIDC]]+Table133[[#This Row],[ASKC]])/2), TRUE)</f>
        <v>0.01</v>
      </c>
      <c r="I527" t="b">
        <f>IF(     ISNUMBER(Table133[[#This Row],[Strike]]),RTD("tos.rtd", , "BID", "."&amp;Table133[[#This Row],[Ticker]]&amp;Table133[[#This Row],[Expiry]]&amp;""&amp;"C"&amp;Table133[[#This Row],[Strike]]))</f>
        <v>0</v>
      </c>
      <c r="J527" t="b">
        <f>IF(     ISNUMBER(Table133[[#This Row],[Strike]]),RTD("tos.rtd", , "ASK", "."&amp;Table133[[#This Row],[Ticker]]&amp;Table133[[#This Row],[Expiry]]&amp;""&amp;"C"&amp;Table133[[#This Row],[Strike]]))</f>
        <v>0</v>
      </c>
      <c r="K527" s="17"/>
      <c r="M527" s="1">
        <f t="shared" si="50"/>
        <v>0</v>
      </c>
      <c r="N527" t="b">
        <f t="shared" si="51"/>
        <v>0</v>
      </c>
      <c r="P527" s="17" cm="1">
        <f t="array" aca="1" ref="P527" ca="1">IndividualLegIVCore($A$4, Table133[[#This Row],[Strike]], 0.0411, Table133[[#This Row],[T]], ((Table133[[#This Row],[BIDP]]+Table133[[#This Row],[ASKP]])/2), FALSE)</f>
        <v>0.01</v>
      </c>
      <c r="Q527" t="b">
        <f>IF(     ISNUMBER(Table133[[#This Row],[Strike]]),RTD("tos.rtd", , "BID", "."&amp;Table133[[#This Row],[Ticker]]&amp;Table133[[#This Row],[Expiry]]&amp;""&amp;"P"&amp;Table133[[#This Row],[Strike]]))</f>
        <v>0</v>
      </c>
      <c r="R527" t="b">
        <f>IF(     ISNUMBER(Table133[[#This Row],[Strike]]),RTD("tos.rtd", , "ASK", "."&amp;Table133[[#This Row],[Ticker]]&amp;Table133[[#This Row],[Expiry]]&amp;""&amp;"P"&amp;Table133[[#This Row],[Strike]]))</f>
        <v>0</v>
      </c>
      <c r="S527" s="17"/>
      <c r="T527" t="b">
        <f>IF(     ISNUMBER(Table133[[#This Row],[Strike]]),RTD("tos.rtd", , "OPEN_INT", "."&amp;Table133[[#This Row],[Ticker]]&amp;Table133[[#This Row],[Expiry]]&amp;""&amp;"P"&amp;Table133[[#This Row],[Strike]]))</f>
        <v>0</v>
      </c>
      <c r="U52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7" t="b">
        <f>IF(     ISNUMBER(Table133[[#This Row],[Strike]]),RTD("tos.rtd", , "DELTA", "."&amp;Table133[[#This Row],[Ticker]]&amp;Table133[[#This Row],[Expiry]]&amp;""&amp;"P"&amp;Table133[[#This Row],[Strike]]))</f>
        <v>0</v>
      </c>
      <c r="Y527" s="19">
        <f>5.5* IF($M$1="NDX", 10, IF(OR($M$1="SPX", $M$1="RUT"), 2, 1))</f>
        <v>11</v>
      </c>
      <c r="Z527">
        <f ca="1">IFERROR(Table133[[#This Row],[call gamma]]*(Table133[[#This Row],[Open.Int]])*$A$4^2,0)</f>
        <v>0</v>
      </c>
      <c r="AA527">
        <f ca="1">IFERROR(((Table133[[#This Row],[Open.Int8]])*Table133[[#This Row],[Put gamma]])*-1*$A$4^2,0)</f>
        <v>0</v>
      </c>
      <c r="AB527">
        <f ca="1">(Table133[[#This Row],[Call Gex]]+Table133[[#This Row],[Put Gex]])</f>
        <v>0</v>
      </c>
      <c r="AC527">
        <f ca="1">Table133[[#This Row],[put delta adj]]+Table133[[#This Row],[call delta adj]]</f>
        <v>0</v>
      </c>
      <c r="AD527">
        <f ca="1">Table133[[#This Row],[Put Gex]]*Table133[[#This Row],[DeltaP]]*-1</f>
        <v>0</v>
      </c>
      <c r="AE527">
        <f ca="1">Table133[[#This Row],[Call Gex]]*Table133[[#This Row],[DeltaC]]</f>
        <v>0</v>
      </c>
      <c r="AF527">
        <f>IF(Table133[[#This Row],[DeltaC]]-ABS(Table133[[#This Row],[DeltaP]])="0","0.01",Table133[[#This Row],[DeltaC]]-ABS(Table133[[#This Row],[DeltaP]]))</f>
        <v>0</v>
      </c>
      <c r="AG527" t="e">
        <f ca="1">((LN($A$4/Table133[[#This Row],[Strike]]) + (0.411 + 0.5 * Table133[[#This Row],[IV Calc P]]^2) *Table133[[#This Row],[T]])) / (Table133[[#This Row],[IV Calc P]] * SQRT(Table133[[#This Row],[T]]))</f>
        <v>#DIV/0!</v>
      </c>
      <c r="AH527" t="e">
        <f ca="1">(LN($A$4/Table133[[#This Row],[Strike]]) + (0.411-0 + 0.5 * Table133[[#This Row],[IV Calc C]]^2) *Table133[[#This Row],[T]]) / (Table133[[#This Row],[IV Calc C]] * SQRT(Table133[[#This Row],[T]]))</f>
        <v>#DIV/0!</v>
      </c>
      <c r="AI527" t="e">
        <f ca="1">(EXP(-(AG527^2)/2)/SQRT(2*PI())*EXP(0*SQRT(Table133[[#This Row],[T]]))/$A$4*18%*SQRT(SQRT(Table133[[#This Row],[T]])))</f>
        <v>#DIV/0!</v>
      </c>
      <c r="AJ527" t="e">
        <f ca="1">(EXP(-(AH527^2)/2)/SQRT(2*PI())*EXP(0*SQRT(Table133[[#This Row],[T]]))/$A$4*18%*SQRT(SQRT(Table133[[#This Row],[T]])))</f>
        <v>#DIV/0!</v>
      </c>
      <c r="AK527" t="e">
        <f ca="1">Table133[[#This Row],[Call D1]]-Table133[[#This Row],[IV Calc C]]*SQRT(Table133[[#This Row],[T]])</f>
        <v>#DIV/0!</v>
      </c>
      <c r="AL527" t="e">
        <f ca="1">Table133[[#This Row],[Put D1]]-Table133[[#This Row],[IV Calc P]]*SQRT(Table133[[#This Row],[T]])</f>
        <v>#DIV/0!</v>
      </c>
      <c r="AM527" t="e">
        <f ca="1">EXP(-0.5*Table133[[#This Row],[Call D1]]^2)/SQRT(2*PI())</f>
        <v>#DIV/0!</v>
      </c>
      <c r="AN527" t="e">
        <f ca="1">EXP(-0.5*Table133[[#This Row],[Put D1]]^2)/SQRT(2*PI())</f>
        <v>#DIV/0!</v>
      </c>
      <c r="AO52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7">
        <f ca="1">((Table133[[#This Row],[call vanna]]+Table133[[#This Row],[put vanna]])*$A$4)</f>
        <v>0</v>
      </c>
      <c r="AR52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7" s="9" t="str" cm="1">
        <f t="array" ref="AT527">_xlfn.IFS(     $M$1="SPX","SPXW",     $M$1="RUT","RUTW",  $M$1="NDX","NDXP",   TRUE,$M$1 )</f>
        <v>SPXW</v>
      </c>
      <c r="AU527" s="2">
        <f t="shared" si="52"/>
        <v>6915</v>
      </c>
      <c r="AV527" t="str">
        <f t="shared" si="53"/>
        <v>000100</v>
      </c>
      <c r="AY52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7">
        <f>((Table133[[#This Row],[High C]]+Table133[[#This Row],[Low C]])/2)*Table133[[#This Row],[gammac]]*Table133[[#This Row],[Volume]]</f>
        <v>0</v>
      </c>
      <c r="BD527">
        <f>((Table133[[#This Row],[High P]]+Table133[[#This Row],[Low P]])/2)*Table133[[#This Row],[gammap]]*Table133[[#This Row],[Volume9]]*-1</f>
        <v>0</v>
      </c>
      <c r="BE527">
        <f>(Table133[[#This Row],[SgammaC]]+Table133[[#This Row],[SgammaP]])*$A$4*-100</f>
        <v>0</v>
      </c>
      <c r="BF527" s="78">
        <f>Table133[[#This Row],[DEXc]]+Table133[[#This Row],[DEXp]]</f>
        <v>0</v>
      </c>
      <c r="BG527">
        <f>IFERROR(Table133[[#This Row],[DeltaC]]*Table133[[#This Row],[Open.Int]]*$A$4,0)</f>
        <v>0</v>
      </c>
      <c r="BH527">
        <f>IFERROR(Table133[[#This Row],[DeltaP]]*Table133[[#This Row],[Open.Int8]]*$A$4,0)</f>
        <v>0</v>
      </c>
      <c r="BI52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7">
        <f ca="1">Table133[[#This Row],[charmc]]+Table133[[#This Row],[charmp]]</f>
        <v>0</v>
      </c>
      <c r="BL52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7" s="78">
        <f ca="1">Table133[[#This Row],[call helper]]+Table133[[#This Row],[put helper]]</f>
        <v>0</v>
      </c>
      <c r="BP527" t="str">
        <f>RTD("tos.rtd", , "STRIKE", "."&amp;Table133[[#This Row],[Ticker]]&amp;Table133[[#This Row],[Expiry]]&amp;""&amp;"C"&amp;Table133[[#This Row],[Spot]]+Table133[[#This Row],[step]])</f>
        <v>N/A</v>
      </c>
    </row>
    <row r="528" spans="1:68" x14ac:dyDescent="0.25">
      <c r="A528" s="14">
        <f t="shared" ca="1" si="49"/>
        <v>-126.14810350076104</v>
      </c>
      <c r="C528" s="17"/>
      <c r="D528" t="str">
        <f>RTD("tos.rtd", , "OPEN_INT", "."&amp;Table133[[#This Row],[Ticker]]&amp;Table133[[#This Row],[Expiry]]&amp;""&amp;"C"&amp;Table133[[#This Row],[Spot]]+Table133[[#This Row],[step]])</f>
        <v>N/A</v>
      </c>
      <c r="E52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8" t="b">
        <f>IF(     ISNUMBER(Table133[[#This Row],[Strike]]),RTD("tos.rtd", , "DELTA", "."&amp;Table133[[#This Row],[Ticker]]&amp;Table133[[#This Row],[Expiry]]&amp;""&amp;"C"&amp;Table133[[#This Row],[Strike]]))</f>
        <v>0</v>
      </c>
      <c r="H528" s="17" cm="1">
        <f t="array" aca="1" ref="H528" ca="1">IndividualLegIVCore($A$4, Table133[[#This Row],[Strike]], 0.0411, Table133[[#This Row],[T]], ((Table133[[#This Row],[BIDC]]+Table133[[#This Row],[ASKC]])/2), TRUE)</f>
        <v>0.01</v>
      </c>
      <c r="I528" t="b">
        <f>IF(     ISNUMBER(Table133[[#This Row],[Strike]]),RTD("tos.rtd", , "BID", "."&amp;Table133[[#This Row],[Ticker]]&amp;Table133[[#This Row],[Expiry]]&amp;""&amp;"C"&amp;Table133[[#This Row],[Strike]]))</f>
        <v>0</v>
      </c>
      <c r="J528" t="b">
        <f>IF(     ISNUMBER(Table133[[#This Row],[Strike]]),RTD("tos.rtd", , "ASK", "."&amp;Table133[[#This Row],[Ticker]]&amp;Table133[[#This Row],[Expiry]]&amp;""&amp;"C"&amp;Table133[[#This Row],[Strike]]))</f>
        <v>0</v>
      </c>
      <c r="K528" s="17"/>
      <c r="M528" s="1">
        <f t="shared" si="50"/>
        <v>0</v>
      </c>
      <c r="N528" t="b">
        <f t="shared" si="51"/>
        <v>0</v>
      </c>
      <c r="P528" s="17" cm="1">
        <f t="array" aca="1" ref="P528" ca="1">IndividualLegIVCore($A$4, Table133[[#This Row],[Strike]], 0.0411, Table133[[#This Row],[T]], ((Table133[[#This Row],[BIDP]]+Table133[[#This Row],[ASKP]])/2), FALSE)</f>
        <v>0.01</v>
      </c>
      <c r="Q528" t="b">
        <f>IF(     ISNUMBER(Table133[[#This Row],[Strike]]),RTD("tos.rtd", , "BID", "."&amp;Table133[[#This Row],[Ticker]]&amp;Table133[[#This Row],[Expiry]]&amp;""&amp;"P"&amp;Table133[[#This Row],[Strike]]))</f>
        <v>0</v>
      </c>
      <c r="R528" t="b">
        <f>IF(     ISNUMBER(Table133[[#This Row],[Strike]]),RTD("tos.rtd", , "ASK", "."&amp;Table133[[#This Row],[Ticker]]&amp;Table133[[#This Row],[Expiry]]&amp;""&amp;"P"&amp;Table133[[#This Row],[Strike]]))</f>
        <v>0</v>
      </c>
      <c r="S528" s="17"/>
      <c r="T528" t="b">
        <f>IF(     ISNUMBER(Table133[[#This Row],[Strike]]),RTD("tos.rtd", , "OPEN_INT", "."&amp;Table133[[#This Row],[Ticker]]&amp;Table133[[#This Row],[Expiry]]&amp;""&amp;"P"&amp;Table133[[#This Row],[Strike]]))</f>
        <v>0</v>
      </c>
      <c r="U52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8" t="b">
        <f>IF(     ISNUMBER(Table133[[#This Row],[Strike]]),RTD("tos.rtd", , "DELTA", "."&amp;Table133[[#This Row],[Ticker]]&amp;Table133[[#This Row],[Expiry]]&amp;""&amp;"P"&amp;Table133[[#This Row],[Strike]]))</f>
        <v>0</v>
      </c>
      <c r="Y528" s="19">
        <f>6* IF($M$1="NDX", 10, IF(OR($M$1="SPX", $M$1="RUT"), 2, 1))</f>
        <v>12</v>
      </c>
      <c r="Z528">
        <f ca="1">IFERROR(Table133[[#This Row],[call gamma]]*(Table133[[#This Row],[Open.Int]])*$A$4^2,0)</f>
        <v>0</v>
      </c>
      <c r="AA528">
        <f ca="1">IFERROR(((Table133[[#This Row],[Open.Int8]])*Table133[[#This Row],[Put gamma]])*-1*$A$4^2,0)</f>
        <v>0</v>
      </c>
      <c r="AB528">
        <f ca="1">(Table133[[#This Row],[Call Gex]]+Table133[[#This Row],[Put Gex]])</f>
        <v>0</v>
      </c>
      <c r="AC528">
        <f ca="1">Table133[[#This Row],[put delta adj]]+Table133[[#This Row],[call delta adj]]</f>
        <v>0</v>
      </c>
      <c r="AD528">
        <f ca="1">Table133[[#This Row],[Put Gex]]*Table133[[#This Row],[DeltaP]]*-1</f>
        <v>0</v>
      </c>
      <c r="AE528">
        <f ca="1">Table133[[#This Row],[Call Gex]]*Table133[[#This Row],[DeltaC]]</f>
        <v>0</v>
      </c>
      <c r="AF528">
        <f>IF(Table133[[#This Row],[DeltaC]]-ABS(Table133[[#This Row],[DeltaP]])="0","0.01",Table133[[#This Row],[DeltaC]]-ABS(Table133[[#This Row],[DeltaP]]))</f>
        <v>0</v>
      </c>
      <c r="AG528" t="e">
        <f ca="1">((LN($A$4/Table133[[#This Row],[Strike]]) + (0.411 + 0.5 * Table133[[#This Row],[IV Calc P]]^2) *Table133[[#This Row],[T]])) / (Table133[[#This Row],[IV Calc P]] * SQRT(Table133[[#This Row],[T]]))</f>
        <v>#DIV/0!</v>
      </c>
      <c r="AH528" t="e">
        <f ca="1">(LN($A$4/Table133[[#This Row],[Strike]]) + (0.411-0 + 0.5 * Table133[[#This Row],[IV Calc C]]^2) *Table133[[#This Row],[T]]) / (Table133[[#This Row],[IV Calc C]] * SQRT(Table133[[#This Row],[T]]))</f>
        <v>#DIV/0!</v>
      </c>
      <c r="AI528" t="e">
        <f ca="1">(EXP(-(AG528^2)/2)/SQRT(2*PI())*EXP(0*SQRT(Table133[[#This Row],[T]]))/$A$4*18%*SQRT(SQRT(Table133[[#This Row],[T]])))</f>
        <v>#DIV/0!</v>
      </c>
      <c r="AJ528" t="e">
        <f ca="1">(EXP(-(AH528^2)/2)/SQRT(2*PI())*EXP(0*SQRT(Table133[[#This Row],[T]]))/$A$4*18%*SQRT(SQRT(Table133[[#This Row],[T]])))</f>
        <v>#DIV/0!</v>
      </c>
      <c r="AK528" t="e">
        <f ca="1">Table133[[#This Row],[Call D1]]-Table133[[#This Row],[IV Calc C]]*SQRT(Table133[[#This Row],[T]])</f>
        <v>#DIV/0!</v>
      </c>
      <c r="AL528" t="e">
        <f ca="1">Table133[[#This Row],[Put D1]]-Table133[[#This Row],[IV Calc P]]*SQRT(Table133[[#This Row],[T]])</f>
        <v>#DIV/0!</v>
      </c>
      <c r="AM528" t="e">
        <f ca="1">EXP(-0.5*Table133[[#This Row],[Call D1]]^2)/SQRT(2*PI())</f>
        <v>#DIV/0!</v>
      </c>
      <c r="AN528" t="e">
        <f ca="1">EXP(-0.5*Table133[[#This Row],[Put D1]]^2)/SQRT(2*PI())</f>
        <v>#DIV/0!</v>
      </c>
      <c r="AO52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8">
        <f ca="1">((Table133[[#This Row],[call vanna]]+Table133[[#This Row],[put vanna]])*$A$4)</f>
        <v>0</v>
      </c>
      <c r="AR52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8" s="9" t="str" cm="1">
        <f t="array" ref="AT528">_xlfn.IFS(     $M$1="SPX","SPXW",     $M$1="RUT","RUTW",  $M$1="NDX","NDXP",   TRUE,$M$1 )</f>
        <v>SPXW</v>
      </c>
      <c r="AU528" s="2">
        <f t="shared" si="52"/>
        <v>6915</v>
      </c>
      <c r="AV528" t="str">
        <f t="shared" si="53"/>
        <v>000100</v>
      </c>
      <c r="AY52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8">
        <f>((Table133[[#This Row],[High C]]+Table133[[#This Row],[Low C]])/2)*Table133[[#This Row],[gammac]]*Table133[[#This Row],[Volume]]</f>
        <v>0</v>
      </c>
      <c r="BD528">
        <f>((Table133[[#This Row],[High P]]+Table133[[#This Row],[Low P]])/2)*Table133[[#This Row],[gammap]]*Table133[[#This Row],[Volume9]]*-1</f>
        <v>0</v>
      </c>
      <c r="BE528">
        <f>(Table133[[#This Row],[SgammaC]]+Table133[[#This Row],[SgammaP]])*$A$4*-100</f>
        <v>0</v>
      </c>
      <c r="BF528" s="78">
        <f>Table133[[#This Row],[DEXc]]+Table133[[#This Row],[DEXp]]</f>
        <v>0</v>
      </c>
      <c r="BG528">
        <f>IFERROR(Table133[[#This Row],[DeltaC]]*Table133[[#This Row],[Open.Int]]*$A$4,0)</f>
        <v>0</v>
      </c>
      <c r="BH528">
        <f>IFERROR(Table133[[#This Row],[DeltaP]]*Table133[[#This Row],[Open.Int8]]*$A$4,0)</f>
        <v>0</v>
      </c>
      <c r="BI52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8">
        <f ca="1">Table133[[#This Row],[charmc]]+Table133[[#This Row],[charmp]]</f>
        <v>0</v>
      </c>
      <c r="BL52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8" s="78">
        <f ca="1">Table133[[#This Row],[call helper]]+Table133[[#This Row],[put helper]]</f>
        <v>0</v>
      </c>
      <c r="BP528" t="str">
        <f>RTD("tos.rtd", , "STRIKE", "."&amp;Table133[[#This Row],[Ticker]]&amp;Table133[[#This Row],[Expiry]]&amp;""&amp;"C"&amp;Table133[[#This Row],[Spot]]+Table133[[#This Row],[step]])</f>
        <v>N/A</v>
      </c>
    </row>
    <row r="529" spans="1:68" x14ac:dyDescent="0.25">
      <c r="A529" s="14">
        <f t="shared" ca="1" si="49"/>
        <v>-126.14810350076104</v>
      </c>
      <c r="C529" s="17"/>
      <c r="D529" t="str">
        <f>RTD("tos.rtd", , "OPEN_INT", "."&amp;Table133[[#This Row],[Ticker]]&amp;Table133[[#This Row],[Expiry]]&amp;""&amp;"C"&amp;Table133[[#This Row],[Spot]]+Table133[[#This Row],[step]])</f>
        <v>N/A</v>
      </c>
      <c r="E52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9" t="b">
        <f>IF(     ISNUMBER(Table133[[#This Row],[Strike]]),RTD("tos.rtd", , "DELTA", "."&amp;Table133[[#This Row],[Ticker]]&amp;Table133[[#This Row],[Expiry]]&amp;""&amp;"C"&amp;Table133[[#This Row],[Strike]]))</f>
        <v>0</v>
      </c>
      <c r="H529" s="17" cm="1">
        <f t="array" aca="1" ref="H529" ca="1">IndividualLegIVCore($A$4, Table133[[#This Row],[Strike]], 0.0411, Table133[[#This Row],[T]], ((Table133[[#This Row],[BIDC]]+Table133[[#This Row],[ASKC]])/2), TRUE)</f>
        <v>0.01</v>
      </c>
      <c r="I529" t="b">
        <f>IF(     ISNUMBER(Table133[[#This Row],[Strike]]),RTD("tos.rtd", , "BID", "."&amp;Table133[[#This Row],[Ticker]]&amp;Table133[[#This Row],[Expiry]]&amp;""&amp;"C"&amp;Table133[[#This Row],[Strike]]))</f>
        <v>0</v>
      </c>
      <c r="J529" t="b">
        <f>IF(     ISNUMBER(Table133[[#This Row],[Strike]]),RTD("tos.rtd", , "ASK", "."&amp;Table133[[#This Row],[Ticker]]&amp;Table133[[#This Row],[Expiry]]&amp;""&amp;"C"&amp;Table133[[#This Row],[Strike]]))</f>
        <v>0</v>
      </c>
      <c r="K529" s="17"/>
      <c r="M529" s="1">
        <f t="shared" si="50"/>
        <v>0</v>
      </c>
      <c r="N529" t="b">
        <f t="shared" si="51"/>
        <v>0</v>
      </c>
      <c r="P529" s="17" cm="1">
        <f t="array" aca="1" ref="P529" ca="1">IndividualLegIVCore($A$4, Table133[[#This Row],[Strike]], 0.0411, Table133[[#This Row],[T]], ((Table133[[#This Row],[BIDP]]+Table133[[#This Row],[ASKP]])/2), FALSE)</f>
        <v>0.01</v>
      </c>
      <c r="Q529" t="b">
        <f>IF(     ISNUMBER(Table133[[#This Row],[Strike]]),RTD("tos.rtd", , "BID", "."&amp;Table133[[#This Row],[Ticker]]&amp;Table133[[#This Row],[Expiry]]&amp;""&amp;"P"&amp;Table133[[#This Row],[Strike]]))</f>
        <v>0</v>
      </c>
      <c r="R529" t="b">
        <f>IF(     ISNUMBER(Table133[[#This Row],[Strike]]),RTD("tos.rtd", , "ASK", "."&amp;Table133[[#This Row],[Ticker]]&amp;Table133[[#This Row],[Expiry]]&amp;""&amp;"P"&amp;Table133[[#This Row],[Strike]]))</f>
        <v>0</v>
      </c>
      <c r="S529" s="17"/>
      <c r="T529" t="b">
        <f>IF(     ISNUMBER(Table133[[#This Row],[Strike]]),RTD("tos.rtd", , "OPEN_INT", "."&amp;Table133[[#This Row],[Ticker]]&amp;Table133[[#This Row],[Expiry]]&amp;""&amp;"P"&amp;Table133[[#This Row],[Strike]]))</f>
        <v>0</v>
      </c>
      <c r="U52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9" t="b">
        <f>IF(     ISNUMBER(Table133[[#This Row],[Strike]]),RTD("tos.rtd", , "DELTA", "."&amp;Table133[[#This Row],[Ticker]]&amp;Table133[[#This Row],[Expiry]]&amp;""&amp;"P"&amp;Table133[[#This Row],[Strike]]))</f>
        <v>0</v>
      </c>
      <c r="Y529" s="19">
        <f>6.5* IF($M$1="NDX", 10, IF(OR($M$1="SPX", $M$1="RUT"), 2, 1))</f>
        <v>13</v>
      </c>
      <c r="Z529">
        <f ca="1">IFERROR(Table133[[#This Row],[call gamma]]*(Table133[[#This Row],[Open.Int]])*$A$4^2,0)</f>
        <v>0</v>
      </c>
      <c r="AA529">
        <f ca="1">IFERROR(((Table133[[#This Row],[Open.Int8]])*Table133[[#This Row],[Put gamma]])*-1*$A$4^2,0)</f>
        <v>0</v>
      </c>
      <c r="AB529">
        <f ca="1">(Table133[[#This Row],[Call Gex]]+Table133[[#This Row],[Put Gex]])</f>
        <v>0</v>
      </c>
      <c r="AC529">
        <f ca="1">Table133[[#This Row],[put delta adj]]+Table133[[#This Row],[call delta adj]]</f>
        <v>0</v>
      </c>
      <c r="AD529">
        <f ca="1">Table133[[#This Row],[Put Gex]]*Table133[[#This Row],[DeltaP]]*-1</f>
        <v>0</v>
      </c>
      <c r="AE529">
        <f ca="1">Table133[[#This Row],[Call Gex]]*Table133[[#This Row],[DeltaC]]</f>
        <v>0</v>
      </c>
      <c r="AF529">
        <f>IF(Table133[[#This Row],[DeltaC]]-ABS(Table133[[#This Row],[DeltaP]])="0","0.01",Table133[[#This Row],[DeltaC]]-ABS(Table133[[#This Row],[DeltaP]]))</f>
        <v>0</v>
      </c>
      <c r="AG529" t="e">
        <f ca="1">((LN($A$4/Table133[[#This Row],[Strike]]) + (0.411 + 0.5 * Table133[[#This Row],[IV Calc P]]^2) *Table133[[#This Row],[T]])) / (Table133[[#This Row],[IV Calc P]] * SQRT(Table133[[#This Row],[T]]))</f>
        <v>#DIV/0!</v>
      </c>
      <c r="AH529" t="e">
        <f ca="1">(LN($A$4/Table133[[#This Row],[Strike]]) + (0.411-0 + 0.5 * Table133[[#This Row],[IV Calc C]]^2) *Table133[[#This Row],[T]]) / (Table133[[#This Row],[IV Calc C]] * SQRT(Table133[[#This Row],[T]]))</f>
        <v>#DIV/0!</v>
      </c>
      <c r="AI529" t="e">
        <f ca="1">(EXP(-(AG529^2)/2)/SQRT(2*PI())*EXP(0*SQRT(Table133[[#This Row],[T]]))/$A$4*18%*SQRT(SQRT(Table133[[#This Row],[T]])))</f>
        <v>#DIV/0!</v>
      </c>
      <c r="AJ529" t="e">
        <f ca="1">(EXP(-(AH529^2)/2)/SQRT(2*PI())*EXP(0*SQRT(Table133[[#This Row],[T]]))/$A$4*18%*SQRT(SQRT(Table133[[#This Row],[T]])))</f>
        <v>#DIV/0!</v>
      </c>
      <c r="AK529" t="e">
        <f ca="1">Table133[[#This Row],[Call D1]]-Table133[[#This Row],[IV Calc C]]*SQRT(Table133[[#This Row],[T]])</f>
        <v>#DIV/0!</v>
      </c>
      <c r="AL529" t="e">
        <f ca="1">Table133[[#This Row],[Put D1]]-Table133[[#This Row],[IV Calc P]]*SQRT(Table133[[#This Row],[T]])</f>
        <v>#DIV/0!</v>
      </c>
      <c r="AM529" t="e">
        <f ca="1">EXP(-0.5*Table133[[#This Row],[Call D1]]^2)/SQRT(2*PI())</f>
        <v>#DIV/0!</v>
      </c>
      <c r="AN529" t="e">
        <f ca="1">EXP(-0.5*Table133[[#This Row],[Put D1]]^2)/SQRT(2*PI())</f>
        <v>#DIV/0!</v>
      </c>
      <c r="AO52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9">
        <f ca="1">((Table133[[#This Row],[call vanna]]+Table133[[#This Row],[put vanna]])*$A$4)</f>
        <v>0</v>
      </c>
      <c r="AR52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9" s="9" t="str" cm="1">
        <f t="array" ref="AT529">_xlfn.IFS(     $M$1="SPX","SPXW",     $M$1="RUT","RUTW",  $M$1="NDX","NDXP",   TRUE,$M$1 )</f>
        <v>SPXW</v>
      </c>
      <c r="AU529" s="2">
        <f t="shared" si="52"/>
        <v>6915</v>
      </c>
      <c r="AV529" t="str">
        <f t="shared" si="53"/>
        <v>000100</v>
      </c>
      <c r="AY52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9">
        <f>((Table133[[#This Row],[High C]]+Table133[[#This Row],[Low C]])/2)*Table133[[#This Row],[gammac]]*Table133[[#This Row],[Volume]]</f>
        <v>0</v>
      </c>
      <c r="BD529">
        <f>((Table133[[#This Row],[High P]]+Table133[[#This Row],[Low P]])/2)*Table133[[#This Row],[gammap]]*Table133[[#This Row],[Volume9]]*-1</f>
        <v>0</v>
      </c>
      <c r="BE529">
        <f>(Table133[[#This Row],[SgammaC]]+Table133[[#This Row],[SgammaP]])*$A$4*-100</f>
        <v>0</v>
      </c>
      <c r="BF529" s="78">
        <f>Table133[[#This Row],[DEXc]]+Table133[[#This Row],[DEXp]]</f>
        <v>0</v>
      </c>
      <c r="BG529">
        <f>IFERROR(Table133[[#This Row],[DeltaC]]*Table133[[#This Row],[Open.Int]]*$A$4,0)</f>
        <v>0</v>
      </c>
      <c r="BH529">
        <f>IFERROR(Table133[[#This Row],[DeltaP]]*Table133[[#This Row],[Open.Int8]]*$A$4,0)</f>
        <v>0</v>
      </c>
      <c r="BI52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9">
        <f ca="1">Table133[[#This Row],[charmc]]+Table133[[#This Row],[charmp]]</f>
        <v>0</v>
      </c>
      <c r="BL52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9" s="78">
        <f ca="1">Table133[[#This Row],[call helper]]+Table133[[#This Row],[put helper]]</f>
        <v>0</v>
      </c>
      <c r="BP529" t="str">
        <f>RTD("tos.rtd", , "STRIKE", "."&amp;Table133[[#This Row],[Ticker]]&amp;Table133[[#This Row],[Expiry]]&amp;""&amp;"C"&amp;Table133[[#This Row],[Spot]]+Table133[[#This Row],[step]])</f>
        <v>N/A</v>
      </c>
    </row>
    <row r="530" spans="1:68" x14ac:dyDescent="0.25">
      <c r="A530" s="14">
        <f t="shared" ca="1" si="49"/>
        <v>-126.14810350076104</v>
      </c>
      <c r="C530" s="17"/>
      <c r="D530" t="str">
        <f>RTD("tos.rtd", , "OPEN_INT", "."&amp;Table133[[#This Row],[Ticker]]&amp;Table133[[#This Row],[Expiry]]&amp;""&amp;"C"&amp;Table133[[#This Row],[Spot]]+Table133[[#This Row],[step]])</f>
        <v>N/A</v>
      </c>
      <c r="E53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0" t="b">
        <f>IF(     ISNUMBER(Table133[[#This Row],[Strike]]),RTD("tos.rtd", , "DELTA", "."&amp;Table133[[#This Row],[Ticker]]&amp;Table133[[#This Row],[Expiry]]&amp;""&amp;"C"&amp;Table133[[#This Row],[Strike]]))</f>
        <v>0</v>
      </c>
      <c r="H530" s="17" cm="1">
        <f t="array" aca="1" ref="H530" ca="1">IndividualLegIVCore($A$4, Table133[[#This Row],[Strike]], 0.0411, Table133[[#This Row],[T]], ((Table133[[#This Row],[BIDC]]+Table133[[#This Row],[ASKC]])/2), TRUE)</f>
        <v>0.01</v>
      </c>
      <c r="I530" t="b">
        <f>IF(     ISNUMBER(Table133[[#This Row],[Strike]]),RTD("tos.rtd", , "BID", "."&amp;Table133[[#This Row],[Ticker]]&amp;Table133[[#This Row],[Expiry]]&amp;""&amp;"C"&amp;Table133[[#This Row],[Strike]]))</f>
        <v>0</v>
      </c>
      <c r="J530" t="b">
        <f>IF(     ISNUMBER(Table133[[#This Row],[Strike]]),RTD("tos.rtd", , "ASK", "."&amp;Table133[[#This Row],[Ticker]]&amp;Table133[[#This Row],[Expiry]]&amp;""&amp;"C"&amp;Table133[[#This Row],[Strike]]))</f>
        <v>0</v>
      </c>
      <c r="K530" s="17"/>
      <c r="M530" s="1">
        <f t="shared" si="50"/>
        <v>0</v>
      </c>
      <c r="N530" t="b">
        <f t="shared" si="51"/>
        <v>0</v>
      </c>
      <c r="P530" s="17" cm="1">
        <f t="array" aca="1" ref="P530" ca="1">IndividualLegIVCore($A$4, Table133[[#This Row],[Strike]], 0.0411, Table133[[#This Row],[T]], ((Table133[[#This Row],[BIDP]]+Table133[[#This Row],[ASKP]])/2), FALSE)</f>
        <v>0.01</v>
      </c>
      <c r="Q530" t="b">
        <f>IF(     ISNUMBER(Table133[[#This Row],[Strike]]),RTD("tos.rtd", , "BID", "."&amp;Table133[[#This Row],[Ticker]]&amp;Table133[[#This Row],[Expiry]]&amp;""&amp;"P"&amp;Table133[[#This Row],[Strike]]))</f>
        <v>0</v>
      </c>
      <c r="R530" t="b">
        <f>IF(     ISNUMBER(Table133[[#This Row],[Strike]]),RTD("tos.rtd", , "ASK", "."&amp;Table133[[#This Row],[Ticker]]&amp;Table133[[#This Row],[Expiry]]&amp;""&amp;"P"&amp;Table133[[#This Row],[Strike]]))</f>
        <v>0</v>
      </c>
      <c r="S530" s="17"/>
      <c r="T530" t="b">
        <f>IF(     ISNUMBER(Table133[[#This Row],[Strike]]),RTD("tos.rtd", , "OPEN_INT", "."&amp;Table133[[#This Row],[Ticker]]&amp;Table133[[#This Row],[Expiry]]&amp;""&amp;"P"&amp;Table133[[#This Row],[Strike]]))</f>
        <v>0</v>
      </c>
      <c r="U53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0" t="b">
        <f>IF(     ISNUMBER(Table133[[#This Row],[Strike]]),RTD("tos.rtd", , "DELTA", "."&amp;Table133[[#This Row],[Ticker]]&amp;Table133[[#This Row],[Expiry]]&amp;""&amp;"P"&amp;Table133[[#This Row],[Strike]]))</f>
        <v>0</v>
      </c>
      <c r="Y530" s="19">
        <f>7* IF($M$1="NDX", 10, IF(OR($M$1="SPX", $M$1="RUT"), 2, 1))</f>
        <v>14</v>
      </c>
      <c r="Z530">
        <f ca="1">IFERROR(Table133[[#This Row],[call gamma]]*(Table133[[#This Row],[Open.Int]])*$A$4^2,0)</f>
        <v>0</v>
      </c>
      <c r="AA530">
        <f ca="1">IFERROR(((Table133[[#This Row],[Open.Int8]])*Table133[[#This Row],[Put gamma]])*-1*$A$4^2,0)</f>
        <v>0</v>
      </c>
      <c r="AB530">
        <f ca="1">(Table133[[#This Row],[Call Gex]]+Table133[[#This Row],[Put Gex]])</f>
        <v>0</v>
      </c>
      <c r="AC530">
        <f ca="1">Table133[[#This Row],[put delta adj]]+Table133[[#This Row],[call delta adj]]</f>
        <v>0</v>
      </c>
      <c r="AD530">
        <f ca="1">Table133[[#This Row],[Put Gex]]*Table133[[#This Row],[DeltaP]]*-1</f>
        <v>0</v>
      </c>
      <c r="AE530">
        <f ca="1">Table133[[#This Row],[Call Gex]]*Table133[[#This Row],[DeltaC]]</f>
        <v>0</v>
      </c>
      <c r="AF530">
        <f>IF(Table133[[#This Row],[DeltaC]]-ABS(Table133[[#This Row],[DeltaP]])="0","0.01",Table133[[#This Row],[DeltaC]]-ABS(Table133[[#This Row],[DeltaP]]))</f>
        <v>0</v>
      </c>
      <c r="AG530" t="e">
        <f ca="1">((LN($A$4/Table133[[#This Row],[Strike]]) + (0.411 + 0.5 * Table133[[#This Row],[IV Calc P]]^2) *Table133[[#This Row],[T]])) / (Table133[[#This Row],[IV Calc P]] * SQRT(Table133[[#This Row],[T]]))</f>
        <v>#DIV/0!</v>
      </c>
      <c r="AH530" t="e">
        <f ca="1">(LN($A$4/Table133[[#This Row],[Strike]]) + (0.411-0 + 0.5 * Table133[[#This Row],[IV Calc C]]^2) *Table133[[#This Row],[T]]) / (Table133[[#This Row],[IV Calc C]] * SQRT(Table133[[#This Row],[T]]))</f>
        <v>#DIV/0!</v>
      </c>
      <c r="AI530" t="e">
        <f ca="1">(EXP(-(AG530^2)/2)/SQRT(2*PI())*EXP(0*SQRT(Table133[[#This Row],[T]]))/$A$4*18%*SQRT(SQRT(Table133[[#This Row],[T]])))</f>
        <v>#DIV/0!</v>
      </c>
      <c r="AJ530" t="e">
        <f ca="1">(EXP(-(AH530^2)/2)/SQRT(2*PI())*EXP(0*SQRT(Table133[[#This Row],[T]]))/$A$4*18%*SQRT(SQRT(Table133[[#This Row],[T]])))</f>
        <v>#DIV/0!</v>
      </c>
      <c r="AK530" t="e">
        <f ca="1">Table133[[#This Row],[Call D1]]-Table133[[#This Row],[IV Calc C]]*SQRT(Table133[[#This Row],[T]])</f>
        <v>#DIV/0!</v>
      </c>
      <c r="AL530" t="e">
        <f ca="1">Table133[[#This Row],[Put D1]]-Table133[[#This Row],[IV Calc P]]*SQRT(Table133[[#This Row],[T]])</f>
        <v>#DIV/0!</v>
      </c>
      <c r="AM530" t="e">
        <f ca="1">EXP(-0.5*Table133[[#This Row],[Call D1]]^2)/SQRT(2*PI())</f>
        <v>#DIV/0!</v>
      </c>
      <c r="AN530" t="e">
        <f ca="1">EXP(-0.5*Table133[[#This Row],[Put D1]]^2)/SQRT(2*PI())</f>
        <v>#DIV/0!</v>
      </c>
      <c r="AO53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0">
        <f ca="1">((Table133[[#This Row],[call vanna]]+Table133[[#This Row],[put vanna]])*$A$4)</f>
        <v>0</v>
      </c>
      <c r="AR53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0" s="9" t="str" cm="1">
        <f t="array" ref="AT530">_xlfn.IFS(     $M$1="SPX","SPXW",     $M$1="RUT","RUTW",  $M$1="NDX","NDXP",   TRUE,$M$1 )</f>
        <v>SPXW</v>
      </c>
      <c r="AU530" s="2">
        <f t="shared" si="52"/>
        <v>6915</v>
      </c>
      <c r="AV530" t="str">
        <f t="shared" si="53"/>
        <v>000100</v>
      </c>
      <c r="AY53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0">
        <f>((Table133[[#This Row],[High C]]+Table133[[#This Row],[Low C]])/2)*Table133[[#This Row],[gammac]]*Table133[[#This Row],[Volume]]</f>
        <v>0</v>
      </c>
      <c r="BD530">
        <f>((Table133[[#This Row],[High P]]+Table133[[#This Row],[Low P]])/2)*Table133[[#This Row],[gammap]]*Table133[[#This Row],[Volume9]]*-1</f>
        <v>0</v>
      </c>
      <c r="BE530">
        <f>(Table133[[#This Row],[SgammaC]]+Table133[[#This Row],[SgammaP]])*$A$4*-100</f>
        <v>0</v>
      </c>
      <c r="BF530" s="78">
        <f>Table133[[#This Row],[DEXc]]+Table133[[#This Row],[DEXp]]</f>
        <v>0</v>
      </c>
      <c r="BG530">
        <f>IFERROR(Table133[[#This Row],[DeltaC]]*Table133[[#This Row],[Open.Int]]*$A$4,0)</f>
        <v>0</v>
      </c>
      <c r="BH530">
        <f>IFERROR(Table133[[#This Row],[DeltaP]]*Table133[[#This Row],[Open.Int8]]*$A$4,0)</f>
        <v>0</v>
      </c>
      <c r="BI53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0">
        <f ca="1">Table133[[#This Row],[charmc]]+Table133[[#This Row],[charmp]]</f>
        <v>0</v>
      </c>
      <c r="BL53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0" s="78">
        <f ca="1">Table133[[#This Row],[call helper]]+Table133[[#This Row],[put helper]]</f>
        <v>0</v>
      </c>
      <c r="BP530" t="str">
        <f>RTD("tos.rtd", , "STRIKE", "."&amp;Table133[[#This Row],[Ticker]]&amp;Table133[[#This Row],[Expiry]]&amp;""&amp;"C"&amp;Table133[[#This Row],[Spot]]+Table133[[#This Row],[step]])</f>
        <v>N/A</v>
      </c>
    </row>
    <row r="531" spans="1:68" x14ac:dyDescent="0.25">
      <c r="A531" s="14">
        <f t="shared" ca="1" si="49"/>
        <v>-126.14810350076104</v>
      </c>
      <c r="C531" s="17"/>
      <c r="D531" t="str">
        <f>RTD("tos.rtd", , "OPEN_INT", "."&amp;Table133[[#This Row],[Ticker]]&amp;Table133[[#This Row],[Expiry]]&amp;""&amp;"C"&amp;Table133[[#This Row],[Spot]]+Table133[[#This Row],[step]])</f>
        <v>N/A</v>
      </c>
      <c r="E53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1" t="b">
        <f>IF(     ISNUMBER(Table133[[#This Row],[Strike]]),RTD("tos.rtd", , "DELTA", "."&amp;Table133[[#This Row],[Ticker]]&amp;Table133[[#This Row],[Expiry]]&amp;""&amp;"C"&amp;Table133[[#This Row],[Strike]]))</f>
        <v>0</v>
      </c>
      <c r="H531" s="17" cm="1">
        <f t="array" aca="1" ref="H531" ca="1">IndividualLegIVCore($A$4, Table133[[#This Row],[Strike]], 0.0411, Table133[[#This Row],[T]], ((Table133[[#This Row],[BIDC]]+Table133[[#This Row],[ASKC]])/2), TRUE)</f>
        <v>0.01</v>
      </c>
      <c r="I531" t="b">
        <f>IF(     ISNUMBER(Table133[[#This Row],[Strike]]),RTD("tos.rtd", , "BID", "."&amp;Table133[[#This Row],[Ticker]]&amp;Table133[[#This Row],[Expiry]]&amp;""&amp;"C"&amp;Table133[[#This Row],[Strike]]))</f>
        <v>0</v>
      </c>
      <c r="J531" t="b">
        <f>IF(     ISNUMBER(Table133[[#This Row],[Strike]]),RTD("tos.rtd", , "ASK", "."&amp;Table133[[#This Row],[Ticker]]&amp;Table133[[#This Row],[Expiry]]&amp;""&amp;"C"&amp;Table133[[#This Row],[Strike]]))</f>
        <v>0</v>
      </c>
      <c r="K531" s="17"/>
      <c r="M531" s="1">
        <f t="shared" si="50"/>
        <v>0</v>
      </c>
      <c r="N531" t="b">
        <f t="shared" si="51"/>
        <v>0</v>
      </c>
      <c r="P531" s="17" cm="1">
        <f t="array" aca="1" ref="P531" ca="1">IndividualLegIVCore($A$4, Table133[[#This Row],[Strike]], 0.0411, Table133[[#This Row],[T]], ((Table133[[#This Row],[BIDP]]+Table133[[#This Row],[ASKP]])/2), FALSE)</f>
        <v>0.01</v>
      </c>
      <c r="Q531" t="b">
        <f>IF(     ISNUMBER(Table133[[#This Row],[Strike]]),RTD("tos.rtd", , "BID", "."&amp;Table133[[#This Row],[Ticker]]&amp;Table133[[#This Row],[Expiry]]&amp;""&amp;"P"&amp;Table133[[#This Row],[Strike]]))</f>
        <v>0</v>
      </c>
      <c r="R531" t="b">
        <f>IF(     ISNUMBER(Table133[[#This Row],[Strike]]),RTD("tos.rtd", , "ASK", "."&amp;Table133[[#This Row],[Ticker]]&amp;Table133[[#This Row],[Expiry]]&amp;""&amp;"P"&amp;Table133[[#This Row],[Strike]]))</f>
        <v>0</v>
      </c>
      <c r="S531" s="17"/>
      <c r="T531" t="b">
        <f>IF(     ISNUMBER(Table133[[#This Row],[Strike]]),RTD("tos.rtd", , "OPEN_INT", "."&amp;Table133[[#This Row],[Ticker]]&amp;Table133[[#This Row],[Expiry]]&amp;""&amp;"P"&amp;Table133[[#This Row],[Strike]]))</f>
        <v>0</v>
      </c>
      <c r="U53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1" t="b">
        <f>IF(     ISNUMBER(Table133[[#This Row],[Strike]]),RTD("tos.rtd", , "DELTA", "."&amp;Table133[[#This Row],[Ticker]]&amp;Table133[[#This Row],[Expiry]]&amp;""&amp;"P"&amp;Table133[[#This Row],[Strike]]))</f>
        <v>0</v>
      </c>
      <c r="Y531" s="19">
        <f>7.5* IF($M$1="NDX", 10, IF(OR($M$1="SPX", $M$1="RUT"), 2, 1))</f>
        <v>15</v>
      </c>
      <c r="Z531">
        <f ca="1">IFERROR(Table133[[#This Row],[call gamma]]*(Table133[[#This Row],[Open.Int]])*$A$4^2,0)</f>
        <v>0</v>
      </c>
      <c r="AA531">
        <f ca="1">IFERROR(((Table133[[#This Row],[Open.Int8]])*Table133[[#This Row],[Put gamma]])*-1*$A$4^2,0)</f>
        <v>0</v>
      </c>
      <c r="AB531">
        <f ca="1">(Table133[[#This Row],[Call Gex]]+Table133[[#This Row],[Put Gex]])</f>
        <v>0</v>
      </c>
      <c r="AC531">
        <f ca="1">Table133[[#This Row],[put delta adj]]+Table133[[#This Row],[call delta adj]]</f>
        <v>0</v>
      </c>
      <c r="AD531">
        <f ca="1">Table133[[#This Row],[Put Gex]]*Table133[[#This Row],[DeltaP]]*-1</f>
        <v>0</v>
      </c>
      <c r="AE531">
        <f ca="1">Table133[[#This Row],[Call Gex]]*Table133[[#This Row],[DeltaC]]</f>
        <v>0</v>
      </c>
      <c r="AF531">
        <f>IF(Table133[[#This Row],[DeltaC]]-ABS(Table133[[#This Row],[DeltaP]])="0","0.01",Table133[[#This Row],[DeltaC]]-ABS(Table133[[#This Row],[DeltaP]]))</f>
        <v>0</v>
      </c>
      <c r="AG531" t="e">
        <f ca="1">((LN($A$4/Table133[[#This Row],[Strike]]) + (0.411 + 0.5 * Table133[[#This Row],[IV Calc P]]^2) *Table133[[#This Row],[T]])) / (Table133[[#This Row],[IV Calc P]] * SQRT(Table133[[#This Row],[T]]))</f>
        <v>#DIV/0!</v>
      </c>
      <c r="AH531" t="e">
        <f ca="1">(LN($A$4/Table133[[#This Row],[Strike]]) + (0.411-0 + 0.5 * Table133[[#This Row],[IV Calc C]]^2) *Table133[[#This Row],[T]]) / (Table133[[#This Row],[IV Calc C]] * SQRT(Table133[[#This Row],[T]]))</f>
        <v>#DIV/0!</v>
      </c>
      <c r="AI531" t="e">
        <f ca="1">(EXP(-(AG531^2)/2)/SQRT(2*PI())*EXP(0*SQRT(Table133[[#This Row],[T]]))/$A$4*18%*SQRT(SQRT(Table133[[#This Row],[T]])))</f>
        <v>#DIV/0!</v>
      </c>
      <c r="AJ531" t="e">
        <f ca="1">(EXP(-(AH531^2)/2)/SQRT(2*PI())*EXP(0*SQRT(Table133[[#This Row],[T]]))/$A$4*18%*SQRT(SQRT(Table133[[#This Row],[T]])))</f>
        <v>#DIV/0!</v>
      </c>
      <c r="AK531" t="e">
        <f ca="1">Table133[[#This Row],[Call D1]]-Table133[[#This Row],[IV Calc C]]*SQRT(Table133[[#This Row],[T]])</f>
        <v>#DIV/0!</v>
      </c>
      <c r="AL531" t="e">
        <f ca="1">Table133[[#This Row],[Put D1]]-Table133[[#This Row],[IV Calc P]]*SQRT(Table133[[#This Row],[T]])</f>
        <v>#DIV/0!</v>
      </c>
      <c r="AM531" t="e">
        <f ca="1">EXP(-0.5*Table133[[#This Row],[Call D1]]^2)/SQRT(2*PI())</f>
        <v>#DIV/0!</v>
      </c>
      <c r="AN531" t="e">
        <f ca="1">EXP(-0.5*Table133[[#This Row],[Put D1]]^2)/SQRT(2*PI())</f>
        <v>#DIV/0!</v>
      </c>
      <c r="AO53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1">
        <f ca="1">((Table133[[#This Row],[call vanna]]+Table133[[#This Row],[put vanna]])*$A$4)</f>
        <v>0</v>
      </c>
      <c r="AR53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1" s="9" t="str" cm="1">
        <f t="array" ref="AT531">_xlfn.IFS(     $M$1="SPX","SPXW",     $M$1="RUT","RUTW",  $M$1="NDX","NDXP",   TRUE,$M$1 )</f>
        <v>SPXW</v>
      </c>
      <c r="AU531" s="2">
        <f t="shared" si="52"/>
        <v>6915</v>
      </c>
      <c r="AV531" t="str">
        <f t="shared" si="53"/>
        <v>000100</v>
      </c>
      <c r="AY53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1">
        <f>((Table133[[#This Row],[High C]]+Table133[[#This Row],[Low C]])/2)*Table133[[#This Row],[gammac]]*Table133[[#This Row],[Volume]]</f>
        <v>0</v>
      </c>
      <c r="BD531">
        <f>((Table133[[#This Row],[High P]]+Table133[[#This Row],[Low P]])/2)*Table133[[#This Row],[gammap]]*Table133[[#This Row],[Volume9]]*-1</f>
        <v>0</v>
      </c>
      <c r="BE531">
        <f>(Table133[[#This Row],[SgammaC]]+Table133[[#This Row],[SgammaP]])*$A$4*-100</f>
        <v>0</v>
      </c>
      <c r="BF531" s="78">
        <f>Table133[[#This Row],[DEXc]]+Table133[[#This Row],[DEXp]]</f>
        <v>0</v>
      </c>
      <c r="BG531">
        <f>IFERROR(Table133[[#This Row],[DeltaC]]*Table133[[#This Row],[Open.Int]]*$A$4,0)</f>
        <v>0</v>
      </c>
      <c r="BH531">
        <f>IFERROR(Table133[[#This Row],[DeltaP]]*Table133[[#This Row],[Open.Int8]]*$A$4,0)</f>
        <v>0</v>
      </c>
      <c r="BI53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1">
        <f ca="1">Table133[[#This Row],[charmc]]+Table133[[#This Row],[charmp]]</f>
        <v>0</v>
      </c>
      <c r="BL53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1" s="78">
        <f ca="1">Table133[[#This Row],[call helper]]+Table133[[#This Row],[put helper]]</f>
        <v>0</v>
      </c>
      <c r="BP531" t="str">
        <f>RTD("tos.rtd", , "STRIKE", "."&amp;Table133[[#This Row],[Ticker]]&amp;Table133[[#This Row],[Expiry]]&amp;""&amp;"C"&amp;Table133[[#This Row],[Spot]]+Table133[[#This Row],[step]])</f>
        <v>N/A</v>
      </c>
    </row>
    <row r="532" spans="1:68" x14ac:dyDescent="0.25">
      <c r="A532" s="14">
        <f t="shared" ca="1" si="49"/>
        <v>-126.14810350076104</v>
      </c>
      <c r="C532" s="17"/>
      <c r="D532" t="str">
        <f>RTD("tos.rtd", , "OPEN_INT", "."&amp;Table133[[#This Row],[Ticker]]&amp;Table133[[#This Row],[Expiry]]&amp;""&amp;"C"&amp;Table133[[#This Row],[Spot]]+Table133[[#This Row],[step]])</f>
        <v>N/A</v>
      </c>
      <c r="E53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2" t="b">
        <f>IF(     ISNUMBER(Table133[[#This Row],[Strike]]),RTD("tos.rtd", , "DELTA", "."&amp;Table133[[#This Row],[Ticker]]&amp;Table133[[#This Row],[Expiry]]&amp;""&amp;"C"&amp;Table133[[#This Row],[Strike]]))</f>
        <v>0</v>
      </c>
      <c r="H532" s="17" cm="1">
        <f t="array" aca="1" ref="H532" ca="1">IndividualLegIVCore($A$4, Table133[[#This Row],[Strike]], 0.0411, Table133[[#This Row],[T]], ((Table133[[#This Row],[BIDC]]+Table133[[#This Row],[ASKC]])/2), TRUE)</f>
        <v>0.01</v>
      </c>
      <c r="I532" t="b">
        <f>IF(     ISNUMBER(Table133[[#This Row],[Strike]]),RTD("tos.rtd", , "BID", "."&amp;Table133[[#This Row],[Ticker]]&amp;Table133[[#This Row],[Expiry]]&amp;""&amp;"C"&amp;Table133[[#This Row],[Strike]]))</f>
        <v>0</v>
      </c>
      <c r="J532" t="b">
        <f>IF(     ISNUMBER(Table133[[#This Row],[Strike]]),RTD("tos.rtd", , "ASK", "."&amp;Table133[[#This Row],[Ticker]]&amp;Table133[[#This Row],[Expiry]]&amp;""&amp;"C"&amp;Table133[[#This Row],[Strike]]))</f>
        <v>0</v>
      </c>
      <c r="K532" s="17"/>
      <c r="M532" s="1">
        <f t="shared" si="50"/>
        <v>0</v>
      </c>
      <c r="N532" t="b">
        <f t="shared" si="51"/>
        <v>0</v>
      </c>
      <c r="P532" s="17" cm="1">
        <f t="array" aca="1" ref="P532" ca="1">IndividualLegIVCore($A$4, Table133[[#This Row],[Strike]], 0.0411, Table133[[#This Row],[T]], ((Table133[[#This Row],[BIDP]]+Table133[[#This Row],[ASKP]])/2), FALSE)</f>
        <v>0.01</v>
      </c>
      <c r="Q532" t="b">
        <f>IF(     ISNUMBER(Table133[[#This Row],[Strike]]),RTD("tos.rtd", , "BID", "."&amp;Table133[[#This Row],[Ticker]]&amp;Table133[[#This Row],[Expiry]]&amp;""&amp;"P"&amp;Table133[[#This Row],[Strike]]))</f>
        <v>0</v>
      </c>
      <c r="R532" t="b">
        <f>IF(     ISNUMBER(Table133[[#This Row],[Strike]]),RTD("tos.rtd", , "ASK", "."&amp;Table133[[#This Row],[Ticker]]&amp;Table133[[#This Row],[Expiry]]&amp;""&amp;"P"&amp;Table133[[#This Row],[Strike]]))</f>
        <v>0</v>
      </c>
      <c r="S532" s="17"/>
      <c r="T532" t="b">
        <f>IF(     ISNUMBER(Table133[[#This Row],[Strike]]),RTD("tos.rtd", , "OPEN_INT", "."&amp;Table133[[#This Row],[Ticker]]&amp;Table133[[#This Row],[Expiry]]&amp;""&amp;"P"&amp;Table133[[#This Row],[Strike]]))</f>
        <v>0</v>
      </c>
      <c r="U53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2" t="b">
        <f>IF(     ISNUMBER(Table133[[#This Row],[Strike]]),RTD("tos.rtd", , "DELTA", "."&amp;Table133[[#This Row],[Ticker]]&amp;Table133[[#This Row],[Expiry]]&amp;""&amp;"P"&amp;Table133[[#This Row],[Strike]]))</f>
        <v>0</v>
      </c>
      <c r="Y532" s="19">
        <f>8* IF($M$1="NDX", 10, IF(OR($M$1="SPX", $M$1="RUT"), 2, 1))</f>
        <v>16</v>
      </c>
      <c r="Z532">
        <f ca="1">IFERROR(Table133[[#This Row],[call gamma]]*(Table133[[#This Row],[Open.Int]])*$A$4^2,0)</f>
        <v>0</v>
      </c>
      <c r="AA532">
        <f ca="1">IFERROR(((Table133[[#This Row],[Open.Int8]])*Table133[[#This Row],[Put gamma]])*-1*$A$4^2,0)</f>
        <v>0</v>
      </c>
      <c r="AB532">
        <f ca="1">(Table133[[#This Row],[Call Gex]]+Table133[[#This Row],[Put Gex]])</f>
        <v>0</v>
      </c>
      <c r="AC532">
        <f ca="1">Table133[[#This Row],[put delta adj]]+Table133[[#This Row],[call delta adj]]</f>
        <v>0</v>
      </c>
      <c r="AD532">
        <f ca="1">Table133[[#This Row],[Put Gex]]*Table133[[#This Row],[DeltaP]]*-1</f>
        <v>0</v>
      </c>
      <c r="AE532">
        <f ca="1">Table133[[#This Row],[Call Gex]]*Table133[[#This Row],[DeltaC]]</f>
        <v>0</v>
      </c>
      <c r="AF532">
        <f>IF(Table133[[#This Row],[DeltaC]]-ABS(Table133[[#This Row],[DeltaP]])="0","0.01",Table133[[#This Row],[DeltaC]]-ABS(Table133[[#This Row],[DeltaP]]))</f>
        <v>0</v>
      </c>
      <c r="AG532" t="e">
        <f ca="1">((LN($A$4/Table133[[#This Row],[Strike]]) + (0.411 + 0.5 * Table133[[#This Row],[IV Calc P]]^2) *Table133[[#This Row],[T]])) / (Table133[[#This Row],[IV Calc P]] * SQRT(Table133[[#This Row],[T]]))</f>
        <v>#DIV/0!</v>
      </c>
      <c r="AH532" t="e">
        <f ca="1">(LN($A$4/Table133[[#This Row],[Strike]]) + (0.411-0 + 0.5 * Table133[[#This Row],[IV Calc C]]^2) *Table133[[#This Row],[T]]) / (Table133[[#This Row],[IV Calc C]] * SQRT(Table133[[#This Row],[T]]))</f>
        <v>#DIV/0!</v>
      </c>
      <c r="AI532" t="e">
        <f ca="1">(EXP(-(AG532^2)/2)/SQRT(2*PI())*EXP(0*SQRT(Table133[[#This Row],[T]]))/$A$4*18%*SQRT(SQRT(Table133[[#This Row],[T]])))</f>
        <v>#DIV/0!</v>
      </c>
      <c r="AJ532" t="e">
        <f ca="1">(EXP(-(AH532^2)/2)/SQRT(2*PI())*EXP(0*SQRT(Table133[[#This Row],[T]]))/$A$4*18%*SQRT(SQRT(Table133[[#This Row],[T]])))</f>
        <v>#DIV/0!</v>
      </c>
      <c r="AK532" t="e">
        <f ca="1">Table133[[#This Row],[Call D1]]-Table133[[#This Row],[IV Calc C]]*SQRT(Table133[[#This Row],[T]])</f>
        <v>#DIV/0!</v>
      </c>
      <c r="AL532" t="e">
        <f ca="1">Table133[[#This Row],[Put D1]]-Table133[[#This Row],[IV Calc P]]*SQRT(Table133[[#This Row],[T]])</f>
        <v>#DIV/0!</v>
      </c>
      <c r="AM532" t="e">
        <f ca="1">EXP(-0.5*Table133[[#This Row],[Call D1]]^2)/SQRT(2*PI())</f>
        <v>#DIV/0!</v>
      </c>
      <c r="AN532" t="e">
        <f ca="1">EXP(-0.5*Table133[[#This Row],[Put D1]]^2)/SQRT(2*PI())</f>
        <v>#DIV/0!</v>
      </c>
      <c r="AO53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2">
        <f ca="1">((Table133[[#This Row],[call vanna]]+Table133[[#This Row],[put vanna]])*$A$4)</f>
        <v>0</v>
      </c>
      <c r="AR53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2" s="9" t="str" cm="1">
        <f t="array" ref="AT532">_xlfn.IFS(     $M$1="SPX","SPXW",     $M$1="RUT","RUTW",  $M$1="NDX","NDXP",   TRUE,$M$1 )</f>
        <v>SPXW</v>
      </c>
      <c r="AU532" s="2">
        <f t="shared" si="52"/>
        <v>6915</v>
      </c>
      <c r="AV532" t="str">
        <f t="shared" si="53"/>
        <v>000100</v>
      </c>
      <c r="AY53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2">
        <f>((Table133[[#This Row],[High C]]+Table133[[#This Row],[Low C]])/2)*Table133[[#This Row],[gammac]]*Table133[[#This Row],[Volume]]</f>
        <v>0</v>
      </c>
      <c r="BD532">
        <f>((Table133[[#This Row],[High P]]+Table133[[#This Row],[Low P]])/2)*Table133[[#This Row],[gammap]]*Table133[[#This Row],[Volume9]]*-1</f>
        <v>0</v>
      </c>
      <c r="BE532">
        <f>(Table133[[#This Row],[SgammaC]]+Table133[[#This Row],[SgammaP]])*$A$4*-100</f>
        <v>0</v>
      </c>
      <c r="BF532" s="78">
        <f>Table133[[#This Row],[DEXc]]+Table133[[#This Row],[DEXp]]</f>
        <v>0</v>
      </c>
      <c r="BG532">
        <f>IFERROR(Table133[[#This Row],[DeltaC]]*Table133[[#This Row],[Open.Int]]*$A$4,0)</f>
        <v>0</v>
      </c>
      <c r="BH532">
        <f>IFERROR(Table133[[#This Row],[DeltaP]]*Table133[[#This Row],[Open.Int8]]*$A$4,0)</f>
        <v>0</v>
      </c>
      <c r="BI53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2">
        <f ca="1">Table133[[#This Row],[charmc]]+Table133[[#This Row],[charmp]]</f>
        <v>0</v>
      </c>
      <c r="BL53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2" s="78">
        <f ca="1">Table133[[#This Row],[call helper]]+Table133[[#This Row],[put helper]]</f>
        <v>0</v>
      </c>
      <c r="BP532" t="str">
        <f>RTD("tos.rtd", , "STRIKE", "."&amp;Table133[[#This Row],[Ticker]]&amp;Table133[[#This Row],[Expiry]]&amp;""&amp;"C"&amp;Table133[[#This Row],[Spot]]+Table133[[#This Row],[step]])</f>
        <v>N/A</v>
      </c>
    </row>
    <row r="533" spans="1:68" x14ac:dyDescent="0.25">
      <c r="A533" s="14">
        <f t="shared" ca="1" si="49"/>
        <v>-126.14810350076104</v>
      </c>
      <c r="C533" s="17"/>
      <c r="D533" t="str">
        <f>RTD("tos.rtd", , "OPEN_INT", "."&amp;Table133[[#This Row],[Ticker]]&amp;Table133[[#This Row],[Expiry]]&amp;""&amp;"C"&amp;Table133[[#This Row],[Spot]]+Table133[[#This Row],[step]])</f>
        <v>N/A</v>
      </c>
      <c r="E53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3" t="b">
        <f>IF(     ISNUMBER(Table133[[#This Row],[Strike]]),RTD("tos.rtd", , "DELTA", "."&amp;Table133[[#This Row],[Ticker]]&amp;Table133[[#This Row],[Expiry]]&amp;""&amp;"C"&amp;Table133[[#This Row],[Strike]]))</f>
        <v>0</v>
      </c>
      <c r="H533" s="17" cm="1">
        <f t="array" aca="1" ref="H533" ca="1">IndividualLegIVCore($A$4, Table133[[#This Row],[Strike]], 0.0411, Table133[[#This Row],[T]], ((Table133[[#This Row],[BIDC]]+Table133[[#This Row],[ASKC]])/2), TRUE)</f>
        <v>0.01</v>
      </c>
      <c r="I533" t="b">
        <f>IF(     ISNUMBER(Table133[[#This Row],[Strike]]),RTD("tos.rtd", , "BID", "."&amp;Table133[[#This Row],[Ticker]]&amp;Table133[[#This Row],[Expiry]]&amp;""&amp;"C"&amp;Table133[[#This Row],[Strike]]))</f>
        <v>0</v>
      </c>
      <c r="J533" t="b">
        <f>IF(     ISNUMBER(Table133[[#This Row],[Strike]]),RTD("tos.rtd", , "ASK", "."&amp;Table133[[#This Row],[Ticker]]&amp;Table133[[#This Row],[Expiry]]&amp;""&amp;"C"&amp;Table133[[#This Row],[Strike]]))</f>
        <v>0</v>
      </c>
      <c r="K533" s="17"/>
      <c r="M533" s="1">
        <f t="shared" si="50"/>
        <v>0</v>
      </c>
      <c r="N533" t="b">
        <f t="shared" si="51"/>
        <v>0</v>
      </c>
      <c r="P533" s="17" cm="1">
        <f t="array" aca="1" ref="P533" ca="1">IndividualLegIVCore($A$4, Table133[[#This Row],[Strike]], 0.0411, Table133[[#This Row],[T]], ((Table133[[#This Row],[BIDP]]+Table133[[#This Row],[ASKP]])/2), FALSE)</f>
        <v>0.01</v>
      </c>
      <c r="Q533" t="b">
        <f>IF(     ISNUMBER(Table133[[#This Row],[Strike]]),RTD("tos.rtd", , "BID", "."&amp;Table133[[#This Row],[Ticker]]&amp;Table133[[#This Row],[Expiry]]&amp;""&amp;"P"&amp;Table133[[#This Row],[Strike]]))</f>
        <v>0</v>
      </c>
      <c r="R533" t="b">
        <f>IF(     ISNUMBER(Table133[[#This Row],[Strike]]),RTD("tos.rtd", , "ASK", "."&amp;Table133[[#This Row],[Ticker]]&amp;Table133[[#This Row],[Expiry]]&amp;""&amp;"P"&amp;Table133[[#This Row],[Strike]]))</f>
        <v>0</v>
      </c>
      <c r="S533" s="17"/>
      <c r="T533" t="b">
        <f>IF(     ISNUMBER(Table133[[#This Row],[Strike]]),RTD("tos.rtd", , "OPEN_INT", "."&amp;Table133[[#This Row],[Ticker]]&amp;Table133[[#This Row],[Expiry]]&amp;""&amp;"P"&amp;Table133[[#This Row],[Strike]]))</f>
        <v>0</v>
      </c>
      <c r="U53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3" t="b">
        <f>IF(     ISNUMBER(Table133[[#This Row],[Strike]]),RTD("tos.rtd", , "DELTA", "."&amp;Table133[[#This Row],[Ticker]]&amp;Table133[[#This Row],[Expiry]]&amp;""&amp;"P"&amp;Table133[[#This Row],[Strike]]))</f>
        <v>0</v>
      </c>
      <c r="Y533" s="19">
        <f>8.5* IF($M$1="NDX", 10, IF(OR($M$1="SPX", $M$1="RUT"), 2, 1))</f>
        <v>17</v>
      </c>
      <c r="Z533">
        <f ca="1">IFERROR(Table133[[#This Row],[call gamma]]*(Table133[[#This Row],[Open.Int]])*$A$4^2,0)</f>
        <v>0</v>
      </c>
      <c r="AA533">
        <f ca="1">IFERROR(((Table133[[#This Row],[Open.Int8]])*Table133[[#This Row],[Put gamma]])*-1*$A$4^2,0)</f>
        <v>0</v>
      </c>
      <c r="AB533">
        <f ca="1">(Table133[[#This Row],[Call Gex]]+Table133[[#This Row],[Put Gex]])</f>
        <v>0</v>
      </c>
      <c r="AC533">
        <f ca="1">Table133[[#This Row],[put delta adj]]+Table133[[#This Row],[call delta adj]]</f>
        <v>0</v>
      </c>
      <c r="AD533">
        <f ca="1">Table133[[#This Row],[Put Gex]]*Table133[[#This Row],[DeltaP]]*-1</f>
        <v>0</v>
      </c>
      <c r="AE533">
        <f ca="1">Table133[[#This Row],[Call Gex]]*Table133[[#This Row],[DeltaC]]</f>
        <v>0</v>
      </c>
      <c r="AF533">
        <f>IF(Table133[[#This Row],[DeltaC]]-ABS(Table133[[#This Row],[DeltaP]])="0","0.01",Table133[[#This Row],[DeltaC]]-ABS(Table133[[#This Row],[DeltaP]]))</f>
        <v>0</v>
      </c>
      <c r="AG533" t="e">
        <f ca="1">((LN($A$4/Table133[[#This Row],[Strike]]) + (0.411 + 0.5 * Table133[[#This Row],[IV Calc P]]^2) *Table133[[#This Row],[T]])) / (Table133[[#This Row],[IV Calc P]] * SQRT(Table133[[#This Row],[T]]))</f>
        <v>#DIV/0!</v>
      </c>
      <c r="AH533" t="e">
        <f ca="1">(LN($A$4/Table133[[#This Row],[Strike]]) + (0.411-0 + 0.5 * Table133[[#This Row],[IV Calc C]]^2) *Table133[[#This Row],[T]]) / (Table133[[#This Row],[IV Calc C]] * SQRT(Table133[[#This Row],[T]]))</f>
        <v>#DIV/0!</v>
      </c>
      <c r="AI533" t="e">
        <f ca="1">(EXP(-(AG533^2)/2)/SQRT(2*PI())*EXP(0*SQRT(Table133[[#This Row],[T]]))/$A$4*18%*SQRT(SQRT(Table133[[#This Row],[T]])))</f>
        <v>#DIV/0!</v>
      </c>
      <c r="AJ533" t="e">
        <f ca="1">(EXP(-(AH533^2)/2)/SQRT(2*PI())*EXP(0*SQRT(Table133[[#This Row],[T]]))/$A$4*18%*SQRT(SQRT(Table133[[#This Row],[T]])))</f>
        <v>#DIV/0!</v>
      </c>
      <c r="AK533" t="e">
        <f ca="1">Table133[[#This Row],[Call D1]]-Table133[[#This Row],[IV Calc C]]*SQRT(Table133[[#This Row],[T]])</f>
        <v>#DIV/0!</v>
      </c>
      <c r="AL533" t="e">
        <f ca="1">Table133[[#This Row],[Put D1]]-Table133[[#This Row],[IV Calc P]]*SQRT(Table133[[#This Row],[T]])</f>
        <v>#DIV/0!</v>
      </c>
      <c r="AM533" t="e">
        <f ca="1">EXP(-0.5*Table133[[#This Row],[Call D1]]^2)/SQRT(2*PI())</f>
        <v>#DIV/0!</v>
      </c>
      <c r="AN533" t="e">
        <f ca="1">EXP(-0.5*Table133[[#This Row],[Put D1]]^2)/SQRT(2*PI())</f>
        <v>#DIV/0!</v>
      </c>
      <c r="AO53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3">
        <f ca="1">((Table133[[#This Row],[call vanna]]+Table133[[#This Row],[put vanna]])*$A$4)</f>
        <v>0</v>
      </c>
      <c r="AR53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3" s="9" t="str" cm="1">
        <f t="array" ref="AT533">_xlfn.IFS(     $M$1="SPX","SPXW",     $M$1="RUT","RUTW",  $M$1="NDX","NDXP",   TRUE,$M$1 )</f>
        <v>SPXW</v>
      </c>
      <c r="AU533" s="2">
        <f t="shared" si="52"/>
        <v>6915</v>
      </c>
      <c r="AV533" t="str">
        <f t="shared" si="53"/>
        <v>000100</v>
      </c>
      <c r="AY53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3">
        <f>((Table133[[#This Row],[High C]]+Table133[[#This Row],[Low C]])/2)*Table133[[#This Row],[gammac]]*Table133[[#This Row],[Volume]]</f>
        <v>0</v>
      </c>
      <c r="BD533">
        <f>((Table133[[#This Row],[High P]]+Table133[[#This Row],[Low P]])/2)*Table133[[#This Row],[gammap]]*Table133[[#This Row],[Volume9]]*-1</f>
        <v>0</v>
      </c>
      <c r="BE533">
        <f>(Table133[[#This Row],[SgammaC]]+Table133[[#This Row],[SgammaP]])*$A$4*-100</f>
        <v>0</v>
      </c>
      <c r="BF533" s="78">
        <f>Table133[[#This Row],[DEXc]]+Table133[[#This Row],[DEXp]]</f>
        <v>0</v>
      </c>
      <c r="BG533">
        <f>IFERROR(Table133[[#This Row],[DeltaC]]*Table133[[#This Row],[Open.Int]]*$A$4,0)</f>
        <v>0</v>
      </c>
      <c r="BH533">
        <f>IFERROR(Table133[[#This Row],[DeltaP]]*Table133[[#This Row],[Open.Int8]]*$A$4,0)</f>
        <v>0</v>
      </c>
      <c r="BI53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3">
        <f ca="1">Table133[[#This Row],[charmc]]+Table133[[#This Row],[charmp]]</f>
        <v>0</v>
      </c>
      <c r="BL53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3" s="78">
        <f ca="1">Table133[[#This Row],[call helper]]+Table133[[#This Row],[put helper]]</f>
        <v>0</v>
      </c>
      <c r="BP533" t="str">
        <f>RTD("tos.rtd", , "STRIKE", "."&amp;Table133[[#This Row],[Ticker]]&amp;Table133[[#This Row],[Expiry]]&amp;""&amp;"C"&amp;Table133[[#This Row],[Spot]]+Table133[[#This Row],[step]])</f>
        <v>N/A</v>
      </c>
    </row>
    <row r="534" spans="1:68" x14ac:dyDescent="0.25">
      <c r="A534" s="14">
        <f t="shared" ca="1" si="49"/>
        <v>-126.14810350076104</v>
      </c>
      <c r="C534" s="17"/>
      <c r="D534" t="str">
        <f>RTD("tos.rtd", , "OPEN_INT", "."&amp;Table133[[#This Row],[Ticker]]&amp;Table133[[#This Row],[Expiry]]&amp;""&amp;"C"&amp;Table133[[#This Row],[Spot]]+Table133[[#This Row],[step]])</f>
        <v>N/A</v>
      </c>
      <c r="E53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4" t="b">
        <f>IF(     ISNUMBER(Table133[[#This Row],[Strike]]),RTD("tos.rtd", , "DELTA", "."&amp;Table133[[#This Row],[Ticker]]&amp;Table133[[#This Row],[Expiry]]&amp;""&amp;"C"&amp;Table133[[#This Row],[Strike]]))</f>
        <v>0</v>
      </c>
      <c r="H534" s="17" cm="1">
        <f t="array" aca="1" ref="H534" ca="1">IndividualLegIVCore($A$4, Table133[[#This Row],[Strike]], 0.0411, Table133[[#This Row],[T]], ((Table133[[#This Row],[BIDC]]+Table133[[#This Row],[ASKC]])/2), TRUE)</f>
        <v>0.01</v>
      </c>
      <c r="I534" t="b">
        <f>IF(     ISNUMBER(Table133[[#This Row],[Strike]]),RTD("tos.rtd", , "BID", "."&amp;Table133[[#This Row],[Ticker]]&amp;Table133[[#This Row],[Expiry]]&amp;""&amp;"C"&amp;Table133[[#This Row],[Strike]]))</f>
        <v>0</v>
      </c>
      <c r="J534" t="b">
        <f>IF(     ISNUMBER(Table133[[#This Row],[Strike]]),RTD("tos.rtd", , "ASK", "."&amp;Table133[[#This Row],[Ticker]]&amp;Table133[[#This Row],[Expiry]]&amp;""&amp;"C"&amp;Table133[[#This Row],[Strike]]))</f>
        <v>0</v>
      </c>
      <c r="K534" s="17"/>
      <c r="M534" s="1">
        <f t="shared" si="50"/>
        <v>0</v>
      </c>
      <c r="N534" t="b">
        <f t="shared" si="51"/>
        <v>0</v>
      </c>
      <c r="P534" s="17" cm="1">
        <f t="array" aca="1" ref="P534" ca="1">IndividualLegIVCore($A$4, Table133[[#This Row],[Strike]], 0.0411, Table133[[#This Row],[T]], ((Table133[[#This Row],[BIDP]]+Table133[[#This Row],[ASKP]])/2), FALSE)</f>
        <v>0.01</v>
      </c>
      <c r="Q534" t="b">
        <f>IF(     ISNUMBER(Table133[[#This Row],[Strike]]),RTD("tos.rtd", , "BID", "."&amp;Table133[[#This Row],[Ticker]]&amp;Table133[[#This Row],[Expiry]]&amp;""&amp;"P"&amp;Table133[[#This Row],[Strike]]))</f>
        <v>0</v>
      </c>
      <c r="R534" t="b">
        <f>IF(     ISNUMBER(Table133[[#This Row],[Strike]]),RTD("tos.rtd", , "ASK", "."&amp;Table133[[#This Row],[Ticker]]&amp;Table133[[#This Row],[Expiry]]&amp;""&amp;"P"&amp;Table133[[#This Row],[Strike]]))</f>
        <v>0</v>
      </c>
      <c r="S534" s="17"/>
      <c r="T534" t="b">
        <f>IF(     ISNUMBER(Table133[[#This Row],[Strike]]),RTD("tos.rtd", , "OPEN_INT", "."&amp;Table133[[#This Row],[Ticker]]&amp;Table133[[#This Row],[Expiry]]&amp;""&amp;"P"&amp;Table133[[#This Row],[Strike]]))</f>
        <v>0</v>
      </c>
      <c r="U53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4" t="b">
        <f>IF(     ISNUMBER(Table133[[#This Row],[Strike]]),RTD("tos.rtd", , "DELTA", "."&amp;Table133[[#This Row],[Ticker]]&amp;Table133[[#This Row],[Expiry]]&amp;""&amp;"P"&amp;Table133[[#This Row],[Strike]]))</f>
        <v>0</v>
      </c>
      <c r="Y534" s="19">
        <f>9* IF($M$1="NDX", 10, IF(OR($M$1="SPX", $M$1="RUT"), 2, 1))</f>
        <v>18</v>
      </c>
      <c r="Z534">
        <f ca="1">IFERROR(Table133[[#This Row],[call gamma]]*(Table133[[#This Row],[Open.Int]])*$A$4^2,0)</f>
        <v>0</v>
      </c>
      <c r="AA534">
        <f ca="1">IFERROR(((Table133[[#This Row],[Open.Int8]])*Table133[[#This Row],[Put gamma]])*-1*$A$4^2,0)</f>
        <v>0</v>
      </c>
      <c r="AB534">
        <f ca="1">(Table133[[#This Row],[Call Gex]]+Table133[[#This Row],[Put Gex]])</f>
        <v>0</v>
      </c>
      <c r="AC534">
        <f ca="1">Table133[[#This Row],[put delta adj]]+Table133[[#This Row],[call delta adj]]</f>
        <v>0</v>
      </c>
      <c r="AD534">
        <f ca="1">Table133[[#This Row],[Put Gex]]*Table133[[#This Row],[DeltaP]]*-1</f>
        <v>0</v>
      </c>
      <c r="AE534">
        <f ca="1">Table133[[#This Row],[Call Gex]]*Table133[[#This Row],[DeltaC]]</f>
        <v>0</v>
      </c>
      <c r="AF534">
        <f>IF(Table133[[#This Row],[DeltaC]]-ABS(Table133[[#This Row],[DeltaP]])="0","0.01",Table133[[#This Row],[DeltaC]]-ABS(Table133[[#This Row],[DeltaP]]))</f>
        <v>0</v>
      </c>
      <c r="AG534" t="e">
        <f ca="1">((LN($A$4/Table133[[#This Row],[Strike]]) + (0.411 + 0.5 * Table133[[#This Row],[IV Calc P]]^2) *Table133[[#This Row],[T]])) / (Table133[[#This Row],[IV Calc P]] * SQRT(Table133[[#This Row],[T]]))</f>
        <v>#DIV/0!</v>
      </c>
      <c r="AH534" t="e">
        <f ca="1">(LN($A$4/Table133[[#This Row],[Strike]]) + (0.411-0 + 0.5 * Table133[[#This Row],[IV Calc C]]^2) *Table133[[#This Row],[T]]) / (Table133[[#This Row],[IV Calc C]] * SQRT(Table133[[#This Row],[T]]))</f>
        <v>#DIV/0!</v>
      </c>
      <c r="AI534" t="e">
        <f ca="1">(EXP(-(AG534^2)/2)/SQRT(2*PI())*EXP(0*SQRT(Table133[[#This Row],[T]]))/$A$4*18%*SQRT(SQRT(Table133[[#This Row],[T]])))</f>
        <v>#DIV/0!</v>
      </c>
      <c r="AJ534" t="e">
        <f ca="1">(EXP(-(AH534^2)/2)/SQRT(2*PI())*EXP(0*SQRT(Table133[[#This Row],[T]]))/$A$4*18%*SQRT(SQRT(Table133[[#This Row],[T]])))</f>
        <v>#DIV/0!</v>
      </c>
      <c r="AK534" t="e">
        <f ca="1">Table133[[#This Row],[Call D1]]-Table133[[#This Row],[IV Calc C]]*SQRT(Table133[[#This Row],[T]])</f>
        <v>#DIV/0!</v>
      </c>
      <c r="AL534" t="e">
        <f ca="1">Table133[[#This Row],[Put D1]]-Table133[[#This Row],[IV Calc P]]*SQRT(Table133[[#This Row],[T]])</f>
        <v>#DIV/0!</v>
      </c>
      <c r="AM534" t="e">
        <f ca="1">EXP(-0.5*Table133[[#This Row],[Call D1]]^2)/SQRT(2*PI())</f>
        <v>#DIV/0!</v>
      </c>
      <c r="AN534" t="e">
        <f ca="1">EXP(-0.5*Table133[[#This Row],[Put D1]]^2)/SQRT(2*PI())</f>
        <v>#DIV/0!</v>
      </c>
      <c r="AO53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4">
        <f ca="1">((Table133[[#This Row],[call vanna]]+Table133[[#This Row],[put vanna]])*$A$4)</f>
        <v>0</v>
      </c>
      <c r="AR53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4" s="9" t="str" cm="1">
        <f t="array" ref="AT534">_xlfn.IFS(     $M$1="SPX","SPXW",     $M$1="RUT","RUTW",  $M$1="NDX","NDXP",   TRUE,$M$1 )</f>
        <v>SPXW</v>
      </c>
      <c r="AU534" s="2">
        <f t="shared" si="52"/>
        <v>6915</v>
      </c>
      <c r="AV534" t="str">
        <f t="shared" si="53"/>
        <v>000100</v>
      </c>
      <c r="AY53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4">
        <f>((Table133[[#This Row],[High C]]+Table133[[#This Row],[Low C]])/2)*Table133[[#This Row],[gammac]]*Table133[[#This Row],[Volume]]</f>
        <v>0</v>
      </c>
      <c r="BD534">
        <f>((Table133[[#This Row],[High P]]+Table133[[#This Row],[Low P]])/2)*Table133[[#This Row],[gammap]]*Table133[[#This Row],[Volume9]]*-1</f>
        <v>0</v>
      </c>
      <c r="BE534">
        <f>(Table133[[#This Row],[SgammaC]]+Table133[[#This Row],[SgammaP]])*$A$4*-100</f>
        <v>0</v>
      </c>
      <c r="BF534" s="78">
        <f>Table133[[#This Row],[DEXc]]+Table133[[#This Row],[DEXp]]</f>
        <v>0</v>
      </c>
      <c r="BG534">
        <f>IFERROR(Table133[[#This Row],[DeltaC]]*Table133[[#This Row],[Open.Int]]*$A$4,0)</f>
        <v>0</v>
      </c>
      <c r="BH534">
        <f>IFERROR(Table133[[#This Row],[DeltaP]]*Table133[[#This Row],[Open.Int8]]*$A$4,0)</f>
        <v>0</v>
      </c>
      <c r="BI53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4">
        <f ca="1">Table133[[#This Row],[charmc]]+Table133[[#This Row],[charmp]]</f>
        <v>0</v>
      </c>
      <c r="BL53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4" s="78">
        <f ca="1">Table133[[#This Row],[call helper]]+Table133[[#This Row],[put helper]]</f>
        <v>0</v>
      </c>
      <c r="BP534" t="str">
        <f>RTD("tos.rtd", , "STRIKE", "."&amp;Table133[[#This Row],[Ticker]]&amp;Table133[[#This Row],[Expiry]]&amp;""&amp;"C"&amp;Table133[[#This Row],[Spot]]+Table133[[#This Row],[step]])</f>
        <v>N/A</v>
      </c>
    </row>
    <row r="535" spans="1:68" x14ac:dyDescent="0.25">
      <c r="A535" s="14">
        <f t="shared" ca="1" si="49"/>
        <v>-126.14810350076104</v>
      </c>
      <c r="C535" s="17"/>
      <c r="D535" t="str">
        <f>RTD("tos.rtd", , "OPEN_INT", "."&amp;Table133[[#This Row],[Ticker]]&amp;Table133[[#This Row],[Expiry]]&amp;""&amp;"C"&amp;Table133[[#This Row],[Spot]]+Table133[[#This Row],[step]])</f>
        <v>N/A</v>
      </c>
      <c r="E53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5" t="b">
        <f>IF(     ISNUMBER(Table133[[#This Row],[Strike]]),RTD("tos.rtd", , "DELTA", "."&amp;Table133[[#This Row],[Ticker]]&amp;Table133[[#This Row],[Expiry]]&amp;""&amp;"C"&amp;Table133[[#This Row],[Strike]]))</f>
        <v>0</v>
      </c>
      <c r="H535" s="17" cm="1">
        <f t="array" aca="1" ref="H535" ca="1">IndividualLegIVCore($A$4, Table133[[#This Row],[Strike]], 0.0411, Table133[[#This Row],[T]], ((Table133[[#This Row],[BIDC]]+Table133[[#This Row],[ASKC]])/2), TRUE)</f>
        <v>0.01</v>
      </c>
      <c r="I535" t="b">
        <f>IF(     ISNUMBER(Table133[[#This Row],[Strike]]),RTD("tos.rtd", , "BID", "."&amp;Table133[[#This Row],[Ticker]]&amp;Table133[[#This Row],[Expiry]]&amp;""&amp;"C"&amp;Table133[[#This Row],[Strike]]))</f>
        <v>0</v>
      </c>
      <c r="J535" t="b">
        <f>IF(     ISNUMBER(Table133[[#This Row],[Strike]]),RTD("tos.rtd", , "ASK", "."&amp;Table133[[#This Row],[Ticker]]&amp;Table133[[#This Row],[Expiry]]&amp;""&amp;"C"&amp;Table133[[#This Row],[Strike]]))</f>
        <v>0</v>
      </c>
      <c r="K535" s="17"/>
      <c r="M535" s="1">
        <f t="shared" si="50"/>
        <v>0</v>
      </c>
      <c r="N535" t="b">
        <f t="shared" si="51"/>
        <v>0</v>
      </c>
      <c r="P535" s="17" cm="1">
        <f t="array" aca="1" ref="P535" ca="1">IndividualLegIVCore($A$4, Table133[[#This Row],[Strike]], 0.0411, Table133[[#This Row],[T]], ((Table133[[#This Row],[BIDP]]+Table133[[#This Row],[ASKP]])/2), FALSE)</f>
        <v>0.01</v>
      </c>
      <c r="Q535" t="b">
        <f>IF(     ISNUMBER(Table133[[#This Row],[Strike]]),RTD("tos.rtd", , "BID", "."&amp;Table133[[#This Row],[Ticker]]&amp;Table133[[#This Row],[Expiry]]&amp;""&amp;"P"&amp;Table133[[#This Row],[Strike]]))</f>
        <v>0</v>
      </c>
      <c r="R535" t="b">
        <f>IF(     ISNUMBER(Table133[[#This Row],[Strike]]),RTD("tos.rtd", , "ASK", "."&amp;Table133[[#This Row],[Ticker]]&amp;Table133[[#This Row],[Expiry]]&amp;""&amp;"P"&amp;Table133[[#This Row],[Strike]]))</f>
        <v>0</v>
      </c>
      <c r="S535" s="17"/>
      <c r="T535" t="b">
        <f>IF(     ISNUMBER(Table133[[#This Row],[Strike]]),RTD("tos.rtd", , "OPEN_INT", "."&amp;Table133[[#This Row],[Ticker]]&amp;Table133[[#This Row],[Expiry]]&amp;""&amp;"P"&amp;Table133[[#This Row],[Strike]]))</f>
        <v>0</v>
      </c>
      <c r="U53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5" t="b">
        <f>IF(     ISNUMBER(Table133[[#This Row],[Strike]]),RTD("tos.rtd", , "DELTA", "."&amp;Table133[[#This Row],[Ticker]]&amp;Table133[[#This Row],[Expiry]]&amp;""&amp;"P"&amp;Table133[[#This Row],[Strike]]))</f>
        <v>0</v>
      </c>
      <c r="Y535" s="19">
        <f>9.5* IF($M$1="NDX", 10, IF(OR($M$1="SPX", $M$1="RUT"), 2, 1))</f>
        <v>19</v>
      </c>
      <c r="Z535">
        <f ca="1">IFERROR(Table133[[#This Row],[call gamma]]*(Table133[[#This Row],[Open.Int]])*$A$4^2,0)</f>
        <v>0</v>
      </c>
      <c r="AA535">
        <f ca="1">IFERROR(((Table133[[#This Row],[Open.Int8]])*Table133[[#This Row],[Put gamma]])*-1*$A$4^2,0)</f>
        <v>0</v>
      </c>
      <c r="AB535">
        <f ca="1">(Table133[[#This Row],[Call Gex]]+Table133[[#This Row],[Put Gex]])</f>
        <v>0</v>
      </c>
      <c r="AC535">
        <f ca="1">Table133[[#This Row],[put delta adj]]+Table133[[#This Row],[call delta adj]]</f>
        <v>0</v>
      </c>
      <c r="AD535">
        <f ca="1">Table133[[#This Row],[Put Gex]]*Table133[[#This Row],[DeltaP]]*-1</f>
        <v>0</v>
      </c>
      <c r="AE535">
        <f ca="1">Table133[[#This Row],[Call Gex]]*Table133[[#This Row],[DeltaC]]</f>
        <v>0</v>
      </c>
      <c r="AF535">
        <f>IF(Table133[[#This Row],[DeltaC]]-ABS(Table133[[#This Row],[DeltaP]])="0","0.01",Table133[[#This Row],[DeltaC]]-ABS(Table133[[#This Row],[DeltaP]]))</f>
        <v>0</v>
      </c>
      <c r="AG535" t="e">
        <f ca="1">((LN($A$4/Table133[[#This Row],[Strike]]) + (0.411 + 0.5 * Table133[[#This Row],[IV Calc P]]^2) *Table133[[#This Row],[T]])) / (Table133[[#This Row],[IV Calc P]] * SQRT(Table133[[#This Row],[T]]))</f>
        <v>#DIV/0!</v>
      </c>
      <c r="AH535" t="e">
        <f ca="1">(LN($A$4/Table133[[#This Row],[Strike]]) + (0.411-0 + 0.5 * Table133[[#This Row],[IV Calc C]]^2) *Table133[[#This Row],[T]]) / (Table133[[#This Row],[IV Calc C]] * SQRT(Table133[[#This Row],[T]]))</f>
        <v>#DIV/0!</v>
      </c>
      <c r="AI535" t="e">
        <f ca="1">(EXP(-(AG535^2)/2)/SQRT(2*PI())*EXP(0*SQRT(Table133[[#This Row],[T]]))/$A$4*18%*SQRT(SQRT(Table133[[#This Row],[T]])))</f>
        <v>#DIV/0!</v>
      </c>
      <c r="AJ535" t="e">
        <f ca="1">(EXP(-(AH535^2)/2)/SQRT(2*PI())*EXP(0*SQRT(Table133[[#This Row],[T]]))/$A$4*18%*SQRT(SQRT(Table133[[#This Row],[T]])))</f>
        <v>#DIV/0!</v>
      </c>
      <c r="AK535" t="e">
        <f ca="1">Table133[[#This Row],[Call D1]]-Table133[[#This Row],[IV Calc C]]*SQRT(Table133[[#This Row],[T]])</f>
        <v>#DIV/0!</v>
      </c>
      <c r="AL535" t="e">
        <f ca="1">Table133[[#This Row],[Put D1]]-Table133[[#This Row],[IV Calc P]]*SQRT(Table133[[#This Row],[T]])</f>
        <v>#DIV/0!</v>
      </c>
      <c r="AM535" t="e">
        <f ca="1">EXP(-0.5*Table133[[#This Row],[Call D1]]^2)/SQRT(2*PI())</f>
        <v>#DIV/0!</v>
      </c>
      <c r="AN535" t="e">
        <f ca="1">EXP(-0.5*Table133[[#This Row],[Put D1]]^2)/SQRT(2*PI())</f>
        <v>#DIV/0!</v>
      </c>
      <c r="AO53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5">
        <f ca="1">((Table133[[#This Row],[call vanna]]+Table133[[#This Row],[put vanna]])*$A$4)</f>
        <v>0</v>
      </c>
      <c r="AR53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5" s="9" t="str" cm="1">
        <f t="array" ref="AT535">_xlfn.IFS(     $M$1="SPX","SPXW",     $M$1="RUT","RUTW",  $M$1="NDX","NDXP",   TRUE,$M$1 )</f>
        <v>SPXW</v>
      </c>
      <c r="AU535" s="2">
        <f t="shared" si="52"/>
        <v>6915</v>
      </c>
      <c r="AV535" t="str">
        <f t="shared" si="53"/>
        <v>000100</v>
      </c>
      <c r="AY53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5">
        <f>((Table133[[#This Row],[High C]]+Table133[[#This Row],[Low C]])/2)*Table133[[#This Row],[gammac]]*Table133[[#This Row],[Volume]]</f>
        <v>0</v>
      </c>
      <c r="BD535">
        <f>((Table133[[#This Row],[High P]]+Table133[[#This Row],[Low P]])/2)*Table133[[#This Row],[gammap]]*Table133[[#This Row],[Volume9]]*-1</f>
        <v>0</v>
      </c>
      <c r="BE535">
        <f>(Table133[[#This Row],[SgammaC]]+Table133[[#This Row],[SgammaP]])*$A$4*-100</f>
        <v>0</v>
      </c>
      <c r="BF535" s="78">
        <f>Table133[[#This Row],[DEXc]]+Table133[[#This Row],[DEXp]]</f>
        <v>0</v>
      </c>
      <c r="BG535">
        <f>IFERROR(Table133[[#This Row],[DeltaC]]*Table133[[#This Row],[Open.Int]]*$A$4,0)</f>
        <v>0</v>
      </c>
      <c r="BH535">
        <f>IFERROR(Table133[[#This Row],[DeltaP]]*Table133[[#This Row],[Open.Int8]]*$A$4,0)</f>
        <v>0</v>
      </c>
      <c r="BI53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5">
        <f ca="1">Table133[[#This Row],[charmc]]+Table133[[#This Row],[charmp]]</f>
        <v>0</v>
      </c>
      <c r="BL53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5" s="78">
        <f ca="1">Table133[[#This Row],[call helper]]+Table133[[#This Row],[put helper]]</f>
        <v>0</v>
      </c>
      <c r="BP535" t="str">
        <f>RTD("tos.rtd", , "STRIKE", "."&amp;Table133[[#This Row],[Ticker]]&amp;Table133[[#This Row],[Expiry]]&amp;""&amp;"C"&amp;Table133[[#This Row],[Spot]]+Table133[[#This Row],[step]])</f>
        <v>N/A</v>
      </c>
    </row>
    <row r="536" spans="1:68" x14ac:dyDescent="0.25">
      <c r="A536" s="14">
        <f t="shared" ca="1" si="49"/>
        <v>-126.14810350076104</v>
      </c>
      <c r="C536" s="17"/>
      <c r="D536" t="str">
        <f>RTD("tos.rtd", , "OPEN_INT", "."&amp;Table133[[#This Row],[Ticker]]&amp;Table133[[#This Row],[Expiry]]&amp;""&amp;"C"&amp;Table133[[#This Row],[Spot]]+Table133[[#This Row],[step]])</f>
        <v>N/A</v>
      </c>
      <c r="E53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6" t="b">
        <f>IF(     ISNUMBER(Table133[[#This Row],[Strike]]),RTD("tos.rtd", , "DELTA", "."&amp;Table133[[#This Row],[Ticker]]&amp;Table133[[#This Row],[Expiry]]&amp;""&amp;"C"&amp;Table133[[#This Row],[Strike]]))</f>
        <v>0</v>
      </c>
      <c r="H536" s="17" cm="1">
        <f t="array" aca="1" ref="H536" ca="1">IndividualLegIVCore($A$4, Table133[[#This Row],[Strike]], 0.0411, Table133[[#This Row],[T]], ((Table133[[#This Row],[BIDC]]+Table133[[#This Row],[ASKC]])/2), TRUE)</f>
        <v>0.01</v>
      </c>
      <c r="I536" t="b">
        <f>IF(     ISNUMBER(Table133[[#This Row],[Strike]]),RTD("tos.rtd", , "BID", "."&amp;Table133[[#This Row],[Ticker]]&amp;Table133[[#This Row],[Expiry]]&amp;""&amp;"C"&amp;Table133[[#This Row],[Strike]]))</f>
        <v>0</v>
      </c>
      <c r="J536" t="b">
        <f>IF(     ISNUMBER(Table133[[#This Row],[Strike]]),RTD("tos.rtd", , "ASK", "."&amp;Table133[[#This Row],[Ticker]]&amp;Table133[[#This Row],[Expiry]]&amp;""&amp;"C"&amp;Table133[[#This Row],[Strike]]))</f>
        <v>0</v>
      </c>
      <c r="K536" s="17"/>
      <c r="M536" s="1">
        <f t="shared" si="50"/>
        <v>0</v>
      </c>
      <c r="N536" t="b">
        <f t="shared" si="51"/>
        <v>0</v>
      </c>
      <c r="P536" s="17" cm="1">
        <f t="array" aca="1" ref="P536" ca="1">IndividualLegIVCore($A$4, Table133[[#This Row],[Strike]], 0.0411, Table133[[#This Row],[T]], ((Table133[[#This Row],[BIDP]]+Table133[[#This Row],[ASKP]])/2), FALSE)</f>
        <v>0.01</v>
      </c>
      <c r="Q536" t="b">
        <f>IF(     ISNUMBER(Table133[[#This Row],[Strike]]),RTD("tos.rtd", , "BID", "."&amp;Table133[[#This Row],[Ticker]]&amp;Table133[[#This Row],[Expiry]]&amp;""&amp;"P"&amp;Table133[[#This Row],[Strike]]))</f>
        <v>0</v>
      </c>
      <c r="R536" t="b">
        <f>IF(     ISNUMBER(Table133[[#This Row],[Strike]]),RTD("tos.rtd", , "ASK", "."&amp;Table133[[#This Row],[Ticker]]&amp;Table133[[#This Row],[Expiry]]&amp;""&amp;"P"&amp;Table133[[#This Row],[Strike]]))</f>
        <v>0</v>
      </c>
      <c r="S536" s="17"/>
      <c r="T536" t="b">
        <f>IF(     ISNUMBER(Table133[[#This Row],[Strike]]),RTD("tos.rtd", , "OPEN_INT", "."&amp;Table133[[#This Row],[Ticker]]&amp;Table133[[#This Row],[Expiry]]&amp;""&amp;"P"&amp;Table133[[#This Row],[Strike]]))</f>
        <v>0</v>
      </c>
      <c r="U53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6" t="b">
        <f>IF(     ISNUMBER(Table133[[#This Row],[Strike]]),RTD("tos.rtd", , "DELTA", "."&amp;Table133[[#This Row],[Ticker]]&amp;Table133[[#This Row],[Expiry]]&amp;""&amp;"P"&amp;Table133[[#This Row],[Strike]]))</f>
        <v>0</v>
      </c>
      <c r="Y536" s="19">
        <f>10* IF($M$1="NDX", 10, IF(OR($M$1="SPX", $M$1="RUT"), 2, 1))</f>
        <v>20</v>
      </c>
      <c r="Z536">
        <f ca="1">IFERROR(Table133[[#This Row],[call gamma]]*(Table133[[#This Row],[Open.Int]])*$A$4^2,0)</f>
        <v>0</v>
      </c>
      <c r="AA536">
        <f ca="1">IFERROR(((Table133[[#This Row],[Open.Int8]])*Table133[[#This Row],[Put gamma]])*-1*$A$4^2,0)</f>
        <v>0</v>
      </c>
      <c r="AB536">
        <f ca="1">(Table133[[#This Row],[Call Gex]]+Table133[[#This Row],[Put Gex]])</f>
        <v>0</v>
      </c>
      <c r="AC536">
        <f ca="1">Table133[[#This Row],[put delta adj]]+Table133[[#This Row],[call delta adj]]</f>
        <v>0</v>
      </c>
      <c r="AD536">
        <f ca="1">Table133[[#This Row],[Put Gex]]*Table133[[#This Row],[DeltaP]]*-1</f>
        <v>0</v>
      </c>
      <c r="AE536">
        <f ca="1">Table133[[#This Row],[Call Gex]]*Table133[[#This Row],[DeltaC]]</f>
        <v>0</v>
      </c>
      <c r="AF536">
        <f>IF(Table133[[#This Row],[DeltaC]]-ABS(Table133[[#This Row],[DeltaP]])="0","0.01",Table133[[#This Row],[DeltaC]]-ABS(Table133[[#This Row],[DeltaP]]))</f>
        <v>0</v>
      </c>
      <c r="AG536" t="e">
        <f ca="1">((LN($A$4/Table133[[#This Row],[Strike]]) + (0.411 + 0.5 * Table133[[#This Row],[IV Calc P]]^2) *Table133[[#This Row],[T]])) / (Table133[[#This Row],[IV Calc P]] * SQRT(Table133[[#This Row],[T]]))</f>
        <v>#DIV/0!</v>
      </c>
      <c r="AH536" t="e">
        <f ca="1">(LN($A$4/Table133[[#This Row],[Strike]]) + (0.411-0 + 0.5 * Table133[[#This Row],[IV Calc C]]^2) *Table133[[#This Row],[T]]) / (Table133[[#This Row],[IV Calc C]] * SQRT(Table133[[#This Row],[T]]))</f>
        <v>#DIV/0!</v>
      </c>
      <c r="AI536" t="e">
        <f ca="1">(EXP(-(AG536^2)/2)/SQRT(2*PI())*EXP(0*SQRT(Table133[[#This Row],[T]]))/$A$4*18%*SQRT(SQRT(Table133[[#This Row],[T]])))</f>
        <v>#DIV/0!</v>
      </c>
      <c r="AJ536" t="e">
        <f ca="1">(EXP(-(AH536^2)/2)/SQRT(2*PI())*EXP(0*SQRT(Table133[[#This Row],[T]]))/$A$4*18%*SQRT(SQRT(Table133[[#This Row],[T]])))</f>
        <v>#DIV/0!</v>
      </c>
      <c r="AK536" t="e">
        <f ca="1">Table133[[#This Row],[Call D1]]-Table133[[#This Row],[IV Calc C]]*SQRT(Table133[[#This Row],[T]])</f>
        <v>#DIV/0!</v>
      </c>
      <c r="AL536" t="e">
        <f ca="1">Table133[[#This Row],[Put D1]]-Table133[[#This Row],[IV Calc P]]*SQRT(Table133[[#This Row],[T]])</f>
        <v>#DIV/0!</v>
      </c>
      <c r="AM536" t="e">
        <f ca="1">EXP(-0.5*Table133[[#This Row],[Call D1]]^2)/SQRT(2*PI())</f>
        <v>#DIV/0!</v>
      </c>
      <c r="AN536" t="e">
        <f ca="1">EXP(-0.5*Table133[[#This Row],[Put D1]]^2)/SQRT(2*PI())</f>
        <v>#DIV/0!</v>
      </c>
      <c r="AO53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6">
        <f ca="1">((Table133[[#This Row],[call vanna]]+Table133[[#This Row],[put vanna]])*$A$4)</f>
        <v>0</v>
      </c>
      <c r="AR53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6" s="9" t="str" cm="1">
        <f t="array" ref="AT536">_xlfn.IFS(     $M$1="SPX","SPXW",     $M$1="RUT","RUTW",  $M$1="NDX","NDXP",   TRUE,$M$1 )</f>
        <v>SPXW</v>
      </c>
      <c r="AU536" s="2">
        <f t="shared" si="52"/>
        <v>6915</v>
      </c>
      <c r="AV536" t="str">
        <f t="shared" si="53"/>
        <v>000100</v>
      </c>
      <c r="AY53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6">
        <f>((Table133[[#This Row],[High C]]+Table133[[#This Row],[Low C]])/2)*Table133[[#This Row],[gammac]]*Table133[[#This Row],[Volume]]</f>
        <v>0</v>
      </c>
      <c r="BD536">
        <f>((Table133[[#This Row],[High P]]+Table133[[#This Row],[Low P]])/2)*Table133[[#This Row],[gammap]]*Table133[[#This Row],[Volume9]]*-1</f>
        <v>0</v>
      </c>
      <c r="BE536">
        <f>(Table133[[#This Row],[SgammaC]]+Table133[[#This Row],[SgammaP]])*$A$4*-100</f>
        <v>0</v>
      </c>
      <c r="BF536" s="78">
        <f>Table133[[#This Row],[DEXc]]+Table133[[#This Row],[DEXp]]</f>
        <v>0</v>
      </c>
      <c r="BG536">
        <f>IFERROR(Table133[[#This Row],[DeltaC]]*Table133[[#This Row],[Open.Int]]*$A$4,0)</f>
        <v>0</v>
      </c>
      <c r="BH536">
        <f>IFERROR(Table133[[#This Row],[DeltaP]]*Table133[[#This Row],[Open.Int8]]*$A$4,0)</f>
        <v>0</v>
      </c>
      <c r="BI53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6">
        <f ca="1">Table133[[#This Row],[charmc]]+Table133[[#This Row],[charmp]]</f>
        <v>0</v>
      </c>
      <c r="BL53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6" s="78">
        <f ca="1">Table133[[#This Row],[call helper]]+Table133[[#This Row],[put helper]]</f>
        <v>0</v>
      </c>
      <c r="BP536" t="str">
        <f>RTD("tos.rtd", , "STRIKE", "."&amp;Table133[[#This Row],[Ticker]]&amp;Table133[[#This Row],[Expiry]]&amp;""&amp;"C"&amp;Table133[[#This Row],[Spot]]+Table133[[#This Row],[step]])</f>
        <v>N/A</v>
      </c>
    </row>
    <row r="537" spans="1:68" x14ac:dyDescent="0.25">
      <c r="A537" s="14">
        <f t="shared" ca="1" si="49"/>
        <v>-126.14810350076104</v>
      </c>
      <c r="C537" s="17"/>
      <c r="D537" t="str">
        <f>RTD("tos.rtd", , "OPEN_INT", "."&amp;Table133[[#This Row],[Ticker]]&amp;Table133[[#This Row],[Expiry]]&amp;""&amp;"C"&amp;Table133[[#This Row],[Spot]]+Table133[[#This Row],[step]])</f>
        <v>N/A</v>
      </c>
      <c r="E53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7" t="b">
        <f>IF(     ISNUMBER(Table133[[#This Row],[Strike]]),RTD("tos.rtd", , "DELTA", "."&amp;Table133[[#This Row],[Ticker]]&amp;Table133[[#This Row],[Expiry]]&amp;""&amp;"C"&amp;Table133[[#This Row],[Strike]]))</f>
        <v>0</v>
      </c>
      <c r="H537" s="17" cm="1">
        <f t="array" aca="1" ref="H537" ca="1">IndividualLegIVCore($A$4, Table133[[#This Row],[Strike]], 0.0411, Table133[[#This Row],[T]], ((Table133[[#This Row],[BIDC]]+Table133[[#This Row],[ASKC]])/2), TRUE)</f>
        <v>0.01</v>
      </c>
      <c r="I537" t="b">
        <f>IF(     ISNUMBER(Table133[[#This Row],[Strike]]),RTD("tos.rtd", , "BID", "."&amp;Table133[[#This Row],[Ticker]]&amp;Table133[[#This Row],[Expiry]]&amp;""&amp;"C"&amp;Table133[[#This Row],[Strike]]))</f>
        <v>0</v>
      </c>
      <c r="J537" t="b">
        <f>IF(     ISNUMBER(Table133[[#This Row],[Strike]]),RTD("tos.rtd", , "ASK", "."&amp;Table133[[#This Row],[Ticker]]&amp;Table133[[#This Row],[Expiry]]&amp;""&amp;"C"&amp;Table133[[#This Row],[Strike]]))</f>
        <v>0</v>
      </c>
      <c r="K537" s="17"/>
      <c r="M537" s="1">
        <f t="shared" si="50"/>
        <v>0</v>
      </c>
      <c r="N537" t="b">
        <f t="shared" si="51"/>
        <v>0</v>
      </c>
      <c r="P537" s="17" cm="1">
        <f t="array" aca="1" ref="P537" ca="1">IndividualLegIVCore($A$4, Table133[[#This Row],[Strike]], 0.0411, Table133[[#This Row],[T]], ((Table133[[#This Row],[BIDP]]+Table133[[#This Row],[ASKP]])/2), FALSE)</f>
        <v>0.01</v>
      </c>
      <c r="Q537" t="b">
        <f>IF(     ISNUMBER(Table133[[#This Row],[Strike]]),RTD("tos.rtd", , "BID", "."&amp;Table133[[#This Row],[Ticker]]&amp;Table133[[#This Row],[Expiry]]&amp;""&amp;"P"&amp;Table133[[#This Row],[Strike]]))</f>
        <v>0</v>
      </c>
      <c r="R537" t="b">
        <f>IF(     ISNUMBER(Table133[[#This Row],[Strike]]),RTD("tos.rtd", , "ASK", "."&amp;Table133[[#This Row],[Ticker]]&amp;Table133[[#This Row],[Expiry]]&amp;""&amp;"P"&amp;Table133[[#This Row],[Strike]]))</f>
        <v>0</v>
      </c>
      <c r="S537" s="17"/>
      <c r="T537" t="b">
        <f>IF(     ISNUMBER(Table133[[#This Row],[Strike]]),RTD("tos.rtd", , "OPEN_INT", "."&amp;Table133[[#This Row],[Ticker]]&amp;Table133[[#This Row],[Expiry]]&amp;""&amp;"P"&amp;Table133[[#This Row],[Strike]]))</f>
        <v>0</v>
      </c>
      <c r="U53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7" t="b">
        <f>IF(     ISNUMBER(Table133[[#This Row],[Strike]]),RTD("tos.rtd", , "DELTA", "."&amp;Table133[[#This Row],[Ticker]]&amp;Table133[[#This Row],[Expiry]]&amp;""&amp;"P"&amp;Table133[[#This Row],[Strike]]))</f>
        <v>0</v>
      </c>
      <c r="Y537" s="19">
        <f>10.5* IF($M$1="NDX", 10, IF(OR($M$1="SPX", $M$1="RUT"), 2, 1))</f>
        <v>21</v>
      </c>
      <c r="Z537">
        <f ca="1">IFERROR(Table133[[#This Row],[call gamma]]*(Table133[[#This Row],[Open.Int]])*$A$4^2,0)</f>
        <v>0</v>
      </c>
      <c r="AA537">
        <f ca="1">IFERROR(((Table133[[#This Row],[Open.Int8]])*Table133[[#This Row],[Put gamma]])*-1*$A$4^2,0)</f>
        <v>0</v>
      </c>
      <c r="AB537">
        <f ca="1">(Table133[[#This Row],[Call Gex]]+Table133[[#This Row],[Put Gex]])</f>
        <v>0</v>
      </c>
      <c r="AC537">
        <f ca="1">Table133[[#This Row],[put delta adj]]+Table133[[#This Row],[call delta adj]]</f>
        <v>0</v>
      </c>
      <c r="AD537">
        <f ca="1">Table133[[#This Row],[Put Gex]]*Table133[[#This Row],[DeltaP]]*-1</f>
        <v>0</v>
      </c>
      <c r="AE537">
        <f ca="1">Table133[[#This Row],[Call Gex]]*Table133[[#This Row],[DeltaC]]</f>
        <v>0</v>
      </c>
      <c r="AF537">
        <f>IF(Table133[[#This Row],[DeltaC]]-ABS(Table133[[#This Row],[DeltaP]])="0","0.01",Table133[[#This Row],[DeltaC]]-ABS(Table133[[#This Row],[DeltaP]]))</f>
        <v>0</v>
      </c>
      <c r="AG537" t="e">
        <f ca="1">((LN($A$4/Table133[[#This Row],[Strike]]) + (0.411 + 0.5 * Table133[[#This Row],[IV Calc P]]^2) *Table133[[#This Row],[T]])) / (Table133[[#This Row],[IV Calc P]] * SQRT(Table133[[#This Row],[T]]))</f>
        <v>#DIV/0!</v>
      </c>
      <c r="AH537" t="e">
        <f ca="1">(LN($A$4/Table133[[#This Row],[Strike]]) + (0.411-0 + 0.5 * Table133[[#This Row],[IV Calc C]]^2) *Table133[[#This Row],[T]]) / (Table133[[#This Row],[IV Calc C]] * SQRT(Table133[[#This Row],[T]]))</f>
        <v>#DIV/0!</v>
      </c>
      <c r="AI537" t="e">
        <f ca="1">(EXP(-(AG537^2)/2)/SQRT(2*PI())*EXP(0*SQRT(Table133[[#This Row],[T]]))/$A$4*18%*SQRT(SQRT(Table133[[#This Row],[T]])))</f>
        <v>#DIV/0!</v>
      </c>
      <c r="AJ537" t="e">
        <f ca="1">(EXP(-(AH537^2)/2)/SQRT(2*PI())*EXP(0*SQRT(Table133[[#This Row],[T]]))/$A$4*18%*SQRT(SQRT(Table133[[#This Row],[T]])))</f>
        <v>#DIV/0!</v>
      </c>
      <c r="AK537" t="e">
        <f ca="1">Table133[[#This Row],[Call D1]]-Table133[[#This Row],[IV Calc C]]*SQRT(Table133[[#This Row],[T]])</f>
        <v>#DIV/0!</v>
      </c>
      <c r="AL537" t="e">
        <f ca="1">Table133[[#This Row],[Put D1]]-Table133[[#This Row],[IV Calc P]]*SQRT(Table133[[#This Row],[T]])</f>
        <v>#DIV/0!</v>
      </c>
      <c r="AM537" t="e">
        <f ca="1">EXP(-0.5*Table133[[#This Row],[Call D1]]^2)/SQRT(2*PI())</f>
        <v>#DIV/0!</v>
      </c>
      <c r="AN537" t="e">
        <f ca="1">EXP(-0.5*Table133[[#This Row],[Put D1]]^2)/SQRT(2*PI())</f>
        <v>#DIV/0!</v>
      </c>
      <c r="AO53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7">
        <f ca="1">((Table133[[#This Row],[call vanna]]+Table133[[#This Row],[put vanna]])*$A$4)</f>
        <v>0</v>
      </c>
      <c r="AR53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7" s="9" t="str" cm="1">
        <f t="array" ref="AT537">_xlfn.IFS(     $M$1="SPX","SPXW",     $M$1="RUT","RUTW",  $M$1="NDX","NDXP",   TRUE,$M$1 )</f>
        <v>SPXW</v>
      </c>
      <c r="AU537" s="2">
        <f t="shared" si="52"/>
        <v>6915</v>
      </c>
      <c r="AV537" t="str">
        <f t="shared" si="53"/>
        <v>000100</v>
      </c>
      <c r="AY53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7">
        <f>((Table133[[#This Row],[High C]]+Table133[[#This Row],[Low C]])/2)*Table133[[#This Row],[gammac]]*Table133[[#This Row],[Volume]]</f>
        <v>0</v>
      </c>
      <c r="BD537">
        <f>((Table133[[#This Row],[High P]]+Table133[[#This Row],[Low P]])/2)*Table133[[#This Row],[gammap]]*Table133[[#This Row],[Volume9]]*-1</f>
        <v>0</v>
      </c>
      <c r="BE537">
        <f>(Table133[[#This Row],[SgammaC]]+Table133[[#This Row],[SgammaP]])*$A$4*-100</f>
        <v>0</v>
      </c>
      <c r="BF537" s="78">
        <f>Table133[[#This Row],[DEXc]]+Table133[[#This Row],[DEXp]]</f>
        <v>0</v>
      </c>
      <c r="BG537">
        <f>IFERROR(Table133[[#This Row],[DeltaC]]*Table133[[#This Row],[Open.Int]]*$A$4,0)</f>
        <v>0</v>
      </c>
      <c r="BH537">
        <f>IFERROR(Table133[[#This Row],[DeltaP]]*Table133[[#This Row],[Open.Int8]]*$A$4,0)</f>
        <v>0</v>
      </c>
      <c r="BI53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7">
        <f ca="1">Table133[[#This Row],[charmc]]+Table133[[#This Row],[charmp]]</f>
        <v>0</v>
      </c>
      <c r="BL53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7" s="78">
        <f ca="1">Table133[[#This Row],[call helper]]+Table133[[#This Row],[put helper]]</f>
        <v>0</v>
      </c>
      <c r="BP537" t="str">
        <f>RTD("tos.rtd", , "STRIKE", "."&amp;Table133[[#This Row],[Ticker]]&amp;Table133[[#This Row],[Expiry]]&amp;""&amp;"C"&amp;Table133[[#This Row],[Spot]]+Table133[[#This Row],[step]])</f>
        <v>N/A</v>
      </c>
    </row>
    <row r="538" spans="1:68" x14ac:dyDescent="0.25">
      <c r="A538" s="14">
        <f t="shared" ca="1" si="49"/>
        <v>-126.14810350076104</v>
      </c>
      <c r="C538" s="17"/>
      <c r="D538" t="str">
        <f>RTD("tos.rtd", , "OPEN_INT", "."&amp;Table133[[#This Row],[Ticker]]&amp;Table133[[#This Row],[Expiry]]&amp;""&amp;"C"&amp;Table133[[#This Row],[Spot]]+Table133[[#This Row],[step]])</f>
        <v>N/A</v>
      </c>
      <c r="E53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8" t="b">
        <f>IF(     ISNUMBER(Table133[[#This Row],[Strike]]),RTD("tos.rtd", , "DELTA", "."&amp;Table133[[#This Row],[Ticker]]&amp;Table133[[#This Row],[Expiry]]&amp;""&amp;"C"&amp;Table133[[#This Row],[Strike]]))</f>
        <v>0</v>
      </c>
      <c r="H538" s="17" cm="1">
        <f t="array" aca="1" ref="H538" ca="1">IndividualLegIVCore($A$4, Table133[[#This Row],[Strike]], 0.0411, Table133[[#This Row],[T]], ((Table133[[#This Row],[BIDC]]+Table133[[#This Row],[ASKC]])/2), TRUE)</f>
        <v>0.01</v>
      </c>
      <c r="I538" t="b">
        <f>IF(     ISNUMBER(Table133[[#This Row],[Strike]]),RTD("tos.rtd", , "BID", "."&amp;Table133[[#This Row],[Ticker]]&amp;Table133[[#This Row],[Expiry]]&amp;""&amp;"C"&amp;Table133[[#This Row],[Strike]]))</f>
        <v>0</v>
      </c>
      <c r="J538" t="b">
        <f>IF(     ISNUMBER(Table133[[#This Row],[Strike]]),RTD("tos.rtd", , "ASK", "."&amp;Table133[[#This Row],[Ticker]]&amp;Table133[[#This Row],[Expiry]]&amp;""&amp;"C"&amp;Table133[[#This Row],[Strike]]))</f>
        <v>0</v>
      </c>
      <c r="K538" s="17"/>
      <c r="M538" s="1">
        <f t="shared" si="50"/>
        <v>0</v>
      </c>
      <c r="N538" t="b">
        <f t="shared" si="51"/>
        <v>0</v>
      </c>
      <c r="P538" s="17" cm="1">
        <f t="array" aca="1" ref="P538" ca="1">IndividualLegIVCore($A$4, Table133[[#This Row],[Strike]], 0.0411, Table133[[#This Row],[T]], ((Table133[[#This Row],[BIDP]]+Table133[[#This Row],[ASKP]])/2), FALSE)</f>
        <v>0.01</v>
      </c>
      <c r="Q538" t="b">
        <f>IF(     ISNUMBER(Table133[[#This Row],[Strike]]),RTD("tos.rtd", , "BID", "."&amp;Table133[[#This Row],[Ticker]]&amp;Table133[[#This Row],[Expiry]]&amp;""&amp;"P"&amp;Table133[[#This Row],[Strike]]))</f>
        <v>0</v>
      </c>
      <c r="R538" t="b">
        <f>IF(     ISNUMBER(Table133[[#This Row],[Strike]]),RTD("tos.rtd", , "ASK", "."&amp;Table133[[#This Row],[Ticker]]&amp;Table133[[#This Row],[Expiry]]&amp;""&amp;"P"&amp;Table133[[#This Row],[Strike]]))</f>
        <v>0</v>
      </c>
      <c r="S538" s="17"/>
      <c r="T538" t="b">
        <f>IF(     ISNUMBER(Table133[[#This Row],[Strike]]),RTD("tos.rtd", , "OPEN_INT", "."&amp;Table133[[#This Row],[Ticker]]&amp;Table133[[#This Row],[Expiry]]&amp;""&amp;"P"&amp;Table133[[#This Row],[Strike]]))</f>
        <v>0</v>
      </c>
      <c r="U53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8" t="b">
        <f>IF(     ISNUMBER(Table133[[#This Row],[Strike]]),RTD("tos.rtd", , "DELTA", "."&amp;Table133[[#This Row],[Ticker]]&amp;Table133[[#This Row],[Expiry]]&amp;""&amp;"P"&amp;Table133[[#This Row],[Strike]]))</f>
        <v>0</v>
      </c>
      <c r="Y538" s="19">
        <f>11* IF($M$1="NDX", 10, IF(OR($M$1="SPX", $M$1="RUT"), 2, 1))</f>
        <v>22</v>
      </c>
      <c r="Z538">
        <f ca="1">IFERROR(Table133[[#This Row],[call gamma]]*(Table133[[#This Row],[Open.Int]])*$A$4^2,0)</f>
        <v>0</v>
      </c>
      <c r="AA538">
        <f ca="1">IFERROR(((Table133[[#This Row],[Open.Int8]])*Table133[[#This Row],[Put gamma]])*-1*$A$4^2,0)</f>
        <v>0</v>
      </c>
      <c r="AB538">
        <f ca="1">(Table133[[#This Row],[Call Gex]]+Table133[[#This Row],[Put Gex]])</f>
        <v>0</v>
      </c>
      <c r="AC538">
        <f ca="1">Table133[[#This Row],[put delta adj]]+Table133[[#This Row],[call delta adj]]</f>
        <v>0</v>
      </c>
      <c r="AD538">
        <f ca="1">Table133[[#This Row],[Put Gex]]*Table133[[#This Row],[DeltaP]]*-1</f>
        <v>0</v>
      </c>
      <c r="AE538">
        <f ca="1">Table133[[#This Row],[Call Gex]]*Table133[[#This Row],[DeltaC]]</f>
        <v>0</v>
      </c>
      <c r="AF538">
        <f>IF(Table133[[#This Row],[DeltaC]]-ABS(Table133[[#This Row],[DeltaP]])="0","0.01",Table133[[#This Row],[DeltaC]]-ABS(Table133[[#This Row],[DeltaP]]))</f>
        <v>0</v>
      </c>
      <c r="AG538" t="e">
        <f ca="1">((LN($A$4/Table133[[#This Row],[Strike]]) + (0.411 + 0.5 * Table133[[#This Row],[IV Calc P]]^2) *Table133[[#This Row],[T]])) / (Table133[[#This Row],[IV Calc P]] * SQRT(Table133[[#This Row],[T]]))</f>
        <v>#DIV/0!</v>
      </c>
      <c r="AH538" t="e">
        <f ca="1">(LN($A$4/Table133[[#This Row],[Strike]]) + (0.411-0 + 0.5 * Table133[[#This Row],[IV Calc C]]^2) *Table133[[#This Row],[T]]) / (Table133[[#This Row],[IV Calc C]] * SQRT(Table133[[#This Row],[T]]))</f>
        <v>#DIV/0!</v>
      </c>
      <c r="AI538" t="e">
        <f ca="1">(EXP(-(AG538^2)/2)/SQRT(2*PI())*EXP(0*SQRT(Table133[[#This Row],[T]]))/$A$4*18%*SQRT(SQRT(Table133[[#This Row],[T]])))</f>
        <v>#DIV/0!</v>
      </c>
      <c r="AJ538" t="e">
        <f ca="1">(EXP(-(AH538^2)/2)/SQRT(2*PI())*EXP(0*SQRT(Table133[[#This Row],[T]]))/$A$4*18%*SQRT(SQRT(Table133[[#This Row],[T]])))</f>
        <v>#DIV/0!</v>
      </c>
      <c r="AK538" t="e">
        <f ca="1">Table133[[#This Row],[Call D1]]-Table133[[#This Row],[IV Calc C]]*SQRT(Table133[[#This Row],[T]])</f>
        <v>#DIV/0!</v>
      </c>
      <c r="AL538" t="e">
        <f ca="1">Table133[[#This Row],[Put D1]]-Table133[[#This Row],[IV Calc P]]*SQRT(Table133[[#This Row],[T]])</f>
        <v>#DIV/0!</v>
      </c>
      <c r="AM538" t="e">
        <f ca="1">EXP(-0.5*Table133[[#This Row],[Call D1]]^2)/SQRT(2*PI())</f>
        <v>#DIV/0!</v>
      </c>
      <c r="AN538" t="e">
        <f ca="1">EXP(-0.5*Table133[[#This Row],[Put D1]]^2)/SQRT(2*PI())</f>
        <v>#DIV/0!</v>
      </c>
      <c r="AO53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8">
        <f ca="1">((Table133[[#This Row],[call vanna]]+Table133[[#This Row],[put vanna]])*$A$4)</f>
        <v>0</v>
      </c>
      <c r="AR53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8" s="9" t="str" cm="1">
        <f t="array" ref="AT538">_xlfn.IFS(     $M$1="SPX","SPXW",     $M$1="RUT","RUTW",  $M$1="NDX","NDXP",   TRUE,$M$1 )</f>
        <v>SPXW</v>
      </c>
      <c r="AU538" s="2">
        <f t="shared" si="52"/>
        <v>6915</v>
      </c>
      <c r="AV538" t="str">
        <f t="shared" si="53"/>
        <v>000100</v>
      </c>
      <c r="AY53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8">
        <f>((Table133[[#This Row],[High C]]+Table133[[#This Row],[Low C]])/2)*Table133[[#This Row],[gammac]]*Table133[[#This Row],[Volume]]</f>
        <v>0</v>
      </c>
      <c r="BD538">
        <f>((Table133[[#This Row],[High P]]+Table133[[#This Row],[Low P]])/2)*Table133[[#This Row],[gammap]]*Table133[[#This Row],[Volume9]]*-1</f>
        <v>0</v>
      </c>
      <c r="BE538">
        <f>(Table133[[#This Row],[SgammaC]]+Table133[[#This Row],[SgammaP]])*$A$4*-100</f>
        <v>0</v>
      </c>
      <c r="BF538" s="78">
        <f>Table133[[#This Row],[DEXc]]+Table133[[#This Row],[DEXp]]</f>
        <v>0</v>
      </c>
      <c r="BG538">
        <f>IFERROR(Table133[[#This Row],[DeltaC]]*Table133[[#This Row],[Open.Int]]*$A$4,0)</f>
        <v>0</v>
      </c>
      <c r="BH538">
        <f>IFERROR(Table133[[#This Row],[DeltaP]]*Table133[[#This Row],[Open.Int8]]*$A$4,0)</f>
        <v>0</v>
      </c>
      <c r="BI53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8">
        <f ca="1">Table133[[#This Row],[charmc]]+Table133[[#This Row],[charmp]]</f>
        <v>0</v>
      </c>
      <c r="BL53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8" s="78">
        <f ca="1">Table133[[#This Row],[call helper]]+Table133[[#This Row],[put helper]]</f>
        <v>0</v>
      </c>
      <c r="BP538" t="str">
        <f>RTD("tos.rtd", , "STRIKE", "."&amp;Table133[[#This Row],[Ticker]]&amp;Table133[[#This Row],[Expiry]]&amp;""&amp;"C"&amp;Table133[[#This Row],[Spot]]+Table133[[#This Row],[step]])</f>
        <v>N/A</v>
      </c>
    </row>
    <row r="539" spans="1:68" x14ac:dyDescent="0.25">
      <c r="A539" s="14">
        <f t="shared" ca="1" si="49"/>
        <v>-126.14810350076104</v>
      </c>
      <c r="C539" s="17"/>
      <c r="D539" t="str">
        <f>RTD("tos.rtd", , "OPEN_INT", "."&amp;Table133[[#This Row],[Ticker]]&amp;Table133[[#This Row],[Expiry]]&amp;""&amp;"C"&amp;Table133[[#This Row],[Spot]]+Table133[[#This Row],[step]])</f>
        <v>N/A</v>
      </c>
      <c r="E53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9" t="b">
        <f>IF(     ISNUMBER(Table133[[#This Row],[Strike]]),RTD("tos.rtd", , "DELTA", "."&amp;Table133[[#This Row],[Ticker]]&amp;Table133[[#This Row],[Expiry]]&amp;""&amp;"C"&amp;Table133[[#This Row],[Strike]]))</f>
        <v>0</v>
      </c>
      <c r="H539" s="17" cm="1">
        <f t="array" aca="1" ref="H539" ca="1">IndividualLegIVCore($A$4, Table133[[#This Row],[Strike]], 0.0411, Table133[[#This Row],[T]], ((Table133[[#This Row],[BIDC]]+Table133[[#This Row],[ASKC]])/2), TRUE)</f>
        <v>0.01</v>
      </c>
      <c r="I539" t="b">
        <f>IF(     ISNUMBER(Table133[[#This Row],[Strike]]),RTD("tos.rtd", , "BID", "."&amp;Table133[[#This Row],[Ticker]]&amp;Table133[[#This Row],[Expiry]]&amp;""&amp;"C"&amp;Table133[[#This Row],[Strike]]))</f>
        <v>0</v>
      </c>
      <c r="J539" t="b">
        <f>IF(     ISNUMBER(Table133[[#This Row],[Strike]]),RTD("tos.rtd", , "ASK", "."&amp;Table133[[#This Row],[Ticker]]&amp;Table133[[#This Row],[Expiry]]&amp;""&amp;"C"&amp;Table133[[#This Row],[Strike]]))</f>
        <v>0</v>
      </c>
      <c r="K539" s="17"/>
      <c r="M539" s="1">
        <f t="shared" si="50"/>
        <v>0</v>
      </c>
      <c r="N539" t="b">
        <f t="shared" si="51"/>
        <v>0</v>
      </c>
      <c r="P539" s="17" cm="1">
        <f t="array" aca="1" ref="P539" ca="1">IndividualLegIVCore($A$4, Table133[[#This Row],[Strike]], 0.0411, Table133[[#This Row],[T]], ((Table133[[#This Row],[BIDP]]+Table133[[#This Row],[ASKP]])/2), FALSE)</f>
        <v>0.01</v>
      </c>
      <c r="Q539" t="b">
        <f>IF(     ISNUMBER(Table133[[#This Row],[Strike]]),RTD("tos.rtd", , "BID", "."&amp;Table133[[#This Row],[Ticker]]&amp;Table133[[#This Row],[Expiry]]&amp;""&amp;"P"&amp;Table133[[#This Row],[Strike]]))</f>
        <v>0</v>
      </c>
      <c r="R539" t="b">
        <f>IF(     ISNUMBER(Table133[[#This Row],[Strike]]),RTD("tos.rtd", , "ASK", "."&amp;Table133[[#This Row],[Ticker]]&amp;Table133[[#This Row],[Expiry]]&amp;""&amp;"P"&amp;Table133[[#This Row],[Strike]]))</f>
        <v>0</v>
      </c>
      <c r="S539" s="17"/>
      <c r="T539" t="b">
        <f>IF(     ISNUMBER(Table133[[#This Row],[Strike]]),RTD("tos.rtd", , "OPEN_INT", "."&amp;Table133[[#This Row],[Ticker]]&amp;Table133[[#This Row],[Expiry]]&amp;""&amp;"P"&amp;Table133[[#This Row],[Strike]]))</f>
        <v>0</v>
      </c>
      <c r="U53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9" t="b">
        <f>IF(     ISNUMBER(Table133[[#This Row],[Strike]]),RTD("tos.rtd", , "DELTA", "."&amp;Table133[[#This Row],[Ticker]]&amp;Table133[[#This Row],[Expiry]]&amp;""&amp;"P"&amp;Table133[[#This Row],[Strike]]))</f>
        <v>0</v>
      </c>
      <c r="Y539" s="19">
        <f>11.5* IF($M$1="NDX", 10, IF(OR($M$1="SPX", $M$1="RUT"), 2, 1))</f>
        <v>23</v>
      </c>
      <c r="Z539">
        <f ca="1">IFERROR(Table133[[#This Row],[call gamma]]*(Table133[[#This Row],[Open.Int]])*$A$4^2,0)</f>
        <v>0</v>
      </c>
      <c r="AA539">
        <f ca="1">IFERROR(((Table133[[#This Row],[Open.Int8]])*Table133[[#This Row],[Put gamma]])*-1*$A$4^2,0)</f>
        <v>0</v>
      </c>
      <c r="AB539">
        <f ca="1">(Table133[[#This Row],[Call Gex]]+Table133[[#This Row],[Put Gex]])</f>
        <v>0</v>
      </c>
      <c r="AC539">
        <f ca="1">Table133[[#This Row],[put delta adj]]+Table133[[#This Row],[call delta adj]]</f>
        <v>0</v>
      </c>
      <c r="AD539">
        <f ca="1">Table133[[#This Row],[Put Gex]]*Table133[[#This Row],[DeltaP]]*-1</f>
        <v>0</v>
      </c>
      <c r="AE539">
        <f ca="1">Table133[[#This Row],[Call Gex]]*Table133[[#This Row],[DeltaC]]</f>
        <v>0</v>
      </c>
      <c r="AF539">
        <f>IF(Table133[[#This Row],[DeltaC]]-ABS(Table133[[#This Row],[DeltaP]])="0","0.01",Table133[[#This Row],[DeltaC]]-ABS(Table133[[#This Row],[DeltaP]]))</f>
        <v>0</v>
      </c>
      <c r="AG539" t="e">
        <f ca="1">((LN($A$4/Table133[[#This Row],[Strike]]) + (0.411 + 0.5 * Table133[[#This Row],[IV Calc P]]^2) *Table133[[#This Row],[T]])) / (Table133[[#This Row],[IV Calc P]] * SQRT(Table133[[#This Row],[T]]))</f>
        <v>#DIV/0!</v>
      </c>
      <c r="AH539" t="e">
        <f ca="1">(LN($A$4/Table133[[#This Row],[Strike]]) + (0.411-0 + 0.5 * Table133[[#This Row],[IV Calc C]]^2) *Table133[[#This Row],[T]]) / (Table133[[#This Row],[IV Calc C]] * SQRT(Table133[[#This Row],[T]]))</f>
        <v>#DIV/0!</v>
      </c>
      <c r="AI539" t="e">
        <f ca="1">(EXP(-(AG539^2)/2)/SQRT(2*PI())*EXP(0*SQRT(Table133[[#This Row],[T]]))/$A$4*18%*SQRT(SQRT(Table133[[#This Row],[T]])))</f>
        <v>#DIV/0!</v>
      </c>
      <c r="AJ539" t="e">
        <f ca="1">(EXP(-(AH539^2)/2)/SQRT(2*PI())*EXP(0*SQRT(Table133[[#This Row],[T]]))/$A$4*18%*SQRT(SQRT(Table133[[#This Row],[T]])))</f>
        <v>#DIV/0!</v>
      </c>
      <c r="AK539" t="e">
        <f ca="1">Table133[[#This Row],[Call D1]]-Table133[[#This Row],[IV Calc C]]*SQRT(Table133[[#This Row],[T]])</f>
        <v>#DIV/0!</v>
      </c>
      <c r="AL539" t="e">
        <f ca="1">Table133[[#This Row],[Put D1]]-Table133[[#This Row],[IV Calc P]]*SQRT(Table133[[#This Row],[T]])</f>
        <v>#DIV/0!</v>
      </c>
      <c r="AM539" t="e">
        <f ca="1">EXP(-0.5*Table133[[#This Row],[Call D1]]^2)/SQRT(2*PI())</f>
        <v>#DIV/0!</v>
      </c>
      <c r="AN539" t="e">
        <f ca="1">EXP(-0.5*Table133[[#This Row],[Put D1]]^2)/SQRT(2*PI())</f>
        <v>#DIV/0!</v>
      </c>
      <c r="AO53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9">
        <f ca="1">((Table133[[#This Row],[call vanna]]+Table133[[#This Row],[put vanna]])*$A$4)</f>
        <v>0</v>
      </c>
      <c r="AR53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9" s="9" t="str" cm="1">
        <f t="array" ref="AT539">_xlfn.IFS(     $M$1="SPX","SPXW",     $M$1="RUT","RUTW",  $M$1="NDX","NDXP",   TRUE,$M$1 )</f>
        <v>SPXW</v>
      </c>
      <c r="AU539" s="2">
        <f t="shared" si="52"/>
        <v>6915</v>
      </c>
      <c r="AV539" t="str">
        <f t="shared" si="53"/>
        <v>000100</v>
      </c>
      <c r="AY53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9">
        <f>((Table133[[#This Row],[High C]]+Table133[[#This Row],[Low C]])/2)*Table133[[#This Row],[gammac]]*Table133[[#This Row],[Volume]]</f>
        <v>0</v>
      </c>
      <c r="BD539">
        <f>((Table133[[#This Row],[High P]]+Table133[[#This Row],[Low P]])/2)*Table133[[#This Row],[gammap]]*Table133[[#This Row],[Volume9]]*-1</f>
        <v>0</v>
      </c>
      <c r="BE539">
        <f>(Table133[[#This Row],[SgammaC]]+Table133[[#This Row],[SgammaP]])*$A$4*-100</f>
        <v>0</v>
      </c>
      <c r="BF539" s="78">
        <f>Table133[[#This Row],[DEXc]]+Table133[[#This Row],[DEXp]]</f>
        <v>0</v>
      </c>
      <c r="BG539">
        <f>IFERROR(Table133[[#This Row],[DeltaC]]*Table133[[#This Row],[Open.Int]]*$A$4,0)</f>
        <v>0</v>
      </c>
      <c r="BH539">
        <f>IFERROR(Table133[[#This Row],[DeltaP]]*Table133[[#This Row],[Open.Int8]]*$A$4,0)</f>
        <v>0</v>
      </c>
      <c r="BI53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9">
        <f ca="1">Table133[[#This Row],[charmc]]+Table133[[#This Row],[charmp]]</f>
        <v>0</v>
      </c>
      <c r="BL53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9" s="78">
        <f ca="1">Table133[[#This Row],[call helper]]+Table133[[#This Row],[put helper]]</f>
        <v>0</v>
      </c>
      <c r="BP539" t="str">
        <f>RTD("tos.rtd", , "STRIKE", "."&amp;Table133[[#This Row],[Ticker]]&amp;Table133[[#This Row],[Expiry]]&amp;""&amp;"C"&amp;Table133[[#This Row],[Spot]]+Table133[[#This Row],[step]])</f>
        <v>N/A</v>
      </c>
    </row>
    <row r="540" spans="1:68" x14ac:dyDescent="0.25">
      <c r="A540" s="14">
        <f t="shared" ca="1" si="49"/>
        <v>-126.14810350076104</v>
      </c>
      <c r="C540" s="17"/>
      <c r="D540" t="str">
        <f>RTD("tos.rtd", , "OPEN_INT", "."&amp;Table133[[#This Row],[Ticker]]&amp;Table133[[#This Row],[Expiry]]&amp;""&amp;"C"&amp;Table133[[#This Row],[Spot]]+Table133[[#This Row],[step]])</f>
        <v>N/A</v>
      </c>
      <c r="E54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0" t="b">
        <f>IF(     ISNUMBER(Table133[[#This Row],[Strike]]),RTD("tos.rtd", , "DELTA", "."&amp;Table133[[#This Row],[Ticker]]&amp;Table133[[#This Row],[Expiry]]&amp;""&amp;"C"&amp;Table133[[#This Row],[Strike]]))</f>
        <v>0</v>
      </c>
      <c r="H540" s="17" cm="1">
        <f t="array" aca="1" ref="H540" ca="1">IndividualLegIVCore($A$4, Table133[[#This Row],[Strike]], 0.0411, Table133[[#This Row],[T]], ((Table133[[#This Row],[BIDC]]+Table133[[#This Row],[ASKC]])/2), TRUE)</f>
        <v>0.01</v>
      </c>
      <c r="I540" t="b">
        <f>IF(     ISNUMBER(Table133[[#This Row],[Strike]]),RTD("tos.rtd", , "BID", "."&amp;Table133[[#This Row],[Ticker]]&amp;Table133[[#This Row],[Expiry]]&amp;""&amp;"C"&amp;Table133[[#This Row],[Strike]]))</f>
        <v>0</v>
      </c>
      <c r="J540" t="b">
        <f>IF(     ISNUMBER(Table133[[#This Row],[Strike]]),RTD("tos.rtd", , "ASK", "."&amp;Table133[[#This Row],[Ticker]]&amp;Table133[[#This Row],[Expiry]]&amp;""&amp;"C"&amp;Table133[[#This Row],[Strike]]))</f>
        <v>0</v>
      </c>
      <c r="K540" s="17"/>
      <c r="M540" s="1">
        <f t="shared" si="50"/>
        <v>0</v>
      </c>
      <c r="N540" t="b">
        <f t="shared" si="51"/>
        <v>0</v>
      </c>
      <c r="P540" s="17" cm="1">
        <f t="array" aca="1" ref="P540" ca="1">IndividualLegIVCore($A$4, Table133[[#This Row],[Strike]], 0.0411, Table133[[#This Row],[T]], ((Table133[[#This Row],[BIDP]]+Table133[[#This Row],[ASKP]])/2), FALSE)</f>
        <v>0.01</v>
      </c>
      <c r="Q540" t="b">
        <f>IF(     ISNUMBER(Table133[[#This Row],[Strike]]),RTD("tos.rtd", , "BID", "."&amp;Table133[[#This Row],[Ticker]]&amp;Table133[[#This Row],[Expiry]]&amp;""&amp;"P"&amp;Table133[[#This Row],[Strike]]))</f>
        <v>0</v>
      </c>
      <c r="R540" t="b">
        <f>IF(     ISNUMBER(Table133[[#This Row],[Strike]]),RTD("tos.rtd", , "ASK", "."&amp;Table133[[#This Row],[Ticker]]&amp;Table133[[#This Row],[Expiry]]&amp;""&amp;"P"&amp;Table133[[#This Row],[Strike]]))</f>
        <v>0</v>
      </c>
      <c r="S540" s="17"/>
      <c r="T540" t="b">
        <f>IF(     ISNUMBER(Table133[[#This Row],[Strike]]),RTD("tos.rtd", , "OPEN_INT", "."&amp;Table133[[#This Row],[Ticker]]&amp;Table133[[#This Row],[Expiry]]&amp;""&amp;"P"&amp;Table133[[#This Row],[Strike]]))</f>
        <v>0</v>
      </c>
      <c r="U54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0" t="b">
        <f>IF(     ISNUMBER(Table133[[#This Row],[Strike]]),RTD("tos.rtd", , "DELTA", "."&amp;Table133[[#This Row],[Ticker]]&amp;Table133[[#This Row],[Expiry]]&amp;""&amp;"P"&amp;Table133[[#This Row],[Strike]]))</f>
        <v>0</v>
      </c>
      <c r="Y540" s="19">
        <f>12* IF($M$1="NDX", 10, IF(OR($M$1="SPX", $M$1="RUT"), 2, 1))</f>
        <v>24</v>
      </c>
      <c r="Z540">
        <f ca="1">IFERROR(Table133[[#This Row],[call gamma]]*(Table133[[#This Row],[Open.Int]])*$A$4^2,0)</f>
        <v>0</v>
      </c>
      <c r="AA540">
        <f ca="1">IFERROR(((Table133[[#This Row],[Open.Int8]])*Table133[[#This Row],[Put gamma]])*-1*$A$4^2,0)</f>
        <v>0</v>
      </c>
      <c r="AB540">
        <f ca="1">(Table133[[#This Row],[Call Gex]]+Table133[[#This Row],[Put Gex]])</f>
        <v>0</v>
      </c>
      <c r="AC540">
        <f ca="1">Table133[[#This Row],[put delta adj]]+Table133[[#This Row],[call delta adj]]</f>
        <v>0</v>
      </c>
      <c r="AD540">
        <f ca="1">Table133[[#This Row],[Put Gex]]*Table133[[#This Row],[DeltaP]]*-1</f>
        <v>0</v>
      </c>
      <c r="AE540">
        <f ca="1">Table133[[#This Row],[Call Gex]]*Table133[[#This Row],[DeltaC]]</f>
        <v>0</v>
      </c>
      <c r="AF540">
        <f>IF(Table133[[#This Row],[DeltaC]]-ABS(Table133[[#This Row],[DeltaP]])="0","0.01",Table133[[#This Row],[DeltaC]]-ABS(Table133[[#This Row],[DeltaP]]))</f>
        <v>0</v>
      </c>
      <c r="AG540" t="e">
        <f ca="1">((LN($A$4/Table133[[#This Row],[Strike]]) + (0.411 + 0.5 * Table133[[#This Row],[IV Calc P]]^2) *Table133[[#This Row],[T]])) / (Table133[[#This Row],[IV Calc P]] * SQRT(Table133[[#This Row],[T]]))</f>
        <v>#DIV/0!</v>
      </c>
      <c r="AH540" t="e">
        <f ca="1">(LN($A$4/Table133[[#This Row],[Strike]]) + (0.411-0 + 0.5 * Table133[[#This Row],[IV Calc C]]^2) *Table133[[#This Row],[T]]) / (Table133[[#This Row],[IV Calc C]] * SQRT(Table133[[#This Row],[T]]))</f>
        <v>#DIV/0!</v>
      </c>
      <c r="AI540" t="e">
        <f ca="1">(EXP(-(AG540^2)/2)/SQRT(2*PI())*EXP(0*SQRT(Table133[[#This Row],[T]]))/$A$4*18%*SQRT(SQRT(Table133[[#This Row],[T]])))</f>
        <v>#DIV/0!</v>
      </c>
      <c r="AJ540" t="e">
        <f ca="1">(EXP(-(AH540^2)/2)/SQRT(2*PI())*EXP(0*SQRT(Table133[[#This Row],[T]]))/$A$4*18%*SQRT(SQRT(Table133[[#This Row],[T]])))</f>
        <v>#DIV/0!</v>
      </c>
      <c r="AK540" t="e">
        <f ca="1">Table133[[#This Row],[Call D1]]-Table133[[#This Row],[IV Calc C]]*SQRT(Table133[[#This Row],[T]])</f>
        <v>#DIV/0!</v>
      </c>
      <c r="AL540" t="e">
        <f ca="1">Table133[[#This Row],[Put D1]]-Table133[[#This Row],[IV Calc P]]*SQRT(Table133[[#This Row],[T]])</f>
        <v>#DIV/0!</v>
      </c>
      <c r="AM540" t="e">
        <f ca="1">EXP(-0.5*Table133[[#This Row],[Call D1]]^2)/SQRT(2*PI())</f>
        <v>#DIV/0!</v>
      </c>
      <c r="AN540" t="e">
        <f ca="1">EXP(-0.5*Table133[[#This Row],[Put D1]]^2)/SQRT(2*PI())</f>
        <v>#DIV/0!</v>
      </c>
      <c r="AO54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0">
        <f ca="1">((Table133[[#This Row],[call vanna]]+Table133[[#This Row],[put vanna]])*$A$4)</f>
        <v>0</v>
      </c>
      <c r="AR54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0" s="9" t="str" cm="1">
        <f t="array" ref="AT540">_xlfn.IFS(     $M$1="SPX","SPXW",     $M$1="RUT","RUTW",  $M$1="NDX","NDXP",   TRUE,$M$1 )</f>
        <v>SPXW</v>
      </c>
      <c r="AU540" s="2">
        <f t="shared" si="52"/>
        <v>6915</v>
      </c>
      <c r="AV540" t="str">
        <f t="shared" si="53"/>
        <v>000100</v>
      </c>
      <c r="AY54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0">
        <f>((Table133[[#This Row],[High C]]+Table133[[#This Row],[Low C]])/2)*Table133[[#This Row],[gammac]]*Table133[[#This Row],[Volume]]</f>
        <v>0</v>
      </c>
      <c r="BD540">
        <f>((Table133[[#This Row],[High P]]+Table133[[#This Row],[Low P]])/2)*Table133[[#This Row],[gammap]]*Table133[[#This Row],[Volume9]]*-1</f>
        <v>0</v>
      </c>
      <c r="BE540">
        <f>(Table133[[#This Row],[SgammaC]]+Table133[[#This Row],[SgammaP]])*$A$4*-100</f>
        <v>0</v>
      </c>
      <c r="BF540" s="78">
        <f>Table133[[#This Row],[DEXc]]+Table133[[#This Row],[DEXp]]</f>
        <v>0</v>
      </c>
      <c r="BG540">
        <f>IFERROR(Table133[[#This Row],[DeltaC]]*Table133[[#This Row],[Open.Int]]*$A$4,0)</f>
        <v>0</v>
      </c>
      <c r="BH540">
        <f>IFERROR(Table133[[#This Row],[DeltaP]]*Table133[[#This Row],[Open.Int8]]*$A$4,0)</f>
        <v>0</v>
      </c>
      <c r="BI54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0">
        <f ca="1">Table133[[#This Row],[charmc]]+Table133[[#This Row],[charmp]]</f>
        <v>0</v>
      </c>
      <c r="BL54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0" s="78">
        <f ca="1">Table133[[#This Row],[call helper]]+Table133[[#This Row],[put helper]]</f>
        <v>0</v>
      </c>
      <c r="BP540" t="str">
        <f>RTD("tos.rtd", , "STRIKE", "."&amp;Table133[[#This Row],[Ticker]]&amp;Table133[[#This Row],[Expiry]]&amp;""&amp;"C"&amp;Table133[[#This Row],[Spot]]+Table133[[#This Row],[step]])</f>
        <v>N/A</v>
      </c>
    </row>
    <row r="541" spans="1:68" x14ac:dyDescent="0.25">
      <c r="A541" s="14">
        <f t="shared" ca="1" si="49"/>
        <v>-126.14810350076104</v>
      </c>
      <c r="C541" s="17"/>
      <c r="D541" t="str">
        <f>RTD("tos.rtd", , "OPEN_INT", "."&amp;Table133[[#This Row],[Ticker]]&amp;Table133[[#This Row],[Expiry]]&amp;""&amp;"C"&amp;Table133[[#This Row],[Spot]]+Table133[[#This Row],[step]])</f>
        <v>N/A</v>
      </c>
      <c r="E54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1" t="b">
        <f>IF(     ISNUMBER(Table133[[#This Row],[Strike]]),RTD("tos.rtd", , "DELTA", "."&amp;Table133[[#This Row],[Ticker]]&amp;Table133[[#This Row],[Expiry]]&amp;""&amp;"C"&amp;Table133[[#This Row],[Strike]]))</f>
        <v>0</v>
      </c>
      <c r="H541" s="17" cm="1">
        <f t="array" aca="1" ref="H541" ca="1">IndividualLegIVCore($A$4, Table133[[#This Row],[Strike]], 0.0411, Table133[[#This Row],[T]], ((Table133[[#This Row],[BIDC]]+Table133[[#This Row],[ASKC]])/2), TRUE)</f>
        <v>0.01</v>
      </c>
      <c r="I541" t="b">
        <f>IF(     ISNUMBER(Table133[[#This Row],[Strike]]),RTD("tos.rtd", , "BID", "."&amp;Table133[[#This Row],[Ticker]]&amp;Table133[[#This Row],[Expiry]]&amp;""&amp;"C"&amp;Table133[[#This Row],[Strike]]))</f>
        <v>0</v>
      </c>
      <c r="J541" t="b">
        <f>IF(     ISNUMBER(Table133[[#This Row],[Strike]]),RTD("tos.rtd", , "ASK", "."&amp;Table133[[#This Row],[Ticker]]&amp;Table133[[#This Row],[Expiry]]&amp;""&amp;"C"&amp;Table133[[#This Row],[Strike]]))</f>
        <v>0</v>
      </c>
      <c r="K541" s="17"/>
      <c r="M541" s="1">
        <f t="shared" si="50"/>
        <v>0</v>
      </c>
      <c r="N541" t="b">
        <f t="shared" si="51"/>
        <v>0</v>
      </c>
      <c r="P541" s="17" cm="1">
        <f t="array" aca="1" ref="P541" ca="1">IndividualLegIVCore($A$4, Table133[[#This Row],[Strike]], 0.0411, Table133[[#This Row],[T]], ((Table133[[#This Row],[BIDP]]+Table133[[#This Row],[ASKP]])/2), FALSE)</f>
        <v>0.01</v>
      </c>
      <c r="Q541" t="b">
        <f>IF(     ISNUMBER(Table133[[#This Row],[Strike]]),RTD("tos.rtd", , "BID", "."&amp;Table133[[#This Row],[Ticker]]&amp;Table133[[#This Row],[Expiry]]&amp;""&amp;"P"&amp;Table133[[#This Row],[Strike]]))</f>
        <v>0</v>
      </c>
      <c r="R541" t="b">
        <f>IF(     ISNUMBER(Table133[[#This Row],[Strike]]),RTD("tos.rtd", , "ASK", "."&amp;Table133[[#This Row],[Ticker]]&amp;Table133[[#This Row],[Expiry]]&amp;""&amp;"P"&amp;Table133[[#This Row],[Strike]]))</f>
        <v>0</v>
      </c>
      <c r="S541" s="17"/>
      <c r="T541" t="b">
        <f>IF(     ISNUMBER(Table133[[#This Row],[Strike]]),RTD("tos.rtd", , "OPEN_INT", "."&amp;Table133[[#This Row],[Ticker]]&amp;Table133[[#This Row],[Expiry]]&amp;""&amp;"P"&amp;Table133[[#This Row],[Strike]]))</f>
        <v>0</v>
      </c>
      <c r="U54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1" t="b">
        <f>IF(     ISNUMBER(Table133[[#This Row],[Strike]]),RTD("tos.rtd", , "DELTA", "."&amp;Table133[[#This Row],[Ticker]]&amp;Table133[[#This Row],[Expiry]]&amp;""&amp;"P"&amp;Table133[[#This Row],[Strike]]))</f>
        <v>0</v>
      </c>
      <c r="Y541" s="19">
        <f>12.5* IF($M$1="NDX", 10, IF(OR($M$1="SPX", $M$1="RUT"), 2, 1))</f>
        <v>25</v>
      </c>
      <c r="Z541">
        <f ca="1">IFERROR(Table133[[#This Row],[call gamma]]*(Table133[[#This Row],[Open.Int]])*$A$4^2,0)</f>
        <v>0</v>
      </c>
      <c r="AA541">
        <f ca="1">IFERROR(((Table133[[#This Row],[Open.Int8]])*Table133[[#This Row],[Put gamma]])*-1*$A$4^2,0)</f>
        <v>0</v>
      </c>
      <c r="AB541">
        <f ca="1">(Table133[[#This Row],[Call Gex]]+Table133[[#This Row],[Put Gex]])</f>
        <v>0</v>
      </c>
      <c r="AC541">
        <f ca="1">Table133[[#This Row],[put delta adj]]+Table133[[#This Row],[call delta adj]]</f>
        <v>0</v>
      </c>
      <c r="AD541">
        <f ca="1">Table133[[#This Row],[Put Gex]]*Table133[[#This Row],[DeltaP]]*-1</f>
        <v>0</v>
      </c>
      <c r="AE541">
        <f ca="1">Table133[[#This Row],[Call Gex]]*Table133[[#This Row],[DeltaC]]</f>
        <v>0</v>
      </c>
      <c r="AF541">
        <f>IF(Table133[[#This Row],[DeltaC]]-ABS(Table133[[#This Row],[DeltaP]])="0","0.01",Table133[[#This Row],[DeltaC]]-ABS(Table133[[#This Row],[DeltaP]]))</f>
        <v>0</v>
      </c>
      <c r="AG541" t="e">
        <f ca="1">((LN($A$4/Table133[[#This Row],[Strike]]) + (0.411 + 0.5 * Table133[[#This Row],[IV Calc P]]^2) *Table133[[#This Row],[T]])) / (Table133[[#This Row],[IV Calc P]] * SQRT(Table133[[#This Row],[T]]))</f>
        <v>#DIV/0!</v>
      </c>
      <c r="AH541" t="e">
        <f ca="1">(LN($A$4/Table133[[#This Row],[Strike]]) + (0.411-0 + 0.5 * Table133[[#This Row],[IV Calc C]]^2) *Table133[[#This Row],[T]]) / (Table133[[#This Row],[IV Calc C]] * SQRT(Table133[[#This Row],[T]]))</f>
        <v>#DIV/0!</v>
      </c>
      <c r="AI541" t="e">
        <f ca="1">(EXP(-(AG541^2)/2)/SQRT(2*PI())*EXP(0*SQRT(Table133[[#This Row],[T]]))/$A$4*18%*SQRT(SQRT(Table133[[#This Row],[T]])))</f>
        <v>#DIV/0!</v>
      </c>
      <c r="AJ541" t="e">
        <f ca="1">(EXP(-(AH541^2)/2)/SQRT(2*PI())*EXP(0*SQRT(Table133[[#This Row],[T]]))/$A$4*18%*SQRT(SQRT(Table133[[#This Row],[T]])))</f>
        <v>#DIV/0!</v>
      </c>
      <c r="AK541" t="e">
        <f ca="1">Table133[[#This Row],[Call D1]]-Table133[[#This Row],[IV Calc C]]*SQRT(Table133[[#This Row],[T]])</f>
        <v>#DIV/0!</v>
      </c>
      <c r="AL541" t="e">
        <f ca="1">Table133[[#This Row],[Put D1]]-Table133[[#This Row],[IV Calc P]]*SQRT(Table133[[#This Row],[T]])</f>
        <v>#DIV/0!</v>
      </c>
      <c r="AM541" t="e">
        <f ca="1">EXP(-0.5*Table133[[#This Row],[Call D1]]^2)/SQRT(2*PI())</f>
        <v>#DIV/0!</v>
      </c>
      <c r="AN541" t="e">
        <f ca="1">EXP(-0.5*Table133[[#This Row],[Put D1]]^2)/SQRT(2*PI())</f>
        <v>#DIV/0!</v>
      </c>
      <c r="AO54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1">
        <f ca="1">((Table133[[#This Row],[call vanna]]+Table133[[#This Row],[put vanna]])*$A$4)</f>
        <v>0</v>
      </c>
      <c r="AR54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1" s="9" t="str" cm="1">
        <f t="array" ref="AT541">_xlfn.IFS(     $M$1="SPX","SPXW",     $M$1="RUT","RUTW",  $M$1="NDX","NDXP",   TRUE,$M$1 )</f>
        <v>SPXW</v>
      </c>
      <c r="AU541" s="2">
        <f t="shared" si="52"/>
        <v>6915</v>
      </c>
      <c r="AV541" t="str">
        <f t="shared" si="53"/>
        <v>000100</v>
      </c>
      <c r="AY54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1">
        <f>((Table133[[#This Row],[High C]]+Table133[[#This Row],[Low C]])/2)*Table133[[#This Row],[gammac]]*Table133[[#This Row],[Volume]]</f>
        <v>0</v>
      </c>
      <c r="BD541">
        <f>((Table133[[#This Row],[High P]]+Table133[[#This Row],[Low P]])/2)*Table133[[#This Row],[gammap]]*Table133[[#This Row],[Volume9]]*-1</f>
        <v>0</v>
      </c>
      <c r="BE541">
        <f>(Table133[[#This Row],[SgammaC]]+Table133[[#This Row],[SgammaP]])*$A$4*-100</f>
        <v>0</v>
      </c>
      <c r="BF541" s="78">
        <f>Table133[[#This Row],[DEXc]]+Table133[[#This Row],[DEXp]]</f>
        <v>0</v>
      </c>
      <c r="BG541">
        <f>IFERROR(Table133[[#This Row],[DeltaC]]*Table133[[#This Row],[Open.Int]]*$A$4,0)</f>
        <v>0</v>
      </c>
      <c r="BH541">
        <f>IFERROR(Table133[[#This Row],[DeltaP]]*Table133[[#This Row],[Open.Int8]]*$A$4,0)</f>
        <v>0</v>
      </c>
      <c r="BI54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1">
        <f ca="1">Table133[[#This Row],[charmc]]+Table133[[#This Row],[charmp]]</f>
        <v>0</v>
      </c>
      <c r="BL54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1" s="78">
        <f ca="1">Table133[[#This Row],[call helper]]+Table133[[#This Row],[put helper]]</f>
        <v>0</v>
      </c>
      <c r="BP541" t="str">
        <f>RTD("tos.rtd", , "STRIKE", "."&amp;Table133[[#This Row],[Ticker]]&amp;Table133[[#This Row],[Expiry]]&amp;""&amp;"C"&amp;Table133[[#This Row],[Spot]]+Table133[[#This Row],[step]])</f>
        <v>N/A</v>
      </c>
    </row>
    <row r="542" spans="1:68" x14ac:dyDescent="0.25">
      <c r="A542" s="14">
        <f t="shared" ca="1" si="49"/>
        <v>-126.14810350076104</v>
      </c>
      <c r="C542" s="17"/>
      <c r="D542" t="str">
        <f>RTD("tos.rtd", , "OPEN_INT", "."&amp;Table133[[#This Row],[Ticker]]&amp;Table133[[#This Row],[Expiry]]&amp;""&amp;"C"&amp;Table133[[#This Row],[Spot]]+Table133[[#This Row],[step]])</f>
        <v>N/A</v>
      </c>
      <c r="E54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2" t="b">
        <f>IF(     ISNUMBER(Table133[[#This Row],[Strike]]),RTD("tos.rtd", , "DELTA", "."&amp;Table133[[#This Row],[Ticker]]&amp;Table133[[#This Row],[Expiry]]&amp;""&amp;"C"&amp;Table133[[#This Row],[Strike]]))</f>
        <v>0</v>
      </c>
      <c r="H542" s="17" cm="1">
        <f t="array" aca="1" ref="H542" ca="1">IndividualLegIVCore($A$4, Table133[[#This Row],[Strike]], 0.0411, Table133[[#This Row],[T]], ((Table133[[#This Row],[BIDC]]+Table133[[#This Row],[ASKC]])/2), TRUE)</f>
        <v>0.01</v>
      </c>
      <c r="I542" t="b">
        <f>IF(     ISNUMBER(Table133[[#This Row],[Strike]]),RTD("tos.rtd", , "BID", "."&amp;Table133[[#This Row],[Ticker]]&amp;Table133[[#This Row],[Expiry]]&amp;""&amp;"C"&amp;Table133[[#This Row],[Strike]]))</f>
        <v>0</v>
      </c>
      <c r="J542" t="b">
        <f>IF(     ISNUMBER(Table133[[#This Row],[Strike]]),RTD("tos.rtd", , "ASK", "."&amp;Table133[[#This Row],[Ticker]]&amp;Table133[[#This Row],[Expiry]]&amp;""&amp;"C"&amp;Table133[[#This Row],[Strike]]))</f>
        <v>0</v>
      </c>
      <c r="K542" s="17"/>
      <c r="M542" s="1">
        <f t="shared" si="50"/>
        <v>0</v>
      </c>
      <c r="N542" t="b">
        <f t="shared" si="51"/>
        <v>0</v>
      </c>
      <c r="P542" s="17" cm="1">
        <f t="array" aca="1" ref="P542" ca="1">IndividualLegIVCore($A$4, Table133[[#This Row],[Strike]], 0.0411, Table133[[#This Row],[T]], ((Table133[[#This Row],[BIDP]]+Table133[[#This Row],[ASKP]])/2), FALSE)</f>
        <v>0.01</v>
      </c>
      <c r="Q542" t="b">
        <f>IF(     ISNUMBER(Table133[[#This Row],[Strike]]),RTD("tos.rtd", , "BID", "."&amp;Table133[[#This Row],[Ticker]]&amp;Table133[[#This Row],[Expiry]]&amp;""&amp;"P"&amp;Table133[[#This Row],[Strike]]))</f>
        <v>0</v>
      </c>
      <c r="R542" t="b">
        <f>IF(     ISNUMBER(Table133[[#This Row],[Strike]]),RTD("tos.rtd", , "ASK", "."&amp;Table133[[#This Row],[Ticker]]&amp;Table133[[#This Row],[Expiry]]&amp;""&amp;"P"&amp;Table133[[#This Row],[Strike]]))</f>
        <v>0</v>
      </c>
      <c r="S542" s="17"/>
      <c r="T542" t="b">
        <f>IF(     ISNUMBER(Table133[[#This Row],[Strike]]),RTD("tos.rtd", , "OPEN_INT", "."&amp;Table133[[#This Row],[Ticker]]&amp;Table133[[#This Row],[Expiry]]&amp;""&amp;"P"&amp;Table133[[#This Row],[Strike]]))</f>
        <v>0</v>
      </c>
      <c r="U54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2" t="b">
        <f>IF(     ISNUMBER(Table133[[#This Row],[Strike]]),RTD("tos.rtd", , "DELTA", "."&amp;Table133[[#This Row],[Ticker]]&amp;Table133[[#This Row],[Expiry]]&amp;""&amp;"P"&amp;Table133[[#This Row],[Strike]]))</f>
        <v>0</v>
      </c>
      <c r="Y542" s="19">
        <f>13* IF($M$1="NDX", 10, IF(OR($M$1="SPX", $M$1="RUT"), 2, 1))</f>
        <v>26</v>
      </c>
      <c r="Z542">
        <f ca="1">IFERROR(Table133[[#This Row],[call gamma]]*(Table133[[#This Row],[Open.Int]])*$A$4^2,0)</f>
        <v>0</v>
      </c>
      <c r="AA542">
        <f ca="1">IFERROR(((Table133[[#This Row],[Open.Int8]])*Table133[[#This Row],[Put gamma]])*-1*$A$4^2,0)</f>
        <v>0</v>
      </c>
      <c r="AB542">
        <f ca="1">(Table133[[#This Row],[Call Gex]]+Table133[[#This Row],[Put Gex]])</f>
        <v>0</v>
      </c>
      <c r="AC542">
        <f ca="1">Table133[[#This Row],[put delta adj]]+Table133[[#This Row],[call delta adj]]</f>
        <v>0</v>
      </c>
      <c r="AD542">
        <f ca="1">Table133[[#This Row],[Put Gex]]*Table133[[#This Row],[DeltaP]]*-1</f>
        <v>0</v>
      </c>
      <c r="AE542">
        <f ca="1">Table133[[#This Row],[Call Gex]]*Table133[[#This Row],[DeltaC]]</f>
        <v>0</v>
      </c>
      <c r="AF542">
        <f>IF(Table133[[#This Row],[DeltaC]]-ABS(Table133[[#This Row],[DeltaP]])="0","0.01",Table133[[#This Row],[DeltaC]]-ABS(Table133[[#This Row],[DeltaP]]))</f>
        <v>0</v>
      </c>
      <c r="AG542" t="e">
        <f ca="1">((LN($A$4/Table133[[#This Row],[Strike]]) + (0.411 + 0.5 * Table133[[#This Row],[IV Calc P]]^2) *Table133[[#This Row],[T]])) / (Table133[[#This Row],[IV Calc P]] * SQRT(Table133[[#This Row],[T]]))</f>
        <v>#DIV/0!</v>
      </c>
      <c r="AH542" t="e">
        <f ca="1">(LN($A$4/Table133[[#This Row],[Strike]]) + (0.411-0 + 0.5 * Table133[[#This Row],[IV Calc C]]^2) *Table133[[#This Row],[T]]) / (Table133[[#This Row],[IV Calc C]] * SQRT(Table133[[#This Row],[T]]))</f>
        <v>#DIV/0!</v>
      </c>
      <c r="AI542" t="e">
        <f ca="1">(EXP(-(AG542^2)/2)/SQRT(2*PI())*EXP(0*SQRT(Table133[[#This Row],[T]]))/$A$4*18%*SQRT(SQRT(Table133[[#This Row],[T]])))</f>
        <v>#DIV/0!</v>
      </c>
      <c r="AJ542" t="e">
        <f ca="1">(EXP(-(AH542^2)/2)/SQRT(2*PI())*EXP(0*SQRT(Table133[[#This Row],[T]]))/$A$4*18%*SQRT(SQRT(Table133[[#This Row],[T]])))</f>
        <v>#DIV/0!</v>
      </c>
      <c r="AK542" t="e">
        <f ca="1">Table133[[#This Row],[Call D1]]-Table133[[#This Row],[IV Calc C]]*SQRT(Table133[[#This Row],[T]])</f>
        <v>#DIV/0!</v>
      </c>
      <c r="AL542" t="e">
        <f ca="1">Table133[[#This Row],[Put D1]]-Table133[[#This Row],[IV Calc P]]*SQRT(Table133[[#This Row],[T]])</f>
        <v>#DIV/0!</v>
      </c>
      <c r="AM542" t="e">
        <f ca="1">EXP(-0.5*Table133[[#This Row],[Call D1]]^2)/SQRT(2*PI())</f>
        <v>#DIV/0!</v>
      </c>
      <c r="AN542" t="e">
        <f ca="1">EXP(-0.5*Table133[[#This Row],[Put D1]]^2)/SQRT(2*PI())</f>
        <v>#DIV/0!</v>
      </c>
      <c r="AO54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2">
        <f ca="1">((Table133[[#This Row],[call vanna]]+Table133[[#This Row],[put vanna]])*$A$4)</f>
        <v>0</v>
      </c>
      <c r="AR54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2" s="9" t="str" cm="1">
        <f t="array" ref="AT542">_xlfn.IFS(     $M$1="SPX","SPXW",     $M$1="RUT","RUTW",  $M$1="NDX","NDXP",   TRUE,$M$1 )</f>
        <v>SPXW</v>
      </c>
      <c r="AU542" s="2">
        <f t="shared" si="52"/>
        <v>6915</v>
      </c>
      <c r="AV542" t="str">
        <f t="shared" si="53"/>
        <v>000100</v>
      </c>
      <c r="AY54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2">
        <f>((Table133[[#This Row],[High C]]+Table133[[#This Row],[Low C]])/2)*Table133[[#This Row],[gammac]]*Table133[[#This Row],[Volume]]</f>
        <v>0</v>
      </c>
      <c r="BD542">
        <f>((Table133[[#This Row],[High P]]+Table133[[#This Row],[Low P]])/2)*Table133[[#This Row],[gammap]]*Table133[[#This Row],[Volume9]]*-1</f>
        <v>0</v>
      </c>
      <c r="BE542">
        <f>(Table133[[#This Row],[SgammaC]]+Table133[[#This Row],[SgammaP]])*$A$4*-100</f>
        <v>0</v>
      </c>
      <c r="BF542" s="78">
        <f>Table133[[#This Row],[DEXc]]+Table133[[#This Row],[DEXp]]</f>
        <v>0</v>
      </c>
      <c r="BG542">
        <f>IFERROR(Table133[[#This Row],[DeltaC]]*Table133[[#This Row],[Open.Int]]*$A$4,0)</f>
        <v>0</v>
      </c>
      <c r="BH542">
        <f>IFERROR(Table133[[#This Row],[DeltaP]]*Table133[[#This Row],[Open.Int8]]*$A$4,0)</f>
        <v>0</v>
      </c>
      <c r="BI54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2">
        <f ca="1">Table133[[#This Row],[charmc]]+Table133[[#This Row],[charmp]]</f>
        <v>0</v>
      </c>
      <c r="BL54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2" s="78">
        <f ca="1">Table133[[#This Row],[call helper]]+Table133[[#This Row],[put helper]]</f>
        <v>0</v>
      </c>
      <c r="BP542" t="str">
        <f>RTD("tos.rtd", , "STRIKE", "."&amp;Table133[[#This Row],[Ticker]]&amp;Table133[[#This Row],[Expiry]]&amp;""&amp;"C"&amp;Table133[[#This Row],[Spot]]+Table133[[#This Row],[step]])</f>
        <v>N/A</v>
      </c>
    </row>
    <row r="543" spans="1:68" x14ac:dyDescent="0.25">
      <c r="A543" s="14">
        <f t="shared" ca="1" si="49"/>
        <v>-126.14810350076104</v>
      </c>
      <c r="C543" s="17"/>
      <c r="D543" t="str">
        <f>RTD("tos.rtd", , "OPEN_INT", "."&amp;Table133[[#This Row],[Ticker]]&amp;Table133[[#This Row],[Expiry]]&amp;""&amp;"C"&amp;Table133[[#This Row],[Spot]]+Table133[[#This Row],[step]])</f>
        <v>N/A</v>
      </c>
      <c r="E54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3" t="b">
        <f>IF(     ISNUMBER(Table133[[#This Row],[Strike]]),RTD("tos.rtd", , "DELTA", "."&amp;Table133[[#This Row],[Ticker]]&amp;Table133[[#This Row],[Expiry]]&amp;""&amp;"C"&amp;Table133[[#This Row],[Strike]]))</f>
        <v>0</v>
      </c>
      <c r="H543" s="17" cm="1">
        <f t="array" aca="1" ref="H543" ca="1">IndividualLegIVCore($A$4, Table133[[#This Row],[Strike]], 0.0411, Table133[[#This Row],[T]], ((Table133[[#This Row],[BIDC]]+Table133[[#This Row],[ASKC]])/2), TRUE)</f>
        <v>0.01</v>
      </c>
      <c r="I543" t="b">
        <f>IF(     ISNUMBER(Table133[[#This Row],[Strike]]),RTD("tos.rtd", , "BID", "."&amp;Table133[[#This Row],[Ticker]]&amp;Table133[[#This Row],[Expiry]]&amp;""&amp;"C"&amp;Table133[[#This Row],[Strike]]))</f>
        <v>0</v>
      </c>
      <c r="J543" t="b">
        <f>IF(     ISNUMBER(Table133[[#This Row],[Strike]]),RTD("tos.rtd", , "ASK", "."&amp;Table133[[#This Row],[Ticker]]&amp;Table133[[#This Row],[Expiry]]&amp;""&amp;"C"&amp;Table133[[#This Row],[Strike]]))</f>
        <v>0</v>
      </c>
      <c r="K543" s="17"/>
      <c r="M543" s="1">
        <f t="shared" si="50"/>
        <v>0</v>
      </c>
      <c r="N543" t="b">
        <f t="shared" si="51"/>
        <v>0</v>
      </c>
      <c r="P543" s="17" cm="1">
        <f t="array" aca="1" ref="P543" ca="1">IndividualLegIVCore($A$4, Table133[[#This Row],[Strike]], 0.0411, Table133[[#This Row],[T]], ((Table133[[#This Row],[BIDP]]+Table133[[#This Row],[ASKP]])/2), FALSE)</f>
        <v>0.01</v>
      </c>
      <c r="Q543" t="b">
        <f>IF(     ISNUMBER(Table133[[#This Row],[Strike]]),RTD("tos.rtd", , "BID", "."&amp;Table133[[#This Row],[Ticker]]&amp;Table133[[#This Row],[Expiry]]&amp;""&amp;"P"&amp;Table133[[#This Row],[Strike]]))</f>
        <v>0</v>
      </c>
      <c r="R543" t="b">
        <f>IF(     ISNUMBER(Table133[[#This Row],[Strike]]),RTD("tos.rtd", , "ASK", "."&amp;Table133[[#This Row],[Ticker]]&amp;Table133[[#This Row],[Expiry]]&amp;""&amp;"P"&amp;Table133[[#This Row],[Strike]]))</f>
        <v>0</v>
      </c>
      <c r="S543" s="17"/>
      <c r="T543" t="b">
        <f>IF(     ISNUMBER(Table133[[#This Row],[Strike]]),RTD("tos.rtd", , "OPEN_INT", "."&amp;Table133[[#This Row],[Ticker]]&amp;Table133[[#This Row],[Expiry]]&amp;""&amp;"P"&amp;Table133[[#This Row],[Strike]]))</f>
        <v>0</v>
      </c>
      <c r="U54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3" t="b">
        <f>IF(     ISNUMBER(Table133[[#This Row],[Strike]]),RTD("tos.rtd", , "DELTA", "."&amp;Table133[[#This Row],[Ticker]]&amp;Table133[[#This Row],[Expiry]]&amp;""&amp;"P"&amp;Table133[[#This Row],[Strike]]))</f>
        <v>0</v>
      </c>
      <c r="Y543" s="19">
        <f>13.5* IF($M$1="NDX", 10, IF(OR($M$1="SPX", $M$1="RUT"), 2, 1))</f>
        <v>27</v>
      </c>
      <c r="Z543">
        <f ca="1">IFERROR(Table133[[#This Row],[call gamma]]*(Table133[[#This Row],[Open.Int]])*$A$4^2,0)</f>
        <v>0</v>
      </c>
      <c r="AA543">
        <f ca="1">IFERROR(((Table133[[#This Row],[Open.Int8]])*Table133[[#This Row],[Put gamma]])*-1*$A$4^2,0)</f>
        <v>0</v>
      </c>
      <c r="AB543">
        <f ca="1">(Table133[[#This Row],[Call Gex]]+Table133[[#This Row],[Put Gex]])</f>
        <v>0</v>
      </c>
      <c r="AC543">
        <f ca="1">Table133[[#This Row],[put delta adj]]+Table133[[#This Row],[call delta adj]]</f>
        <v>0</v>
      </c>
      <c r="AD543">
        <f ca="1">Table133[[#This Row],[Put Gex]]*Table133[[#This Row],[DeltaP]]*-1</f>
        <v>0</v>
      </c>
      <c r="AE543">
        <f ca="1">Table133[[#This Row],[Call Gex]]*Table133[[#This Row],[DeltaC]]</f>
        <v>0</v>
      </c>
      <c r="AF543">
        <f>IF(Table133[[#This Row],[DeltaC]]-ABS(Table133[[#This Row],[DeltaP]])="0","0.01",Table133[[#This Row],[DeltaC]]-ABS(Table133[[#This Row],[DeltaP]]))</f>
        <v>0</v>
      </c>
      <c r="AG543" t="e">
        <f ca="1">((LN($A$4/Table133[[#This Row],[Strike]]) + (0.411 + 0.5 * Table133[[#This Row],[IV Calc P]]^2) *Table133[[#This Row],[T]])) / (Table133[[#This Row],[IV Calc P]] * SQRT(Table133[[#This Row],[T]]))</f>
        <v>#DIV/0!</v>
      </c>
      <c r="AH543" t="e">
        <f ca="1">(LN($A$4/Table133[[#This Row],[Strike]]) + (0.411-0 + 0.5 * Table133[[#This Row],[IV Calc C]]^2) *Table133[[#This Row],[T]]) / (Table133[[#This Row],[IV Calc C]] * SQRT(Table133[[#This Row],[T]]))</f>
        <v>#DIV/0!</v>
      </c>
      <c r="AI543" t="e">
        <f ca="1">(EXP(-(AG543^2)/2)/SQRT(2*PI())*EXP(0*SQRT(Table133[[#This Row],[T]]))/$A$4*18%*SQRT(SQRT(Table133[[#This Row],[T]])))</f>
        <v>#DIV/0!</v>
      </c>
      <c r="AJ543" t="e">
        <f ca="1">(EXP(-(AH543^2)/2)/SQRT(2*PI())*EXP(0*SQRT(Table133[[#This Row],[T]]))/$A$4*18%*SQRT(SQRT(Table133[[#This Row],[T]])))</f>
        <v>#DIV/0!</v>
      </c>
      <c r="AK543" t="e">
        <f ca="1">Table133[[#This Row],[Call D1]]-Table133[[#This Row],[IV Calc C]]*SQRT(Table133[[#This Row],[T]])</f>
        <v>#DIV/0!</v>
      </c>
      <c r="AL543" t="e">
        <f ca="1">Table133[[#This Row],[Put D1]]-Table133[[#This Row],[IV Calc P]]*SQRT(Table133[[#This Row],[T]])</f>
        <v>#DIV/0!</v>
      </c>
      <c r="AM543" t="e">
        <f ca="1">EXP(-0.5*Table133[[#This Row],[Call D1]]^2)/SQRT(2*PI())</f>
        <v>#DIV/0!</v>
      </c>
      <c r="AN543" t="e">
        <f ca="1">EXP(-0.5*Table133[[#This Row],[Put D1]]^2)/SQRT(2*PI())</f>
        <v>#DIV/0!</v>
      </c>
      <c r="AO54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3">
        <f ca="1">((Table133[[#This Row],[call vanna]]+Table133[[#This Row],[put vanna]])*$A$4)</f>
        <v>0</v>
      </c>
      <c r="AR54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3" s="9" t="str" cm="1">
        <f t="array" ref="AT543">_xlfn.IFS(     $M$1="SPX","SPXW",     $M$1="RUT","RUTW",  $M$1="NDX","NDXP",   TRUE,$M$1 )</f>
        <v>SPXW</v>
      </c>
      <c r="AU543" s="2">
        <f t="shared" si="52"/>
        <v>6915</v>
      </c>
      <c r="AV543" t="str">
        <f t="shared" si="53"/>
        <v>000100</v>
      </c>
      <c r="AY54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3">
        <f>((Table133[[#This Row],[High C]]+Table133[[#This Row],[Low C]])/2)*Table133[[#This Row],[gammac]]*Table133[[#This Row],[Volume]]</f>
        <v>0</v>
      </c>
      <c r="BD543">
        <f>((Table133[[#This Row],[High P]]+Table133[[#This Row],[Low P]])/2)*Table133[[#This Row],[gammap]]*Table133[[#This Row],[Volume9]]*-1</f>
        <v>0</v>
      </c>
      <c r="BE543">
        <f>(Table133[[#This Row],[SgammaC]]+Table133[[#This Row],[SgammaP]])*$A$4*-100</f>
        <v>0</v>
      </c>
      <c r="BF543" s="78">
        <f>Table133[[#This Row],[DEXc]]+Table133[[#This Row],[DEXp]]</f>
        <v>0</v>
      </c>
      <c r="BG543">
        <f>IFERROR(Table133[[#This Row],[DeltaC]]*Table133[[#This Row],[Open.Int]]*$A$4,0)</f>
        <v>0</v>
      </c>
      <c r="BH543">
        <f>IFERROR(Table133[[#This Row],[DeltaP]]*Table133[[#This Row],[Open.Int8]]*$A$4,0)</f>
        <v>0</v>
      </c>
      <c r="BI54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3">
        <f ca="1">Table133[[#This Row],[charmc]]+Table133[[#This Row],[charmp]]</f>
        <v>0</v>
      </c>
      <c r="BL54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3" s="78">
        <f ca="1">Table133[[#This Row],[call helper]]+Table133[[#This Row],[put helper]]</f>
        <v>0</v>
      </c>
      <c r="BP543" t="str">
        <f>RTD("tos.rtd", , "STRIKE", "."&amp;Table133[[#This Row],[Ticker]]&amp;Table133[[#This Row],[Expiry]]&amp;""&amp;"C"&amp;Table133[[#This Row],[Spot]]+Table133[[#This Row],[step]])</f>
        <v>N/A</v>
      </c>
    </row>
    <row r="544" spans="1:68" x14ac:dyDescent="0.25">
      <c r="A544" s="14">
        <f t="shared" ref="A544:A607" ca="1" si="54">$Q$3</f>
        <v>-126.14810350076104</v>
      </c>
      <c r="C544" s="17"/>
      <c r="D544" t="str">
        <f>RTD("tos.rtd", , "OPEN_INT", "."&amp;Table133[[#This Row],[Ticker]]&amp;Table133[[#This Row],[Expiry]]&amp;""&amp;"C"&amp;Table133[[#This Row],[Spot]]+Table133[[#This Row],[step]])</f>
        <v>N/A</v>
      </c>
      <c r="E54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4" t="b">
        <f>IF(     ISNUMBER(Table133[[#This Row],[Strike]]),RTD("tos.rtd", , "DELTA", "."&amp;Table133[[#This Row],[Ticker]]&amp;Table133[[#This Row],[Expiry]]&amp;""&amp;"C"&amp;Table133[[#This Row],[Strike]]))</f>
        <v>0</v>
      </c>
      <c r="H544" s="17" cm="1">
        <f t="array" aca="1" ref="H544" ca="1">IndividualLegIVCore($A$4, Table133[[#This Row],[Strike]], 0.0411, Table133[[#This Row],[T]], ((Table133[[#This Row],[BIDC]]+Table133[[#This Row],[ASKC]])/2), TRUE)</f>
        <v>0.01</v>
      </c>
      <c r="I544" t="b">
        <f>IF(     ISNUMBER(Table133[[#This Row],[Strike]]),RTD("tos.rtd", , "BID", "."&amp;Table133[[#This Row],[Ticker]]&amp;Table133[[#This Row],[Expiry]]&amp;""&amp;"C"&amp;Table133[[#This Row],[Strike]]))</f>
        <v>0</v>
      </c>
      <c r="J544" t="b">
        <f>IF(     ISNUMBER(Table133[[#This Row],[Strike]]),RTD("tos.rtd", , "ASK", "."&amp;Table133[[#This Row],[Ticker]]&amp;Table133[[#This Row],[Expiry]]&amp;""&amp;"C"&amp;Table133[[#This Row],[Strike]]))</f>
        <v>0</v>
      </c>
      <c r="K544" s="17"/>
      <c r="M544" s="1">
        <f t="shared" ref="M544:M607" si="55">$Q$1</f>
        <v>0</v>
      </c>
      <c r="N544" t="b">
        <f t="shared" ref="N544:N607" si="56">IF(ISNUMBER($BP544), $BP544, FALSE)</f>
        <v>0</v>
      </c>
      <c r="P544" s="17" cm="1">
        <f t="array" aca="1" ref="P544" ca="1">IndividualLegIVCore($A$4, Table133[[#This Row],[Strike]], 0.0411, Table133[[#This Row],[T]], ((Table133[[#This Row],[BIDP]]+Table133[[#This Row],[ASKP]])/2), FALSE)</f>
        <v>0.01</v>
      </c>
      <c r="Q544" t="b">
        <f>IF(     ISNUMBER(Table133[[#This Row],[Strike]]),RTD("tos.rtd", , "BID", "."&amp;Table133[[#This Row],[Ticker]]&amp;Table133[[#This Row],[Expiry]]&amp;""&amp;"P"&amp;Table133[[#This Row],[Strike]]))</f>
        <v>0</v>
      </c>
      <c r="R544" t="b">
        <f>IF(     ISNUMBER(Table133[[#This Row],[Strike]]),RTD("tos.rtd", , "ASK", "."&amp;Table133[[#This Row],[Ticker]]&amp;Table133[[#This Row],[Expiry]]&amp;""&amp;"P"&amp;Table133[[#This Row],[Strike]]))</f>
        <v>0</v>
      </c>
      <c r="S544" s="17"/>
      <c r="T544" t="b">
        <f>IF(     ISNUMBER(Table133[[#This Row],[Strike]]),RTD("tos.rtd", , "OPEN_INT", "."&amp;Table133[[#This Row],[Ticker]]&amp;Table133[[#This Row],[Expiry]]&amp;""&amp;"P"&amp;Table133[[#This Row],[Strike]]))</f>
        <v>0</v>
      </c>
      <c r="U54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4" t="b">
        <f>IF(     ISNUMBER(Table133[[#This Row],[Strike]]),RTD("tos.rtd", , "DELTA", "."&amp;Table133[[#This Row],[Ticker]]&amp;Table133[[#This Row],[Expiry]]&amp;""&amp;"P"&amp;Table133[[#This Row],[Strike]]))</f>
        <v>0</v>
      </c>
      <c r="Y544" s="19">
        <f>14* IF($M$1="NDX", 10, IF(OR($M$1="SPX", $M$1="RUT"), 2, 1))</f>
        <v>28</v>
      </c>
      <c r="Z544">
        <f ca="1">IFERROR(Table133[[#This Row],[call gamma]]*(Table133[[#This Row],[Open.Int]])*$A$4^2,0)</f>
        <v>0</v>
      </c>
      <c r="AA544">
        <f ca="1">IFERROR(((Table133[[#This Row],[Open.Int8]])*Table133[[#This Row],[Put gamma]])*-1*$A$4^2,0)</f>
        <v>0</v>
      </c>
      <c r="AB544">
        <f ca="1">(Table133[[#This Row],[Call Gex]]+Table133[[#This Row],[Put Gex]])</f>
        <v>0</v>
      </c>
      <c r="AC544">
        <f ca="1">Table133[[#This Row],[put delta adj]]+Table133[[#This Row],[call delta adj]]</f>
        <v>0</v>
      </c>
      <c r="AD544">
        <f ca="1">Table133[[#This Row],[Put Gex]]*Table133[[#This Row],[DeltaP]]*-1</f>
        <v>0</v>
      </c>
      <c r="AE544">
        <f ca="1">Table133[[#This Row],[Call Gex]]*Table133[[#This Row],[DeltaC]]</f>
        <v>0</v>
      </c>
      <c r="AF544">
        <f>IF(Table133[[#This Row],[DeltaC]]-ABS(Table133[[#This Row],[DeltaP]])="0","0.01",Table133[[#This Row],[DeltaC]]-ABS(Table133[[#This Row],[DeltaP]]))</f>
        <v>0</v>
      </c>
      <c r="AG544" t="e">
        <f ca="1">((LN($A$4/Table133[[#This Row],[Strike]]) + (0.411 + 0.5 * Table133[[#This Row],[IV Calc P]]^2) *Table133[[#This Row],[T]])) / (Table133[[#This Row],[IV Calc P]] * SQRT(Table133[[#This Row],[T]]))</f>
        <v>#DIV/0!</v>
      </c>
      <c r="AH544" t="e">
        <f ca="1">(LN($A$4/Table133[[#This Row],[Strike]]) + (0.411-0 + 0.5 * Table133[[#This Row],[IV Calc C]]^2) *Table133[[#This Row],[T]]) / (Table133[[#This Row],[IV Calc C]] * SQRT(Table133[[#This Row],[T]]))</f>
        <v>#DIV/0!</v>
      </c>
      <c r="AI544" t="e">
        <f ca="1">(EXP(-(AG544^2)/2)/SQRT(2*PI())*EXP(0*SQRT(Table133[[#This Row],[T]]))/$A$4*18%*SQRT(SQRT(Table133[[#This Row],[T]])))</f>
        <v>#DIV/0!</v>
      </c>
      <c r="AJ544" t="e">
        <f ca="1">(EXP(-(AH544^2)/2)/SQRT(2*PI())*EXP(0*SQRT(Table133[[#This Row],[T]]))/$A$4*18%*SQRT(SQRT(Table133[[#This Row],[T]])))</f>
        <v>#DIV/0!</v>
      </c>
      <c r="AK544" t="e">
        <f ca="1">Table133[[#This Row],[Call D1]]-Table133[[#This Row],[IV Calc C]]*SQRT(Table133[[#This Row],[T]])</f>
        <v>#DIV/0!</v>
      </c>
      <c r="AL544" t="e">
        <f ca="1">Table133[[#This Row],[Put D1]]-Table133[[#This Row],[IV Calc P]]*SQRT(Table133[[#This Row],[T]])</f>
        <v>#DIV/0!</v>
      </c>
      <c r="AM544" t="e">
        <f ca="1">EXP(-0.5*Table133[[#This Row],[Call D1]]^2)/SQRT(2*PI())</f>
        <v>#DIV/0!</v>
      </c>
      <c r="AN544" t="e">
        <f ca="1">EXP(-0.5*Table133[[#This Row],[Put D1]]^2)/SQRT(2*PI())</f>
        <v>#DIV/0!</v>
      </c>
      <c r="AO54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4">
        <f ca="1">((Table133[[#This Row],[call vanna]]+Table133[[#This Row],[put vanna]])*$A$4)</f>
        <v>0</v>
      </c>
      <c r="AR54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4" s="9" t="str" cm="1">
        <f t="array" ref="AT544">_xlfn.IFS(     $M$1="SPX","SPXW",     $M$1="RUT","RUTW",  $M$1="NDX","NDXP",   TRUE,$M$1 )</f>
        <v>SPXW</v>
      </c>
      <c r="AU544" s="2">
        <f t="shared" ref="AU544:AU607" si="57">$N$1</f>
        <v>6915</v>
      </c>
      <c r="AV544" t="str">
        <f t="shared" ref="AV544:AV607" si="58">$Q$2</f>
        <v>000100</v>
      </c>
      <c r="AY54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4">
        <f>((Table133[[#This Row],[High C]]+Table133[[#This Row],[Low C]])/2)*Table133[[#This Row],[gammac]]*Table133[[#This Row],[Volume]]</f>
        <v>0</v>
      </c>
      <c r="BD544">
        <f>((Table133[[#This Row],[High P]]+Table133[[#This Row],[Low P]])/2)*Table133[[#This Row],[gammap]]*Table133[[#This Row],[Volume9]]*-1</f>
        <v>0</v>
      </c>
      <c r="BE544">
        <f>(Table133[[#This Row],[SgammaC]]+Table133[[#This Row],[SgammaP]])*$A$4*-100</f>
        <v>0</v>
      </c>
      <c r="BF544" s="78">
        <f>Table133[[#This Row],[DEXc]]+Table133[[#This Row],[DEXp]]</f>
        <v>0</v>
      </c>
      <c r="BG544">
        <f>IFERROR(Table133[[#This Row],[DeltaC]]*Table133[[#This Row],[Open.Int]]*$A$4,0)</f>
        <v>0</v>
      </c>
      <c r="BH544">
        <f>IFERROR(Table133[[#This Row],[DeltaP]]*Table133[[#This Row],[Open.Int8]]*$A$4,0)</f>
        <v>0</v>
      </c>
      <c r="BI54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4">
        <f ca="1">Table133[[#This Row],[charmc]]+Table133[[#This Row],[charmp]]</f>
        <v>0</v>
      </c>
      <c r="BL54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4" s="78">
        <f ca="1">Table133[[#This Row],[call helper]]+Table133[[#This Row],[put helper]]</f>
        <v>0</v>
      </c>
      <c r="BP544" t="str">
        <f>RTD("tos.rtd", , "STRIKE", "."&amp;Table133[[#This Row],[Ticker]]&amp;Table133[[#This Row],[Expiry]]&amp;""&amp;"C"&amp;Table133[[#This Row],[Spot]]+Table133[[#This Row],[step]])</f>
        <v>N/A</v>
      </c>
    </row>
    <row r="545" spans="1:68" x14ac:dyDescent="0.25">
      <c r="A545" s="14">
        <f t="shared" ca="1" si="54"/>
        <v>-126.14810350076104</v>
      </c>
      <c r="C545" s="17"/>
      <c r="D545" t="str">
        <f>RTD("tos.rtd", , "OPEN_INT", "."&amp;Table133[[#This Row],[Ticker]]&amp;Table133[[#This Row],[Expiry]]&amp;""&amp;"C"&amp;Table133[[#This Row],[Spot]]+Table133[[#This Row],[step]])</f>
        <v>N/A</v>
      </c>
      <c r="E54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5" t="b">
        <f>IF(     ISNUMBER(Table133[[#This Row],[Strike]]),RTD("tos.rtd", , "DELTA", "."&amp;Table133[[#This Row],[Ticker]]&amp;Table133[[#This Row],[Expiry]]&amp;""&amp;"C"&amp;Table133[[#This Row],[Strike]]))</f>
        <v>0</v>
      </c>
      <c r="H545" s="17" cm="1">
        <f t="array" aca="1" ref="H545" ca="1">IndividualLegIVCore($A$4, Table133[[#This Row],[Strike]], 0.0411, Table133[[#This Row],[T]], ((Table133[[#This Row],[BIDC]]+Table133[[#This Row],[ASKC]])/2), TRUE)</f>
        <v>0.01</v>
      </c>
      <c r="I545" t="b">
        <f>IF(     ISNUMBER(Table133[[#This Row],[Strike]]),RTD("tos.rtd", , "BID", "."&amp;Table133[[#This Row],[Ticker]]&amp;Table133[[#This Row],[Expiry]]&amp;""&amp;"C"&amp;Table133[[#This Row],[Strike]]))</f>
        <v>0</v>
      </c>
      <c r="J545" t="b">
        <f>IF(     ISNUMBER(Table133[[#This Row],[Strike]]),RTD("tos.rtd", , "ASK", "."&amp;Table133[[#This Row],[Ticker]]&amp;Table133[[#This Row],[Expiry]]&amp;""&amp;"C"&amp;Table133[[#This Row],[Strike]]))</f>
        <v>0</v>
      </c>
      <c r="K545" s="17"/>
      <c r="M545" s="1">
        <f t="shared" si="55"/>
        <v>0</v>
      </c>
      <c r="N545" t="b">
        <f t="shared" si="56"/>
        <v>0</v>
      </c>
      <c r="P545" s="17" cm="1">
        <f t="array" aca="1" ref="P545" ca="1">IndividualLegIVCore($A$4, Table133[[#This Row],[Strike]], 0.0411, Table133[[#This Row],[T]], ((Table133[[#This Row],[BIDP]]+Table133[[#This Row],[ASKP]])/2), FALSE)</f>
        <v>0.01</v>
      </c>
      <c r="Q545" t="b">
        <f>IF(     ISNUMBER(Table133[[#This Row],[Strike]]),RTD("tos.rtd", , "BID", "."&amp;Table133[[#This Row],[Ticker]]&amp;Table133[[#This Row],[Expiry]]&amp;""&amp;"P"&amp;Table133[[#This Row],[Strike]]))</f>
        <v>0</v>
      </c>
      <c r="R545" t="b">
        <f>IF(     ISNUMBER(Table133[[#This Row],[Strike]]),RTD("tos.rtd", , "ASK", "."&amp;Table133[[#This Row],[Ticker]]&amp;Table133[[#This Row],[Expiry]]&amp;""&amp;"P"&amp;Table133[[#This Row],[Strike]]))</f>
        <v>0</v>
      </c>
      <c r="S545" s="17"/>
      <c r="T545" t="b">
        <f>IF(     ISNUMBER(Table133[[#This Row],[Strike]]),RTD("tos.rtd", , "OPEN_INT", "."&amp;Table133[[#This Row],[Ticker]]&amp;Table133[[#This Row],[Expiry]]&amp;""&amp;"P"&amp;Table133[[#This Row],[Strike]]))</f>
        <v>0</v>
      </c>
      <c r="U54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5" t="b">
        <f>IF(     ISNUMBER(Table133[[#This Row],[Strike]]),RTD("tos.rtd", , "DELTA", "."&amp;Table133[[#This Row],[Ticker]]&amp;Table133[[#This Row],[Expiry]]&amp;""&amp;"P"&amp;Table133[[#This Row],[Strike]]))</f>
        <v>0</v>
      </c>
      <c r="Y545" s="19">
        <f>14.5* IF($M$1="NDX", 10, IF(OR($M$1="SPX", $M$1="RUT"), 2, 1))</f>
        <v>29</v>
      </c>
      <c r="Z545">
        <f ca="1">IFERROR(Table133[[#This Row],[call gamma]]*(Table133[[#This Row],[Open.Int]])*$A$4^2,0)</f>
        <v>0</v>
      </c>
      <c r="AA545">
        <f ca="1">IFERROR(((Table133[[#This Row],[Open.Int8]])*Table133[[#This Row],[Put gamma]])*-1*$A$4^2,0)</f>
        <v>0</v>
      </c>
      <c r="AB545">
        <f ca="1">(Table133[[#This Row],[Call Gex]]+Table133[[#This Row],[Put Gex]])</f>
        <v>0</v>
      </c>
      <c r="AC545">
        <f ca="1">Table133[[#This Row],[put delta adj]]+Table133[[#This Row],[call delta adj]]</f>
        <v>0</v>
      </c>
      <c r="AD545">
        <f ca="1">Table133[[#This Row],[Put Gex]]*Table133[[#This Row],[DeltaP]]*-1</f>
        <v>0</v>
      </c>
      <c r="AE545">
        <f ca="1">Table133[[#This Row],[Call Gex]]*Table133[[#This Row],[DeltaC]]</f>
        <v>0</v>
      </c>
      <c r="AF545">
        <f>IF(Table133[[#This Row],[DeltaC]]-ABS(Table133[[#This Row],[DeltaP]])="0","0.01",Table133[[#This Row],[DeltaC]]-ABS(Table133[[#This Row],[DeltaP]]))</f>
        <v>0</v>
      </c>
      <c r="AG545" t="e">
        <f ca="1">((LN($A$4/Table133[[#This Row],[Strike]]) + (0.411 + 0.5 * Table133[[#This Row],[IV Calc P]]^2) *Table133[[#This Row],[T]])) / (Table133[[#This Row],[IV Calc P]] * SQRT(Table133[[#This Row],[T]]))</f>
        <v>#DIV/0!</v>
      </c>
      <c r="AH545" t="e">
        <f ca="1">(LN($A$4/Table133[[#This Row],[Strike]]) + (0.411-0 + 0.5 * Table133[[#This Row],[IV Calc C]]^2) *Table133[[#This Row],[T]]) / (Table133[[#This Row],[IV Calc C]] * SQRT(Table133[[#This Row],[T]]))</f>
        <v>#DIV/0!</v>
      </c>
      <c r="AI545" t="e">
        <f ca="1">(EXP(-(AG545^2)/2)/SQRT(2*PI())*EXP(0*SQRT(Table133[[#This Row],[T]]))/$A$4*18%*SQRT(SQRT(Table133[[#This Row],[T]])))</f>
        <v>#DIV/0!</v>
      </c>
      <c r="AJ545" t="e">
        <f ca="1">(EXP(-(AH545^2)/2)/SQRT(2*PI())*EXP(0*SQRT(Table133[[#This Row],[T]]))/$A$4*18%*SQRT(SQRT(Table133[[#This Row],[T]])))</f>
        <v>#DIV/0!</v>
      </c>
      <c r="AK545" t="e">
        <f ca="1">Table133[[#This Row],[Call D1]]-Table133[[#This Row],[IV Calc C]]*SQRT(Table133[[#This Row],[T]])</f>
        <v>#DIV/0!</v>
      </c>
      <c r="AL545" t="e">
        <f ca="1">Table133[[#This Row],[Put D1]]-Table133[[#This Row],[IV Calc P]]*SQRT(Table133[[#This Row],[T]])</f>
        <v>#DIV/0!</v>
      </c>
      <c r="AM545" t="e">
        <f ca="1">EXP(-0.5*Table133[[#This Row],[Call D1]]^2)/SQRT(2*PI())</f>
        <v>#DIV/0!</v>
      </c>
      <c r="AN545" t="e">
        <f ca="1">EXP(-0.5*Table133[[#This Row],[Put D1]]^2)/SQRT(2*PI())</f>
        <v>#DIV/0!</v>
      </c>
      <c r="AO54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5">
        <f ca="1">((Table133[[#This Row],[call vanna]]+Table133[[#This Row],[put vanna]])*$A$4)</f>
        <v>0</v>
      </c>
      <c r="AR54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5" s="9" t="str" cm="1">
        <f t="array" ref="AT545">_xlfn.IFS(     $M$1="SPX","SPXW",     $M$1="RUT","RUTW",  $M$1="NDX","NDXP",   TRUE,$M$1 )</f>
        <v>SPXW</v>
      </c>
      <c r="AU545" s="2">
        <f t="shared" si="57"/>
        <v>6915</v>
      </c>
      <c r="AV545" t="str">
        <f t="shared" si="58"/>
        <v>000100</v>
      </c>
      <c r="AY54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5">
        <f>((Table133[[#This Row],[High C]]+Table133[[#This Row],[Low C]])/2)*Table133[[#This Row],[gammac]]*Table133[[#This Row],[Volume]]</f>
        <v>0</v>
      </c>
      <c r="BD545">
        <f>((Table133[[#This Row],[High P]]+Table133[[#This Row],[Low P]])/2)*Table133[[#This Row],[gammap]]*Table133[[#This Row],[Volume9]]*-1</f>
        <v>0</v>
      </c>
      <c r="BE545">
        <f>(Table133[[#This Row],[SgammaC]]+Table133[[#This Row],[SgammaP]])*$A$4*-100</f>
        <v>0</v>
      </c>
      <c r="BF545" s="78">
        <f>Table133[[#This Row],[DEXc]]+Table133[[#This Row],[DEXp]]</f>
        <v>0</v>
      </c>
      <c r="BG545">
        <f>IFERROR(Table133[[#This Row],[DeltaC]]*Table133[[#This Row],[Open.Int]]*$A$4,0)</f>
        <v>0</v>
      </c>
      <c r="BH545">
        <f>IFERROR(Table133[[#This Row],[DeltaP]]*Table133[[#This Row],[Open.Int8]]*$A$4,0)</f>
        <v>0</v>
      </c>
      <c r="BI54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5">
        <f ca="1">Table133[[#This Row],[charmc]]+Table133[[#This Row],[charmp]]</f>
        <v>0</v>
      </c>
      <c r="BL54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5" s="78">
        <f ca="1">Table133[[#This Row],[call helper]]+Table133[[#This Row],[put helper]]</f>
        <v>0</v>
      </c>
      <c r="BP545" t="str">
        <f>RTD("tos.rtd", , "STRIKE", "."&amp;Table133[[#This Row],[Ticker]]&amp;Table133[[#This Row],[Expiry]]&amp;""&amp;"C"&amp;Table133[[#This Row],[Spot]]+Table133[[#This Row],[step]])</f>
        <v>N/A</v>
      </c>
    </row>
    <row r="546" spans="1:68" x14ac:dyDescent="0.25">
      <c r="A546" s="14">
        <f t="shared" ca="1" si="54"/>
        <v>-126.14810350076104</v>
      </c>
      <c r="C546" s="17"/>
      <c r="D546" t="str">
        <f>RTD("tos.rtd", , "OPEN_INT", "."&amp;Table133[[#This Row],[Ticker]]&amp;Table133[[#This Row],[Expiry]]&amp;""&amp;"C"&amp;Table133[[#This Row],[Spot]]+Table133[[#This Row],[step]])</f>
        <v>N/A</v>
      </c>
      <c r="E54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6" t="b">
        <f>IF(     ISNUMBER(Table133[[#This Row],[Strike]]),RTD("tos.rtd", , "DELTA", "."&amp;Table133[[#This Row],[Ticker]]&amp;Table133[[#This Row],[Expiry]]&amp;""&amp;"C"&amp;Table133[[#This Row],[Strike]]))</f>
        <v>0</v>
      </c>
      <c r="H546" s="17" cm="1">
        <f t="array" aca="1" ref="H546" ca="1">IndividualLegIVCore($A$4, Table133[[#This Row],[Strike]], 0.0411, Table133[[#This Row],[T]], ((Table133[[#This Row],[BIDC]]+Table133[[#This Row],[ASKC]])/2), TRUE)</f>
        <v>0.01</v>
      </c>
      <c r="I546" t="b">
        <f>IF(     ISNUMBER(Table133[[#This Row],[Strike]]),RTD("tos.rtd", , "BID", "."&amp;Table133[[#This Row],[Ticker]]&amp;Table133[[#This Row],[Expiry]]&amp;""&amp;"C"&amp;Table133[[#This Row],[Strike]]))</f>
        <v>0</v>
      </c>
      <c r="J546" t="b">
        <f>IF(     ISNUMBER(Table133[[#This Row],[Strike]]),RTD("tos.rtd", , "ASK", "."&amp;Table133[[#This Row],[Ticker]]&amp;Table133[[#This Row],[Expiry]]&amp;""&amp;"C"&amp;Table133[[#This Row],[Strike]]))</f>
        <v>0</v>
      </c>
      <c r="K546" s="17"/>
      <c r="M546" s="1">
        <f t="shared" si="55"/>
        <v>0</v>
      </c>
      <c r="N546" t="b">
        <f t="shared" si="56"/>
        <v>0</v>
      </c>
      <c r="P546" s="17" cm="1">
        <f t="array" aca="1" ref="P546" ca="1">IndividualLegIVCore($A$4, Table133[[#This Row],[Strike]], 0.0411, Table133[[#This Row],[T]], ((Table133[[#This Row],[BIDP]]+Table133[[#This Row],[ASKP]])/2), FALSE)</f>
        <v>0.01</v>
      </c>
      <c r="Q546" t="b">
        <f>IF(     ISNUMBER(Table133[[#This Row],[Strike]]),RTD("tos.rtd", , "BID", "."&amp;Table133[[#This Row],[Ticker]]&amp;Table133[[#This Row],[Expiry]]&amp;""&amp;"P"&amp;Table133[[#This Row],[Strike]]))</f>
        <v>0</v>
      </c>
      <c r="R546" t="b">
        <f>IF(     ISNUMBER(Table133[[#This Row],[Strike]]),RTD("tos.rtd", , "ASK", "."&amp;Table133[[#This Row],[Ticker]]&amp;Table133[[#This Row],[Expiry]]&amp;""&amp;"P"&amp;Table133[[#This Row],[Strike]]))</f>
        <v>0</v>
      </c>
      <c r="S546" s="17"/>
      <c r="T546" t="b">
        <f>IF(     ISNUMBER(Table133[[#This Row],[Strike]]),RTD("tos.rtd", , "OPEN_INT", "."&amp;Table133[[#This Row],[Ticker]]&amp;Table133[[#This Row],[Expiry]]&amp;""&amp;"P"&amp;Table133[[#This Row],[Strike]]))</f>
        <v>0</v>
      </c>
      <c r="U54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6" t="b">
        <f>IF(     ISNUMBER(Table133[[#This Row],[Strike]]),RTD("tos.rtd", , "DELTA", "."&amp;Table133[[#This Row],[Ticker]]&amp;Table133[[#This Row],[Expiry]]&amp;""&amp;"P"&amp;Table133[[#This Row],[Strike]]))</f>
        <v>0</v>
      </c>
      <c r="Y546" s="19">
        <f>15* IF($M$1="NDX", 10, IF(OR($M$1="SPX", $M$1="RUT"), 2, 1))</f>
        <v>30</v>
      </c>
      <c r="Z546">
        <f ca="1">IFERROR(Table133[[#This Row],[call gamma]]*(Table133[[#This Row],[Open.Int]])*$A$4^2,0)</f>
        <v>0</v>
      </c>
      <c r="AA546">
        <f ca="1">IFERROR(((Table133[[#This Row],[Open.Int8]])*Table133[[#This Row],[Put gamma]])*-1*$A$4^2,0)</f>
        <v>0</v>
      </c>
      <c r="AB546">
        <f ca="1">(Table133[[#This Row],[Call Gex]]+Table133[[#This Row],[Put Gex]])</f>
        <v>0</v>
      </c>
      <c r="AC546">
        <f ca="1">Table133[[#This Row],[put delta adj]]+Table133[[#This Row],[call delta adj]]</f>
        <v>0</v>
      </c>
      <c r="AD546">
        <f ca="1">Table133[[#This Row],[Put Gex]]*Table133[[#This Row],[DeltaP]]*-1</f>
        <v>0</v>
      </c>
      <c r="AE546">
        <f ca="1">Table133[[#This Row],[Call Gex]]*Table133[[#This Row],[DeltaC]]</f>
        <v>0</v>
      </c>
      <c r="AF546">
        <f>IF(Table133[[#This Row],[DeltaC]]-ABS(Table133[[#This Row],[DeltaP]])="0","0.01",Table133[[#This Row],[DeltaC]]-ABS(Table133[[#This Row],[DeltaP]]))</f>
        <v>0</v>
      </c>
      <c r="AG546" t="e">
        <f ca="1">((LN($A$4/Table133[[#This Row],[Strike]]) + (0.411 + 0.5 * Table133[[#This Row],[IV Calc P]]^2) *Table133[[#This Row],[T]])) / (Table133[[#This Row],[IV Calc P]] * SQRT(Table133[[#This Row],[T]]))</f>
        <v>#DIV/0!</v>
      </c>
      <c r="AH546" t="e">
        <f ca="1">(LN($A$4/Table133[[#This Row],[Strike]]) + (0.411-0 + 0.5 * Table133[[#This Row],[IV Calc C]]^2) *Table133[[#This Row],[T]]) / (Table133[[#This Row],[IV Calc C]] * SQRT(Table133[[#This Row],[T]]))</f>
        <v>#DIV/0!</v>
      </c>
      <c r="AI546" t="e">
        <f ca="1">(EXP(-(AG546^2)/2)/SQRT(2*PI())*EXP(0*SQRT(Table133[[#This Row],[T]]))/$A$4*18%*SQRT(SQRT(Table133[[#This Row],[T]])))</f>
        <v>#DIV/0!</v>
      </c>
      <c r="AJ546" t="e">
        <f ca="1">(EXP(-(AH546^2)/2)/SQRT(2*PI())*EXP(0*SQRT(Table133[[#This Row],[T]]))/$A$4*18%*SQRT(SQRT(Table133[[#This Row],[T]])))</f>
        <v>#DIV/0!</v>
      </c>
      <c r="AK546" t="e">
        <f ca="1">Table133[[#This Row],[Call D1]]-Table133[[#This Row],[IV Calc C]]*SQRT(Table133[[#This Row],[T]])</f>
        <v>#DIV/0!</v>
      </c>
      <c r="AL546" t="e">
        <f ca="1">Table133[[#This Row],[Put D1]]-Table133[[#This Row],[IV Calc P]]*SQRT(Table133[[#This Row],[T]])</f>
        <v>#DIV/0!</v>
      </c>
      <c r="AM546" t="e">
        <f ca="1">EXP(-0.5*Table133[[#This Row],[Call D1]]^2)/SQRT(2*PI())</f>
        <v>#DIV/0!</v>
      </c>
      <c r="AN546" t="e">
        <f ca="1">EXP(-0.5*Table133[[#This Row],[Put D1]]^2)/SQRT(2*PI())</f>
        <v>#DIV/0!</v>
      </c>
      <c r="AO54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6">
        <f ca="1">((Table133[[#This Row],[call vanna]]+Table133[[#This Row],[put vanna]])*$A$4)</f>
        <v>0</v>
      </c>
      <c r="AR54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6" s="9" t="str" cm="1">
        <f t="array" ref="AT546">_xlfn.IFS(     $M$1="SPX","SPXW",     $M$1="RUT","RUTW",  $M$1="NDX","NDXP",   TRUE,$M$1 )</f>
        <v>SPXW</v>
      </c>
      <c r="AU546" s="2">
        <f t="shared" si="57"/>
        <v>6915</v>
      </c>
      <c r="AV546" t="str">
        <f t="shared" si="58"/>
        <v>000100</v>
      </c>
      <c r="AY54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6">
        <f>((Table133[[#This Row],[High C]]+Table133[[#This Row],[Low C]])/2)*Table133[[#This Row],[gammac]]*Table133[[#This Row],[Volume]]</f>
        <v>0</v>
      </c>
      <c r="BD546">
        <f>((Table133[[#This Row],[High P]]+Table133[[#This Row],[Low P]])/2)*Table133[[#This Row],[gammap]]*Table133[[#This Row],[Volume9]]*-1</f>
        <v>0</v>
      </c>
      <c r="BE546">
        <f>(Table133[[#This Row],[SgammaC]]+Table133[[#This Row],[SgammaP]])*$A$4*-100</f>
        <v>0</v>
      </c>
      <c r="BF546" s="78">
        <f>Table133[[#This Row],[DEXc]]+Table133[[#This Row],[DEXp]]</f>
        <v>0</v>
      </c>
      <c r="BG546">
        <f>IFERROR(Table133[[#This Row],[DeltaC]]*Table133[[#This Row],[Open.Int]]*$A$4,0)</f>
        <v>0</v>
      </c>
      <c r="BH546">
        <f>IFERROR(Table133[[#This Row],[DeltaP]]*Table133[[#This Row],[Open.Int8]]*$A$4,0)</f>
        <v>0</v>
      </c>
      <c r="BI54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6">
        <f ca="1">Table133[[#This Row],[charmc]]+Table133[[#This Row],[charmp]]</f>
        <v>0</v>
      </c>
      <c r="BL54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6" s="78">
        <f ca="1">Table133[[#This Row],[call helper]]+Table133[[#This Row],[put helper]]</f>
        <v>0</v>
      </c>
      <c r="BP546" t="str">
        <f>RTD("tos.rtd", , "STRIKE", "."&amp;Table133[[#This Row],[Ticker]]&amp;Table133[[#This Row],[Expiry]]&amp;""&amp;"C"&amp;Table133[[#This Row],[Spot]]+Table133[[#This Row],[step]])</f>
        <v>N/A</v>
      </c>
    </row>
    <row r="547" spans="1:68" x14ac:dyDescent="0.25">
      <c r="A547" s="14">
        <f t="shared" ca="1" si="54"/>
        <v>-126.14810350076104</v>
      </c>
      <c r="C547" s="17"/>
      <c r="D547" t="str">
        <f>RTD("tos.rtd", , "OPEN_INT", "."&amp;Table133[[#This Row],[Ticker]]&amp;Table133[[#This Row],[Expiry]]&amp;""&amp;"C"&amp;Table133[[#This Row],[Spot]]+Table133[[#This Row],[step]])</f>
        <v>N/A</v>
      </c>
      <c r="E54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7" t="b">
        <f>IF(     ISNUMBER(Table133[[#This Row],[Strike]]),RTD("tos.rtd", , "DELTA", "."&amp;Table133[[#This Row],[Ticker]]&amp;Table133[[#This Row],[Expiry]]&amp;""&amp;"C"&amp;Table133[[#This Row],[Strike]]))</f>
        <v>0</v>
      </c>
      <c r="H547" s="17" cm="1">
        <f t="array" aca="1" ref="H547" ca="1">IndividualLegIVCore($A$4, Table133[[#This Row],[Strike]], 0.0411, Table133[[#This Row],[T]], ((Table133[[#This Row],[BIDC]]+Table133[[#This Row],[ASKC]])/2), TRUE)</f>
        <v>0.01</v>
      </c>
      <c r="I547" t="b">
        <f>IF(     ISNUMBER(Table133[[#This Row],[Strike]]),RTD("tos.rtd", , "BID", "."&amp;Table133[[#This Row],[Ticker]]&amp;Table133[[#This Row],[Expiry]]&amp;""&amp;"C"&amp;Table133[[#This Row],[Strike]]))</f>
        <v>0</v>
      </c>
      <c r="J547" t="b">
        <f>IF(     ISNUMBER(Table133[[#This Row],[Strike]]),RTD("tos.rtd", , "ASK", "."&amp;Table133[[#This Row],[Ticker]]&amp;Table133[[#This Row],[Expiry]]&amp;""&amp;"C"&amp;Table133[[#This Row],[Strike]]))</f>
        <v>0</v>
      </c>
      <c r="K547" s="17"/>
      <c r="M547" s="1">
        <f t="shared" si="55"/>
        <v>0</v>
      </c>
      <c r="N547" t="b">
        <f t="shared" si="56"/>
        <v>0</v>
      </c>
      <c r="P547" s="17" cm="1">
        <f t="array" aca="1" ref="P547" ca="1">IndividualLegIVCore($A$4, Table133[[#This Row],[Strike]], 0.0411, Table133[[#This Row],[T]], ((Table133[[#This Row],[BIDP]]+Table133[[#This Row],[ASKP]])/2), FALSE)</f>
        <v>0.01</v>
      </c>
      <c r="Q547" t="b">
        <f>IF(     ISNUMBER(Table133[[#This Row],[Strike]]),RTD("tos.rtd", , "BID", "."&amp;Table133[[#This Row],[Ticker]]&amp;Table133[[#This Row],[Expiry]]&amp;""&amp;"P"&amp;Table133[[#This Row],[Strike]]))</f>
        <v>0</v>
      </c>
      <c r="R547" t="b">
        <f>IF(     ISNUMBER(Table133[[#This Row],[Strike]]),RTD("tos.rtd", , "ASK", "."&amp;Table133[[#This Row],[Ticker]]&amp;Table133[[#This Row],[Expiry]]&amp;""&amp;"P"&amp;Table133[[#This Row],[Strike]]))</f>
        <v>0</v>
      </c>
      <c r="S547" s="17"/>
      <c r="T547" t="b">
        <f>IF(     ISNUMBER(Table133[[#This Row],[Strike]]),RTD("tos.rtd", , "OPEN_INT", "."&amp;Table133[[#This Row],[Ticker]]&amp;Table133[[#This Row],[Expiry]]&amp;""&amp;"P"&amp;Table133[[#This Row],[Strike]]))</f>
        <v>0</v>
      </c>
      <c r="U54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7" t="b">
        <f>IF(     ISNUMBER(Table133[[#This Row],[Strike]]),RTD("tos.rtd", , "DELTA", "."&amp;Table133[[#This Row],[Ticker]]&amp;Table133[[#This Row],[Expiry]]&amp;""&amp;"P"&amp;Table133[[#This Row],[Strike]]))</f>
        <v>0</v>
      </c>
      <c r="Y547" s="19">
        <f>15.5* IF($M$1="NDX", 10, IF(OR($M$1="SPX", $M$1="RUT"), 2, 1))</f>
        <v>31</v>
      </c>
      <c r="Z547">
        <f ca="1">IFERROR(Table133[[#This Row],[call gamma]]*(Table133[[#This Row],[Open.Int]])*$A$4^2,0)</f>
        <v>0</v>
      </c>
      <c r="AA547">
        <f ca="1">IFERROR(((Table133[[#This Row],[Open.Int8]])*Table133[[#This Row],[Put gamma]])*-1*$A$4^2,0)</f>
        <v>0</v>
      </c>
      <c r="AB547">
        <f ca="1">(Table133[[#This Row],[Call Gex]]+Table133[[#This Row],[Put Gex]])</f>
        <v>0</v>
      </c>
      <c r="AC547">
        <f ca="1">Table133[[#This Row],[put delta adj]]+Table133[[#This Row],[call delta adj]]</f>
        <v>0</v>
      </c>
      <c r="AD547">
        <f ca="1">Table133[[#This Row],[Put Gex]]*Table133[[#This Row],[DeltaP]]*-1</f>
        <v>0</v>
      </c>
      <c r="AE547">
        <f ca="1">Table133[[#This Row],[Call Gex]]*Table133[[#This Row],[DeltaC]]</f>
        <v>0</v>
      </c>
      <c r="AF547">
        <f>IF(Table133[[#This Row],[DeltaC]]-ABS(Table133[[#This Row],[DeltaP]])="0","0.01",Table133[[#This Row],[DeltaC]]-ABS(Table133[[#This Row],[DeltaP]]))</f>
        <v>0</v>
      </c>
      <c r="AG547" t="e">
        <f ca="1">((LN($A$4/Table133[[#This Row],[Strike]]) + (0.411 + 0.5 * Table133[[#This Row],[IV Calc P]]^2) *Table133[[#This Row],[T]])) / (Table133[[#This Row],[IV Calc P]] * SQRT(Table133[[#This Row],[T]]))</f>
        <v>#DIV/0!</v>
      </c>
      <c r="AH547" t="e">
        <f ca="1">(LN($A$4/Table133[[#This Row],[Strike]]) + (0.411-0 + 0.5 * Table133[[#This Row],[IV Calc C]]^2) *Table133[[#This Row],[T]]) / (Table133[[#This Row],[IV Calc C]] * SQRT(Table133[[#This Row],[T]]))</f>
        <v>#DIV/0!</v>
      </c>
      <c r="AI547" t="e">
        <f ca="1">(EXP(-(AG547^2)/2)/SQRT(2*PI())*EXP(0*SQRT(Table133[[#This Row],[T]]))/$A$4*18%*SQRT(SQRT(Table133[[#This Row],[T]])))</f>
        <v>#DIV/0!</v>
      </c>
      <c r="AJ547" t="e">
        <f ca="1">(EXP(-(AH547^2)/2)/SQRT(2*PI())*EXP(0*SQRT(Table133[[#This Row],[T]]))/$A$4*18%*SQRT(SQRT(Table133[[#This Row],[T]])))</f>
        <v>#DIV/0!</v>
      </c>
      <c r="AK547" t="e">
        <f ca="1">Table133[[#This Row],[Call D1]]-Table133[[#This Row],[IV Calc C]]*SQRT(Table133[[#This Row],[T]])</f>
        <v>#DIV/0!</v>
      </c>
      <c r="AL547" t="e">
        <f ca="1">Table133[[#This Row],[Put D1]]-Table133[[#This Row],[IV Calc P]]*SQRT(Table133[[#This Row],[T]])</f>
        <v>#DIV/0!</v>
      </c>
      <c r="AM547" t="e">
        <f ca="1">EXP(-0.5*Table133[[#This Row],[Call D1]]^2)/SQRT(2*PI())</f>
        <v>#DIV/0!</v>
      </c>
      <c r="AN547" t="e">
        <f ca="1">EXP(-0.5*Table133[[#This Row],[Put D1]]^2)/SQRT(2*PI())</f>
        <v>#DIV/0!</v>
      </c>
      <c r="AO54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7">
        <f ca="1">((Table133[[#This Row],[call vanna]]+Table133[[#This Row],[put vanna]])*$A$4)</f>
        <v>0</v>
      </c>
      <c r="AR54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7" s="9" t="str" cm="1">
        <f t="array" ref="AT547">_xlfn.IFS(     $M$1="SPX","SPXW",     $M$1="RUT","RUTW",  $M$1="NDX","NDXP",   TRUE,$M$1 )</f>
        <v>SPXW</v>
      </c>
      <c r="AU547" s="2">
        <f t="shared" si="57"/>
        <v>6915</v>
      </c>
      <c r="AV547" t="str">
        <f t="shared" si="58"/>
        <v>000100</v>
      </c>
      <c r="AY54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7">
        <f>((Table133[[#This Row],[High C]]+Table133[[#This Row],[Low C]])/2)*Table133[[#This Row],[gammac]]*Table133[[#This Row],[Volume]]</f>
        <v>0</v>
      </c>
      <c r="BD547">
        <f>((Table133[[#This Row],[High P]]+Table133[[#This Row],[Low P]])/2)*Table133[[#This Row],[gammap]]*Table133[[#This Row],[Volume9]]*-1</f>
        <v>0</v>
      </c>
      <c r="BE547">
        <f>(Table133[[#This Row],[SgammaC]]+Table133[[#This Row],[SgammaP]])*$A$4*-100</f>
        <v>0</v>
      </c>
      <c r="BF547" s="78">
        <f>Table133[[#This Row],[DEXc]]+Table133[[#This Row],[DEXp]]</f>
        <v>0</v>
      </c>
      <c r="BG547">
        <f>IFERROR(Table133[[#This Row],[DeltaC]]*Table133[[#This Row],[Open.Int]]*$A$4,0)</f>
        <v>0</v>
      </c>
      <c r="BH547">
        <f>IFERROR(Table133[[#This Row],[DeltaP]]*Table133[[#This Row],[Open.Int8]]*$A$4,0)</f>
        <v>0</v>
      </c>
      <c r="BI54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7">
        <f ca="1">Table133[[#This Row],[charmc]]+Table133[[#This Row],[charmp]]</f>
        <v>0</v>
      </c>
      <c r="BL54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7" s="78">
        <f ca="1">Table133[[#This Row],[call helper]]+Table133[[#This Row],[put helper]]</f>
        <v>0</v>
      </c>
      <c r="BP547" t="str">
        <f>RTD("tos.rtd", , "STRIKE", "."&amp;Table133[[#This Row],[Ticker]]&amp;Table133[[#This Row],[Expiry]]&amp;""&amp;"C"&amp;Table133[[#This Row],[Spot]]+Table133[[#This Row],[step]])</f>
        <v>N/A</v>
      </c>
    </row>
    <row r="548" spans="1:68" x14ac:dyDescent="0.25">
      <c r="A548" s="14">
        <f t="shared" ca="1" si="54"/>
        <v>-126.14810350076104</v>
      </c>
      <c r="C548" s="17"/>
      <c r="D548" t="str">
        <f>RTD("tos.rtd", , "OPEN_INT", "."&amp;Table133[[#This Row],[Ticker]]&amp;Table133[[#This Row],[Expiry]]&amp;""&amp;"C"&amp;Table133[[#This Row],[Spot]]+Table133[[#This Row],[step]])</f>
        <v>N/A</v>
      </c>
      <c r="E54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8" t="b">
        <f>IF(     ISNUMBER(Table133[[#This Row],[Strike]]),RTD("tos.rtd", , "DELTA", "."&amp;Table133[[#This Row],[Ticker]]&amp;Table133[[#This Row],[Expiry]]&amp;""&amp;"C"&amp;Table133[[#This Row],[Strike]]))</f>
        <v>0</v>
      </c>
      <c r="H548" s="17" cm="1">
        <f t="array" aca="1" ref="H548" ca="1">IndividualLegIVCore($A$4, Table133[[#This Row],[Strike]], 0.0411, Table133[[#This Row],[T]], ((Table133[[#This Row],[BIDC]]+Table133[[#This Row],[ASKC]])/2), TRUE)</f>
        <v>0.01</v>
      </c>
      <c r="I548" t="b">
        <f>IF(     ISNUMBER(Table133[[#This Row],[Strike]]),RTD("tos.rtd", , "BID", "."&amp;Table133[[#This Row],[Ticker]]&amp;Table133[[#This Row],[Expiry]]&amp;""&amp;"C"&amp;Table133[[#This Row],[Strike]]))</f>
        <v>0</v>
      </c>
      <c r="J548" t="b">
        <f>IF(     ISNUMBER(Table133[[#This Row],[Strike]]),RTD("tos.rtd", , "ASK", "."&amp;Table133[[#This Row],[Ticker]]&amp;Table133[[#This Row],[Expiry]]&amp;""&amp;"C"&amp;Table133[[#This Row],[Strike]]))</f>
        <v>0</v>
      </c>
      <c r="K548" s="17"/>
      <c r="M548" s="1">
        <f t="shared" si="55"/>
        <v>0</v>
      </c>
      <c r="N548" t="b">
        <f t="shared" si="56"/>
        <v>0</v>
      </c>
      <c r="P548" s="17" cm="1">
        <f t="array" aca="1" ref="P548" ca="1">IndividualLegIVCore($A$4, Table133[[#This Row],[Strike]], 0.0411, Table133[[#This Row],[T]], ((Table133[[#This Row],[BIDP]]+Table133[[#This Row],[ASKP]])/2), FALSE)</f>
        <v>0.01</v>
      </c>
      <c r="Q548" t="b">
        <f>IF(     ISNUMBER(Table133[[#This Row],[Strike]]),RTD("tos.rtd", , "BID", "."&amp;Table133[[#This Row],[Ticker]]&amp;Table133[[#This Row],[Expiry]]&amp;""&amp;"P"&amp;Table133[[#This Row],[Strike]]))</f>
        <v>0</v>
      </c>
      <c r="R548" t="b">
        <f>IF(     ISNUMBER(Table133[[#This Row],[Strike]]),RTD("tos.rtd", , "ASK", "."&amp;Table133[[#This Row],[Ticker]]&amp;Table133[[#This Row],[Expiry]]&amp;""&amp;"P"&amp;Table133[[#This Row],[Strike]]))</f>
        <v>0</v>
      </c>
      <c r="S548" s="17"/>
      <c r="T548" t="b">
        <f>IF(     ISNUMBER(Table133[[#This Row],[Strike]]),RTD("tos.rtd", , "OPEN_INT", "."&amp;Table133[[#This Row],[Ticker]]&amp;Table133[[#This Row],[Expiry]]&amp;""&amp;"P"&amp;Table133[[#This Row],[Strike]]))</f>
        <v>0</v>
      </c>
      <c r="U54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8" t="b">
        <f>IF(     ISNUMBER(Table133[[#This Row],[Strike]]),RTD("tos.rtd", , "DELTA", "."&amp;Table133[[#This Row],[Ticker]]&amp;Table133[[#This Row],[Expiry]]&amp;""&amp;"P"&amp;Table133[[#This Row],[Strike]]))</f>
        <v>0</v>
      </c>
      <c r="Y548" s="19">
        <f>16* IF($M$1="NDX", 10, IF(OR($M$1="SPX", $M$1="RUT"), 2, 1))</f>
        <v>32</v>
      </c>
      <c r="Z548">
        <f ca="1">IFERROR(Table133[[#This Row],[call gamma]]*(Table133[[#This Row],[Open.Int]])*$A$4^2,0)</f>
        <v>0</v>
      </c>
      <c r="AA548">
        <f ca="1">IFERROR(((Table133[[#This Row],[Open.Int8]])*Table133[[#This Row],[Put gamma]])*-1*$A$4^2,0)</f>
        <v>0</v>
      </c>
      <c r="AB548">
        <f ca="1">(Table133[[#This Row],[Call Gex]]+Table133[[#This Row],[Put Gex]])</f>
        <v>0</v>
      </c>
      <c r="AC548">
        <f ca="1">Table133[[#This Row],[put delta adj]]+Table133[[#This Row],[call delta adj]]</f>
        <v>0</v>
      </c>
      <c r="AD548">
        <f ca="1">Table133[[#This Row],[Put Gex]]*Table133[[#This Row],[DeltaP]]*-1</f>
        <v>0</v>
      </c>
      <c r="AE548">
        <f ca="1">Table133[[#This Row],[Call Gex]]*Table133[[#This Row],[DeltaC]]</f>
        <v>0</v>
      </c>
      <c r="AF548">
        <f>IF(Table133[[#This Row],[DeltaC]]-ABS(Table133[[#This Row],[DeltaP]])="0","0.01",Table133[[#This Row],[DeltaC]]-ABS(Table133[[#This Row],[DeltaP]]))</f>
        <v>0</v>
      </c>
      <c r="AG548" t="e">
        <f ca="1">((LN($A$4/Table133[[#This Row],[Strike]]) + (0.411 + 0.5 * Table133[[#This Row],[IV Calc P]]^2) *Table133[[#This Row],[T]])) / (Table133[[#This Row],[IV Calc P]] * SQRT(Table133[[#This Row],[T]]))</f>
        <v>#DIV/0!</v>
      </c>
      <c r="AH548" t="e">
        <f ca="1">(LN($A$4/Table133[[#This Row],[Strike]]) + (0.411-0 + 0.5 * Table133[[#This Row],[IV Calc C]]^2) *Table133[[#This Row],[T]]) / (Table133[[#This Row],[IV Calc C]] * SQRT(Table133[[#This Row],[T]]))</f>
        <v>#DIV/0!</v>
      </c>
      <c r="AI548" t="e">
        <f ca="1">(EXP(-(AG548^2)/2)/SQRT(2*PI())*EXP(0*SQRT(Table133[[#This Row],[T]]))/$A$4*18%*SQRT(SQRT(Table133[[#This Row],[T]])))</f>
        <v>#DIV/0!</v>
      </c>
      <c r="AJ548" t="e">
        <f ca="1">(EXP(-(AH548^2)/2)/SQRT(2*PI())*EXP(0*SQRT(Table133[[#This Row],[T]]))/$A$4*18%*SQRT(SQRT(Table133[[#This Row],[T]])))</f>
        <v>#DIV/0!</v>
      </c>
      <c r="AK548" t="e">
        <f ca="1">Table133[[#This Row],[Call D1]]-Table133[[#This Row],[IV Calc C]]*SQRT(Table133[[#This Row],[T]])</f>
        <v>#DIV/0!</v>
      </c>
      <c r="AL548" t="e">
        <f ca="1">Table133[[#This Row],[Put D1]]-Table133[[#This Row],[IV Calc P]]*SQRT(Table133[[#This Row],[T]])</f>
        <v>#DIV/0!</v>
      </c>
      <c r="AM548" t="e">
        <f ca="1">EXP(-0.5*Table133[[#This Row],[Call D1]]^2)/SQRT(2*PI())</f>
        <v>#DIV/0!</v>
      </c>
      <c r="AN548" t="e">
        <f ca="1">EXP(-0.5*Table133[[#This Row],[Put D1]]^2)/SQRT(2*PI())</f>
        <v>#DIV/0!</v>
      </c>
      <c r="AO54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8">
        <f ca="1">((Table133[[#This Row],[call vanna]]+Table133[[#This Row],[put vanna]])*$A$4)</f>
        <v>0</v>
      </c>
      <c r="AR54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8" s="9" t="str" cm="1">
        <f t="array" ref="AT548">_xlfn.IFS(     $M$1="SPX","SPXW",     $M$1="RUT","RUTW",  $M$1="NDX","NDXP",   TRUE,$M$1 )</f>
        <v>SPXW</v>
      </c>
      <c r="AU548" s="2">
        <f t="shared" si="57"/>
        <v>6915</v>
      </c>
      <c r="AV548" t="str">
        <f t="shared" si="58"/>
        <v>000100</v>
      </c>
      <c r="AY54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8">
        <f>((Table133[[#This Row],[High C]]+Table133[[#This Row],[Low C]])/2)*Table133[[#This Row],[gammac]]*Table133[[#This Row],[Volume]]</f>
        <v>0</v>
      </c>
      <c r="BD548">
        <f>((Table133[[#This Row],[High P]]+Table133[[#This Row],[Low P]])/2)*Table133[[#This Row],[gammap]]*Table133[[#This Row],[Volume9]]*-1</f>
        <v>0</v>
      </c>
      <c r="BE548">
        <f>(Table133[[#This Row],[SgammaC]]+Table133[[#This Row],[SgammaP]])*$A$4*-100</f>
        <v>0</v>
      </c>
      <c r="BF548" s="78">
        <f>Table133[[#This Row],[DEXc]]+Table133[[#This Row],[DEXp]]</f>
        <v>0</v>
      </c>
      <c r="BG548">
        <f>IFERROR(Table133[[#This Row],[DeltaC]]*Table133[[#This Row],[Open.Int]]*$A$4,0)</f>
        <v>0</v>
      </c>
      <c r="BH548">
        <f>IFERROR(Table133[[#This Row],[DeltaP]]*Table133[[#This Row],[Open.Int8]]*$A$4,0)</f>
        <v>0</v>
      </c>
      <c r="BI54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8">
        <f ca="1">Table133[[#This Row],[charmc]]+Table133[[#This Row],[charmp]]</f>
        <v>0</v>
      </c>
      <c r="BL54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8" s="78">
        <f ca="1">Table133[[#This Row],[call helper]]+Table133[[#This Row],[put helper]]</f>
        <v>0</v>
      </c>
      <c r="BP548" t="str">
        <f>RTD("tos.rtd", , "STRIKE", "."&amp;Table133[[#This Row],[Ticker]]&amp;Table133[[#This Row],[Expiry]]&amp;""&amp;"C"&amp;Table133[[#This Row],[Spot]]+Table133[[#This Row],[step]])</f>
        <v>N/A</v>
      </c>
    </row>
    <row r="549" spans="1:68" x14ac:dyDescent="0.25">
      <c r="A549" s="14">
        <f t="shared" ca="1" si="54"/>
        <v>-126.14810350076104</v>
      </c>
      <c r="C549" s="17"/>
      <c r="D549" t="str">
        <f>RTD("tos.rtd", , "OPEN_INT", "."&amp;Table133[[#This Row],[Ticker]]&amp;Table133[[#This Row],[Expiry]]&amp;""&amp;"C"&amp;Table133[[#This Row],[Spot]]+Table133[[#This Row],[step]])</f>
        <v>N/A</v>
      </c>
      <c r="E54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9" t="b">
        <f>IF(     ISNUMBER(Table133[[#This Row],[Strike]]),RTD("tos.rtd", , "DELTA", "."&amp;Table133[[#This Row],[Ticker]]&amp;Table133[[#This Row],[Expiry]]&amp;""&amp;"C"&amp;Table133[[#This Row],[Strike]]))</f>
        <v>0</v>
      </c>
      <c r="H549" s="17" cm="1">
        <f t="array" aca="1" ref="H549" ca="1">IndividualLegIVCore($A$4, Table133[[#This Row],[Strike]], 0.0411, Table133[[#This Row],[T]], ((Table133[[#This Row],[BIDC]]+Table133[[#This Row],[ASKC]])/2), TRUE)</f>
        <v>0.01</v>
      </c>
      <c r="I549" t="b">
        <f>IF(     ISNUMBER(Table133[[#This Row],[Strike]]),RTD("tos.rtd", , "BID", "."&amp;Table133[[#This Row],[Ticker]]&amp;Table133[[#This Row],[Expiry]]&amp;""&amp;"C"&amp;Table133[[#This Row],[Strike]]))</f>
        <v>0</v>
      </c>
      <c r="J549" t="b">
        <f>IF(     ISNUMBER(Table133[[#This Row],[Strike]]),RTD("tos.rtd", , "ASK", "."&amp;Table133[[#This Row],[Ticker]]&amp;Table133[[#This Row],[Expiry]]&amp;""&amp;"C"&amp;Table133[[#This Row],[Strike]]))</f>
        <v>0</v>
      </c>
      <c r="K549" s="17"/>
      <c r="M549" s="1">
        <f t="shared" si="55"/>
        <v>0</v>
      </c>
      <c r="N549" t="b">
        <f t="shared" si="56"/>
        <v>0</v>
      </c>
      <c r="P549" s="17" cm="1">
        <f t="array" aca="1" ref="P549" ca="1">IndividualLegIVCore($A$4, Table133[[#This Row],[Strike]], 0.0411, Table133[[#This Row],[T]], ((Table133[[#This Row],[BIDP]]+Table133[[#This Row],[ASKP]])/2), FALSE)</f>
        <v>0.01</v>
      </c>
      <c r="Q549" t="b">
        <f>IF(     ISNUMBER(Table133[[#This Row],[Strike]]),RTD("tos.rtd", , "BID", "."&amp;Table133[[#This Row],[Ticker]]&amp;Table133[[#This Row],[Expiry]]&amp;""&amp;"P"&amp;Table133[[#This Row],[Strike]]))</f>
        <v>0</v>
      </c>
      <c r="R549" t="b">
        <f>IF(     ISNUMBER(Table133[[#This Row],[Strike]]),RTD("tos.rtd", , "ASK", "."&amp;Table133[[#This Row],[Ticker]]&amp;Table133[[#This Row],[Expiry]]&amp;""&amp;"P"&amp;Table133[[#This Row],[Strike]]))</f>
        <v>0</v>
      </c>
      <c r="S549" s="17"/>
      <c r="T549" t="b">
        <f>IF(     ISNUMBER(Table133[[#This Row],[Strike]]),RTD("tos.rtd", , "OPEN_INT", "."&amp;Table133[[#This Row],[Ticker]]&amp;Table133[[#This Row],[Expiry]]&amp;""&amp;"P"&amp;Table133[[#This Row],[Strike]]))</f>
        <v>0</v>
      </c>
      <c r="U54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9" t="b">
        <f>IF(     ISNUMBER(Table133[[#This Row],[Strike]]),RTD("tos.rtd", , "DELTA", "."&amp;Table133[[#This Row],[Ticker]]&amp;Table133[[#This Row],[Expiry]]&amp;""&amp;"P"&amp;Table133[[#This Row],[Strike]]))</f>
        <v>0</v>
      </c>
      <c r="Y549" s="19">
        <f>16.5* IF($M$1="NDX", 10, IF(OR($M$1="SPX", $M$1="RUT"), 2, 1))</f>
        <v>33</v>
      </c>
      <c r="Z549">
        <f ca="1">IFERROR(Table133[[#This Row],[call gamma]]*(Table133[[#This Row],[Open.Int]])*$A$4^2,0)</f>
        <v>0</v>
      </c>
      <c r="AA549">
        <f ca="1">IFERROR(((Table133[[#This Row],[Open.Int8]])*Table133[[#This Row],[Put gamma]])*-1*$A$4^2,0)</f>
        <v>0</v>
      </c>
      <c r="AB549">
        <f ca="1">(Table133[[#This Row],[Call Gex]]+Table133[[#This Row],[Put Gex]])</f>
        <v>0</v>
      </c>
      <c r="AC549">
        <f ca="1">Table133[[#This Row],[put delta adj]]+Table133[[#This Row],[call delta adj]]</f>
        <v>0</v>
      </c>
      <c r="AD549">
        <f ca="1">Table133[[#This Row],[Put Gex]]*Table133[[#This Row],[DeltaP]]*-1</f>
        <v>0</v>
      </c>
      <c r="AE549">
        <f ca="1">Table133[[#This Row],[Call Gex]]*Table133[[#This Row],[DeltaC]]</f>
        <v>0</v>
      </c>
      <c r="AF549">
        <f>IF(Table133[[#This Row],[DeltaC]]-ABS(Table133[[#This Row],[DeltaP]])="0","0.01",Table133[[#This Row],[DeltaC]]-ABS(Table133[[#This Row],[DeltaP]]))</f>
        <v>0</v>
      </c>
      <c r="AG549" t="e">
        <f ca="1">((LN($A$4/Table133[[#This Row],[Strike]]) + (0.411 + 0.5 * Table133[[#This Row],[IV Calc P]]^2) *Table133[[#This Row],[T]])) / (Table133[[#This Row],[IV Calc P]] * SQRT(Table133[[#This Row],[T]]))</f>
        <v>#DIV/0!</v>
      </c>
      <c r="AH549" t="e">
        <f ca="1">(LN($A$4/Table133[[#This Row],[Strike]]) + (0.411-0 + 0.5 * Table133[[#This Row],[IV Calc C]]^2) *Table133[[#This Row],[T]]) / (Table133[[#This Row],[IV Calc C]] * SQRT(Table133[[#This Row],[T]]))</f>
        <v>#DIV/0!</v>
      </c>
      <c r="AI549" t="e">
        <f ca="1">(EXP(-(AG549^2)/2)/SQRT(2*PI())*EXP(0*SQRT(Table133[[#This Row],[T]]))/$A$4*18%*SQRT(SQRT(Table133[[#This Row],[T]])))</f>
        <v>#DIV/0!</v>
      </c>
      <c r="AJ549" t="e">
        <f ca="1">(EXP(-(AH549^2)/2)/SQRT(2*PI())*EXP(0*SQRT(Table133[[#This Row],[T]]))/$A$4*18%*SQRT(SQRT(Table133[[#This Row],[T]])))</f>
        <v>#DIV/0!</v>
      </c>
      <c r="AK549" t="e">
        <f ca="1">Table133[[#This Row],[Call D1]]-Table133[[#This Row],[IV Calc C]]*SQRT(Table133[[#This Row],[T]])</f>
        <v>#DIV/0!</v>
      </c>
      <c r="AL549" t="e">
        <f ca="1">Table133[[#This Row],[Put D1]]-Table133[[#This Row],[IV Calc P]]*SQRT(Table133[[#This Row],[T]])</f>
        <v>#DIV/0!</v>
      </c>
      <c r="AM549" t="e">
        <f ca="1">EXP(-0.5*Table133[[#This Row],[Call D1]]^2)/SQRT(2*PI())</f>
        <v>#DIV/0!</v>
      </c>
      <c r="AN549" t="e">
        <f ca="1">EXP(-0.5*Table133[[#This Row],[Put D1]]^2)/SQRT(2*PI())</f>
        <v>#DIV/0!</v>
      </c>
      <c r="AO54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9">
        <f ca="1">((Table133[[#This Row],[call vanna]]+Table133[[#This Row],[put vanna]])*$A$4)</f>
        <v>0</v>
      </c>
      <c r="AR54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9" s="9" t="str" cm="1">
        <f t="array" ref="AT549">_xlfn.IFS(     $M$1="SPX","SPXW",     $M$1="RUT","RUTW",  $M$1="NDX","NDXP",   TRUE,$M$1 )</f>
        <v>SPXW</v>
      </c>
      <c r="AU549" s="2">
        <f t="shared" si="57"/>
        <v>6915</v>
      </c>
      <c r="AV549" t="str">
        <f t="shared" si="58"/>
        <v>000100</v>
      </c>
      <c r="AY54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9">
        <f>((Table133[[#This Row],[High C]]+Table133[[#This Row],[Low C]])/2)*Table133[[#This Row],[gammac]]*Table133[[#This Row],[Volume]]</f>
        <v>0</v>
      </c>
      <c r="BD549">
        <f>((Table133[[#This Row],[High P]]+Table133[[#This Row],[Low P]])/2)*Table133[[#This Row],[gammap]]*Table133[[#This Row],[Volume9]]*-1</f>
        <v>0</v>
      </c>
      <c r="BE549">
        <f>(Table133[[#This Row],[SgammaC]]+Table133[[#This Row],[SgammaP]])*$A$4*-100</f>
        <v>0</v>
      </c>
      <c r="BF549" s="78">
        <f>Table133[[#This Row],[DEXc]]+Table133[[#This Row],[DEXp]]</f>
        <v>0</v>
      </c>
      <c r="BG549">
        <f>IFERROR(Table133[[#This Row],[DeltaC]]*Table133[[#This Row],[Open.Int]]*$A$4,0)</f>
        <v>0</v>
      </c>
      <c r="BH549">
        <f>IFERROR(Table133[[#This Row],[DeltaP]]*Table133[[#This Row],[Open.Int8]]*$A$4,0)</f>
        <v>0</v>
      </c>
      <c r="BI54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9">
        <f ca="1">Table133[[#This Row],[charmc]]+Table133[[#This Row],[charmp]]</f>
        <v>0</v>
      </c>
      <c r="BL54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9" s="78">
        <f ca="1">Table133[[#This Row],[call helper]]+Table133[[#This Row],[put helper]]</f>
        <v>0</v>
      </c>
      <c r="BP549" t="str">
        <f>RTD("tos.rtd", , "STRIKE", "."&amp;Table133[[#This Row],[Ticker]]&amp;Table133[[#This Row],[Expiry]]&amp;""&amp;"C"&amp;Table133[[#This Row],[Spot]]+Table133[[#This Row],[step]])</f>
        <v>N/A</v>
      </c>
    </row>
    <row r="550" spans="1:68" x14ac:dyDescent="0.25">
      <c r="A550" s="14">
        <f t="shared" ca="1" si="54"/>
        <v>-126.14810350076104</v>
      </c>
      <c r="C550" s="17"/>
      <c r="D550" t="str">
        <f>RTD("tos.rtd", , "OPEN_INT", "."&amp;Table133[[#This Row],[Ticker]]&amp;Table133[[#This Row],[Expiry]]&amp;""&amp;"C"&amp;Table133[[#This Row],[Spot]]+Table133[[#This Row],[step]])</f>
        <v>N/A</v>
      </c>
      <c r="E55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0" t="b">
        <f>IF(     ISNUMBER(Table133[[#This Row],[Strike]]),RTD("tos.rtd", , "DELTA", "."&amp;Table133[[#This Row],[Ticker]]&amp;Table133[[#This Row],[Expiry]]&amp;""&amp;"C"&amp;Table133[[#This Row],[Strike]]))</f>
        <v>0</v>
      </c>
      <c r="H550" s="17" cm="1">
        <f t="array" aca="1" ref="H550" ca="1">IndividualLegIVCore($A$4, Table133[[#This Row],[Strike]], 0.0411, Table133[[#This Row],[T]], ((Table133[[#This Row],[BIDC]]+Table133[[#This Row],[ASKC]])/2), TRUE)</f>
        <v>0.01</v>
      </c>
      <c r="I550" t="b">
        <f>IF(     ISNUMBER(Table133[[#This Row],[Strike]]),RTD("tos.rtd", , "BID", "."&amp;Table133[[#This Row],[Ticker]]&amp;Table133[[#This Row],[Expiry]]&amp;""&amp;"C"&amp;Table133[[#This Row],[Strike]]))</f>
        <v>0</v>
      </c>
      <c r="J550" t="b">
        <f>IF(     ISNUMBER(Table133[[#This Row],[Strike]]),RTD("tos.rtd", , "ASK", "."&amp;Table133[[#This Row],[Ticker]]&amp;Table133[[#This Row],[Expiry]]&amp;""&amp;"C"&amp;Table133[[#This Row],[Strike]]))</f>
        <v>0</v>
      </c>
      <c r="K550" s="17"/>
      <c r="M550" s="1">
        <f t="shared" si="55"/>
        <v>0</v>
      </c>
      <c r="N550" t="b">
        <f t="shared" si="56"/>
        <v>0</v>
      </c>
      <c r="P550" s="17" cm="1">
        <f t="array" aca="1" ref="P550" ca="1">IndividualLegIVCore($A$4, Table133[[#This Row],[Strike]], 0.0411, Table133[[#This Row],[T]], ((Table133[[#This Row],[BIDP]]+Table133[[#This Row],[ASKP]])/2), FALSE)</f>
        <v>0.01</v>
      </c>
      <c r="Q550" t="b">
        <f>IF(     ISNUMBER(Table133[[#This Row],[Strike]]),RTD("tos.rtd", , "BID", "."&amp;Table133[[#This Row],[Ticker]]&amp;Table133[[#This Row],[Expiry]]&amp;""&amp;"P"&amp;Table133[[#This Row],[Strike]]))</f>
        <v>0</v>
      </c>
      <c r="R550" t="b">
        <f>IF(     ISNUMBER(Table133[[#This Row],[Strike]]),RTD("tos.rtd", , "ASK", "."&amp;Table133[[#This Row],[Ticker]]&amp;Table133[[#This Row],[Expiry]]&amp;""&amp;"P"&amp;Table133[[#This Row],[Strike]]))</f>
        <v>0</v>
      </c>
      <c r="S550" s="17"/>
      <c r="T550" t="b">
        <f>IF(     ISNUMBER(Table133[[#This Row],[Strike]]),RTD("tos.rtd", , "OPEN_INT", "."&amp;Table133[[#This Row],[Ticker]]&amp;Table133[[#This Row],[Expiry]]&amp;""&amp;"P"&amp;Table133[[#This Row],[Strike]]))</f>
        <v>0</v>
      </c>
      <c r="U55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0" t="b">
        <f>IF(     ISNUMBER(Table133[[#This Row],[Strike]]),RTD("tos.rtd", , "DELTA", "."&amp;Table133[[#This Row],[Ticker]]&amp;Table133[[#This Row],[Expiry]]&amp;""&amp;"P"&amp;Table133[[#This Row],[Strike]]))</f>
        <v>0</v>
      </c>
      <c r="Y550" s="19">
        <f>17* IF($M$1="NDX", 10, IF(OR($M$1="SPX", $M$1="RUT"), 2, 1))</f>
        <v>34</v>
      </c>
      <c r="Z550">
        <f ca="1">IFERROR(Table133[[#This Row],[call gamma]]*(Table133[[#This Row],[Open.Int]])*$A$4^2,0)</f>
        <v>0</v>
      </c>
      <c r="AA550">
        <f ca="1">IFERROR(((Table133[[#This Row],[Open.Int8]])*Table133[[#This Row],[Put gamma]])*-1*$A$4^2,0)</f>
        <v>0</v>
      </c>
      <c r="AB550">
        <f ca="1">(Table133[[#This Row],[Call Gex]]+Table133[[#This Row],[Put Gex]])</f>
        <v>0</v>
      </c>
      <c r="AC550">
        <f ca="1">Table133[[#This Row],[put delta adj]]+Table133[[#This Row],[call delta adj]]</f>
        <v>0</v>
      </c>
      <c r="AD550">
        <f ca="1">Table133[[#This Row],[Put Gex]]*Table133[[#This Row],[DeltaP]]*-1</f>
        <v>0</v>
      </c>
      <c r="AE550">
        <f ca="1">Table133[[#This Row],[Call Gex]]*Table133[[#This Row],[DeltaC]]</f>
        <v>0</v>
      </c>
      <c r="AF550">
        <f>IF(Table133[[#This Row],[DeltaC]]-ABS(Table133[[#This Row],[DeltaP]])="0","0.01",Table133[[#This Row],[DeltaC]]-ABS(Table133[[#This Row],[DeltaP]]))</f>
        <v>0</v>
      </c>
      <c r="AG550" t="e">
        <f ca="1">((LN($A$4/Table133[[#This Row],[Strike]]) + (0.411 + 0.5 * Table133[[#This Row],[IV Calc P]]^2) *Table133[[#This Row],[T]])) / (Table133[[#This Row],[IV Calc P]] * SQRT(Table133[[#This Row],[T]]))</f>
        <v>#DIV/0!</v>
      </c>
      <c r="AH550" t="e">
        <f ca="1">(LN($A$4/Table133[[#This Row],[Strike]]) + (0.411-0 + 0.5 * Table133[[#This Row],[IV Calc C]]^2) *Table133[[#This Row],[T]]) / (Table133[[#This Row],[IV Calc C]] * SQRT(Table133[[#This Row],[T]]))</f>
        <v>#DIV/0!</v>
      </c>
      <c r="AI550" t="e">
        <f ca="1">(EXP(-(AG550^2)/2)/SQRT(2*PI())*EXP(0*SQRT(Table133[[#This Row],[T]]))/$A$4*18%*SQRT(SQRT(Table133[[#This Row],[T]])))</f>
        <v>#DIV/0!</v>
      </c>
      <c r="AJ550" t="e">
        <f ca="1">(EXP(-(AH550^2)/2)/SQRT(2*PI())*EXP(0*SQRT(Table133[[#This Row],[T]]))/$A$4*18%*SQRT(SQRT(Table133[[#This Row],[T]])))</f>
        <v>#DIV/0!</v>
      </c>
      <c r="AK550" t="e">
        <f ca="1">Table133[[#This Row],[Call D1]]-Table133[[#This Row],[IV Calc C]]*SQRT(Table133[[#This Row],[T]])</f>
        <v>#DIV/0!</v>
      </c>
      <c r="AL550" t="e">
        <f ca="1">Table133[[#This Row],[Put D1]]-Table133[[#This Row],[IV Calc P]]*SQRT(Table133[[#This Row],[T]])</f>
        <v>#DIV/0!</v>
      </c>
      <c r="AM550" t="e">
        <f ca="1">EXP(-0.5*Table133[[#This Row],[Call D1]]^2)/SQRT(2*PI())</f>
        <v>#DIV/0!</v>
      </c>
      <c r="AN550" t="e">
        <f ca="1">EXP(-0.5*Table133[[#This Row],[Put D1]]^2)/SQRT(2*PI())</f>
        <v>#DIV/0!</v>
      </c>
      <c r="AO55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0">
        <f ca="1">((Table133[[#This Row],[call vanna]]+Table133[[#This Row],[put vanna]])*$A$4)</f>
        <v>0</v>
      </c>
      <c r="AR55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0" s="9" t="str" cm="1">
        <f t="array" ref="AT550">_xlfn.IFS(     $M$1="SPX","SPXW",     $M$1="RUT","RUTW",  $M$1="NDX","NDXP",   TRUE,$M$1 )</f>
        <v>SPXW</v>
      </c>
      <c r="AU550" s="2">
        <f t="shared" si="57"/>
        <v>6915</v>
      </c>
      <c r="AV550" t="str">
        <f t="shared" si="58"/>
        <v>000100</v>
      </c>
      <c r="AY55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0">
        <f>((Table133[[#This Row],[High C]]+Table133[[#This Row],[Low C]])/2)*Table133[[#This Row],[gammac]]*Table133[[#This Row],[Volume]]</f>
        <v>0</v>
      </c>
      <c r="BD550">
        <f>((Table133[[#This Row],[High P]]+Table133[[#This Row],[Low P]])/2)*Table133[[#This Row],[gammap]]*Table133[[#This Row],[Volume9]]*-1</f>
        <v>0</v>
      </c>
      <c r="BE550">
        <f>(Table133[[#This Row],[SgammaC]]+Table133[[#This Row],[SgammaP]])*$A$4*-100</f>
        <v>0</v>
      </c>
      <c r="BF550" s="78">
        <f>Table133[[#This Row],[DEXc]]+Table133[[#This Row],[DEXp]]</f>
        <v>0</v>
      </c>
      <c r="BG550">
        <f>IFERROR(Table133[[#This Row],[DeltaC]]*Table133[[#This Row],[Open.Int]]*$A$4,0)</f>
        <v>0</v>
      </c>
      <c r="BH550">
        <f>IFERROR(Table133[[#This Row],[DeltaP]]*Table133[[#This Row],[Open.Int8]]*$A$4,0)</f>
        <v>0</v>
      </c>
      <c r="BI55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0">
        <f ca="1">Table133[[#This Row],[charmc]]+Table133[[#This Row],[charmp]]</f>
        <v>0</v>
      </c>
      <c r="BL55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0" s="78">
        <f ca="1">Table133[[#This Row],[call helper]]+Table133[[#This Row],[put helper]]</f>
        <v>0</v>
      </c>
      <c r="BP550" t="str">
        <f>RTD("tos.rtd", , "STRIKE", "."&amp;Table133[[#This Row],[Ticker]]&amp;Table133[[#This Row],[Expiry]]&amp;""&amp;"C"&amp;Table133[[#This Row],[Spot]]+Table133[[#This Row],[step]])</f>
        <v>N/A</v>
      </c>
    </row>
    <row r="551" spans="1:68" x14ac:dyDescent="0.25">
      <c r="A551" s="14">
        <f t="shared" ca="1" si="54"/>
        <v>-126.14810350076104</v>
      </c>
      <c r="C551" s="17"/>
      <c r="D551" t="str">
        <f>RTD("tos.rtd", , "OPEN_INT", "."&amp;Table133[[#This Row],[Ticker]]&amp;Table133[[#This Row],[Expiry]]&amp;""&amp;"C"&amp;Table133[[#This Row],[Spot]]+Table133[[#This Row],[step]])</f>
        <v>N/A</v>
      </c>
      <c r="E55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1" t="b">
        <f>IF(     ISNUMBER(Table133[[#This Row],[Strike]]),RTD("tos.rtd", , "DELTA", "."&amp;Table133[[#This Row],[Ticker]]&amp;Table133[[#This Row],[Expiry]]&amp;""&amp;"C"&amp;Table133[[#This Row],[Strike]]))</f>
        <v>0</v>
      </c>
      <c r="H551" s="17" cm="1">
        <f t="array" aca="1" ref="H551" ca="1">IndividualLegIVCore($A$4, Table133[[#This Row],[Strike]], 0.0411, Table133[[#This Row],[T]], ((Table133[[#This Row],[BIDC]]+Table133[[#This Row],[ASKC]])/2), TRUE)</f>
        <v>0.01</v>
      </c>
      <c r="I551" t="b">
        <f>IF(     ISNUMBER(Table133[[#This Row],[Strike]]),RTD("tos.rtd", , "BID", "."&amp;Table133[[#This Row],[Ticker]]&amp;Table133[[#This Row],[Expiry]]&amp;""&amp;"C"&amp;Table133[[#This Row],[Strike]]))</f>
        <v>0</v>
      </c>
      <c r="J551" t="b">
        <f>IF(     ISNUMBER(Table133[[#This Row],[Strike]]),RTD("tos.rtd", , "ASK", "."&amp;Table133[[#This Row],[Ticker]]&amp;Table133[[#This Row],[Expiry]]&amp;""&amp;"C"&amp;Table133[[#This Row],[Strike]]))</f>
        <v>0</v>
      </c>
      <c r="K551" s="17"/>
      <c r="M551" s="1">
        <f t="shared" si="55"/>
        <v>0</v>
      </c>
      <c r="N551" t="b">
        <f t="shared" si="56"/>
        <v>0</v>
      </c>
      <c r="P551" s="17" cm="1">
        <f t="array" aca="1" ref="P551" ca="1">IndividualLegIVCore($A$4, Table133[[#This Row],[Strike]], 0.0411, Table133[[#This Row],[T]], ((Table133[[#This Row],[BIDP]]+Table133[[#This Row],[ASKP]])/2), FALSE)</f>
        <v>0.01</v>
      </c>
      <c r="Q551" t="b">
        <f>IF(     ISNUMBER(Table133[[#This Row],[Strike]]),RTD("tos.rtd", , "BID", "."&amp;Table133[[#This Row],[Ticker]]&amp;Table133[[#This Row],[Expiry]]&amp;""&amp;"P"&amp;Table133[[#This Row],[Strike]]))</f>
        <v>0</v>
      </c>
      <c r="R551" t="b">
        <f>IF(     ISNUMBER(Table133[[#This Row],[Strike]]),RTD("tos.rtd", , "ASK", "."&amp;Table133[[#This Row],[Ticker]]&amp;Table133[[#This Row],[Expiry]]&amp;""&amp;"P"&amp;Table133[[#This Row],[Strike]]))</f>
        <v>0</v>
      </c>
      <c r="S551" s="17"/>
      <c r="T551" t="b">
        <f>IF(     ISNUMBER(Table133[[#This Row],[Strike]]),RTD("tos.rtd", , "OPEN_INT", "."&amp;Table133[[#This Row],[Ticker]]&amp;Table133[[#This Row],[Expiry]]&amp;""&amp;"P"&amp;Table133[[#This Row],[Strike]]))</f>
        <v>0</v>
      </c>
      <c r="U55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1" t="b">
        <f>IF(     ISNUMBER(Table133[[#This Row],[Strike]]),RTD("tos.rtd", , "DELTA", "."&amp;Table133[[#This Row],[Ticker]]&amp;Table133[[#This Row],[Expiry]]&amp;""&amp;"P"&amp;Table133[[#This Row],[Strike]]))</f>
        <v>0</v>
      </c>
      <c r="Y551" s="19">
        <f>17.5* IF($M$1="NDX", 10, IF(OR($M$1="SPX", $M$1="RUT"), 2, 1))</f>
        <v>35</v>
      </c>
      <c r="Z551">
        <f ca="1">IFERROR(Table133[[#This Row],[call gamma]]*(Table133[[#This Row],[Open.Int]])*$A$4^2,0)</f>
        <v>0</v>
      </c>
      <c r="AA551">
        <f ca="1">IFERROR(((Table133[[#This Row],[Open.Int8]])*Table133[[#This Row],[Put gamma]])*-1*$A$4^2,0)</f>
        <v>0</v>
      </c>
      <c r="AB551">
        <f ca="1">(Table133[[#This Row],[Call Gex]]+Table133[[#This Row],[Put Gex]])</f>
        <v>0</v>
      </c>
      <c r="AC551">
        <f ca="1">Table133[[#This Row],[put delta adj]]+Table133[[#This Row],[call delta adj]]</f>
        <v>0</v>
      </c>
      <c r="AD551">
        <f ca="1">Table133[[#This Row],[Put Gex]]*Table133[[#This Row],[DeltaP]]*-1</f>
        <v>0</v>
      </c>
      <c r="AE551">
        <f ca="1">Table133[[#This Row],[Call Gex]]*Table133[[#This Row],[DeltaC]]</f>
        <v>0</v>
      </c>
      <c r="AF551">
        <f>IF(Table133[[#This Row],[DeltaC]]-ABS(Table133[[#This Row],[DeltaP]])="0","0.01",Table133[[#This Row],[DeltaC]]-ABS(Table133[[#This Row],[DeltaP]]))</f>
        <v>0</v>
      </c>
      <c r="AG551" t="e">
        <f ca="1">((LN($A$4/Table133[[#This Row],[Strike]]) + (0.411 + 0.5 * Table133[[#This Row],[IV Calc P]]^2) *Table133[[#This Row],[T]])) / (Table133[[#This Row],[IV Calc P]] * SQRT(Table133[[#This Row],[T]]))</f>
        <v>#DIV/0!</v>
      </c>
      <c r="AH551" t="e">
        <f ca="1">(LN($A$4/Table133[[#This Row],[Strike]]) + (0.411-0 + 0.5 * Table133[[#This Row],[IV Calc C]]^2) *Table133[[#This Row],[T]]) / (Table133[[#This Row],[IV Calc C]] * SQRT(Table133[[#This Row],[T]]))</f>
        <v>#DIV/0!</v>
      </c>
      <c r="AI551" t="e">
        <f ca="1">(EXP(-(AG551^2)/2)/SQRT(2*PI())*EXP(0*SQRT(Table133[[#This Row],[T]]))/$A$4*18%*SQRT(SQRT(Table133[[#This Row],[T]])))</f>
        <v>#DIV/0!</v>
      </c>
      <c r="AJ551" t="e">
        <f ca="1">(EXP(-(AH551^2)/2)/SQRT(2*PI())*EXP(0*SQRT(Table133[[#This Row],[T]]))/$A$4*18%*SQRT(SQRT(Table133[[#This Row],[T]])))</f>
        <v>#DIV/0!</v>
      </c>
      <c r="AK551" t="e">
        <f ca="1">Table133[[#This Row],[Call D1]]-Table133[[#This Row],[IV Calc C]]*SQRT(Table133[[#This Row],[T]])</f>
        <v>#DIV/0!</v>
      </c>
      <c r="AL551" t="e">
        <f ca="1">Table133[[#This Row],[Put D1]]-Table133[[#This Row],[IV Calc P]]*SQRT(Table133[[#This Row],[T]])</f>
        <v>#DIV/0!</v>
      </c>
      <c r="AM551" t="e">
        <f ca="1">EXP(-0.5*Table133[[#This Row],[Call D1]]^2)/SQRT(2*PI())</f>
        <v>#DIV/0!</v>
      </c>
      <c r="AN551" t="e">
        <f ca="1">EXP(-0.5*Table133[[#This Row],[Put D1]]^2)/SQRT(2*PI())</f>
        <v>#DIV/0!</v>
      </c>
      <c r="AO55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1">
        <f ca="1">((Table133[[#This Row],[call vanna]]+Table133[[#This Row],[put vanna]])*$A$4)</f>
        <v>0</v>
      </c>
      <c r="AR55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1" s="9" t="str" cm="1">
        <f t="array" ref="AT551">_xlfn.IFS(     $M$1="SPX","SPXW",     $M$1="RUT","RUTW",  $M$1="NDX","NDXP",   TRUE,$M$1 )</f>
        <v>SPXW</v>
      </c>
      <c r="AU551" s="2">
        <f t="shared" si="57"/>
        <v>6915</v>
      </c>
      <c r="AV551" t="str">
        <f t="shared" si="58"/>
        <v>000100</v>
      </c>
      <c r="AY55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1">
        <f>((Table133[[#This Row],[High C]]+Table133[[#This Row],[Low C]])/2)*Table133[[#This Row],[gammac]]*Table133[[#This Row],[Volume]]</f>
        <v>0</v>
      </c>
      <c r="BD551">
        <f>((Table133[[#This Row],[High P]]+Table133[[#This Row],[Low P]])/2)*Table133[[#This Row],[gammap]]*Table133[[#This Row],[Volume9]]*-1</f>
        <v>0</v>
      </c>
      <c r="BE551">
        <f>(Table133[[#This Row],[SgammaC]]+Table133[[#This Row],[SgammaP]])*$A$4*-100</f>
        <v>0</v>
      </c>
      <c r="BF551" s="78">
        <f>Table133[[#This Row],[DEXc]]+Table133[[#This Row],[DEXp]]</f>
        <v>0</v>
      </c>
      <c r="BG551">
        <f>IFERROR(Table133[[#This Row],[DeltaC]]*Table133[[#This Row],[Open.Int]]*$A$4,0)</f>
        <v>0</v>
      </c>
      <c r="BH551">
        <f>IFERROR(Table133[[#This Row],[DeltaP]]*Table133[[#This Row],[Open.Int8]]*$A$4,0)</f>
        <v>0</v>
      </c>
      <c r="BI55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1">
        <f ca="1">Table133[[#This Row],[charmc]]+Table133[[#This Row],[charmp]]</f>
        <v>0</v>
      </c>
      <c r="BL55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1" s="78">
        <f ca="1">Table133[[#This Row],[call helper]]+Table133[[#This Row],[put helper]]</f>
        <v>0</v>
      </c>
      <c r="BP551" t="str">
        <f>RTD("tos.rtd", , "STRIKE", "."&amp;Table133[[#This Row],[Ticker]]&amp;Table133[[#This Row],[Expiry]]&amp;""&amp;"C"&amp;Table133[[#This Row],[Spot]]+Table133[[#This Row],[step]])</f>
        <v>N/A</v>
      </c>
    </row>
    <row r="552" spans="1:68" x14ac:dyDescent="0.25">
      <c r="A552" s="14">
        <f t="shared" ca="1" si="54"/>
        <v>-126.14810350076104</v>
      </c>
      <c r="C552" s="17"/>
      <c r="D552" t="str">
        <f>RTD("tos.rtd", , "OPEN_INT", "."&amp;Table133[[#This Row],[Ticker]]&amp;Table133[[#This Row],[Expiry]]&amp;""&amp;"C"&amp;Table133[[#This Row],[Spot]]+Table133[[#This Row],[step]])</f>
        <v>N/A</v>
      </c>
      <c r="E55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2" t="b">
        <f>IF(     ISNUMBER(Table133[[#This Row],[Strike]]),RTD("tos.rtd", , "DELTA", "."&amp;Table133[[#This Row],[Ticker]]&amp;Table133[[#This Row],[Expiry]]&amp;""&amp;"C"&amp;Table133[[#This Row],[Strike]]))</f>
        <v>0</v>
      </c>
      <c r="H552" s="17" cm="1">
        <f t="array" aca="1" ref="H552" ca="1">IndividualLegIVCore($A$4, Table133[[#This Row],[Strike]], 0.0411, Table133[[#This Row],[T]], ((Table133[[#This Row],[BIDC]]+Table133[[#This Row],[ASKC]])/2), TRUE)</f>
        <v>0.01</v>
      </c>
      <c r="I552" t="b">
        <f>IF(     ISNUMBER(Table133[[#This Row],[Strike]]),RTD("tos.rtd", , "BID", "."&amp;Table133[[#This Row],[Ticker]]&amp;Table133[[#This Row],[Expiry]]&amp;""&amp;"C"&amp;Table133[[#This Row],[Strike]]))</f>
        <v>0</v>
      </c>
      <c r="J552" t="b">
        <f>IF(     ISNUMBER(Table133[[#This Row],[Strike]]),RTD("tos.rtd", , "ASK", "."&amp;Table133[[#This Row],[Ticker]]&amp;Table133[[#This Row],[Expiry]]&amp;""&amp;"C"&amp;Table133[[#This Row],[Strike]]))</f>
        <v>0</v>
      </c>
      <c r="K552" s="17"/>
      <c r="M552" s="1">
        <f t="shared" si="55"/>
        <v>0</v>
      </c>
      <c r="N552" t="b">
        <f t="shared" si="56"/>
        <v>0</v>
      </c>
      <c r="P552" s="17" cm="1">
        <f t="array" aca="1" ref="P552" ca="1">IndividualLegIVCore($A$4, Table133[[#This Row],[Strike]], 0.0411, Table133[[#This Row],[T]], ((Table133[[#This Row],[BIDP]]+Table133[[#This Row],[ASKP]])/2), FALSE)</f>
        <v>0.01</v>
      </c>
      <c r="Q552" t="b">
        <f>IF(     ISNUMBER(Table133[[#This Row],[Strike]]),RTD("tos.rtd", , "BID", "."&amp;Table133[[#This Row],[Ticker]]&amp;Table133[[#This Row],[Expiry]]&amp;""&amp;"P"&amp;Table133[[#This Row],[Strike]]))</f>
        <v>0</v>
      </c>
      <c r="R552" t="b">
        <f>IF(     ISNUMBER(Table133[[#This Row],[Strike]]),RTD("tos.rtd", , "ASK", "."&amp;Table133[[#This Row],[Ticker]]&amp;Table133[[#This Row],[Expiry]]&amp;""&amp;"P"&amp;Table133[[#This Row],[Strike]]))</f>
        <v>0</v>
      </c>
      <c r="S552" s="17"/>
      <c r="T552" t="b">
        <f>IF(     ISNUMBER(Table133[[#This Row],[Strike]]),RTD("tos.rtd", , "OPEN_INT", "."&amp;Table133[[#This Row],[Ticker]]&amp;Table133[[#This Row],[Expiry]]&amp;""&amp;"P"&amp;Table133[[#This Row],[Strike]]))</f>
        <v>0</v>
      </c>
      <c r="U55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2" t="b">
        <f>IF(     ISNUMBER(Table133[[#This Row],[Strike]]),RTD("tos.rtd", , "DELTA", "."&amp;Table133[[#This Row],[Ticker]]&amp;Table133[[#This Row],[Expiry]]&amp;""&amp;"P"&amp;Table133[[#This Row],[Strike]]))</f>
        <v>0</v>
      </c>
      <c r="Y552" s="19">
        <f>18* IF($M$1="NDX", 10, IF(OR($M$1="SPX", $M$1="RUT"), 2, 1))</f>
        <v>36</v>
      </c>
      <c r="Z552">
        <f ca="1">IFERROR(Table133[[#This Row],[call gamma]]*(Table133[[#This Row],[Open.Int]])*$A$4^2,0)</f>
        <v>0</v>
      </c>
      <c r="AA552">
        <f ca="1">IFERROR(((Table133[[#This Row],[Open.Int8]])*Table133[[#This Row],[Put gamma]])*-1*$A$4^2,0)</f>
        <v>0</v>
      </c>
      <c r="AB552">
        <f ca="1">(Table133[[#This Row],[Call Gex]]+Table133[[#This Row],[Put Gex]])</f>
        <v>0</v>
      </c>
      <c r="AC552">
        <f ca="1">Table133[[#This Row],[put delta adj]]+Table133[[#This Row],[call delta adj]]</f>
        <v>0</v>
      </c>
      <c r="AD552">
        <f ca="1">Table133[[#This Row],[Put Gex]]*Table133[[#This Row],[DeltaP]]*-1</f>
        <v>0</v>
      </c>
      <c r="AE552">
        <f ca="1">Table133[[#This Row],[Call Gex]]*Table133[[#This Row],[DeltaC]]</f>
        <v>0</v>
      </c>
      <c r="AF552">
        <f>IF(Table133[[#This Row],[DeltaC]]-ABS(Table133[[#This Row],[DeltaP]])="0","0.01",Table133[[#This Row],[DeltaC]]-ABS(Table133[[#This Row],[DeltaP]]))</f>
        <v>0</v>
      </c>
      <c r="AG552" t="e">
        <f ca="1">((LN($A$4/Table133[[#This Row],[Strike]]) + (0.411 + 0.5 * Table133[[#This Row],[IV Calc P]]^2) *Table133[[#This Row],[T]])) / (Table133[[#This Row],[IV Calc P]] * SQRT(Table133[[#This Row],[T]]))</f>
        <v>#DIV/0!</v>
      </c>
      <c r="AH552" t="e">
        <f ca="1">(LN($A$4/Table133[[#This Row],[Strike]]) + (0.411-0 + 0.5 * Table133[[#This Row],[IV Calc C]]^2) *Table133[[#This Row],[T]]) / (Table133[[#This Row],[IV Calc C]] * SQRT(Table133[[#This Row],[T]]))</f>
        <v>#DIV/0!</v>
      </c>
      <c r="AI552" t="e">
        <f ca="1">(EXP(-(AG552^2)/2)/SQRT(2*PI())*EXP(0*SQRT(Table133[[#This Row],[T]]))/$A$4*18%*SQRT(SQRT(Table133[[#This Row],[T]])))</f>
        <v>#DIV/0!</v>
      </c>
      <c r="AJ552" t="e">
        <f ca="1">(EXP(-(AH552^2)/2)/SQRT(2*PI())*EXP(0*SQRT(Table133[[#This Row],[T]]))/$A$4*18%*SQRT(SQRT(Table133[[#This Row],[T]])))</f>
        <v>#DIV/0!</v>
      </c>
      <c r="AK552" t="e">
        <f ca="1">Table133[[#This Row],[Call D1]]-Table133[[#This Row],[IV Calc C]]*SQRT(Table133[[#This Row],[T]])</f>
        <v>#DIV/0!</v>
      </c>
      <c r="AL552" t="e">
        <f ca="1">Table133[[#This Row],[Put D1]]-Table133[[#This Row],[IV Calc P]]*SQRT(Table133[[#This Row],[T]])</f>
        <v>#DIV/0!</v>
      </c>
      <c r="AM552" t="e">
        <f ca="1">EXP(-0.5*Table133[[#This Row],[Call D1]]^2)/SQRT(2*PI())</f>
        <v>#DIV/0!</v>
      </c>
      <c r="AN552" t="e">
        <f ca="1">EXP(-0.5*Table133[[#This Row],[Put D1]]^2)/SQRT(2*PI())</f>
        <v>#DIV/0!</v>
      </c>
      <c r="AO55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2">
        <f ca="1">((Table133[[#This Row],[call vanna]]+Table133[[#This Row],[put vanna]])*$A$4)</f>
        <v>0</v>
      </c>
      <c r="AR55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2" s="9" t="str" cm="1">
        <f t="array" ref="AT552">_xlfn.IFS(     $M$1="SPX","SPXW",     $M$1="RUT","RUTW",  $M$1="NDX","NDXP",   TRUE,$M$1 )</f>
        <v>SPXW</v>
      </c>
      <c r="AU552" s="2">
        <f t="shared" si="57"/>
        <v>6915</v>
      </c>
      <c r="AV552" t="str">
        <f t="shared" si="58"/>
        <v>000100</v>
      </c>
      <c r="AY55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2">
        <f>((Table133[[#This Row],[High C]]+Table133[[#This Row],[Low C]])/2)*Table133[[#This Row],[gammac]]*Table133[[#This Row],[Volume]]</f>
        <v>0</v>
      </c>
      <c r="BD552">
        <f>((Table133[[#This Row],[High P]]+Table133[[#This Row],[Low P]])/2)*Table133[[#This Row],[gammap]]*Table133[[#This Row],[Volume9]]*-1</f>
        <v>0</v>
      </c>
      <c r="BE552">
        <f>(Table133[[#This Row],[SgammaC]]+Table133[[#This Row],[SgammaP]])*$A$4*-100</f>
        <v>0</v>
      </c>
      <c r="BF552" s="78">
        <f>Table133[[#This Row],[DEXc]]+Table133[[#This Row],[DEXp]]</f>
        <v>0</v>
      </c>
      <c r="BG552">
        <f>IFERROR(Table133[[#This Row],[DeltaC]]*Table133[[#This Row],[Open.Int]]*$A$4,0)</f>
        <v>0</v>
      </c>
      <c r="BH552">
        <f>IFERROR(Table133[[#This Row],[DeltaP]]*Table133[[#This Row],[Open.Int8]]*$A$4,0)</f>
        <v>0</v>
      </c>
      <c r="BI55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2">
        <f ca="1">Table133[[#This Row],[charmc]]+Table133[[#This Row],[charmp]]</f>
        <v>0</v>
      </c>
      <c r="BL55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2" s="78">
        <f ca="1">Table133[[#This Row],[call helper]]+Table133[[#This Row],[put helper]]</f>
        <v>0</v>
      </c>
      <c r="BP552" t="str">
        <f>RTD("tos.rtd", , "STRIKE", "."&amp;Table133[[#This Row],[Ticker]]&amp;Table133[[#This Row],[Expiry]]&amp;""&amp;"C"&amp;Table133[[#This Row],[Spot]]+Table133[[#This Row],[step]])</f>
        <v>N/A</v>
      </c>
    </row>
    <row r="553" spans="1:68" x14ac:dyDescent="0.25">
      <c r="A553" s="14">
        <f t="shared" ca="1" si="54"/>
        <v>-126.14810350076104</v>
      </c>
      <c r="C553" s="17"/>
      <c r="D553" t="str">
        <f>RTD("tos.rtd", , "OPEN_INT", "."&amp;Table133[[#This Row],[Ticker]]&amp;Table133[[#This Row],[Expiry]]&amp;""&amp;"C"&amp;Table133[[#This Row],[Spot]]+Table133[[#This Row],[step]])</f>
        <v>N/A</v>
      </c>
      <c r="E55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3" t="b">
        <f>IF(     ISNUMBER(Table133[[#This Row],[Strike]]),RTD("tos.rtd", , "DELTA", "."&amp;Table133[[#This Row],[Ticker]]&amp;Table133[[#This Row],[Expiry]]&amp;""&amp;"C"&amp;Table133[[#This Row],[Strike]]))</f>
        <v>0</v>
      </c>
      <c r="H553" s="17" cm="1">
        <f t="array" aca="1" ref="H553" ca="1">IndividualLegIVCore($A$4, Table133[[#This Row],[Strike]], 0.0411, Table133[[#This Row],[T]], ((Table133[[#This Row],[BIDC]]+Table133[[#This Row],[ASKC]])/2), TRUE)</f>
        <v>0.01</v>
      </c>
      <c r="I553" t="b">
        <f>IF(     ISNUMBER(Table133[[#This Row],[Strike]]),RTD("tos.rtd", , "BID", "."&amp;Table133[[#This Row],[Ticker]]&amp;Table133[[#This Row],[Expiry]]&amp;""&amp;"C"&amp;Table133[[#This Row],[Strike]]))</f>
        <v>0</v>
      </c>
      <c r="J553" t="b">
        <f>IF(     ISNUMBER(Table133[[#This Row],[Strike]]),RTD("tos.rtd", , "ASK", "."&amp;Table133[[#This Row],[Ticker]]&amp;Table133[[#This Row],[Expiry]]&amp;""&amp;"C"&amp;Table133[[#This Row],[Strike]]))</f>
        <v>0</v>
      </c>
      <c r="K553" s="17"/>
      <c r="M553" s="1">
        <f t="shared" si="55"/>
        <v>0</v>
      </c>
      <c r="N553" t="b">
        <f t="shared" si="56"/>
        <v>0</v>
      </c>
      <c r="P553" s="17" cm="1">
        <f t="array" aca="1" ref="P553" ca="1">IndividualLegIVCore($A$4, Table133[[#This Row],[Strike]], 0.0411, Table133[[#This Row],[T]], ((Table133[[#This Row],[BIDP]]+Table133[[#This Row],[ASKP]])/2), FALSE)</f>
        <v>0.01</v>
      </c>
      <c r="Q553" t="b">
        <f>IF(     ISNUMBER(Table133[[#This Row],[Strike]]),RTD("tos.rtd", , "BID", "."&amp;Table133[[#This Row],[Ticker]]&amp;Table133[[#This Row],[Expiry]]&amp;""&amp;"P"&amp;Table133[[#This Row],[Strike]]))</f>
        <v>0</v>
      </c>
      <c r="R553" t="b">
        <f>IF(     ISNUMBER(Table133[[#This Row],[Strike]]),RTD("tos.rtd", , "ASK", "."&amp;Table133[[#This Row],[Ticker]]&amp;Table133[[#This Row],[Expiry]]&amp;""&amp;"P"&amp;Table133[[#This Row],[Strike]]))</f>
        <v>0</v>
      </c>
      <c r="S553" s="17"/>
      <c r="T553" t="b">
        <f>IF(     ISNUMBER(Table133[[#This Row],[Strike]]),RTD("tos.rtd", , "OPEN_INT", "."&amp;Table133[[#This Row],[Ticker]]&amp;Table133[[#This Row],[Expiry]]&amp;""&amp;"P"&amp;Table133[[#This Row],[Strike]]))</f>
        <v>0</v>
      </c>
      <c r="U55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3" t="b">
        <f>IF(     ISNUMBER(Table133[[#This Row],[Strike]]),RTD("tos.rtd", , "DELTA", "."&amp;Table133[[#This Row],[Ticker]]&amp;Table133[[#This Row],[Expiry]]&amp;""&amp;"P"&amp;Table133[[#This Row],[Strike]]))</f>
        <v>0</v>
      </c>
      <c r="Y553" s="19">
        <f>18.5* IF($M$1="NDX", 10, IF(OR($M$1="SPX", $M$1="RUT"), 2, 1))</f>
        <v>37</v>
      </c>
      <c r="Z553">
        <f ca="1">IFERROR(Table133[[#This Row],[call gamma]]*(Table133[[#This Row],[Open.Int]])*$A$4^2,0)</f>
        <v>0</v>
      </c>
      <c r="AA553">
        <f ca="1">IFERROR(((Table133[[#This Row],[Open.Int8]])*Table133[[#This Row],[Put gamma]])*-1*$A$4^2,0)</f>
        <v>0</v>
      </c>
      <c r="AB553">
        <f ca="1">(Table133[[#This Row],[Call Gex]]+Table133[[#This Row],[Put Gex]])</f>
        <v>0</v>
      </c>
      <c r="AC553">
        <f ca="1">Table133[[#This Row],[put delta adj]]+Table133[[#This Row],[call delta adj]]</f>
        <v>0</v>
      </c>
      <c r="AD553">
        <f ca="1">Table133[[#This Row],[Put Gex]]*Table133[[#This Row],[DeltaP]]*-1</f>
        <v>0</v>
      </c>
      <c r="AE553">
        <f ca="1">Table133[[#This Row],[Call Gex]]*Table133[[#This Row],[DeltaC]]</f>
        <v>0</v>
      </c>
      <c r="AF553">
        <f>IF(Table133[[#This Row],[DeltaC]]-ABS(Table133[[#This Row],[DeltaP]])="0","0.01",Table133[[#This Row],[DeltaC]]-ABS(Table133[[#This Row],[DeltaP]]))</f>
        <v>0</v>
      </c>
      <c r="AG553" t="e">
        <f ca="1">((LN($A$4/Table133[[#This Row],[Strike]]) + (0.411 + 0.5 * Table133[[#This Row],[IV Calc P]]^2) *Table133[[#This Row],[T]])) / (Table133[[#This Row],[IV Calc P]] * SQRT(Table133[[#This Row],[T]]))</f>
        <v>#DIV/0!</v>
      </c>
      <c r="AH553" t="e">
        <f ca="1">(LN($A$4/Table133[[#This Row],[Strike]]) + (0.411-0 + 0.5 * Table133[[#This Row],[IV Calc C]]^2) *Table133[[#This Row],[T]]) / (Table133[[#This Row],[IV Calc C]] * SQRT(Table133[[#This Row],[T]]))</f>
        <v>#DIV/0!</v>
      </c>
      <c r="AI553" t="e">
        <f ca="1">(EXP(-(AG553^2)/2)/SQRT(2*PI())*EXP(0*SQRT(Table133[[#This Row],[T]]))/$A$4*18%*SQRT(SQRT(Table133[[#This Row],[T]])))</f>
        <v>#DIV/0!</v>
      </c>
      <c r="AJ553" t="e">
        <f ca="1">(EXP(-(AH553^2)/2)/SQRT(2*PI())*EXP(0*SQRT(Table133[[#This Row],[T]]))/$A$4*18%*SQRT(SQRT(Table133[[#This Row],[T]])))</f>
        <v>#DIV/0!</v>
      </c>
      <c r="AK553" t="e">
        <f ca="1">Table133[[#This Row],[Call D1]]-Table133[[#This Row],[IV Calc C]]*SQRT(Table133[[#This Row],[T]])</f>
        <v>#DIV/0!</v>
      </c>
      <c r="AL553" t="e">
        <f ca="1">Table133[[#This Row],[Put D1]]-Table133[[#This Row],[IV Calc P]]*SQRT(Table133[[#This Row],[T]])</f>
        <v>#DIV/0!</v>
      </c>
      <c r="AM553" t="e">
        <f ca="1">EXP(-0.5*Table133[[#This Row],[Call D1]]^2)/SQRT(2*PI())</f>
        <v>#DIV/0!</v>
      </c>
      <c r="AN553" t="e">
        <f ca="1">EXP(-0.5*Table133[[#This Row],[Put D1]]^2)/SQRT(2*PI())</f>
        <v>#DIV/0!</v>
      </c>
      <c r="AO55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3">
        <f ca="1">((Table133[[#This Row],[call vanna]]+Table133[[#This Row],[put vanna]])*$A$4)</f>
        <v>0</v>
      </c>
      <c r="AR55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3" s="9" t="str" cm="1">
        <f t="array" ref="AT553">_xlfn.IFS(     $M$1="SPX","SPXW",     $M$1="RUT","RUTW",  $M$1="NDX","NDXP",   TRUE,$M$1 )</f>
        <v>SPXW</v>
      </c>
      <c r="AU553" s="2">
        <f t="shared" si="57"/>
        <v>6915</v>
      </c>
      <c r="AV553" t="str">
        <f t="shared" si="58"/>
        <v>000100</v>
      </c>
      <c r="AY55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3">
        <f>((Table133[[#This Row],[High C]]+Table133[[#This Row],[Low C]])/2)*Table133[[#This Row],[gammac]]*Table133[[#This Row],[Volume]]</f>
        <v>0</v>
      </c>
      <c r="BD553">
        <f>((Table133[[#This Row],[High P]]+Table133[[#This Row],[Low P]])/2)*Table133[[#This Row],[gammap]]*Table133[[#This Row],[Volume9]]*-1</f>
        <v>0</v>
      </c>
      <c r="BE553">
        <f>(Table133[[#This Row],[SgammaC]]+Table133[[#This Row],[SgammaP]])*$A$4*-100</f>
        <v>0</v>
      </c>
      <c r="BF553" s="78">
        <f>Table133[[#This Row],[DEXc]]+Table133[[#This Row],[DEXp]]</f>
        <v>0</v>
      </c>
      <c r="BG553">
        <f>IFERROR(Table133[[#This Row],[DeltaC]]*Table133[[#This Row],[Open.Int]]*$A$4,0)</f>
        <v>0</v>
      </c>
      <c r="BH553">
        <f>IFERROR(Table133[[#This Row],[DeltaP]]*Table133[[#This Row],[Open.Int8]]*$A$4,0)</f>
        <v>0</v>
      </c>
      <c r="BI55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3">
        <f ca="1">Table133[[#This Row],[charmc]]+Table133[[#This Row],[charmp]]</f>
        <v>0</v>
      </c>
      <c r="BL55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3" s="78">
        <f ca="1">Table133[[#This Row],[call helper]]+Table133[[#This Row],[put helper]]</f>
        <v>0</v>
      </c>
      <c r="BP553" t="str">
        <f>RTD("tos.rtd", , "STRIKE", "."&amp;Table133[[#This Row],[Ticker]]&amp;Table133[[#This Row],[Expiry]]&amp;""&amp;"C"&amp;Table133[[#This Row],[Spot]]+Table133[[#This Row],[step]])</f>
        <v>N/A</v>
      </c>
    </row>
    <row r="554" spans="1:68" x14ac:dyDescent="0.25">
      <c r="A554" s="14">
        <f t="shared" ca="1" si="54"/>
        <v>-126.14810350076104</v>
      </c>
      <c r="C554" s="17"/>
      <c r="D554" t="str">
        <f>RTD("tos.rtd", , "OPEN_INT", "."&amp;Table133[[#This Row],[Ticker]]&amp;Table133[[#This Row],[Expiry]]&amp;""&amp;"C"&amp;Table133[[#This Row],[Spot]]+Table133[[#This Row],[step]])</f>
        <v>N/A</v>
      </c>
      <c r="E55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4" t="b">
        <f>IF(     ISNUMBER(Table133[[#This Row],[Strike]]),RTD("tos.rtd", , "DELTA", "."&amp;Table133[[#This Row],[Ticker]]&amp;Table133[[#This Row],[Expiry]]&amp;""&amp;"C"&amp;Table133[[#This Row],[Strike]]))</f>
        <v>0</v>
      </c>
      <c r="H554" s="17" cm="1">
        <f t="array" aca="1" ref="H554" ca="1">IndividualLegIVCore($A$4, Table133[[#This Row],[Strike]], 0.0411, Table133[[#This Row],[T]], ((Table133[[#This Row],[BIDC]]+Table133[[#This Row],[ASKC]])/2), TRUE)</f>
        <v>0.01</v>
      </c>
      <c r="I554" t="b">
        <f>IF(     ISNUMBER(Table133[[#This Row],[Strike]]),RTD("tos.rtd", , "BID", "."&amp;Table133[[#This Row],[Ticker]]&amp;Table133[[#This Row],[Expiry]]&amp;""&amp;"C"&amp;Table133[[#This Row],[Strike]]))</f>
        <v>0</v>
      </c>
      <c r="J554" t="b">
        <f>IF(     ISNUMBER(Table133[[#This Row],[Strike]]),RTD("tos.rtd", , "ASK", "."&amp;Table133[[#This Row],[Ticker]]&amp;Table133[[#This Row],[Expiry]]&amp;""&amp;"C"&amp;Table133[[#This Row],[Strike]]))</f>
        <v>0</v>
      </c>
      <c r="K554" s="17"/>
      <c r="M554" s="1">
        <f t="shared" si="55"/>
        <v>0</v>
      </c>
      <c r="N554" t="b">
        <f t="shared" si="56"/>
        <v>0</v>
      </c>
      <c r="P554" s="17" cm="1">
        <f t="array" aca="1" ref="P554" ca="1">IndividualLegIVCore($A$4, Table133[[#This Row],[Strike]], 0.0411, Table133[[#This Row],[T]], ((Table133[[#This Row],[BIDP]]+Table133[[#This Row],[ASKP]])/2), FALSE)</f>
        <v>0.01</v>
      </c>
      <c r="Q554" t="b">
        <f>IF(     ISNUMBER(Table133[[#This Row],[Strike]]),RTD("tos.rtd", , "BID", "."&amp;Table133[[#This Row],[Ticker]]&amp;Table133[[#This Row],[Expiry]]&amp;""&amp;"P"&amp;Table133[[#This Row],[Strike]]))</f>
        <v>0</v>
      </c>
      <c r="R554" t="b">
        <f>IF(     ISNUMBER(Table133[[#This Row],[Strike]]),RTD("tos.rtd", , "ASK", "."&amp;Table133[[#This Row],[Ticker]]&amp;Table133[[#This Row],[Expiry]]&amp;""&amp;"P"&amp;Table133[[#This Row],[Strike]]))</f>
        <v>0</v>
      </c>
      <c r="S554" s="17"/>
      <c r="T554" t="b">
        <f>IF(     ISNUMBER(Table133[[#This Row],[Strike]]),RTD("tos.rtd", , "OPEN_INT", "."&amp;Table133[[#This Row],[Ticker]]&amp;Table133[[#This Row],[Expiry]]&amp;""&amp;"P"&amp;Table133[[#This Row],[Strike]]))</f>
        <v>0</v>
      </c>
      <c r="U55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4" t="b">
        <f>IF(     ISNUMBER(Table133[[#This Row],[Strike]]),RTD("tos.rtd", , "DELTA", "."&amp;Table133[[#This Row],[Ticker]]&amp;Table133[[#This Row],[Expiry]]&amp;""&amp;"P"&amp;Table133[[#This Row],[Strike]]))</f>
        <v>0</v>
      </c>
      <c r="Y554" s="19">
        <f>19* IF($M$1="NDX", 10, IF(OR($M$1="SPX", $M$1="RUT"), 2, 1))</f>
        <v>38</v>
      </c>
      <c r="Z554">
        <f ca="1">IFERROR(Table133[[#This Row],[call gamma]]*(Table133[[#This Row],[Open.Int]])*$A$4^2,0)</f>
        <v>0</v>
      </c>
      <c r="AA554">
        <f ca="1">IFERROR(((Table133[[#This Row],[Open.Int8]])*Table133[[#This Row],[Put gamma]])*-1*$A$4^2,0)</f>
        <v>0</v>
      </c>
      <c r="AB554">
        <f ca="1">(Table133[[#This Row],[Call Gex]]+Table133[[#This Row],[Put Gex]])</f>
        <v>0</v>
      </c>
      <c r="AC554">
        <f ca="1">Table133[[#This Row],[put delta adj]]+Table133[[#This Row],[call delta adj]]</f>
        <v>0</v>
      </c>
      <c r="AD554">
        <f ca="1">Table133[[#This Row],[Put Gex]]*Table133[[#This Row],[DeltaP]]*-1</f>
        <v>0</v>
      </c>
      <c r="AE554">
        <f ca="1">Table133[[#This Row],[Call Gex]]*Table133[[#This Row],[DeltaC]]</f>
        <v>0</v>
      </c>
      <c r="AF554">
        <f>IF(Table133[[#This Row],[DeltaC]]-ABS(Table133[[#This Row],[DeltaP]])="0","0.01",Table133[[#This Row],[DeltaC]]-ABS(Table133[[#This Row],[DeltaP]]))</f>
        <v>0</v>
      </c>
      <c r="AG554" t="e">
        <f ca="1">((LN($A$4/Table133[[#This Row],[Strike]]) + (0.411 + 0.5 * Table133[[#This Row],[IV Calc P]]^2) *Table133[[#This Row],[T]])) / (Table133[[#This Row],[IV Calc P]] * SQRT(Table133[[#This Row],[T]]))</f>
        <v>#DIV/0!</v>
      </c>
      <c r="AH554" t="e">
        <f ca="1">(LN($A$4/Table133[[#This Row],[Strike]]) + (0.411-0 + 0.5 * Table133[[#This Row],[IV Calc C]]^2) *Table133[[#This Row],[T]]) / (Table133[[#This Row],[IV Calc C]] * SQRT(Table133[[#This Row],[T]]))</f>
        <v>#DIV/0!</v>
      </c>
      <c r="AI554" t="e">
        <f ca="1">(EXP(-(AG554^2)/2)/SQRT(2*PI())*EXP(0*SQRT(Table133[[#This Row],[T]]))/$A$4*18%*SQRT(SQRT(Table133[[#This Row],[T]])))</f>
        <v>#DIV/0!</v>
      </c>
      <c r="AJ554" t="e">
        <f ca="1">(EXP(-(AH554^2)/2)/SQRT(2*PI())*EXP(0*SQRT(Table133[[#This Row],[T]]))/$A$4*18%*SQRT(SQRT(Table133[[#This Row],[T]])))</f>
        <v>#DIV/0!</v>
      </c>
      <c r="AK554" t="e">
        <f ca="1">Table133[[#This Row],[Call D1]]-Table133[[#This Row],[IV Calc C]]*SQRT(Table133[[#This Row],[T]])</f>
        <v>#DIV/0!</v>
      </c>
      <c r="AL554" t="e">
        <f ca="1">Table133[[#This Row],[Put D1]]-Table133[[#This Row],[IV Calc P]]*SQRT(Table133[[#This Row],[T]])</f>
        <v>#DIV/0!</v>
      </c>
      <c r="AM554" t="e">
        <f ca="1">EXP(-0.5*Table133[[#This Row],[Call D1]]^2)/SQRT(2*PI())</f>
        <v>#DIV/0!</v>
      </c>
      <c r="AN554" t="e">
        <f ca="1">EXP(-0.5*Table133[[#This Row],[Put D1]]^2)/SQRT(2*PI())</f>
        <v>#DIV/0!</v>
      </c>
      <c r="AO55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4">
        <f ca="1">((Table133[[#This Row],[call vanna]]+Table133[[#This Row],[put vanna]])*$A$4)</f>
        <v>0</v>
      </c>
      <c r="AR55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4" s="9" t="str" cm="1">
        <f t="array" ref="AT554">_xlfn.IFS(     $M$1="SPX","SPXW",     $M$1="RUT","RUTW",  $M$1="NDX","NDXP",   TRUE,$M$1 )</f>
        <v>SPXW</v>
      </c>
      <c r="AU554" s="2">
        <f t="shared" si="57"/>
        <v>6915</v>
      </c>
      <c r="AV554" t="str">
        <f t="shared" si="58"/>
        <v>000100</v>
      </c>
      <c r="AY55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4">
        <f>((Table133[[#This Row],[High C]]+Table133[[#This Row],[Low C]])/2)*Table133[[#This Row],[gammac]]*Table133[[#This Row],[Volume]]</f>
        <v>0</v>
      </c>
      <c r="BD554">
        <f>((Table133[[#This Row],[High P]]+Table133[[#This Row],[Low P]])/2)*Table133[[#This Row],[gammap]]*Table133[[#This Row],[Volume9]]*-1</f>
        <v>0</v>
      </c>
      <c r="BE554">
        <f>(Table133[[#This Row],[SgammaC]]+Table133[[#This Row],[SgammaP]])*$A$4*-100</f>
        <v>0</v>
      </c>
      <c r="BF554" s="78">
        <f>Table133[[#This Row],[DEXc]]+Table133[[#This Row],[DEXp]]</f>
        <v>0</v>
      </c>
      <c r="BG554">
        <f>IFERROR(Table133[[#This Row],[DeltaC]]*Table133[[#This Row],[Open.Int]]*$A$4,0)</f>
        <v>0</v>
      </c>
      <c r="BH554">
        <f>IFERROR(Table133[[#This Row],[DeltaP]]*Table133[[#This Row],[Open.Int8]]*$A$4,0)</f>
        <v>0</v>
      </c>
      <c r="BI55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4">
        <f ca="1">Table133[[#This Row],[charmc]]+Table133[[#This Row],[charmp]]</f>
        <v>0</v>
      </c>
      <c r="BL55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4" s="78">
        <f ca="1">Table133[[#This Row],[call helper]]+Table133[[#This Row],[put helper]]</f>
        <v>0</v>
      </c>
      <c r="BP554" t="str">
        <f>RTD("tos.rtd", , "STRIKE", "."&amp;Table133[[#This Row],[Ticker]]&amp;Table133[[#This Row],[Expiry]]&amp;""&amp;"C"&amp;Table133[[#This Row],[Spot]]+Table133[[#This Row],[step]])</f>
        <v>N/A</v>
      </c>
    </row>
    <row r="555" spans="1:68" x14ac:dyDescent="0.25">
      <c r="A555" s="14">
        <f t="shared" ca="1" si="54"/>
        <v>-126.14810350076104</v>
      </c>
      <c r="C555" s="17"/>
      <c r="D555" t="str">
        <f>RTD("tos.rtd", , "OPEN_INT", "."&amp;Table133[[#This Row],[Ticker]]&amp;Table133[[#This Row],[Expiry]]&amp;""&amp;"C"&amp;Table133[[#This Row],[Spot]]+Table133[[#This Row],[step]])</f>
        <v>N/A</v>
      </c>
      <c r="E55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5" t="b">
        <f>IF(     ISNUMBER(Table133[[#This Row],[Strike]]),RTD("tos.rtd", , "DELTA", "."&amp;Table133[[#This Row],[Ticker]]&amp;Table133[[#This Row],[Expiry]]&amp;""&amp;"C"&amp;Table133[[#This Row],[Strike]]))</f>
        <v>0</v>
      </c>
      <c r="H555" s="17" cm="1">
        <f t="array" aca="1" ref="H555" ca="1">IndividualLegIVCore($A$4, Table133[[#This Row],[Strike]], 0.0411, Table133[[#This Row],[T]], ((Table133[[#This Row],[BIDC]]+Table133[[#This Row],[ASKC]])/2), TRUE)</f>
        <v>0.01</v>
      </c>
      <c r="I555" t="b">
        <f>IF(     ISNUMBER(Table133[[#This Row],[Strike]]),RTD("tos.rtd", , "BID", "."&amp;Table133[[#This Row],[Ticker]]&amp;Table133[[#This Row],[Expiry]]&amp;""&amp;"C"&amp;Table133[[#This Row],[Strike]]))</f>
        <v>0</v>
      </c>
      <c r="J555" t="b">
        <f>IF(     ISNUMBER(Table133[[#This Row],[Strike]]),RTD("tos.rtd", , "ASK", "."&amp;Table133[[#This Row],[Ticker]]&amp;Table133[[#This Row],[Expiry]]&amp;""&amp;"C"&amp;Table133[[#This Row],[Strike]]))</f>
        <v>0</v>
      </c>
      <c r="K555" s="17"/>
      <c r="M555" s="1">
        <f t="shared" si="55"/>
        <v>0</v>
      </c>
      <c r="N555" t="b">
        <f t="shared" si="56"/>
        <v>0</v>
      </c>
      <c r="P555" s="17" cm="1">
        <f t="array" aca="1" ref="P555" ca="1">IndividualLegIVCore($A$4, Table133[[#This Row],[Strike]], 0.0411, Table133[[#This Row],[T]], ((Table133[[#This Row],[BIDP]]+Table133[[#This Row],[ASKP]])/2), FALSE)</f>
        <v>0.01</v>
      </c>
      <c r="Q555" t="b">
        <f>IF(     ISNUMBER(Table133[[#This Row],[Strike]]),RTD("tos.rtd", , "BID", "."&amp;Table133[[#This Row],[Ticker]]&amp;Table133[[#This Row],[Expiry]]&amp;""&amp;"P"&amp;Table133[[#This Row],[Strike]]))</f>
        <v>0</v>
      </c>
      <c r="R555" t="b">
        <f>IF(     ISNUMBER(Table133[[#This Row],[Strike]]),RTD("tos.rtd", , "ASK", "."&amp;Table133[[#This Row],[Ticker]]&amp;Table133[[#This Row],[Expiry]]&amp;""&amp;"P"&amp;Table133[[#This Row],[Strike]]))</f>
        <v>0</v>
      </c>
      <c r="S555" s="17"/>
      <c r="T555" t="b">
        <f>IF(     ISNUMBER(Table133[[#This Row],[Strike]]),RTD("tos.rtd", , "OPEN_INT", "."&amp;Table133[[#This Row],[Ticker]]&amp;Table133[[#This Row],[Expiry]]&amp;""&amp;"P"&amp;Table133[[#This Row],[Strike]]))</f>
        <v>0</v>
      </c>
      <c r="U55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5" t="b">
        <f>IF(     ISNUMBER(Table133[[#This Row],[Strike]]),RTD("tos.rtd", , "DELTA", "."&amp;Table133[[#This Row],[Ticker]]&amp;Table133[[#This Row],[Expiry]]&amp;""&amp;"P"&amp;Table133[[#This Row],[Strike]]))</f>
        <v>0</v>
      </c>
      <c r="Y555" s="19">
        <f>19.5* IF($M$1="NDX", 10, IF(OR($M$1="SPX", $M$1="RUT"), 2, 1))</f>
        <v>39</v>
      </c>
      <c r="Z555">
        <f ca="1">IFERROR(Table133[[#This Row],[call gamma]]*(Table133[[#This Row],[Open.Int]])*$A$4^2,0)</f>
        <v>0</v>
      </c>
      <c r="AA555">
        <f ca="1">IFERROR(((Table133[[#This Row],[Open.Int8]])*Table133[[#This Row],[Put gamma]])*-1*$A$4^2,0)</f>
        <v>0</v>
      </c>
      <c r="AB555">
        <f ca="1">(Table133[[#This Row],[Call Gex]]+Table133[[#This Row],[Put Gex]])</f>
        <v>0</v>
      </c>
      <c r="AC555">
        <f ca="1">Table133[[#This Row],[put delta adj]]+Table133[[#This Row],[call delta adj]]</f>
        <v>0</v>
      </c>
      <c r="AD555">
        <f ca="1">Table133[[#This Row],[Put Gex]]*Table133[[#This Row],[DeltaP]]*-1</f>
        <v>0</v>
      </c>
      <c r="AE555">
        <f ca="1">Table133[[#This Row],[Call Gex]]*Table133[[#This Row],[DeltaC]]</f>
        <v>0</v>
      </c>
      <c r="AF555">
        <f>IF(Table133[[#This Row],[DeltaC]]-ABS(Table133[[#This Row],[DeltaP]])="0","0.01",Table133[[#This Row],[DeltaC]]-ABS(Table133[[#This Row],[DeltaP]]))</f>
        <v>0</v>
      </c>
      <c r="AG555" t="e">
        <f ca="1">((LN($A$4/Table133[[#This Row],[Strike]]) + (0.411 + 0.5 * Table133[[#This Row],[IV Calc P]]^2) *Table133[[#This Row],[T]])) / (Table133[[#This Row],[IV Calc P]] * SQRT(Table133[[#This Row],[T]]))</f>
        <v>#DIV/0!</v>
      </c>
      <c r="AH555" t="e">
        <f ca="1">(LN($A$4/Table133[[#This Row],[Strike]]) + (0.411-0 + 0.5 * Table133[[#This Row],[IV Calc C]]^2) *Table133[[#This Row],[T]]) / (Table133[[#This Row],[IV Calc C]] * SQRT(Table133[[#This Row],[T]]))</f>
        <v>#DIV/0!</v>
      </c>
      <c r="AI555" t="e">
        <f ca="1">(EXP(-(AG555^2)/2)/SQRT(2*PI())*EXP(0*SQRT(Table133[[#This Row],[T]]))/$A$4*18%*SQRT(SQRT(Table133[[#This Row],[T]])))</f>
        <v>#DIV/0!</v>
      </c>
      <c r="AJ555" t="e">
        <f ca="1">(EXP(-(AH555^2)/2)/SQRT(2*PI())*EXP(0*SQRT(Table133[[#This Row],[T]]))/$A$4*18%*SQRT(SQRT(Table133[[#This Row],[T]])))</f>
        <v>#DIV/0!</v>
      </c>
      <c r="AK555" t="e">
        <f ca="1">Table133[[#This Row],[Call D1]]-Table133[[#This Row],[IV Calc C]]*SQRT(Table133[[#This Row],[T]])</f>
        <v>#DIV/0!</v>
      </c>
      <c r="AL555" t="e">
        <f ca="1">Table133[[#This Row],[Put D1]]-Table133[[#This Row],[IV Calc P]]*SQRT(Table133[[#This Row],[T]])</f>
        <v>#DIV/0!</v>
      </c>
      <c r="AM555" t="e">
        <f ca="1">EXP(-0.5*Table133[[#This Row],[Call D1]]^2)/SQRT(2*PI())</f>
        <v>#DIV/0!</v>
      </c>
      <c r="AN555" t="e">
        <f ca="1">EXP(-0.5*Table133[[#This Row],[Put D1]]^2)/SQRT(2*PI())</f>
        <v>#DIV/0!</v>
      </c>
      <c r="AO55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5">
        <f ca="1">((Table133[[#This Row],[call vanna]]+Table133[[#This Row],[put vanna]])*$A$4)</f>
        <v>0</v>
      </c>
      <c r="AR55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5" s="9" t="str" cm="1">
        <f t="array" ref="AT555">_xlfn.IFS(     $M$1="SPX","SPXW",     $M$1="RUT","RUTW",  $M$1="NDX","NDXP",   TRUE,$M$1 )</f>
        <v>SPXW</v>
      </c>
      <c r="AU555" s="2">
        <f t="shared" si="57"/>
        <v>6915</v>
      </c>
      <c r="AV555" t="str">
        <f t="shared" si="58"/>
        <v>000100</v>
      </c>
      <c r="AY55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5">
        <f>((Table133[[#This Row],[High C]]+Table133[[#This Row],[Low C]])/2)*Table133[[#This Row],[gammac]]*Table133[[#This Row],[Volume]]</f>
        <v>0</v>
      </c>
      <c r="BD555">
        <f>((Table133[[#This Row],[High P]]+Table133[[#This Row],[Low P]])/2)*Table133[[#This Row],[gammap]]*Table133[[#This Row],[Volume9]]*-1</f>
        <v>0</v>
      </c>
      <c r="BE555">
        <f>(Table133[[#This Row],[SgammaC]]+Table133[[#This Row],[SgammaP]])*$A$4*-100</f>
        <v>0</v>
      </c>
      <c r="BF555" s="78">
        <f>Table133[[#This Row],[DEXc]]+Table133[[#This Row],[DEXp]]</f>
        <v>0</v>
      </c>
      <c r="BG555">
        <f>IFERROR(Table133[[#This Row],[DeltaC]]*Table133[[#This Row],[Open.Int]]*$A$4,0)</f>
        <v>0</v>
      </c>
      <c r="BH555">
        <f>IFERROR(Table133[[#This Row],[DeltaP]]*Table133[[#This Row],[Open.Int8]]*$A$4,0)</f>
        <v>0</v>
      </c>
      <c r="BI55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5">
        <f ca="1">Table133[[#This Row],[charmc]]+Table133[[#This Row],[charmp]]</f>
        <v>0</v>
      </c>
      <c r="BL55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5" s="78">
        <f ca="1">Table133[[#This Row],[call helper]]+Table133[[#This Row],[put helper]]</f>
        <v>0</v>
      </c>
      <c r="BP555" t="str">
        <f>RTD("tos.rtd", , "STRIKE", "."&amp;Table133[[#This Row],[Ticker]]&amp;Table133[[#This Row],[Expiry]]&amp;""&amp;"C"&amp;Table133[[#This Row],[Spot]]+Table133[[#This Row],[step]])</f>
        <v>N/A</v>
      </c>
    </row>
    <row r="556" spans="1:68" x14ac:dyDescent="0.25">
      <c r="A556" s="14">
        <f t="shared" ca="1" si="54"/>
        <v>-126.14810350076104</v>
      </c>
      <c r="C556" s="17"/>
      <c r="D556" t="str">
        <f>RTD("tos.rtd", , "OPEN_INT", "."&amp;Table133[[#This Row],[Ticker]]&amp;Table133[[#This Row],[Expiry]]&amp;""&amp;"C"&amp;Table133[[#This Row],[Spot]]+Table133[[#This Row],[step]])</f>
        <v>N/A</v>
      </c>
      <c r="E55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6" t="b">
        <f>IF(     ISNUMBER(Table133[[#This Row],[Strike]]),RTD("tos.rtd", , "DELTA", "."&amp;Table133[[#This Row],[Ticker]]&amp;Table133[[#This Row],[Expiry]]&amp;""&amp;"C"&amp;Table133[[#This Row],[Strike]]))</f>
        <v>0</v>
      </c>
      <c r="H556" s="17" cm="1">
        <f t="array" aca="1" ref="H556" ca="1">IndividualLegIVCore($A$4, Table133[[#This Row],[Strike]], 0.0411, Table133[[#This Row],[T]], ((Table133[[#This Row],[BIDC]]+Table133[[#This Row],[ASKC]])/2), TRUE)</f>
        <v>0.01</v>
      </c>
      <c r="I556" t="b">
        <f>IF(     ISNUMBER(Table133[[#This Row],[Strike]]),RTD("tos.rtd", , "BID", "."&amp;Table133[[#This Row],[Ticker]]&amp;Table133[[#This Row],[Expiry]]&amp;""&amp;"C"&amp;Table133[[#This Row],[Strike]]))</f>
        <v>0</v>
      </c>
      <c r="J556" t="b">
        <f>IF(     ISNUMBER(Table133[[#This Row],[Strike]]),RTD("tos.rtd", , "ASK", "."&amp;Table133[[#This Row],[Ticker]]&amp;Table133[[#This Row],[Expiry]]&amp;""&amp;"C"&amp;Table133[[#This Row],[Strike]]))</f>
        <v>0</v>
      </c>
      <c r="K556" s="17"/>
      <c r="M556" s="1">
        <f t="shared" si="55"/>
        <v>0</v>
      </c>
      <c r="N556" t="b">
        <f t="shared" si="56"/>
        <v>0</v>
      </c>
      <c r="P556" s="17" cm="1">
        <f t="array" aca="1" ref="P556" ca="1">IndividualLegIVCore($A$4, Table133[[#This Row],[Strike]], 0.0411, Table133[[#This Row],[T]], ((Table133[[#This Row],[BIDP]]+Table133[[#This Row],[ASKP]])/2), FALSE)</f>
        <v>0.01</v>
      </c>
      <c r="Q556" t="b">
        <f>IF(     ISNUMBER(Table133[[#This Row],[Strike]]),RTD("tos.rtd", , "BID", "."&amp;Table133[[#This Row],[Ticker]]&amp;Table133[[#This Row],[Expiry]]&amp;""&amp;"P"&amp;Table133[[#This Row],[Strike]]))</f>
        <v>0</v>
      </c>
      <c r="R556" t="b">
        <f>IF(     ISNUMBER(Table133[[#This Row],[Strike]]),RTD("tos.rtd", , "ASK", "."&amp;Table133[[#This Row],[Ticker]]&amp;Table133[[#This Row],[Expiry]]&amp;""&amp;"P"&amp;Table133[[#This Row],[Strike]]))</f>
        <v>0</v>
      </c>
      <c r="S556" s="17"/>
      <c r="T556" t="b">
        <f>IF(     ISNUMBER(Table133[[#This Row],[Strike]]),RTD("tos.rtd", , "OPEN_INT", "."&amp;Table133[[#This Row],[Ticker]]&amp;Table133[[#This Row],[Expiry]]&amp;""&amp;"P"&amp;Table133[[#This Row],[Strike]]))</f>
        <v>0</v>
      </c>
      <c r="U55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6" t="b">
        <f>IF(     ISNUMBER(Table133[[#This Row],[Strike]]),RTD("tos.rtd", , "DELTA", "."&amp;Table133[[#This Row],[Ticker]]&amp;Table133[[#This Row],[Expiry]]&amp;""&amp;"P"&amp;Table133[[#This Row],[Strike]]))</f>
        <v>0</v>
      </c>
      <c r="Y556" s="19">
        <f>20* IF($M$1="NDX", 10, IF(OR($M$1="SPX", $M$1="RUT"), 2, 1))</f>
        <v>40</v>
      </c>
      <c r="Z556">
        <f ca="1">IFERROR(Table133[[#This Row],[call gamma]]*(Table133[[#This Row],[Open.Int]])*$A$4^2,0)</f>
        <v>0</v>
      </c>
      <c r="AA556">
        <f ca="1">IFERROR(((Table133[[#This Row],[Open.Int8]])*Table133[[#This Row],[Put gamma]])*-1*$A$4^2,0)</f>
        <v>0</v>
      </c>
      <c r="AB556">
        <f ca="1">(Table133[[#This Row],[Call Gex]]+Table133[[#This Row],[Put Gex]])</f>
        <v>0</v>
      </c>
      <c r="AC556">
        <f ca="1">Table133[[#This Row],[put delta adj]]+Table133[[#This Row],[call delta adj]]</f>
        <v>0</v>
      </c>
      <c r="AD556">
        <f ca="1">Table133[[#This Row],[Put Gex]]*Table133[[#This Row],[DeltaP]]*-1</f>
        <v>0</v>
      </c>
      <c r="AE556">
        <f ca="1">Table133[[#This Row],[Call Gex]]*Table133[[#This Row],[DeltaC]]</f>
        <v>0</v>
      </c>
      <c r="AF556">
        <f>IF(Table133[[#This Row],[DeltaC]]-ABS(Table133[[#This Row],[DeltaP]])="0","0.01",Table133[[#This Row],[DeltaC]]-ABS(Table133[[#This Row],[DeltaP]]))</f>
        <v>0</v>
      </c>
      <c r="AG556" t="e">
        <f ca="1">((LN($A$4/Table133[[#This Row],[Strike]]) + (0.411 + 0.5 * Table133[[#This Row],[IV Calc P]]^2) *Table133[[#This Row],[T]])) / (Table133[[#This Row],[IV Calc P]] * SQRT(Table133[[#This Row],[T]]))</f>
        <v>#DIV/0!</v>
      </c>
      <c r="AH556" t="e">
        <f ca="1">(LN($A$4/Table133[[#This Row],[Strike]]) + (0.411-0 + 0.5 * Table133[[#This Row],[IV Calc C]]^2) *Table133[[#This Row],[T]]) / (Table133[[#This Row],[IV Calc C]] * SQRT(Table133[[#This Row],[T]]))</f>
        <v>#DIV/0!</v>
      </c>
      <c r="AI556" t="e">
        <f ca="1">(EXP(-(AG556^2)/2)/SQRT(2*PI())*EXP(0*SQRT(Table133[[#This Row],[T]]))/$A$4*18%*SQRT(SQRT(Table133[[#This Row],[T]])))</f>
        <v>#DIV/0!</v>
      </c>
      <c r="AJ556" t="e">
        <f ca="1">(EXP(-(AH556^2)/2)/SQRT(2*PI())*EXP(0*SQRT(Table133[[#This Row],[T]]))/$A$4*18%*SQRT(SQRT(Table133[[#This Row],[T]])))</f>
        <v>#DIV/0!</v>
      </c>
      <c r="AK556" t="e">
        <f ca="1">Table133[[#This Row],[Call D1]]-Table133[[#This Row],[IV Calc C]]*SQRT(Table133[[#This Row],[T]])</f>
        <v>#DIV/0!</v>
      </c>
      <c r="AL556" t="e">
        <f ca="1">Table133[[#This Row],[Put D1]]-Table133[[#This Row],[IV Calc P]]*SQRT(Table133[[#This Row],[T]])</f>
        <v>#DIV/0!</v>
      </c>
      <c r="AM556" t="e">
        <f ca="1">EXP(-0.5*Table133[[#This Row],[Call D1]]^2)/SQRT(2*PI())</f>
        <v>#DIV/0!</v>
      </c>
      <c r="AN556" t="e">
        <f ca="1">EXP(-0.5*Table133[[#This Row],[Put D1]]^2)/SQRT(2*PI())</f>
        <v>#DIV/0!</v>
      </c>
      <c r="AO55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6">
        <f ca="1">((Table133[[#This Row],[call vanna]]+Table133[[#This Row],[put vanna]])*$A$4)</f>
        <v>0</v>
      </c>
      <c r="AR55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6" s="9" t="str" cm="1">
        <f t="array" ref="AT556">_xlfn.IFS(     $M$1="SPX","SPXW",     $M$1="RUT","RUTW",  $M$1="NDX","NDXP",   TRUE,$M$1 )</f>
        <v>SPXW</v>
      </c>
      <c r="AU556" s="2">
        <f t="shared" si="57"/>
        <v>6915</v>
      </c>
      <c r="AV556" t="str">
        <f t="shared" si="58"/>
        <v>000100</v>
      </c>
      <c r="AY55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6">
        <f>((Table133[[#This Row],[High C]]+Table133[[#This Row],[Low C]])/2)*Table133[[#This Row],[gammac]]*Table133[[#This Row],[Volume]]</f>
        <v>0</v>
      </c>
      <c r="BD556">
        <f>((Table133[[#This Row],[High P]]+Table133[[#This Row],[Low P]])/2)*Table133[[#This Row],[gammap]]*Table133[[#This Row],[Volume9]]*-1</f>
        <v>0</v>
      </c>
      <c r="BE556">
        <f>(Table133[[#This Row],[SgammaC]]+Table133[[#This Row],[SgammaP]])*$A$4*-100</f>
        <v>0</v>
      </c>
      <c r="BF556" s="78">
        <f>Table133[[#This Row],[DEXc]]+Table133[[#This Row],[DEXp]]</f>
        <v>0</v>
      </c>
      <c r="BG556">
        <f>IFERROR(Table133[[#This Row],[DeltaC]]*Table133[[#This Row],[Open.Int]]*$A$4,0)</f>
        <v>0</v>
      </c>
      <c r="BH556">
        <f>IFERROR(Table133[[#This Row],[DeltaP]]*Table133[[#This Row],[Open.Int8]]*$A$4,0)</f>
        <v>0</v>
      </c>
      <c r="BI55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6">
        <f ca="1">Table133[[#This Row],[charmc]]+Table133[[#This Row],[charmp]]</f>
        <v>0</v>
      </c>
      <c r="BL55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6" s="78">
        <f ca="1">Table133[[#This Row],[call helper]]+Table133[[#This Row],[put helper]]</f>
        <v>0</v>
      </c>
      <c r="BP556" t="str">
        <f>RTD("tos.rtd", , "STRIKE", "."&amp;Table133[[#This Row],[Ticker]]&amp;Table133[[#This Row],[Expiry]]&amp;""&amp;"C"&amp;Table133[[#This Row],[Spot]]+Table133[[#This Row],[step]])</f>
        <v>N/A</v>
      </c>
    </row>
    <row r="557" spans="1:68" x14ac:dyDescent="0.25">
      <c r="A557" s="14">
        <f t="shared" ca="1" si="54"/>
        <v>-126.14810350076104</v>
      </c>
      <c r="C557" s="17"/>
      <c r="D557" t="str">
        <f>RTD("tos.rtd", , "OPEN_INT", "."&amp;Table133[[#This Row],[Ticker]]&amp;Table133[[#This Row],[Expiry]]&amp;""&amp;"C"&amp;Table133[[#This Row],[Spot]]+Table133[[#This Row],[step]])</f>
        <v>N/A</v>
      </c>
      <c r="E55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7" t="b">
        <f>IF(     ISNUMBER(Table133[[#This Row],[Strike]]),RTD("tos.rtd", , "DELTA", "."&amp;Table133[[#This Row],[Ticker]]&amp;Table133[[#This Row],[Expiry]]&amp;""&amp;"C"&amp;Table133[[#This Row],[Strike]]))</f>
        <v>0</v>
      </c>
      <c r="H557" s="17" cm="1">
        <f t="array" aca="1" ref="H557" ca="1">IndividualLegIVCore($A$4, Table133[[#This Row],[Strike]], 0.0411, Table133[[#This Row],[T]], ((Table133[[#This Row],[BIDC]]+Table133[[#This Row],[ASKC]])/2), TRUE)</f>
        <v>0.01</v>
      </c>
      <c r="I557" t="b">
        <f>IF(     ISNUMBER(Table133[[#This Row],[Strike]]),RTD("tos.rtd", , "BID", "."&amp;Table133[[#This Row],[Ticker]]&amp;Table133[[#This Row],[Expiry]]&amp;""&amp;"C"&amp;Table133[[#This Row],[Strike]]))</f>
        <v>0</v>
      </c>
      <c r="J557" t="b">
        <f>IF(     ISNUMBER(Table133[[#This Row],[Strike]]),RTD("tos.rtd", , "ASK", "."&amp;Table133[[#This Row],[Ticker]]&amp;Table133[[#This Row],[Expiry]]&amp;""&amp;"C"&amp;Table133[[#This Row],[Strike]]))</f>
        <v>0</v>
      </c>
      <c r="K557" s="17"/>
      <c r="M557" s="1">
        <f t="shared" si="55"/>
        <v>0</v>
      </c>
      <c r="N557" t="b">
        <f t="shared" si="56"/>
        <v>0</v>
      </c>
      <c r="P557" s="17" cm="1">
        <f t="array" aca="1" ref="P557" ca="1">IndividualLegIVCore($A$4, Table133[[#This Row],[Strike]], 0.0411, Table133[[#This Row],[T]], ((Table133[[#This Row],[BIDP]]+Table133[[#This Row],[ASKP]])/2), FALSE)</f>
        <v>0.01</v>
      </c>
      <c r="Q557" t="b">
        <f>IF(     ISNUMBER(Table133[[#This Row],[Strike]]),RTD("tos.rtd", , "BID", "."&amp;Table133[[#This Row],[Ticker]]&amp;Table133[[#This Row],[Expiry]]&amp;""&amp;"P"&amp;Table133[[#This Row],[Strike]]))</f>
        <v>0</v>
      </c>
      <c r="R557" t="b">
        <f>IF(     ISNUMBER(Table133[[#This Row],[Strike]]),RTD("tos.rtd", , "ASK", "."&amp;Table133[[#This Row],[Ticker]]&amp;Table133[[#This Row],[Expiry]]&amp;""&amp;"P"&amp;Table133[[#This Row],[Strike]]))</f>
        <v>0</v>
      </c>
      <c r="S557" s="17"/>
      <c r="T557" t="b">
        <f>IF(     ISNUMBER(Table133[[#This Row],[Strike]]),RTD("tos.rtd", , "OPEN_INT", "."&amp;Table133[[#This Row],[Ticker]]&amp;Table133[[#This Row],[Expiry]]&amp;""&amp;"P"&amp;Table133[[#This Row],[Strike]]))</f>
        <v>0</v>
      </c>
      <c r="U55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7" t="b">
        <f>IF(     ISNUMBER(Table133[[#This Row],[Strike]]),RTD("tos.rtd", , "DELTA", "."&amp;Table133[[#This Row],[Ticker]]&amp;Table133[[#This Row],[Expiry]]&amp;""&amp;"P"&amp;Table133[[#This Row],[Strike]]))</f>
        <v>0</v>
      </c>
      <c r="Y557" s="19">
        <f>20.5* IF($M$1="NDX", 10, IF(OR($M$1="SPX", $M$1="RUT"), 2, 1))</f>
        <v>41</v>
      </c>
      <c r="Z557">
        <f ca="1">IFERROR(Table133[[#This Row],[call gamma]]*(Table133[[#This Row],[Open.Int]])*$A$4^2,0)</f>
        <v>0</v>
      </c>
      <c r="AA557">
        <f ca="1">IFERROR(((Table133[[#This Row],[Open.Int8]])*Table133[[#This Row],[Put gamma]])*-1*$A$4^2,0)</f>
        <v>0</v>
      </c>
      <c r="AB557">
        <f ca="1">(Table133[[#This Row],[Call Gex]]+Table133[[#This Row],[Put Gex]])</f>
        <v>0</v>
      </c>
      <c r="AC557">
        <f ca="1">Table133[[#This Row],[put delta adj]]+Table133[[#This Row],[call delta adj]]</f>
        <v>0</v>
      </c>
      <c r="AD557">
        <f ca="1">Table133[[#This Row],[Put Gex]]*Table133[[#This Row],[DeltaP]]*-1</f>
        <v>0</v>
      </c>
      <c r="AE557">
        <f ca="1">Table133[[#This Row],[Call Gex]]*Table133[[#This Row],[DeltaC]]</f>
        <v>0</v>
      </c>
      <c r="AF557">
        <f>IF(Table133[[#This Row],[DeltaC]]-ABS(Table133[[#This Row],[DeltaP]])="0","0.01",Table133[[#This Row],[DeltaC]]-ABS(Table133[[#This Row],[DeltaP]]))</f>
        <v>0</v>
      </c>
      <c r="AG557" t="e">
        <f ca="1">((LN($A$4/Table133[[#This Row],[Strike]]) + (0.411 + 0.5 * Table133[[#This Row],[IV Calc P]]^2) *Table133[[#This Row],[T]])) / (Table133[[#This Row],[IV Calc P]] * SQRT(Table133[[#This Row],[T]]))</f>
        <v>#DIV/0!</v>
      </c>
      <c r="AH557" t="e">
        <f ca="1">(LN($A$4/Table133[[#This Row],[Strike]]) + (0.411-0 + 0.5 * Table133[[#This Row],[IV Calc C]]^2) *Table133[[#This Row],[T]]) / (Table133[[#This Row],[IV Calc C]] * SQRT(Table133[[#This Row],[T]]))</f>
        <v>#DIV/0!</v>
      </c>
      <c r="AI557" t="e">
        <f ca="1">(EXP(-(AG557^2)/2)/SQRT(2*PI())*EXP(0*SQRT(Table133[[#This Row],[T]]))/$A$4*18%*SQRT(SQRT(Table133[[#This Row],[T]])))</f>
        <v>#DIV/0!</v>
      </c>
      <c r="AJ557" t="e">
        <f ca="1">(EXP(-(AH557^2)/2)/SQRT(2*PI())*EXP(0*SQRT(Table133[[#This Row],[T]]))/$A$4*18%*SQRT(SQRT(Table133[[#This Row],[T]])))</f>
        <v>#DIV/0!</v>
      </c>
      <c r="AK557" t="e">
        <f ca="1">Table133[[#This Row],[Call D1]]-Table133[[#This Row],[IV Calc C]]*SQRT(Table133[[#This Row],[T]])</f>
        <v>#DIV/0!</v>
      </c>
      <c r="AL557" t="e">
        <f ca="1">Table133[[#This Row],[Put D1]]-Table133[[#This Row],[IV Calc P]]*SQRT(Table133[[#This Row],[T]])</f>
        <v>#DIV/0!</v>
      </c>
      <c r="AM557" t="e">
        <f ca="1">EXP(-0.5*Table133[[#This Row],[Call D1]]^2)/SQRT(2*PI())</f>
        <v>#DIV/0!</v>
      </c>
      <c r="AN557" t="e">
        <f ca="1">EXP(-0.5*Table133[[#This Row],[Put D1]]^2)/SQRT(2*PI())</f>
        <v>#DIV/0!</v>
      </c>
      <c r="AO55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7">
        <f ca="1">((Table133[[#This Row],[call vanna]]+Table133[[#This Row],[put vanna]])*$A$4)</f>
        <v>0</v>
      </c>
      <c r="AR55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7" s="9" t="str" cm="1">
        <f t="array" ref="AT557">_xlfn.IFS(     $M$1="SPX","SPXW",     $M$1="RUT","RUTW",  $M$1="NDX","NDXP",   TRUE,$M$1 )</f>
        <v>SPXW</v>
      </c>
      <c r="AU557" s="2">
        <f t="shared" si="57"/>
        <v>6915</v>
      </c>
      <c r="AV557" t="str">
        <f t="shared" si="58"/>
        <v>000100</v>
      </c>
      <c r="AY55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7">
        <f>((Table133[[#This Row],[High C]]+Table133[[#This Row],[Low C]])/2)*Table133[[#This Row],[gammac]]*Table133[[#This Row],[Volume]]</f>
        <v>0</v>
      </c>
      <c r="BD557">
        <f>((Table133[[#This Row],[High P]]+Table133[[#This Row],[Low P]])/2)*Table133[[#This Row],[gammap]]*Table133[[#This Row],[Volume9]]*-1</f>
        <v>0</v>
      </c>
      <c r="BE557">
        <f>(Table133[[#This Row],[SgammaC]]+Table133[[#This Row],[SgammaP]])*$A$4*-100</f>
        <v>0</v>
      </c>
      <c r="BF557" s="78">
        <f>Table133[[#This Row],[DEXc]]+Table133[[#This Row],[DEXp]]</f>
        <v>0</v>
      </c>
      <c r="BG557">
        <f>IFERROR(Table133[[#This Row],[DeltaC]]*Table133[[#This Row],[Open.Int]]*$A$4,0)</f>
        <v>0</v>
      </c>
      <c r="BH557">
        <f>IFERROR(Table133[[#This Row],[DeltaP]]*Table133[[#This Row],[Open.Int8]]*$A$4,0)</f>
        <v>0</v>
      </c>
      <c r="BI55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7">
        <f ca="1">Table133[[#This Row],[charmc]]+Table133[[#This Row],[charmp]]</f>
        <v>0</v>
      </c>
      <c r="BL55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7" s="78">
        <f ca="1">Table133[[#This Row],[call helper]]+Table133[[#This Row],[put helper]]</f>
        <v>0</v>
      </c>
      <c r="BP557" t="str">
        <f>RTD("tos.rtd", , "STRIKE", "."&amp;Table133[[#This Row],[Ticker]]&amp;Table133[[#This Row],[Expiry]]&amp;""&amp;"C"&amp;Table133[[#This Row],[Spot]]+Table133[[#This Row],[step]])</f>
        <v>N/A</v>
      </c>
    </row>
    <row r="558" spans="1:68" x14ac:dyDescent="0.25">
      <c r="A558" s="14">
        <f t="shared" ca="1" si="54"/>
        <v>-126.14810350076104</v>
      </c>
      <c r="C558" s="17"/>
      <c r="D558" t="str">
        <f>RTD("tos.rtd", , "OPEN_INT", "."&amp;Table133[[#This Row],[Ticker]]&amp;Table133[[#This Row],[Expiry]]&amp;""&amp;"C"&amp;Table133[[#This Row],[Spot]]+Table133[[#This Row],[step]])</f>
        <v>N/A</v>
      </c>
      <c r="E55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8" t="b">
        <f>IF(     ISNUMBER(Table133[[#This Row],[Strike]]),RTD("tos.rtd", , "DELTA", "."&amp;Table133[[#This Row],[Ticker]]&amp;Table133[[#This Row],[Expiry]]&amp;""&amp;"C"&amp;Table133[[#This Row],[Strike]]))</f>
        <v>0</v>
      </c>
      <c r="H558" s="17" cm="1">
        <f t="array" aca="1" ref="H558" ca="1">IndividualLegIVCore($A$4, Table133[[#This Row],[Strike]], 0.0411, Table133[[#This Row],[T]], ((Table133[[#This Row],[BIDC]]+Table133[[#This Row],[ASKC]])/2), TRUE)</f>
        <v>0.01</v>
      </c>
      <c r="I558" t="b">
        <f>IF(     ISNUMBER(Table133[[#This Row],[Strike]]),RTD("tos.rtd", , "BID", "."&amp;Table133[[#This Row],[Ticker]]&amp;Table133[[#This Row],[Expiry]]&amp;""&amp;"C"&amp;Table133[[#This Row],[Strike]]))</f>
        <v>0</v>
      </c>
      <c r="J558" t="b">
        <f>IF(     ISNUMBER(Table133[[#This Row],[Strike]]),RTD("tos.rtd", , "ASK", "."&amp;Table133[[#This Row],[Ticker]]&amp;Table133[[#This Row],[Expiry]]&amp;""&amp;"C"&amp;Table133[[#This Row],[Strike]]))</f>
        <v>0</v>
      </c>
      <c r="K558" s="17"/>
      <c r="M558" s="1">
        <f t="shared" si="55"/>
        <v>0</v>
      </c>
      <c r="N558" t="b">
        <f t="shared" si="56"/>
        <v>0</v>
      </c>
      <c r="P558" s="17" cm="1">
        <f t="array" aca="1" ref="P558" ca="1">IndividualLegIVCore($A$4, Table133[[#This Row],[Strike]], 0.0411, Table133[[#This Row],[T]], ((Table133[[#This Row],[BIDP]]+Table133[[#This Row],[ASKP]])/2), FALSE)</f>
        <v>0.01</v>
      </c>
      <c r="Q558" t="b">
        <f>IF(     ISNUMBER(Table133[[#This Row],[Strike]]),RTD("tos.rtd", , "BID", "."&amp;Table133[[#This Row],[Ticker]]&amp;Table133[[#This Row],[Expiry]]&amp;""&amp;"P"&amp;Table133[[#This Row],[Strike]]))</f>
        <v>0</v>
      </c>
      <c r="R558" t="b">
        <f>IF(     ISNUMBER(Table133[[#This Row],[Strike]]),RTD("tos.rtd", , "ASK", "."&amp;Table133[[#This Row],[Ticker]]&amp;Table133[[#This Row],[Expiry]]&amp;""&amp;"P"&amp;Table133[[#This Row],[Strike]]))</f>
        <v>0</v>
      </c>
      <c r="S558" s="17"/>
      <c r="T558" t="b">
        <f>IF(     ISNUMBER(Table133[[#This Row],[Strike]]),RTD("tos.rtd", , "OPEN_INT", "."&amp;Table133[[#This Row],[Ticker]]&amp;Table133[[#This Row],[Expiry]]&amp;""&amp;"P"&amp;Table133[[#This Row],[Strike]]))</f>
        <v>0</v>
      </c>
      <c r="U55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8" t="b">
        <f>IF(     ISNUMBER(Table133[[#This Row],[Strike]]),RTD("tos.rtd", , "DELTA", "."&amp;Table133[[#This Row],[Ticker]]&amp;Table133[[#This Row],[Expiry]]&amp;""&amp;"P"&amp;Table133[[#This Row],[Strike]]))</f>
        <v>0</v>
      </c>
      <c r="Y558" s="19">
        <f>21* IF($M$1="NDX", 10, IF(OR($M$1="SPX", $M$1="RUT"), 2, 1))</f>
        <v>42</v>
      </c>
      <c r="Z558">
        <f ca="1">IFERROR(Table133[[#This Row],[call gamma]]*(Table133[[#This Row],[Open.Int]])*$A$4^2,0)</f>
        <v>0</v>
      </c>
      <c r="AA558">
        <f ca="1">IFERROR(((Table133[[#This Row],[Open.Int8]])*Table133[[#This Row],[Put gamma]])*-1*$A$4^2,0)</f>
        <v>0</v>
      </c>
      <c r="AB558">
        <f ca="1">(Table133[[#This Row],[Call Gex]]+Table133[[#This Row],[Put Gex]])</f>
        <v>0</v>
      </c>
      <c r="AC558">
        <f ca="1">Table133[[#This Row],[put delta adj]]+Table133[[#This Row],[call delta adj]]</f>
        <v>0</v>
      </c>
      <c r="AD558">
        <f ca="1">Table133[[#This Row],[Put Gex]]*Table133[[#This Row],[DeltaP]]*-1</f>
        <v>0</v>
      </c>
      <c r="AE558">
        <f ca="1">Table133[[#This Row],[Call Gex]]*Table133[[#This Row],[DeltaC]]</f>
        <v>0</v>
      </c>
      <c r="AF558">
        <f>IF(Table133[[#This Row],[DeltaC]]-ABS(Table133[[#This Row],[DeltaP]])="0","0.01",Table133[[#This Row],[DeltaC]]-ABS(Table133[[#This Row],[DeltaP]]))</f>
        <v>0</v>
      </c>
      <c r="AG558" t="e">
        <f ca="1">((LN($A$4/Table133[[#This Row],[Strike]]) + (0.411 + 0.5 * Table133[[#This Row],[IV Calc P]]^2) *Table133[[#This Row],[T]])) / (Table133[[#This Row],[IV Calc P]] * SQRT(Table133[[#This Row],[T]]))</f>
        <v>#DIV/0!</v>
      </c>
      <c r="AH558" t="e">
        <f ca="1">(LN($A$4/Table133[[#This Row],[Strike]]) + (0.411-0 + 0.5 * Table133[[#This Row],[IV Calc C]]^2) *Table133[[#This Row],[T]]) / (Table133[[#This Row],[IV Calc C]] * SQRT(Table133[[#This Row],[T]]))</f>
        <v>#DIV/0!</v>
      </c>
      <c r="AI558" t="e">
        <f ca="1">(EXP(-(AG558^2)/2)/SQRT(2*PI())*EXP(0*SQRT(Table133[[#This Row],[T]]))/$A$4*18%*SQRT(SQRT(Table133[[#This Row],[T]])))</f>
        <v>#DIV/0!</v>
      </c>
      <c r="AJ558" t="e">
        <f ca="1">(EXP(-(AH558^2)/2)/SQRT(2*PI())*EXP(0*SQRT(Table133[[#This Row],[T]]))/$A$4*18%*SQRT(SQRT(Table133[[#This Row],[T]])))</f>
        <v>#DIV/0!</v>
      </c>
      <c r="AK558" t="e">
        <f ca="1">Table133[[#This Row],[Call D1]]-Table133[[#This Row],[IV Calc C]]*SQRT(Table133[[#This Row],[T]])</f>
        <v>#DIV/0!</v>
      </c>
      <c r="AL558" t="e">
        <f ca="1">Table133[[#This Row],[Put D1]]-Table133[[#This Row],[IV Calc P]]*SQRT(Table133[[#This Row],[T]])</f>
        <v>#DIV/0!</v>
      </c>
      <c r="AM558" t="e">
        <f ca="1">EXP(-0.5*Table133[[#This Row],[Call D1]]^2)/SQRT(2*PI())</f>
        <v>#DIV/0!</v>
      </c>
      <c r="AN558" t="e">
        <f ca="1">EXP(-0.5*Table133[[#This Row],[Put D1]]^2)/SQRT(2*PI())</f>
        <v>#DIV/0!</v>
      </c>
      <c r="AO55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8">
        <f ca="1">((Table133[[#This Row],[call vanna]]+Table133[[#This Row],[put vanna]])*$A$4)</f>
        <v>0</v>
      </c>
      <c r="AR55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8" s="9" t="str" cm="1">
        <f t="array" ref="AT558">_xlfn.IFS(     $M$1="SPX","SPXW",     $M$1="RUT","RUTW",  $M$1="NDX","NDXP",   TRUE,$M$1 )</f>
        <v>SPXW</v>
      </c>
      <c r="AU558" s="2">
        <f t="shared" si="57"/>
        <v>6915</v>
      </c>
      <c r="AV558" t="str">
        <f t="shared" si="58"/>
        <v>000100</v>
      </c>
      <c r="AY55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8">
        <f>((Table133[[#This Row],[High C]]+Table133[[#This Row],[Low C]])/2)*Table133[[#This Row],[gammac]]*Table133[[#This Row],[Volume]]</f>
        <v>0</v>
      </c>
      <c r="BD558">
        <f>((Table133[[#This Row],[High P]]+Table133[[#This Row],[Low P]])/2)*Table133[[#This Row],[gammap]]*Table133[[#This Row],[Volume9]]*-1</f>
        <v>0</v>
      </c>
      <c r="BE558">
        <f>(Table133[[#This Row],[SgammaC]]+Table133[[#This Row],[SgammaP]])*$A$4*-100</f>
        <v>0</v>
      </c>
      <c r="BF558" s="78">
        <f>Table133[[#This Row],[DEXc]]+Table133[[#This Row],[DEXp]]</f>
        <v>0</v>
      </c>
      <c r="BG558">
        <f>IFERROR(Table133[[#This Row],[DeltaC]]*Table133[[#This Row],[Open.Int]]*$A$4,0)</f>
        <v>0</v>
      </c>
      <c r="BH558">
        <f>IFERROR(Table133[[#This Row],[DeltaP]]*Table133[[#This Row],[Open.Int8]]*$A$4,0)</f>
        <v>0</v>
      </c>
      <c r="BI55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8">
        <f ca="1">Table133[[#This Row],[charmc]]+Table133[[#This Row],[charmp]]</f>
        <v>0</v>
      </c>
      <c r="BL55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8" s="78">
        <f ca="1">Table133[[#This Row],[call helper]]+Table133[[#This Row],[put helper]]</f>
        <v>0</v>
      </c>
      <c r="BP558" t="str">
        <f>RTD("tos.rtd", , "STRIKE", "."&amp;Table133[[#This Row],[Ticker]]&amp;Table133[[#This Row],[Expiry]]&amp;""&amp;"C"&amp;Table133[[#This Row],[Spot]]+Table133[[#This Row],[step]])</f>
        <v>N/A</v>
      </c>
    </row>
    <row r="559" spans="1:68" x14ac:dyDescent="0.25">
      <c r="A559" s="14">
        <f t="shared" ca="1" si="54"/>
        <v>-126.14810350076104</v>
      </c>
      <c r="C559" s="17"/>
      <c r="D559" t="str">
        <f>RTD("tos.rtd", , "OPEN_INT", "."&amp;Table133[[#This Row],[Ticker]]&amp;Table133[[#This Row],[Expiry]]&amp;""&amp;"C"&amp;Table133[[#This Row],[Spot]]+Table133[[#This Row],[step]])</f>
        <v>N/A</v>
      </c>
      <c r="E55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9" t="b">
        <f>IF(     ISNUMBER(Table133[[#This Row],[Strike]]),RTD("tos.rtd", , "DELTA", "."&amp;Table133[[#This Row],[Ticker]]&amp;Table133[[#This Row],[Expiry]]&amp;""&amp;"C"&amp;Table133[[#This Row],[Strike]]))</f>
        <v>0</v>
      </c>
      <c r="H559" s="17" cm="1">
        <f t="array" aca="1" ref="H559" ca="1">IndividualLegIVCore($A$4, Table133[[#This Row],[Strike]], 0.0411, Table133[[#This Row],[T]], ((Table133[[#This Row],[BIDC]]+Table133[[#This Row],[ASKC]])/2), TRUE)</f>
        <v>0.01</v>
      </c>
      <c r="I559" t="b">
        <f>IF(     ISNUMBER(Table133[[#This Row],[Strike]]),RTD("tos.rtd", , "BID", "."&amp;Table133[[#This Row],[Ticker]]&amp;Table133[[#This Row],[Expiry]]&amp;""&amp;"C"&amp;Table133[[#This Row],[Strike]]))</f>
        <v>0</v>
      </c>
      <c r="J559" t="b">
        <f>IF(     ISNUMBER(Table133[[#This Row],[Strike]]),RTD("tos.rtd", , "ASK", "."&amp;Table133[[#This Row],[Ticker]]&amp;Table133[[#This Row],[Expiry]]&amp;""&amp;"C"&amp;Table133[[#This Row],[Strike]]))</f>
        <v>0</v>
      </c>
      <c r="K559" s="17"/>
      <c r="M559" s="1">
        <f t="shared" si="55"/>
        <v>0</v>
      </c>
      <c r="N559" t="b">
        <f t="shared" si="56"/>
        <v>0</v>
      </c>
      <c r="P559" s="17" cm="1">
        <f t="array" aca="1" ref="P559" ca="1">IndividualLegIVCore($A$4, Table133[[#This Row],[Strike]], 0.0411, Table133[[#This Row],[T]], ((Table133[[#This Row],[BIDP]]+Table133[[#This Row],[ASKP]])/2), FALSE)</f>
        <v>0.01</v>
      </c>
      <c r="Q559" t="b">
        <f>IF(     ISNUMBER(Table133[[#This Row],[Strike]]),RTD("tos.rtd", , "BID", "."&amp;Table133[[#This Row],[Ticker]]&amp;Table133[[#This Row],[Expiry]]&amp;""&amp;"P"&amp;Table133[[#This Row],[Strike]]))</f>
        <v>0</v>
      </c>
      <c r="R559" t="b">
        <f>IF(     ISNUMBER(Table133[[#This Row],[Strike]]),RTD("tos.rtd", , "ASK", "."&amp;Table133[[#This Row],[Ticker]]&amp;Table133[[#This Row],[Expiry]]&amp;""&amp;"P"&amp;Table133[[#This Row],[Strike]]))</f>
        <v>0</v>
      </c>
      <c r="S559" s="17"/>
      <c r="T559" t="b">
        <f>IF(     ISNUMBER(Table133[[#This Row],[Strike]]),RTD("tos.rtd", , "OPEN_INT", "."&amp;Table133[[#This Row],[Ticker]]&amp;Table133[[#This Row],[Expiry]]&amp;""&amp;"P"&amp;Table133[[#This Row],[Strike]]))</f>
        <v>0</v>
      </c>
      <c r="U55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9" t="b">
        <f>IF(     ISNUMBER(Table133[[#This Row],[Strike]]),RTD("tos.rtd", , "DELTA", "."&amp;Table133[[#This Row],[Ticker]]&amp;Table133[[#This Row],[Expiry]]&amp;""&amp;"P"&amp;Table133[[#This Row],[Strike]]))</f>
        <v>0</v>
      </c>
      <c r="Y559" s="19">
        <f>21.5* IF($M$1="NDX", 10, IF(OR($M$1="SPX", $M$1="RUT"), 2, 1))</f>
        <v>43</v>
      </c>
      <c r="Z559">
        <f ca="1">IFERROR(Table133[[#This Row],[call gamma]]*(Table133[[#This Row],[Open.Int]])*$A$4^2,0)</f>
        <v>0</v>
      </c>
      <c r="AA559">
        <f ca="1">IFERROR(((Table133[[#This Row],[Open.Int8]])*Table133[[#This Row],[Put gamma]])*-1*$A$4^2,0)</f>
        <v>0</v>
      </c>
      <c r="AB559">
        <f ca="1">(Table133[[#This Row],[Call Gex]]+Table133[[#This Row],[Put Gex]])</f>
        <v>0</v>
      </c>
      <c r="AC559">
        <f ca="1">Table133[[#This Row],[put delta adj]]+Table133[[#This Row],[call delta adj]]</f>
        <v>0</v>
      </c>
      <c r="AD559">
        <f ca="1">Table133[[#This Row],[Put Gex]]*Table133[[#This Row],[DeltaP]]*-1</f>
        <v>0</v>
      </c>
      <c r="AE559">
        <f ca="1">Table133[[#This Row],[Call Gex]]*Table133[[#This Row],[DeltaC]]</f>
        <v>0</v>
      </c>
      <c r="AF559">
        <f>IF(Table133[[#This Row],[DeltaC]]-ABS(Table133[[#This Row],[DeltaP]])="0","0.01",Table133[[#This Row],[DeltaC]]-ABS(Table133[[#This Row],[DeltaP]]))</f>
        <v>0</v>
      </c>
      <c r="AG559" t="e">
        <f ca="1">((LN($A$4/Table133[[#This Row],[Strike]]) + (0.411 + 0.5 * Table133[[#This Row],[IV Calc P]]^2) *Table133[[#This Row],[T]])) / (Table133[[#This Row],[IV Calc P]] * SQRT(Table133[[#This Row],[T]]))</f>
        <v>#DIV/0!</v>
      </c>
      <c r="AH559" t="e">
        <f ca="1">(LN($A$4/Table133[[#This Row],[Strike]]) + (0.411-0 + 0.5 * Table133[[#This Row],[IV Calc C]]^2) *Table133[[#This Row],[T]]) / (Table133[[#This Row],[IV Calc C]] * SQRT(Table133[[#This Row],[T]]))</f>
        <v>#DIV/0!</v>
      </c>
      <c r="AI559" t="e">
        <f ca="1">(EXP(-(AG559^2)/2)/SQRT(2*PI())*EXP(0*SQRT(Table133[[#This Row],[T]]))/$A$4*18%*SQRT(SQRT(Table133[[#This Row],[T]])))</f>
        <v>#DIV/0!</v>
      </c>
      <c r="AJ559" t="e">
        <f ca="1">(EXP(-(AH559^2)/2)/SQRT(2*PI())*EXP(0*SQRT(Table133[[#This Row],[T]]))/$A$4*18%*SQRT(SQRT(Table133[[#This Row],[T]])))</f>
        <v>#DIV/0!</v>
      </c>
      <c r="AK559" t="e">
        <f ca="1">Table133[[#This Row],[Call D1]]-Table133[[#This Row],[IV Calc C]]*SQRT(Table133[[#This Row],[T]])</f>
        <v>#DIV/0!</v>
      </c>
      <c r="AL559" t="e">
        <f ca="1">Table133[[#This Row],[Put D1]]-Table133[[#This Row],[IV Calc P]]*SQRT(Table133[[#This Row],[T]])</f>
        <v>#DIV/0!</v>
      </c>
      <c r="AM559" t="e">
        <f ca="1">EXP(-0.5*Table133[[#This Row],[Call D1]]^2)/SQRT(2*PI())</f>
        <v>#DIV/0!</v>
      </c>
      <c r="AN559" t="e">
        <f ca="1">EXP(-0.5*Table133[[#This Row],[Put D1]]^2)/SQRT(2*PI())</f>
        <v>#DIV/0!</v>
      </c>
      <c r="AO55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9">
        <f ca="1">((Table133[[#This Row],[call vanna]]+Table133[[#This Row],[put vanna]])*$A$4)</f>
        <v>0</v>
      </c>
      <c r="AR55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9" s="9" t="str" cm="1">
        <f t="array" ref="AT559">_xlfn.IFS(     $M$1="SPX","SPXW",     $M$1="RUT","RUTW",  $M$1="NDX","NDXP",   TRUE,$M$1 )</f>
        <v>SPXW</v>
      </c>
      <c r="AU559" s="2">
        <f t="shared" si="57"/>
        <v>6915</v>
      </c>
      <c r="AV559" t="str">
        <f t="shared" si="58"/>
        <v>000100</v>
      </c>
      <c r="AY55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9">
        <f>((Table133[[#This Row],[High C]]+Table133[[#This Row],[Low C]])/2)*Table133[[#This Row],[gammac]]*Table133[[#This Row],[Volume]]</f>
        <v>0</v>
      </c>
      <c r="BD559">
        <f>((Table133[[#This Row],[High P]]+Table133[[#This Row],[Low P]])/2)*Table133[[#This Row],[gammap]]*Table133[[#This Row],[Volume9]]*-1</f>
        <v>0</v>
      </c>
      <c r="BE559">
        <f>(Table133[[#This Row],[SgammaC]]+Table133[[#This Row],[SgammaP]])*$A$4*-100</f>
        <v>0</v>
      </c>
      <c r="BF559" s="78">
        <f>Table133[[#This Row],[DEXc]]+Table133[[#This Row],[DEXp]]</f>
        <v>0</v>
      </c>
      <c r="BG559">
        <f>IFERROR(Table133[[#This Row],[DeltaC]]*Table133[[#This Row],[Open.Int]]*$A$4,0)</f>
        <v>0</v>
      </c>
      <c r="BH559">
        <f>IFERROR(Table133[[#This Row],[DeltaP]]*Table133[[#This Row],[Open.Int8]]*$A$4,0)</f>
        <v>0</v>
      </c>
      <c r="BI55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9">
        <f ca="1">Table133[[#This Row],[charmc]]+Table133[[#This Row],[charmp]]</f>
        <v>0</v>
      </c>
      <c r="BL55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9" s="78">
        <f ca="1">Table133[[#This Row],[call helper]]+Table133[[#This Row],[put helper]]</f>
        <v>0</v>
      </c>
      <c r="BP559" t="str">
        <f>RTD("tos.rtd", , "STRIKE", "."&amp;Table133[[#This Row],[Ticker]]&amp;Table133[[#This Row],[Expiry]]&amp;""&amp;"C"&amp;Table133[[#This Row],[Spot]]+Table133[[#This Row],[step]])</f>
        <v>N/A</v>
      </c>
    </row>
    <row r="560" spans="1:68" x14ac:dyDescent="0.25">
      <c r="A560" s="14">
        <f t="shared" ca="1" si="54"/>
        <v>-126.14810350076104</v>
      </c>
      <c r="C560" s="17"/>
      <c r="D560" t="str">
        <f>RTD("tos.rtd", , "OPEN_INT", "."&amp;Table133[[#This Row],[Ticker]]&amp;Table133[[#This Row],[Expiry]]&amp;""&amp;"C"&amp;Table133[[#This Row],[Spot]]+Table133[[#This Row],[step]])</f>
        <v>N/A</v>
      </c>
      <c r="E56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0" t="b">
        <f>IF(     ISNUMBER(Table133[[#This Row],[Strike]]),RTD("tos.rtd", , "DELTA", "."&amp;Table133[[#This Row],[Ticker]]&amp;Table133[[#This Row],[Expiry]]&amp;""&amp;"C"&amp;Table133[[#This Row],[Strike]]))</f>
        <v>0</v>
      </c>
      <c r="H560" s="17" cm="1">
        <f t="array" aca="1" ref="H560" ca="1">IndividualLegIVCore($A$4, Table133[[#This Row],[Strike]], 0.0411, Table133[[#This Row],[T]], ((Table133[[#This Row],[BIDC]]+Table133[[#This Row],[ASKC]])/2), TRUE)</f>
        <v>0.01</v>
      </c>
      <c r="I560" t="b">
        <f>IF(     ISNUMBER(Table133[[#This Row],[Strike]]),RTD("tos.rtd", , "BID", "."&amp;Table133[[#This Row],[Ticker]]&amp;Table133[[#This Row],[Expiry]]&amp;""&amp;"C"&amp;Table133[[#This Row],[Strike]]))</f>
        <v>0</v>
      </c>
      <c r="J560" t="b">
        <f>IF(     ISNUMBER(Table133[[#This Row],[Strike]]),RTD("tos.rtd", , "ASK", "."&amp;Table133[[#This Row],[Ticker]]&amp;Table133[[#This Row],[Expiry]]&amp;""&amp;"C"&amp;Table133[[#This Row],[Strike]]))</f>
        <v>0</v>
      </c>
      <c r="K560" s="17"/>
      <c r="M560" s="1">
        <f t="shared" si="55"/>
        <v>0</v>
      </c>
      <c r="N560" t="b">
        <f t="shared" si="56"/>
        <v>0</v>
      </c>
      <c r="P560" s="17" cm="1">
        <f t="array" aca="1" ref="P560" ca="1">IndividualLegIVCore($A$4, Table133[[#This Row],[Strike]], 0.0411, Table133[[#This Row],[T]], ((Table133[[#This Row],[BIDP]]+Table133[[#This Row],[ASKP]])/2), FALSE)</f>
        <v>0.01</v>
      </c>
      <c r="Q560" t="b">
        <f>IF(     ISNUMBER(Table133[[#This Row],[Strike]]),RTD("tos.rtd", , "BID", "."&amp;Table133[[#This Row],[Ticker]]&amp;Table133[[#This Row],[Expiry]]&amp;""&amp;"P"&amp;Table133[[#This Row],[Strike]]))</f>
        <v>0</v>
      </c>
      <c r="R560" t="b">
        <f>IF(     ISNUMBER(Table133[[#This Row],[Strike]]),RTD("tos.rtd", , "ASK", "."&amp;Table133[[#This Row],[Ticker]]&amp;Table133[[#This Row],[Expiry]]&amp;""&amp;"P"&amp;Table133[[#This Row],[Strike]]))</f>
        <v>0</v>
      </c>
      <c r="S560" s="17"/>
      <c r="T560" t="b">
        <f>IF(     ISNUMBER(Table133[[#This Row],[Strike]]),RTD("tos.rtd", , "OPEN_INT", "."&amp;Table133[[#This Row],[Ticker]]&amp;Table133[[#This Row],[Expiry]]&amp;""&amp;"P"&amp;Table133[[#This Row],[Strike]]))</f>
        <v>0</v>
      </c>
      <c r="U56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0" t="b">
        <f>IF(     ISNUMBER(Table133[[#This Row],[Strike]]),RTD("tos.rtd", , "DELTA", "."&amp;Table133[[#This Row],[Ticker]]&amp;Table133[[#This Row],[Expiry]]&amp;""&amp;"P"&amp;Table133[[#This Row],[Strike]]))</f>
        <v>0</v>
      </c>
      <c r="Y560" s="19">
        <f>22* IF($M$1="NDX", 10, IF(OR($M$1="SPX", $M$1="RUT"), 2, 1))</f>
        <v>44</v>
      </c>
      <c r="Z560">
        <f ca="1">IFERROR(Table133[[#This Row],[call gamma]]*(Table133[[#This Row],[Open.Int]])*$A$4^2,0)</f>
        <v>0</v>
      </c>
      <c r="AA560">
        <f ca="1">IFERROR(((Table133[[#This Row],[Open.Int8]])*Table133[[#This Row],[Put gamma]])*-1*$A$4^2,0)</f>
        <v>0</v>
      </c>
      <c r="AB560">
        <f ca="1">(Table133[[#This Row],[Call Gex]]+Table133[[#This Row],[Put Gex]])</f>
        <v>0</v>
      </c>
      <c r="AC560">
        <f ca="1">Table133[[#This Row],[put delta adj]]+Table133[[#This Row],[call delta adj]]</f>
        <v>0</v>
      </c>
      <c r="AD560">
        <f ca="1">Table133[[#This Row],[Put Gex]]*Table133[[#This Row],[DeltaP]]*-1</f>
        <v>0</v>
      </c>
      <c r="AE560">
        <f ca="1">Table133[[#This Row],[Call Gex]]*Table133[[#This Row],[DeltaC]]</f>
        <v>0</v>
      </c>
      <c r="AF560">
        <f>IF(Table133[[#This Row],[DeltaC]]-ABS(Table133[[#This Row],[DeltaP]])="0","0.01",Table133[[#This Row],[DeltaC]]-ABS(Table133[[#This Row],[DeltaP]]))</f>
        <v>0</v>
      </c>
      <c r="AG560" t="e">
        <f ca="1">((LN($A$4/Table133[[#This Row],[Strike]]) + (0.411 + 0.5 * Table133[[#This Row],[IV Calc P]]^2) *Table133[[#This Row],[T]])) / (Table133[[#This Row],[IV Calc P]] * SQRT(Table133[[#This Row],[T]]))</f>
        <v>#DIV/0!</v>
      </c>
      <c r="AH560" t="e">
        <f ca="1">(LN($A$4/Table133[[#This Row],[Strike]]) + (0.411-0 + 0.5 * Table133[[#This Row],[IV Calc C]]^2) *Table133[[#This Row],[T]]) / (Table133[[#This Row],[IV Calc C]] * SQRT(Table133[[#This Row],[T]]))</f>
        <v>#DIV/0!</v>
      </c>
      <c r="AI560" t="e">
        <f ca="1">(EXP(-(AG560^2)/2)/SQRT(2*PI())*EXP(0*SQRT(Table133[[#This Row],[T]]))/$A$4*18%*SQRT(SQRT(Table133[[#This Row],[T]])))</f>
        <v>#DIV/0!</v>
      </c>
      <c r="AJ560" t="e">
        <f ca="1">(EXP(-(AH560^2)/2)/SQRT(2*PI())*EXP(0*SQRT(Table133[[#This Row],[T]]))/$A$4*18%*SQRT(SQRT(Table133[[#This Row],[T]])))</f>
        <v>#DIV/0!</v>
      </c>
      <c r="AK560" t="e">
        <f ca="1">Table133[[#This Row],[Call D1]]-Table133[[#This Row],[IV Calc C]]*SQRT(Table133[[#This Row],[T]])</f>
        <v>#DIV/0!</v>
      </c>
      <c r="AL560" t="e">
        <f ca="1">Table133[[#This Row],[Put D1]]-Table133[[#This Row],[IV Calc P]]*SQRT(Table133[[#This Row],[T]])</f>
        <v>#DIV/0!</v>
      </c>
      <c r="AM560" t="e">
        <f ca="1">EXP(-0.5*Table133[[#This Row],[Call D1]]^2)/SQRT(2*PI())</f>
        <v>#DIV/0!</v>
      </c>
      <c r="AN560" t="e">
        <f ca="1">EXP(-0.5*Table133[[#This Row],[Put D1]]^2)/SQRT(2*PI())</f>
        <v>#DIV/0!</v>
      </c>
      <c r="AO56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0">
        <f ca="1">((Table133[[#This Row],[call vanna]]+Table133[[#This Row],[put vanna]])*$A$4)</f>
        <v>0</v>
      </c>
      <c r="AR56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0" s="9" t="str" cm="1">
        <f t="array" ref="AT560">_xlfn.IFS(     $M$1="SPX","SPXW",     $M$1="RUT","RUTW",  $M$1="NDX","NDXP",   TRUE,$M$1 )</f>
        <v>SPXW</v>
      </c>
      <c r="AU560" s="2">
        <f t="shared" si="57"/>
        <v>6915</v>
      </c>
      <c r="AV560" t="str">
        <f t="shared" si="58"/>
        <v>000100</v>
      </c>
      <c r="AY56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0">
        <f>((Table133[[#This Row],[High C]]+Table133[[#This Row],[Low C]])/2)*Table133[[#This Row],[gammac]]*Table133[[#This Row],[Volume]]</f>
        <v>0</v>
      </c>
      <c r="BD560">
        <f>((Table133[[#This Row],[High P]]+Table133[[#This Row],[Low P]])/2)*Table133[[#This Row],[gammap]]*Table133[[#This Row],[Volume9]]*-1</f>
        <v>0</v>
      </c>
      <c r="BE560">
        <f>(Table133[[#This Row],[SgammaC]]+Table133[[#This Row],[SgammaP]])*$A$4*-100</f>
        <v>0</v>
      </c>
      <c r="BF560" s="78">
        <f>Table133[[#This Row],[DEXc]]+Table133[[#This Row],[DEXp]]</f>
        <v>0</v>
      </c>
      <c r="BG560">
        <f>IFERROR(Table133[[#This Row],[DeltaC]]*Table133[[#This Row],[Open.Int]]*$A$4,0)</f>
        <v>0</v>
      </c>
      <c r="BH560">
        <f>IFERROR(Table133[[#This Row],[DeltaP]]*Table133[[#This Row],[Open.Int8]]*$A$4,0)</f>
        <v>0</v>
      </c>
      <c r="BI56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0">
        <f ca="1">Table133[[#This Row],[charmc]]+Table133[[#This Row],[charmp]]</f>
        <v>0</v>
      </c>
      <c r="BL56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0" s="78">
        <f ca="1">Table133[[#This Row],[call helper]]+Table133[[#This Row],[put helper]]</f>
        <v>0</v>
      </c>
      <c r="BP560" t="str">
        <f>RTD("tos.rtd", , "STRIKE", "."&amp;Table133[[#This Row],[Ticker]]&amp;Table133[[#This Row],[Expiry]]&amp;""&amp;"C"&amp;Table133[[#This Row],[Spot]]+Table133[[#This Row],[step]])</f>
        <v>N/A</v>
      </c>
    </row>
    <row r="561" spans="1:68" x14ac:dyDescent="0.25">
      <c r="A561" s="14">
        <f t="shared" ca="1" si="54"/>
        <v>-126.14810350076104</v>
      </c>
      <c r="C561" s="17"/>
      <c r="D561" t="str">
        <f>RTD("tos.rtd", , "OPEN_INT", "."&amp;Table133[[#This Row],[Ticker]]&amp;Table133[[#This Row],[Expiry]]&amp;""&amp;"C"&amp;Table133[[#This Row],[Spot]]+Table133[[#This Row],[step]])</f>
        <v>N/A</v>
      </c>
      <c r="E56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1" t="b">
        <f>IF(     ISNUMBER(Table133[[#This Row],[Strike]]),RTD("tos.rtd", , "DELTA", "."&amp;Table133[[#This Row],[Ticker]]&amp;Table133[[#This Row],[Expiry]]&amp;""&amp;"C"&amp;Table133[[#This Row],[Strike]]))</f>
        <v>0</v>
      </c>
      <c r="H561" s="17" cm="1">
        <f t="array" aca="1" ref="H561" ca="1">IndividualLegIVCore($A$4, Table133[[#This Row],[Strike]], 0.0411, Table133[[#This Row],[T]], ((Table133[[#This Row],[BIDC]]+Table133[[#This Row],[ASKC]])/2), TRUE)</f>
        <v>0.01</v>
      </c>
      <c r="I561" t="b">
        <f>IF(     ISNUMBER(Table133[[#This Row],[Strike]]),RTD("tos.rtd", , "BID", "."&amp;Table133[[#This Row],[Ticker]]&amp;Table133[[#This Row],[Expiry]]&amp;""&amp;"C"&amp;Table133[[#This Row],[Strike]]))</f>
        <v>0</v>
      </c>
      <c r="J561" t="b">
        <f>IF(     ISNUMBER(Table133[[#This Row],[Strike]]),RTD("tos.rtd", , "ASK", "."&amp;Table133[[#This Row],[Ticker]]&amp;Table133[[#This Row],[Expiry]]&amp;""&amp;"C"&amp;Table133[[#This Row],[Strike]]))</f>
        <v>0</v>
      </c>
      <c r="K561" s="17"/>
      <c r="M561" s="1">
        <f t="shared" si="55"/>
        <v>0</v>
      </c>
      <c r="N561" t="b">
        <f t="shared" si="56"/>
        <v>0</v>
      </c>
      <c r="P561" s="17" cm="1">
        <f t="array" aca="1" ref="P561" ca="1">IndividualLegIVCore($A$4, Table133[[#This Row],[Strike]], 0.0411, Table133[[#This Row],[T]], ((Table133[[#This Row],[BIDP]]+Table133[[#This Row],[ASKP]])/2), FALSE)</f>
        <v>0.01</v>
      </c>
      <c r="Q561" t="b">
        <f>IF(     ISNUMBER(Table133[[#This Row],[Strike]]),RTD("tos.rtd", , "BID", "."&amp;Table133[[#This Row],[Ticker]]&amp;Table133[[#This Row],[Expiry]]&amp;""&amp;"P"&amp;Table133[[#This Row],[Strike]]))</f>
        <v>0</v>
      </c>
      <c r="R561" t="b">
        <f>IF(     ISNUMBER(Table133[[#This Row],[Strike]]),RTD("tos.rtd", , "ASK", "."&amp;Table133[[#This Row],[Ticker]]&amp;Table133[[#This Row],[Expiry]]&amp;""&amp;"P"&amp;Table133[[#This Row],[Strike]]))</f>
        <v>0</v>
      </c>
      <c r="S561" s="17"/>
      <c r="T561" t="b">
        <f>IF(     ISNUMBER(Table133[[#This Row],[Strike]]),RTD("tos.rtd", , "OPEN_INT", "."&amp;Table133[[#This Row],[Ticker]]&amp;Table133[[#This Row],[Expiry]]&amp;""&amp;"P"&amp;Table133[[#This Row],[Strike]]))</f>
        <v>0</v>
      </c>
      <c r="U56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1" t="b">
        <f>IF(     ISNUMBER(Table133[[#This Row],[Strike]]),RTD("tos.rtd", , "DELTA", "."&amp;Table133[[#This Row],[Ticker]]&amp;Table133[[#This Row],[Expiry]]&amp;""&amp;"P"&amp;Table133[[#This Row],[Strike]]))</f>
        <v>0</v>
      </c>
      <c r="Y561" s="19">
        <f>22.5* IF($M$1="NDX", 10, IF(OR($M$1="SPX", $M$1="RUT"), 2, 1))</f>
        <v>45</v>
      </c>
      <c r="Z561">
        <f ca="1">IFERROR(Table133[[#This Row],[call gamma]]*(Table133[[#This Row],[Open.Int]])*$A$4^2,0)</f>
        <v>0</v>
      </c>
      <c r="AA561">
        <f ca="1">IFERROR(((Table133[[#This Row],[Open.Int8]])*Table133[[#This Row],[Put gamma]])*-1*$A$4^2,0)</f>
        <v>0</v>
      </c>
      <c r="AB561">
        <f ca="1">(Table133[[#This Row],[Call Gex]]+Table133[[#This Row],[Put Gex]])</f>
        <v>0</v>
      </c>
      <c r="AC561">
        <f ca="1">Table133[[#This Row],[put delta adj]]+Table133[[#This Row],[call delta adj]]</f>
        <v>0</v>
      </c>
      <c r="AD561">
        <f ca="1">Table133[[#This Row],[Put Gex]]*Table133[[#This Row],[DeltaP]]*-1</f>
        <v>0</v>
      </c>
      <c r="AE561">
        <f ca="1">Table133[[#This Row],[Call Gex]]*Table133[[#This Row],[DeltaC]]</f>
        <v>0</v>
      </c>
      <c r="AF561">
        <f>IF(Table133[[#This Row],[DeltaC]]-ABS(Table133[[#This Row],[DeltaP]])="0","0.01",Table133[[#This Row],[DeltaC]]-ABS(Table133[[#This Row],[DeltaP]]))</f>
        <v>0</v>
      </c>
      <c r="AG561" t="e">
        <f ca="1">((LN($A$4/Table133[[#This Row],[Strike]]) + (0.411 + 0.5 * Table133[[#This Row],[IV Calc P]]^2) *Table133[[#This Row],[T]])) / (Table133[[#This Row],[IV Calc P]] * SQRT(Table133[[#This Row],[T]]))</f>
        <v>#DIV/0!</v>
      </c>
      <c r="AH561" t="e">
        <f ca="1">(LN($A$4/Table133[[#This Row],[Strike]]) + (0.411-0 + 0.5 * Table133[[#This Row],[IV Calc C]]^2) *Table133[[#This Row],[T]]) / (Table133[[#This Row],[IV Calc C]] * SQRT(Table133[[#This Row],[T]]))</f>
        <v>#DIV/0!</v>
      </c>
      <c r="AI561" t="e">
        <f ca="1">(EXP(-(AG561^2)/2)/SQRT(2*PI())*EXP(0*SQRT(Table133[[#This Row],[T]]))/$A$4*18%*SQRT(SQRT(Table133[[#This Row],[T]])))</f>
        <v>#DIV/0!</v>
      </c>
      <c r="AJ561" t="e">
        <f ca="1">(EXP(-(AH561^2)/2)/SQRT(2*PI())*EXP(0*SQRT(Table133[[#This Row],[T]]))/$A$4*18%*SQRT(SQRT(Table133[[#This Row],[T]])))</f>
        <v>#DIV/0!</v>
      </c>
      <c r="AK561" t="e">
        <f ca="1">Table133[[#This Row],[Call D1]]-Table133[[#This Row],[IV Calc C]]*SQRT(Table133[[#This Row],[T]])</f>
        <v>#DIV/0!</v>
      </c>
      <c r="AL561" t="e">
        <f ca="1">Table133[[#This Row],[Put D1]]-Table133[[#This Row],[IV Calc P]]*SQRT(Table133[[#This Row],[T]])</f>
        <v>#DIV/0!</v>
      </c>
      <c r="AM561" t="e">
        <f ca="1">EXP(-0.5*Table133[[#This Row],[Call D1]]^2)/SQRT(2*PI())</f>
        <v>#DIV/0!</v>
      </c>
      <c r="AN561" t="e">
        <f ca="1">EXP(-0.5*Table133[[#This Row],[Put D1]]^2)/SQRT(2*PI())</f>
        <v>#DIV/0!</v>
      </c>
      <c r="AO56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1">
        <f ca="1">((Table133[[#This Row],[call vanna]]+Table133[[#This Row],[put vanna]])*$A$4)</f>
        <v>0</v>
      </c>
      <c r="AR56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1" s="9" t="str" cm="1">
        <f t="array" ref="AT561">_xlfn.IFS(     $M$1="SPX","SPXW",     $M$1="RUT","RUTW",  $M$1="NDX","NDXP",   TRUE,$M$1 )</f>
        <v>SPXW</v>
      </c>
      <c r="AU561" s="2">
        <f t="shared" si="57"/>
        <v>6915</v>
      </c>
      <c r="AV561" t="str">
        <f t="shared" si="58"/>
        <v>000100</v>
      </c>
      <c r="AY56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1">
        <f>((Table133[[#This Row],[High C]]+Table133[[#This Row],[Low C]])/2)*Table133[[#This Row],[gammac]]*Table133[[#This Row],[Volume]]</f>
        <v>0</v>
      </c>
      <c r="BD561">
        <f>((Table133[[#This Row],[High P]]+Table133[[#This Row],[Low P]])/2)*Table133[[#This Row],[gammap]]*Table133[[#This Row],[Volume9]]*-1</f>
        <v>0</v>
      </c>
      <c r="BE561">
        <f>(Table133[[#This Row],[SgammaC]]+Table133[[#This Row],[SgammaP]])*$A$4*-100</f>
        <v>0</v>
      </c>
      <c r="BF561" s="78">
        <f>Table133[[#This Row],[DEXc]]+Table133[[#This Row],[DEXp]]</f>
        <v>0</v>
      </c>
      <c r="BG561">
        <f>IFERROR(Table133[[#This Row],[DeltaC]]*Table133[[#This Row],[Open.Int]]*$A$4,0)</f>
        <v>0</v>
      </c>
      <c r="BH561">
        <f>IFERROR(Table133[[#This Row],[DeltaP]]*Table133[[#This Row],[Open.Int8]]*$A$4,0)</f>
        <v>0</v>
      </c>
      <c r="BI56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1">
        <f ca="1">Table133[[#This Row],[charmc]]+Table133[[#This Row],[charmp]]</f>
        <v>0</v>
      </c>
      <c r="BL56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1" s="78">
        <f ca="1">Table133[[#This Row],[call helper]]+Table133[[#This Row],[put helper]]</f>
        <v>0</v>
      </c>
      <c r="BP561" t="str">
        <f>RTD("tos.rtd", , "STRIKE", "."&amp;Table133[[#This Row],[Ticker]]&amp;Table133[[#This Row],[Expiry]]&amp;""&amp;"C"&amp;Table133[[#This Row],[Spot]]+Table133[[#This Row],[step]])</f>
        <v>N/A</v>
      </c>
    </row>
    <row r="562" spans="1:68" x14ac:dyDescent="0.25">
      <c r="A562" s="14">
        <f t="shared" ca="1" si="54"/>
        <v>-126.14810350076104</v>
      </c>
      <c r="C562" s="17"/>
      <c r="D562" t="str">
        <f>RTD("tos.rtd", , "OPEN_INT", "."&amp;Table133[[#This Row],[Ticker]]&amp;Table133[[#This Row],[Expiry]]&amp;""&amp;"C"&amp;Table133[[#This Row],[Spot]]+Table133[[#This Row],[step]])</f>
        <v>N/A</v>
      </c>
      <c r="E56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2" t="b">
        <f>IF(     ISNUMBER(Table133[[#This Row],[Strike]]),RTD("tos.rtd", , "DELTA", "."&amp;Table133[[#This Row],[Ticker]]&amp;Table133[[#This Row],[Expiry]]&amp;""&amp;"C"&amp;Table133[[#This Row],[Strike]]))</f>
        <v>0</v>
      </c>
      <c r="H562" s="17" cm="1">
        <f t="array" aca="1" ref="H562" ca="1">IndividualLegIVCore($A$4, Table133[[#This Row],[Strike]], 0.0411, Table133[[#This Row],[T]], ((Table133[[#This Row],[BIDC]]+Table133[[#This Row],[ASKC]])/2), TRUE)</f>
        <v>0.01</v>
      </c>
      <c r="I562" t="b">
        <f>IF(     ISNUMBER(Table133[[#This Row],[Strike]]),RTD("tos.rtd", , "BID", "."&amp;Table133[[#This Row],[Ticker]]&amp;Table133[[#This Row],[Expiry]]&amp;""&amp;"C"&amp;Table133[[#This Row],[Strike]]))</f>
        <v>0</v>
      </c>
      <c r="J562" t="b">
        <f>IF(     ISNUMBER(Table133[[#This Row],[Strike]]),RTD("tos.rtd", , "ASK", "."&amp;Table133[[#This Row],[Ticker]]&amp;Table133[[#This Row],[Expiry]]&amp;""&amp;"C"&amp;Table133[[#This Row],[Strike]]))</f>
        <v>0</v>
      </c>
      <c r="K562" s="17"/>
      <c r="M562" s="1">
        <f t="shared" si="55"/>
        <v>0</v>
      </c>
      <c r="N562" t="b">
        <f t="shared" si="56"/>
        <v>0</v>
      </c>
      <c r="P562" s="17" cm="1">
        <f t="array" aca="1" ref="P562" ca="1">IndividualLegIVCore($A$4, Table133[[#This Row],[Strike]], 0.0411, Table133[[#This Row],[T]], ((Table133[[#This Row],[BIDP]]+Table133[[#This Row],[ASKP]])/2), FALSE)</f>
        <v>0.01</v>
      </c>
      <c r="Q562" t="b">
        <f>IF(     ISNUMBER(Table133[[#This Row],[Strike]]),RTD("tos.rtd", , "BID", "."&amp;Table133[[#This Row],[Ticker]]&amp;Table133[[#This Row],[Expiry]]&amp;""&amp;"P"&amp;Table133[[#This Row],[Strike]]))</f>
        <v>0</v>
      </c>
      <c r="R562" t="b">
        <f>IF(     ISNUMBER(Table133[[#This Row],[Strike]]),RTD("tos.rtd", , "ASK", "."&amp;Table133[[#This Row],[Ticker]]&amp;Table133[[#This Row],[Expiry]]&amp;""&amp;"P"&amp;Table133[[#This Row],[Strike]]))</f>
        <v>0</v>
      </c>
      <c r="S562" s="17"/>
      <c r="T562" t="b">
        <f>IF(     ISNUMBER(Table133[[#This Row],[Strike]]),RTD("tos.rtd", , "OPEN_INT", "."&amp;Table133[[#This Row],[Ticker]]&amp;Table133[[#This Row],[Expiry]]&amp;""&amp;"P"&amp;Table133[[#This Row],[Strike]]))</f>
        <v>0</v>
      </c>
      <c r="U56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2" t="b">
        <f>IF(     ISNUMBER(Table133[[#This Row],[Strike]]),RTD("tos.rtd", , "DELTA", "."&amp;Table133[[#This Row],[Ticker]]&amp;Table133[[#This Row],[Expiry]]&amp;""&amp;"P"&amp;Table133[[#This Row],[Strike]]))</f>
        <v>0</v>
      </c>
      <c r="Y562" s="19">
        <f>23* IF($M$1="NDX", 10, IF(OR($M$1="SPX", $M$1="RUT"), 2, 1))</f>
        <v>46</v>
      </c>
      <c r="Z562">
        <f ca="1">IFERROR(Table133[[#This Row],[call gamma]]*(Table133[[#This Row],[Open.Int]])*$A$4^2,0)</f>
        <v>0</v>
      </c>
      <c r="AA562">
        <f ca="1">IFERROR(((Table133[[#This Row],[Open.Int8]])*Table133[[#This Row],[Put gamma]])*-1*$A$4^2,0)</f>
        <v>0</v>
      </c>
      <c r="AB562">
        <f ca="1">(Table133[[#This Row],[Call Gex]]+Table133[[#This Row],[Put Gex]])</f>
        <v>0</v>
      </c>
      <c r="AC562">
        <f ca="1">Table133[[#This Row],[put delta adj]]+Table133[[#This Row],[call delta adj]]</f>
        <v>0</v>
      </c>
      <c r="AD562">
        <f ca="1">Table133[[#This Row],[Put Gex]]*Table133[[#This Row],[DeltaP]]*-1</f>
        <v>0</v>
      </c>
      <c r="AE562">
        <f ca="1">Table133[[#This Row],[Call Gex]]*Table133[[#This Row],[DeltaC]]</f>
        <v>0</v>
      </c>
      <c r="AF562">
        <f>IF(Table133[[#This Row],[DeltaC]]-ABS(Table133[[#This Row],[DeltaP]])="0","0.01",Table133[[#This Row],[DeltaC]]-ABS(Table133[[#This Row],[DeltaP]]))</f>
        <v>0</v>
      </c>
      <c r="AG562" t="e">
        <f ca="1">((LN($A$4/Table133[[#This Row],[Strike]]) + (0.411 + 0.5 * Table133[[#This Row],[IV Calc P]]^2) *Table133[[#This Row],[T]])) / (Table133[[#This Row],[IV Calc P]] * SQRT(Table133[[#This Row],[T]]))</f>
        <v>#DIV/0!</v>
      </c>
      <c r="AH562" t="e">
        <f ca="1">(LN($A$4/Table133[[#This Row],[Strike]]) + (0.411-0 + 0.5 * Table133[[#This Row],[IV Calc C]]^2) *Table133[[#This Row],[T]]) / (Table133[[#This Row],[IV Calc C]] * SQRT(Table133[[#This Row],[T]]))</f>
        <v>#DIV/0!</v>
      </c>
      <c r="AI562" t="e">
        <f ca="1">(EXP(-(AG562^2)/2)/SQRT(2*PI())*EXP(0*SQRT(Table133[[#This Row],[T]]))/$A$4*18%*SQRT(SQRT(Table133[[#This Row],[T]])))</f>
        <v>#DIV/0!</v>
      </c>
      <c r="AJ562" t="e">
        <f ca="1">(EXP(-(AH562^2)/2)/SQRT(2*PI())*EXP(0*SQRT(Table133[[#This Row],[T]]))/$A$4*18%*SQRT(SQRT(Table133[[#This Row],[T]])))</f>
        <v>#DIV/0!</v>
      </c>
      <c r="AK562" t="e">
        <f ca="1">Table133[[#This Row],[Call D1]]-Table133[[#This Row],[IV Calc C]]*SQRT(Table133[[#This Row],[T]])</f>
        <v>#DIV/0!</v>
      </c>
      <c r="AL562" t="e">
        <f ca="1">Table133[[#This Row],[Put D1]]-Table133[[#This Row],[IV Calc P]]*SQRT(Table133[[#This Row],[T]])</f>
        <v>#DIV/0!</v>
      </c>
      <c r="AM562" t="e">
        <f ca="1">EXP(-0.5*Table133[[#This Row],[Call D1]]^2)/SQRT(2*PI())</f>
        <v>#DIV/0!</v>
      </c>
      <c r="AN562" t="e">
        <f ca="1">EXP(-0.5*Table133[[#This Row],[Put D1]]^2)/SQRT(2*PI())</f>
        <v>#DIV/0!</v>
      </c>
      <c r="AO56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2">
        <f ca="1">((Table133[[#This Row],[call vanna]]+Table133[[#This Row],[put vanna]])*$A$4)</f>
        <v>0</v>
      </c>
      <c r="AR56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2" s="9" t="str" cm="1">
        <f t="array" ref="AT562">_xlfn.IFS(     $M$1="SPX","SPXW",     $M$1="RUT","RUTW",  $M$1="NDX","NDXP",   TRUE,$M$1 )</f>
        <v>SPXW</v>
      </c>
      <c r="AU562" s="2">
        <f t="shared" si="57"/>
        <v>6915</v>
      </c>
      <c r="AV562" t="str">
        <f t="shared" si="58"/>
        <v>000100</v>
      </c>
      <c r="AY56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2">
        <f>((Table133[[#This Row],[High C]]+Table133[[#This Row],[Low C]])/2)*Table133[[#This Row],[gammac]]*Table133[[#This Row],[Volume]]</f>
        <v>0</v>
      </c>
      <c r="BD562">
        <f>((Table133[[#This Row],[High P]]+Table133[[#This Row],[Low P]])/2)*Table133[[#This Row],[gammap]]*Table133[[#This Row],[Volume9]]*-1</f>
        <v>0</v>
      </c>
      <c r="BE562">
        <f>(Table133[[#This Row],[SgammaC]]+Table133[[#This Row],[SgammaP]])*$A$4*-100</f>
        <v>0</v>
      </c>
      <c r="BF562" s="78">
        <f>Table133[[#This Row],[DEXc]]+Table133[[#This Row],[DEXp]]</f>
        <v>0</v>
      </c>
      <c r="BG562">
        <f>IFERROR(Table133[[#This Row],[DeltaC]]*Table133[[#This Row],[Open.Int]]*$A$4,0)</f>
        <v>0</v>
      </c>
      <c r="BH562">
        <f>IFERROR(Table133[[#This Row],[DeltaP]]*Table133[[#This Row],[Open.Int8]]*$A$4,0)</f>
        <v>0</v>
      </c>
      <c r="BI56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2">
        <f ca="1">Table133[[#This Row],[charmc]]+Table133[[#This Row],[charmp]]</f>
        <v>0</v>
      </c>
      <c r="BL56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2" s="78">
        <f ca="1">Table133[[#This Row],[call helper]]+Table133[[#This Row],[put helper]]</f>
        <v>0</v>
      </c>
      <c r="BP562" t="str">
        <f>RTD("tos.rtd", , "STRIKE", "."&amp;Table133[[#This Row],[Ticker]]&amp;Table133[[#This Row],[Expiry]]&amp;""&amp;"C"&amp;Table133[[#This Row],[Spot]]+Table133[[#This Row],[step]])</f>
        <v>N/A</v>
      </c>
    </row>
    <row r="563" spans="1:68" x14ac:dyDescent="0.25">
      <c r="A563" s="14">
        <f t="shared" ca="1" si="54"/>
        <v>-126.14810350076104</v>
      </c>
      <c r="C563" s="17"/>
      <c r="D563" t="str">
        <f>RTD("tos.rtd", , "OPEN_INT", "."&amp;Table133[[#This Row],[Ticker]]&amp;Table133[[#This Row],[Expiry]]&amp;""&amp;"C"&amp;Table133[[#This Row],[Spot]]+Table133[[#This Row],[step]])</f>
        <v>N/A</v>
      </c>
      <c r="E56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3" t="b">
        <f>IF(     ISNUMBER(Table133[[#This Row],[Strike]]),RTD("tos.rtd", , "DELTA", "."&amp;Table133[[#This Row],[Ticker]]&amp;Table133[[#This Row],[Expiry]]&amp;""&amp;"C"&amp;Table133[[#This Row],[Strike]]))</f>
        <v>0</v>
      </c>
      <c r="H563" s="17" cm="1">
        <f t="array" aca="1" ref="H563" ca="1">IndividualLegIVCore($A$4, Table133[[#This Row],[Strike]], 0.0411, Table133[[#This Row],[T]], ((Table133[[#This Row],[BIDC]]+Table133[[#This Row],[ASKC]])/2), TRUE)</f>
        <v>0.01</v>
      </c>
      <c r="I563" t="b">
        <f>IF(     ISNUMBER(Table133[[#This Row],[Strike]]),RTD("tos.rtd", , "BID", "."&amp;Table133[[#This Row],[Ticker]]&amp;Table133[[#This Row],[Expiry]]&amp;""&amp;"C"&amp;Table133[[#This Row],[Strike]]))</f>
        <v>0</v>
      </c>
      <c r="J563" t="b">
        <f>IF(     ISNUMBER(Table133[[#This Row],[Strike]]),RTD("tos.rtd", , "ASK", "."&amp;Table133[[#This Row],[Ticker]]&amp;Table133[[#This Row],[Expiry]]&amp;""&amp;"C"&amp;Table133[[#This Row],[Strike]]))</f>
        <v>0</v>
      </c>
      <c r="K563" s="17"/>
      <c r="M563" s="1">
        <f t="shared" si="55"/>
        <v>0</v>
      </c>
      <c r="N563" t="b">
        <f t="shared" si="56"/>
        <v>0</v>
      </c>
      <c r="P563" s="17" cm="1">
        <f t="array" aca="1" ref="P563" ca="1">IndividualLegIVCore($A$4, Table133[[#This Row],[Strike]], 0.0411, Table133[[#This Row],[T]], ((Table133[[#This Row],[BIDP]]+Table133[[#This Row],[ASKP]])/2), FALSE)</f>
        <v>0.01</v>
      </c>
      <c r="Q563" t="b">
        <f>IF(     ISNUMBER(Table133[[#This Row],[Strike]]),RTD("tos.rtd", , "BID", "."&amp;Table133[[#This Row],[Ticker]]&amp;Table133[[#This Row],[Expiry]]&amp;""&amp;"P"&amp;Table133[[#This Row],[Strike]]))</f>
        <v>0</v>
      </c>
      <c r="R563" t="b">
        <f>IF(     ISNUMBER(Table133[[#This Row],[Strike]]),RTD("tos.rtd", , "ASK", "."&amp;Table133[[#This Row],[Ticker]]&amp;Table133[[#This Row],[Expiry]]&amp;""&amp;"P"&amp;Table133[[#This Row],[Strike]]))</f>
        <v>0</v>
      </c>
      <c r="S563" s="17"/>
      <c r="T563" t="b">
        <f>IF(     ISNUMBER(Table133[[#This Row],[Strike]]),RTD("tos.rtd", , "OPEN_INT", "."&amp;Table133[[#This Row],[Ticker]]&amp;Table133[[#This Row],[Expiry]]&amp;""&amp;"P"&amp;Table133[[#This Row],[Strike]]))</f>
        <v>0</v>
      </c>
      <c r="U56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3" t="b">
        <f>IF(     ISNUMBER(Table133[[#This Row],[Strike]]),RTD("tos.rtd", , "DELTA", "."&amp;Table133[[#This Row],[Ticker]]&amp;Table133[[#This Row],[Expiry]]&amp;""&amp;"P"&amp;Table133[[#This Row],[Strike]]))</f>
        <v>0</v>
      </c>
      <c r="Y563" s="19">
        <f>23.5* IF($M$1="NDX", 10, IF(OR($M$1="SPX", $M$1="RUT"), 2, 1))</f>
        <v>47</v>
      </c>
      <c r="Z563">
        <f ca="1">IFERROR(Table133[[#This Row],[call gamma]]*(Table133[[#This Row],[Open.Int]])*$A$4^2,0)</f>
        <v>0</v>
      </c>
      <c r="AA563">
        <f ca="1">IFERROR(((Table133[[#This Row],[Open.Int8]])*Table133[[#This Row],[Put gamma]])*-1*$A$4^2,0)</f>
        <v>0</v>
      </c>
      <c r="AB563">
        <f ca="1">(Table133[[#This Row],[Call Gex]]+Table133[[#This Row],[Put Gex]])</f>
        <v>0</v>
      </c>
      <c r="AC563">
        <f ca="1">Table133[[#This Row],[put delta adj]]+Table133[[#This Row],[call delta adj]]</f>
        <v>0</v>
      </c>
      <c r="AD563">
        <f ca="1">Table133[[#This Row],[Put Gex]]*Table133[[#This Row],[DeltaP]]*-1</f>
        <v>0</v>
      </c>
      <c r="AE563">
        <f ca="1">Table133[[#This Row],[Call Gex]]*Table133[[#This Row],[DeltaC]]</f>
        <v>0</v>
      </c>
      <c r="AF563">
        <f>IF(Table133[[#This Row],[DeltaC]]-ABS(Table133[[#This Row],[DeltaP]])="0","0.01",Table133[[#This Row],[DeltaC]]-ABS(Table133[[#This Row],[DeltaP]]))</f>
        <v>0</v>
      </c>
      <c r="AG563" t="e">
        <f ca="1">((LN($A$4/Table133[[#This Row],[Strike]]) + (0.411 + 0.5 * Table133[[#This Row],[IV Calc P]]^2) *Table133[[#This Row],[T]])) / (Table133[[#This Row],[IV Calc P]] * SQRT(Table133[[#This Row],[T]]))</f>
        <v>#DIV/0!</v>
      </c>
      <c r="AH563" t="e">
        <f ca="1">(LN($A$4/Table133[[#This Row],[Strike]]) + (0.411-0 + 0.5 * Table133[[#This Row],[IV Calc C]]^2) *Table133[[#This Row],[T]]) / (Table133[[#This Row],[IV Calc C]] * SQRT(Table133[[#This Row],[T]]))</f>
        <v>#DIV/0!</v>
      </c>
      <c r="AI563" t="e">
        <f ca="1">(EXP(-(AG563^2)/2)/SQRT(2*PI())*EXP(0*SQRT(Table133[[#This Row],[T]]))/$A$4*18%*SQRT(SQRT(Table133[[#This Row],[T]])))</f>
        <v>#DIV/0!</v>
      </c>
      <c r="AJ563" t="e">
        <f ca="1">(EXP(-(AH563^2)/2)/SQRT(2*PI())*EXP(0*SQRT(Table133[[#This Row],[T]]))/$A$4*18%*SQRT(SQRT(Table133[[#This Row],[T]])))</f>
        <v>#DIV/0!</v>
      </c>
      <c r="AK563" t="e">
        <f ca="1">Table133[[#This Row],[Call D1]]-Table133[[#This Row],[IV Calc C]]*SQRT(Table133[[#This Row],[T]])</f>
        <v>#DIV/0!</v>
      </c>
      <c r="AL563" t="e">
        <f ca="1">Table133[[#This Row],[Put D1]]-Table133[[#This Row],[IV Calc P]]*SQRT(Table133[[#This Row],[T]])</f>
        <v>#DIV/0!</v>
      </c>
      <c r="AM563" t="e">
        <f ca="1">EXP(-0.5*Table133[[#This Row],[Call D1]]^2)/SQRT(2*PI())</f>
        <v>#DIV/0!</v>
      </c>
      <c r="AN563" t="e">
        <f ca="1">EXP(-0.5*Table133[[#This Row],[Put D1]]^2)/SQRT(2*PI())</f>
        <v>#DIV/0!</v>
      </c>
      <c r="AO56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3">
        <f ca="1">((Table133[[#This Row],[call vanna]]+Table133[[#This Row],[put vanna]])*$A$4)</f>
        <v>0</v>
      </c>
      <c r="AR56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3" s="9" t="str" cm="1">
        <f t="array" ref="AT563">_xlfn.IFS(     $M$1="SPX","SPXW",     $M$1="RUT","RUTW",  $M$1="NDX","NDXP",   TRUE,$M$1 )</f>
        <v>SPXW</v>
      </c>
      <c r="AU563" s="2">
        <f t="shared" si="57"/>
        <v>6915</v>
      </c>
      <c r="AV563" t="str">
        <f t="shared" si="58"/>
        <v>000100</v>
      </c>
      <c r="AY56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3">
        <f>((Table133[[#This Row],[High C]]+Table133[[#This Row],[Low C]])/2)*Table133[[#This Row],[gammac]]*Table133[[#This Row],[Volume]]</f>
        <v>0</v>
      </c>
      <c r="BD563">
        <f>((Table133[[#This Row],[High P]]+Table133[[#This Row],[Low P]])/2)*Table133[[#This Row],[gammap]]*Table133[[#This Row],[Volume9]]*-1</f>
        <v>0</v>
      </c>
      <c r="BE563">
        <f>(Table133[[#This Row],[SgammaC]]+Table133[[#This Row],[SgammaP]])*$A$4*-100</f>
        <v>0</v>
      </c>
      <c r="BF563" s="78">
        <f>Table133[[#This Row],[DEXc]]+Table133[[#This Row],[DEXp]]</f>
        <v>0</v>
      </c>
      <c r="BG563">
        <f>IFERROR(Table133[[#This Row],[DeltaC]]*Table133[[#This Row],[Open.Int]]*$A$4,0)</f>
        <v>0</v>
      </c>
      <c r="BH563">
        <f>IFERROR(Table133[[#This Row],[DeltaP]]*Table133[[#This Row],[Open.Int8]]*$A$4,0)</f>
        <v>0</v>
      </c>
      <c r="BI56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3">
        <f ca="1">Table133[[#This Row],[charmc]]+Table133[[#This Row],[charmp]]</f>
        <v>0</v>
      </c>
      <c r="BL56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3" s="78">
        <f ca="1">Table133[[#This Row],[call helper]]+Table133[[#This Row],[put helper]]</f>
        <v>0</v>
      </c>
      <c r="BP563" t="str">
        <f>RTD("tos.rtd", , "STRIKE", "."&amp;Table133[[#This Row],[Ticker]]&amp;Table133[[#This Row],[Expiry]]&amp;""&amp;"C"&amp;Table133[[#This Row],[Spot]]+Table133[[#This Row],[step]])</f>
        <v>N/A</v>
      </c>
    </row>
    <row r="564" spans="1:68" x14ac:dyDescent="0.25">
      <c r="A564" s="14">
        <f t="shared" ca="1" si="54"/>
        <v>-126.14810350076104</v>
      </c>
      <c r="C564" s="17"/>
      <c r="D564" t="str">
        <f>RTD("tos.rtd", , "OPEN_INT", "."&amp;Table133[[#This Row],[Ticker]]&amp;Table133[[#This Row],[Expiry]]&amp;""&amp;"C"&amp;Table133[[#This Row],[Spot]]+Table133[[#This Row],[step]])</f>
        <v>N/A</v>
      </c>
      <c r="E56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4" t="b">
        <f>IF(     ISNUMBER(Table133[[#This Row],[Strike]]),RTD("tos.rtd", , "DELTA", "."&amp;Table133[[#This Row],[Ticker]]&amp;Table133[[#This Row],[Expiry]]&amp;""&amp;"C"&amp;Table133[[#This Row],[Strike]]))</f>
        <v>0</v>
      </c>
      <c r="H564" s="17" cm="1">
        <f t="array" aca="1" ref="H564" ca="1">IndividualLegIVCore($A$4, Table133[[#This Row],[Strike]], 0.0411, Table133[[#This Row],[T]], ((Table133[[#This Row],[BIDC]]+Table133[[#This Row],[ASKC]])/2), TRUE)</f>
        <v>0.01</v>
      </c>
      <c r="I564" t="b">
        <f>IF(     ISNUMBER(Table133[[#This Row],[Strike]]),RTD("tos.rtd", , "BID", "."&amp;Table133[[#This Row],[Ticker]]&amp;Table133[[#This Row],[Expiry]]&amp;""&amp;"C"&amp;Table133[[#This Row],[Strike]]))</f>
        <v>0</v>
      </c>
      <c r="J564" t="b">
        <f>IF(     ISNUMBER(Table133[[#This Row],[Strike]]),RTD("tos.rtd", , "ASK", "."&amp;Table133[[#This Row],[Ticker]]&amp;Table133[[#This Row],[Expiry]]&amp;""&amp;"C"&amp;Table133[[#This Row],[Strike]]))</f>
        <v>0</v>
      </c>
      <c r="K564" s="17"/>
      <c r="M564" s="1">
        <f t="shared" si="55"/>
        <v>0</v>
      </c>
      <c r="N564" t="b">
        <f t="shared" si="56"/>
        <v>0</v>
      </c>
      <c r="P564" s="17" cm="1">
        <f t="array" aca="1" ref="P564" ca="1">IndividualLegIVCore($A$4, Table133[[#This Row],[Strike]], 0.0411, Table133[[#This Row],[T]], ((Table133[[#This Row],[BIDP]]+Table133[[#This Row],[ASKP]])/2), FALSE)</f>
        <v>0.01</v>
      </c>
      <c r="Q564" t="b">
        <f>IF(     ISNUMBER(Table133[[#This Row],[Strike]]),RTD("tos.rtd", , "BID", "."&amp;Table133[[#This Row],[Ticker]]&amp;Table133[[#This Row],[Expiry]]&amp;""&amp;"P"&amp;Table133[[#This Row],[Strike]]))</f>
        <v>0</v>
      </c>
      <c r="R564" t="b">
        <f>IF(     ISNUMBER(Table133[[#This Row],[Strike]]),RTD("tos.rtd", , "ASK", "."&amp;Table133[[#This Row],[Ticker]]&amp;Table133[[#This Row],[Expiry]]&amp;""&amp;"P"&amp;Table133[[#This Row],[Strike]]))</f>
        <v>0</v>
      </c>
      <c r="S564" s="17"/>
      <c r="T564" t="b">
        <f>IF(     ISNUMBER(Table133[[#This Row],[Strike]]),RTD("tos.rtd", , "OPEN_INT", "."&amp;Table133[[#This Row],[Ticker]]&amp;Table133[[#This Row],[Expiry]]&amp;""&amp;"P"&amp;Table133[[#This Row],[Strike]]))</f>
        <v>0</v>
      </c>
      <c r="U56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4" t="b">
        <f>IF(     ISNUMBER(Table133[[#This Row],[Strike]]),RTD("tos.rtd", , "DELTA", "."&amp;Table133[[#This Row],[Ticker]]&amp;Table133[[#This Row],[Expiry]]&amp;""&amp;"P"&amp;Table133[[#This Row],[Strike]]))</f>
        <v>0</v>
      </c>
      <c r="Y564" s="19">
        <f>24* IF($M$1="NDX", 10, IF(OR($M$1="SPX", $M$1="RUT"), 2, 1))</f>
        <v>48</v>
      </c>
      <c r="Z564">
        <f ca="1">IFERROR(Table133[[#This Row],[call gamma]]*(Table133[[#This Row],[Open.Int]])*$A$4^2,0)</f>
        <v>0</v>
      </c>
      <c r="AA564">
        <f ca="1">IFERROR(((Table133[[#This Row],[Open.Int8]])*Table133[[#This Row],[Put gamma]])*-1*$A$4^2,0)</f>
        <v>0</v>
      </c>
      <c r="AB564">
        <f ca="1">(Table133[[#This Row],[Call Gex]]+Table133[[#This Row],[Put Gex]])</f>
        <v>0</v>
      </c>
      <c r="AC564">
        <f ca="1">Table133[[#This Row],[put delta adj]]+Table133[[#This Row],[call delta adj]]</f>
        <v>0</v>
      </c>
      <c r="AD564">
        <f ca="1">Table133[[#This Row],[Put Gex]]*Table133[[#This Row],[DeltaP]]*-1</f>
        <v>0</v>
      </c>
      <c r="AE564">
        <f ca="1">Table133[[#This Row],[Call Gex]]*Table133[[#This Row],[DeltaC]]</f>
        <v>0</v>
      </c>
      <c r="AF564">
        <f>IF(Table133[[#This Row],[DeltaC]]-ABS(Table133[[#This Row],[DeltaP]])="0","0.01",Table133[[#This Row],[DeltaC]]-ABS(Table133[[#This Row],[DeltaP]]))</f>
        <v>0</v>
      </c>
      <c r="AG564" t="e">
        <f ca="1">((LN($A$4/Table133[[#This Row],[Strike]]) + (0.411 + 0.5 * Table133[[#This Row],[IV Calc P]]^2) *Table133[[#This Row],[T]])) / (Table133[[#This Row],[IV Calc P]] * SQRT(Table133[[#This Row],[T]]))</f>
        <v>#DIV/0!</v>
      </c>
      <c r="AH564" t="e">
        <f ca="1">(LN($A$4/Table133[[#This Row],[Strike]]) + (0.411-0 + 0.5 * Table133[[#This Row],[IV Calc C]]^2) *Table133[[#This Row],[T]]) / (Table133[[#This Row],[IV Calc C]] * SQRT(Table133[[#This Row],[T]]))</f>
        <v>#DIV/0!</v>
      </c>
      <c r="AI564" t="e">
        <f ca="1">(EXP(-(AG564^2)/2)/SQRT(2*PI())*EXP(0*SQRT(Table133[[#This Row],[T]]))/$A$4*18%*SQRT(SQRT(Table133[[#This Row],[T]])))</f>
        <v>#DIV/0!</v>
      </c>
      <c r="AJ564" t="e">
        <f ca="1">(EXP(-(AH564^2)/2)/SQRT(2*PI())*EXP(0*SQRT(Table133[[#This Row],[T]]))/$A$4*18%*SQRT(SQRT(Table133[[#This Row],[T]])))</f>
        <v>#DIV/0!</v>
      </c>
      <c r="AK564" t="e">
        <f ca="1">Table133[[#This Row],[Call D1]]-Table133[[#This Row],[IV Calc C]]*SQRT(Table133[[#This Row],[T]])</f>
        <v>#DIV/0!</v>
      </c>
      <c r="AL564" t="e">
        <f ca="1">Table133[[#This Row],[Put D1]]-Table133[[#This Row],[IV Calc P]]*SQRT(Table133[[#This Row],[T]])</f>
        <v>#DIV/0!</v>
      </c>
      <c r="AM564" t="e">
        <f ca="1">EXP(-0.5*Table133[[#This Row],[Call D1]]^2)/SQRT(2*PI())</f>
        <v>#DIV/0!</v>
      </c>
      <c r="AN564" t="e">
        <f ca="1">EXP(-0.5*Table133[[#This Row],[Put D1]]^2)/SQRT(2*PI())</f>
        <v>#DIV/0!</v>
      </c>
      <c r="AO56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4">
        <f ca="1">((Table133[[#This Row],[call vanna]]+Table133[[#This Row],[put vanna]])*$A$4)</f>
        <v>0</v>
      </c>
      <c r="AR56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4" s="9" t="str" cm="1">
        <f t="array" ref="AT564">_xlfn.IFS(     $M$1="SPX","SPXW",     $M$1="RUT","RUTW",  $M$1="NDX","NDXP",   TRUE,$M$1 )</f>
        <v>SPXW</v>
      </c>
      <c r="AU564" s="2">
        <f t="shared" si="57"/>
        <v>6915</v>
      </c>
      <c r="AV564" t="str">
        <f t="shared" si="58"/>
        <v>000100</v>
      </c>
      <c r="AY56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4">
        <f>((Table133[[#This Row],[High C]]+Table133[[#This Row],[Low C]])/2)*Table133[[#This Row],[gammac]]*Table133[[#This Row],[Volume]]</f>
        <v>0</v>
      </c>
      <c r="BD564">
        <f>((Table133[[#This Row],[High P]]+Table133[[#This Row],[Low P]])/2)*Table133[[#This Row],[gammap]]*Table133[[#This Row],[Volume9]]*-1</f>
        <v>0</v>
      </c>
      <c r="BE564">
        <f>(Table133[[#This Row],[SgammaC]]+Table133[[#This Row],[SgammaP]])*$A$4*-100</f>
        <v>0</v>
      </c>
      <c r="BF564" s="78">
        <f>Table133[[#This Row],[DEXc]]+Table133[[#This Row],[DEXp]]</f>
        <v>0</v>
      </c>
      <c r="BG564">
        <f>IFERROR(Table133[[#This Row],[DeltaC]]*Table133[[#This Row],[Open.Int]]*$A$4,0)</f>
        <v>0</v>
      </c>
      <c r="BH564">
        <f>IFERROR(Table133[[#This Row],[DeltaP]]*Table133[[#This Row],[Open.Int8]]*$A$4,0)</f>
        <v>0</v>
      </c>
      <c r="BI56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4">
        <f ca="1">Table133[[#This Row],[charmc]]+Table133[[#This Row],[charmp]]</f>
        <v>0</v>
      </c>
      <c r="BL56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4" s="78">
        <f ca="1">Table133[[#This Row],[call helper]]+Table133[[#This Row],[put helper]]</f>
        <v>0</v>
      </c>
      <c r="BP564" t="str">
        <f>RTD("tos.rtd", , "STRIKE", "."&amp;Table133[[#This Row],[Ticker]]&amp;Table133[[#This Row],[Expiry]]&amp;""&amp;"C"&amp;Table133[[#This Row],[Spot]]+Table133[[#This Row],[step]])</f>
        <v>N/A</v>
      </c>
    </row>
    <row r="565" spans="1:68" x14ac:dyDescent="0.25">
      <c r="A565" s="14">
        <f t="shared" ca="1" si="54"/>
        <v>-126.14810350076104</v>
      </c>
      <c r="C565" s="17"/>
      <c r="D565" t="str">
        <f>RTD("tos.rtd", , "OPEN_INT", "."&amp;Table133[[#This Row],[Ticker]]&amp;Table133[[#This Row],[Expiry]]&amp;""&amp;"C"&amp;Table133[[#This Row],[Spot]]+Table133[[#This Row],[step]])</f>
        <v>N/A</v>
      </c>
      <c r="E56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5" t="b">
        <f>IF(     ISNUMBER(Table133[[#This Row],[Strike]]),RTD("tos.rtd", , "DELTA", "."&amp;Table133[[#This Row],[Ticker]]&amp;Table133[[#This Row],[Expiry]]&amp;""&amp;"C"&amp;Table133[[#This Row],[Strike]]))</f>
        <v>0</v>
      </c>
      <c r="H565" s="17" cm="1">
        <f t="array" aca="1" ref="H565" ca="1">IndividualLegIVCore($A$4, Table133[[#This Row],[Strike]], 0.0411, Table133[[#This Row],[T]], ((Table133[[#This Row],[BIDC]]+Table133[[#This Row],[ASKC]])/2), TRUE)</f>
        <v>0.01</v>
      </c>
      <c r="I565" t="b">
        <f>IF(     ISNUMBER(Table133[[#This Row],[Strike]]),RTD("tos.rtd", , "BID", "."&amp;Table133[[#This Row],[Ticker]]&amp;Table133[[#This Row],[Expiry]]&amp;""&amp;"C"&amp;Table133[[#This Row],[Strike]]))</f>
        <v>0</v>
      </c>
      <c r="J565" t="b">
        <f>IF(     ISNUMBER(Table133[[#This Row],[Strike]]),RTD("tos.rtd", , "ASK", "."&amp;Table133[[#This Row],[Ticker]]&amp;Table133[[#This Row],[Expiry]]&amp;""&amp;"C"&amp;Table133[[#This Row],[Strike]]))</f>
        <v>0</v>
      </c>
      <c r="K565" s="17"/>
      <c r="M565" s="1">
        <f t="shared" si="55"/>
        <v>0</v>
      </c>
      <c r="N565" t="b">
        <f t="shared" si="56"/>
        <v>0</v>
      </c>
      <c r="P565" s="17" cm="1">
        <f t="array" aca="1" ref="P565" ca="1">IndividualLegIVCore($A$4, Table133[[#This Row],[Strike]], 0.0411, Table133[[#This Row],[T]], ((Table133[[#This Row],[BIDP]]+Table133[[#This Row],[ASKP]])/2), FALSE)</f>
        <v>0.01</v>
      </c>
      <c r="Q565" t="b">
        <f>IF(     ISNUMBER(Table133[[#This Row],[Strike]]),RTD("tos.rtd", , "BID", "."&amp;Table133[[#This Row],[Ticker]]&amp;Table133[[#This Row],[Expiry]]&amp;""&amp;"P"&amp;Table133[[#This Row],[Strike]]))</f>
        <v>0</v>
      </c>
      <c r="R565" t="b">
        <f>IF(     ISNUMBER(Table133[[#This Row],[Strike]]),RTD("tos.rtd", , "ASK", "."&amp;Table133[[#This Row],[Ticker]]&amp;Table133[[#This Row],[Expiry]]&amp;""&amp;"P"&amp;Table133[[#This Row],[Strike]]))</f>
        <v>0</v>
      </c>
      <c r="S565" s="17"/>
      <c r="T565" t="b">
        <f>IF(     ISNUMBER(Table133[[#This Row],[Strike]]),RTD("tos.rtd", , "OPEN_INT", "."&amp;Table133[[#This Row],[Ticker]]&amp;Table133[[#This Row],[Expiry]]&amp;""&amp;"P"&amp;Table133[[#This Row],[Strike]]))</f>
        <v>0</v>
      </c>
      <c r="U56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5" t="b">
        <f>IF(     ISNUMBER(Table133[[#This Row],[Strike]]),RTD("tos.rtd", , "DELTA", "."&amp;Table133[[#This Row],[Ticker]]&amp;Table133[[#This Row],[Expiry]]&amp;""&amp;"P"&amp;Table133[[#This Row],[Strike]]))</f>
        <v>0</v>
      </c>
      <c r="Y565" s="19">
        <f>24.5* IF($M$1="NDX", 10, IF(OR($M$1="SPX", $M$1="RUT"), 2, 1))</f>
        <v>49</v>
      </c>
      <c r="Z565">
        <f ca="1">IFERROR(Table133[[#This Row],[call gamma]]*(Table133[[#This Row],[Open.Int]])*$A$4^2,0)</f>
        <v>0</v>
      </c>
      <c r="AA565">
        <f ca="1">IFERROR(((Table133[[#This Row],[Open.Int8]])*Table133[[#This Row],[Put gamma]])*-1*$A$4^2,0)</f>
        <v>0</v>
      </c>
      <c r="AB565">
        <f ca="1">(Table133[[#This Row],[Call Gex]]+Table133[[#This Row],[Put Gex]])</f>
        <v>0</v>
      </c>
      <c r="AC565">
        <f ca="1">Table133[[#This Row],[put delta adj]]+Table133[[#This Row],[call delta adj]]</f>
        <v>0</v>
      </c>
      <c r="AD565">
        <f ca="1">Table133[[#This Row],[Put Gex]]*Table133[[#This Row],[DeltaP]]*-1</f>
        <v>0</v>
      </c>
      <c r="AE565">
        <f ca="1">Table133[[#This Row],[Call Gex]]*Table133[[#This Row],[DeltaC]]</f>
        <v>0</v>
      </c>
      <c r="AF565">
        <f>IF(Table133[[#This Row],[DeltaC]]-ABS(Table133[[#This Row],[DeltaP]])="0","0.01",Table133[[#This Row],[DeltaC]]-ABS(Table133[[#This Row],[DeltaP]]))</f>
        <v>0</v>
      </c>
      <c r="AG565" t="e">
        <f ca="1">((LN($A$4/Table133[[#This Row],[Strike]]) + (0.411 + 0.5 * Table133[[#This Row],[IV Calc P]]^2) *Table133[[#This Row],[T]])) / (Table133[[#This Row],[IV Calc P]] * SQRT(Table133[[#This Row],[T]]))</f>
        <v>#DIV/0!</v>
      </c>
      <c r="AH565" t="e">
        <f ca="1">(LN($A$4/Table133[[#This Row],[Strike]]) + (0.411-0 + 0.5 * Table133[[#This Row],[IV Calc C]]^2) *Table133[[#This Row],[T]]) / (Table133[[#This Row],[IV Calc C]] * SQRT(Table133[[#This Row],[T]]))</f>
        <v>#DIV/0!</v>
      </c>
      <c r="AI565" t="e">
        <f ca="1">(EXP(-(AG565^2)/2)/SQRT(2*PI())*EXP(0*SQRT(Table133[[#This Row],[T]]))/$A$4*18%*SQRT(SQRT(Table133[[#This Row],[T]])))</f>
        <v>#DIV/0!</v>
      </c>
      <c r="AJ565" t="e">
        <f ca="1">(EXP(-(AH565^2)/2)/SQRT(2*PI())*EXP(0*SQRT(Table133[[#This Row],[T]]))/$A$4*18%*SQRT(SQRT(Table133[[#This Row],[T]])))</f>
        <v>#DIV/0!</v>
      </c>
      <c r="AK565" t="e">
        <f ca="1">Table133[[#This Row],[Call D1]]-Table133[[#This Row],[IV Calc C]]*SQRT(Table133[[#This Row],[T]])</f>
        <v>#DIV/0!</v>
      </c>
      <c r="AL565" t="e">
        <f ca="1">Table133[[#This Row],[Put D1]]-Table133[[#This Row],[IV Calc P]]*SQRT(Table133[[#This Row],[T]])</f>
        <v>#DIV/0!</v>
      </c>
      <c r="AM565" t="e">
        <f ca="1">EXP(-0.5*Table133[[#This Row],[Call D1]]^2)/SQRT(2*PI())</f>
        <v>#DIV/0!</v>
      </c>
      <c r="AN565" t="e">
        <f ca="1">EXP(-0.5*Table133[[#This Row],[Put D1]]^2)/SQRT(2*PI())</f>
        <v>#DIV/0!</v>
      </c>
      <c r="AO56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5">
        <f ca="1">((Table133[[#This Row],[call vanna]]+Table133[[#This Row],[put vanna]])*$A$4)</f>
        <v>0</v>
      </c>
      <c r="AR56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5" s="9" t="str" cm="1">
        <f t="array" ref="AT565">_xlfn.IFS(     $M$1="SPX","SPXW",     $M$1="RUT","RUTW",  $M$1="NDX","NDXP",   TRUE,$M$1 )</f>
        <v>SPXW</v>
      </c>
      <c r="AU565" s="2">
        <f t="shared" si="57"/>
        <v>6915</v>
      </c>
      <c r="AV565" t="str">
        <f t="shared" si="58"/>
        <v>000100</v>
      </c>
      <c r="AY56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5">
        <f>((Table133[[#This Row],[High C]]+Table133[[#This Row],[Low C]])/2)*Table133[[#This Row],[gammac]]*Table133[[#This Row],[Volume]]</f>
        <v>0</v>
      </c>
      <c r="BD565">
        <f>((Table133[[#This Row],[High P]]+Table133[[#This Row],[Low P]])/2)*Table133[[#This Row],[gammap]]*Table133[[#This Row],[Volume9]]*-1</f>
        <v>0</v>
      </c>
      <c r="BE565">
        <f>(Table133[[#This Row],[SgammaC]]+Table133[[#This Row],[SgammaP]])*$A$4*-100</f>
        <v>0</v>
      </c>
      <c r="BF565" s="78">
        <f>Table133[[#This Row],[DEXc]]+Table133[[#This Row],[DEXp]]</f>
        <v>0</v>
      </c>
      <c r="BG565">
        <f>IFERROR(Table133[[#This Row],[DeltaC]]*Table133[[#This Row],[Open.Int]]*$A$4,0)</f>
        <v>0</v>
      </c>
      <c r="BH565">
        <f>IFERROR(Table133[[#This Row],[DeltaP]]*Table133[[#This Row],[Open.Int8]]*$A$4,0)</f>
        <v>0</v>
      </c>
      <c r="BI56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5">
        <f ca="1">Table133[[#This Row],[charmc]]+Table133[[#This Row],[charmp]]</f>
        <v>0</v>
      </c>
      <c r="BL56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5" s="78">
        <f ca="1">Table133[[#This Row],[call helper]]+Table133[[#This Row],[put helper]]</f>
        <v>0</v>
      </c>
      <c r="BP565" t="str">
        <f>RTD("tos.rtd", , "STRIKE", "."&amp;Table133[[#This Row],[Ticker]]&amp;Table133[[#This Row],[Expiry]]&amp;""&amp;"C"&amp;Table133[[#This Row],[Spot]]+Table133[[#This Row],[step]])</f>
        <v>N/A</v>
      </c>
    </row>
    <row r="566" spans="1:68" x14ac:dyDescent="0.25">
      <c r="A566" s="14">
        <f t="shared" ca="1" si="54"/>
        <v>-126.14810350076104</v>
      </c>
      <c r="C566" s="17"/>
      <c r="D566" t="str">
        <f>RTD("tos.rtd", , "OPEN_INT", "."&amp;Table133[[#This Row],[Ticker]]&amp;Table133[[#This Row],[Expiry]]&amp;""&amp;"C"&amp;Table133[[#This Row],[Spot]]+Table133[[#This Row],[step]])</f>
        <v>N/A</v>
      </c>
      <c r="E56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6" t="b">
        <f>IF(     ISNUMBER(Table133[[#This Row],[Strike]]),RTD("tos.rtd", , "DELTA", "."&amp;Table133[[#This Row],[Ticker]]&amp;Table133[[#This Row],[Expiry]]&amp;""&amp;"C"&amp;Table133[[#This Row],[Strike]]))</f>
        <v>0</v>
      </c>
      <c r="H566" s="17" cm="1">
        <f t="array" aca="1" ref="H566" ca="1">IndividualLegIVCore($A$4, Table133[[#This Row],[Strike]], 0.0411, Table133[[#This Row],[T]], ((Table133[[#This Row],[BIDC]]+Table133[[#This Row],[ASKC]])/2), TRUE)</f>
        <v>0.01</v>
      </c>
      <c r="I566" t="b">
        <f>IF(     ISNUMBER(Table133[[#This Row],[Strike]]),RTD("tos.rtd", , "BID", "."&amp;Table133[[#This Row],[Ticker]]&amp;Table133[[#This Row],[Expiry]]&amp;""&amp;"C"&amp;Table133[[#This Row],[Strike]]))</f>
        <v>0</v>
      </c>
      <c r="J566" t="b">
        <f>IF(     ISNUMBER(Table133[[#This Row],[Strike]]),RTD("tos.rtd", , "ASK", "."&amp;Table133[[#This Row],[Ticker]]&amp;Table133[[#This Row],[Expiry]]&amp;""&amp;"C"&amp;Table133[[#This Row],[Strike]]))</f>
        <v>0</v>
      </c>
      <c r="K566" s="17"/>
      <c r="M566" s="1">
        <f t="shared" si="55"/>
        <v>0</v>
      </c>
      <c r="N566" t="b">
        <f t="shared" si="56"/>
        <v>0</v>
      </c>
      <c r="P566" s="17" cm="1">
        <f t="array" aca="1" ref="P566" ca="1">IndividualLegIVCore($A$4, Table133[[#This Row],[Strike]], 0.0411, Table133[[#This Row],[T]], ((Table133[[#This Row],[BIDP]]+Table133[[#This Row],[ASKP]])/2), FALSE)</f>
        <v>0.01</v>
      </c>
      <c r="Q566" t="b">
        <f>IF(     ISNUMBER(Table133[[#This Row],[Strike]]),RTD("tos.rtd", , "BID", "."&amp;Table133[[#This Row],[Ticker]]&amp;Table133[[#This Row],[Expiry]]&amp;""&amp;"P"&amp;Table133[[#This Row],[Strike]]))</f>
        <v>0</v>
      </c>
      <c r="R566" t="b">
        <f>IF(     ISNUMBER(Table133[[#This Row],[Strike]]),RTD("tos.rtd", , "ASK", "."&amp;Table133[[#This Row],[Ticker]]&amp;Table133[[#This Row],[Expiry]]&amp;""&amp;"P"&amp;Table133[[#This Row],[Strike]]))</f>
        <v>0</v>
      </c>
      <c r="S566" s="17"/>
      <c r="T566" t="b">
        <f>IF(     ISNUMBER(Table133[[#This Row],[Strike]]),RTD("tos.rtd", , "OPEN_INT", "."&amp;Table133[[#This Row],[Ticker]]&amp;Table133[[#This Row],[Expiry]]&amp;""&amp;"P"&amp;Table133[[#This Row],[Strike]]))</f>
        <v>0</v>
      </c>
      <c r="U56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6" t="b">
        <f>IF(     ISNUMBER(Table133[[#This Row],[Strike]]),RTD("tos.rtd", , "DELTA", "."&amp;Table133[[#This Row],[Ticker]]&amp;Table133[[#This Row],[Expiry]]&amp;""&amp;"P"&amp;Table133[[#This Row],[Strike]]))</f>
        <v>0</v>
      </c>
      <c r="Y566" s="19">
        <f>25* IF($M$1="NDX", 10, IF(OR($M$1="SPX", $M$1="RUT"), 2, 1))</f>
        <v>50</v>
      </c>
      <c r="Z566">
        <f ca="1">IFERROR(Table133[[#This Row],[call gamma]]*(Table133[[#This Row],[Open.Int]])*$A$4^2,0)</f>
        <v>0</v>
      </c>
      <c r="AA566">
        <f ca="1">IFERROR(((Table133[[#This Row],[Open.Int8]])*Table133[[#This Row],[Put gamma]])*-1*$A$4^2,0)</f>
        <v>0</v>
      </c>
      <c r="AB566">
        <f ca="1">(Table133[[#This Row],[Call Gex]]+Table133[[#This Row],[Put Gex]])</f>
        <v>0</v>
      </c>
      <c r="AC566">
        <f ca="1">Table133[[#This Row],[put delta adj]]+Table133[[#This Row],[call delta adj]]</f>
        <v>0</v>
      </c>
      <c r="AD566">
        <f ca="1">Table133[[#This Row],[Put Gex]]*Table133[[#This Row],[DeltaP]]*-1</f>
        <v>0</v>
      </c>
      <c r="AE566">
        <f ca="1">Table133[[#This Row],[Call Gex]]*Table133[[#This Row],[DeltaC]]</f>
        <v>0</v>
      </c>
      <c r="AF566">
        <f>IF(Table133[[#This Row],[DeltaC]]-ABS(Table133[[#This Row],[DeltaP]])="0","0.01",Table133[[#This Row],[DeltaC]]-ABS(Table133[[#This Row],[DeltaP]]))</f>
        <v>0</v>
      </c>
      <c r="AG566" t="e">
        <f ca="1">((LN($A$4/Table133[[#This Row],[Strike]]) + (0.411 + 0.5 * Table133[[#This Row],[IV Calc P]]^2) *Table133[[#This Row],[T]])) / (Table133[[#This Row],[IV Calc P]] * SQRT(Table133[[#This Row],[T]]))</f>
        <v>#DIV/0!</v>
      </c>
      <c r="AH566" t="e">
        <f ca="1">(LN($A$4/Table133[[#This Row],[Strike]]) + (0.411-0 + 0.5 * Table133[[#This Row],[IV Calc C]]^2) *Table133[[#This Row],[T]]) / (Table133[[#This Row],[IV Calc C]] * SQRT(Table133[[#This Row],[T]]))</f>
        <v>#DIV/0!</v>
      </c>
      <c r="AI566" t="e">
        <f ca="1">(EXP(-(AG566^2)/2)/SQRT(2*PI())*EXP(0*SQRT(Table133[[#This Row],[T]]))/$A$4*18%*SQRT(SQRT(Table133[[#This Row],[T]])))</f>
        <v>#DIV/0!</v>
      </c>
      <c r="AJ566" t="e">
        <f ca="1">(EXP(-(AH566^2)/2)/SQRT(2*PI())*EXP(0*SQRT(Table133[[#This Row],[T]]))/$A$4*18%*SQRT(SQRT(Table133[[#This Row],[T]])))</f>
        <v>#DIV/0!</v>
      </c>
      <c r="AK566" t="e">
        <f ca="1">Table133[[#This Row],[Call D1]]-Table133[[#This Row],[IV Calc C]]*SQRT(Table133[[#This Row],[T]])</f>
        <v>#DIV/0!</v>
      </c>
      <c r="AL566" t="e">
        <f ca="1">Table133[[#This Row],[Put D1]]-Table133[[#This Row],[IV Calc P]]*SQRT(Table133[[#This Row],[T]])</f>
        <v>#DIV/0!</v>
      </c>
      <c r="AM566" t="e">
        <f ca="1">EXP(-0.5*Table133[[#This Row],[Call D1]]^2)/SQRT(2*PI())</f>
        <v>#DIV/0!</v>
      </c>
      <c r="AN566" t="e">
        <f ca="1">EXP(-0.5*Table133[[#This Row],[Put D1]]^2)/SQRT(2*PI())</f>
        <v>#DIV/0!</v>
      </c>
      <c r="AO56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6">
        <f ca="1">((Table133[[#This Row],[call vanna]]+Table133[[#This Row],[put vanna]])*$A$4)</f>
        <v>0</v>
      </c>
      <c r="AR56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6" s="9" t="str" cm="1">
        <f t="array" ref="AT566">_xlfn.IFS(     $M$1="SPX","SPXW",     $M$1="RUT","RUTW",  $M$1="NDX","NDXP",   TRUE,$M$1 )</f>
        <v>SPXW</v>
      </c>
      <c r="AU566" s="2">
        <f t="shared" si="57"/>
        <v>6915</v>
      </c>
      <c r="AV566" t="str">
        <f t="shared" si="58"/>
        <v>000100</v>
      </c>
      <c r="AY56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6">
        <f>((Table133[[#This Row],[High C]]+Table133[[#This Row],[Low C]])/2)*Table133[[#This Row],[gammac]]*Table133[[#This Row],[Volume]]</f>
        <v>0</v>
      </c>
      <c r="BD566">
        <f>((Table133[[#This Row],[High P]]+Table133[[#This Row],[Low P]])/2)*Table133[[#This Row],[gammap]]*Table133[[#This Row],[Volume9]]*-1</f>
        <v>0</v>
      </c>
      <c r="BE566">
        <f>(Table133[[#This Row],[SgammaC]]+Table133[[#This Row],[SgammaP]])*$A$4*-100</f>
        <v>0</v>
      </c>
      <c r="BF566" s="78">
        <f>Table133[[#This Row],[DEXc]]+Table133[[#This Row],[DEXp]]</f>
        <v>0</v>
      </c>
      <c r="BG566">
        <f>IFERROR(Table133[[#This Row],[DeltaC]]*Table133[[#This Row],[Open.Int]]*$A$4,0)</f>
        <v>0</v>
      </c>
      <c r="BH566">
        <f>IFERROR(Table133[[#This Row],[DeltaP]]*Table133[[#This Row],[Open.Int8]]*$A$4,0)</f>
        <v>0</v>
      </c>
      <c r="BI56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6">
        <f ca="1">Table133[[#This Row],[charmc]]+Table133[[#This Row],[charmp]]</f>
        <v>0</v>
      </c>
      <c r="BL56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6" s="78">
        <f ca="1">Table133[[#This Row],[call helper]]+Table133[[#This Row],[put helper]]</f>
        <v>0</v>
      </c>
      <c r="BP566" t="str">
        <f>RTD("tos.rtd", , "STRIKE", "."&amp;Table133[[#This Row],[Ticker]]&amp;Table133[[#This Row],[Expiry]]&amp;""&amp;"C"&amp;Table133[[#This Row],[Spot]]+Table133[[#This Row],[step]])</f>
        <v>N/A</v>
      </c>
    </row>
    <row r="567" spans="1:68" x14ac:dyDescent="0.25">
      <c r="A567" s="14">
        <f t="shared" ca="1" si="54"/>
        <v>-126.14810350076104</v>
      </c>
      <c r="C567" s="17"/>
      <c r="D567" t="str">
        <f>RTD("tos.rtd", , "OPEN_INT", "."&amp;Table133[[#This Row],[Ticker]]&amp;Table133[[#This Row],[Expiry]]&amp;""&amp;"C"&amp;Table133[[#This Row],[Spot]]+Table133[[#This Row],[step]])</f>
        <v>N/A</v>
      </c>
      <c r="E56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7" t="b">
        <f>IF(     ISNUMBER(Table133[[#This Row],[Strike]]),RTD("tos.rtd", , "DELTA", "."&amp;Table133[[#This Row],[Ticker]]&amp;Table133[[#This Row],[Expiry]]&amp;""&amp;"C"&amp;Table133[[#This Row],[Strike]]))</f>
        <v>0</v>
      </c>
      <c r="H567" s="17" cm="1">
        <f t="array" aca="1" ref="H567" ca="1">IndividualLegIVCore($A$4, Table133[[#This Row],[Strike]], 0.0411, Table133[[#This Row],[T]], ((Table133[[#This Row],[BIDC]]+Table133[[#This Row],[ASKC]])/2), TRUE)</f>
        <v>0.01</v>
      </c>
      <c r="I567" t="b">
        <f>IF(     ISNUMBER(Table133[[#This Row],[Strike]]),RTD("tos.rtd", , "BID", "."&amp;Table133[[#This Row],[Ticker]]&amp;Table133[[#This Row],[Expiry]]&amp;""&amp;"C"&amp;Table133[[#This Row],[Strike]]))</f>
        <v>0</v>
      </c>
      <c r="J567" t="b">
        <f>IF(     ISNUMBER(Table133[[#This Row],[Strike]]),RTD("tos.rtd", , "ASK", "."&amp;Table133[[#This Row],[Ticker]]&amp;Table133[[#This Row],[Expiry]]&amp;""&amp;"C"&amp;Table133[[#This Row],[Strike]]))</f>
        <v>0</v>
      </c>
      <c r="K567" s="17"/>
      <c r="M567" s="1">
        <f t="shared" si="55"/>
        <v>0</v>
      </c>
      <c r="N567" t="b">
        <f t="shared" si="56"/>
        <v>0</v>
      </c>
      <c r="P567" s="17" cm="1">
        <f t="array" aca="1" ref="P567" ca="1">IndividualLegIVCore($A$4, Table133[[#This Row],[Strike]], 0.0411, Table133[[#This Row],[T]], ((Table133[[#This Row],[BIDP]]+Table133[[#This Row],[ASKP]])/2), FALSE)</f>
        <v>0.01</v>
      </c>
      <c r="Q567" t="b">
        <f>IF(     ISNUMBER(Table133[[#This Row],[Strike]]),RTD("tos.rtd", , "BID", "."&amp;Table133[[#This Row],[Ticker]]&amp;Table133[[#This Row],[Expiry]]&amp;""&amp;"P"&amp;Table133[[#This Row],[Strike]]))</f>
        <v>0</v>
      </c>
      <c r="R567" t="b">
        <f>IF(     ISNUMBER(Table133[[#This Row],[Strike]]),RTD("tos.rtd", , "ASK", "."&amp;Table133[[#This Row],[Ticker]]&amp;Table133[[#This Row],[Expiry]]&amp;""&amp;"P"&amp;Table133[[#This Row],[Strike]]))</f>
        <v>0</v>
      </c>
      <c r="S567" s="17"/>
      <c r="T567" t="b">
        <f>IF(     ISNUMBER(Table133[[#This Row],[Strike]]),RTD("tos.rtd", , "OPEN_INT", "."&amp;Table133[[#This Row],[Ticker]]&amp;Table133[[#This Row],[Expiry]]&amp;""&amp;"P"&amp;Table133[[#This Row],[Strike]]))</f>
        <v>0</v>
      </c>
      <c r="U56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7" t="b">
        <f>IF(     ISNUMBER(Table133[[#This Row],[Strike]]),RTD("tos.rtd", , "DELTA", "."&amp;Table133[[#This Row],[Ticker]]&amp;Table133[[#This Row],[Expiry]]&amp;""&amp;"P"&amp;Table133[[#This Row],[Strike]]))</f>
        <v>0</v>
      </c>
      <c r="Y567" s="19">
        <f>25.5* IF($M$1="NDX", 10, IF(OR($M$1="SPX", $M$1="RUT"), 2, 1))</f>
        <v>51</v>
      </c>
      <c r="Z567">
        <f ca="1">IFERROR(Table133[[#This Row],[call gamma]]*(Table133[[#This Row],[Open.Int]])*$A$4^2,0)</f>
        <v>0</v>
      </c>
      <c r="AA567">
        <f ca="1">IFERROR(((Table133[[#This Row],[Open.Int8]])*Table133[[#This Row],[Put gamma]])*-1*$A$4^2,0)</f>
        <v>0</v>
      </c>
      <c r="AB567">
        <f ca="1">(Table133[[#This Row],[Call Gex]]+Table133[[#This Row],[Put Gex]])</f>
        <v>0</v>
      </c>
      <c r="AC567">
        <f ca="1">Table133[[#This Row],[put delta adj]]+Table133[[#This Row],[call delta adj]]</f>
        <v>0</v>
      </c>
      <c r="AD567">
        <f ca="1">Table133[[#This Row],[Put Gex]]*Table133[[#This Row],[DeltaP]]*-1</f>
        <v>0</v>
      </c>
      <c r="AE567">
        <f ca="1">Table133[[#This Row],[Call Gex]]*Table133[[#This Row],[DeltaC]]</f>
        <v>0</v>
      </c>
      <c r="AF567">
        <f>IF(Table133[[#This Row],[DeltaC]]-ABS(Table133[[#This Row],[DeltaP]])="0","0.01",Table133[[#This Row],[DeltaC]]-ABS(Table133[[#This Row],[DeltaP]]))</f>
        <v>0</v>
      </c>
      <c r="AG567" t="e">
        <f ca="1">((LN($A$4/Table133[[#This Row],[Strike]]) + (0.411 + 0.5 * Table133[[#This Row],[IV Calc P]]^2) *Table133[[#This Row],[T]])) / (Table133[[#This Row],[IV Calc P]] * SQRT(Table133[[#This Row],[T]]))</f>
        <v>#DIV/0!</v>
      </c>
      <c r="AH567" t="e">
        <f ca="1">(LN($A$4/Table133[[#This Row],[Strike]]) + (0.411-0 + 0.5 * Table133[[#This Row],[IV Calc C]]^2) *Table133[[#This Row],[T]]) / (Table133[[#This Row],[IV Calc C]] * SQRT(Table133[[#This Row],[T]]))</f>
        <v>#DIV/0!</v>
      </c>
      <c r="AI567" t="e">
        <f ca="1">(EXP(-(AG567^2)/2)/SQRT(2*PI())*EXP(0*SQRT(Table133[[#This Row],[T]]))/$A$4*18%*SQRT(SQRT(Table133[[#This Row],[T]])))</f>
        <v>#DIV/0!</v>
      </c>
      <c r="AJ567" t="e">
        <f ca="1">(EXP(-(AH567^2)/2)/SQRT(2*PI())*EXP(0*SQRT(Table133[[#This Row],[T]]))/$A$4*18%*SQRT(SQRT(Table133[[#This Row],[T]])))</f>
        <v>#DIV/0!</v>
      </c>
      <c r="AK567" t="e">
        <f ca="1">Table133[[#This Row],[Call D1]]-Table133[[#This Row],[IV Calc C]]*SQRT(Table133[[#This Row],[T]])</f>
        <v>#DIV/0!</v>
      </c>
      <c r="AL567" t="e">
        <f ca="1">Table133[[#This Row],[Put D1]]-Table133[[#This Row],[IV Calc P]]*SQRT(Table133[[#This Row],[T]])</f>
        <v>#DIV/0!</v>
      </c>
      <c r="AM567" t="e">
        <f ca="1">EXP(-0.5*Table133[[#This Row],[Call D1]]^2)/SQRT(2*PI())</f>
        <v>#DIV/0!</v>
      </c>
      <c r="AN567" t="e">
        <f ca="1">EXP(-0.5*Table133[[#This Row],[Put D1]]^2)/SQRT(2*PI())</f>
        <v>#DIV/0!</v>
      </c>
      <c r="AO56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7">
        <f ca="1">((Table133[[#This Row],[call vanna]]+Table133[[#This Row],[put vanna]])*$A$4)</f>
        <v>0</v>
      </c>
      <c r="AR56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7" s="9" t="str" cm="1">
        <f t="array" ref="AT567">_xlfn.IFS(     $M$1="SPX","SPXW",     $M$1="RUT","RUTW",  $M$1="NDX","NDXP",   TRUE,$M$1 )</f>
        <v>SPXW</v>
      </c>
      <c r="AU567" s="2">
        <f t="shared" si="57"/>
        <v>6915</v>
      </c>
      <c r="AV567" t="str">
        <f t="shared" si="58"/>
        <v>000100</v>
      </c>
      <c r="AY56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7">
        <f>((Table133[[#This Row],[High C]]+Table133[[#This Row],[Low C]])/2)*Table133[[#This Row],[gammac]]*Table133[[#This Row],[Volume]]</f>
        <v>0</v>
      </c>
      <c r="BD567">
        <f>((Table133[[#This Row],[High P]]+Table133[[#This Row],[Low P]])/2)*Table133[[#This Row],[gammap]]*Table133[[#This Row],[Volume9]]*-1</f>
        <v>0</v>
      </c>
      <c r="BE567">
        <f>(Table133[[#This Row],[SgammaC]]+Table133[[#This Row],[SgammaP]])*$A$4*-100</f>
        <v>0</v>
      </c>
      <c r="BF567" s="78">
        <f>Table133[[#This Row],[DEXc]]+Table133[[#This Row],[DEXp]]</f>
        <v>0</v>
      </c>
      <c r="BG567">
        <f>IFERROR(Table133[[#This Row],[DeltaC]]*Table133[[#This Row],[Open.Int]]*$A$4,0)</f>
        <v>0</v>
      </c>
      <c r="BH567">
        <f>IFERROR(Table133[[#This Row],[DeltaP]]*Table133[[#This Row],[Open.Int8]]*$A$4,0)</f>
        <v>0</v>
      </c>
      <c r="BI56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7">
        <f ca="1">Table133[[#This Row],[charmc]]+Table133[[#This Row],[charmp]]</f>
        <v>0</v>
      </c>
      <c r="BL56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7" s="78">
        <f ca="1">Table133[[#This Row],[call helper]]+Table133[[#This Row],[put helper]]</f>
        <v>0</v>
      </c>
      <c r="BP567" t="str">
        <f>RTD("tos.rtd", , "STRIKE", "."&amp;Table133[[#This Row],[Ticker]]&amp;Table133[[#This Row],[Expiry]]&amp;""&amp;"C"&amp;Table133[[#This Row],[Spot]]+Table133[[#This Row],[step]])</f>
        <v>N/A</v>
      </c>
    </row>
    <row r="568" spans="1:68" x14ac:dyDescent="0.25">
      <c r="A568" s="14">
        <f t="shared" ca="1" si="54"/>
        <v>-126.14810350076104</v>
      </c>
      <c r="C568" s="17"/>
      <c r="D568" t="str">
        <f>RTD("tos.rtd", , "OPEN_INT", "."&amp;Table133[[#This Row],[Ticker]]&amp;Table133[[#This Row],[Expiry]]&amp;""&amp;"C"&amp;Table133[[#This Row],[Spot]]+Table133[[#This Row],[step]])</f>
        <v>N/A</v>
      </c>
      <c r="E56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8" t="b">
        <f>IF(     ISNUMBER(Table133[[#This Row],[Strike]]),RTD("tos.rtd", , "DELTA", "."&amp;Table133[[#This Row],[Ticker]]&amp;Table133[[#This Row],[Expiry]]&amp;""&amp;"C"&amp;Table133[[#This Row],[Strike]]))</f>
        <v>0</v>
      </c>
      <c r="H568" s="17" cm="1">
        <f t="array" aca="1" ref="H568" ca="1">IndividualLegIVCore($A$4, Table133[[#This Row],[Strike]], 0.0411, Table133[[#This Row],[T]], ((Table133[[#This Row],[BIDC]]+Table133[[#This Row],[ASKC]])/2), TRUE)</f>
        <v>0.01</v>
      </c>
      <c r="I568" t="b">
        <f>IF(     ISNUMBER(Table133[[#This Row],[Strike]]),RTD("tos.rtd", , "BID", "."&amp;Table133[[#This Row],[Ticker]]&amp;Table133[[#This Row],[Expiry]]&amp;""&amp;"C"&amp;Table133[[#This Row],[Strike]]))</f>
        <v>0</v>
      </c>
      <c r="J568" t="b">
        <f>IF(     ISNUMBER(Table133[[#This Row],[Strike]]),RTD("tos.rtd", , "ASK", "."&amp;Table133[[#This Row],[Ticker]]&amp;Table133[[#This Row],[Expiry]]&amp;""&amp;"C"&amp;Table133[[#This Row],[Strike]]))</f>
        <v>0</v>
      </c>
      <c r="K568" s="17"/>
      <c r="M568" s="1">
        <f t="shared" si="55"/>
        <v>0</v>
      </c>
      <c r="N568" t="b">
        <f t="shared" si="56"/>
        <v>0</v>
      </c>
      <c r="P568" s="17" cm="1">
        <f t="array" aca="1" ref="P568" ca="1">IndividualLegIVCore($A$4, Table133[[#This Row],[Strike]], 0.0411, Table133[[#This Row],[T]], ((Table133[[#This Row],[BIDP]]+Table133[[#This Row],[ASKP]])/2), FALSE)</f>
        <v>0.01</v>
      </c>
      <c r="Q568" t="b">
        <f>IF(     ISNUMBER(Table133[[#This Row],[Strike]]),RTD("tos.rtd", , "BID", "."&amp;Table133[[#This Row],[Ticker]]&amp;Table133[[#This Row],[Expiry]]&amp;""&amp;"P"&amp;Table133[[#This Row],[Strike]]))</f>
        <v>0</v>
      </c>
      <c r="R568" t="b">
        <f>IF(     ISNUMBER(Table133[[#This Row],[Strike]]),RTD("tos.rtd", , "ASK", "."&amp;Table133[[#This Row],[Ticker]]&amp;Table133[[#This Row],[Expiry]]&amp;""&amp;"P"&amp;Table133[[#This Row],[Strike]]))</f>
        <v>0</v>
      </c>
      <c r="S568" s="17"/>
      <c r="T568" t="b">
        <f>IF(     ISNUMBER(Table133[[#This Row],[Strike]]),RTD("tos.rtd", , "OPEN_INT", "."&amp;Table133[[#This Row],[Ticker]]&amp;Table133[[#This Row],[Expiry]]&amp;""&amp;"P"&amp;Table133[[#This Row],[Strike]]))</f>
        <v>0</v>
      </c>
      <c r="U56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8" t="b">
        <f>IF(     ISNUMBER(Table133[[#This Row],[Strike]]),RTD("tos.rtd", , "DELTA", "."&amp;Table133[[#This Row],[Ticker]]&amp;Table133[[#This Row],[Expiry]]&amp;""&amp;"P"&amp;Table133[[#This Row],[Strike]]))</f>
        <v>0</v>
      </c>
      <c r="Y568" s="19">
        <f>26* IF($M$1="NDX", 10, IF(OR($M$1="SPX", $M$1="RUT"), 2, 1))</f>
        <v>52</v>
      </c>
      <c r="Z568">
        <f ca="1">IFERROR(Table133[[#This Row],[call gamma]]*(Table133[[#This Row],[Open.Int]])*$A$4^2,0)</f>
        <v>0</v>
      </c>
      <c r="AA568">
        <f ca="1">IFERROR(((Table133[[#This Row],[Open.Int8]])*Table133[[#This Row],[Put gamma]])*-1*$A$4^2,0)</f>
        <v>0</v>
      </c>
      <c r="AB568">
        <f ca="1">(Table133[[#This Row],[Call Gex]]+Table133[[#This Row],[Put Gex]])</f>
        <v>0</v>
      </c>
      <c r="AC568">
        <f ca="1">Table133[[#This Row],[put delta adj]]+Table133[[#This Row],[call delta adj]]</f>
        <v>0</v>
      </c>
      <c r="AD568">
        <f ca="1">Table133[[#This Row],[Put Gex]]*Table133[[#This Row],[DeltaP]]*-1</f>
        <v>0</v>
      </c>
      <c r="AE568">
        <f ca="1">Table133[[#This Row],[Call Gex]]*Table133[[#This Row],[DeltaC]]</f>
        <v>0</v>
      </c>
      <c r="AF568">
        <f>IF(Table133[[#This Row],[DeltaC]]-ABS(Table133[[#This Row],[DeltaP]])="0","0.01",Table133[[#This Row],[DeltaC]]-ABS(Table133[[#This Row],[DeltaP]]))</f>
        <v>0</v>
      </c>
      <c r="AG568" t="e">
        <f ca="1">((LN($A$4/Table133[[#This Row],[Strike]]) + (0.411 + 0.5 * Table133[[#This Row],[IV Calc P]]^2) *Table133[[#This Row],[T]])) / (Table133[[#This Row],[IV Calc P]] * SQRT(Table133[[#This Row],[T]]))</f>
        <v>#DIV/0!</v>
      </c>
      <c r="AH568" t="e">
        <f ca="1">(LN($A$4/Table133[[#This Row],[Strike]]) + (0.411-0 + 0.5 * Table133[[#This Row],[IV Calc C]]^2) *Table133[[#This Row],[T]]) / (Table133[[#This Row],[IV Calc C]] * SQRT(Table133[[#This Row],[T]]))</f>
        <v>#DIV/0!</v>
      </c>
      <c r="AI568" t="e">
        <f ca="1">(EXP(-(AG568^2)/2)/SQRT(2*PI())*EXP(0*SQRT(Table133[[#This Row],[T]]))/$A$4*18%*SQRT(SQRT(Table133[[#This Row],[T]])))</f>
        <v>#DIV/0!</v>
      </c>
      <c r="AJ568" t="e">
        <f ca="1">(EXP(-(AH568^2)/2)/SQRT(2*PI())*EXP(0*SQRT(Table133[[#This Row],[T]]))/$A$4*18%*SQRT(SQRT(Table133[[#This Row],[T]])))</f>
        <v>#DIV/0!</v>
      </c>
      <c r="AK568" t="e">
        <f ca="1">Table133[[#This Row],[Call D1]]-Table133[[#This Row],[IV Calc C]]*SQRT(Table133[[#This Row],[T]])</f>
        <v>#DIV/0!</v>
      </c>
      <c r="AL568" t="e">
        <f ca="1">Table133[[#This Row],[Put D1]]-Table133[[#This Row],[IV Calc P]]*SQRT(Table133[[#This Row],[T]])</f>
        <v>#DIV/0!</v>
      </c>
      <c r="AM568" t="e">
        <f ca="1">EXP(-0.5*Table133[[#This Row],[Call D1]]^2)/SQRT(2*PI())</f>
        <v>#DIV/0!</v>
      </c>
      <c r="AN568" t="e">
        <f ca="1">EXP(-0.5*Table133[[#This Row],[Put D1]]^2)/SQRT(2*PI())</f>
        <v>#DIV/0!</v>
      </c>
      <c r="AO56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8">
        <f ca="1">((Table133[[#This Row],[call vanna]]+Table133[[#This Row],[put vanna]])*$A$4)</f>
        <v>0</v>
      </c>
      <c r="AR56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8" s="9" t="str" cm="1">
        <f t="array" ref="AT568">_xlfn.IFS(     $M$1="SPX","SPXW",     $M$1="RUT","RUTW",  $M$1="NDX","NDXP",   TRUE,$M$1 )</f>
        <v>SPXW</v>
      </c>
      <c r="AU568" s="2">
        <f t="shared" si="57"/>
        <v>6915</v>
      </c>
      <c r="AV568" t="str">
        <f t="shared" si="58"/>
        <v>000100</v>
      </c>
      <c r="AY56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8">
        <f>((Table133[[#This Row],[High C]]+Table133[[#This Row],[Low C]])/2)*Table133[[#This Row],[gammac]]*Table133[[#This Row],[Volume]]</f>
        <v>0</v>
      </c>
      <c r="BD568">
        <f>((Table133[[#This Row],[High P]]+Table133[[#This Row],[Low P]])/2)*Table133[[#This Row],[gammap]]*Table133[[#This Row],[Volume9]]*-1</f>
        <v>0</v>
      </c>
      <c r="BE568">
        <f>(Table133[[#This Row],[SgammaC]]+Table133[[#This Row],[SgammaP]])*$A$4*-100</f>
        <v>0</v>
      </c>
      <c r="BF568" s="78">
        <f>Table133[[#This Row],[DEXc]]+Table133[[#This Row],[DEXp]]</f>
        <v>0</v>
      </c>
      <c r="BG568">
        <f>IFERROR(Table133[[#This Row],[DeltaC]]*Table133[[#This Row],[Open.Int]]*$A$4,0)</f>
        <v>0</v>
      </c>
      <c r="BH568">
        <f>IFERROR(Table133[[#This Row],[DeltaP]]*Table133[[#This Row],[Open.Int8]]*$A$4,0)</f>
        <v>0</v>
      </c>
      <c r="BI56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8">
        <f ca="1">Table133[[#This Row],[charmc]]+Table133[[#This Row],[charmp]]</f>
        <v>0</v>
      </c>
      <c r="BL56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8" s="78">
        <f ca="1">Table133[[#This Row],[call helper]]+Table133[[#This Row],[put helper]]</f>
        <v>0</v>
      </c>
      <c r="BP568" t="str">
        <f>RTD("tos.rtd", , "STRIKE", "."&amp;Table133[[#This Row],[Ticker]]&amp;Table133[[#This Row],[Expiry]]&amp;""&amp;"C"&amp;Table133[[#This Row],[Spot]]+Table133[[#This Row],[step]])</f>
        <v>N/A</v>
      </c>
    </row>
    <row r="569" spans="1:68" x14ac:dyDescent="0.25">
      <c r="A569" s="14">
        <f t="shared" ca="1" si="54"/>
        <v>-126.14810350076104</v>
      </c>
      <c r="C569" s="17"/>
      <c r="D569" t="str">
        <f>RTD("tos.rtd", , "OPEN_INT", "."&amp;Table133[[#This Row],[Ticker]]&amp;Table133[[#This Row],[Expiry]]&amp;""&amp;"C"&amp;Table133[[#This Row],[Spot]]+Table133[[#This Row],[step]])</f>
        <v>N/A</v>
      </c>
      <c r="E56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9" t="b">
        <f>IF(     ISNUMBER(Table133[[#This Row],[Strike]]),RTD("tos.rtd", , "DELTA", "."&amp;Table133[[#This Row],[Ticker]]&amp;Table133[[#This Row],[Expiry]]&amp;""&amp;"C"&amp;Table133[[#This Row],[Strike]]))</f>
        <v>0</v>
      </c>
      <c r="H569" s="17" cm="1">
        <f t="array" aca="1" ref="H569" ca="1">IndividualLegIVCore($A$4, Table133[[#This Row],[Strike]], 0.0411, Table133[[#This Row],[T]], ((Table133[[#This Row],[BIDC]]+Table133[[#This Row],[ASKC]])/2), TRUE)</f>
        <v>0.01</v>
      </c>
      <c r="I569" t="b">
        <f>IF(     ISNUMBER(Table133[[#This Row],[Strike]]),RTD("tos.rtd", , "BID", "."&amp;Table133[[#This Row],[Ticker]]&amp;Table133[[#This Row],[Expiry]]&amp;""&amp;"C"&amp;Table133[[#This Row],[Strike]]))</f>
        <v>0</v>
      </c>
      <c r="J569" t="b">
        <f>IF(     ISNUMBER(Table133[[#This Row],[Strike]]),RTD("tos.rtd", , "ASK", "."&amp;Table133[[#This Row],[Ticker]]&amp;Table133[[#This Row],[Expiry]]&amp;""&amp;"C"&amp;Table133[[#This Row],[Strike]]))</f>
        <v>0</v>
      </c>
      <c r="K569" s="17"/>
      <c r="M569" s="1">
        <f t="shared" si="55"/>
        <v>0</v>
      </c>
      <c r="N569" t="b">
        <f t="shared" si="56"/>
        <v>0</v>
      </c>
      <c r="P569" s="17" cm="1">
        <f t="array" aca="1" ref="P569" ca="1">IndividualLegIVCore($A$4, Table133[[#This Row],[Strike]], 0.0411, Table133[[#This Row],[T]], ((Table133[[#This Row],[BIDP]]+Table133[[#This Row],[ASKP]])/2), FALSE)</f>
        <v>0.01</v>
      </c>
      <c r="Q569" t="b">
        <f>IF(     ISNUMBER(Table133[[#This Row],[Strike]]),RTD("tos.rtd", , "BID", "."&amp;Table133[[#This Row],[Ticker]]&amp;Table133[[#This Row],[Expiry]]&amp;""&amp;"P"&amp;Table133[[#This Row],[Strike]]))</f>
        <v>0</v>
      </c>
      <c r="R569" t="b">
        <f>IF(     ISNUMBER(Table133[[#This Row],[Strike]]),RTD("tos.rtd", , "ASK", "."&amp;Table133[[#This Row],[Ticker]]&amp;Table133[[#This Row],[Expiry]]&amp;""&amp;"P"&amp;Table133[[#This Row],[Strike]]))</f>
        <v>0</v>
      </c>
      <c r="S569" s="17"/>
      <c r="T569" t="b">
        <f>IF(     ISNUMBER(Table133[[#This Row],[Strike]]),RTD("tos.rtd", , "OPEN_INT", "."&amp;Table133[[#This Row],[Ticker]]&amp;Table133[[#This Row],[Expiry]]&amp;""&amp;"P"&amp;Table133[[#This Row],[Strike]]))</f>
        <v>0</v>
      </c>
      <c r="U56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9" t="b">
        <f>IF(     ISNUMBER(Table133[[#This Row],[Strike]]),RTD("tos.rtd", , "DELTA", "."&amp;Table133[[#This Row],[Ticker]]&amp;Table133[[#This Row],[Expiry]]&amp;""&amp;"P"&amp;Table133[[#This Row],[Strike]]))</f>
        <v>0</v>
      </c>
      <c r="Y569" s="19">
        <f>26.5* IF($M$1="NDX", 10, IF(OR($M$1="SPX", $M$1="RUT"), 2, 1))</f>
        <v>53</v>
      </c>
      <c r="Z569">
        <f ca="1">IFERROR(Table133[[#This Row],[call gamma]]*(Table133[[#This Row],[Open.Int]])*$A$4^2,0)</f>
        <v>0</v>
      </c>
      <c r="AA569">
        <f ca="1">IFERROR(((Table133[[#This Row],[Open.Int8]])*Table133[[#This Row],[Put gamma]])*-1*$A$4^2,0)</f>
        <v>0</v>
      </c>
      <c r="AB569">
        <f ca="1">(Table133[[#This Row],[Call Gex]]+Table133[[#This Row],[Put Gex]])</f>
        <v>0</v>
      </c>
      <c r="AC569">
        <f ca="1">Table133[[#This Row],[put delta adj]]+Table133[[#This Row],[call delta adj]]</f>
        <v>0</v>
      </c>
      <c r="AD569">
        <f ca="1">Table133[[#This Row],[Put Gex]]*Table133[[#This Row],[DeltaP]]*-1</f>
        <v>0</v>
      </c>
      <c r="AE569">
        <f ca="1">Table133[[#This Row],[Call Gex]]*Table133[[#This Row],[DeltaC]]</f>
        <v>0</v>
      </c>
      <c r="AF569">
        <f>IF(Table133[[#This Row],[DeltaC]]-ABS(Table133[[#This Row],[DeltaP]])="0","0.01",Table133[[#This Row],[DeltaC]]-ABS(Table133[[#This Row],[DeltaP]]))</f>
        <v>0</v>
      </c>
      <c r="AG569" t="e">
        <f ca="1">((LN($A$4/Table133[[#This Row],[Strike]]) + (0.411 + 0.5 * Table133[[#This Row],[IV Calc P]]^2) *Table133[[#This Row],[T]])) / (Table133[[#This Row],[IV Calc P]] * SQRT(Table133[[#This Row],[T]]))</f>
        <v>#DIV/0!</v>
      </c>
      <c r="AH569" t="e">
        <f ca="1">(LN($A$4/Table133[[#This Row],[Strike]]) + (0.411-0 + 0.5 * Table133[[#This Row],[IV Calc C]]^2) *Table133[[#This Row],[T]]) / (Table133[[#This Row],[IV Calc C]] * SQRT(Table133[[#This Row],[T]]))</f>
        <v>#DIV/0!</v>
      </c>
      <c r="AI569" t="e">
        <f ca="1">(EXP(-(AG569^2)/2)/SQRT(2*PI())*EXP(0*SQRT(Table133[[#This Row],[T]]))/$A$4*18%*SQRT(SQRT(Table133[[#This Row],[T]])))</f>
        <v>#DIV/0!</v>
      </c>
      <c r="AJ569" t="e">
        <f ca="1">(EXP(-(AH569^2)/2)/SQRT(2*PI())*EXP(0*SQRT(Table133[[#This Row],[T]]))/$A$4*18%*SQRT(SQRT(Table133[[#This Row],[T]])))</f>
        <v>#DIV/0!</v>
      </c>
      <c r="AK569" t="e">
        <f ca="1">Table133[[#This Row],[Call D1]]-Table133[[#This Row],[IV Calc C]]*SQRT(Table133[[#This Row],[T]])</f>
        <v>#DIV/0!</v>
      </c>
      <c r="AL569" t="e">
        <f ca="1">Table133[[#This Row],[Put D1]]-Table133[[#This Row],[IV Calc P]]*SQRT(Table133[[#This Row],[T]])</f>
        <v>#DIV/0!</v>
      </c>
      <c r="AM569" t="e">
        <f ca="1">EXP(-0.5*Table133[[#This Row],[Call D1]]^2)/SQRT(2*PI())</f>
        <v>#DIV/0!</v>
      </c>
      <c r="AN569" t="e">
        <f ca="1">EXP(-0.5*Table133[[#This Row],[Put D1]]^2)/SQRT(2*PI())</f>
        <v>#DIV/0!</v>
      </c>
      <c r="AO56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9">
        <f ca="1">((Table133[[#This Row],[call vanna]]+Table133[[#This Row],[put vanna]])*$A$4)</f>
        <v>0</v>
      </c>
      <c r="AR56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9" s="9" t="str" cm="1">
        <f t="array" ref="AT569">_xlfn.IFS(     $M$1="SPX","SPXW",     $M$1="RUT","RUTW",  $M$1="NDX","NDXP",   TRUE,$M$1 )</f>
        <v>SPXW</v>
      </c>
      <c r="AU569" s="2">
        <f t="shared" si="57"/>
        <v>6915</v>
      </c>
      <c r="AV569" t="str">
        <f t="shared" si="58"/>
        <v>000100</v>
      </c>
      <c r="AY56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9">
        <f>((Table133[[#This Row],[High C]]+Table133[[#This Row],[Low C]])/2)*Table133[[#This Row],[gammac]]*Table133[[#This Row],[Volume]]</f>
        <v>0</v>
      </c>
      <c r="BD569">
        <f>((Table133[[#This Row],[High P]]+Table133[[#This Row],[Low P]])/2)*Table133[[#This Row],[gammap]]*Table133[[#This Row],[Volume9]]*-1</f>
        <v>0</v>
      </c>
      <c r="BE569">
        <f>(Table133[[#This Row],[SgammaC]]+Table133[[#This Row],[SgammaP]])*$A$4*-100</f>
        <v>0</v>
      </c>
      <c r="BF569" s="78">
        <f>Table133[[#This Row],[DEXc]]+Table133[[#This Row],[DEXp]]</f>
        <v>0</v>
      </c>
      <c r="BG569">
        <f>IFERROR(Table133[[#This Row],[DeltaC]]*Table133[[#This Row],[Open.Int]]*$A$4,0)</f>
        <v>0</v>
      </c>
      <c r="BH569">
        <f>IFERROR(Table133[[#This Row],[DeltaP]]*Table133[[#This Row],[Open.Int8]]*$A$4,0)</f>
        <v>0</v>
      </c>
      <c r="BI56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9">
        <f ca="1">Table133[[#This Row],[charmc]]+Table133[[#This Row],[charmp]]</f>
        <v>0</v>
      </c>
      <c r="BL56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9" s="78">
        <f ca="1">Table133[[#This Row],[call helper]]+Table133[[#This Row],[put helper]]</f>
        <v>0</v>
      </c>
      <c r="BP569" t="str">
        <f>RTD("tos.rtd", , "STRIKE", "."&amp;Table133[[#This Row],[Ticker]]&amp;Table133[[#This Row],[Expiry]]&amp;""&amp;"C"&amp;Table133[[#This Row],[Spot]]+Table133[[#This Row],[step]])</f>
        <v>N/A</v>
      </c>
    </row>
    <row r="570" spans="1:68" x14ac:dyDescent="0.25">
      <c r="A570" s="14">
        <f t="shared" ca="1" si="54"/>
        <v>-126.14810350076104</v>
      </c>
      <c r="C570" s="17"/>
      <c r="D570" t="str">
        <f>RTD("tos.rtd", , "OPEN_INT", "."&amp;Table133[[#This Row],[Ticker]]&amp;Table133[[#This Row],[Expiry]]&amp;""&amp;"C"&amp;Table133[[#This Row],[Spot]]+Table133[[#This Row],[step]])</f>
        <v>N/A</v>
      </c>
      <c r="E57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0" t="b">
        <f>IF(     ISNUMBER(Table133[[#This Row],[Strike]]),RTD("tos.rtd", , "DELTA", "."&amp;Table133[[#This Row],[Ticker]]&amp;Table133[[#This Row],[Expiry]]&amp;""&amp;"C"&amp;Table133[[#This Row],[Strike]]))</f>
        <v>0</v>
      </c>
      <c r="H570" s="17" cm="1">
        <f t="array" aca="1" ref="H570" ca="1">IndividualLegIVCore($A$4, Table133[[#This Row],[Strike]], 0.0411, Table133[[#This Row],[T]], ((Table133[[#This Row],[BIDC]]+Table133[[#This Row],[ASKC]])/2), TRUE)</f>
        <v>0.01</v>
      </c>
      <c r="I570" t="b">
        <f>IF(     ISNUMBER(Table133[[#This Row],[Strike]]),RTD("tos.rtd", , "BID", "."&amp;Table133[[#This Row],[Ticker]]&amp;Table133[[#This Row],[Expiry]]&amp;""&amp;"C"&amp;Table133[[#This Row],[Strike]]))</f>
        <v>0</v>
      </c>
      <c r="J570" t="b">
        <f>IF(     ISNUMBER(Table133[[#This Row],[Strike]]),RTD("tos.rtd", , "ASK", "."&amp;Table133[[#This Row],[Ticker]]&amp;Table133[[#This Row],[Expiry]]&amp;""&amp;"C"&amp;Table133[[#This Row],[Strike]]))</f>
        <v>0</v>
      </c>
      <c r="K570" s="17"/>
      <c r="M570" s="1">
        <f t="shared" si="55"/>
        <v>0</v>
      </c>
      <c r="N570" t="b">
        <f t="shared" si="56"/>
        <v>0</v>
      </c>
      <c r="P570" s="17" cm="1">
        <f t="array" aca="1" ref="P570" ca="1">IndividualLegIVCore($A$4, Table133[[#This Row],[Strike]], 0.0411, Table133[[#This Row],[T]], ((Table133[[#This Row],[BIDP]]+Table133[[#This Row],[ASKP]])/2), FALSE)</f>
        <v>0.01</v>
      </c>
      <c r="Q570" t="b">
        <f>IF(     ISNUMBER(Table133[[#This Row],[Strike]]),RTD("tos.rtd", , "BID", "."&amp;Table133[[#This Row],[Ticker]]&amp;Table133[[#This Row],[Expiry]]&amp;""&amp;"P"&amp;Table133[[#This Row],[Strike]]))</f>
        <v>0</v>
      </c>
      <c r="R570" t="b">
        <f>IF(     ISNUMBER(Table133[[#This Row],[Strike]]),RTD("tos.rtd", , "ASK", "."&amp;Table133[[#This Row],[Ticker]]&amp;Table133[[#This Row],[Expiry]]&amp;""&amp;"P"&amp;Table133[[#This Row],[Strike]]))</f>
        <v>0</v>
      </c>
      <c r="S570" s="17"/>
      <c r="T570" t="b">
        <f>IF(     ISNUMBER(Table133[[#This Row],[Strike]]),RTD("tos.rtd", , "OPEN_INT", "."&amp;Table133[[#This Row],[Ticker]]&amp;Table133[[#This Row],[Expiry]]&amp;""&amp;"P"&amp;Table133[[#This Row],[Strike]]))</f>
        <v>0</v>
      </c>
      <c r="U57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0" t="b">
        <f>IF(     ISNUMBER(Table133[[#This Row],[Strike]]),RTD("tos.rtd", , "DELTA", "."&amp;Table133[[#This Row],[Ticker]]&amp;Table133[[#This Row],[Expiry]]&amp;""&amp;"P"&amp;Table133[[#This Row],[Strike]]))</f>
        <v>0</v>
      </c>
      <c r="Y570" s="19">
        <f>27* IF($M$1="NDX", 10, IF(OR($M$1="SPX", $M$1="RUT"), 2, 1))</f>
        <v>54</v>
      </c>
      <c r="Z570">
        <f ca="1">IFERROR(Table133[[#This Row],[call gamma]]*(Table133[[#This Row],[Open.Int]])*$A$4^2,0)</f>
        <v>0</v>
      </c>
      <c r="AA570">
        <f ca="1">IFERROR(((Table133[[#This Row],[Open.Int8]])*Table133[[#This Row],[Put gamma]])*-1*$A$4^2,0)</f>
        <v>0</v>
      </c>
      <c r="AB570">
        <f ca="1">(Table133[[#This Row],[Call Gex]]+Table133[[#This Row],[Put Gex]])</f>
        <v>0</v>
      </c>
      <c r="AC570">
        <f ca="1">Table133[[#This Row],[put delta adj]]+Table133[[#This Row],[call delta adj]]</f>
        <v>0</v>
      </c>
      <c r="AD570">
        <f ca="1">Table133[[#This Row],[Put Gex]]*Table133[[#This Row],[DeltaP]]*-1</f>
        <v>0</v>
      </c>
      <c r="AE570">
        <f ca="1">Table133[[#This Row],[Call Gex]]*Table133[[#This Row],[DeltaC]]</f>
        <v>0</v>
      </c>
      <c r="AF570">
        <f>IF(Table133[[#This Row],[DeltaC]]-ABS(Table133[[#This Row],[DeltaP]])="0","0.01",Table133[[#This Row],[DeltaC]]-ABS(Table133[[#This Row],[DeltaP]]))</f>
        <v>0</v>
      </c>
      <c r="AG570" t="e">
        <f ca="1">((LN($A$4/Table133[[#This Row],[Strike]]) + (0.411 + 0.5 * Table133[[#This Row],[IV Calc P]]^2) *Table133[[#This Row],[T]])) / (Table133[[#This Row],[IV Calc P]] * SQRT(Table133[[#This Row],[T]]))</f>
        <v>#DIV/0!</v>
      </c>
      <c r="AH570" t="e">
        <f ca="1">(LN($A$4/Table133[[#This Row],[Strike]]) + (0.411-0 + 0.5 * Table133[[#This Row],[IV Calc C]]^2) *Table133[[#This Row],[T]]) / (Table133[[#This Row],[IV Calc C]] * SQRT(Table133[[#This Row],[T]]))</f>
        <v>#DIV/0!</v>
      </c>
      <c r="AI570" t="e">
        <f ca="1">(EXP(-(AG570^2)/2)/SQRT(2*PI())*EXP(0*SQRT(Table133[[#This Row],[T]]))/$A$4*18%*SQRT(SQRT(Table133[[#This Row],[T]])))</f>
        <v>#DIV/0!</v>
      </c>
      <c r="AJ570" t="e">
        <f ca="1">(EXP(-(AH570^2)/2)/SQRT(2*PI())*EXP(0*SQRT(Table133[[#This Row],[T]]))/$A$4*18%*SQRT(SQRT(Table133[[#This Row],[T]])))</f>
        <v>#DIV/0!</v>
      </c>
      <c r="AK570" t="e">
        <f ca="1">Table133[[#This Row],[Call D1]]-Table133[[#This Row],[IV Calc C]]*SQRT(Table133[[#This Row],[T]])</f>
        <v>#DIV/0!</v>
      </c>
      <c r="AL570" t="e">
        <f ca="1">Table133[[#This Row],[Put D1]]-Table133[[#This Row],[IV Calc P]]*SQRT(Table133[[#This Row],[T]])</f>
        <v>#DIV/0!</v>
      </c>
      <c r="AM570" t="e">
        <f ca="1">EXP(-0.5*Table133[[#This Row],[Call D1]]^2)/SQRT(2*PI())</f>
        <v>#DIV/0!</v>
      </c>
      <c r="AN570" t="e">
        <f ca="1">EXP(-0.5*Table133[[#This Row],[Put D1]]^2)/SQRT(2*PI())</f>
        <v>#DIV/0!</v>
      </c>
      <c r="AO57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0">
        <f ca="1">((Table133[[#This Row],[call vanna]]+Table133[[#This Row],[put vanna]])*$A$4)</f>
        <v>0</v>
      </c>
      <c r="AR57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0" s="9" t="str" cm="1">
        <f t="array" ref="AT570">_xlfn.IFS(     $M$1="SPX","SPXW",     $M$1="RUT","RUTW",  $M$1="NDX","NDXP",   TRUE,$M$1 )</f>
        <v>SPXW</v>
      </c>
      <c r="AU570" s="2">
        <f t="shared" si="57"/>
        <v>6915</v>
      </c>
      <c r="AV570" t="str">
        <f t="shared" si="58"/>
        <v>000100</v>
      </c>
      <c r="AY57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0">
        <f>((Table133[[#This Row],[High C]]+Table133[[#This Row],[Low C]])/2)*Table133[[#This Row],[gammac]]*Table133[[#This Row],[Volume]]</f>
        <v>0</v>
      </c>
      <c r="BD570">
        <f>((Table133[[#This Row],[High P]]+Table133[[#This Row],[Low P]])/2)*Table133[[#This Row],[gammap]]*Table133[[#This Row],[Volume9]]*-1</f>
        <v>0</v>
      </c>
      <c r="BE570">
        <f>(Table133[[#This Row],[SgammaC]]+Table133[[#This Row],[SgammaP]])*$A$4*-100</f>
        <v>0</v>
      </c>
      <c r="BF570" s="78">
        <f>Table133[[#This Row],[DEXc]]+Table133[[#This Row],[DEXp]]</f>
        <v>0</v>
      </c>
      <c r="BG570">
        <f>IFERROR(Table133[[#This Row],[DeltaC]]*Table133[[#This Row],[Open.Int]]*$A$4,0)</f>
        <v>0</v>
      </c>
      <c r="BH570">
        <f>IFERROR(Table133[[#This Row],[DeltaP]]*Table133[[#This Row],[Open.Int8]]*$A$4,0)</f>
        <v>0</v>
      </c>
      <c r="BI57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0">
        <f ca="1">Table133[[#This Row],[charmc]]+Table133[[#This Row],[charmp]]</f>
        <v>0</v>
      </c>
      <c r="BL57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0" s="78">
        <f ca="1">Table133[[#This Row],[call helper]]+Table133[[#This Row],[put helper]]</f>
        <v>0</v>
      </c>
      <c r="BP570" t="str">
        <f>RTD("tos.rtd", , "STRIKE", "."&amp;Table133[[#This Row],[Ticker]]&amp;Table133[[#This Row],[Expiry]]&amp;""&amp;"C"&amp;Table133[[#This Row],[Spot]]+Table133[[#This Row],[step]])</f>
        <v>N/A</v>
      </c>
    </row>
    <row r="571" spans="1:68" x14ac:dyDescent="0.25">
      <c r="A571" s="14">
        <f t="shared" ca="1" si="54"/>
        <v>-126.14810350076104</v>
      </c>
      <c r="C571" s="17"/>
      <c r="D571" t="str">
        <f>RTD("tos.rtd", , "OPEN_INT", "."&amp;Table133[[#This Row],[Ticker]]&amp;Table133[[#This Row],[Expiry]]&amp;""&amp;"C"&amp;Table133[[#This Row],[Spot]]+Table133[[#This Row],[step]])</f>
        <v>N/A</v>
      </c>
      <c r="E57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1" t="b">
        <f>IF(     ISNUMBER(Table133[[#This Row],[Strike]]),RTD("tos.rtd", , "DELTA", "."&amp;Table133[[#This Row],[Ticker]]&amp;Table133[[#This Row],[Expiry]]&amp;""&amp;"C"&amp;Table133[[#This Row],[Strike]]))</f>
        <v>0</v>
      </c>
      <c r="H571" s="17" cm="1">
        <f t="array" aca="1" ref="H571" ca="1">IndividualLegIVCore($A$4, Table133[[#This Row],[Strike]], 0.0411, Table133[[#This Row],[T]], ((Table133[[#This Row],[BIDC]]+Table133[[#This Row],[ASKC]])/2), TRUE)</f>
        <v>0.01</v>
      </c>
      <c r="I571" t="b">
        <f>IF(     ISNUMBER(Table133[[#This Row],[Strike]]),RTD("tos.rtd", , "BID", "."&amp;Table133[[#This Row],[Ticker]]&amp;Table133[[#This Row],[Expiry]]&amp;""&amp;"C"&amp;Table133[[#This Row],[Strike]]))</f>
        <v>0</v>
      </c>
      <c r="J571" t="b">
        <f>IF(     ISNUMBER(Table133[[#This Row],[Strike]]),RTD("tos.rtd", , "ASK", "."&amp;Table133[[#This Row],[Ticker]]&amp;Table133[[#This Row],[Expiry]]&amp;""&amp;"C"&amp;Table133[[#This Row],[Strike]]))</f>
        <v>0</v>
      </c>
      <c r="K571" s="17"/>
      <c r="M571" s="1">
        <f t="shared" si="55"/>
        <v>0</v>
      </c>
      <c r="N571" t="b">
        <f t="shared" si="56"/>
        <v>0</v>
      </c>
      <c r="P571" s="17" cm="1">
        <f t="array" aca="1" ref="P571" ca="1">IndividualLegIVCore($A$4, Table133[[#This Row],[Strike]], 0.0411, Table133[[#This Row],[T]], ((Table133[[#This Row],[BIDP]]+Table133[[#This Row],[ASKP]])/2), FALSE)</f>
        <v>0.01</v>
      </c>
      <c r="Q571" t="b">
        <f>IF(     ISNUMBER(Table133[[#This Row],[Strike]]),RTD("tos.rtd", , "BID", "."&amp;Table133[[#This Row],[Ticker]]&amp;Table133[[#This Row],[Expiry]]&amp;""&amp;"P"&amp;Table133[[#This Row],[Strike]]))</f>
        <v>0</v>
      </c>
      <c r="R571" t="b">
        <f>IF(     ISNUMBER(Table133[[#This Row],[Strike]]),RTD("tos.rtd", , "ASK", "."&amp;Table133[[#This Row],[Ticker]]&amp;Table133[[#This Row],[Expiry]]&amp;""&amp;"P"&amp;Table133[[#This Row],[Strike]]))</f>
        <v>0</v>
      </c>
      <c r="S571" s="17"/>
      <c r="T571" t="b">
        <f>IF(     ISNUMBER(Table133[[#This Row],[Strike]]),RTD("tos.rtd", , "OPEN_INT", "."&amp;Table133[[#This Row],[Ticker]]&amp;Table133[[#This Row],[Expiry]]&amp;""&amp;"P"&amp;Table133[[#This Row],[Strike]]))</f>
        <v>0</v>
      </c>
      <c r="U57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1" t="b">
        <f>IF(     ISNUMBER(Table133[[#This Row],[Strike]]),RTD("tos.rtd", , "DELTA", "."&amp;Table133[[#This Row],[Ticker]]&amp;Table133[[#This Row],[Expiry]]&amp;""&amp;"P"&amp;Table133[[#This Row],[Strike]]))</f>
        <v>0</v>
      </c>
      <c r="Y571" s="19">
        <f>27.5* IF($M$1="NDX", 10, IF(OR($M$1="SPX", $M$1="RUT"), 2, 1))</f>
        <v>55</v>
      </c>
      <c r="Z571">
        <f ca="1">IFERROR(Table133[[#This Row],[call gamma]]*(Table133[[#This Row],[Open.Int]])*$A$4^2,0)</f>
        <v>0</v>
      </c>
      <c r="AA571">
        <f ca="1">IFERROR(((Table133[[#This Row],[Open.Int8]])*Table133[[#This Row],[Put gamma]])*-1*$A$4^2,0)</f>
        <v>0</v>
      </c>
      <c r="AB571">
        <f ca="1">(Table133[[#This Row],[Call Gex]]+Table133[[#This Row],[Put Gex]])</f>
        <v>0</v>
      </c>
      <c r="AC571">
        <f ca="1">Table133[[#This Row],[put delta adj]]+Table133[[#This Row],[call delta adj]]</f>
        <v>0</v>
      </c>
      <c r="AD571">
        <f ca="1">Table133[[#This Row],[Put Gex]]*Table133[[#This Row],[DeltaP]]*-1</f>
        <v>0</v>
      </c>
      <c r="AE571">
        <f ca="1">Table133[[#This Row],[Call Gex]]*Table133[[#This Row],[DeltaC]]</f>
        <v>0</v>
      </c>
      <c r="AF571">
        <f>IF(Table133[[#This Row],[DeltaC]]-ABS(Table133[[#This Row],[DeltaP]])="0","0.01",Table133[[#This Row],[DeltaC]]-ABS(Table133[[#This Row],[DeltaP]]))</f>
        <v>0</v>
      </c>
      <c r="AG571" t="e">
        <f ca="1">((LN($A$4/Table133[[#This Row],[Strike]]) + (0.411 + 0.5 * Table133[[#This Row],[IV Calc P]]^2) *Table133[[#This Row],[T]])) / (Table133[[#This Row],[IV Calc P]] * SQRT(Table133[[#This Row],[T]]))</f>
        <v>#DIV/0!</v>
      </c>
      <c r="AH571" t="e">
        <f ca="1">(LN($A$4/Table133[[#This Row],[Strike]]) + (0.411-0 + 0.5 * Table133[[#This Row],[IV Calc C]]^2) *Table133[[#This Row],[T]]) / (Table133[[#This Row],[IV Calc C]] * SQRT(Table133[[#This Row],[T]]))</f>
        <v>#DIV/0!</v>
      </c>
      <c r="AI571" t="e">
        <f ca="1">(EXP(-(AG571^2)/2)/SQRT(2*PI())*EXP(0*SQRT(Table133[[#This Row],[T]]))/$A$4*18%*SQRT(SQRT(Table133[[#This Row],[T]])))</f>
        <v>#DIV/0!</v>
      </c>
      <c r="AJ571" t="e">
        <f ca="1">(EXP(-(AH571^2)/2)/SQRT(2*PI())*EXP(0*SQRT(Table133[[#This Row],[T]]))/$A$4*18%*SQRT(SQRT(Table133[[#This Row],[T]])))</f>
        <v>#DIV/0!</v>
      </c>
      <c r="AK571" t="e">
        <f ca="1">Table133[[#This Row],[Call D1]]-Table133[[#This Row],[IV Calc C]]*SQRT(Table133[[#This Row],[T]])</f>
        <v>#DIV/0!</v>
      </c>
      <c r="AL571" t="e">
        <f ca="1">Table133[[#This Row],[Put D1]]-Table133[[#This Row],[IV Calc P]]*SQRT(Table133[[#This Row],[T]])</f>
        <v>#DIV/0!</v>
      </c>
      <c r="AM571" t="e">
        <f ca="1">EXP(-0.5*Table133[[#This Row],[Call D1]]^2)/SQRT(2*PI())</f>
        <v>#DIV/0!</v>
      </c>
      <c r="AN571" t="e">
        <f ca="1">EXP(-0.5*Table133[[#This Row],[Put D1]]^2)/SQRT(2*PI())</f>
        <v>#DIV/0!</v>
      </c>
      <c r="AO57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1">
        <f ca="1">((Table133[[#This Row],[call vanna]]+Table133[[#This Row],[put vanna]])*$A$4)</f>
        <v>0</v>
      </c>
      <c r="AR57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1" s="9" t="str" cm="1">
        <f t="array" ref="AT571">_xlfn.IFS(     $M$1="SPX","SPXW",     $M$1="RUT","RUTW",  $M$1="NDX","NDXP",   TRUE,$M$1 )</f>
        <v>SPXW</v>
      </c>
      <c r="AU571" s="2">
        <f t="shared" si="57"/>
        <v>6915</v>
      </c>
      <c r="AV571" t="str">
        <f t="shared" si="58"/>
        <v>000100</v>
      </c>
      <c r="AY57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1">
        <f>((Table133[[#This Row],[High C]]+Table133[[#This Row],[Low C]])/2)*Table133[[#This Row],[gammac]]*Table133[[#This Row],[Volume]]</f>
        <v>0</v>
      </c>
      <c r="BD571">
        <f>((Table133[[#This Row],[High P]]+Table133[[#This Row],[Low P]])/2)*Table133[[#This Row],[gammap]]*Table133[[#This Row],[Volume9]]*-1</f>
        <v>0</v>
      </c>
      <c r="BE571">
        <f>(Table133[[#This Row],[SgammaC]]+Table133[[#This Row],[SgammaP]])*$A$4*-100</f>
        <v>0</v>
      </c>
      <c r="BF571" s="78">
        <f>Table133[[#This Row],[DEXc]]+Table133[[#This Row],[DEXp]]</f>
        <v>0</v>
      </c>
      <c r="BG571">
        <f>IFERROR(Table133[[#This Row],[DeltaC]]*Table133[[#This Row],[Open.Int]]*$A$4,0)</f>
        <v>0</v>
      </c>
      <c r="BH571">
        <f>IFERROR(Table133[[#This Row],[DeltaP]]*Table133[[#This Row],[Open.Int8]]*$A$4,0)</f>
        <v>0</v>
      </c>
      <c r="BI57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1">
        <f ca="1">Table133[[#This Row],[charmc]]+Table133[[#This Row],[charmp]]</f>
        <v>0</v>
      </c>
      <c r="BL57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1" s="78">
        <f ca="1">Table133[[#This Row],[call helper]]+Table133[[#This Row],[put helper]]</f>
        <v>0</v>
      </c>
      <c r="BP571" t="str">
        <f>RTD("tos.rtd", , "STRIKE", "."&amp;Table133[[#This Row],[Ticker]]&amp;Table133[[#This Row],[Expiry]]&amp;""&amp;"C"&amp;Table133[[#This Row],[Spot]]+Table133[[#This Row],[step]])</f>
        <v>N/A</v>
      </c>
    </row>
    <row r="572" spans="1:68" x14ac:dyDescent="0.25">
      <c r="A572" s="14">
        <f t="shared" ca="1" si="54"/>
        <v>-126.14810350076104</v>
      </c>
      <c r="C572" s="17"/>
      <c r="D572" t="str">
        <f>RTD("tos.rtd", , "OPEN_INT", "."&amp;Table133[[#This Row],[Ticker]]&amp;Table133[[#This Row],[Expiry]]&amp;""&amp;"C"&amp;Table133[[#This Row],[Spot]]+Table133[[#This Row],[step]])</f>
        <v>N/A</v>
      </c>
      <c r="E57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2" t="b">
        <f>IF(     ISNUMBER(Table133[[#This Row],[Strike]]),RTD("tos.rtd", , "DELTA", "."&amp;Table133[[#This Row],[Ticker]]&amp;Table133[[#This Row],[Expiry]]&amp;""&amp;"C"&amp;Table133[[#This Row],[Strike]]))</f>
        <v>0</v>
      </c>
      <c r="H572" s="17" cm="1">
        <f t="array" aca="1" ref="H572" ca="1">IndividualLegIVCore($A$4, Table133[[#This Row],[Strike]], 0.0411, Table133[[#This Row],[T]], ((Table133[[#This Row],[BIDC]]+Table133[[#This Row],[ASKC]])/2), TRUE)</f>
        <v>0.01</v>
      </c>
      <c r="I572" t="b">
        <f>IF(     ISNUMBER(Table133[[#This Row],[Strike]]),RTD("tos.rtd", , "BID", "."&amp;Table133[[#This Row],[Ticker]]&amp;Table133[[#This Row],[Expiry]]&amp;""&amp;"C"&amp;Table133[[#This Row],[Strike]]))</f>
        <v>0</v>
      </c>
      <c r="J572" t="b">
        <f>IF(     ISNUMBER(Table133[[#This Row],[Strike]]),RTD("tos.rtd", , "ASK", "."&amp;Table133[[#This Row],[Ticker]]&amp;Table133[[#This Row],[Expiry]]&amp;""&amp;"C"&amp;Table133[[#This Row],[Strike]]))</f>
        <v>0</v>
      </c>
      <c r="K572" s="17"/>
      <c r="M572" s="1">
        <f t="shared" si="55"/>
        <v>0</v>
      </c>
      <c r="N572" t="b">
        <f t="shared" si="56"/>
        <v>0</v>
      </c>
      <c r="P572" s="17" cm="1">
        <f t="array" aca="1" ref="P572" ca="1">IndividualLegIVCore($A$4, Table133[[#This Row],[Strike]], 0.0411, Table133[[#This Row],[T]], ((Table133[[#This Row],[BIDP]]+Table133[[#This Row],[ASKP]])/2), FALSE)</f>
        <v>0.01</v>
      </c>
      <c r="Q572" t="b">
        <f>IF(     ISNUMBER(Table133[[#This Row],[Strike]]),RTD("tos.rtd", , "BID", "."&amp;Table133[[#This Row],[Ticker]]&amp;Table133[[#This Row],[Expiry]]&amp;""&amp;"P"&amp;Table133[[#This Row],[Strike]]))</f>
        <v>0</v>
      </c>
      <c r="R572" t="b">
        <f>IF(     ISNUMBER(Table133[[#This Row],[Strike]]),RTD("tos.rtd", , "ASK", "."&amp;Table133[[#This Row],[Ticker]]&amp;Table133[[#This Row],[Expiry]]&amp;""&amp;"P"&amp;Table133[[#This Row],[Strike]]))</f>
        <v>0</v>
      </c>
      <c r="S572" s="17"/>
      <c r="T572" t="b">
        <f>IF(     ISNUMBER(Table133[[#This Row],[Strike]]),RTD("tos.rtd", , "OPEN_INT", "."&amp;Table133[[#This Row],[Ticker]]&amp;Table133[[#This Row],[Expiry]]&amp;""&amp;"P"&amp;Table133[[#This Row],[Strike]]))</f>
        <v>0</v>
      </c>
      <c r="U57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2" t="b">
        <f>IF(     ISNUMBER(Table133[[#This Row],[Strike]]),RTD("tos.rtd", , "DELTA", "."&amp;Table133[[#This Row],[Ticker]]&amp;Table133[[#This Row],[Expiry]]&amp;""&amp;"P"&amp;Table133[[#This Row],[Strike]]))</f>
        <v>0</v>
      </c>
      <c r="Y572" s="19">
        <f>28* IF($M$1="NDX", 10, IF(OR($M$1="SPX", $M$1="RUT"), 2, 1))</f>
        <v>56</v>
      </c>
      <c r="Z572">
        <f ca="1">IFERROR(Table133[[#This Row],[call gamma]]*(Table133[[#This Row],[Open.Int]])*$A$4^2,0)</f>
        <v>0</v>
      </c>
      <c r="AA572">
        <f ca="1">IFERROR(((Table133[[#This Row],[Open.Int8]])*Table133[[#This Row],[Put gamma]])*-1*$A$4^2,0)</f>
        <v>0</v>
      </c>
      <c r="AB572">
        <f ca="1">(Table133[[#This Row],[Call Gex]]+Table133[[#This Row],[Put Gex]])</f>
        <v>0</v>
      </c>
      <c r="AC572">
        <f ca="1">Table133[[#This Row],[put delta adj]]+Table133[[#This Row],[call delta adj]]</f>
        <v>0</v>
      </c>
      <c r="AD572">
        <f ca="1">Table133[[#This Row],[Put Gex]]*Table133[[#This Row],[DeltaP]]*-1</f>
        <v>0</v>
      </c>
      <c r="AE572">
        <f ca="1">Table133[[#This Row],[Call Gex]]*Table133[[#This Row],[DeltaC]]</f>
        <v>0</v>
      </c>
      <c r="AF572">
        <f>IF(Table133[[#This Row],[DeltaC]]-ABS(Table133[[#This Row],[DeltaP]])="0","0.01",Table133[[#This Row],[DeltaC]]-ABS(Table133[[#This Row],[DeltaP]]))</f>
        <v>0</v>
      </c>
      <c r="AG572" t="e">
        <f ca="1">((LN($A$4/Table133[[#This Row],[Strike]]) + (0.411 + 0.5 * Table133[[#This Row],[IV Calc P]]^2) *Table133[[#This Row],[T]])) / (Table133[[#This Row],[IV Calc P]] * SQRT(Table133[[#This Row],[T]]))</f>
        <v>#DIV/0!</v>
      </c>
      <c r="AH572" t="e">
        <f ca="1">(LN($A$4/Table133[[#This Row],[Strike]]) + (0.411-0 + 0.5 * Table133[[#This Row],[IV Calc C]]^2) *Table133[[#This Row],[T]]) / (Table133[[#This Row],[IV Calc C]] * SQRT(Table133[[#This Row],[T]]))</f>
        <v>#DIV/0!</v>
      </c>
      <c r="AI572" t="e">
        <f ca="1">(EXP(-(AG572^2)/2)/SQRT(2*PI())*EXP(0*SQRT(Table133[[#This Row],[T]]))/$A$4*18%*SQRT(SQRT(Table133[[#This Row],[T]])))</f>
        <v>#DIV/0!</v>
      </c>
      <c r="AJ572" t="e">
        <f ca="1">(EXP(-(AH572^2)/2)/SQRT(2*PI())*EXP(0*SQRT(Table133[[#This Row],[T]]))/$A$4*18%*SQRT(SQRT(Table133[[#This Row],[T]])))</f>
        <v>#DIV/0!</v>
      </c>
      <c r="AK572" t="e">
        <f ca="1">Table133[[#This Row],[Call D1]]-Table133[[#This Row],[IV Calc C]]*SQRT(Table133[[#This Row],[T]])</f>
        <v>#DIV/0!</v>
      </c>
      <c r="AL572" t="e">
        <f ca="1">Table133[[#This Row],[Put D1]]-Table133[[#This Row],[IV Calc P]]*SQRT(Table133[[#This Row],[T]])</f>
        <v>#DIV/0!</v>
      </c>
      <c r="AM572" t="e">
        <f ca="1">EXP(-0.5*Table133[[#This Row],[Call D1]]^2)/SQRT(2*PI())</f>
        <v>#DIV/0!</v>
      </c>
      <c r="AN572" t="e">
        <f ca="1">EXP(-0.5*Table133[[#This Row],[Put D1]]^2)/SQRT(2*PI())</f>
        <v>#DIV/0!</v>
      </c>
      <c r="AO57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2">
        <f ca="1">((Table133[[#This Row],[call vanna]]+Table133[[#This Row],[put vanna]])*$A$4)</f>
        <v>0</v>
      </c>
      <c r="AR57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2" s="9" t="str" cm="1">
        <f t="array" ref="AT572">_xlfn.IFS(     $M$1="SPX","SPXW",     $M$1="RUT","RUTW",  $M$1="NDX","NDXP",   TRUE,$M$1 )</f>
        <v>SPXW</v>
      </c>
      <c r="AU572" s="2">
        <f t="shared" si="57"/>
        <v>6915</v>
      </c>
      <c r="AV572" t="str">
        <f t="shared" si="58"/>
        <v>000100</v>
      </c>
      <c r="AY57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2">
        <f>((Table133[[#This Row],[High C]]+Table133[[#This Row],[Low C]])/2)*Table133[[#This Row],[gammac]]*Table133[[#This Row],[Volume]]</f>
        <v>0</v>
      </c>
      <c r="BD572">
        <f>((Table133[[#This Row],[High P]]+Table133[[#This Row],[Low P]])/2)*Table133[[#This Row],[gammap]]*Table133[[#This Row],[Volume9]]*-1</f>
        <v>0</v>
      </c>
      <c r="BE572">
        <f>(Table133[[#This Row],[SgammaC]]+Table133[[#This Row],[SgammaP]])*$A$4*-100</f>
        <v>0</v>
      </c>
      <c r="BF572" s="78">
        <f>Table133[[#This Row],[DEXc]]+Table133[[#This Row],[DEXp]]</f>
        <v>0</v>
      </c>
      <c r="BG572">
        <f>IFERROR(Table133[[#This Row],[DeltaC]]*Table133[[#This Row],[Open.Int]]*$A$4,0)</f>
        <v>0</v>
      </c>
      <c r="BH572">
        <f>IFERROR(Table133[[#This Row],[DeltaP]]*Table133[[#This Row],[Open.Int8]]*$A$4,0)</f>
        <v>0</v>
      </c>
      <c r="BI57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2">
        <f ca="1">Table133[[#This Row],[charmc]]+Table133[[#This Row],[charmp]]</f>
        <v>0</v>
      </c>
      <c r="BL57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2" s="78">
        <f ca="1">Table133[[#This Row],[call helper]]+Table133[[#This Row],[put helper]]</f>
        <v>0</v>
      </c>
      <c r="BP572" t="str">
        <f>RTD("tos.rtd", , "STRIKE", "."&amp;Table133[[#This Row],[Ticker]]&amp;Table133[[#This Row],[Expiry]]&amp;""&amp;"C"&amp;Table133[[#This Row],[Spot]]+Table133[[#This Row],[step]])</f>
        <v>N/A</v>
      </c>
    </row>
    <row r="573" spans="1:68" x14ac:dyDescent="0.25">
      <c r="A573" s="14">
        <f t="shared" ca="1" si="54"/>
        <v>-126.14810350076104</v>
      </c>
      <c r="C573" s="17"/>
      <c r="D573" t="str">
        <f>RTD("tos.rtd", , "OPEN_INT", "."&amp;Table133[[#This Row],[Ticker]]&amp;Table133[[#This Row],[Expiry]]&amp;""&amp;"C"&amp;Table133[[#This Row],[Spot]]+Table133[[#This Row],[step]])</f>
        <v>N/A</v>
      </c>
      <c r="E57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3" t="b">
        <f>IF(     ISNUMBER(Table133[[#This Row],[Strike]]),RTD("tos.rtd", , "DELTA", "."&amp;Table133[[#This Row],[Ticker]]&amp;Table133[[#This Row],[Expiry]]&amp;""&amp;"C"&amp;Table133[[#This Row],[Strike]]))</f>
        <v>0</v>
      </c>
      <c r="H573" s="17" cm="1">
        <f t="array" aca="1" ref="H573" ca="1">IndividualLegIVCore($A$4, Table133[[#This Row],[Strike]], 0.0411, Table133[[#This Row],[T]], ((Table133[[#This Row],[BIDC]]+Table133[[#This Row],[ASKC]])/2), TRUE)</f>
        <v>0.01</v>
      </c>
      <c r="I573" t="b">
        <f>IF(     ISNUMBER(Table133[[#This Row],[Strike]]),RTD("tos.rtd", , "BID", "."&amp;Table133[[#This Row],[Ticker]]&amp;Table133[[#This Row],[Expiry]]&amp;""&amp;"C"&amp;Table133[[#This Row],[Strike]]))</f>
        <v>0</v>
      </c>
      <c r="J573" t="b">
        <f>IF(     ISNUMBER(Table133[[#This Row],[Strike]]),RTD("tos.rtd", , "ASK", "."&amp;Table133[[#This Row],[Ticker]]&amp;Table133[[#This Row],[Expiry]]&amp;""&amp;"C"&amp;Table133[[#This Row],[Strike]]))</f>
        <v>0</v>
      </c>
      <c r="K573" s="17"/>
      <c r="M573" s="1">
        <f t="shared" si="55"/>
        <v>0</v>
      </c>
      <c r="N573" t="b">
        <f t="shared" si="56"/>
        <v>0</v>
      </c>
      <c r="P573" s="17" cm="1">
        <f t="array" aca="1" ref="P573" ca="1">IndividualLegIVCore($A$4, Table133[[#This Row],[Strike]], 0.0411, Table133[[#This Row],[T]], ((Table133[[#This Row],[BIDP]]+Table133[[#This Row],[ASKP]])/2), FALSE)</f>
        <v>0.01</v>
      </c>
      <c r="Q573" t="b">
        <f>IF(     ISNUMBER(Table133[[#This Row],[Strike]]),RTD("tos.rtd", , "BID", "."&amp;Table133[[#This Row],[Ticker]]&amp;Table133[[#This Row],[Expiry]]&amp;""&amp;"P"&amp;Table133[[#This Row],[Strike]]))</f>
        <v>0</v>
      </c>
      <c r="R573" t="b">
        <f>IF(     ISNUMBER(Table133[[#This Row],[Strike]]),RTD("tos.rtd", , "ASK", "."&amp;Table133[[#This Row],[Ticker]]&amp;Table133[[#This Row],[Expiry]]&amp;""&amp;"P"&amp;Table133[[#This Row],[Strike]]))</f>
        <v>0</v>
      </c>
      <c r="S573" s="17"/>
      <c r="T573" t="b">
        <f>IF(     ISNUMBER(Table133[[#This Row],[Strike]]),RTD("tos.rtd", , "OPEN_INT", "."&amp;Table133[[#This Row],[Ticker]]&amp;Table133[[#This Row],[Expiry]]&amp;""&amp;"P"&amp;Table133[[#This Row],[Strike]]))</f>
        <v>0</v>
      </c>
      <c r="U57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3" t="b">
        <f>IF(     ISNUMBER(Table133[[#This Row],[Strike]]),RTD("tos.rtd", , "DELTA", "."&amp;Table133[[#This Row],[Ticker]]&amp;Table133[[#This Row],[Expiry]]&amp;""&amp;"P"&amp;Table133[[#This Row],[Strike]]))</f>
        <v>0</v>
      </c>
      <c r="Y573" s="19">
        <f>28.5* IF($M$1="NDX", 10, IF(OR($M$1="SPX", $M$1="RUT"), 2, 1))</f>
        <v>57</v>
      </c>
      <c r="Z573">
        <f ca="1">IFERROR(Table133[[#This Row],[call gamma]]*(Table133[[#This Row],[Open.Int]])*$A$4^2,0)</f>
        <v>0</v>
      </c>
      <c r="AA573">
        <f ca="1">IFERROR(((Table133[[#This Row],[Open.Int8]])*Table133[[#This Row],[Put gamma]])*-1*$A$4^2,0)</f>
        <v>0</v>
      </c>
      <c r="AB573">
        <f ca="1">(Table133[[#This Row],[Call Gex]]+Table133[[#This Row],[Put Gex]])</f>
        <v>0</v>
      </c>
      <c r="AC573">
        <f ca="1">Table133[[#This Row],[put delta adj]]+Table133[[#This Row],[call delta adj]]</f>
        <v>0</v>
      </c>
      <c r="AD573">
        <f ca="1">Table133[[#This Row],[Put Gex]]*Table133[[#This Row],[DeltaP]]*-1</f>
        <v>0</v>
      </c>
      <c r="AE573">
        <f ca="1">Table133[[#This Row],[Call Gex]]*Table133[[#This Row],[DeltaC]]</f>
        <v>0</v>
      </c>
      <c r="AF573">
        <f>IF(Table133[[#This Row],[DeltaC]]-ABS(Table133[[#This Row],[DeltaP]])="0","0.01",Table133[[#This Row],[DeltaC]]-ABS(Table133[[#This Row],[DeltaP]]))</f>
        <v>0</v>
      </c>
      <c r="AG573" t="e">
        <f ca="1">((LN($A$4/Table133[[#This Row],[Strike]]) + (0.411 + 0.5 * Table133[[#This Row],[IV Calc P]]^2) *Table133[[#This Row],[T]])) / (Table133[[#This Row],[IV Calc P]] * SQRT(Table133[[#This Row],[T]]))</f>
        <v>#DIV/0!</v>
      </c>
      <c r="AH573" t="e">
        <f ca="1">(LN($A$4/Table133[[#This Row],[Strike]]) + (0.411-0 + 0.5 * Table133[[#This Row],[IV Calc C]]^2) *Table133[[#This Row],[T]]) / (Table133[[#This Row],[IV Calc C]] * SQRT(Table133[[#This Row],[T]]))</f>
        <v>#DIV/0!</v>
      </c>
      <c r="AI573" t="e">
        <f ca="1">(EXP(-(AG573^2)/2)/SQRT(2*PI())*EXP(0*SQRT(Table133[[#This Row],[T]]))/$A$4*18%*SQRT(SQRT(Table133[[#This Row],[T]])))</f>
        <v>#DIV/0!</v>
      </c>
      <c r="AJ573" t="e">
        <f ca="1">(EXP(-(AH573^2)/2)/SQRT(2*PI())*EXP(0*SQRT(Table133[[#This Row],[T]]))/$A$4*18%*SQRT(SQRT(Table133[[#This Row],[T]])))</f>
        <v>#DIV/0!</v>
      </c>
      <c r="AK573" t="e">
        <f ca="1">Table133[[#This Row],[Call D1]]-Table133[[#This Row],[IV Calc C]]*SQRT(Table133[[#This Row],[T]])</f>
        <v>#DIV/0!</v>
      </c>
      <c r="AL573" t="e">
        <f ca="1">Table133[[#This Row],[Put D1]]-Table133[[#This Row],[IV Calc P]]*SQRT(Table133[[#This Row],[T]])</f>
        <v>#DIV/0!</v>
      </c>
      <c r="AM573" t="e">
        <f ca="1">EXP(-0.5*Table133[[#This Row],[Call D1]]^2)/SQRT(2*PI())</f>
        <v>#DIV/0!</v>
      </c>
      <c r="AN573" t="e">
        <f ca="1">EXP(-0.5*Table133[[#This Row],[Put D1]]^2)/SQRT(2*PI())</f>
        <v>#DIV/0!</v>
      </c>
      <c r="AO57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3">
        <f ca="1">((Table133[[#This Row],[call vanna]]+Table133[[#This Row],[put vanna]])*$A$4)</f>
        <v>0</v>
      </c>
      <c r="AR57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3" s="9" t="str" cm="1">
        <f t="array" ref="AT573">_xlfn.IFS(     $M$1="SPX","SPXW",     $M$1="RUT","RUTW",  $M$1="NDX","NDXP",   TRUE,$M$1 )</f>
        <v>SPXW</v>
      </c>
      <c r="AU573" s="2">
        <f t="shared" si="57"/>
        <v>6915</v>
      </c>
      <c r="AV573" t="str">
        <f t="shared" si="58"/>
        <v>000100</v>
      </c>
      <c r="AY57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3">
        <f>((Table133[[#This Row],[High C]]+Table133[[#This Row],[Low C]])/2)*Table133[[#This Row],[gammac]]*Table133[[#This Row],[Volume]]</f>
        <v>0</v>
      </c>
      <c r="BD573">
        <f>((Table133[[#This Row],[High P]]+Table133[[#This Row],[Low P]])/2)*Table133[[#This Row],[gammap]]*Table133[[#This Row],[Volume9]]*-1</f>
        <v>0</v>
      </c>
      <c r="BE573">
        <f>(Table133[[#This Row],[SgammaC]]+Table133[[#This Row],[SgammaP]])*$A$4*-100</f>
        <v>0</v>
      </c>
      <c r="BF573" s="78">
        <f>Table133[[#This Row],[DEXc]]+Table133[[#This Row],[DEXp]]</f>
        <v>0</v>
      </c>
      <c r="BG573">
        <f>IFERROR(Table133[[#This Row],[DeltaC]]*Table133[[#This Row],[Open.Int]]*$A$4,0)</f>
        <v>0</v>
      </c>
      <c r="BH573">
        <f>IFERROR(Table133[[#This Row],[DeltaP]]*Table133[[#This Row],[Open.Int8]]*$A$4,0)</f>
        <v>0</v>
      </c>
      <c r="BI57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3">
        <f ca="1">Table133[[#This Row],[charmc]]+Table133[[#This Row],[charmp]]</f>
        <v>0</v>
      </c>
      <c r="BL57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3" s="78">
        <f ca="1">Table133[[#This Row],[call helper]]+Table133[[#This Row],[put helper]]</f>
        <v>0</v>
      </c>
      <c r="BP573" t="str">
        <f>RTD("tos.rtd", , "STRIKE", "."&amp;Table133[[#This Row],[Ticker]]&amp;Table133[[#This Row],[Expiry]]&amp;""&amp;"C"&amp;Table133[[#This Row],[Spot]]+Table133[[#This Row],[step]])</f>
        <v>N/A</v>
      </c>
    </row>
    <row r="574" spans="1:68" x14ac:dyDescent="0.25">
      <c r="A574" s="24">
        <f t="shared" ca="1" si="54"/>
        <v>-126.14810350076104</v>
      </c>
      <c r="B574" s="13"/>
      <c r="C574" s="17"/>
      <c r="D574" t="str">
        <f>RTD("tos.rtd", , "OPEN_INT", "."&amp;Table133[[#This Row],[Ticker]]&amp;Table133[[#This Row],[Expiry]]&amp;""&amp;"C"&amp;Table133[[#This Row],[Spot]]+Table133[[#This Row],[step]])</f>
        <v>N/A</v>
      </c>
      <c r="E57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4" t="b">
        <f>IF(     ISNUMBER(Table133[[#This Row],[Strike]]),RTD("tos.rtd", , "DELTA", "."&amp;Table133[[#This Row],[Ticker]]&amp;Table133[[#This Row],[Expiry]]&amp;""&amp;"C"&amp;Table133[[#This Row],[Strike]]))</f>
        <v>0</v>
      </c>
      <c r="H574" s="17" cm="1">
        <f t="array" aca="1" ref="H574" ca="1">IndividualLegIVCore($A$4, Table133[[#This Row],[Strike]], 0.0411, Table133[[#This Row],[T]], ((Table133[[#This Row],[BIDC]]+Table133[[#This Row],[ASKC]])/2), TRUE)</f>
        <v>0.01</v>
      </c>
      <c r="I574" t="b">
        <f>IF(     ISNUMBER(Table133[[#This Row],[Strike]]),RTD("tos.rtd", , "BID", "."&amp;Table133[[#This Row],[Ticker]]&amp;Table133[[#This Row],[Expiry]]&amp;""&amp;"C"&amp;Table133[[#This Row],[Strike]]))</f>
        <v>0</v>
      </c>
      <c r="J574" t="b">
        <f>IF(     ISNUMBER(Table133[[#This Row],[Strike]]),RTD("tos.rtd", , "ASK", "."&amp;Table133[[#This Row],[Ticker]]&amp;Table133[[#This Row],[Expiry]]&amp;""&amp;"C"&amp;Table133[[#This Row],[Strike]]))</f>
        <v>0</v>
      </c>
      <c r="K574" s="17"/>
      <c r="M574" s="1">
        <f t="shared" si="55"/>
        <v>0</v>
      </c>
      <c r="N574" t="b">
        <f t="shared" si="56"/>
        <v>0</v>
      </c>
      <c r="P574" s="17" cm="1">
        <f t="array" aca="1" ref="P574" ca="1">IndividualLegIVCore($A$4, Table133[[#This Row],[Strike]], 0.0411, Table133[[#This Row],[T]], ((Table133[[#This Row],[BIDP]]+Table133[[#This Row],[ASKP]])/2), FALSE)</f>
        <v>0.01</v>
      </c>
      <c r="Q574" t="b">
        <f>IF(     ISNUMBER(Table133[[#This Row],[Strike]]),RTD("tos.rtd", , "BID", "."&amp;Table133[[#This Row],[Ticker]]&amp;Table133[[#This Row],[Expiry]]&amp;""&amp;"P"&amp;Table133[[#This Row],[Strike]]))</f>
        <v>0</v>
      </c>
      <c r="R574" t="b">
        <f>IF(     ISNUMBER(Table133[[#This Row],[Strike]]),RTD("tos.rtd", , "ASK", "."&amp;Table133[[#This Row],[Ticker]]&amp;Table133[[#This Row],[Expiry]]&amp;""&amp;"P"&amp;Table133[[#This Row],[Strike]]))</f>
        <v>0</v>
      </c>
      <c r="S574" s="17"/>
      <c r="T574" t="b">
        <f>IF(     ISNUMBER(Table133[[#This Row],[Strike]]),RTD("tos.rtd", , "OPEN_INT", "."&amp;Table133[[#This Row],[Ticker]]&amp;Table133[[#This Row],[Expiry]]&amp;""&amp;"P"&amp;Table133[[#This Row],[Strike]]))</f>
        <v>0</v>
      </c>
      <c r="U57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4" t="b">
        <f>IF(     ISNUMBER(Table133[[#This Row],[Strike]]),RTD("tos.rtd", , "DELTA", "."&amp;Table133[[#This Row],[Ticker]]&amp;Table133[[#This Row],[Expiry]]&amp;""&amp;"P"&amp;Table133[[#This Row],[Strike]]))</f>
        <v>0</v>
      </c>
      <c r="X574" s="13"/>
      <c r="Y574" s="19">
        <f>29* IF($M$1="NDX", 10, IF(OR($M$1="SPX", $M$1="RUT"), 2, 1))</f>
        <v>58</v>
      </c>
      <c r="Z574">
        <f ca="1">IFERROR(Table133[[#This Row],[call gamma]]*(Table133[[#This Row],[Open.Int]])*$A$4^2,0)</f>
        <v>0</v>
      </c>
      <c r="AA574">
        <f ca="1">IFERROR(((Table133[[#This Row],[Open.Int8]])*Table133[[#This Row],[Put gamma]])*-1*$A$4^2,0)</f>
        <v>0</v>
      </c>
      <c r="AB574">
        <f ca="1">(Table133[[#This Row],[Call Gex]]+Table133[[#This Row],[Put Gex]])</f>
        <v>0</v>
      </c>
      <c r="AC574">
        <f ca="1">Table133[[#This Row],[put delta adj]]+Table133[[#This Row],[call delta adj]]</f>
        <v>0</v>
      </c>
      <c r="AD574">
        <f ca="1">Table133[[#This Row],[Put Gex]]*Table133[[#This Row],[DeltaP]]*-1</f>
        <v>0</v>
      </c>
      <c r="AE574">
        <f ca="1">Table133[[#This Row],[Call Gex]]*Table133[[#This Row],[DeltaC]]</f>
        <v>0</v>
      </c>
      <c r="AF574">
        <f>IF(Table133[[#This Row],[DeltaC]]-ABS(Table133[[#This Row],[DeltaP]])="0","0.01",Table133[[#This Row],[DeltaC]]-ABS(Table133[[#This Row],[DeltaP]]))</f>
        <v>0</v>
      </c>
      <c r="AG574" t="e">
        <f ca="1">((LN($A$4/Table133[[#This Row],[Strike]]) + (0.411 + 0.5 * Table133[[#This Row],[IV Calc P]]^2) *Table133[[#This Row],[T]])) / (Table133[[#This Row],[IV Calc P]] * SQRT(Table133[[#This Row],[T]]))</f>
        <v>#DIV/0!</v>
      </c>
      <c r="AH574" t="e">
        <f ca="1">(LN($A$4/Table133[[#This Row],[Strike]]) + (0.411-0 + 0.5 * Table133[[#This Row],[IV Calc C]]^2) *Table133[[#This Row],[T]]) / (Table133[[#This Row],[IV Calc C]] * SQRT(Table133[[#This Row],[T]]))</f>
        <v>#DIV/0!</v>
      </c>
      <c r="AI574" t="e">
        <f ca="1">(EXP(-(AG574^2)/2)/SQRT(2*PI())*EXP(0*SQRT(Table133[[#This Row],[T]]))/$A$4*18%*SQRT(SQRT(Table133[[#This Row],[T]])))</f>
        <v>#DIV/0!</v>
      </c>
      <c r="AJ574" t="e">
        <f ca="1">(EXP(-(AH574^2)/2)/SQRT(2*PI())*EXP(0*SQRT(Table133[[#This Row],[T]]))/$A$4*18%*SQRT(SQRT(Table133[[#This Row],[T]])))</f>
        <v>#DIV/0!</v>
      </c>
      <c r="AK574" t="e">
        <f ca="1">Table133[[#This Row],[Call D1]]-Table133[[#This Row],[IV Calc C]]*SQRT(Table133[[#This Row],[T]])</f>
        <v>#DIV/0!</v>
      </c>
      <c r="AL574" t="e">
        <f ca="1">Table133[[#This Row],[Put D1]]-Table133[[#This Row],[IV Calc P]]*SQRT(Table133[[#This Row],[T]])</f>
        <v>#DIV/0!</v>
      </c>
      <c r="AM574" t="e">
        <f ca="1">EXP(-0.5*Table133[[#This Row],[Call D1]]^2)/SQRT(2*PI())</f>
        <v>#DIV/0!</v>
      </c>
      <c r="AN574" t="e">
        <f ca="1">EXP(-0.5*Table133[[#This Row],[Put D1]]^2)/SQRT(2*PI())</f>
        <v>#DIV/0!</v>
      </c>
      <c r="AO57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4">
        <f ca="1">((Table133[[#This Row],[call vanna]]+Table133[[#This Row],[put vanna]])*$A$4)</f>
        <v>0</v>
      </c>
      <c r="AR57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4" s="22" t="str" cm="1">
        <f t="array" ref="AT574">_xlfn.IFS(     $M$1="SPX","SPXW",     $M$1="RUT","RUTW",  $M$1="NDX","NDXP",   TRUE,$M$1 )</f>
        <v>SPXW</v>
      </c>
      <c r="AU574" s="23">
        <f t="shared" si="57"/>
        <v>6915</v>
      </c>
      <c r="AV574" s="13" t="str">
        <f t="shared" si="58"/>
        <v>000100</v>
      </c>
      <c r="AY57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4">
        <f>((Table133[[#This Row],[High C]]+Table133[[#This Row],[Low C]])/2)*Table133[[#This Row],[gammac]]*Table133[[#This Row],[Volume]]</f>
        <v>0</v>
      </c>
      <c r="BD574">
        <f>((Table133[[#This Row],[High P]]+Table133[[#This Row],[Low P]])/2)*Table133[[#This Row],[gammap]]*Table133[[#This Row],[Volume9]]*-1</f>
        <v>0</v>
      </c>
      <c r="BE574">
        <f>(Table133[[#This Row],[SgammaC]]+Table133[[#This Row],[SgammaP]])*$A$4*-100</f>
        <v>0</v>
      </c>
      <c r="BF574" s="78">
        <f>Table133[[#This Row],[DEXc]]+Table133[[#This Row],[DEXp]]</f>
        <v>0</v>
      </c>
      <c r="BG574">
        <f>IFERROR(Table133[[#This Row],[DeltaC]]*Table133[[#This Row],[Open.Int]]*$A$4,0)</f>
        <v>0</v>
      </c>
      <c r="BH574">
        <f>IFERROR(Table133[[#This Row],[DeltaP]]*Table133[[#This Row],[Open.Int8]]*$A$4,0)</f>
        <v>0</v>
      </c>
      <c r="BI57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4">
        <f ca="1">Table133[[#This Row],[charmc]]+Table133[[#This Row],[charmp]]</f>
        <v>0</v>
      </c>
      <c r="BL57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4" s="78">
        <f ca="1">Table133[[#This Row],[call helper]]+Table133[[#This Row],[put helper]]</f>
        <v>0</v>
      </c>
      <c r="BP574" t="str">
        <f>RTD("tos.rtd", , "STRIKE", "."&amp;Table133[[#This Row],[Ticker]]&amp;Table133[[#This Row],[Expiry]]&amp;""&amp;"C"&amp;Table133[[#This Row],[Spot]]+Table133[[#This Row],[step]])</f>
        <v>N/A</v>
      </c>
    </row>
    <row r="575" spans="1:68" x14ac:dyDescent="0.25">
      <c r="A575" s="14">
        <f t="shared" ca="1" si="54"/>
        <v>-126.14810350076104</v>
      </c>
      <c r="C575" s="17"/>
      <c r="D575" t="str">
        <f>RTD("tos.rtd", , "OPEN_INT", "."&amp;Table133[[#This Row],[Ticker]]&amp;Table133[[#This Row],[Expiry]]&amp;""&amp;"C"&amp;Table133[[#This Row],[Spot]]+Table133[[#This Row],[step]])</f>
        <v>N/A</v>
      </c>
      <c r="E57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5" t="b">
        <f>IF(     ISNUMBER(Table133[[#This Row],[Strike]]),RTD("tos.rtd", , "DELTA", "."&amp;Table133[[#This Row],[Ticker]]&amp;Table133[[#This Row],[Expiry]]&amp;""&amp;"C"&amp;Table133[[#This Row],[Strike]]))</f>
        <v>0</v>
      </c>
      <c r="H575" s="17" cm="1">
        <f t="array" aca="1" ref="H575" ca="1">IndividualLegIVCore($A$4, Table133[[#This Row],[Strike]], 0.0411, Table133[[#This Row],[T]], ((Table133[[#This Row],[BIDC]]+Table133[[#This Row],[ASKC]])/2), TRUE)</f>
        <v>0.01</v>
      </c>
      <c r="I575" t="b">
        <f>IF(     ISNUMBER(Table133[[#This Row],[Strike]]),RTD("tos.rtd", , "BID", "."&amp;Table133[[#This Row],[Ticker]]&amp;Table133[[#This Row],[Expiry]]&amp;""&amp;"C"&amp;Table133[[#This Row],[Strike]]))</f>
        <v>0</v>
      </c>
      <c r="J575" t="b">
        <f>IF(     ISNUMBER(Table133[[#This Row],[Strike]]),RTD("tos.rtd", , "ASK", "."&amp;Table133[[#This Row],[Ticker]]&amp;Table133[[#This Row],[Expiry]]&amp;""&amp;"C"&amp;Table133[[#This Row],[Strike]]))</f>
        <v>0</v>
      </c>
      <c r="K575" s="17"/>
      <c r="M575" s="1">
        <f t="shared" si="55"/>
        <v>0</v>
      </c>
      <c r="N575" t="b">
        <f t="shared" si="56"/>
        <v>0</v>
      </c>
      <c r="P575" s="17" cm="1">
        <f t="array" aca="1" ref="P575" ca="1">IndividualLegIVCore($A$4, Table133[[#This Row],[Strike]], 0.0411, Table133[[#This Row],[T]], ((Table133[[#This Row],[BIDP]]+Table133[[#This Row],[ASKP]])/2), FALSE)</f>
        <v>0.01</v>
      </c>
      <c r="Q575" t="b">
        <f>IF(     ISNUMBER(Table133[[#This Row],[Strike]]),RTD("tos.rtd", , "BID", "."&amp;Table133[[#This Row],[Ticker]]&amp;Table133[[#This Row],[Expiry]]&amp;""&amp;"P"&amp;Table133[[#This Row],[Strike]]))</f>
        <v>0</v>
      </c>
      <c r="R575" t="b">
        <f>IF(     ISNUMBER(Table133[[#This Row],[Strike]]),RTD("tos.rtd", , "ASK", "."&amp;Table133[[#This Row],[Ticker]]&amp;Table133[[#This Row],[Expiry]]&amp;""&amp;"P"&amp;Table133[[#This Row],[Strike]]))</f>
        <v>0</v>
      </c>
      <c r="S575" s="17"/>
      <c r="T575" t="b">
        <f>IF(     ISNUMBER(Table133[[#This Row],[Strike]]),RTD("tos.rtd", , "OPEN_INT", "."&amp;Table133[[#This Row],[Ticker]]&amp;Table133[[#This Row],[Expiry]]&amp;""&amp;"P"&amp;Table133[[#This Row],[Strike]]))</f>
        <v>0</v>
      </c>
      <c r="U57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5" t="b">
        <f>IF(     ISNUMBER(Table133[[#This Row],[Strike]]),RTD("tos.rtd", , "DELTA", "."&amp;Table133[[#This Row],[Ticker]]&amp;Table133[[#This Row],[Expiry]]&amp;""&amp;"P"&amp;Table133[[#This Row],[Strike]]))</f>
        <v>0</v>
      </c>
      <c r="Y575" s="19">
        <f>29.5* IF($M$1="NDX", 10, IF(OR($M$1="SPX", $M$1="RUT"), 2, 1))</f>
        <v>59</v>
      </c>
      <c r="Z575">
        <f ca="1">IFERROR(Table133[[#This Row],[call gamma]]*(Table133[[#This Row],[Open.Int]])*$A$4^2,0)</f>
        <v>0</v>
      </c>
      <c r="AA575">
        <f ca="1">IFERROR(((Table133[[#This Row],[Open.Int8]])*Table133[[#This Row],[Put gamma]])*-1*$A$4^2,0)</f>
        <v>0</v>
      </c>
      <c r="AB575">
        <f ca="1">(Table133[[#This Row],[Call Gex]]+Table133[[#This Row],[Put Gex]])</f>
        <v>0</v>
      </c>
      <c r="AC575">
        <f ca="1">Table133[[#This Row],[put delta adj]]+Table133[[#This Row],[call delta adj]]</f>
        <v>0</v>
      </c>
      <c r="AD575">
        <f ca="1">Table133[[#This Row],[Put Gex]]*Table133[[#This Row],[DeltaP]]*-1</f>
        <v>0</v>
      </c>
      <c r="AE575">
        <f ca="1">Table133[[#This Row],[Call Gex]]*Table133[[#This Row],[DeltaC]]</f>
        <v>0</v>
      </c>
      <c r="AF575">
        <f>IF(Table133[[#This Row],[DeltaC]]-ABS(Table133[[#This Row],[DeltaP]])="0","0.01",Table133[[#This Row],[DeltaC]]-ABS(Table133[[#This Row],[DeltaP]]))</f>
        <v>0</v>
      </c>
      <c r="AG575" t="e">
        <f ca="1">((LN($A$4/Table133[[#This Row],[Strike]]) + (0.411 + 0.5 * Table133[[#This Row],[IV Calc P]]^2) *Table133[[#This Row],[T]])) / (Table133[[#This Row],[IV Calc P]] * SQRT(Table133[[#This Row],[T]]))</f>
        <v>#DIV/0!</v>
      </c>
      <c r="AH575" t="e">
        <f ca="1">(LN($A$4/Table133[[#This Row],[Strike]]) + (0.411-0 + 0.5 * Table133[[#This Row],[IV Calc C]]^2) *Table133[[#This Row],[T]]) / (Table133[[#This Row],[IV Calc C]] * SQRT(Table133[[#This Row],[T]]))</f>
        <v>#DIV/0!</v>
      </c>
      <c r="AI575" t="e">
        <f ca="1">(EXP(-(AG575^2)/2)/SQRT(2*PI())*EXP(0*SQRT(Table133[[#This Row],[T]]))/$A$4*18%*SQRT(SQRT(Table133[[#This Row],[T]])))</f>
        <v>#DIV/0!</v>
      </c>
      <c r="AJ575" t="e">
        <f ca="1">(EXP(-(AH575^2)/2)/SQRT(2*PI())*EXP(0*SQRT(Table133[[#This Row],[T]]))/$A$4*18%*SQRT(SQRT(Table133[[#This Row],[T]])))</f>
        <v>#DIV/0!</v>
      </c>
      <c r="AK575" t="e">
        <f ca="1">Table133[[#This Row],[Call D1]]-Table133[[#This Row],[IV Calc C]]*SQRT(Table133[[#This Row],[T]])</f>
        <v>#DIV/0!</v>
      </c>
      <c r="AL575" t="e">
        <f ca="1">Table133[[#This Row],[Put D1]]-Table133[[#This Row],[IV Calc P]]*SQRT(Table133[[#This Row],[T]])</f>
        <v>#DIV/0!</v>
      </c>
      <c r="AM575" t="e">
        <f ca="1">EXP(-0.5*Table133[[#This Row],[Call D1]]^2)/SQRT(2*PI())</f>
        <v>#DIV/0!</v>
      </c>
      <c r="AN575" t="e">
        <f ca="1">EXP(-0.5*Table133[[#This Row],[Put D1]]^2)/SQRT(2*PI())</f>
        <v>#DIV/0!</v>
      </c>
      <c r="AO57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5">
        <f ca="1">((Table133[[#This Row],[call vanna]]+Table133[[#This Row],[put vanna]])*$A$4)</f>
        <v>0</v>
      </c>
      <c r="AR57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5" s="9" t="str" cm="1">
        <f t="array" ref="AT575">_xlfn.IFS(     $M$1="SPX","SPXW",     $M$1="RUT","RUTW",  $M$1="NDX","NDXP",   TRUE,$M$1 )</f>
        <v>SPXW</v>
      </c>
      <c r="AU575" s="2">
        <f t="shared" si="57"/>
        <v>6915</v>
      </c>
      <c r="AV575" t="str">
        <f t="shared" si="58"/>
        <v>000100</v>
      </c>
      <c r="AY57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5">
        <f>((Table133[[#This Row],[High C]]+Table133[[#This Row],[Low C]])/2)*Table133[[#This Row],[gammac]]*Table133[[#This Row],[Volume]]</f>
        <v>0</v>
      </c>
      <c r="BD575">
        <f>((Table133[[#This Row],[High P]]+Table133[[#This Row],[Low P]])/2)*Table133[[#This Row],[gammap]]*Table133[[#This Row],[Volume9]]*-1</f>
        <v>0</v>
      </c>
      <c r="BE575">
        <f>(Table133[[#This Row],[SgammaC]]+Table133[[#This Row],[SgammaP]])*$A$4*-100</f>
        <v>0</v>
      </c>
      <c r="BF575" s="78">
        <f>Table133[[#This Row],[DEXc]]+Table133[[#This Row],[DEXp]]</f>
        <v>0</v>
      </c>
      <c r="BG575">
        <f>IFERROR(Table133[[#This Row],[DeltaC]]*Table133[[#This Row],[Open.Int]]*$A$4,0)</f>
        <v>0</v>
      </c>
      <c r="BH575">
        <f>IFERROR(Table133[[#This Row],[DeltaP]]*Table133[[#This Row],[Open.Int8]]*$A$4,0)</f>
        <v>0</v>
      </c>
      <c r="BI57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5">
        <f ca="1">Table133[[#This Row],[charmc]]+Table133[[#This Row],[charmp]]</f>
        <v>0</v>
      </c>
      <c r="BL57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5" s="78">
        <f ca="1">Table133[[#This Row],[call helper]]+Table133[[#This Row],[put helper]]</f>
        <v>0</v>
      </c>
      <c r="BP575" t="str">
        <f>RTD("tos.rtd", , "STRIKE", "."&amp;Table133[[#This Row],[Ticker]]&amp;Table133[[#This Row],[Expiry]]&amp;""&amp;"C"&amp;Table133[[#This Row],[Spot]]+Table133[[#This Row],[step]])</f>
        <v>N/A</v>
      </c>
    </row>
    <row r="576" spans="1:68" x14ac:dyDescent="0.25">
      <c r="A576" s="14">
        <f t="shared" ca="1" si="54"/>
        <v>-126.14810350076104</v>
      </c>
      <c r="C576" s="17"/>
      <c r="D576" t="str">
        <f>RTD("tos.rtd", , "OPEN_INT", "."&amp;Table133[[#This Row],[Ticker]]&amp;Table133[[#This Row],[Expiry]]&amp;""&amp;"C"&amp;Table133[[#This Row],[Spot]]+Table133[[#This Row],[step]])</f>
        <v>N/A</v>
      </c>
      <c r="E57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6" t="b">
        <f>IF(     ISNUMBER(Table133[[#This Row],[Strike]]),RTD("tos.rtd", , "DELTA", "."&amp;Table133[[#This Row],[Ticker]]&amp;Table133[[#This Row],[Expiry]]&amp;""&amp;"C"&amp;Table133[[#This Row],[Strike]]))</f>
        <v>0</v>
      </c>
      <c r="H576" s="17" cm="1">
        <f t="array" aca="1" ref="H576" ca="1">IndividualLegIVCore($A$4, Table133[[#This Row],[Strike]], 0.0411, Table133[[#This Row],[T]], ((Table133[[#This Row],[BIDC]]+Table133[[#This Row],[ASKC]])/2), TRUE)</f>
        <v>0.01</v>
      </c>
      <c r="I576" t="b">
        <f>IF(     ISNUMBER(Table133[[#This Row],[Strike]]),RTD("tos.rtd", , "BID", "."&amp;Table133[[#This Row],[Ticker]]&amp;Table133[[#This Row],[Expiry]]&amp;""&amp;"C"&amp;Table133[[#This Row],[Strike]]))</f>
        <v>0</v>
      </c>
      <c r="J576" t="b">
        <f>IF(     ISNUMBER(Table133[[#This Row],[Strike]]),RTD("tos.rtd", , "ASK", "."&amp;Table133[[#This Row],[Ticker]]&amp;Table133[[#This Row],[Expiry]]&amp;""&amp;"C"&amp;Table133[[#This Row],[Strike]]))</f>
        <v>0</v>
      </c>
      <c r="K576" s="17"/>
      <c r="M576" s="1">
        <f t="shared" si="55"/>
        <v>0</v>
      </c>
      <c r="N576" t="b">
        <f t="shared" si="56"/>
        <v>0</v>
      </c>
      <c r="P576" s="17" cm="1">
        <f t="array" aca="1" ref="P576" ca="1">IndividualLegIVCore($A$4, Table133[[#This Row],[Strike]], 0.0411, Table133[[#This Row],[T]], ((Table133[[#This Row],[BIDP]]+Table133[[#This Row],[ASKP]])/2), FALSE)</f>
        <v>0.01</v>
      </c>
      <c r="Q576" t="b">
        <f>IF(     ISNUMBER(Table133[[#This Row],[Strike]]),RTD("tos.rtd", , "BID", "."&amp;Table133[[#This Row],[Ticker]]&amp;Table133[[#This Row],[Expiry]]&amp;""&amp;"P"&amp;Table133[[#This Row],[Strike]]))</f>
        <v>0</v>
      </c>
      <c r="R576" t="b">
        <f>IF(     ISNUMBER(Table133[[#This Row],[Strike]]),RTD("tos.rtd", , "ASK", "."&amp;Table133[[#This Row],[Ticker]]&amp;Table133[[#This Row],[Expiry]]&amp;""&amp;"P"&amp;Table133[[#This Row],[Strike]]))</f>
        <v>0</v>
      </c>
      <c r="S576" s="17"/>
      <c r="T576" t="b">
        <f>IF(     ISNUMBER(Table133[[#This Row],[Strike]]),RTD("tos.rtd", , "OPEN_INT", "."&amp;Table133[[#This Row],[Ticker]]&amp;Table133[[#This Row],[Expiry]]&amp;""&amp;"P"&amp;Table133[[#This Row],[Strike]]))</f>
        <v>0</v>
      </c>
      <c r="U57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6" t="b">
        <f>IF(     ISNUMBER(Table133[[#This Row],[Strike]]),RTD("tos.rtd", , "DELTA", "."&amp;Table133[[#This Row],[Ticker]]&amp;Table133[[#This Row],[Expiry]]&amp;""&amp;"P"&amp;Table133[[#This Row],[Strike]]))</f>
        <v>0</v>
      </c>
      <c r="Y576" s="21">
        <f>30* IF($M$1="NDX", 10, IF(OR($M$1="SPX", $M$1="RUT"), 2, 1))</f>
        <v>60</v>
      </c>
      <c r="Z576">
        <f ca="1">IFERROR(Table133[[#This Row],[call gamma]]*(Table133[[#This Row],[Open.Int]])*$A$4^2,0)</f>
        <v>0</v>
      </c>
      <c r="AA576">
        <f ca="1">IFERROR(((Table133[[#This Row],[Open.Int8]])*Table133[[#This Row],[Put gamma]])*-1*$A$4^2,0)</f>
        <v>0</v>
      </c>
      <c r="AB576">
        <f ca="1">(Table133[[#This Row],[Call Gex]]+Table133[[#This Row],[Put Gex]])</f>
        <v>0</v>
      </c>
      <c r="AC576">
        <f ca="1">Table133[[#This Row],[put delta adj]]+Table133[[#This Row],[call delta adj]]</f>
        <v>0</v>
      </c>
      <c r="AD576">
        <f ca="1">Table133[[#This Row],[Put Gex]]*Table133[[#This Row],[DeltaP]]*-1</f>
        <v>0</v>
      </c>
      <c r="AE576">
        <f ca="1">Table133[[#This Row],[Call Gex]]*Table133[[#This Row],[DeltaC]]</f>
        <v>0</v>
      </c>
      <c r="AF576">
        <f>IF(Table133[[#This Row],[DeltaC]]-ABS(Table133[[#This Row],[DeltaP]])="0","0.01",Table133[[#This Row],[DeltaC]]-ABS(Table133[[#This Row],[DeltaP]]))</f>
        <v>0</v>
      </c>
      <c r="AG576" t="e">
        <f ca="1">((LN($A$4/Table133[[#This Row],[Strike]]) + (0.411 + 0.5 * Table133[[#This Row],[IV Calc P]]^2) *Table133[[#This Row],[T]])) / (Table133[[#This Row],[IV Calc P]] * SQRT(Table133[[#This Row],[T]]))</f>
        <v>#DIV/0!</v>
      </c>
      <c r="AH576" t="e">
        <f ca="1">(LN($A$4/Table133[[#This Row],[Strike]]) + (0.411-0 + 0.5 * Table133[[#This Row],[IV Calc C]]^2) *Table133[[#This Row],[T]]) / (Table133[[#This Row],[IV Calc C]] * SQRT(Table133[[#This Row],[T]]))</f>
        <v>#DIV/0!</v>
      </c>
      <c r="AI576" t="e">
        <f ca="1">(EXP(-(AG576^2)/2)/SQRT(2*PI())*EXP(0*SQRT(Table133[[#This Row],[T]]))/$A$4*18%*SQRT(SQRT(Table133[[#This Row],[T]])))</f>
        <v>#DIV/0!</v>
      </c>
      <c r="AJ576" t="e">
        <f ca="1">(EXP(-(AH576^2)/2)/SQRT(2*PI())*EXP(0*SQRT(Table133[[#This Row],[T]]))/$A$4*18%*SQRT(SQRT(Table133[[#This Row],[T]])))</f>
        <v>#DIV/0!</v>
      </c>
      <c r="AK576" t="e">
        <f ca="1">Table133[[#This Row],[Call D1]]-Table133[[#This Row],[IV Calc C]]*SQRT(Table133[[#This Row],[T]])</f>
        <v>#DIV/0!</v>
      </c>
      <c r="AL576" t="e">
        <f ca="1">Table133[[#This Row],[Put D1]]-Table133[[#This Row],[IV Calc P]]*SQRT(Table133[[#This Row],[T]])</f>
        <v>#DIV/0!</v>
      </c>
      <c r="AM576" t="e">
        <f ca="1">EXP(-0.5*Table133[[#This Row],[Call D1]]^2)/SQRT(2*PI())</f>
        <v>#DIV/0!</v>
      </c>
      <c r="AN576" t="e">
        <f ca="1">EXP(-0.5*Table133[[#This Row],[Put D1]]^2)/SQRT(2*PI())</f>
        <v>#DIV/0!</v>
      </c>
      <c r="AO57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6">
        <f ca="1">((Table133[[#This Row],[call vanna]]+Table133[[#This Row],[put vanna]])*$A$4)</f>
        <v>0</v>
      </c>
      <c r="AR57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6" s="9" t="str" cm="1">
        <f t="array" ref="AT576">_xlfn.IFS(     $M$1="SPX","SPXW",     $M$1="RUT","RUTW",  $M$1="NDX","NDXP",   TRUE,$M$1 )</f>
        <v>SPXW</v>
      </c>
      <c r="AU576" s="2">
        <f t="shared" si="57"/>
        <v>6915</v>
      </c>
      <c r="AV576" t="str">
        <f t="shared" si="58"/>
        <v>000100</v>
      </c>
      <c r="AY57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6">
        <f>((Table133[[#This Row],[High C]]+Table133[[#This Row],[Low C]])/2)*Table133[[#This Row],[gammac]]*Table133[[#This Row],[Volume]]</f>
        <v>0</v>
      </c>
      <c r="BD576">
        <f>((Table133[[#This Row],[High P]]+Table133[[#This Row],[Low P]])/2)*Table133[[#This Row],[gammap]]*Table133[[#This Row],[Volume9]]*-1</f>
        <v>0</v>
      </c>
      <c r="BE576">
        <f>(Table133[[#This Row],[SgammaC]]+Table133[[#This Row],[SgammaP]])*$A$4*-100</f>
        <v>0</v>
      </c>
      <c r="BF576" s="78">
        <f>Table133[[#This Row],[DEXc]]+Table133[[#This Row],[DEXp]]</f>
        <v>0</v>
      </c>
      <c r="BG576">
        <f>IFERROR(Table133[[#This Row],[DeltaC]]*Table133[[#This Row],[Open.Int]]*$A$4,0)</f>
        <v>0</v>
      </c>
      <c r="BH576">
        <f>IFERROR(Table133[[#This Row],[DeltaP]]*Table133[[#This Row],[Open.Int8]]*$A$4,0)</f>
        <v>0</v>
      </c>
      <c r="BI57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6">
        <f ca="1">Table133[[#This Row],[charmc]]+Table133[[#This Row],[charmp]]</f>
        <v>0</v>
      </c>
      <c r="BL57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6" s="78">
        <f ca="1">Table133[[#This Row],[call helper]]+Table133[[#This Row],[put helper]]</f>
        <v>0</v>
      </c>
      <c r="BP576" t="str">
        <f>RTD("tos.rtd", , "STRIKE", "."&amp;Table133[[#This Row],[Ticker]]&amp;Table133[[#This Row],[Expiry]]&amp;""&amp;"C"&amp;Table133[[#This Row],[Spot]]+Table133[[#This Row],[step]])</f>
        <v>N/A</v>
      </c>
    </row>
    <row r="577" spans="1:68" x14ac:dyDescent="0.25">
      <c r="A577" s="14">
        <f t="shared" ca="1" si="54"/>
        <v>-126.14810350076104</v>
      </c>
      <c r="C577" s="17"/>
      <c r="D577" t="str">
        <f>RTD("tos.rtd", , "OPEN_INT", "."&amp;Table133[[#This Row],[Ticker]]&amp;Table133[[#This Row],[Expiry]]&amp;""&amp;"C"&amp;Table133[[#This Row],[Spot]]+Table133[[#This Row],[step]])</f>
        <v>N/A</v>
      </c>
      <c r="E57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7" t="b">
        <f>IF(     ISNUMBER(Table133[[#This Row],[Strike]]),RTD("tos.rtd", , "DELTA", "."&amp;Table133[[#This Row],[Ticker]]&amp;Table133[[#This Row],[Expiry]]&amp;""&amp;"C"&amp;Table133[[#This Row],[Strike]]))</f>
        <v>0</v>
      </c>
      <c r="H577" s="17" cm="1">
        <f t="array" aca="1" ref="H577" ca="1">IndividualLegIVCore($A$4, Table133[[#This Row],[Strike]], 0.0411, Table133[[#This Row],[T]], ((Table133[[#This Row],[BIDC]]+Table133[[#This Row],[ASKC]])/2), TRUE)</f>
        <v>0.01</v>
      </c>
      <c r="I577" t="b">
        <f>IF(     ISNUMBER(Table133[[#This Row],[Strike]]),RTD("tos.rtd", , "BID", "."&amp;Table133[[#This Row],[Ticker]]&amp;Table133[[#This Row],[Expiry]]&amp;""&amp;"C"&amp;Table133[[#This Row],[Strike]]))</f>
        <v>0</v>
      </c>
      <c r="J577" t="b">
        <f>IF(     ISNUMBER(Table133[[#This Row],[Strike]]),RTD("tos.rtd", , "ASK", "."&amp;Table133[[#This Row],[Ticker]]&amp;Table133[[#This Row],[Expiry]]&amp;""&amp;"C"&amp;Table133[[#This Row],[Strike]]))</f>
        <v>0</v>
      </c>
      <c r="K577" s="17"/>
      <c r="M577" s="1">
        <f t="shared" si="55"/>
        <v>0</v>
      </c>
      <c r="N577" t="b">
        <f t="shared" si="56"/>
        <v>0</v>
      </c>
      <c r="P577" s="17" cm="1">
        <f t="array" aca="1" ref="P577" ca="1">IndividualLegIVCore($A$4, Table133[[#This Row],[Strike]], 0.0411, Table133[[#This Row],[T]], ((Table133[[#This Row],[BIDP]]+Table133[[#This Row],[ASKP]])/2), FALSE)</f>
        <v>0.01</v>
      </c>
      <c r="Q577" t="b">
        <f>IF(     ISNUMBER(Table133[[#This Row],[Strike]]),RTD("tos.rtd", , "BID", "."&amp;Table133[[#This Row],[Ticker]]&amp;Table133[[#This Row],[Expiry]]&amp;""&amp;"P"&amp;Table133[[#This Row],[Strike]]))</f>
        <v>0</v>
      </c>
      <c r="R577" t="b">
        <f>IF(     ISNUMBER(Table133[[#This Row],[Strike]]),RTD("tos.rtd", , "ASK", "."&amp;Table133[[#This Row],[Ticker]]&amp;Table133[[#This Row],[Expiry]]&amp;""&amp;"P"&amp;Table133[[#This Row],[Strike]]))</f>
        <v>0</v>
      </c>
      <c r="S577" s="17"/>
      <c r="T577" t="b">
        <f>IF(     ISNUMBER(Table133[[#This Row],[Strike]]),RTD("tos.rtd", , "OPEN_INT", "."&amp;Table133[[#This Row],[Ticker]]&amp;Table133[[#This Row],[Expiry]]&amp;""&amp;"P"&amp;Table133[[#This Row],[Strike]]))</f>
        <v>0</v>
      </c>
      <c r="U57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7" t="b">
        <f>IF(     ISNUMBER(Table133[[#This Row],[Strike]]),RTD("tos.rtd", , "DELTA", "."&amp;Table133[[#This Row],[Ticker]]&amp;Table133[[#This Row],[Expiry]]&amp;""&amp;"P"&amp;Table133[[#This Row],[Strike]]))</f>
        <v>0</v>
      </c>
      <c r="Y577" s="19">
        <f>30.5* IF($M$1="NDX", 10, IF(OR($M$1="SPX", $M$1="RUT"), 2, 1))</f>
        <v>61</v>
      </c>
      <c r="Z577">
        <f ca="1">IFERROR(Table133[[#This Row],[call gamma]]*(Table133[[#This Row],[Open.Int]])*$A$4^2,0)</f>
        <v>0</v>
      </c>
      <c r="AA577">
        <f ca="1">IFERROR(((Table133[[#This Row],[Open.Int8]])*Table133[[#This Row],[Put gamma]])*-1*$A$4^2,0)</f>
        <v>0</v>
      </c>
      <c r="AB577">
        <f ca="1">(Table133[[#This Row],[Call Gex]]+Table133[[#This Row],[Put Gex]])</f>
        <v>0</v>
      </c>
      <c r="AC577">
        <f ca="1">Table133[[#This Row],[put delta adj]]+Table133[[#This Row],[call delta adj]]</f>
        <v>0</v>
      </c>
      <c r="AD577">
        <f ca="1">Table133[[#This Row],[Put Gex]]*Table133[[#This Row],[DeltaP]]*-1</f>
        <v>0</v>
      </c>
      <c r="AE577">
        <f ca="1">Table133[[#This Row],[Call Gex]]*Table133[[#This Row],[DeltaC]]</f>
        <v>0</v>
      </c>
      <c r="AF577">
        <f>IF(Table133[[#This Row],[DeltaC]]-ABS(Table133[[#This Row],[DeltaP]])="0","0.01",Table133[[#This Row],[DeltaC]]-ABS(Table133[[#This Row],[DeltaP]]))</f>
        <v>0</v>
      </c>
      <c r="AG577" t="e">
        <f ca="1">((LN($A$4/Table133[[#This Row],[Strike]]) + (0.411 + 0.5 * Table133[[#This Row],[IV Calc P]]^2) *Table133[[#This Row],[T]])) / (Table133[[#This Row],[IV Calc P]] * SQRT(Table133[[#This Row],[T]]))</f>
        <v>#DIV/0!</v>
      </c>
      <c r="AH577" t="e">
        <f ca="1">(LN($A$4/Table133[[#This Row],[Strike]]) + (0.411-0 + 0.5 * Table133[[#This Row],[IV Calc C]]^2) *Table133[[#This Row],[T]]) / (Table133[[#This Row],[IV Calc C]] * SQRT(Table133[[#This Row],[T]]))</f>
        <v>#DIV/0!</v>
      </c>
      <c r="AI577" t="e">
        <f ca="1">(EXP(-(AG577^2)/2)/SQRT(2*PI())*EXP(0*SQRT(Table133[[#This Row],[T]]))/$A$4*18%*SQRT(SQRT(Table133[[#This Row],[T]])))</f>
        <v>#DIV/0!</v>
      </c>
      <c r="AJ577" t="e">
        <f ca="1">(EXP(-(AH577^2)/2)/SQRT(2*PI())*EXP(0*SQRT(Table133[[#This Row],[T]]))/$A$4*18%*SQRT(SQRT(Table133[[#This Row],[T]])))</f>
        <v>#DIV/0!</v>
      </c>
      <c r="AK577" t="e">
        <f ca="1">Table133[[#This Row],[Call D1]]-Table133[[#This Row],[IV Calc C]]*SQRT(Table133[[#This Row],[T]])</f>
        <v>#DIV/0!</v>
      </c>
      <c r="AL577" t="e">
        <f ca="1">Table133[[#This Row],[Put D1]]-Table133[[#This Row],[IV Calc P]]*SQRT(Table133[[#This Row],[T]])</f>
        <v>#DIV/0!</v>
      </c>
      <c r="AM577" t="e">
        <f ca="1">EXP(-0.5*Table133[[#This Row],[Call D1]]^2)/SQRT(2*PI())</f>
        <v>#DIV/0!</v>
      </c>
      <c r="AN577" t="e">
        <f ca="1">EXP(-0.5*Table133[[#This Row],[Put D1]]^2)/SQRT(2*PI())</f>
        <v>#DIV/0!</v>
      </c>
      <c r="AO57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7">
        <f ca="1">((Table133[[#This Row],[call vanna]]+Table133[[#This Row],[put vanna]])*$A$4)</f>
        <v>0</v>
      </c>
      <c r="AR57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7" s="9" t="str" cm="1">
        <f t="array" ref="AT577">_xlfn.IFS(     $M$1="SPX","SPXW",     $M$1="RUT","RUTW",  $M$1="NDX","NDXP",   TRUE,$M$1 )</f>
        <v>SPXW</v>
      </c>
      <c r="AU577" s="2">
        <f t="shared" si="57"/>
        <v>6915</v>
      </c>
      <c r="AV577" t="str">
        <f t="shared" si="58"/>
        <v>000100</v>
      </c>
      <c r="AY57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7">
        <f>((Table133[[#This Row],[High C]]+Table133[[#This Row],[Low C]])/2)*Table133[[#This Row],[gammac]]*Table133[[#This Row],[Volume]]</f>
        <v>0</v>
      </c>
      <c r="BD577">
        <f>((Table133[[#This Row],[High P]]+Table133[[#This Row],[Low P]])/2)*Table133[[#This Row],[gammap]]*Table133[[#This Row],[Volume9]]*-1</f>
        <v>0</v>
      </c>
      <c r="BE577">
        <f>(Table133[[#This Row],[SgammaC]]+Table133[[#This Row],[SgammaP]])*$A$4*-100</f>
        <v>0</v>
      </c>
      <c r="BF577" s="78">
        <f>Table133[[#This Row],[DEXc]]+Table133[[#This Row],[DEXp]]</f>
        <v>0</v>
      </c>
      <c r="BG577">
        <f>IFERROR(Table133[[#This Row],[DeltaC]]*Table133[[#This Row],[Open.Int]]*$A$4,0)</f>
        <v>0</v>
      </c>
      <c r="BH577">
        <f>IFERROR(Table133[[#This Row],[DeltaP]]*Table133[[#This Row],[Open.Int8]]*$A$4,0)</f>
        <v>0</v>
      </c>
      <c r="BI57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7">
        <f ca="1">Table133[[#This Row],[charmc]]+Table133[[#This Row],[charmp]]</f>
        <v>0</v>
      </c>
      <c r="BL57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7" s="78">
        <f ca="1">Table133[[#This Row],[call helper]]+Table133[[#This Row],[put helper]]</f>
        <v>0</v>
      </c>
      <c r="BP577" t="str">
        <f>RTD("tos.rtd", , "STRIKE", "."&amp;Table133[[#This Row],[Ticker]]&amp;Table133[[#This Row],[Expiry]]&amp;""&amp;"C"&amp;Table133[[#This Row],[Spot]]+Table133[[#This Row],[step]])</f>
        <v>N/A</v>
      </c>
    </row>
    <row r="578" spans="1:68" x14ac:dyDescent="0.25">
      <c r="A578" s="14">
        <f t="shared" ca="1" si="54"/>
        <v>-126.14810350076104</v>
      </c>
      <c r="C578" s="17"/>
      <c r="D578" t="str">
        <f>RTD("tos.rtd", , "OPEN_INT", "."&amp;Table133[[#This Row],[Ticker]]&amp;Table133[[#This Row],[Expiry]]&amp;""&amp;"C"&amp;Table133[[#This Row],[Spot]]+Table133[[#This Row],[step]])</f>
        <v>N/A</v>
      </c>
      <c r="E57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8" t="b">
        <f>IF(     ISNUMBER(Table133[[#This Row],[Strike]]),RTD("tos.rtd", , "DELTA", "."&amp;Table133[[#This Row],[Ticker]]&amp;Table133[[#This Row],[Expiry]]&amp;""&amp;"C"&amp;Table133[[#This Row],[Strike]]))</f>
        <v>0</v>
      </c>
      <c r="H578" s="17" cm="1">
        <f t="array" aca="1" ref="H578" ca="1">IndividualLegIVCore($A$4, Table133[[#This Row],[Strike]], 0.0411, Table133[[#This Row],[T]], ((Table133[[#This Row],[BIDC]]+Table133[[#This Row],[ASKC]])/2), TRUE)</f>
        <v>0.01</v>
      </c>
      <c r="I578" t="b">
        <f>IF(     ISNUMBER(Table133[[#This Row],[Strike]]),RTD("tos.rtd", , "BID", "."&amp;Table133[[#This Row],[Ticker]]&amp;Table133[[#This Row],[Expiry]]&amp;""&amp;"C"&amp;Table133[[#This Row],[Strike]]))</f>
        <v>0</v>
      </c>
      <c r="J578" t="b">
        <f>IF(     ISNUMBER(Table133[[#This Row],[Strike]]),RTD("tos.rtd", , "ASK", "."&amp;Table133[[#This Row],[Ticker]]&amp;Table133[[#This Row],[Expiry]]&amp;""&amp;"C"&amp;Table133[[#This Row],[Strike]]))</f>
        <v>0</v>
      </c>
      <c r="K578" s="17"/>
      <c r="M578" s="1">
        <f t="shared" si="55"/>
        <v>0</v>
      </c>
      <c r="N578" t="b">
        <f t="shared" si="56"/>
        <v>0</v>
      </c>
      <c r="P578" s="17" cm="1">
        <f t="array" aca="1" ref="P578" ca="1">IndividualLegIVCore($A$4, Table133[[#This Row],[Strike]], 0.0411, Table133[[#This Row],[T]], ((Table133[[#This Row],[BIDP]]+Table133[[#This Row],[ASKP]])/2), FALSE)</f>
        <v>0.01</v>
      </c>
      <c r="Q578" t="b">
        <f>IF(     ISNUMBER(Table133[[#This Row],[Strike]]),RTD("tos.rtd", , "BID", "."&amp;Table133[[#This Row],[Ticker]]&amp;Table133[[#This Row],[Expiry]]&amp;""&amp;"P"&amp;Table133[[#This Row],[Strike]]))</f>
        <v>0</v>
      </c>
      <c r="R578" t="b">
        <f>IF(     ISNUMBER(Table133[[#This Row],[Strike]]),RTD("tos.rtd", , "ASK", "."&amp;Table133[[#This Row],[Ticker]]&amp;Table133[[#This Row],[Expiry]]&amp;""&amp;"P"&amp;Table133[[#This Row],[Strike]]))</f>
        <v>0</v>
      </c>
      <c r="S578" s="17"/>
      <c r="T578" t="b">
        <f>IF(     ISNUMBER(Table133[[#This Row],[Strike]]),RTD("tos.rtd", , "OPEN_INT", "."&amp;Table133[[#This Row],[Ticker]]&amp;Table133[[#This Row],[Expiry]]&amp;""&amp;"P"&amp;Table133[[#This Row],[Strike]]))</f>
        <v>0</v>
      </c>
      <c r="U57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8" t="b">
        <f>IF(     ISNUMBER(Table133[[#This Row],[Strike]]),RTD("tos.rtd", , "DELTA", "."&amp;Table133[[#This Row],[Ticker]]&amp;Table133[[#This Row],[Expiry]]&amp;""&amp;"P"&amp;Table133[[#This Row],[Strike]]))</f>
        <v>0</v>
      </c>
      <c r="Y578" s="19">
        <f>31* IF($M$1="NDX", 10, IF(OR($M$1="SPX", $M$1="RUT"), 2, 1))</f>
        <v>62</v>
      </c>
      <c r="Z578">
        <f ca="1">IFERROR(Table133[[#This Row],[call gamma]]*(Table133[[#This Row],[Open.Int]])*$A$4^2,0)</f>
        <v>0</v>
      </c>
      <c r="AA578">
        <f ca="1">IFERROR(((Table133[[#This Row],[Open.Int8]])*Table133[[#This Row],[Put gamma]])*-1*$A$4^2,0)</f>
        <v>0</v>
      </c>
      <c r="AB578">
        <f ca="1">(Table133[[#This Row],[Call Gex]]+Table133[[#This Row],[Put Gex]])</f>
        <v>0</v>
      </c>
      <c r="AC578">
        <f ca="1">Table133[[#This Row],[put delta adj]]+Table133[[#This Row],[call delta adj]]</f>
        <v>0</v>
      </c>
      <c r="AD578">
        <f ca="1">Table133[[#This Row],[Put Gex]]*Table133[[#This Row],[DeltaP]]*-1</f>
        <v>0</v>
      </c>
      <c r="AE578">
        <f ca="1">Table133[[#This Row],[Call Gex]]*Table133[[#This Row],[DeltaC]]</f>
        <v>0</v>
      </c>
      <c r="AF578">
        <f>IF(Table133[[#This Row],[DeltaC]]-ABS(Table133[[#This Row],[DeltaP]])="0","0.01",Table133[[#This Row],[DeltaC]]-ABS(Table133[[#This Row],[DeltaP]]))</f>
        <v>0</v>
      </c>
      <c r="AG578" t="e">
        <f ca="1">((LN($A$4/Table133[[#This Row],[Strike]]) + (0.411 + 0.5 * Table133[[#This Row],[IV Calc P]]^2) *Table133[[#This Row],[T]])) / (Table133[[#This Row],[IV Calc P]] * SQRT(Table133[[#This Row],[T]]))</f>
        <v>#DIV/0!</v>
      </c>
      <c r="AH578" t="e">
        <f ca="1">(LN($A$4/Table133[[#This Row],[Strike]]) + (0.411-0 + 0.5 * Table133[[#This Row],[IV Calc C]]^2) *Table133[[#This Row],[T]]) / (Table133[[#This Row],[IV Calc C]] * SQRT(Table133[[#This Row],[T]]))</f>
        <v>#DIV/0!</v>
      </c>
      <c r="AI578" t="e">
        <f ca="1">(EXP(-(AG578^2)/2)/SQRT(2*PI())*EXP(0*SQRT(Table133[[#This Row],[T]]))/$A$4*18%*SQRT(SQRT(Table133[[#This Row],[T]])))</f>
        <v>#DIV/0!</v>
      </c>
      <c r="AJ578" t="e">
        <f ca="1">(EXP(-(AH578^2)/2)/SQRT(2*PI())*EXP(0*SQRT(Table133[[#This Row],[T]]))/$A$4*18%*SQRT(SQRT(Table133[[#This Row],[T]])))</f>
        <v>#DIV/0!</v>
      </c>
      <c r="AK578" t="e">
        <f ca="1">Table133[[#This Row],[Call D1]]-Table133[[#This Row],[IV Calc C]]*SQRT(Table133[[#This Row],[T]])</f>
        <v>#DIV/0!</v>
      </c>
      <c r="AL578" t="e">
        <f ca="1">Table133[[#This Row],[Put D1]]-Table133[[#This Row],[IV Calc P]]*SQRT(Table133[[#This Row],[T]])</f>
        <v>#DIV/0!</v>
      </c>
      <c r="AM578" t="e">
        <f ca="1">EXP(-0.5*Table133[[#This Row],[Call D1]]^2)/SQRT(2*PI())</f>
        <v>#DIV/0!</v>
      </c>
      <c r="AN578" t="e">
        <f ca="1">EXP(-0.5*Table133[[#This Row],[Put D1]]^2)/SQRT(2*PI())</f>
        <v>#DIV/0!</v>
      </c>
      <c r="AO57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8">
        <f ca="1">((Table133[[#This Row],[call vanna]]+Table133[[#This Row],[put vanna]])*$A$4)</f>
        <v>0</v>
      </c>
      <c r="AR57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8" s="9" t="str" cm="1">
        <f t="array" ref="AT578">_xlfn.IFS(     $M$1="SPX","SPXW",     $M$1="RUT","RUTW",  $M$1="NDX","NDXP",   TRUE,$M$1 )</f>
        <v>SPXW</v>
      </c>
      <c r="AU578" s="2">
        <f t="shared" si="57"/>
        <v>6915</v>
      </c>
      <c r="AV578" t="str">
        <f t="shared" si="58"/>
        <v>000100</v>
      </c>
      <c r="AY57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8">
        <f>((Table133[[#This Row],[High C]]+Table133[[#This Row],[Low C]])/2)*Table133[[#This Row],[gammac]]*Table133[[#This Row],[Volume]]</f>
        <v>0</v>
      </c>
      <c r="BD578">
        <f>((Table133[[#This Row],[High P]]+Table133[[#This Row],[Low P]])/2)*Table133[[#This Row],[gammap]]*Table133[[#This Row],[Volume9]]*-1</f>
        <v>0</v>
      </c>
      <c r="BE578">
        <f>(Table133[[#This Row],[SgammaC]]+Table133[[#This Row],[SgammaP]])*$A$4*-100</f>
        <v>0</v>
      </c>
      <c r="BF578" s="78">
        <f>Table133[[#This Row],[DEXc]]+Table133[[#This Row],[DEXp]]</f>
        <v>0</v>
      </c>
      <c r="BG578">
        <f>IFERROR(Table133[[#This Row],[DeltaC]]*Table133[[#This Row],[Open.Int]]*$A$4,0)</f>
        <v>0</v>
      </c>
      <c r="BH578">
        <f>IFERROR(Table133[[#This Row],[DeltaP]]*Table133[[#This Row],[Open.Int8]]*$A$4,0)</f>
        <v>0</v>
      </c>
      <c r="BI57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8">
        <f ca="1">Table133[[#This Row],[charmc]]+Table133[[#This Row],[charmp]]</f>
        <v>0</v>
      </c>
      <c r="BL57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8" s="78">
        <f ca="1">Table133[[#This Row],[call helper]]+Table133[[#This Row],[put helper]]</f>
        <v>0</v>
      </c>
      <c r="BP578" t="str">
        <f>RTD("tos.rtd", , "STRIKE", "."&amp;Table133[[#This Row],[Ticker]]&amp;Table133[[#This Row],[Expiry]]&amp;""&amp;"C"&amp;Table133[[#This Row],[Spot]]+Table133[[#This Row],[step]])</f>
        <v>N/A</v>
      </c>
    </row>
    <row r="579" spans="1:68" x14ac:dyDescent="0.25">
      <c r="A579" s="14">
        <f t="shared" ca="1" si="54"/>
        <v>-126.14810350076104</v>
      </c>
      <c r="C579" s="17"/>
      <c r="D579" t="str">
        <f>RTD("tos.rtd", , "OPEN_INT", "."&amp;Table133[[#This Row],[Ticker]]&amp;Table133[[#This Row],[Expiry]]&amp;""&amp;"C"&amp;Table133[[#This Row],[Spot]]+Table133[[#This Row],[step]])</f>
        <v>N/A</v>
      </c>
      <c r="E57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9" t="b">
        <f>IF(     ISNUMBER(Table133[[#This Row],[Strike]]),RTD("tos.rtd", , "DELTA", "."&amp;Table133[[#This Row],[Ticker]]&amp;Table133[[#This Row],[Expiry]]&amp;""&amp;"C"&amp;Table133[[#This Row],[Strike]]))</f>
        <v>0</v>
      </c>
      <c r="H579" s="17" cm="1">
        <f t="array" aca="1" ref="H579" ca="1">IndividualLegIVCore($A$4, Table133[[#This Row],[Strike]], 0.0411, Table133[[#This Row],[T]], ((Table133[[#This Row],[BIDC]]+Table133[[#This Row],[ASKC]])/2), TRUE)</f>
        <v>0.01</v>
      </c>
      <c r="I579" t="b">
        <f>IF(     ISNUMBER(Table133[[#This Row],[Strike]]),RTD("tos.rtd", , "BID", "."&amp;Table133[[#This Row],[Ticker]]&amp;Table133[[#This Row],[Expiry]]&amp;""&amp;"C"&amp;Table133[[#This Row],[Strike]]))</f>
        <v>0</v>
      </c>
      <c r="J579" t="b">
        <f>IF(     ISNUMBER(Table133[[#This Row],[Strike]]),RTD("tos.rtd", , "ASK", "."&amp;Table133[[#This Row],[Ticker]]&amp;Table133[[#This Row],[Expiry]]&amp;""&amp;"C"&amp;Table133[[#This Row],[Strike]]))</f>
        <v>0</v>
      </c>
      <c r="K579" s="17"/>
      <c r="M579" s="1">
        <f t="shared" si="55"/>
        <v>0</v>
      </c>
      <c r="N579" t="b">
        <f t="shared" si="56"/>
        <v>0</v>
      </c>
      <c r="P579" s="17" cm="1">
        <f t="array" aca="1" ref="P579" ca="1">IndividualLegIVCore($A$4, Table133[[#This Row],[Strike]], 0.0411, Table133[[#This Row],[T]], ((Table133[[#This Row],[BIDP]]+Table133[[#This Row],[ASKP]])/2), FALSE)</f>
        <v>0.01</v>
      </c>
      <c r="Q579" t="b">
        <f>IF(     ISNUMBER(Table133[[#This Row],[Strike]]),RTD("tos.rtd", , "BID", "."&amp;Table133[[#This Row],[Ticker]]&amp;Table133[[#This Row],[Expiry]]&amp;""&amp;"P"&amp;Table133[[#This Row],[Strike]]))</f>
        <v>0</v>
      </c>
      <c r="R579" t="b">
        <f>IF(     ISNUMBER(Table133[[#This Row],[Strike]]),RTD("tos.rtd", , "ASK", "."&amp;Table133[[#This Row],[Ticker]]&amp;Table133[[#This Row],[Expiry]]&amp;""&amp;"P"&amp;Table133[[#This Row],[Strike]]))</f>
        <v>0</v>
      </c>
      <c r="S579" s="17"/>
      <c r="T579" t="b">
        <f>IF(     ISNUMBER(Table133[[#This Row],[Strike]]),RTD("tos.rtd", , "OPEN_INT", "."&amp;Table133[[#This Row],[Ticker]]&amp;Table133[[#This Row],[Expiry]]&amp;""&amp;"P"&amp;Table133[[#This Row],[Strike]]))</f>
        <v>0</v>
      </c>
      <c r="U57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9" t="b">
        <f>IF(     ISNUMBER(Table133[[#This Row],[Strike]]),RTD("tos.rtd", , "DELTA", "."&amp;Table133[[#This Row],[Ticker]]&amp;Table133[[#This Row],[Expiry]]&amp;""&amp;"P"&amp;Table133[[#This Row],[Strike]]))</f>
        <v>0</v>
      </c>
      <c r="Y579" s="19">
        <f>31.5* IF($M$1="NDX", 10, IF(OR($M$1="SPX", $M$1="RUT"), 2, 1))</f>
        <v>63</v>
      </c>
      <c r="Z579">
        <f ca="1">IFERROR(Table133[[#This Row],[call gamma]]*(Table133[[#This Row],[Open.Int]])*$A$4^2,0)</f>
        <v>0</v>
      </c>
      <c r="AA579">
        <f ca="1">IFERROR(((Table133[[#This Row],[Open.Int8]])*Table133[[#This Row],[Put gamma]])*-1*$A$4^2,0)</f>
        <v>0</v>
      </c>
      <c r="AB579">
        <f ca="1">(Table133[[#This Row],[Call Gex]]+Table133[[#This Row],[Put Gex]])</f>
        <v>0</v>
      </c>
      <c r="AC579">
        <f ca="1">Table133[[#This Row],[put delta adj]]+Table133[[#This Row],[call delta adj]]</f>
        <v>0</v>
      </c>
      <c r="AD579">
        <f ca="1">Table133[[#This Row],[Put Gex]]*Table133[[#This Row],[DeltaP]]*-1</f>
        <v>0</v>
      </c>
      <c r="AE579">
        <f ca="1">Table133[[#This Row],[Call Gex]]*Table133[[#This Row],[DeltaC]]</f>
        <v>0</v>
      </c>
      <c r="AF579">
        <f>IF(Table133[[#This Row],[DeltaC]]-ABS(Table133[[#This Row],[DeltaP]])="0","0.01",Table133[[#This Row],[DeltaC]]-ABS(Table133[[#This Row],[DeltaP]]))</f>
        <v>0</v>
      </c>
      <c r="AG579" t="e">
        <f ca="1">((LN($A$4/Table133[[#This Row],[Strike]]) + (0.411 + 0.5 * Table133[[#This Row],[IV Calc P]]^2) *Table133[[#This Row],[T]])) / (Table133[[#This Row],[IV Calc P]] * SQRT(Table133[[#This Row],[T]]))</f>
        <v>#DIV/0!</v>
      </c>
      <c r="AH579" t="e">
        <f ca="1">(LN($A$4/Table133[[#This Row],[Strike]]) + (0.411-0 + 0.5 * Table133[[#This Row],[IV Calc C]]^2) *Table133[[#This Row],[T]]) / (Table133[[#This Row],[IV Calc C]] * SQRT(Table133[[#This Row],[T]]))</f>
        <v>#DIV/0!</v>
      </c>
      <c r="AI579" t="e">
        <f ca="1">(EXP(-(AG579^2)/2)/SQRT(2*PI())*EXP(0*SQRT(Table133[[#This Row],[T]]))/$A$4*18%*SQRT(SQRT(Table133[[#This Row],[T]])))</f>
        <v>#DIV/0!</v>
      </c>
      <c r="AJ579" t="e">
        <f ca="1">(EXP(-(AH579^2)/2)/SQRT(2*PI())*EXP(0*SQRT(Table133[[#This Row],[T]]))/$A$4*18%*SQRT(SQRT(Table133[[#This Row],[T]])))</f>
        <v>#DIV/0!</v>
      </c>
      <c r="AK579" t="e">
        <f ca="1">Table133[[#This Row],[Call D1]]-Table133[[#This Row],[IV Calc C]]*SQRT(Table133[[#This Row],[T]])</f>
        <v>#DIV/0!</v>
      </c>
      <c r="AL579" t="e">
        <f ca="1">Table133[[#This Row],[Put D1]]-Table133[[#This Row],[IV Calc P]]*SQRT(Table133[[#This Row],[T]])</f>
        <v>#DIV/0!</v>
      </c>
      <c r="AM579" t="e">
        <f ca="1">EXP(-0.5*Table133[[#This Row],[Call D1]]^2)/SQRT(2*PI())</f>
        <v>#DIV/0!</v>
      </c>
      <c r="AN579" t="e">
        <f ca="1">EXP(-0.5*Table133[[#This Row],[Put D1]]^2)/SQRT(2*PI())</f>
        <v>#DIV/0!</v>
      </c>
      <c r="AO57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9">
        <f ca="1">((Table133[[#This Row],[call vanna]]+Table133[[#This Row],[put vanna]])*$A$4)</f>
        <v>0</v>
      </c>
      <c r="AR57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9" s="9" t="str" cm="1">
        <f t="array" ref="AT579">_xlfn.IFS(     $M$1="SPX","SPXW",     $M$1="RUT","RUTW",  $M$1="NDX","NDXP",   TRUE,$M$1 )</f>
        <v>SPXW</v>
      </c>
      <c r="AU579" s="2">
        <f t="shared" si="57"/>
        <v>6915</v>
      </c>
      <c r="AV579" t="str">
        <f t="shared" si="58"/>
        <v>000100</v>
      </c>
      <c r="AY57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9">
        <f>((Table133[[#This Row],[High C]]+Table133[[#This Row],[Low C]])/2)*Table133[[#This Row],[gammac]]*Table133[[#This Row],[Volume]]</f>
        <v>0</v>
      </c>
      <c r="BD579">
        <f>((Table133[[#This Row],[High P]]+Table133[[#This Row],[Low P]])/2)*Table133[[#This Row],[gammap]]*Table133[[#This Row],[Volume9]]*-1</f>
        <v>0</v>
      </c>
      <c r="BE579">
        <f>(Table133[[#This Row],[SgammaC]]+Table133[[#This Row],[SgammaP]])*$A$4*-100</f>
        <v>0</v>
      </c>
      <c r="BF579" s="78">
        <f>Table133[[#This Row],[DEXc]]+Table133[[#This Row],[DEXp]]</f>
        <v>0</v>
      </c>
      <c r="BG579">
        <f>IFERROR(Table133[[#This Row],[DeltaC]]*Table133[[#This Row],[Open.Int]]*$A$4,0)</f>
        <v>0</v>
      </c>
      <c r="BH579">
        <f>IFERROR(Table133[[#This Row],[DeltaP]]*Table133[[#This Row],[Open.Int8]]*$A$4,0)</f>
        <v>0</v>
      </c>
      <c r="BI57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9">
        <f ca="1">Table133[[#This Row],[charmc]]+Table133[[#This Row],[charmp]]</f>
        <v>0</v>
      </c>
      <c r="BL57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9" s="78">
        <f ca="1">Table133[[#This Row],[call helper]]+Table133[[#This Row],[put helper]]</f>
        <v>0</v>
      </c>
      <c r="BP579" t="str">
        <f>RTD("tos.rtd", , "STRIKE", "."&amp;Table133[[#This Row],[Ticker]]&amp;Table133[[#This Row],[Expiry]]&amp;""&amp;"C"&amp;Table133[[#This Row],[Spot]]+Table133[[#This Row],[step]])</f>
        <v>N/A</v>
      </c>
    </row>
    <row r="580" spans="1:68" x14ac:dyDescent="0.25">
      <c r="A580" s="14">
        <f t="shared" ca="1" si="54"/>
        <v>-126.14810350076104</v>
      </c>
      <c r="C580" s="17"/>
      <c r="D580" t="str">
        <f>RTD("tos.rtd", , "OPEN_INT", "."&amp;Table133[[#This Row],[Ticker]]&amp;Table133[[#This Row],[Expiry]]&amp;""&amp;"C"&amp;Table133[[#This Row],[Spot]]+Table133[[#This Row],[step]])</f>
        <v>N/A</v>
      </c>
      <c r="E58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0" t="b">
        <f>IF(     ISNUMBER(Table133[[#This Row],[Strike]]),RTD("tos.rtd", , "DELTA", "."&amp;Table133[[#This Row],[Ticker]]&amp;Table133[[#This Row],[Expiry]]&amp;""&amp;"C"&amp;Table133[[#This Row],[Strike]]))</f>
        <v>0</v>
      </c>
      <c r="H580" s="17" cm="1">
        <f t="array" aca="1" ref="H580" ca="1">IndividualLegIVCore($A$4, Table133[[#This Row],[Strike]], 0.0411, Table133[[#This Row],[T]], ((Table133[[#This Row],[BIDC]]+Table133[[#This Row],[ASKC]])/2), TRUE)</f>
        <v>0.01</v>
      </c>
      <c r="I580" t="b">
        <f>IF(     ISNUMBER(Table133[[#This Row],[Strike]]),RTD("tos.rtd", , "BID", "."&amp;Table133[[#This Row],[Ticker]]&amp;Table133[[#This Row],[Expiry]]&amp;""&amp;"C"&amp;Table133[[#This Row],[Strike]]))</f>
        <v>0</v>
      </c>
      <c r="J580" t="b">
        <f>IF(     ISNUMBER(Table133[[#This Row],[Strike]]),RTD("tos.rtd", , "ASK", "."&amp;Table133[[#This Row],[Ticker]]&amp;Table133[[#This Row],[Expiry]]&amp;""&amp;"C"&amp;Table133[[#This Row],[Strike]]))</f>
        <v>0</v>
      </c>
      <c r="K580" s="17"/>
      <c r="M580" s="1">
        <f t="shared" si="55"/>
        <v>0</v>
      </c>
      <c r="N580" t="b">
        <f t="shared" si="56"/>
        <v>0</v>
      </c>
      <c r="P580" s="17" cm="1">
        <f t="array" aca="1" ref="P580" ca="1">IndividualLegIVCore($A$4, Table133[[#This Row],[Strike]], 0.0411, Table133[[#This Row],[T]], ((Table133[[#This Row],[BIDP]]+Table133[[#This Row],[ASKP]])/2), FALSE)</f>
        <v>0.01</v>
      </c>
      <c r="Q580" t="b">
        <f>IF(     ISNUMBER(Table133[[#This Row],[Strike]]),RTD("tos.rtd", , "BID", "."&amp;Table133[[#This Row],[Ticker]]&amp;Table133[[#This Row],[Expiry]]&amp;""&amp;"P"&amp;Table133[[#This Row],[Strike]]))</f>
        <v>0</v>
      </c>
      <c r="R580" t="b">
        <f>IF(     ISNUMBER(Table133[[#This Row],[Strike]]),RTD("tos.rtd", , "ASK", "."&amp;Table133[[#This Row],[Ticker]]&amp;Table133[[#This Row],[Expiry]]&amp;""&amp;"P"&amp;Table133[[#This Row],[Strike]]))</f>
        <v>0</v>
      </c>
      <c r="S580" s="17"/>
      <c r="T580" t="b">
        <f>IF(     ISNUMBER(Table133[[#This Row],[Strike]]),RTD("tos.rtd", , "OPEN_INT", "."&amp;Table133[[#This Row],[Ticker]]&amp;Table133[[#This Row],[Expiry]]&amp;""&amp;"P"&amp;Table133[[#This Row],[Strike]]))</f>
        <v>0</v>
      </c>
      <c r="U58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0" t="b">
        <f>IF(     ISNUMBER(Table133[[#This Row],[Strike]]),RTD("tos.rtd", , "DELTA", "."&amp;Table133[[#This Row],[Ticker]]&amp;Table133[[#This Row],[Expiry]]&amp;""&amp;"P"&amp;Table133[[#This Row],[Strike]]))</f>
        <v>0</v>
      </c>
      <c r="Y580" s="19">
        <f>32* IF($M$1="NDX", 10, IF(OR($M$1="SPX", $M$1="RUT"), 2, 1))</f>
        <v>64</v>
      </c>
      <c r="Z580">
        <f ca="1">IFERROR(Table133[[#This Row],[call gamma]]*(Table133[[#This Row],[Open.Int]])*$A$4^2,0)</f>
        <v>0</v>
      </c>
      <c r="AA580">
        <f ca="1">IFERROR(((Table133[[#This Row],[Open.Int8]])*Table133[[#This Row],[Put gamma]])*-1*$A$4^2,0)</f>
        <v>0</v>
      </c>
      <c r="AB580">
        <f ca="1">(Table133[[#This Row],[Call Gex]]+Table133[[#This Row],[Put Gex]])</f>
        <v>0</v>
      </c>
      <c r="AC580">
        <f ca="1">Table133[[#This Row],[put delta adj]]+Table133[[#This Row],[call delta adj]]</f>
        <v>0</v>
      </c>
      <c r="AD580">
        <f ca="1">Table133[[#This Row],[Put Gex]]*Table133[[#This Row],[DeltaP]]*-1</f>
        <v>0</v>
      </c>
      <c r="AE580">
        <f ca="1">Table133[[#This Row],[Call Gex]]*Table133[[#This Row],[DeltaC]]</f>
        <v>0</v>
      </c>
      <c r="AF580">
        <f>IF(Table133[[#This Row],[DeltaC]]-ABS(Table133[[#This Row],[DeltaP]])="0","0.01",Table133[[#This Row],[DeltaC]]-ABS(Table133[[#This Row],[DeltaP]]))</f>
        <v>0</v>
      </c>
      <c r="AG580" t="e">
        <f ca="1">((LN($A$4/Table133[[#This Row],[Strike]]) + (0.411 + 0.5 * Table133[[#This Row],[IV Calc P]]^2) *Table133[[#This Row],[T]])) / (Table133[[#This Row],[IV Calc P]] * SQRT(Table133[[#This Row],[T]]))</f>
        <v>#DIV/0!</v>
      </c>
      <c r="AH580" t="e">
        <f ca="1">(LN($A$4/Table133[[#This Row],[Strike]]) + (0.411-0 + 0.5 * Table133[[#This Row],[IV Calc C]]^2) *Table133[[#This Row],[T]]) / (Table133[[#This Row],[IV Calc C]] * SQRT(Table133[[#This Row],[T]]))</f>
        <v>#DIV/0!</v>
      </c>
      <c r="AI580" t="e">
        <f ca="1">(EXP(-(AG580^2)/2)/SQRT(2*PI())*EXP(0*SQRT(Table133[[#This Row],[T]]))/$A$4*18%*SQRT(SQRT(Table133[[#This Row],[T]])))</f>
        <v>#DIV/0!</v>
      </c>
      <c r="AJ580" t="e">
        <f ca="1">(EXP(-(AH580^2)/2)/SQRT(2*PI())*EXP(0*SQRT(Table133[[#This Row],[T]]))/$A$4*18%*SQRT(SQRT(Table133[[#This Row],[T]])))</f>
        <v>#DIV/0!</v>
      </c>
      <c r="AK580" t="e">
        <f ca="1">Table133[[#This Row],[Call D1]]-Table133[[#This Row],[IV Calc C]]*SQRT(Table133[[#This Row],[T]])</f>
        <v>#DIV/0!</v>
      </c>
      <c r="AL580" t="e">
        <f ca="1">Table133[[#This Row],[Put D1]]-Table133[[#This Row],[IV Calc P]]*SQRT(Table133[[#This Row],[T]])</f>
        <v>#DIV/0!</v>
      </c>
      <c r="AM580" t="e">
        <f ca="1">EXP(-0.5*Table133[[#This Row],[Call D1]]^2)/SQRT(2*PI())</f>
        <v>#DIV/0!</v>
      </c>
      <c r="AN580" t="e">
        <f ca="1">EXP(-0.5*Table133[[#This Row],[Put D1]]^2)/SQRT(2*PI())</f>
        <v>#DIV/0!</v>
      </c>
      <c r="AO58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0">
        <f ca="1">((Table133[[#This Row],[call vanna]]+Table133[[#This Row],[put vanna]])*$A$4)</f>
        <v>0</v>
      </c>
      <c r="AR58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0" s="9" t="str" cm="1">
        <f t="array" ref="AT580">_xlfn.IFS(     $M$1="SPX","SPXW",     $M$1="RUT","RUTW",  $M$1="NDX","NDXP",   TRUE,$M$1 )</f>
        <v>SPXW</v>
      </c>
      <c r="AU580" s="2">
        <f t="shared" si="57"/>
        <v>6915</v>
      </c>
      <c r="AV580" t="str">
        <f t="shared" si="58"/>
        <v>000100</v>
      </c>
      <c r="AY58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0">
        <f>((Table133[[#This Row],[High C]]+Table133[[#This Row],[Low C]])/2)*Table133[[#This Row],[gammac]]*Table133[[#This Row],[Volume]]</f>
        <v>0</v>
      </c>
      <c r="BD580">
        <f>((Table133[[#This Row],[High P]]+Table133[[#This Row],[Low P]])/2)*Table133[[#This Row],[gammap]]*Table133[[#This Row],[Volume9]]*-1</f>
        <v>0</v>
      </c>
      <c r="BE580">
        <f>(Table133[[#This Row],[SgammaC]]+Table133[[#This Row],[SgammaP]])*$A$4*-100</f>
        <v>0</v>
      </c>
      <c r="BF580" s="78">
        <f>Table133[[#This Row],[DEXc]]+Table133[[#This Row],[DEXp]]</f>
        <v>0</v>
      </c>
      <c r="BG580">
        <f>IFERROR(Table133[[#This Row],[DeltaC]]*Table133[[#This Row],[Open.Int]]*$A$4,0)</f>
        <v>0</v>
      </c>
      <c r="BH580">
        <f>IFERROR(Table133[[#This Row],[DeltaP]]*Table133[[#This Row],[Open.Int8]]*$A$4,0)</f>
        <v>0</v>
      </c>
      <c r="BI58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0">
        <f ca="1">Table133[[#This Row],[charmc]]+Table133[[#This Row],[charmp]]</f>
        <v>0</v>
      </c>
      <c r="BL58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0" s="78">
        <f ca="1">Table133[[#This Row],[call helper]]+Table133[[#This Row],[put helper]]</f>
        <v>0</v>
      </c>
      <c r="BP580" t="str">
        <f>RTD("tos.rtd", , "STRIKE", "."&amp;Table133[[#This Row],[Ticker]]&amp;Table133[[#This Row],[Expiry]]&amp;""&amp;"C"&amp;Table133[[#This Row],[Spot]]+Table133[[#This Row],[step]])</f>
        <v>N/A</v>
      </c>
    </row>
    <row r="581" spans="1:68" x14ac:dyDescent="0.25">
      <c r="A581" s="14">
        <f t="shared" ca="1" si="54"/>
        <v>-126.14810350076104</v>
      </c>
      <c r="C581" s="17"/>
      <c r="D581" t="str">
        <f>RTD("tos.rtd", , "OPEN_INT", "."&amp;Table133[[#This Row],[Ticker]]&amp;Table133[[#This Row],[Expiry]]&amp;""&amp;"C"&amp;Table133[[#This Row],[Spot]]+Table133[[#This Row],[step]])</f>
        <v>N/A</v>
      </c>
      <c r="E58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1" t="b">
        <f>IF(     ISNUMBER(Table133[[#This Row],[Strike]]),RTD("tos.rtd", , "DELTA", "."&amp;Table133[[#This Row],[Ticker]]&amp;Table133[[#This Row],[Expiry]]&amp;""&amp;"C"&amp;Table133[[#This Row],[Strike]]))</f>
        <v>0</v>
      </c>
      <c r="H581" s="17" cm="1">
        <f t="array" aca="1" ref="H581" ca="1">IndividualLegIVCore($A$4, Table133[[#This Row],[Strike]], 0.0411, Table133[[#This Row],[T]], ((Table133[[#This Row],[BIDC]]+Table133[[#This Row],[ASKC]])/2), TRUE)</f>
        <v>0.01</v>
      </c>
      <c r="I581" t="b">
        <f>IF(     ISNUMBER(Table133[[#This Row],[Strike]]),RTD("tos.rtd", , "BID", "."&amp;Table133[[#This Row],[Ticker]]&amp;Table133[[#This Row],[Expiry]]&amp;""&amp;"C"&amp;Table133[[#This Row],[Strike]]))</f>
        <v>0</v>
      </c>
      <c r="J581" t="b">
        <f>IF(     ISNUMBER(Table133[[#This Row],[Strike]]),RTD("tos.rtd", , "ASK", "."&amp;Table133[[#This Row],[Ticker]]&amp;Table133[[#This Row],[Expiry]]&amp;""&amp;"C"&amp;Table133[[#This Row],[Strike]]))</f>
        <v>0</v>
      </c>
      <c r="K581" s="17"/>
      <c r="M581" s="1">
        <f t="shared" si="55"/>
        <v>0</v>
      </c>
      <c r="N581" t="b">
        <f t="shared" si="56"/>
        <v>0</v>
      </c>
      <c r="P581" s="17" cm="1">
        <f t="array" aca="1" ref="P581" ca="1">IndividualLegIVCore($A$4, Table133[[#This Row],[Strike]], 0.0411, Table133[[#This Row],[T]], ((Table133[[#This Row],[BIDP]]+Table133[[#This Row],[ASKP]])/2), FALSE)</f>
        <v>0.01</v>
      </c>
      <c r="Q581" t="b">
        <f>IF(     ISNUMBER(Table133[[#This Row],[Strike]]),RTD("tos.rtd", , "BID", "."&amp;Table133[[#This Row],[Ticker]]&amp;Table133[[#This Row],[Expiry]]&amp;""&amp;"P"&amp;Table133[[#This Row],[Strike]]))</f>
        <v>0</v>
      </c>
      <c r="R581" t="b">
        <f>IF(     ISNUMBER(Table133[[#This Row],[Strike]]),RTD("tos.rtd", , "ASK", "."&amp;Table133[[#This Row],[Ticker]]&amp;Table133[[#This Row],[Expiry]]&amp;""&amp;"P"&amp;Table133[[#This Row],[Strike]]))</f>
        <v>0</v>
      </c>
      <c r="S581" s="17"/>
      <c r="T581" t="b">
        <f>IF(     ISNUMBER(Table133[[#This Row],[Strike]]),RTD("tos.rtd", , "OPEN_INT", "."&amp;Table133[[#This Row],[Ticker]]&amp;Table133[[#This Row],[Expiry]]&amp;""&amp;"P"&amp;Table133[[#This Row],[Strike]]))</f>
        <v>0</v>
      </c>
      <c r="U58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1" t="b">
        <f>IF(     ISNUMBER(Table133[[#This Row],[Strike]]),RTD("tos.rtd", , "DELTA", "."&amp;Table133[[#This Row],[Ticker]]&amp;Table133[[#This Row],[Expiry]]&amp;""&amp;"P"&amp;Table133[[#This Row],[Strike]]))</f>
        <v>0</v>
      </c>
      <c r="Y581" s="19">
        <f>32.5* IF($M$1="NDX", 10, IF(OR($M$1="SPX", $M$1="RUT"), 2, 1))</f>
        <v>65</v>
      </c>
      <c r="Z581">
        <f ca="1">IFERROR(Table133[[#This Row],[call gamma]]*(Table133[[#This Row],[Open.Int]])*$A$4^2,0)</f>
        <v>0</v>
      </c>
      <c r="AA581">
        <f ca="1">IFERROR(((Table133[[#This Row],[Open.Int8]])*Table133[[#This Row],[Put gamma]])*-1*$A$4^2,0)</f>
        <v>0</v>
      </c>
      <c r="AB581">
        <f ca="1">(Table133[[#This Row],[Call Gex]]+Table133[[#This Row],[Put Gex]])</f>
        <v>0</v>
      </c>
      <c r="AC581">
        <f ca="1">Table133[[#This Row],[put delta adj]]+Table133[[#This Row],[call delta adj]]</f>
        <v>0</v>
      </c>
      <c r="AD581">
        <f ca="1">Table133[[#This Row],[Put Gex]]*Table133[[#This Row],[DeltaP]]*-1</f>
        <v>0</v>
      </c>
      <c r="AE581">
        <f ca="1">Table133[[#This Row],[Call Gex]]*Table133[[#This Row],[DeltaC]]</f>
        <v>0</v>
      </c>
      <c r="AF581">
        <f>IF(Table133[[#This Row],[DeltaC]]-ABS(Table133[[#This Row],[DeltaP]])="0","0.01",Table133[[#This Row],[DeltaC]]-ABS(Table133[[#This Row],[DeltaP]]))</f>
        <v>0</v>
      </c>
      <c r="AG581" t="e">
        <f ca="1">((LN($A$4/Table133[[#This Row],[Strike]]) + (0.411 + 0.5 * Table133[[#This Row],[IV Calc P]]^2) *Table133[[#This Row],[T]])) / (Table133[[#This Row],[IV Calc P]] * SQRT(Table133[[#This Row],[T]]))</f>
        <v>#DIV/0!</v>
      </c>
      <c r="AH581" t="e">
        <f ca="1">(LN($A$4/Table133[[#This Row],[Strike]]) + (0.411-0 + 0.5 * Table133[[#This Row],[IV Calc C]]^2) *Table133[[#This Row],[T]]) / (Table133[[#This Row],[IV Calc C]] * SQRT(Table133[[#This Row],[T]]))</f>
        <v>#DIV/0!</v>
      </c>
      <c r="AI581" t="e">
        <f ca="1">(EXP(-(AG581^2)/2)/SQRT(2*PI())*EXP(0*SQRT(Table133[[#This Row],[T]]))/$A$4*18%*SQRT(SQRT(Table133[[#This Row],[T]])))</f>
        <v>#DIV/0!</v>
      </c>
      <c r="AJ581" t="e">
        <f ca="1">(EXP(-(AH581^2)/2)/SQRT(2*PI())*EXP(0*SQRT(Table133[[#This Row],[T]]))/$A$4*18%*SQRT(SQRT(Table133[[#This Row],[T]])))</f>
        <v>#DIV/0!</v>
      </c>
      <c r="AK581" t="e">
        <f ca="1">Table133[[#This Row],[Call D1]]-Table133[[#This Row],[IV Calc C]]*SQRT(Table133[[#This Row],[T]])</f>
        <v>#DIV/0!</v>
      </c>
      <c r="AL581" t="e">
        <f ca="1">Table133[[#This Row],[Put D1]]-Table133[[#This Row],[IV Calc P]]*SQRT(Table133[[#This Row],[T]])</f>
        <v>#DIV/0!</v>
      </c>
      <c r="AM581" t="e">
        <f ca="1">EXP(-0.5*Table133[[#This Row],[Call D1]]^2)/SQRT(2*PI())</f>
        <v>#DIV/0!</v>
      </c>
      <c r="AN581" t="e">
        <f ca="1">EXP(-0.5*Table133[[#This Row],[Put D1]]^2)/SQRT(2*PI())</f>
        <v>#DIV/0!</v>
      </c>
      <c r="AO58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1">
        <f ca="1">((Table133[[#This Row],[call vanna]]+Table133[[#This Row],[put vanna]])*$A$4)</f>
        <v>0</v>
      </c>
      <c r="AR58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1" s="9" t="str" cm="1">
        <f t="array" ref="AT581">_xlfn.IFS(     $M$1="SPX","SPXW",     $M$1="RUT","RUTW",  $M$1="NDX","NDXP",   TRUE,$M$1 )</f>
        <v>SPXW</v>
      </c>
      <c r="AU581" s="2">
        <f t="shared" si="57"/>
        <v>6915</v>
      </c>
      <c r="AV581" t="str">
        <f t="shared" si="58"/>
        <v>000100</v>
      </c>
      <c r="AY58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1">
        <f>((Table133[[#This Row],[High C]]+Table133[[#This Row],[Low C]])/2)*Table133[[#This Row],[gammac]]*Table133[[#This Row],[Volume]]</f>
        <v>0</v>
      </c>
      <c r="BD581">
        <f>((Table133[[#This Row],[High P]]+Table133[[#This Row],[Low P]])/2)*Table133[[#This Row],[gammap]]*Table133[[#This Row],[Volume9]]*-1</f>
        <v>0</v>
      </c>
      <c r="BE581">
        <f>(Table133[[#This Row],[SgammaC]]+Table133[[#This Row],[SgammaP]])*$A$4*-100</f>
        <v>0</v>
      </c>
      <c r="BF581" s="78">
        <f>Table133[[#This Row],[DEXc]]+Table133[[#This Row],[DEXp]]</f>
        <v>0</v>
      </c>
      <c r="BG581">
        <f>IFERROR(Table133[[#This Row],[DeltaC]]*Table133[[#This Row],[Open.Int]]*$A$4,0)</f>
        <v>0</v>
      </c>
      <c r="BH581">
        <f>IFERROR(Table133[[#This Row],[DeltaP]]*Table133[[#This Row],[Open.Int8]]*$A$4,0)</f>
        <v>0</v>
      </c>
      <c r="BI58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1">
        <f ca="1">Table133[[#This Row],[charmc]]+Table133[[#This Row],[charmp]]</f>
        <v>0</v>
      </c>
      <c r="BL58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1" s="78">
        <f ca="1">Table133[[#This Row],[call helper]]+Table133[[#This Row],[put helper]]</f>
        <v>0</v>
      </c>
      <c r="BP581" t="str">
        <f>RTD("tos.rtd", , "STRIKE", "."&amp;Table133[[#This Row],[Ticker]]&amp;Table133[[#This Row],[Expiry]]&amp;""&amp;"C"&amp;Table133[[#This Row],[Spot]]+Table133[[#This Row],[step]])</f>
        <v>N/A</v>
      </c>
    </row>
    <row r="582" spans="1:68" x14ac:dyDescent="0.25">
      <c r="A582" s="14">
        <f t="shared" ca="1" si="54"/>
        <v>-126.14810350076104</v>
      </c>
      <c r="C582" s="17"/>
      <c r="D582" t="str">
        <f>RTD("tos.rtd", , "OPEN_INT", "."&amp;Table133[[#This Row],[Ticker]]&amp;Table133[[#This Row],[Expiry]]&amp;""&amp;"C"&amp;Table133[[#This Row],[Spot]]+Table133[[#This Row],[step]])</f>
        <v>N/A</v>
      </c>
      <c r="E58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2" t="b">
        <f>IF(     ISNUMBER(Table133[[#This Row],[Strike]]),RTD("tos.rtd", , "DELTA", "."&amp;Table133[[#This Row],[Ticker]]&amp;Table133[[#This Row],[Expiry]]&amp;""&amp;"C"&amp;Table133[[#This Row],[Strike]]))</f>
        <v>0</v>
      </c>
      <c r="H582" s="17" cm="1">
        <f t="array" aca="1" ref="H582" ca="1">IndividualLegIVCore($A$4, Table133[[#This Row],[Strike]], 0.0411, Table133[[#This Row],[T]], ((Table133[[#This Row],[BIDC]]+Table133[[#This Row],[ASKC]])/2), TRUE)</f>
        <v>0.01</v>
      </c>
      <c r="I582" t="b">
        <f>IF(     ISNUMBER(Table133[[#This Row],[Strike]]),RTD("tos.rtd", , "BID", "."&amp;Table133[[#This Row],[Ticker]]&amp;Table133[[#This Row],[Expiry]]&amp;""&amp;"C"&amp;Table133[[#This Row],[Strike]]))</f>
        <v>0</v>
      </c>
      <c r="J582" t="b">
        <f>IF(     ISNUMBER(Table133[[#This Row],[Strike]]),RTD("tos.rtd", , "ASK", "."&amp;Table133[[#This Row],[Ticker]]&amp;Table133[[#This Row],[Expiry]]&amp;""&amp;"C"&amp;Table133[[#This Row],[Strike]]))</f>
        <v>0</v>
      </c>
      <c r="K582" s="17"/>
      <c r="M582" s="1">
        <f t="shared" si="55"/>
        <v>0</v>
      </c>
      <c r="N582" t="b">
        <f t="shared" si="56"/>
        <v>0</v>
      </c>
      <c r="P582" s="17" cm="1">
        <f t="array" aca="1" ref="P582" ca="1">IndividualLegIVCore($A$4, Table133[[#This Row],[Strike]], 0.0411, Table133[[#This Row],[T]], ((Table133[[#This Row],[BIDP]]+Table133[[#This Row],[ASKP]])/2), FALSE)</f>
        <v>0.01</v>
      </c>
      <c r="Q582" t="b">
        <f>IF(     ISNUMBER(Table133[[#This Row],[Strike]]),RTD("tos.rtd", , "BID", "."&amp;Table133[[#This Row],[Ticker]]&amp;Table133[[#This Row],[Expiry]]&amp;""&amp;"P"&amp;Table133[[#This Row],[Strike]]))</f>
        <v>0</v>
      </c>
      <c r="R582" t="b">
        <f>IF(     ISNUMBER(Table133[[#This Row],[Strike]]),RTD("tos.rtd", , "ASK", "."&amp;Table133[[#This Row],[Ticker]]&amp;Table133[[#This Row],[Expiry]]&amp;""&amp;"P"&amp;Table133[[#This Row],[Strike]]))</f>
        <v>0</v>
      </c>
      <c r="S582" s="17"/>
      <c r="T582" t="b">
        <f>IF(     ISNUMBER(Table133[[#This Row],[Strike]]),RTD("tos.rtd", , "OPEN_INT", "."&amp;Table133[[#This Row],[Ticker]]&amp;Table133[[#This Row],[Expiry]]&amp;""&amp;"P"&amp;Table133[[#This Row],[Strike]]))</f>
        <v>0</v>
      </c>
      <c r="U58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2" t="b">
        <f>IF(     ISNUMBER(Table133[[#This Row],[Strike]]),RTD("tos.rtd", , "DELTA", "."&amp;Table133[[#This Row],[Ticker]]&amp;Table133[[#This Row],[Expiry]]&amp;""&amp;"P"&amp;Table133[[#This Row],[Strike]]))</f>
        <v>0</v>
      </c>
      <c r="Y582" s="19">
        <f>33* IF($M$1="NDX", 10, IF(OR($M$1="SPX", $M$1="RUT"), 2, 1))</f>
        <v>66</v>
      </c>
      <c r="Z582">
        <f ca="1">IFERROR(Table133[[#This Row],[call gamma]]*(Table133[[#This Row],[Open.Int]])*$A$4^2,0)</f>
        <v>0</v>
      </c>
      <c r="AA582">
        <f ca="1">IFERROR(((Table133[[#This Row],[Open.Int8]])*Table133[[#This Row],[Put gamma]])*-1*$A$4^2,0)</f>
        <v>0</v>
      </c>
      <c r="AB582">
        <f ca="1">(Table133[[#This Row],[Call Gex]]+Table133[[#This Row],[Put Gex]])</f>
        <v>0</v>
      </c>
      <c r="AC582">
        <f ca="1">Table133[[#This Row],[put delta adj]]+Table133[[#This Row],[call delta adj]]</f>
        <v>0</v>
      </c>
      <c r="AD582">
        <f ca="1">Table133[[#This Row],[Put Gex]]*Table133[[#This Row],[DeltaP]]*-1</f>
        <v>0</v>
      </c>
      <c r="AE582">
        <f ca="1">Table133[[#This Row],[Call Gex]]*Table133[[#This Row],[DeltaC]]</f>
        <v>0</v>
      </c>
      <c r="AF582">
        <f>IF(Table133[[#This Row],[DeltaC]]-ABS(Table133[[#This Row],[DeltaP]])="0","0.01",Table133[[#This Row],[DeltaC]]-ABS(Table133[[#This Row],[DeltaP]]))</f>
        <v>0</v>
      </c>
      <c r="AG582" t="e">
        <f ca="1">((LN($A$4/Table133[[#This Row],[Strike]]) + (0.411 + 0.5 * Table133[[#This Row],[IV Calc P]]^2) *Table133[[#This Row],[T]])) / (Table133[[#This Row],[IV Calc P]] * SQRT(Table133[[#This Row],[T]]))</f>
        <v>#DIV/0!</v>
      </c>
      <c r="AH582" t="e">
        <f ca="1">(LN($A$4/Table133[[#This Row],[Strike]]) + (0.411-0 + 0.5 * Table133[[#This Row],[IV Calc C]]^2) *Table133[[#This Row],[T]]) / (Table133[[#This Row],[IV Calc C]] * SQRT(Table133[[#This Row],[T]]))</f>
        <v>#DIV/0!</v>
      </c>
      <c r="AI582" t="e">
        <f ca="1">(EXP(-(AG582^2)/2)/SQRT(2*PI())*EXP(0*SQRT(Table133[[#This Row],[T]]))/$A$4*18%*SQRT(SQRT(Table133[[#This Row],[T]])))</f>
        <v>#DIV/0!</v>
      </c>
      <c r="AJ582" t="e">
        <f ca="1">(EXP(-(AH582^2)/2)/SQRT(2*PI())*EXP(0*SQRT(Table133[[#This Row],[T]]))/$A$4*18%*SQRT(SQRT(Table133[[#This Row],[T]])))</f>
        <v>#DIV/0!</v>
      </c>
      <c r="AK582" t="e">
        <f ca="1">Table133[[#This Row],[Call D1]]-Table133[[#This Row],[IV Calc C]]*SQRT(Table133[[#This Row],[T]])</f>
        <v>#DIV/0!</v>
      </c>
      <c r="AL582" t="e">
        <f ca="1">Table133[[#This Row],[Put D1]]-Table133[[#This Row],[IV Calc P]]*SQRT(Table133[[#This Row],[T]])</f>
        <v>#DIV/0!</v>
      </c>
      <c r="AM582" t="e">
        <f ca="1">EXP(-0.5*Table133[[#This Row],[Call D1]]^2)/SQRT(2*PI())</f>
        <v>#DIV/0!</v>
      </c>
      <c r="AN582" t="e">
        <f ca="1">EXP(-0.5*Table133[[#This Row],[Put D1]]^2)/SQRT(2*PI())</f>
        <v>#DIV/0!</v>
      </c>
      <c r="AO58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2">
        <f ca="1">((Table133[[#This Row],[call vanna]]+Table133[[#This Row],[put vanna]])*$A$4)</f>
        <v>0</v>
      </c>
      <c r="AR58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2" s="9" t="str" cm="1">
        <f t="array" ref="AT582">_xlfn.IFS(     $M$1="SPX","SPXW",     $M$1="RUT","RUTW",  $M$1="NDX","NDXP",   TRUE,$M$1 )</f>
        <v>SPXW</v>
      </c>
      <c r="AU582" s="2">
        <f t="shared" si="57"/>
        <v>6915</v>
      </c>
      <c r="AV582" t="str">
        <f t="shared" si="58"/>
        <v>000100</v>
      </c>
      <c r="AY58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2">
        <f>((Table133[[#This Row],[High C]]+Table133[[#This Row],[Low C]])/2)*Table133[[#This Row],[gammac]]*Table133[[#This Row],[Volume]]</f>
        <v>0</v>
      </c>
      <c r="BD582">
        <f>((Table133[[#This Row],[High P]]+Table133[[#This Row],[Low P]])/2)*Table133[[#This Row],[gammap]]*Table133[[#This Row],[Volume9]]*-1</f>
        <v>0</v>
      </c>
      <c r="BE582">
        <f>(Table133[[#This Row],[SgammaC]]+Table133[[#This Row],[SgammaP]])*$A$4*-100</f>
        <v>0</v>
      </c>
      <c r="BF582" s="78">
        <f>Table133[[#This Row],[DEXc]]+Table133[[#This Row],[DEXp]]</f>
        <v>0</v>
      </c>
      <c r="BG582">
        <f>IFERROR(Table133[[#This Row],[DeltaC]]*Table133[[#This Row],[Open.Int]]*$A$4,0)</f>
        <v>0</v>
      </c>
      <c r="BH582">
        <f>IFERROR(Table133[[#This Row],[DeltaP]]*Table133[[#This Row],[Open.Int8]]*$A$4,0)</f>
        <v>0</v>
      </c>
      <c r="BI58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2">
        <f ca="1">Table133[[#This Row],[charmc]]+Table133[[#This Row],[charmp]]</f>
        <v>0</v>
      </c>
      <c r="BL58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2" s="78">
        <f ca="1">Table133[[#This Row],[call helper]]+Table133[[#This Row],[put helper]]</f>
        <v>0</v>
      </c>
      <c r="BP582" t="str">
        <f>RTD("tos.rtd", , "STRIKE", "."&amp;Table133[[#This Row],[Ticker]]&amp;Table133[[#This Row],[Expiry]]&amp;""&amp;"C"&amp;Table133[[#This Row],[Spot]]+Table133[[#This Row],[step]])</f>
        <v>N/A</v>
      </c>
    </row>
    <row r="583" spans="1:68" x14ac:dyDescent="0.25">
      <c r="A583" s="14">
        <f t="shared" ca="1" si="54"/>
        <v>-126.14810350076104</v>
      </c>
      <c r="C583" s="17"/>
      <c r="D583" t="str">
        <f>RTD("tos.rtd", , "OPEN_INT", "."&amp;Table133[[#This Row],[Ticker]]&amp;Table133[[#This Row],[Expiry]]&amp;""&amp;"C"&amp;Table133[[#This Row],[Spot]]+Table133[[#This Row],[step]])</f>
        <v>N/A</v>
      </c>
      <c r="E58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3" t="b">
        <f>IF(     ISNUMBER(Table133[[#This Row],[Strike]]),RTD("tos.rtd", , "DELTA", "."&amp;Table133[[#This Row],[Ticker]]&amp;Table133[[#This Row],[Expiry]]&amp;""&amp;"C"&amp;Table133[[#This Row],[Strike]]))</f>
        <v>0</v>
      </c>
      <c r="H583" s="17" cm="1">
        <f t="array" aca="1" ref="H583" ca="1">IndividualLegIVCore($A$4, Table133[[#This Row],[Strike]], 0.0411, Table133[[#This Row],[T]], ((Table133[[#This Row],[BIDC]]+Table133[[#This Row],[ASKC]])/2), TRUE)</f>
        <v>0.01</v>
      </c>
      <c r="I583" t="b">
        <f>IF(     ISNUMBER(Table133[[#This Row],[Strike]]),RTD("tos.rtd", , "BID", "."&amp;Table133[[#This Row],[Ticker]]&amp;Table133[[#This Row],[Expiry]]&amp;""&amp;"C"&amp;Table133[[#This Row],[Strike]]))</f>
        <v>0</v>
      </c>
      <c r="J583" t="b">
        <f>IF(     ISNUMBER(Table133[[#This Row],[Strike]]),RTD("tos.rtd", , "ASK", "."&amp;Table133[[#This Row],[Ticker]]&amp;Table133[[#This Row],[Expiry]]&amp;""&amp;"C"&amp;Table133[[#This Row],[Strike]]))</f>
        <v>0</v>
      </c>
      <c r="K583" s="17"/>
      <c r="M583" s="1">
        <f t="shared" si="55"/>
        <v>0</v>
      </c>
      <c r="N583" t="b">
        <f t="shared" si="56"/>
        <v>0</v>
      </c>
      <c r="P583" s="17" cm="1">
        <f t="array" aca="1" ref="P583" ca="1">IndividualLegIVCore($A$4, Table133[[#This Row],[Strike]], 0.0411, Table133[[#This Row],[T]], ((Table133[[#This Row],[BIDP]]+Table133[[#This Row],[ASKP]])/2), FALSE)</f>
        <v>0.01</v>
      </c>
      <c r="Q583" t="b">
        <f>IF(     ISNUMBER(Table133[[#This Row],[Strike]]),RTD("tos.rtd", , "BID", "."&amp;Table133[[#This Row],[Ticker]]&amp;Table133[[#This Row],[Expiry]]&amp;""&amp;"P"&amp;Table133[[#This Row],[Strike]]))</f>
        <v>0</v>
      </c>
      <c r="R583" t="b">
        <f>IF(     ISNUMBER(Table133[[#This Row],[Strike]]),RTD("tos.rtd", , "ASK", "."&amp;Table133[[#This Row],[Ticker]]&amp;Table133[[#This Row],[Expiry]]&amp;""&amp;"P"&amp;Table133[[#This Row],[Strike]]))</f>
        <v>0</v>
      </c>
      <c r="S583" s="17"/>
      <c r="T583" t="b">
        <f>IF(     ISNUMBER(Table133[[#This Row],[Strike]]),RTD("tos.rtd", , "OPEN_INT", "."&amp;Table133[[#This Row],[Ticker]]&amp;Table133[[#This Row],[Expiry]]&amp;""&amp;"P"&amp;Table133[[#This Row],[Strike]]))</f>
        <v>0</v>
      </c>
      <c r="U58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3" t="b">
        <f>IF(     ISNUMBER(Table133[[#This Row],[Strike]]),RTD("tos.rtd", , "DELTA", "."&amp;Table133[[#This Row],[Ticker]]&amp;Table133[[#This Row],[Expiry]]&amp;""&amp;"P"&amp;Table133[[#This Row],[Strike]]))</f>
        <v>0</v>
      </c>
      <c r="Y583" s="19">
        <f>33.5* IF($M$1="NDX", 10, IF(OR($M$1="SPX", $M$1="RUT"), 2, 1))</f>
        <v>67</v>
      </c>
      <c r="Z583">
        <f ca="1">IFERROR(Table133[[#This Row],[call gamma]]*(Table133[[#This Row],[Open.Int]])*$A$4^2,0)</f>
        <v>0</v>
      </c>
      <c r="AA583">
        <f ca="1">IFERROR(((Table133[[#This Row],[Open.Int8]])*Table133[[#This Row],[Put gamma]])*-1*$A$4^2,0)</f>
        <v>0</v>
      </c>
      <c r="AB583">
        <f ca="1">(Table133[[#This Row],[Call Gex]]+Table133[[#This Row],[Put Gex]])</f>
        <v>0</v>
      </c>
      <c r="AC583">
        <f ca="1">Table133[[#This Row],[put delta adj]]+Table133[[#This Row],[call delta adj]]</f>
        <v>0</v>
      </c>
      <c r="AD583">
        <f ca="1">Table133[[#This Row],[Put Gex]]*Table133[[#This Row],[DeltaP]]*-1</f>
        <v>0</v>
      </c>
      <c r="AE583">
        <f ca="1">Table133[[#This Row],[Call Gex]]*Table133[[#This Row],[DeltaC]]</f>
        <v>0</v>
      </c>
      <c r="AF583">
        <f>IF(Table133[[#This Row],[DeltaC]]-ABS(Table133[[#This Row],[DeltaP]])="0","0.01",Table133[[#This Row],[DeltaC]]-ABS(Table133[[#This Row],[DeltaP]]))</f>
        <v>0</v>
      </c>
      <c r="AG583" t="e">
        <f ca="1">((LN($A$4/Table133[[#This Row],[Strike]]) + (0.411 + 0.5 * Table133[[#This Row],[IV Calc P]]^2) *Table133[[#This Row],[T]])) / (Table133[[#This Row],[IV Calc P]] * SQRT(Table133[[#This Row],[T]]))</f>
        <v>#DIV/0!</v>
      </c>
      <c r="AH583" t="e">
        <f ca="1">(LN($A$4/Table133[[#This Row],[Strike]]) + (0.411-0 + 0.5 * Table133[[#This Row],[IV Calc C]]^2) *Table133[[#This Row],[T]]) / (Table133[[#This Row],[IV Calc C]] * SQRT(Table133[[#This Row],[T]]))</f>
        <v>#DIV/0!</v>
      </c>
      <c r="AI583" t="e">
        <f ca="1">(EXP(-(AG583^2)/2)/SQRT(2*PI())*EXP(0*SQRT(Table133[[#This Row],[T]]))/$A$4*18%*SQRT(SQRT(Table133[[#This Row],[T]])))</f>
        <v>#DIV/0!</v>
      </c>
      <c r="AJ583" t="e">
        <f ca="1">(EXP(-(AH583^2)/2)/SQRT(2*PI())*EXP(0*SQRT(Table133[[#This Row],[T]]))/$A$4*18%*SQRT(SQRT(Table133[[#This Row],[T]])))</f>
        <v>#DIV/0!</v>
      </c>
      <c r="AK583" t="e">
        <f ca="1">Table133[[#This Row],[Call D1]]-Table133[[#This Row],[IV Calc C]]*SQRT(Table133[[#This Row],[T]])</f>
        <v>#DIV/0!</v>
      </c>
      <c r="AL583" t="e">
        <f ca="1">Table133[[#This Row],[Put D1]]-Table133[[#This Row],[IV Calc P]]*SQRT(Table133[[#This Row],[T]])</f>
        <v>#DIV/0!</v>
      </c>
      <c r="AM583" t="e">
        <f ca="1">EXP(-0.5*Table133[[#This Row],[Call D1]]^2)/SQRT(2*PI())</f>
        <v>#DIV/0!</v>
      </c>
      <c r="AN583" t="e">
        <f ca="1">EXP(-0.5*Table133[[#This Row],[Put D1]]^2)/SQRT(2*PI())</f>
        <v>#DIV/0!</v>
      </c>
      <c r="AO58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3">
        <f ca="1">((Table133[[#This Row],[call vanna]]+Table133[[#This Row],[put vanna]])*$A$4)</f>
        <v>0</v>
      </c>
      <c r="AR58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3" s="9" t="str" cm="1">
        <f t="array" ref="AT583">_xlfn.IFS(     $M$1="SPX","SPXW",     $M$1="RUT","RUTW",  $M$1="NDX","NDXP",   TRUE,$M$1 )</f>
        <v>SPXW</v>
      </c>
      <c r="AU583" s="2">
        <f t="shared" si="57"/>
        <v>6915</v>
      </c>
      <c r="AV583" t="str">
        <f t="shared" si="58"/>
        <v>000100</v>
      </c>
      <c r="AY58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3">
        <f>((Table133[[#This Row],[High C]]+Table133[[#This Row],[Low C]])/2)*Table133[[#This Row],[gammac]]*Table133[[#This Row],[Volume]]</f>
        <v>0</v>
      </c>
      <c r="BD583">
        <f>((Table133[[#This Row],[High P]]+Table133[[#This Row],[Low P]])/2)*Table133[[#This Row],[gammap]]*Table133[[#This Row],[Volume9]]*-1</f>
        <v>0</v>
      </c>
      <c r="BE583">
        <f>(Table133[[#This Row],[SgammaC]]+Table133[[#This Row],[SgammaP]])*$A$4*-100</f>
        <v>0</v>
      </c>
      <c r="BF583" s="78">
        <f>Table133[[#This Row],[DEXc]]+Table133[[#This Row],[DEXp]]</f>
        <v>0</v>
      </c>
      <c r="BG583">
        <f>IFERROR(Table133[[#This Row],[DeltaC]]*Table133[[#This Row],[Open.Int]]*$A$4,0)</f>
        <v>0</v>
      </c>
      <c r="BH583">
        <f>IFERROR(Table133[[#This Row],[DeltaP]]*Table133[[#This Row],[Open.Int8]]*$A$4,0)</f>
        <v>0</v>
      </c>
      <c r="BI58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3">
        <f ca="1">Table133[[#This Row],[charmc]]+Table133[[#This Row],[charmp]]</f>
        <v>0</v>
      </c>
      <c r="BL58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3" s="78">
        <f ca="1">Table133[[#This Row],[call helper]]+Table133[[#This Row],[put helper]]</f>
        <v>0</v>
      </c>
      <c r="BP583" t="str">
        <f>RTD("tos.rtd", , "STRIKE", "."&amp;Table133[[#This Row],[Ticker]]&amp;Table133[[#This Row],[Expiry]]&amp;""&amp;"C"&amp;Table133[[#This Row],[Spot]]+Table133[[#This Row],[step]])</f>
        <v>N/A</v>
      </c>
    </row>
    <row r="584" spans="1:68" x14ac:dyDescent="0.25">
      <c r="A584" s="14">
        <f t="shared" ca="1" si="54"/>
        <v>-126.14810350076104</v>
      </c>
      <c r="C584" s="17"/>
      <c r="D584" t="str">
        <f>RTD("tos.rtd", , "OPEN_INT", "."&amp;Table133[[#This Row],[Ticker]]&amp;Table133[[#This Row],[Expiry]]&amp;""&amp;"C"&amp;Table133[[#This Row],[Spot]]+Table133[[#This Row],[step]])</f>
        <v>N/A</v>
      </c>
      <c r="E58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4" t="b">
        <f>IF(     ISNUMBER(Table133[[#This Row],[Strike]]),RTD("tos.rtd", , "DELTA", "."&amp;Table133[[#This Row],[Ticker]]&amp;Table133[[#This Row],[Expiry]]&amp;""&amp;"C"&amp;Table133[[#This Row],[Strike]]))</f>
        <v>0</v>
      </c>
      <c r="H584" s="17" cm="1">
        <f t="array" aca="1" ref="H584" ca="1">IndividualLegIVCore($A$4, Table133[[#This Row],[Strike]], 0.0411, Table133[[#This Row],[T]], ((Table133[[#This Row],[BIDC]]+Table133[[#This Row],[ASKC]])/2), TRUE)</f>
        <v>0.01</v>
      </c>
      <c r="I584" t="b">
        <f>IF(     ISNUMBER(Table133[[#This Row],[Strike]]),RTD("tos.rtd", , "BID", "."&amp;Table133[[#This Row],[Ticker]]&amp;Table133[[#This Row],[Expiry]]&amp;""&amp;"C"&amp;Table133[[#This Row],[Strike]]))</f>
        <v>0</v>
      </c>
      <c r="J584" t="b">
        <f>IF(     ISNUMBER(Table133[[#This Row],[Strike]]),RTD("tos.rtd", , "ASK", "."&amp;Table133[[#This Row],[Ticker]]&amp;Table133[[#This Row],[Expiry]]&amp;""&amp;"C"&amp;Table133[[#This Row],[Strike]]))</f>
        <v>0</v>
      </c>
      <c r="K584" s="17"/>
      <c r="M584" s="1">
        <f t="shared" si="55"/>
        <v>0</v>
      </c>
      <c r="N584" t="b">
        <f t="shared" si="56"/>
        <v>0</v>
      </c>
      <c r="P584" s="17" cm="1">
        <f t="array" aca="1" ref="P584" ca="1">IndividualLegIVCore($A$4, Table133[[#This Row],[Strike]], 0.0411, Table133[[#This Row],[T]], ((Table133[[#This Row],[BIDP]]+Table133[[#This Row],[ASKP]])/2), FALSE)</f>
        <v>0.01</v>
      </c>
      <c r="Q584" t="b">
        <f>IF(     ISNUMBER(Table133[[#This Row],[Strike]]),RTD("tos.rtd", , "BID", "."&amp;Table133[[#This Row],[Ticker]]&amp;Table133[[#This Row],[Expiry]]&amp;""&amp;"P"&amp;Table133[[#This Row],[Strike]]))</f>
        <v>0</v>
      </c>
      <c r="R584" t="b">
        <f>IF(     ISNUMBER(Table133[[#This Row],[Strike]]),RTD("tos.rtd", , "ASK", "."&amp;Table133[[#This Row],[Ticker]]&amp;Table133[[#This Row],[Expiry]]&amp;""&amp;"P"&amp;Table133[[#This Row],[Strike]]))</f>
        <v>0</v>
      </c>
      <c r="S584" s="17"/>
      <c r="T584" t="b">
        <f>IF(     ISNUMBER(Table133[[#This Row],[Strike]]),RTD("tos.rtd", , "OPEN_INT", "."&amp;Table133[[#This Row],[Ticker]]&amp;Table133[[#This Row],[Expiry]]&amp;""&amp;"P"&amp;Table133[[#This Row],[Strike]]))</f>
        <v>0</v>
      </c>
      <c r="U58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4" t="b">
        <f>IF(     ISNUMBER(Table133[[#This Row],[Strike]]),RTD("tos.rtd", , "DELTA", "."&amp;Table133[[#This Row],[Ticker]]&amp;Table133[[#This Row],[Expiry]]&amp;""&amp;"P"&amp;Table133[[#This Row],[Strike]]))</f>
        <v>0</v>
      </c>
      <c r="Y584" s="19">
        <f>34* IF($M$1="NDX", 10, IF(OR($M$1="SPX", $M$1="RUT"), 2, 1))</f>
        <v>68</v>
      </c>
      <c r="Z584">
        <f ca="1">IFERROR(Table133[[#This Row],[call gamma]]*(Table133[[#This Row],[Open.Int]])*$A$4^2,0)</f>
        <v>0</v>
      </c>
      <c r="AA584">
        <f ca="1">IFERROR(((Table133[[#This Row],[Open.Int8]])*Table133[[#This Row],[Put gamma]])*-1*$A$4^2,0)</f>
        <v>0</v>
      </c>
      <c r="AB584">
        <f ca="1">(Table133[[#This Row],[Call Gex]]+Table133[[#This Row],[Put Gex]])</f>
        <v>0</v>
      </c>
      <c r="AC584">
        <f ca="1">Table133[[#This Row],[put delta adj]]+Table133[[#This Row],[call delta adj]]</f>
        <v>0</v>
      </c>
      <c r="AD584">
        <f ca="1">Table133[[#This Row],[Put Gex]]*Table133[[#This Row],[DeltaP]]*-1</f>
        <v>0</v>
      </c>
      <c r="AE584">
        <f ca="1">Table133[[#This Row],[Call Gex]]*Table133[[#This Row],[DeltaC]]</f>
        <v>0</v>
      </c>
      <c r="AF584">
        <f>IF(Table133[[#This Row],[DeltaC]]-ABS(Table133[[#This Row],[DeltaP]])="0","0.01",Table133[[#This Row],[DeltaC]]-ABS(Table133[[#This Row],[DeltaP]]))</f>
        <v>0</v>
      </c>
      <c r="AG584" t="e">
        <f ca="1">((LN($A$4/Table133[[#This Row],[Strike]]) + (0.411 + 0.5 * Table133[[#This Row],[IV Calc P]]^2) *Table133[[#This Row],[T]])) / (Table133[[#This Row],[IV Calc P]] * SQRT(Table133[[#This Row],[T]]))</f>
        <v>#DIV/0!</v>
      </c>
      <c r="AH584" t="e">
        <f ca="1">(LN($A$4/Table133[[#This Row],[Strike]]) + (0.411-0 + 0.5 * Table133[[#This Row],[IV Calc C]]^2) *Table133[[#This Row],[T]]) / (Table133[[#This Row],[IV Calc C]] * SQRT(Table133[[#This Row],[T]]))</f>
        <v>#DIV/0!</v>
      </c>
      <c r="AI584" t="e">
        <f ca="1">(EXP(-(AG584^2)/2)/SQRT(2*PI())*EXP(0*SQRT(Table133[[#This Row],[T]]))/$A$4*18%*SQRT(SQRT(Table133[[#This Row],[T]])))</f>
        <v>#DIV/0!</v>
      </c>
      <c r="AJ584" t="e">
        <f ca="1">(EXP(-(AH584^2)/2)/SQRT(2*PI())*EXP(0*SQRT(Table133[[#This Row],[T]]))/$A$4*18%*SQRT(SQRT(Table133[[#This Row],[T]])))</f>
        <v>#DIV/0!</v>
      </c>
      <c r="AK584" t="e">
        <f ca="1">Table133[[#This Row],[Call D1]]-Table133[[#This Row],[IV Calc C]]*SQRT(Table133[[#This Row],[T]])</f>
        <v>#DIV/0!</v>
      </c>
      <c r="AL584" t="e">
        <f ca="1">Table133[[#This Row],[Put D1]]-Table133[[#This Row],[IV Calc P]]*SQRT(Table133[[#This Row],[T]])</f>
        <v>#DIV/0!</v>
      </c>
      <c r="AM584" t="e">
        <f ca="1">EXP(-0.5*Table133[[#This Row],[Call D1]]^2)/SQRT(2*PI())</f>
        <v>#DIV/0!</v>
      </c>
      <c r="AN584" t="e">
        <f ca="1">EXP(-0.5*Table133[[#This Row],[Put D1]]^2)/SQRT(2*PI())</f>
        <v>#DIV/0!</v>
      </c>
      <c r="AO58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4">
        <f ca="1">((Table133[[#This Row],[call vanna]]+Table133[[#This Row],[put vanna]])*$A$4)</f>
        <v>0</v>
      </c>
      <c r="AR58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4" s="9" t="str" cm="1">
        <f t="array" ref="AT584">_xlfn.IFS(     $M$1="SPX","SPXW",     $M$1="RUT","RUTW",  $M$1="NDX","NDXP",   TRUE,$M$1 )</f>
        <v>SPXW</v>
      </c>
      <c r="AU584" s="2">
        <f t="shared" si="57"/>
        <v>6915</v>
      </c>
      <c r="AV584" t="str">
        <f t="shared" si="58"/>
        <v>000100</v>
      </c>
      <c r="AY58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4">
        <f>((Table133[[#This Row],[High C]]+Table133[[#This Row],[Low C]])/2)*Table133[[#This Row],[gammac]]*Table133[[#This Row],[Volume]]</f>
        <v>0</v>
      </c>
      <c r="BD584">
        <f>((Table133[[#This Row],[High P]]+Table133[[#This Row],[Low P]])/2)*Table133[[#This Row],[gammap]]*Table133[[#This Row],[Volume9]]*-1</f>
        <v>0</v>
      </c>
      <c r="BE584">
        <f>(Table133[[#This Row],[SgammaC]]+Table133[[#This Row],[SgammaP]])*$A$4*-100</f>
        <v>0</v>
      </c>
      <c r="BF584" s="78">
        <f>Table133[[#This Row],[DEXc]]+Table133[[#This Row],[DEXp]]</f>
        <v>0</v>
      </c>
      <c r="BG584">
        <f>IFERROR(Table133[[#This Row],[DeltaC]]*Table133[[#This Row],[Open.Int]]*$A$4,0)</f>
        <v>0</v>
      </c>
      <c r="BH584">
        <f>IFERROR(Table133[[#This Row],[DeltaP]]*Table133[[#This Row],[Open.Int8]]*$A$4,0)</f>
        <v>0</v>
      </c>
      <c r="BI58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4">
        <f ca="1">Table133[[#This Row],[charmc]]+Table133[[#This Row],[charmp]]</f>
        <v>0</v>
      </c>
      <c r="BL58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4" s="78">
        <f ca="1">Table133[[#This Row],[call helper]]+Table133[[#This Row],[put helper]]</f>
        <v>0</v>
      </c>
      <c r="BP584" t="str">
        <f>RTD("tos.rtd", , "STRIKE", "."&amp;Table133[[#This Row],[Ticker]]&amp;Table133[[#This Row],[Expiry]]&amp;""&amp;"C"&amp;Table133[[#This Row],[Spot]]+Table133[[#This Row],[step]])</f>
        <v>N/A</v>
      </c>
    </row>
    <row r="585" spans="1:68" x14ac:dyDescent="0.25">
      <c r="A585" s="14">
        <f t="shared" ca="1" si="54"/>
        <v>-126.14810350076104</v>
      </c>
      <c r="C585" s="17"/>
      <c r="D585" t="str">
        <f>RTD("tos.rtd", , "OPEN_INT", "."&amp;Table133[[#This Row],[Ticker]]&amp;Table133[[#This Row],[Expiry]]&amp;""&amp;"C"&amp;Table133[[#This Row],[Spot]]+Table133[[#This Row],[step]])</f>
        <v>N/A</v>
      </c>
      <c r="E58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5" t="b">
        <f>IF(     ISNUMBER(Table133[[#This Row],[Strike]]),RTD("tos.rtd", , "DELTA", "."&amp;Table133[[#This Row],[Ticker]]&amp;Table133[[#This Row],[Expiry]]&amp;""&amp;"C"&amp;Table133[[#This Row],[Strike]]))</f>
        <v>0</v>
      </c>
      <c r="H585" s="17" cm="1">
        <f t="array" aca="1" ref="H585" ca="1">IndividualLegIVCore($A$4, Table133[[#This Row],[Strike]], 0.0411, Table133[[#This Row],[T]], ((Table133[[#This Row],[BIDC]]+Table133[[#This Row],[ASKC]])/2), TRUE)</f>
        <v>0.01</v>
      </c>
      <c r="I585" t="b">
        <f>IF(     ISNUMBER(Table133[[#This Row],[Strike]]),RTD("tos.rtd", , "BID", "."&amp;Table133[[#This Row],[Ticker]]&amp;Table133[[#This Row],[Expiry]]&amp;""&amp;"C"&amp;Table133[[#This Row],[Strike]]))</f>
        <v>0</v>
      </c>
      <c r="J585" t="b">
        <f>IF(     ISNUMBER(Table133[[#This Row],[Strike]]),RTD("tos.rtd", , "ASK", "."&amp;Table133[[#This Row],[Ticker]]&amp;Table133[[#This Row],[Expiry]]&amp;""&amp;"C"&amp;Table133[[#This Row],[Strike]]))</f>
        <v>0</v>
      </c>
      <c r="K585" s="17"/>
      <c r="M585" s="1">
        <f t="shared" si="55"/>
        <v>0</v>
      </c>
      <c r="N585" t="b">
        <f t="shared" si="56"/>
        <v>0</v>
      </c>
      <c r="P585" s="17" cm="1">
        <f t="array" aca="1" ref="P585" ca="1">IndividualLegIVCore($A$4, Table133[[#This Row],[Strike]], 0.0411, Table133[[#This Row],[T]], ((Table133[[#This Row],[BIDP]]+Table133[[#This Row],[ASKP]])/2), FALSE)</f>
        <v>0.01</v>
      </c>
      <c r="Q585" t="b">
        <f>IF(     ISNUMBER(Table133[[#This Row],[Strike]]),RTD("tos.rtd", , "BID", "."&amp;Table133[[#This Row],[Ticker]]&amp;Table133[[#This Row],[Expiry]]&amp;""&amp;"P"&amp;Table133[[#This Row],[Strike]]))</f>
        <v>0</v>
      </c>
      <c r="R585" t="b">
        <f>IF(     ISNUMBER(Table133[[#This Row],[Strike]]),RTD("tos.rtd", , "ASK", "."&amp;Table133[[#This Row],[Ticker]]&amp;Table133[[#This Row],[Expiry]]&amp;""&amp;"P"&amp;Table133[[#This Row],[Strike]]))</f>
        <v>0</v>
      </c>
      <c r="S585" s="17"/>
      <c r="T585" t="b">
        <f>IF(     ISNUMBER(Table133[[#This Row],[Strike]]),RTD("tos.rtd", , "OPEN_INT", "."&amp;Table133[[#This Row],[Ticker]]&amp;Table133[[#This Row],[Expiry]]&amp;""&amp;"P"&amp;Table133[[#This Row],[Strike]]))</f>
        <v>0</v>
      </c>
      <c r="U58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5" t="b">
        <f>IF(     ISNUMBER(Table133[[#This Row],[Strike]]),RTD("tos.rtd", , "DELTA", "."&amp;Table133[[#This Row],[Ticker]]&amp;Table133[[#This Row],[Expiry]]&amp;""&amp;"P"&amp;Table133[[#This Row],[Strike]]))</f>
        <v>0</v>
      </c>
      <c r="Y585" s="19">
        <f>34.5* IF($M$1="NDX", 10, IF(OR($M$1="SPX", $M$1="RUT"), 2, 1))</f>
        <v>69</v>
      </c>
      <c r="Z585">
        <f ca="1">IFERROR(Table133[[#This Row],[call gamma]]*(Table133[[#This Row],[Open.Int]])*$A$4^2,0)</f>
        <v>0</v>
      </c>
      <c r="AA585">
        <f ca="1">IFERROR(((Table133[[#This Row],[Open.Int8]])*Table133[[#This Row],[Put gamma]])*-1*$A$4^2,0)</f>
        <v>0</v>
      </c>
      <c r="AB585">
        <f ca="1">(Table133[[#This Row],[Call Gex]]+Table133[[#This Row],[Put Gex]])</f>
        <v>0</v>
      </c>
      <c r="AC585">
        <f ca="1">Table133[[#This Row],[put delta adj]]+Table133[[#This Row],[call delta adj]]</f>
        <v>0</v>
      </c>
      <c r="AD585">
        <f ca="1">Table133[[#This Row],[Put Gex]]*Table133[[#This Row],[DeltaP]]*-1</f>
        <v>0</v>
      </c>
      <c r="AE585">
        <f ca="1">Table133[[#This Row],[Call Gex]]*Table133[[#This Row],[DeltaC]]</f>
        <v>0</v>
      </c>
      <c r="AF585">
        <f>IF(Table133[[#This Row],[DeltaC]]-ABS(Table133[[#This Row],[DeltaP]])="0","0.01",Table133[[#This Row],[DeltaC]]-ABS(Table133[[#This Row],[DeltaP]]))</f>
        <v>0</v>
      </c>
      <c r="AG585" t="e">
        <f ca="1">((LN($A$4/Table133[[#This Row],[Strike]]) + (0.411 + 0.5 * Table133[[#This Row],[IV Calc P]]^2) *Table133[[#This Row],[T]])) / (Table133[[#This Row],[IV Calc P]] * SQRT(Table133[[#This Row],[T]]))</f>
        <v>#DIV/0!</v>
      </c>
      <c r="AH585" t="e">
        <f ca="1">(LN($A$4/Table133[[#This Row],[Strike]]) + (0.411-0 + 0.5 * Table133[[#This Row],[IV Calc C]]^2) *Table133[[#This Row],[T]]) / (Table133[[#This Row],[IV Calc C]] * SQRT(Table133[[#This Row],[T]]))</f>
        <v>#DIV/0!</v>
      </c>
      <c r="AI585" t="e">
        <f ca="1">(EXP(-(AG585^2)/2)/SQRT(2*PI())*EXP(0*SQRT(Table133[[#This Row],[T]]))/$A$4*18%*SQRT(SQRT(Table133[[#This Row],[T]])))</f>
        <v>#DIV/0!</v>
      </c>
      <c r="AJ585" t="e">
        <f ca="1">(EXP(-(AH585^2)/2)/SQRT(2*PI())*EXP(0*SQRT(Table133[[#This Row],[T]]))/$A$4*18%*SQRT(SQRT(Table133[[#This Row],[T]])))</f>
        <v>#DIV/0!</v>
      </c>
      <c r="AK585" t="e">
        <f ca="1">Table133[[#This Row],[Call D1]]-Table133[[#This Row],[IV Calc C]]*SQRT(Table133[[#This Row],[T]])</f>
        <v>#DIV/0!</v>
      </c>
      <c r="AL585" t="e">
        <f ca="1">Table133[[#This Row],[Put D1]]-Table133[[#This Row],[IV Calc P]]*SQRT(Table133[[#This Row],[T]])</f>
        <v>#DIV/0!</v>
      </c>
      <c r="AM585" t="e">
        <f ca="1">EXP(-0.5*Table133[[#This Row],[Call D1]]^2)/SQRT(2*PI())</f>
        <v>#DIV/0!</v>
      </c>
      <c r="AN585" t="e">
        <f ca="1">EXP(-0.5*Table133[[#This Row],[Put D1]]^2)/SQRT(2*PI())</f>
        <v>#DIV/0!</v>
      </c>
      <c r="AO58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5">
        <f ca="1">((Table133[[#This Row],[call vanna]]+Table133[[#This Row],[put vanna]])*$A$4)</f>
        <v>0</v>
      </c>
      <c r="AR58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5" s="9" t="str" cm="1">
        <f t="array" ref="AT585">_xlfn.IFS(     $M$1="SPX","SPXW",     $M$1="RUT","RUTW",  $M$1="NDX","NDXP",   TRUE,$M$1 )</f>
        <v>SPXW</v>
      </c>
      <c r="AU585" s="2">
        <f t="shared" si="57"/>
        <v>6915</v>
      </c>
      <c r="AV585" t="str">
        <f t="shared" si="58"/>
        <v>000100</v>
      </c>
      <c r="AY58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5">
        <f>((Table133[[#This Row],[High C]]+Table133[[#This Row],[Low C]])/2)*Table133[[#This Row],[gammac]]*Table133[[#This Row],[Volume]]</f>
        <v>0</v>
      </c>
      <c r="BD585">
        <f>((Table133[[#This Row],[High P]]+Table133[[#This Row],[Low P]])/2)*Table133[[#This Row],[gammap]]*Table133[[#This Row],[Volume9]]*-1</f>
        <v>0</v>
      </c>
      <c r="BE585">
        <f>(Table133[[#This Row],[SgammaC]]+Table133[[#This Row],[SgammaP]])*$A$4*-100</f>
        <v>0</v>
      </c>
      <c r="BF585" s="78">
        <f>Table133[[#This Row],[DEXc]]+Table133[[#This Row],[DEXp]]</f>
        <v>0</v>
      </c>
      <c r="BG585">
        <f>IFERROR(Table133[[#This Row],[DeltaC]]*Table133[[#This Row],[Open.Int]]*$A$4,0)</f>
        <v>0</v>
      </c>
      <c r="BH585">
        <f>IFERROR(Table133[[#This Row],[DeltaP]]*Table133[[#This Row],[Open.Int8]]*$A$4,0)</f>
        <v>0</v>
      </c>
      <c r="BI58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5">
        <f ca="1">Table133[[#This Row],[charmc]]+Table133[[#This Row],[charmp]]</f>
        <v>0</v>
      </c>
      <c r="BL58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5" s="78">
        <f ca="1">Table133[[#This Row],[call helper]]+Table133[[#This Row],[put helper]]</f>
        <v>0</v>
      </c>
      <c r="BP585" t="str">
        <f>RTD("tos.rtd", , "STRIKE", "."&amp;Table133[[#This Row],[Ticker]]&amp;Table133[[#This Row],[Expiry]]&amp;""&amp;"C"&amp;Table133[[#This Row],[Spot]]+Table133[[#This Row],[step]])</f>
        <v>N/A</v>
      </c>
    </row>
    <row r="586" spans="1:68" x14ac:dyDescent="0.25">
      <c r="A586" s="14">
        <f t="shared" ca="1" si="54"/>
        <v>-126.14810350076104</v>
      </c>
      <c r="C586" s="17"/>
      <c r="D586" t="str">
        <f>RTD("tos.rtd", , "OPEN_INT", "."&amp;Table133[[#This Row],[Ticker]]&amp;Table133[[#This Row],[Expiry]]&amp;""&amp;"C"&amp;Table133[[#This Row],[Spot]]+Table133[[#This Row],[step]])</f>
        <v>N/A</v>
      </c>
      <c r="E58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6" t="b">
        <f>IF(     ISNUMBER(Table133[[#This Row],[Strike]]),RTD("tos.rtd", , "DELTA", "."&amp;Table133[[#This Row],[Ticker]]&amp;Table133[[#This Row],[Expiry]]&amp;""&amp;"C"&amp;Table133[[#This Row],[Strike]]))</f>
        <v>0</v>
      </c>
      <c r="H586" s="17" cm="1">
        <f t="array" aca="1" ref="H586" ca="1">IndividualLegIVCore($A$4, Table133[[#This Row],[Strike]], 0.0411, Table133[[#This Row],[T]], ((Table133[[#This Row],[BIDC]]+Table133[[#This Row],[ASKC]])/2), TRUE)</f>
        <v>0.01</v>
      </c>
      <c r="I586" t="b">
        <f>IF(     ISNUMBER(Table133[[#This Row],[Strike]]),RTD("tos.rtd", , "BID", "."&amp;Table133[[#This Row],[Ticker]]&amp;Table133[[#This Row],[Expiry]]&amp;""&amp;"C"&amp;Table133[[#This Row],[Strike]]))</f>
        <v>0</v>
      </c>
      <c r="J586" t="b">
        <f>IF(     ISNUMBER(Table133[[#This Row],[Strike]]),RTD("tos.rtd", , "ASK", "."&amp;Table133[[#This Row],[Ticker]]&amp;Table133[[#This Row],[Expiry]]&amp;""&amp;"C"&amp;Table133[[#This Row],[Strike]]))</f>
        <v>0</v>
      </c>
      <c r="K586" s="17"/>
      <c r="M586" s="1">
        <f t="shared" si="55"/>
        <v>0</v>
      </c>
      <c r="N586" t="b">
        <f t="shared" si="56"/>
        <v>0</v>
      </c>
      <c r="P586" s="17" cm="1">
        <f t="array" aca="1" ref="P586" ca="1">IndividualLegIVCore($A$4, Table133[[#This Row],[Strike]], 0.0411, Table133[[#This Row],[T]], ((Table133[[#This Row],[BIDP]]+Table133[[#This Row],[ASKP]])/2), FALSE)</f>
        <v>0.01</v>
      </c>
      <c r="Q586" t="b">
        <f>IF(     ISNUMBER(Table133[[#This Row],[Strike]]),RTD("tos.rtd", , "BID", "."&amp;Table133[[#This Row],[Ticker]]&amp;Table133[[#This Row],[Expiry]]&amp;""&amp;"P"&amp;Table133[[#This Row],[Strike]]))</f>
        <v>0</v>
      </c>
      <c r="R586" t="b">
        <f>IF(     ISNUMBER(Table133[[#This Row],[Strike]]),RTD("tos.rtd", , "ASK", "."&amp;Table133[[#This Row],[Ticker]]&amp;Table133[[#This Row],[Expiry]]&amp;""&amp;"P"&amp;Table133[[#This Row],[Strike]]))</f>
        <v>0</v>
      </c>
      <c r="S586" s="17"/>
      <c r="T586" t="b">
        <f>IF(     ISNUMBER(Table133[[#This Row],[Strike]]),RTD("tos.rtd", , "OPEN_INT", "."&amp;Table133[[#This Row],[Ticker]]&amp;Table133[[#This Row],[Expiry]]&amp;""&amp;"P"&amp;Table133[[#This Row],[Strike]]))</f>
        <v>0</v>
      </c>
      <c r="U58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6" t="b">
        <f>IF(     ISNUMBER(Table133[[#This Row],[Strike]]),RTD("tos.rtd", , "DELTA", "."&amp;Table133[[#This Row],[Ticker]]&amp;Table133[[#This Row],[Expiry]]&amp;""&amp;"P"&amp;Table133[[#This Row],[Strike]]))</f>
        <v>0</v>
      </c>
      <c r="Y586" s="19">
        <f>35* IF($M$1="NDX", 10, IF(OR($M$1="SPX", $M$1="RUT"), 2, 1))</f>
        <v>70</v>
      </c>
      <c r="Z586">
        <f ca="1">IFERROR(Table133[[#This Row],[call gamma]]*(Table133[[#This Row],[Open.Int]])*$A$4^2,0)</f>
        <v>0</v>
      </c>
      <c r="AA586">
        <f ca="1">IFERROR(((Table133[[#This Row],[Open.Int8]])*Table133[[#This Row],[Put gamma]])*-1*$A$4^2,0)</f>
        <v>0</v>
      </c>
      <c r="AB586">
        <f ca="1">(Table133[[#This Row],[Call Gex]]+Table133[[#This Row],[Put Gex]])</f>
        <v>0</v>
      </c>
      <c r="AC586">
        <f ca="1">Table133[[#This Row],[put delta adj]]+Table133[[#This Row],[call delta adj]]</f>
        <v>0</v>
      </c>
      <c r="AD586">
        <f ca="1">Table133[[#This Row],[Put Gex]]*Table133[[#This Row],[DeltaP]]*-1</f>
        <v>0</v>
      </c>
      <c r="AE586">
        <f ca="1">Table133[[#This Row],[Call Gex]]*Table133[[#This Row],[DeltaC]]</f>
        <v>0</v>
      </c>
      <c r="AF586">
        <f>IF(Table133[[#This Row],[DeltaC]]-ABS(Table133[[#This Row],[DeltaP]])="0","0.01",Table133[[#This Row],[DeltaC]]-ABS(Table133[[#This Row],[DeltaP]]))</f>
        <v>0</v>
      </c>
      <c r="AG586" t="e">
        <f ca="1">((LN($A$4/Table133[[#This Row],[Strike]]) + (0.411 + 0.5 * Table133[[#This Row],[IV Calc P]]^2) *Table133[[#This Row],[T]])) / (Table133[[#This Row],[IV Calc P]] * SQRT(Table133[[#This Row],[T]]))</f>
        <v>#DIV/0!</v>
      </c>
      <c r="AH586" t="e">
        <f ca="1">(LN($A$4/Table133[[#This Row],[Strike]]) + (0.411-0 + 0.5 * Table133[[#This Row],[IV Calc C]]^2) *Table133[[#This Row],[T]]) / (Table133[[#This Row],[IV Calc C]] * SQRT(Table133[[#This Row],[T]]))</f>
        <v>#DIV/0!</v>
      </c>
      <c r="AI586" t="e">
        <f ca="1">(EXP(-(AG586^2)/2)/SQRT(2*PI())*EXP(0*SQRT(Table133[[#This Row],[T]]))/$A$4*18%*SQRT(SQRT(Table133[[#This Row],[T]])))</f>
        <v>#DIV/0!</v>
      </c>
      <c r="AJ586" t="e">
        <f ca="1">(EXP(-(AH586^2)/2)/SQRT(2*PI())*EXP(0*SQRT(Table133[[#This Row],[T]]))/$A$4*18%*SQRT(SQRT(Table133[[#This Row],[T]])))</f>
        <v>#DIV/0!</v>
      </c>
      <c r="AK586" t="e">
        <f ca="1">Table133[[#This Row],[Call D1]]-Table133[[#This Row],[IV Calc C]]*SQRT(Table133[[#This Row],[T]])</f>
        <v>#DIV/0!</v>
      </c>
      <c r="AL586" t="e">
        <f ca="1">Table133[[#This Row],[Put D1]]-Table133[[#This Row],[IV Calc P]]*SQRT(Table133[[#This Row],[T]])</f>
        <v>#DIV/0!</v>
      </c>
      <c r="AM586" t="e">
        <f ca="1">EXP(-0.5*Table133[[#This Row],[Call D1]]^2)/SQRT(2*PI())</f>
        <v>#DIV/0!</v>
      </c>
      <c r="AN586" t="e">
        <f ca="1">EXP(-0.5*Table133[[#This Row],[Put D1]]^2)/SQRT(2*PI())</f>
        <v>#DIV/0!</v>
      </c>
      <c r="AO58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6">
        <f ca="1">((Table133[[#This Row],[call vanna]]+Table133[[#This Row],[put vanna]])*$A$4)</f>
        <v>0</v>
      </c>
      <c r="AR58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6" s="9" t="str" cm="1">
        <f t="array" ref="AT586">_xlfn.IFS(     $M$1="SPX","SPXW",     $M$1="RUT","RUTW",  $M$1="NDX","NDXP",   TRUE,$M$1 )</f>
        <v>SPXW</v>
      </c>
      <c r="AU586" s="2">
        <f t="shared" si="57"/>
        <v>6915</v>
      </c>
      <c r="AV586" t="str">
        <f t="shared" si="58"/>
        <v>000100</v>
      </c>
      <c r="AY58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6">
        <f>((Table133[[#This Row],[High C]]+Table133[[#This Row],[Low C]])/2)*Table133[[#This Row],[gammac]]*Table133[[#This Row],[Volume]]</f>
        <v>0</v>
      </c>
      <c r="BD586">
        <f>((Table133[[#This Row],[High P]]+Table133[[#This Row],[Low P]])/2)*Table133[[#This Row],[gammap]]*Table133[[#This Row],[Volume9]]*-1</f>
        <v>0</v>
      </c>
      <c r="BE586">
        <f>(Table133[[#This Row],[SgammaC]]+Table133[[#This Row],[SgammaP]])*$A$4*-100</f>
        <v>0</v>
      </c>
      <c r="BF586" s="78">
        <f>Table133[[#This Row],[DEXc]]+Table133[[#This Row],[DEXp]]</f>
        <v>0</v>
      </c>
      <c r="BG586">
        <f>IFERROR(Table133[[#This Row],[DeltaC]]*Table133[[#This Row],[Open.Int]]*$A$4,0)</f>
        <v>0</v>
      </c>
      <c r="BH586">
        <f>IFERROR(Table133[[#This Row],[DeltaP]]*Table133[[#This Row],[Open.Int8]]*$A$4,0)</f>
        <v>0</v>
      </c>
      <c r="BI58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6">
        <f ca="1">Table133[[#This Row],[charmc]]+Table133[[#This Row],[charmp]]</f>
        <v>0</v>
      </c>
      <c r="BL58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6" s="78">
        <f ca="1">Table133[[#This Row],[call helper]]+Table133[[#This Row],[put helper]]</f>
        <v>0</v>
      </c>
      <c r="BP586" t="str">
        <f>RTD("tos.rtd", , "STRIKE", "."&amp;Table133[[#This Row],[Ticker]]&amp;Table133[[#This Row],[Expiry]]&amp;""&amp;"C"&amp;Table133[[#This Row],[Spot]]+Table133[[#This Row],[step]])</f>
        <v>N/A</v>
      </c>
    </row>
    <row r="587" spans="1:68" x14ac:dyDescent="0.25">
      <c r="A587" s="14">
        <f t="shared" ca="1" si="54"/>
        <v>-126.14810350076104</v>
      </c>
      <c r="C587" s="17"/>
      <c r="D587" t="str">
        <f>RTD("tos.rtd", , "OPEN_INT", "."&amp;Table133[[#This Row],[Ticker]]&amp;Table133[[#This Row],[Expiry]]&amp;""&amp;"C"&amp;Table133[[#This Row],[Spot]]+Table133[[#This Row],[step]])</f>
        <v>N/A</v>
      </c>
      <c r="E58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7" t="b">
        <f>IF(     ISNUMBER(Table133[[#This Row],[Strike]]),RTD("tos.rtd", , "DELTA", "."&amp;Table133[[#This Row],[Ticker]]&amp;Table133[[#This Row],[Expiry]]&amp;""&amp;"C"&amp;Table133[[#This Row],[Strike]]))</f>
        <v>0</v>
      </c>
      <c r="H587" s="17" cm="1">
        <f t="array" aca="1" ref="H587" ca="1">IndividualLegIVCore($A$4, Table133[[#This Row],[Strike]], 0.0411, Table133[[#This Row],[T]], ((Table133[[#This Row],[BIDC]]+Table133[[#This Row],[ASKC]])/2), TRUE)</f>
        <v>0.01</v>
      </c>
      <c r="I587" t="b">
        <f>IF(     ISNUMBER(Table133[[#This Row],[Strike]]),RTD("tos.rtd", , "BID", "."&amp;Table133[[#This Row],[Ticker]]&amp;Table133[[#This Row],[Expiry]]&amp;""&amp;"C"&amp;Table133[[#This Row],[Strike]]))</f>
        <v>0</v>
      </c>
      <c r="J587" t="b">
        <f>IF(     ISNUMBER(Table133[[#This Row],[Strike]]),RTD("tos.rtd", , "ASK", "."&amp;Table133[[#This Row],[Ticker]]&amp;Table133[[#This Row],[Expiry]]&amp;""&amp;"C"&amp;Table133[[#This Row],[Strike]]))</f>
        <v>0</v>
      </c>
      <c r="K587" s="17"/>
      <c r="M587" s="1">
        <f t="shared" si="55"/>
        <v>0</v>
      </c>
      <c r="N587" t="b">
        <f t="shared" si="56"/>
        <v>0</v>
      </c>
      <c r="P587" s="17" cm="1">
        <f t="array" aca="1" ref="P587" ca="1">IndividualLegIVCore($A$4, Table133[[#This Row],[Strike]], 0.0411, Table133[[#This Row],[T]], ((Table133[[#This Row],[BIDP]]+Table133[[#This Row],[ASKP]])/2), FALSE)</f>
        <v>0.01</v>
      </c>
      <c r="Q587" t="b">
        <f>IF(     ISNUMBER(Table133[[#This Row],[Strike]]),RTD("tos.rtd", , "BID", "."&amp;Table133[[#This Row],[Ticker]]&amp;Table133[[#This Row],[Expiry]]&amp;""&amp;"P"&amp;Table133[[#This Row],[Strike]]))</f>
        <v>0</v>
      </c>
      <c r="R587" t="b">
        <f>IF(     ISNUMBER(Table133[[#This Row],[Strike]]),RTD("tos.rtd", , "ASK", "."&amp;Table133[[#This Row],[Ticker]]&amp;Table133[[#This Row],[Expiry]]&amp;""&amp;"P"&amp;Table133[[#This Row],[Strike]]))</f>
        <v>0</v>
      </c>
      <c r="S587" s="17"/>
      <c r="T587" t="b">
        <f>IF(     ISNUMBER(Table133[[#This Row],[Strike]]),RTD("tos.rtd", , "OPEN_INT", "."&amp;Table133[[#This Row],[Ticker]]&amp;Table133[[#This Row],[Expiry]]&amp;""&amp;"P"&amp;Table133[[#This Row],[Strike]]))</f>
        <v>0</v>
      </c>
      <c r="U58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7" t="b">
        <f>IF(     ISNUMBER(Table133[[#This Row],[Strike]]),RTD("tos.rtd", , "DELTA", "."&amp;Table133[[#This Row],[Ticker]]&amp;Table133[[#This Row],[Expiry]]&amp;""&amp;"P"&amp;Table133[[#This Row],[Strike]]))</f>
        <v>0</v>
      </c>
      <c r="Y587" s="19">
        <f>35.5* IF($M$1="NDX", 10, IF(OR($M$1="SPX", $M$1="RUT"), 2, 1))</f>
        <v>71</v>
      </c>
      <c r="Z587">
        <f ca="1">IFERROR(Table133[[#This Row],[call gamma]]*(Table133[[#This Row],[Open.Int]])*$A$4^2,0)</f>
        <v>0</v>
      </c>
      <c r="AA587">
        <f ca="1">IFERROR(((Table133[[#This Row],[Open.Int8]])*Table133[[#This Row],[Put gamma]])*-1*$A$4^2,0)</f>
        <v>0</v>
      </c>
      <c r="AB587">
        <f ca="1">(Table133[[#This Row],[Call Gex]]+Table133[[#This Row],[Put Gex]])</f>
        <v>0</v>
      </c>
      <c r="AC587">
        <f ca="1">Table133[[#This Row],[put delta adj]]+Table133[[#This Row],[call delta adj]]</f>
        <v>0</v>
      </c>
      <c r="AD587">
        <f ca="1">Table133[[#This Row],[Put Gex]]*Table133[[#This Row],[DeltaP]]*-1</f>
        <v>0</v>
      </c>
      <c r="AE587">
        <f ca="1">Table133[[#This Row],[Call Gex]]*Table133[[#This Row],[DeltaC]]</f>
        <v>0</v>
      </c>
      <c r="AF587">
        <f>IF(Table133[[#This Row],[DeltaC]]-ABS(Table133[[#This Row],[DeltaP]])="0","0.01",Table133[[#This Row],[DeltaC]]-ABS(Table133[[#This Row],[DeltaP]]))</f>
        <v>0</v>
      </c>
      <c r="AG587" t="e">
        <f ca="1">((LN($A$4/Table133[[#This Row],[Strike]]) + (0.411 + 0.5 * Table133[[#This Row],[IV Calc P]]^2) *Table133[[#This Row],[T]])) / (Table133[[#This Row],[IV Calc P]] * SQRT(Table133[[#This Row],[T]]))</f>
        <v>#DIV/0!</v>
      </c>
      <c r="AH587" t="e">
        <f ca="1">(LN($A$4/Table133[[#This Row],[Strike]]) + (0.411-0 + 0.5 * Table133[[#This Row],[IV Calc C]]^2) *Table133[[#This Row],[T]]) / (Table133[[#This Row],[IV Calc C]] * SQRT(Table133[[#This Row],[T]]))</f>
        <v>#DIV/0!</v>
      </c>
      <c r="AI587" t="e">
        <f ca="1">(EXP(-(AG587^2)/2)/SQRT(2*PI())*EXP(0*SQRT(Table133[[#This Row],[T]]))/$A$4*18%*SQRT(SQRT(Table133[[#This Row],[T]])))</f>
        <v>#DIV/0!</v>
      </c>
      <c r="AJ587" t="e">
        <f ca="1">(EXP(-(AH587^2)/2)/SQRT(2*PI())*EXP(0*SQRT(Table133[[#This Row],[T]]))/$A$4*18%*SQRT(SQRT(Table133[[#This Row],[T]])))</f>
        <v>#DIV/0!</v>
      </c>
      <c r="AK587" t="e">
        <f ca="1">Table133[[#This Row],[Call D1]]-Table133[[#This Row],[IV Calc C]]*SQRT(Table133[[#This Row],[T]])</f>
        <v>#DIV/0!</v>
      </c>
      <c r="AL587" t="e">
        <f ca="1">Table133[[#This Row],[Put D1]]-Table133[[#This Row],[IV Calc P]]*SQRT(Table133[[#This Row],[T]])</f>
        <v>#DIV/0!</v>
      </c>
      <c r="AM587" t="e">
        <f ca="1">EXP(-0.5*Table133[[#This Row],[Call D1]]^2)/SQRT(2*PI())</f>
        <v>#DIV/0!</v>
      </c>
      <c r="AN587" t="e">
        <f ca="1">EXP(-0.5*Table133[[#This Row],[Put D1]]^2)/SQRT(2*PI())</f>
        <v>#DIV/0!</v>
      </c>
      <c r="AO58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7">
        <f ca="1">((Table133[[#This Row],[call vanna]]+Table133[[#This Row],[put vanna]])*$A$4)</f>
        <v>0</v>
      </c>
      <c r="AR58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7" s="9" t="str" cm="1">
        <f t="array" ref="AT587">_xlfn.IFS(     $M$1="SPX","SPXW",     $M$1="RUT","RUTW",  $M$1="NDX","NDXP",   TRUE,$M$1 )</f>
        <v>SPXW</v>
      </c>
      <c r="AU587" s="2">
        <f t="shared" si="57"/>
        <v>6915</v>
      </c>
      <c r="AV587" t="str">
        <f t="shared" si="58"/>
        <v>000100</v>
      </c>
      <c r="AY58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7">
        <f>((Table133[[#This Row],[High C]]+Table133[[#This Row],[Low C]])/2)*Table133[[#This Row],[gammac]]*Table133[[#This Row],[Volume]]</f>
        <v>0</v>
      </c>
      <c r="BD587">
        <f>((Table133[[#This Row],[High P]]+Table133[[#This Row],[Low P]])/2)*Table133[[#This Row],[gammap]]*Table133[[#This Row],[Volume9]]*-1</f>
        <v>0</v>
      </c>
      <c r="BE587">
        <f>(Table133[[#This Row],[SgammaC]]+Table133[[#This Row],[SgammaP]])*$A$4*-100</f>
        <v>0</v>
      </c>
      <c r="BF587" s="78">
        <f>Table133[[#This Row],[DEXc]]+Table133[[#This Row],[DEXp]]</f>
        <v>0</v>
      </c>
      <c r="BG587">
        <f>IFERROR(Table133[[#This Row],[DeltaC]]*Table133[[#This Row],[Open.Int]]*$A$4,0)</f>
        <v>0</v>
      </c>
      <c r="BH587">
        <f>IFERROR(Table133[[#This Row],[DeltaP]]*Table133[[#This Row],[Open.Int8]]*$A$4,0)</f>
        <v>0</v>
      </c>
      <c r="BI58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7">
        <f ca="1">Table133[[#This Row],[charmc]]+Table133[[#This Row],[charmp]]</f>
        <v>0</v>
      </c>
      <c r="BL58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7" s="78">
        <f ca="1">Table133[[#This Row],[call helper]]+Table133[[#This Row],[put helper]]</f>
        <v>0</v>
      </c>
      <c r="BP587" t="str">
        <f>RTD("tos.rtd", , "STRIKE", "."&amp;Table133[[#This Row],[Ticker]]&amp;Table133[[#This Row],[Expiry]]&amp;""&amp;"C"&amp;Table133[[#This Row],[Spot]]+Table133[[#This Row],[step]])</f>
        <v>N/A</v>
      </c>
    </row>
    <row r="588" spans="1:68" x14ac:dyDescent="0.25">
      <c r="A588" s="14">
        <f t="shared" ca="1" si="54"/>
        <v>-126.14810350076104</v>
      </c>
      <c r="C588" s="17"/>
      <c r="D588" t="str">
        <f>RTD("tos.rtd", , "OPEN_INT", "."&amp;Table133[[#This Row],[Ticker]]&amp;Table133[[#This Row],[Expiry]]&amp;""&amp;"C"&amp;Table133[[#This Row],[Spot]]+Table133[[#This Row],[step]])</f>
        <v>N/A</v>
      </c>
      <c r="E58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8" t="b">
        <f>IF(     ISNUMBER(Table133[[#This Row],[Strike]]),RTD("tos.rtd", , "DELTA", "."&amp;Table133[[#This Row],[Ticker]]&amp;Table133[[#This Row],[Expiry]]&amp;""&amp;"C"&amp;Table133[[#This Row],[Strike]]))</f>
        <v>0</v>
      </c>
      <c r="H588" s="17" cm="1">
        <f t="array" aca="1" ref="H588" ca="1">IndividualLegIVCore($A$4, Table133[[#This Row],[Strike]], 0.0411, Table133[[#This Row],[T]], ((Table133[[#This Row],[BIDC]]+Table133[[#This Row],[ASKC]])/2), TRUE)</f>
        <v>0.01</v>
      </c>
      <c r="I588" t="b">
        <f>IF(     ISNUMBER(Table133[[#This Row],[Strike]]),RTD("tos.rtd", , "BID", "."&amp;Table133[[#This Row],[Ticker]]&amp;Table133[[#This Row],[Expiry]]&amp;""&amp;"C"&amp;Table133[[#This Row],[Strike]]))</f>
        <v>0</v>
      </c>
      <c r="J588" t="b">
        <f>IF(     ISNUMBER(Table133[[#This Row],[Strike]]),RTD("tos.rtd", , "ASK", "."&amp;Table133[[#This Row],[Ticker]]&amp;Table133[[#This Row],[Expiry]]&amp;""&amp;"C"&amp;Table133[[#This Row],[Strike]]))</f>
        <v>0</v>
      </c>
      <c r="K588" s="17"/>
      <c r="M588" s="1">
        <f t="shared" si="55"/>
        <v>0</v>
      </c>
      <c r="N588" t="b">
        <f t="shared" si="56"/>
        <v>0</v>
      </c>
      <c r="P588" s="17" cm="1">
        <f t="array" aca="1" ref="P588" ca="1">IndividualLegIVCore($A$4, Table133[[#This Row],[Strike]], 0.0411, Table133[[#This Row],[T]], ((Table133[[#This Row],[BIDP]]+Table133[[#This Row],[ASKP]])/2), FALSE)</f>
        <v>0.01</v>
      </c>
      <c r="Q588" t="b">
        <f>IF(     ISNUMBER(Table133[[#This Row],[Strike]]),RTD("tos.rtd", , "BID", "."&amp;Table133[[#This Row],[Ticker]]&amp;Table133[[#This Row],[Expiry]]&amp;""&amp;"P"&amp;Table133[[#This Row],[Strike]]))</f>
        <v>0</v>
      </c>
      <c r="R588" t="b">
        <f>IF(     ISNUMBER(Table133[[#This Row],[Strike]]),RTD("tos.rtd", , "ASK", "."&amp;Table133[[#This Row],[Ticker]]&amp;Table133[[#This Row],[Expiry]]&amp;""&amp;"P"&amp;Table133[[#This Row],[Strike]]))</f>
        <v>0</v>
      </c>
      <c r="S588" s="17"/>
      <c r="T588" t="b">
        <f>IF(     ISNUMBER(Table133[[#This Row],[Strike]]),RTD("tos.rtd", , "OPEN_INT", "."&amp;Table133[[#This Row],[Ticker]]&amp;Table133[[#This Row],[Expiry]]&amp;""&amp;"P"&amp;Table133[[#This Row],[Strike]]))</f>
        <v>0</v>
      </c>
      <c r="U58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8" t="b">
        <f>IF(     ISNUMBER(Table133[[#This Row],[Strike]]),RTD("tos.rtd", , "DELTA", "."&amp;Table133[[#This Row],[Ticker]]&amp;Table133[[#This Row],[Expiry]]&amp;""&amp;"P"&amp;Table133[[#This Row],[Strike]]))</f>
        <v>0</v>
      </c>
      <c r="Y588" s="19">
        <f>36* IF($M$1="NDX", 10, IF(OR($M$1="SPX", $M$1="RUT"), 2, 1))</f>
        <v>72</v>
      </c>
      <c r="Z588">
        <f ca="1">IFERROR(Table133[[#This Row],[call gamma]]*(Table133[[#This Row],[Open.Int]])*$A$4^2,0)</f>
        <v>0</v>
      </c>
      <c r="AA588">
        <f ca="1">IFERROR(((Table133[[#This Row],[Open.Int8]])*Table133[[#This Row],[Put gamma]])*-1*$A$4^2,0)</f>
        <v>0</v>
      </c>
      <c r="AB588">
        <f ca="1">(Table133[[#This Row],[Call Gex]]+Table133[[#This Row],[Put Gex]])</f>
        <v>0</v>
      </c>
      <c r="AC588">
        <f ca="1">Table133[[#This Row],[put delta adj]]+Table133[[#This Row],[call delta adj]]</f>
        <v>0</v>
      </c>
      <c r="AD588">
        <f ca="1">Table133[[#This Row],[Put Gex]]*Table133[[#This Row],[DeltaP]]*-1</f>
        <v>0</v>
      </c>
      <c r="AE588">
        <f ca="1">Table133[[#This Row],[Call Gex]]*Table133[[#This Row],[DeltaC]]</f>
        <v>0</v>
      </c>
      <c r="AF588">
        <f>IF(Table133[[#This Row],[DeltaC]]-ABS(Table133[[#This Row],[DeltaP]])="0","0.01",Table133[[#This Row],[DeltaC]]-ABS(Table133[[#This Row],[DeltaP]]))</f>
        <v>0</v>
      </c>
      <c r="AG588" t="e">
        <f ca="1">((LN($A$4/Table133[[#This Row],[Strike]]) + (0.411 + 0.5 * Table133[[#This Row],[IV Calc P]]^2) *Table133[[#This Row],[T]])) / (Table133[[#This Row],[IV Calc P]] * SQRT(Table133[[#This Row],[T]]))</f>
        <v>#DIV/0!</v>
      </c>
      <c r="AH588" t="e">
        <f ca="1">(LN($A$4/Table133[[#This Row],[Strike]]) + (0.411-0 + 0.5 * Table133[[#This Row],[IV Calc C]]^2) *Table133[[#This Row],[T]]) / (Table133[[#This Row],[IV Calc C]] * SQRT(Table133[[#This Row],[T]]))</f>
        <v>#DIV/0!</v>
      </c>
      <c r="AI588" t="e">
        <f ca="1">(EXP(-(AG588^2)/2)/SQRT(2*PI())*EXP(0*SQRT(Table133[[#This Row],[T]]))/$A$4*18%*SQRT(SQRT(Table133[[#This Row],[T]])))</f>
        <v>#DIV/0!</v>
      </c>
      <c r="AJ588" t="e">
        <f ca="1">(EXP(-(AH588^2)/2)/SQRT(2*PI())*EXP(0*SQRT(Table133[[#This Row],[T]]))/$A$4*18%*SQRT(SQRT(Table133[[#This Row],[T]])))</f>
        <v>#DIV/0!</v>
      </c>
      <c r="AK588" t="e">
        <f ca="1">Table133[[#This Row],[Call D1]]-Table133[[#This Row],[IV Calc C]]*SQRT(Table133[[#This Row],[T]])</f>
        <v>#DIV/0!</v>
      </c>
      <c r="AL588" t="e">
        <f ca="1">Table133[[#This Row],[Put D1]]-Table133[[#This Row],[IV Calc P]]*SQRT(Table133[[#This Row],[T]])</f>
        <v>#DIV/0!</v>
      </c>
      <c r="AM588" t="e">
        <f ca="1">EXP(-0.5*Table133[[#This Row],[Call D1]]^2)/SQRT(2*PI())</f>
        <v>#DIV/0!</v>
      </c>
      <c r="AN588" t="e">
        <f ca="1">EXP(-0.5*Table133[[#This Row],[Put D1]]^2)/SQRT(2*PI())</f>
        <v>#DIV/0!</v>
      </c>
      <c r="AO58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8">
        <f ca="1">((Table133[[#This Row],[call vanna]]+Table133[[#This Row],[put vanna]])*$A$4)</f>
        <v>0</v>
      </c>
      <c r="AR58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8" s="9" t="str" cm="1">
        <f t="array" ref="AT588">_xlfn.IFS(     $M$1="SPX","SPXW",     $M$1="RUT","RUTW",  $M$1="NDX","NDXP",   TRUE,$M$1 )</f>
        <v>SPXW</v>
      </c>
      <c r="AU588" s="2">
        <f t="shared" si="57"/>
        <v>6915</v>
      </c>
      <c r="AV588" t="str">
        <f t="shared" si="58"/>
        <v>000100</v>
      </c>
      <c r="AY58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8">
        <f>((Table133[[#This Row],[High C]]+Table133[[#This Row],[Low C]])/2)*Table133[[#This Row],[gammac]]*Table133[[#This Row],[Volume]]</f>
        <v>0</v>
      </c>
      <c r="BD588">
        <f>((Table133[[#This Row],[High P]]+Table133[[#This Row],[Low P]])/2)*Table133[[#This Row],[gammap]]*Table133[[#This Row],[Volume9]]*-1</f>
        <v>0</v>
      </c>
      <c r="BE588">
        <f>(Table133[[#This Row],[SgammaC]]+Table133[[#This Row],[SgammaP]])*$A$4*-100</f>
        <v>0</v>
      </c>
      <c r="BF588" s="78">
        <f>Table133[[#This Row],[DEXc]]+Table133[[#This Row],[DEXp]]</f>
        <v>0</v>
      </c>
      <c r="BG588">
        <f>IFERROR(Table133[[#This Row],[DeltaC]]*Table133[[#This Row],[Open.Int]]*$A$4,0)</f>
        <v>0</v>
      </c>
      <c r="BH588">
        <f>IFERROR(Table133[[#This Row],[DeltaP]]*Table133[[#This Row],[Open.Int8]]*$A$4,0)</f>
        <v>0</v>
      </c>
      <c r="BI58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8">
        <f ca="1">Table133[[#This Row],[charmc]]+Table133[[#This Row],[charmp]]</f>
        <v>0</v>
      </c>
      <c r="BL58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8" s="78">
        <f ca="1">Table133[[#This Row],[call helper]]+Table133[[#This Row],[put helper]]</f>
        <v>0</v>
      </c>
      <c r="BP588" t="str">
        <f>RTD("tos.rtd", , "STRIKE", "."&amp;Table133[[#This Row],[Ticker]]&amp;Table133[[#This Row],[Expiry]]&amp;""&amp;"C"&amp;Table133[[#This Row],[Spot]]+Table133[[#This Row],[step]])</f>
        <v>N/A</v>
      </c>
    </row>
    <row r="589" spans="1:68" x14ac:dyDescent="0.25">
      <c r="A589" s="14">
        <f t="shared" ca="1" si="54"/>
        <v>-126.14810350076104</v>
      </c>
      <c r="C589" s="17"/>
      <c r="D589" t="str">
        <f>RTD("tos.rtd", , "OPEN_INT", "."&amp;Table133[[#This Row],[Ticker]]&amp;Table133[[#This Row],[Expiry]]&amp;""&amp;"C"&amp;Table133[[#This Row],[Spot]]+Table133[[#This Row],[step]])</f>
        <v>N/A</v>
      </c>
      <c r="E58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9" t="b">
        <f>IF(     ISNUMBER(Table133[[#This Row],[Strike]]),RTD("tos.rtd", , "DELTA", "."&amp;Table133[[#This Row],[Ticker]]&amp;Table133[[#This Row],[Expiry]]&amp;""&amp;"C"&amp;Table133[[#This Row],[Strike]]))</f>
        <v>0</v>
      </c>
      <c r="H589" s="17" cm="1">
        <f t="array" aca="1" ref="H589" ca="1">IndividualLegIVCore($A$4, Table133[[#This Row],[Strike]], 0.0411, Table133[[#This Row],[T]], ((Table133[[#This Row],[BIDC]]+Table133[[#This Row],[ASKC]])/2), TRUE)</f>
        <v>0.01</v>
      </c>
      <c r="I589" t="b">
        <f>IF(     ISNUMBER(Table133[[#This Row],[Strike]]),RTD("tos.rtd", , "BID", "."&amp;Table133[[#This Row],[Ticker]]&amp;Table133[[#This Row],[Expiry]]&amp;""&amp;"C"&amp;Table133[[#This Row],[Strike]]))</f>
        <v>0</v>
      </c>
      <c r="J589" t="b">
        <f>IF(     ISNUMBER(Table133[[#This Row],[Strike]]),RTD("tos.rtd", , "ASK", "."&amp;Table133[[#This Row],[Ticker]]&amp;Table133[[#This Row],[Expiry]]&amp;""&amp;"C"&amp;Table133[[#This Row],[Strike]]))</f>
        <v>0</v>
      </c>
      <c r="K589" s="17"/>
      <c r="M589" s="1">
        <f t="shared" si="55"/>
        <v>0</v>
      </c>
      <c r="N589" t="b">
        <f t="shared" si="56"/>
        <v>0</v>
      </c>
      <c r="P589" s="17" cm="1">
        <f t="array" aca="1" ref="P589" ca="1">IndividualLegIVCore($A$4, Table133[[#This Row],[Strike]], 0.0411, Table133[[#This Row],[T]], ((Table133[[#This Row],[BIDP]]+Table133[[#This Row],[ASKP]])/2), FALSE)</f>
        <v>0.01</v>
      </c>
      <c r="Q589" t="b">
        <f>IF(     ISNUMBER(Table133[[#This Row],[Strike]]),RTD("tos.rtd", , "BID", "."&amp;Table133[[#This Row],[Ticker]]&amp;Table133[[#This Row],[Expiry]]&amp;""&amp;"P"&amp;Table133[[#This Row],[Strike]]))</f>
        <v>0</v>
      </c>
      <c r="R589" t="b">
        <f>IF(     ISNUMBER(Table133[[#This Row],[Strike]]),RTD("tos.rtd", , "ASK", "."&amp;Table133[[#This Row],[Ticker]]&amp;Table133[[#This Row],[Expiry]]&amp;""&amp;"P"&amp;Table133[[#This Row],[Strike]]))</f>
        <v>0</v>
      </c>
      <c r="S589" s="17"/>
      <c r="T589" t="b">
        <f>IF(     ISNUMBER(Table133[[#This Row],[Strike]]),RTD("tos.rtd", , "OPEN_INT", "."&amp;Table133[[#This Row],[Ticker]]&amp;Table133[[#This Row],[Expiry]]&amp;""&amp;"P"&amp;Table133[[#This Row],[Strike]]))</f>
        <v>0</v>
      </c>
      <c r="U58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9" t="b">
        <f>IF(     ISNUMBER(Table133[[#This Row],[Strike]]),RTD("tos.rtd", , "DELTA", "."&amp;Table133[[#This Row],[Ticker]]&amp;Table133[[#This Row],[Expiry]]&amp;""&amp;"P"&amp;Table133[[#This Row],[Strike]]))</f>
        <v>0</v>
      </c>
      <c r="Y589" s="19">
        <f>36.5* IF($M$1="NDX", 10, IF(OR($M$1="SPX", $M$1="RUT"), 2, 1))</f>
        <v>73</v>
      </c>
      <c r="Z589">
        <f ca="1">IFERROR(Table133[[#This Row],[call gamma]]*(Table133[[#This Row],[Open.Int]])*$A$4^2,0)</f>
        <v>0</v>
      </c>
      <c r="AA589">
        <f ca="1">IFERROR(((Table133[[#This Row],[Open.Int8]])*Table133[[#This Row],[Put gamma]])*-1*$A$4^2,0)</f>
        <v>0</v>
      </c>
      <c r="AB589">
        <f ca="1">(Table133[[#This Row],[Call Gex]]+Table133[[#This Row],[Put Gex]])</f>
        <v>0</v>
      </c>
      <c r="AC589">
        <f ca="1">Table133[[#This Row],[put delta adj]]+Table133[[#This Row],[call delta adj]]</f>
        <v>0</v>
      </c>
      <c r="AD589">
        <f ca="1">Table133[[#This Row],[Put Gex]]*Table133[[#This Row],[DeltaP]]*-1</f>
        <v>0</v>
      </c>
      <c r="AE589">
        <f ca="1">Table133[[#This Row],[Call Gex]]*Table133[[#This Row],[DeltaC]]</f>
        <v>0</v>
      </c>
      <c r="AF589">
        <f>IF(Table133[[#This Row],[DeltaC]]-ABS(Table133[[#This Row],[DeltaP]])="0","0.01",Table133[[#This Row],[DeltaC]]-ABS(Table133[[#This Row],[DeltaP]]))</f>
        <v>0</v>
      </c>
      <c r="AG589" t="e">
        <f ca="1">((LN($A$4/Table133[[#This Row],[Strike]]) + (0.411 + 0.5 * Table133[[#This Row],[IV Calc P]]^2) *Table133[[#This Row],[T]])) / (Table133[[#This Row],[IV Calc P]] * SQRT(Table133[[#This Row],[T]]))</f>
        <v>#DIV/0!</v>
      </c>
      <c r="AH589" t="e">
        <f ca="1">(LN($A$4/Table133[[#This Row],[Strike]]) + (0.411-0 + 0.5 * Table133[[#This Row],[IV Calc C]]^2) *Table133[[#This Row],[T]]) / (Table133[[#This Row],[IV Calc C]] * SQRT(Table133[[#This Row],[T]]))</f>
        <v>#DIV/0!</v>
      </c>
      <c r="AI589" t="e">
        <f ca="1">(EXP(-(AG589^2)/2)/SQRT(2*PI())*EXP(0*SQRT(Table133[[#This Row],[T]]))/$A$4*18%*SQRT(SQRT(Table133[[#This Row],[T]])))</f>
        <v>#DIV/0!</v>
      </c>
      <c r="AJ589" t="e">
        <f ca="1">(EXP(-(AH589^2)/2)/SQRT(2*PI())*EXP(0*SQRT(Table133[[#This Row],[T]]))/$A$4*18%*SQRT(SQRT(Table133[[#This Row],[T]])))</f>
        <v>#DIV/0!</v>
      </c>
      <c r="AK589" t="e">
        <f ca="1">Table133[[#This Row],[Call D1]]-Table133[[#This Row],[IV Calc C]]*SQRT(Table133[[#This Row],[T]])</f>
        <v>#DIV/0!</v>
      </c>
      <c r="AL589" t="e">
        <f ca="1">Table133[[#This Row],[Put D1]]-Table133[[#This Row],[IV Calc P]]*SQRT(Table133[[#This Row],[T]])</f>
        <v>#DIV/0!</v>
      </c>
      <c r="AM589" t="e">
        <f ca="1">EXP(-0.5*Table133[[#This Row],[Call D1]]^2)/SQRT(2*PI())</f>
        <v>#DIV/0!</v>
      </c>
      <c r="AN589" t="e">
        <f ca="1">EXP(-0.5*Table133[[#This Row],[Put D1]]^2)/SQRT(2*PI())</f>
        <v>#DIV/0!</v>
      </c>
      <c r="AO58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9">
        <f ca="1">((Table133[[#This Row],[call vanna]]+Table133[[#This Row],[put vanna]])*$A$4)</f>
        <v>0</v>
      </c>
      <c r="AR58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9" s="9" t="str" cm="1">
        <f t="array" ref="AT589">_xlfn.IFS(     $M$1="SPX","SPXW",     $M$1="RUT","RUTW",  $M$1="NDX","NDXP",   TRUE,$M$1 )</f>
        <v>SPXW</v>
      </c>
      <c r="AU589" s="2">
        <f t="shared" si="57"/>
        <v>6915</v>
      </c>
      <c r="AV589" t="str">
        <f t="shared" si="58"/>
        <v>000100</v>
      </c>
      <c r="AY58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9">
        <f>((Table133[[#This Row],[High C]]+Table133[[#This Row],[Low C]])/2)*Table133[[#This Row],[gammac]]*Table133[[#This Row],[Volume]]</f>
        <v>0</v>
      </c>
      <c r="BD589">
        <f>((Table133[[#This Row],[High P]]+Table133[[#This Row],[Low P]])/2)*Table133[[#This Row],[gammap]]*Table133[[#This Row],[Volume9]]*-1</f>
        <v>0</v>
      </c>
      <c r="BE589">
        <f>(Table133[[#This Row],[SgammaC]]+Table133[[#This Row],[SgammaP]])*$A$4*-100</f>
        <v>0</v>
      </c>
      <c r="BF589" s="78">
        <f>Table133[[#This Row],[DEXc]]+Table133[[#This Row],[DEXp]]</f>
        <v>0</v>
      </c>
      <c r="BG589">
        <f>IFERROR(Table133[[#This Row],[DeltaC]]*Table133[[#This Row],[Open.Int]]*$A$4,0)</f>
        <v>0</v>
      </c>
      <c r="BH589">
        <f>IFERROR(Table133[[#This Row],[DeltaP]]*Table133[[#This Row],[Open.Int8]]*$A$4,0)</f>
        <v>0</v>
      </c>
      <c r="BI58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9">
        <f ca="1">Table133[[#This Row],[charmc]]+Table133[[#This Row],[charmp]]</f>
        <v>0</v>
      </c>
      <c r="BL58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9" s="78">
        <f ca="1">Table133[[#This Row],[call helper]]+Table133[[#This Row],[put helper]]</f>
        <v>0</v>
      </c>
      <c r="BP589" t="str">
        <f>RTD("tos.rtd", , "STRIKE", "."&amp;Table133[[#This Row],[Ticker]]&amp;Table133[[#This Row],[Expiry]]&amp;""&amp;"C"&amp;Table133[[#This Row],[Spot]]+Table133[[#This Row],[step]])</f>
        <v>N/A</v>
      </c>
    </row>
    <row r="590" spans="1:68" x14ac:dyDescent="0.25">
      <c r="A590" s="14">
        <f t="shared" ca="1" si="54"/>
        <v>-126.14810350076104</v>
      </c>
      <c r="C590" s="17"/>
      <c r="D590" t="str">
        <f>RTD("tos.rtd", , "OPEN_INT", "."&amp;Table133[[#This Row],[Ticker]]&amp;Table133[[#This Row],[Expiry]]&amp;""&amp;"C"&amp;Table133[[#This Row],[Spot]]+Table133[[#This Row],[step]])</f>
        <v>N/A</v>
      </c>
      <c r="E59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0" t="b">
        <f>IF(     ISNUMBER(Table133[[#This Row],[Strike]]),RTD("tos.rtd", , "DELTA", "."&amp;Table133[[#This Row],[Ticker]]&amp;Table133[[#This Row],[Expiry]]&amp;""&amp;"C"&amp;Table133[[#This Row],[Strike]]))</f>
        <v>0</v>
      </c>
      <c r="H590" s="17" cm="1">
        <f t="array" aca="1" ref="H590" ca="1">IndividualLegIVCore($A$4, Table133[[#This Row],[Strike]], 0.0411, Table133[[#This Row],[T]], ((Table133[[#This Row],[BIDC]]+Table133[[#This Row],[ASKC]])/2), TRUE)</f>
        <v>0.01</v>
      </c>
      <c r="I590" t="b">
        <f>IF(     ISNUMBER(Table133[[#This Row],[Strike]]),RTD("tos.rtd", , "BID", "."&amp;Table133[[#This Row],[Ticker]]&amp;Table133[[#This Row],[Expiry]]&amp;""&amp;"C"&amp;Table133[[#This Row],[Strike]]))</f>
        <v>0</v>
      </c>
      <c r="J590" t="b">
        <f>IF(     ISNUMBER(Table133[[#This Row],[Strike]]),RTD("tos.rtd", , "ASK", "."&amp;Table133[[#This Row],[Ticker]]&amp;Table133[[#This Row],[Expiry]]&amp;""&amp;"C"&amp;Table133[[#This Row],[Strike]]))</f>
        <v>0</v>
      </c>
      <c r="K590" s="17"/>
      <c r="M590" s="1">
        <f t="shared" si="55"/>
        <v>0</v>
      </c>
      <c r="N590" t="b">
        <f t="shared" si="56"/>
        <v>0</v>
      </c>
      <c r="P590" s="17" cm="1">
        <f t="array" aca="1" ref="P590" ca="1">IndividualLegIVCore($A$4, Table133[[#This Row],[Strike]], 0.0411, Table133[[#This Row],[T]], ((Table133[[#This Row],[BIDP]]+Table133[[#This Row],[ASKP]])/2), FALSE)</f>
        <v>0.01</v>
      </c>
      <c r="Q590" t="b">
        <f>IF(     ISNUMBER(Table133[[#This Row],[Strike]]),RTD("tos.rtd", , "BID", "."&amp;Table133[[#This Row],[Ticker]]&amp;Table133[[#This Row],[Expiry]]&amp;""&amp;"P"&amp;Table133[[#This Row],[Strike]]))</f>
        <v>0</v>
      </c>
      <c r="R590" t="b">
        <f>IF(     ISNUMBER(Table133[[#This Row],[Strike]]),RTD("tos.rtd", , "ASK", "."&amp;Table133[[#This Row],[Ticker]]&amp;Table133[[#This Row],[Expiry]]&amp;""&amp;"P"&amp;Table133[[#This Row],[Strike]]))</f>
        <v>0</v>
      </c>
      <c r="S590" s="17"/>
      <c r="T590" t="b">
        <f>IF(     ISNUMBER(Table133[[#This Row],[Strike]]),RTD("tos.rtd", , "OPEN_INT", "."&amp;Table133[[#This Row],[Ticker]]&amp;Table133[[#This Row],[Expiry]]&amp;""&amp;"P"&amp;Table133[[#This Row],[Strike]]))</f>
        <v>0</v>
      </c>
      <c r="U59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0" t="b">
        <f>IF(     ISNUMBER(Table133[[#This Row],[Strike]]),RTD("tos.rtd", , "DELTA", "."&amp;Table133[[#This Row],[Ticker]]&amp;Table133[[#This Row],[Expiry]]&amp;""&amp;"P"&amp;Table133[[#This Row],[Strike]]))</f>
        <v>0</v>
      </c>
      <c r="Y590" s="19">
        <f>37* IF($M$1="NDX", 10, IF(OR($M$1="SPX", $M$1="RUT"), 2, 1))</f>
        <v>74</v>
      </c>
      <c r="Z590">
        <f ca="1">IFERROR(Table133[[#This Row],[call gamma]]*(Table133[[#This Row],[Open.Int]])*$A$4^2,0)</f>
        <v>0</v>
      </c>
      <c r="AA590">
        <f ca="1">IFERROR(((Table133[[#This Row],[Open.Int8]])*Table133[[#This Row],[Put gamma]])*-1*$A$4^2,0)</f>
        <v>0</v>
      </c>
      <c r="AB590">
        <f ca="1">(Table133[[#This Row],[Call Gex]]+Table133[[#This Row],[Put Gex]])</f>
        <v>0</v>
      </c>
      <c r="AC590">
        <f ca="1">Table133[[#This Row],[put delta adj]]+Table133[[#This Row],[call delta adj]]</f>
        <v>0</v>
      </c>
      <c r="AD590">
        <f ca="1">Table133[[#This Row],[Put Gex]]*Table133[[#This Row],[DeltaP]]*-1</f>
        <v>0</v>
      </c>
      <c r="AE590">
        <f ca="1">Table133[[#This Row],[Call Gex]]*Table133[[#This Row],[DeltaC]]</f>
        <v>0</v>
      </c>
      <c r="AF590">
        <f>IF(Table133[[#This Row],[DeltaC]]-ABS(Table133[[#This Row],[DeltaP]])="0","0.01",Table133[[#This Row],[DeltaC]]-ABS(Table133[[#This Row],[DeltaP]]))</f>
        <v>0</v>
      </c>
      <c r="AG590" t="e">
        <f ca="1">((LN($A$4/Table133[[#This Row],[Strike]]) + (0.411 + 0.5 * Table133[[#This Row],[IV Calc P]]^2) *Table133[[#This Row],[T]])) / (Table133[[#This Row],[IV Calc P]] * SQRT(Table133[[#This Row],[T]]))</f>
        <v>#DIV/0!</v>
      </c>
      <c r="AH590" t="e">
        <f ca="1">(LN($A$4/Table133[[#This Row],[Strike]]) + (0.411-0 + 0.5 * Table133[[#This Row],[IV Calc C]]^2) *Table133[[#This Row],[T]]) / (Table133[[#This Row],[IV Calc C]] * SQRT(Table133[[#This Row],[T]]))</f>
        <v>#DIV/0!</v>
      </c>
      <c r="AI590" t="e">
        <f ca="1">(EXP(-(AG590^2)/2)/SQRT(2*PI())*EXP(0*SQRT(Table133[[#This Row],[T]]))/$A$4*18%*SQRT(SQRT(Table133[[#This Row],[T]])))</f>
        <v>#DIV/0!</v>
      </c>
      <c r="AJ590" t="e">
        <f ca="1">(EXP(-(AH590^2)/2)/SQRT(2*PI())*EXP(0*SQRT(Table133[[#This Row],[T]]))/$A$4*18%*SQRT(SQRT(Table133[[#This Row],[T]])))</f>
        <v>#DIV/0!</v>
      </c>
      <c r="AK590" t="e">
        <f ca="1">Table133[[#This Row],[Call D1]]-Table133[[#This Row],[IV Calc C]]*SQRT(Table133[[#This Row],[T]])</f>
        <v>#DIV/0!</v>
      </c>
      <c r="AL590" t="e">
        <f ca="1">Table133[[#This Row],[Put D1]]-Table133[[#This Row],[IV Calc P]]*SQRT(Table133[[#This Row],[T]])</f>
        <v>#DIV/0!</v>
      </c>
      <c r="AM590" t="e">
        <f ca="1">EXP(-0.5*Table133[[#This Row],[Call D1]]^2)/SQRT(2*PI())</f>
        <v>#DIV/0!</v>
      </c>
      <c r="AN590" t="e">
        <f ca="1">EXP(-0.5*Table133[[#This Row],[Put D1]]^2)/SQRT(2*PI())</f>
        <v>#DIV/0!</v>
      </c>
      <c r="AO59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0">
        <f ca="1">((Table133[[#This Row],[call vanna]]+Table133[[#This Row],[put vanna]])*$A$4)</f>
        <v>0</v>
      </c>
      <c r="AR59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0" s="9" t="str" cm="1">
        <f t="array" ref="AT590">_xlfn.IFS(     $M$1="SPX","SPXW",     $M$1="RUT","RUTW",  $M$1="NDX","NDXP",   TRUE,$M$1 )</f>
        <v>SPXW</v>
      </c>
      <c r="AU590" s="2">
        <f t="shared" si="57"/>
        <v>6915</v>
      </c>
      <c r="AV590" t="str">
        <f t="shared" si="58"/>
        <v>000100</v>
      </c>
      <c r="AY59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0">
        <f>((Table133[[#This Row],[High C]]+Table133[[#This Row],[Low C]])/2)*Table133[[#This Row],[gammac]]*Table133[[#This Row],[Volume]]</f>
        <v>0</v>
      </c>
      <c r="BD590">
        <f>((Table133[[#This Row],[High P]]+Table133[[#This Row],[Low P]])/2)*Table133[[#This Row],[gammap]]*Table133[[#This Row],[Volume9]]*-1</f>
        <v>0</v>
      </c>
      <c r="BE590">
        <f>(Table133[[#This Row],[SgammaC]]+Table133[[#This Row],[SgammaP]])*$A$4*-100</f>
        <v>0</v>
      </c>
      <c r="BF590" s="78">
        <f>Table133[[#This Row],[DEXc]]+Table133[[#This Row],[DEXp]]</f>
        <v>0</v>
      </c>
      <c r="BG590">
        <f>IFERROR(Table133[[#This Row],[DeltaC]]*Table133[[#This Row],[Open.Int]]*$A$4,0)</f>
        <v>0</v>
      </c>
      <c r="BH590">
        <f>IFERROR(Table133[[#This Row],[DeltaP]]*Table133[[#This Row],[Open.Int8]]*$A$4,0)</f>
        <v>0</v>
      </c>
      <c r="BI59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0">
        <f ca="1">Table133[[#This Row],[charmc]]+Table133[[#This Row],[charmp]]</f>
        <v>0</v>
      </c>
      <c r="BL59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0" s="78">
        <f ca="1">Table133[[#This Row],[call helper]]+Table133[[#This Row],[put helper]]</f>
        <v>0</v>
      </c>
      <c r="BP590" t="str">
        <f>RTD("tos.rtd", , "STRIKE", "."&amp;Table133[[#This Row],[Ticker]]&amp;Table133[[#This Row],[Expiry]]&amp;""&amp;"C"&amp;Table133[[#This Row],[Spot]]+Table133[[#This Row],[step]])</f>
        <v>N/A</v>
      </c>
    </row>
    <row r="591" spans="1:68" x14ac:dyDescent="0.25">
      <c r="A591" s="14">
        <f t="shared" ca="1" si="54"/>
        <v>-126.14810350076104</v>
      </c>
      <c r="C591" s="17"/>
      <c r="D591" t="str">
        <f>RTD("tos.rtd", , "OPEN_INT", "."&amp;Table133[[#This Row],[Ticker]]&amp;Table133[[#This Row],[Expiry]]&amp;""&amp;"C"&amp;Table133[[#This Row],[Spot]]+Table133[[#This Row],[step]])</f>
        <v>N/A</v>
      </c>
      <c r="E59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1" t="b">
        <f>IF(     ISNUMBER(Table133[[#This Row],[Strike]]),RTD("tos.rtd", , "DELTA", "."&amp;Table133[[#This Row],[Ticker]]&amp;Table133[[#This Row],[Expiry]]&amp;""&amp;"C"&amp;Table133[[#This Row],[Strike]]))</f>
        <v>0</v>
      </c>
      <c r="H591" s="17" cm="1">
        <f t="array" aca="1" ref="H591" ca="1">IndividualLegIVCore($A$4, Table133[[#This Row],[Strike]], 0.0411, Table133[[#This Row],[T]], ((Table133[[#This Row],[BIDC]]+Table133[[#This Row],[ASKC]])/2), TRUE)</f>
        <v>0.01</v>
      </c>
      <c r="I591" t="b">
        <f>IF(     ISNUMBER(Table133[[#This Row],[Strike]]),RTD("tos.rtd", , "BID", "."&amp;Table133[[#This Row],[Ticker]]&amp;Table133[[#This Row],[Expiry]]&amp;""&amp;"C"&amp;Table133[[#This Row],[Strike]]))</f>
        <v>0</v>
      </c>
      <c r="J591" t="b">
        <f>IF(     ISNUMBER(Table133[[#This Row],[Strike]]),RTD("tos.rtd", , "ASK", "."&amp;Table133[[#This Row],[Ticker]]&amp;Table133[[#This Row],[Expiry]]&amp;""&amp;"C"&amp;Table133[[#This Row],[Strike]]))</f>
        <v>0</v>
      </c>
      <c r="K591" s="17"/>
      <c r="M591" s="1">
        <f t="shared" si="55"/>
        <v>0</v>
      </c>
      <c r="N591" t="b">
        <f t="shared" si="56"/>
        <v>0</v>
      </c>
      <c r="P591" s="17" cm="1">
        <f t="array" aca="1" ref="P591" ca="1">IndividualLegIVCore($A$4, Table133[[#This Row],[Strike]], 0.0411, Table133[[#This Row],[T]], ((Table133[[#This Row],[BIDP]]+Table133[[#This Row],[ASKP]])/2), FALSE)</f>
        <v>0.01</v>
      </c>
      <c r="Q591" t="b">
        <f>IF(     ISNUMBER(Table133[[#This Row],[Strike]]),RTD("tos.rtd", , "BID", "."&amp;Table133[[#This Row],[Ticker]]&amp;Table133[[#This Row],[Expiry]]&amp;""&amp;"P"&amp;Table133[[#This Row],[Strike]]))</f>
        <v>0</v>
      </c>
      <c r="R591" t="b">
        <f>IF(     ISNUMBER(Table133[[#This Row],[Strike]]),RTD("tos.rtd", , "ASK", "."&amp;Table133[[#This Row],[Ticker]]&amp;Table133[[#This Row],[Expiry]]&amp;""&amp;"P"&amp;Table133[[#This Row],[Strike]]))</f>
        <v>0</v>
      </c>
      <c r="S591" s="17"/>
      <c r="T591" t="b">
        <f>IF(     ISNUMBER(Table133[[#This Row],[Strike]]),RTD("tos.rtd", , "OPEN_INT", "."&amp;Table133[[#This Row],[Ticker]]&amp;Table133[[#This Row],[Expiry]]&amp;""&amp;"P"&amp;Table133[[#This Row],[Strike]]))</f>
        <v>0</v>
      </c>
      <c r="U59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1" t="b">
        <f>IF(     ISNUMBER(Table133[[#This Row],[Strike]]),RTD("tos.rtd", , "DELTA", "."&amp;Table133[[#This Row],[Ticker]]&amp;Table133[[#This Row],[Expiry]]&amp;""&amp;"P"&amp;Table133[[#This Row],[Strike]]))</f>
        <v>0</v>
      </c>
      <c r="Y591" s="19">
        <f>37.5* IF($M$1="NDX", 10, IF(OR($M$1="SPX", $M$1="RUT"), 2, 1))</f>
        <v>75</v>
      </c>
      <c r="Z591">
        <f ca="1">IFERROR(Table133[[#This Row],[call gamma]]*(Table133[[#This Row],[Open.Int]])*$A$4^2,0)</f>
        <v>0</v>
      </c>
      <c r="AA591">
        <f ca="1">IFERROR(((Table133[[#This Row],[Open.Int8]])*Table133[[#This Row],[Put gamma]])*-1*$A$4^2,0)</f>
        <v>0</v>
      </c>
      <c r="AB591">
        <f ca="1">(Table133[[#This Row],[Call Gex]]+Table133[[#This Row],[Put Gex]])</f>
        <v>0</v>
      </c>
      <c r="AC591">
        <f ca="1">Table133[[#This Row],[put delta adj]]+Table133[[#This Row],[call delta adj]]</f>
        <v>0</v>
      </c>
      <c r="AD591">
        <f ca="1">Table133[[#This Row],[Put Gex]]*Table133[[#This Row],[DeltaP]]*-1</f>
        <v>0</v>
      </c>
      <c r="AE591">
        <f ca="1">Table133[[#This Row],[Call Gex]]*Table133[[#This Row],[DeltaC]]</f>
        <v>0</v>
      </c>
      <c r="AF591">
        <f>IF(Table133[[#This Row],[DeltaC]]-ABS(Table133[[#This Row],[DeltaP]])="0","0.01",Table133[[#This Row],[DeltaC]]-ABS(Table133[[#This Row],[DeltaP]]))</f>
        <v>0</v>
      </c>
      <c r="AG591" t="e">
        <f ca="1">((LN($A$4/Table133[[#This Row],[Strike]]) + (0.411 + 0.5 * Table133[[#This Row],[IV Calc P]]^2) *Table133[[#This Row],[T]])) / (Table133[[#This Row],[IV Calc P]] * SQRT(Table133[[#This Row],[T]]))</f>
        <v>#DIV/0!</v>
      </c>
      <c r="AH591" t="e">
        <f ca="1">(LN($A$4/Table133[[#This Row],[Strike]]) + (0.411-0 + 0.5 * Table133[[#This Row],[IV Calc C]]^2) *Table133[[#This Row],[T]]) / (Table133[[#This Row],[IV Calc C]] * SQRT(Table133[[#This Row],[T]]))</f>
        <v>#DIV/0!</v>
      </c>
      <c r="AI591" t="e">
        <f ca="1">(EXP(-(AG591^2)/2)/SQRT(2*PI())*EXP(0*SQRT(Table133[[#This Row],[T]]))/$A$4*18%*SQRT(SQRT(Table133[[#This Row],[T]])))</f>
        <v>#DIV/0!</v>
      </c>
      <c r="AJ591" t="e">
        <f ca="1">(EXP(-(AH591^2)/2)/SQRT(2*PI())*EXP(0*SQRT(Table133[[#This Row],[T]]))/$A$4*18%*SQRT(SQRT(Table133[[#This Row],[T]])))</f>
        <v>#DIV/0!</v>
      </c>
      <c r="AK591" t="e">
        <f ca="1">Table133[[#This Row],[Call D1]]-Table133[[#This Row],[IV Calc C]]*SQRT(Table133[[#This Row],[T]])</f>
        <v>#DIV/0!</v>
      </c>
      <c r="AL591" t="e">
        <f ca="1">Table133[[#This Row],[Put D1]]-Table133[[#This Row],[IV Calc P]]*SQRT(Table133[[#This Row],[T]])</f>
        <v>#DIV/0!</v>
      </c>
      <c r="AM591" t="e">
        <f ca="1">EXP(-0.5*Table133[[#This Row],[Call D1]]^2)/SQRT(2*PI())</f>
        <v>#DIV/0!</v>
      </c>
      <c r="AN591" t="e">
        <f ca="1">EXP(-0.5*Table133[[#This Row],[Put D1]]^2)/SQRT(2*PI())</f>
        <v>#DIV/0!</v>
      </c>
      <c r="AO59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1">
        <f ca="1">((Table133[[#This Row],[call vanna]]+Table133[[#This Row],[put vanna]])*$A$4)</f>
        <v>0</v>
      </c>
      <c r="AR59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1" s="9" t="str" cm="1">
        <f t="array" ref="AT591">_xlfn.IFS(     $M$1="SPX","SPXW",     $M$1="RUT","RUTW",  $M$1="NDX","NDXP",   TRUE,$M$1 )</f>
        <v>SPXW</v>
      </c>
      <c r="AU591" s="2">
        <f t="shared" si="57"/>
        <v>6915</v>
      </c>
      <c r="AV591" t="str">
        <f t="shared" si="58"/>
        <v>000100</v>
      </c>
      <c r="AY59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1">
        <f>((Table133[[#This Row],[High C]]+Table133[[#This Row],[Low C]])/2)*Table133[[#This Row],[gammac]]*Table133[[#This Row],[Volume]]</f>
        <v>0</v>
      </c>
      <c r="BD591">
        <f>((Table133[[#This Row],[High P]]+Table133[[#This Row],[Low P]])/2)*Table133[[#This Row],[gammap]]*Table133[[#This Row],[Volume9]]*-1</f>
        <v>0</v>
      </c>
      <c r="BE591">
        <f>(Table133[[#This Row],[SgammaC]]+Table133[[#This Row],[SgammaP]])*$A$4*-100</f>
        <v>0</v>
      </c>
      <c r="BF591" s="78">
        <f>Table133[[#This Row],[DEXc]]+Table133[[#This Row],[DEXp]]</f>
        <v>0</v>
      </c>
      <c r="BG591">
        <f>IFERROR(Table133[[#This Row],[DeltaC]]*Table133[[#This Row],[Open.Int]]*$A$4,0)</f>
        <v>0</v>
      </c>
      <c r="BH591">
        <f>IFERROR(Table133[[#This Row],[DeltaP]]*Table133[[#This Row],[Open.Int8]]*$A$4,0)</f>
        <v>0</v>
      </c>
      <c r="BI59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1">
        <f ca="1">Table133[[#This Row],[charmc]]+Table133[[#This Row],[charmp]]</f>
        <v>0</v>
      </c>
      <c r="BL59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1" s="78">
        <f ca="1">Table133[[#This Row],[call helper]]+Table133[[#This Row],[put helper]]</f>
        <v>0</v>
      </c>
      <c r="BP591" t="str">
        <f>RTD("tos.rtd", , "STRIKE", "."&amp;Table133[[#This Row],[Ticker]]&amp;Table133[[#This Row],[Expiry]]&amp;""&amp;"C"&amp;Table133[[#This Row],[Spot]]+Table133[[#This Row],[step]])</f>
        <v>N/A</v>
      </c>
    </row>
    <row r="592" spans="1:68" x14ac:dyDescent="0.25">
      <c r="A592" s="14">
        <f t="shared" ca="1" si="54"/>
        <v>-126.14810350076104</v>
      </c>
      <c r="C592" s="17"/>
      <c r="D592" t="str">
        <f>RTD("tos.rtd", , "OPEN_INT", "."&amp;Table133[[#This Row],[Ticker]]&amp;Table133[[#This Row],[Expiry]]&amp;""&amp;"C"&amp;Table133[[#This Row],[Spot]]+Table133[[#This Row],[step]])</f>
        <v>N/A</v>
      </c>
      <c r="E59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2" t="b">
        <f>IF(     ISNUMBER(Table133[[#This Row],[Strike]]),RTD("tos.rtd", , "DELTA", "."&amp;Table133[[#This Row],[Ticker]]&amp;Table133[[#This Row],[Expiry]]&amp;""&amp;"C"&amp;Table133[[#This Row],[Strike]]))</f>
        <v>0</v>
      </c>
      <c r="H592" s="17" cm="1">
        <f t="array" aca="1" ref="H592" ca="1">IndividualLegIVCore($A$4, Table133[[#This Row],[Strike]], 0.0411, Table133[[#This Row],[T]], ((Table133[[#This Row],[BIDC]]+Table133[[#This Row],[ASKC]])/2), TRUE)</f>
        <v>0.01</v>
      </c>
      <c r="I592" t="b">
        <f>IF(     ISNUMBER(Table133[[#This Row],[Strike]]),RTD("tos.rtd", , "BID", "."&amp;Table133[[#This Row],[Ticker]]&amp;Table133[[#This Row],[Expiry]]&amp;""&amp;"C"&amp;Table133[[#This Row],[Strike]]))</f>
        <v>0</v>
      </c>
      <c r="J592" t="b">
        <f>IF(     ISNUMBER(Table133[[#This Row],[Strike]]),RTD("tos.rtd", , "ASK", "."&amp;Table133[[#This Row],[Ticker]]&amp;Table133[[#This Row],[Expiry]]&amp;""&amp;"C"&amp;Table133[[#This Row],[Strike]]))</f>
        <v>0</v>
      </c>
      <c r="K592" s="17"/>
      <c r="M592" s="1">
        <f t="shared" si="55"/>
        <v>0</v>
      </c>
      <c r="N592" t="b">
        <f t="shared" si="56"/>
        <v>0</v>
      </c>
      <c r="P592" s="17" cm="1">
        <f t="array" aca="1" ref="P592" ca="1">IndividualLegIVCore($A$4, Table133[[#This Row],[Strike]], 0.0411, Table133[[#This Row],[T]], ((Table133[[#This Row],[BIDP]]+Table133[[#This Row],[ASKP]])/2), FALSE)</f>
        <v>0.01</v>
      </c>
      <c r="Q592" t="b">
        <f>IF(     ISNUMBER(Table133[[#This Row],[Strike]]),RTD("tos.rtd", , "BID", "."&amp;Table133[[#This Row],[Ticker]]&amp;Table133[[#This Row],[Expiry]]&amp;""&amp;"P"&amp;Table133[[#This Row],[Strike]]))</f>
        <v>0</v>
      </c>
      <c r="R592" t="b">
        <f>IF(     ISNUMBER(Table133[[#This Row],[Strike]]),RTD("tos.rtd", , "ASK", "."&amp;Table133[[#This Row],[Ticker]]&amp;Table133[[#This Row],[Expiry]]&amp;""&amp;"P"&amp;Table133[[#This Row],[Strike]]))</f>
        <v>0</v>
      </c>
      <c r="S592" s="17"/>
      <c r="T592" t="b">
        <f>IF(     ISNUMBER(Table133[[#This Row],[Strike]]),RTD("tos.rtd", , "OPEN_INT", "."&amp;Table133[[#This Row],[Ticker]]&amp;Table133[[#This Row],[Expiry]]&amp;""&amp;"P"&amp;Table133[[#This Row],[Strike]]))</f>
        <v>0</v>
      </c>
      <c r="U59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2" t="b">
        <f>IF(     ISNUMBER(Table133[[#This Row],[Strike]]),RTD("tos.rtd", , "DELTA", "."&amp;Table133[[#This Row],[Ticker]]&amp;Table133[[#This Row],[Expiry]]&amp;""&amp;"P"&amp;Table133[[#This Row],[Strike]]))</f>
        <v>0</v>
      </c>
      <c r="Y592" s="19">
        <f>38* IF($M$1="NDX", 10, IF(OR($M$1="SPX", $M$1="RUT"), 2, 1))</f>
        <v>76</v>
      </c>
      <c r="Z592">
        <f ca="1">IFERROR(Table133[[#This Row],[call gamma]]*(Table133[[#This Row],[Open.Int]])*$A$4^2,0)</f>
        <v>0</v>
      </c>
      <c r="AA592">
        <f ca="1">IFERROR(((Table133[[#This Row],[Open.Int8]])*Table133[[#This Row],[Put gamma]])*-1*$A$4^2,0)</f>
        <v>0</v>
      </c>
      <c r="AB592">
        <f ca="1">(Table133[[#This Row],[Call Gex]]+Table133[[#This Row],[Put Gex]])</f>
        <v>0</v>
      </c>
      <c r="AC592">
        <f ca="1">Table133[[#This Row],[put delta adj]]+Table133[[#This Row],[call delta adj]]</f>
        <v>0</v>
      </c>
      <c r="AD592">
        <f ca="1">Table133[[#This Row],[Put Gex]]*Table133[[#This Row],[DeltaP]]*-1</f>
        <v>0</v>
      </c>
      <c r="AE592">
        <f ca="1">Table133[[#This Row],[Call Gex]]*Table133[[#This Row],[DeltaC]]</f>
        <v>0</v>
      </c>
      <c r="AF592">
        <f>IF(Table133[[#This Row],[DeltaC]]-ABS(Table133[[#This Row],[DeltaP]])="0","0.01",Table133[[#This Row],[DeltaC]]-ABS(Table133[[#This Row],[DeltaP]]))</f>
        <v>0</v>
      </c>
      <c r="AG592" t="e">
        <f ca="1">((LN($A$4/Table133[[#This Row],[Strike]]) + (0.411 + 0.5 * Table133[[#This Row],[IV Calc P]]^2) *Table133[[#This Row],[T]])) / (Table133[[#This Row],[IV Calc P]] * SQRT(Table133[[#This Row],[T]]))</f>
        <v>#DIV/0!</v>
      </c>
      <c r="AH592" t="e">
        <f ca="1">(LN($A$4/Table133[[#This Row],[Strike]]) + (0.411-0 + 0.5 * Table133[[#This Row],[IV Calc C]]^2) *Table133[[#This Row],[T]]) / (Table133[[#This Row],[IV Calc C]] * SQRT(Table133[[#This Row],[T]]))</f>
        <v>#DIV/0!</v>
      </c>
      <c r="AI592" t="e">
        <f ca="1">(EXP(-(AG592^2)/2)/SQRT(2*PI())*EXP(0*SQRT(Table133[[#This Row],[T]]))/$A$4*18%*SQRT(SQRT(Table133[[#This Row],[T]])))</f>
        <v>#DIV/0!</v>
      </c>
      <c r="AJ592" t="e">
        <f ca="1">(EXP(-(AH592^2)/2)/SQRT(2*PI())*EXP(0*SQRT(Table133[[#This Row],[T]]))/$A$4*18%*SQRT(SQRT(Table133[[#This Row],[T]])))</f>
        <v>#DIV/0!</v>
      </c>
      <c r="AK592" t="e">
        <f ca="1">Table133[[#This Row],[Call D1]]-Table133[[#This Row],[IV Calc C]]*SQRT(Table133[[#This Row],[T]])</f>
        <v>#DIV/0!</v>
      </c>
      <c r="AL592" t="e">
        <f ca="1">Table133[[#This Row],[Put D1]]-Table133[[#This Row],[IV Calc P]]*SQRT(Table133[[#This Row],[T]])</f>
        <v>#DIV/0!</v>
      </c>
      <c r="AM592" t="e">
        <f ca="1">EXP(-0.5*Table133[[#This Row],[Call D1]]^2)/SQRT(2*PI())</f>
        <v>#DIV/0!</v>
      </c>
      <c r="AN592" t="e">
        <f ca="1">EXP(-0.5*Table133[[#This Row],[Put D1]]^2)/SQRT(2*PI())</f>
        <v>#DIV/0!</v>
      </c>
      <c r="AO59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2">
        <f ca="1">((Table133[[#This Row],[call vanna]]+Table133[[#This Row],[put vanna]])*$A$4)</f>
        <v>0</v>
      </c>
      <c r="AR59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2" s="9" t="str" cm="1">
        <f t="array" ref="AT592">_xlfn.IFS(     $M$1="SPX","SPXW",     $M$1="RUT","RUTW",  $M$1="NDX","NDXP",   TRUE,$M$1 )</f>
        <v>SPXW</v>
      </c>
      <c r="AU592" s="2">
        <f t="shared" si="57"/>
        <v>6915</v>
      </c>
      <c r="AV592" t="str">
        <f t="shared" si="58"/>
        <v>000100</v>
      </c>
      <c r="AY59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2">
        <f>((Table133[[#This Row],[High C]]+Table133[[#This Row],[Low C]])/2)*Table133[[#This Row],[gammac]]*Table133[[#This Row],[Volume]]</f>
        <v>0</v>
      </c>
      <c r="BD592">
        <f>((Table133[[#This Row],[High P]]+Table133[[#This Row],[Low P]])/2)*Table133[[#This Row],[gammap]]*Table133[[#This Row],[Volume9]]*-1</f>
        <v>0</v>
      </c>
      <c r="BE592">
        <f>(Table133[[#This Row],[SgammaC]]+Table133[[#This Row],[SgammaP]])*$A$4*-100</f>
        <v>0</v>
      </c>
      <c r="BF592" s="78">
        <f>Table133[[#This Row],[DEXc]]+Table133[[#This Row],[DEXp]]</f>
        <v>0</v>
      </c>
      <c r="BG592">
        <f>IFERROR(Table133[[#This Row],[DeltaC]]*Table133[[#This Row],[Open.Int]]*$A$4,0)</f>
        <v>0</v>
      </c>
      <c r="BH592">
        <f>IFERROR(Table133[[#This Row],[DeltaP]]*Table133[[#This Row],[Open.Int8]]*$A$4,0)</f>
        <v>0</v>
      </c>
      <c r="BI59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2">
        <f ca="1">Table133[[#This Row],[charmc]]+Table133[[#This Row],[charmp]]</f>
        <v>0</v>
      </c>
      <c r="BL59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2" s="78">
        <f ca="1">Table133[[#This Row],[call helper]]+Table133[[#This Row],[put helper]]</f>
        <v>0</v>
      </c>
      <c r="BP592" t="str">
        <f>RTD("tos.rtd", , "STRIKE", "."&amp;Table133[[#This Row],[Ticker]]&amp;Table133[[#This Row],[Expiry]]&amp;""&amp;"C"&amp;Table133[[#This Row],[Spot]]+Table133[[#This Row],[step]])</f>
        <v>N/A</v>
      </c>
    </row>
    <row r="593" spans="1:68" x14ac:dyDescent="0.25">
      <c r="A593" s="14">
        <f t="shared" ca="1" si="54"/>
        <v>-126.14810350076104</v>
      </c>
      <c r="C593" s="17"/>
      <c r="D593" t="str">
        <f>RTD("tos.rtd", , "OPEN_INT", "."&amp;Table133[[#This Row],[Ticker]]&amp;Table133[[#This Row],[Expiry]]&amp;""&amp;"C"&amp;Table133[[#This Row],[Spot]]+Table133[[#This Row],[step]])</f>
        <v>N/A</v>
      </c>
      <c r="E59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3" t="b">
        <f>IF(     ISNUMBER(Table133[[#This Row],[Strike]]),RTD("tos.rtd", , "DELTA", "."&amp;Table133[[#This Row],[Ticker]]&amp;Table133[[#This Row],[Expiry]]&amp;""&amp;"C"&amp;Table133[[#This Row],[Strike]]))</f>
        <v>0</v>
      </c>
      <c r="H593" s="17" cm="1">
        <f t="array" aca="1" ref="H593" ca="1">IndividualLegIVCore($A$4, Table133[[#This Row],[Strike]], 0.0411, Table133[[#This Row],[T]], ((Table133[[#This Row],[BIDC]]+Table133[[#This Row],[ASKC]])/2), TRUE)</f>
        <v>0.01</v>
      </c>
      <c r="I593" t="b">
        <f>IF(     ISNUMBER(Table133[[#This Row],[Strike]]),RTD("tos.rtd", , "BID", "."&amp;Table133[[#This Row],[Ticker]]&amp;Table133[[#This Row],[Expiry]]&amp;""&amp;"C"&amp;Table133[[#This Row],[Strike]]))</f>
        <v>0</v>
      </c>
      <c r="J593" t="b">
        <f>IF(     ISNUMBER(Table133[[#This Row],[Strike]]),RTD("tos.rtd", , "ASK", "."&amp;Table133[[#This Row],[Ticker]]&amp;Table133[[#This Row],[Expiry]]&amp;""&amp;"C"&amp;Table133[[#This Row],[Strike]]))</f>
        <v>0</v>
      </c>
      <c r="K593" s="17"/>
      <c r="M593" s="1">
        <f t="shared" si="55"/>
        <v>0</v>
      </c>
      <c r="N593" t="b">
        <f t="shared" si="56"/>
        <v>0</v>
      </c>
      <c r="P593" s="17" cm="1">
        <f t="array" aca="1" ref="P593" ca="1">IndividualLegIVCore($A$4, Table133[[#This Row],[Strike]], 0.0411, Table133[[#This Row],[T]], ((Table133[[#This Row],[BIDP]]+Table133[[#This Row],[ASKP]])/2), FALSE)</f>
        <v>0.01</v>
      </c>
      <c r="Q593" t="b">
        <f>IF(     ISNUMBER(Table133[[#This Row],[Strike]]),RTD("tos.rtd", , "BID", "."&amp;Table133[[#This Row],[Ticker]]&amp;Table133[[#This Row],[Expiry]]&amp;""&amp;"P"&amp;Table133[[#This Row],[Strike]]))</f>
        <v>0</v>
      </c>
      <c r="R593" t="b">
        <f>IF(     ISNUMBER(Table133[[#This Row],[Strike]]),RTD("tos.rtd", , "ASK", "."&amp;Table133[[#This Row],[Ticker]]&amp;Table133[[#This Row],[Expiry]]&amp;""&amp;"P"&amp;Table133[[#This Row],[Strike]]))</f>
        <v>0</v>
      </c>
      <c r="S593" s="17"/>
      <c r="T593" t="b">
        <f>IF(     ISNUMBER(Table133[[#This Row],[Strike]]),RTD("tos.rtd", , "OPEN_INT", "."&amp;Table133[[#This Row],[Ticker]]&amp;Table133[[#This Row],[Expiry]]&amp;""&amp;"P"&amp;Table133[[#This Row],[Strike]]))</f>
        <v>0</v>
      </c>
      <c r="U59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3" t="b">
        <f>IF(     ISNUMBER(Table133[[#This Row],[Strike]]),RTD("tos.rtd", , "DELTA", "."&amp;Table133[[#This Row],[Ticker]]&amp;Table133[[#This Row],[Expiry]]&amp;""&amp;"P"&amp;Table133[[#This Row],[Strike]]))</f>
        <v>0</v>
      </c>
      <c r="Y593" s="19">
        <f>38.5* IF($M$1="NDX", 10, IF(OR($M$1="SPX", $M$1="RUT"), 2, 1))</f>
        <v>77</v>
      </c>
      <c r="Z593">
        <f ca="1">IFERROR(Table133[[#This Row],[call gamma]]*(Table133[[#This Row],[Open.Int]])*$A$4^2,0)</f>
        <v>0</v>
      </c>
      <c r="AA593">
        <f ca="1">IFERROR(((Table133[[#This Row],[Open.Int8]])*Table133[[#This Row],[Put gamma]])*-1*$A$4^2,0)</f>
        <v>0</v>
      </c>
      <c r="AB593">
        <f ca="1">(Table133[[#This Row],[Call Gex]]+Table133[[#This Row],[Put Gex]])</f>
        <v>0</v>
      </c>
      <c r="AC593">
        <f ca="1">Table133[[#This Row],[put delta adj]]+Table133[[#This Row],[call delta adj]]</f>
        <v>0</v>
      </c>
      <c r="AD593">
        <f ca="1">Table133[[#This Row],[Put Gex]]*Table133[[#This Row],[DeltaP]]*-1</f>
        <v>0</v>
      </c>
      <c r="AE593">
        <f ca="1">Table133[[#This Row],[Call Gex]]*Table133[[#This Row],[DeltaC]]</f>
        <v>0</v>
      </c>
      <c r="AF593">
        <f>IF(Table133[[#This Row],[DeltaC]]-ABS(Table133[[#This Row],[DeltaP]])="0","0.01",Table133[[#This Row],[DeltaC]]-ABS(Table133[[#This Row],[DeltaP]]))</f>
        <v>0</v>
      </c>
      <c r="AG593" t="e">
        <f ca="1">((LN($A$4/Table133[[#This Row],[Strike]]) + (0.411 + 0.5 * Table133[[#This Row],[IV Calc P]]^2) *Table133[[#This Row],[T]])) / (Table133[[#This Row],[IV Calc P]] * SQRT(Table133[[#This Row],[T]]))</f>
        <v>#DIV/0!</v>
      </c>
      <c r="AH593" t="e">
        <f ca="1">(LN($A$4/Table133[[#This Row],[Strike]]) + (0.411-0 + 0.5 * Table133[[#This Row],[IV Calc C]]^2) *Table133[[#This Row],[T]]) / (Table133[[#This Row],[IV Calc C]] * SQRT(Table133[[#This Row],[T]]))</f>
        <v>#DIV/0!</v>
      </c>
      <c r="AI593" t="e">
        <f ca="1">(EXP(-(AG593^2)/2)/SQRT(2*PI())*EXP(0*SQRT(Table133[[#This Row],[T]]))/$A$4*18%*SQRT(SQRT(Table133[[#This Row],[T]])))</f>
        <v>#DIV/0!</v>
      </c>
      <c r="AJ593" t="e">
        <f ca="1">(EXP(-(AH593^2)/2)/SQRT(2*PI())*EXP(0*SQRT(Table133[[#This Row],[T]]))/$A$4*18%*SQRT(SQRT(Table133[[#This Row],[T]])))</f>
        <v>#DIV/0!</v>
      </c>
      <c r="AK593" t="e">
        <f ca="1">Table133[[#This Row],[Call D1]]-Table133[[#This Row],[IV Calc C]]*SQRT(Table133[[#This Row],[T]])</f>
        <v>#DIV/0!</v>
      </c>
      <c r="AL593" t="e">
        <f ca="1">Table133[[#This Row],[Put D1]]-Table133[[#This Row],[IV Calc P]]*SQRT(Table133[[#This Row],[T]])</f>
        <v>#DIV/0!</v>
      </c>
      <c r="AM593" t="e">
        <f ca="1">EXP(-0.5*Table133[[#This Row],[Call D1]]^2)/SQRT(2*PI())</f>
        <v>#DIV/0!</v>
      </c>
      <c r="AN593" t="e">
        <f ca="1">EXP(-0.5*Table133[[#This Row],[Put D1]]^2)/SQRT(2*PI())</f>
        <v>#DIV/0!</v>
      </c>
      <c r="AO59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3">
        <f ca="1">((Table133[[#This Row],[call vanna]]+Table133[[#This Row],[put vanna]])*$A$4)</f>
        <v>0</v>
      </c>
      <c r="AR59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3" s="9" t="str" cm="1">
        <f t="array" ref="AT593">_xlfn.IFS(     $M$1="SPX","SPXW",     $M$1="RUT","RUTW",  $M$1="NDX","NDXP",   TRUE,$M$1 )</f>
        <v>SPXW</v>
      </c>
      <c r="AU593" s="2">
        <f t="shared" si="57"/>
        <v>6915</v>
      </c>
      <c r="AV593" t="str">
        <f t="shared" si="58"/>
        <v>000100</v>
      </c>
      <c r="AY59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3">
        <f>((Table133[[#This Row],[High C]]+Table133[[#This Row],[Low C]])/2)*Table133[[#This Row],[gammac]]*Table133[[#This Row],[Volume]]</f>
        <v>0</v>
      </c>
      <c r="BD593">
        <f>((Table133[[#This Row],[High P]]+Table133[[#This Row],[Low P]])/2)*Table133[[#This Row],[gammap]]*Table133[[#This Row],[Volume9]]*-1</f>
        <v>0</v>
      </c>
      <c r="BE593">
        <f>(Table133[[#This Row],[SgammaC]]+Table133[[#This Row],[SgammaP]])*$A$4*-100</f>
        <v>0</v>
      </c>
      <c r="BF593" s="78">
        <f>Table133[[#This Row],[DEXc]]+Table133[[#This Row],[DEXp]]</f>
        <v>0</v>
      </c>
      <c r="BG593">
        <f>IFERROR(Table133[[#This Row],[DeltaC]]*Table133[[#This Row],[Open.Int]]*$A$4,0)</f>
        <v>0</v>
      </c>
      <c r="BH593">
        <f>IFERROR(Table133[[#This Row],[DeltaP]]*Table133[[#This Row],[Open.Int8]]*$A$4,0)</f>
        <v>0</v>
      </c>
      <c r="BI59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3">
        <f ca="1">Table133[[#This Row],[charmc]]+Table133[[#This Row],[charmp]]</f>
        <v>0</v>
      </c>
      <c r="BL59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3" s="78">
        <f ca="1">Table133[[#This Row],[call helper]]+Table133[[#This Row],[put helper]]</f>
        <v>0</v>
      </c>
      <c r="BP593" t="str">
        <f>RTD("tos.rtd", , "STRIKE", "."&amp;Table133[[#This Row],[Ticker]]&amp;Table133[[#This Row],[Expiry]]&amp;""&amp;"C"&amp;Table133[[#This Row],[Spot]]+Table133[[#This Row],[step]])</f>
        <v>N/A</v>
      </c>
    </row>
    <row r="594" spans="1:68" x14ac:dyDescent="0.25">
      <c r="A594" s="14">
        <f t="shared" ca="1" si="54"/>
        <v>-126.14810350076104</v>
      </c>
      <c r="C594" s="17"/>
      <c r="D594" t="str">
        <f>RTD("tos.rtd", , "OPEN_INT", "."&amp;Table133[[#This Row],[Ticker]]&amp;Table133[[#This Row],[Expiry]]&amp;""&amp;"C"&amp;Table133[[#This Row],[Spot]]+Table133[[#This Row],[step]])</f>
        <v>N/A</v>
      </c>
      <c r="E59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4" t="b">
        <f>IF(     ISNUMBER(Table133[[#This Row],[Strike]]),RTD("tos.rtd", , "DELTA", "."&amp;Table133[[#This Row],[Ticker]]&amp;Table133[[#This Row],[Expiry]]&amp;""&amp;"C"&amp;Table133[[#This Row],[Strike]]))</f>
        <v>0</v>
      </c>
      <c r="H594" s="17" cm="1">
        <f t="array" aca="1" ref="H594" ca="1">IndividualLegIVCore($A$4, Table133[[#This Row],[Strike]], 0.0411, Table133[[#This Row],[T]], ((Table133[[#This Row],[BIDC]]+Table133[[#This Row],[ASKC]])/2), TRUE)</f>
        <v>0.01</v>
      </c>
      <c r="I594" t="b">
        <f>IF(     ISNUMBER(Table133[[#This Row],[Strike]]),RTD("tos.rtd", , "BID", "."&amp;Table133[[#This Row],[Ticker]]&amp;Table133[[#This Row],[Expiry]]&amp;""&amp;"C"&amp;Table133[[#This Row],[Strike]]))</f>
        <v>0</v>
      </c>
      <c r="J594" t="b">
        <f>IF(     ISNUMBER(Table133[[#This Row],[Strike]]),RTD("tos.rtd", , "ASK", "."&amp;Table133[[#This Row],[Ticker]]&amp;Table133[[#This Row],[Expiry]]&amp;""&amp;"C"&amp;Table133[[#This Row],[Strike]]))</f>
        <v>0</v>
      </c>
      <c r="K594" s="17"/>
      <c r="M594" s="1">
        <f t="shared" si="55"/>
        <v>0</v>
      </c>
      <c r="N594" t="b">
        <f t="shared" si="56"/>
        <v>0</v>
      </c>
      <c r="P594" s="17" cm="1">
        <f t="array" aca="1" ref="P594" ca="1">IndividualLegIVCore($A$4, Table133[[#This Row],[Strike]], 0.0411, Table133[[#This Row],[T]], ((Table133[[#This Row],[BIDP]]+Table133[[#This Row],[ASKP]])/2), FALSE)</f>
        <v>0.01</v>
      </c>
      <c r="Q594" t="b">
        <f>IF(     ISNUMBER(Table133[[#This Row],[Strike]]),RTD("tos.rtd", , "BID", "."&amp;Table133[[#This Row],[Ticker]]&amp;Table133[[#This Row],[Expiry]]&amp;""&amp;"P"&amp;Table133[[#This Row],[Strike]]))</f>
        <v>0</v>
      </c>
      <c r="R594" t="b">
        <f>IF(     ISNUMBER(Table133[[#This Row],[Strike]]),RTD("tos.rtd", , "ASK", "."&amp;Table133[[#This Row],[Ticker]]&amp;Table133[[#This Row],[Expiry]]&amp;""&amp;"P"&amp;Table133[[#This Row],[Strike]]))</f>
        <v>0</v>
      </c>
      <c r="S594" s="17"/>
      <c r="T594" t="b">
        <f>IF(     ISNUMBER(Table133[[#This Row],[Strike]]),RTD("tos.rtd", , "OPEN_INT", "."&amp;Table133[[#This Row],[Ticker]]&amp;Table133[[#This Row],[Expiry]]&amp;""&amp;"P"&amp;Table133[[#This Row],[Strike]]))</f>
        <v>0</v>
      </c>
      <c r="U59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4" t="b">
        <f>IF(     ISNUMBER(Table133[[#This Row],[Strike]]),RTD("tos.rtd", , "DELTA", "."&amp;Table133[[#This Row],[Ticker]]&amp;Table133[[#This Row],[Expiry]]&amp;""&amp;"P"&amp;Table133[[#This Row],[Strike]]))</f>
        <v>0</v>
      </c>
      <c r="Y594" s="19">
        <f>39* IF($M$1="NDX", 10, IF(OR($M$1="SPX", $M$1="RUT"), 2, 1))</f>
        <v>78</v>
      </c>
      <c r="Z594">
        <f ca="1">IFERROR(Table133[[#This Row],[call gamma]]*(Table133[[#This Row],[Open.Int]])*$A$4^2,0)</f>
        <v>0</v>
      </c>
      <c r="AA594">
        <f ca="1">IFERROR(((Table133[[#This Row],[Open.Int8]])*Table133[[#This Row],[Put gamma]])*-1*$A$4^2,0)</f>
        <v>0</v>
      </c>
      <c r="AB594">
        <f ca="1">(Table133[[#This Row],[Call Gex]]+Table133[[#This Row],[Put Gex]])</f>
        <v>0</v>
      </c>
      <c r="AC594">
        <f ca="1">Table133[[#This Row],[put delta adj]]+Table133[[#This Row],[call delta adj]]</f>
        <v>0</v>
      </c>
      <c r="AD594">
        <f ca="1">Table133[[#This Row],[Put Gex]]*Table133[[#This Row],[DeltaP]]*-1</f>
        <v>0</v>
      </c>
      <c r="AE594">
        <f ca="1">Table133[[#This Row],[Call Gex]]*Table133[[#This Row],[DeltaC]]</f>
        <v>0</v>
      </c>
      <c r="AF594">
        <f>IF(Table133[[#This Row],[DeltaC]]-ABS(Table133[[#This Row],[DeltaP]])="0","0.01",Table133[[#This Row],[DeltaC]]-ABS(Table133[[#This Row],[DeltaP]]))</f>
        <v>0</v>
      </c>
      <c r="AG594" t="e">
        <f ca="1">((LN($A$4/Table133[[#This Row],[Strike]]) + (0.411 + 0.5 * Table133[[#This Row],[IV Calc P]]^2) *Table133[[#This Row],[T]])) / (Table133[[#This Row],[IV Calc P]] * SQRT(Table133[[#This Row],[T]]))</f>
        <v>#DIV/0!</v>
      </c>
      <c r="AH594" t="e">
        <f ca="1">(LN($A$4/Table133[[#This Row],[Strike]]) + (0.411-0 + 0.5 * Table133[[#This Row],[IV Calc C]]^2) *Table133[[#This Row],[T]]) / (Table133[[#This Row],[IV Calc C]] * SQRT(Table133[[#This Row],[T]]))</f>
        <v>#DIV/0!</v>
      </c>
      <c r="AI594" t="e">
        <f ca="1">(EXP(-(AG594^2)/2)/SQRT(2*PI())*EXP(0*SQRT(Table133[[#This Row],[T]]))/$A$4*18%*SQRT(SQRT(Table133[[#This Row],[T]])))</f>
        <v>#DIV/0!</v>
      </c>
      <c r="AJ594" t="e">
        <f ca="1">(EXP(-(AH594^2)/2)/SQRT(2*PI())*EXP(0*SQRT(Table133[[#This Row],[T]]))/$A$4*18%*SQRT(SQRT(Table133[[#This Row],[T]])))</f>
        <v>#DIV/0!</v>
      </c>
      <c r="AK594" t="e">
        <f ca="1">Table133[[#This Row],[Call D1]]-Table133[[#This Row],[IV Calc C]]*SQRT(Table133[[#This Row],[T]])</f>
        <v>#DIV/0!</v>
      </c>
      <c r="AL594" t="e">
        <f ca="1">Table133[[#This Row],[Put D1]]-Table133[[#This Row],[IV Calc P]]*SQRT(Table133[[#This Row],[T]])</f>
        <v>#DIV/0!</v>
      </c>
      <c r="AM594" t="e">
        <f ca="1">EXP(-0.5*Table133[[#This Row],[Call D1]]^2)/SQRT(2*PI())</f>
        <v>#DIV/0!</v>
      </c>
      <c r="AN594" t="e">
        <f ca="1">EXP(-0.5*Table133[[#This Row],[Put D1]]^2)/SQRT(2*PI())</f>
        <v>#DIV/0!</v>
      </c>
      <c r="AO59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4">
        <f ca="1">((Table133[[#This Row],[call vanna]]+Table133[[#This Row],[put vanna]])*$A$4)</f>
        <v>0</v>
      </c>
      <c r="AR59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4" s="9" t="str" cm="1">
        <f t="array" ref="AT594">_xlfn.IFS(     $M$1="SPX","SPXW",     $M$1="RUT","RUTW",  $M$1="NDX","NDXP",   TRUE,$M$1 )</f>
        <v>SPXW</v>
      </c>
      <c r="AU594" s="2">
        <f t="shared" si="57"/>
        <v>6915</v>
      </c>
      <c r="AV594" t="str">
        <f t="shared" si="58"/>
        <v>000100</v>
      </c>
      <c r="AY59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4">
        <f>((Table133[[#This Row],[High C]]+Table133[[#This Row],[Low C]])/2)*Table133[[#This Row],[gammac]]*Table133[[#This Row],[Volume]]</f>
        <v>0</v>
      </c>
      <c r="BD594">
        <f>((Table133[[#This Row],[High P]]+Table133[[#This Row],[Low P]])/2)*Table133[[#This Row],[gammap]]*Table133[[#This Row],[Volume9]]*-1</f>
        <v>0</v>
      </c>
      <c r="BE594">
        <f>(Table133[[#This Row],[SgammaC]]+Table133[[#This Row],[SgammaP]])*$A$4*-100</f>
        <v>0</v>
      </c>
      <c r="BF594" s="78">
        <f>Table133[[#This Row],[DEXc]]+Table133[[#This Row],[DEXp]]</f>
        <v>0</v>
      </c>
      <c r="BG594">
        <f>IFERROR(Table133[[#This Row],[DeltaC]]*Table133[[#This Row],[Open.Int]]*$A$4,0)</f>
        <v>0</v>
      </c>
      <c r="BH594">
        <f>IFERROR(Table133[[#This Row],[DeltaP]]*Table133[[#This Row],[Open.Int8]]*$A$4,0)</f>
        <v>0</v>
      </c>
      <c r="BI59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4">
        <f ca="1">Table133[[#This Row],[charmc]]+Table133[[#This Row],[charmp]]</f>
        <v>0</v>
      </c>
      <c r="BL59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4" s="78">
        <f ca="1">Table133[[#This Row],[call helper]]+Table133[[#This Row],[put helper]]</f>
        <v>0</v>
      </c>
      <c r="BP594" t="str">
        <f>RTD("tos.rtd", , "STRIKE", "."&amp;Table133[[#This Row],[Ticker]]&amp;Table133[[#This Row],[Expiry]]&amp;""&amp;"C"&amp;Table133[[#This Row],[Spot]]+Table133[[#This Row],[step]])</f>
        <v>N/A</v>
      </c>
    </row>
    <row r="595" spans="1:68" x14ac:dyDescent="0.25">
      <c r="A595" s="14">
        <f t="shared" ca="1" si="54"/>
        <v>-126.14810350076104</v>
      </c>
      <c r="C595" s="17"/>
      <c r="D595" t="str">
        <f>RTD("tos.rtd", , "OPEN_INT", "."&amp;Table133[[#This Row],[Ticker]]&amp;Table133[[#This Row],[Expiry]]&amp;""&amp;"C"&amp;Table133[[#This Row],[Spot]]+Table133[[#This Row],[step]])</f>
        <v>N/A</v>
      </c>
      <c r="E59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5" t="b">
        <f>IF(     ISNUMBER(Table133[[#This Row],[Strike]]),RTD("tos.rtd", , "DELTA", "."&amp;Table133[[#This Row],[Ticker]]&amp;Table133[[#This Row],[Expiry]]&amp;""&amp;"C"&amp;Table133[[#This Row],[Strike]]))</f>
        <v>0</v>
      </c>
      <c r="H595" s="17" cm="1">
        <f t="array" aca="1" ref="H595" ca="1">IndividualLegIVCore($A$4, Table133[[#This Row],[Strike]], 0.0411, Table133[[#This Row],[T]], ((Table133[[#This Row],[BIDC]]+Table133[[#This Row],[ASKC]])/2), TRUE)</f>
        <v>0.01</v>
      </c>
      <c r="I595" t="b">
        <f>IF(     ISNUMBER(Table133[[#This Row],[Strike]]),RTD("tos.rtd", , "BID", "."&amp;Table133[[#This Row],[Ticker]]&amp;Table133[[#This Row],[Expiry]]&amp;""&amp;"C"&amp;Table133[[#This Row],[Strike]]))</f>
        <v>0</v>
      </c>
      <c r="J595" t="b">
        <f>IF(     ISNUMBER(Table133[[#This Row],[Strike]]),RTD("tos.rtd", , "ASK", "."&amp;Table133[[#This Row],[Ticker]]&amp;Table133[[#This Row],[Expiry]]&amp;""&amp;"C"&amp;Table133[[#This Row],[Strike]]))</f>
        <v>0</v>
      </c>
      <c r="K595" s="17"/>
      <c r="M595" s="1">
        <f t="shared" si="55"/>
        <v>0</v>
      </c>
      <c r="N595" t="b">
        <f t="shared" si="56"/>
        <v>0</v>
      </c>
      <c r="P595" s="17" cm="1">
        <f t="array" aca="1" ref="P595" ca="1">IndividualLegIVCore($A$4, Table133[[#This Row],[Strike]], 0.0411, Table133[[#This Row],[T]], ((Table133[[#This Row],[BIDP]]+Table133[[#This Row],[ASKP]])/2), FALSE)</f>
        <v>0.01</v>
      </c>
      <c r="Q595" t="b">
        <f>IF(     ISNUMBER(Table133[[#This Row],[Strike]]),RTD("tos.rtd", , "BID", "."&amp;Table133[[#This Row],[Ticker]]&amp;Table133[[#This Row],[Expiry]]&amp;""&amp;"P"&amp;Table133[[#This Row],[Strike]]))</f>
        <v>0</v>
      </c>
      <c r="R595" t="b">
        <f>IF(     ISNUMBER(Table133[[#This Row],[Strike]]),RTD("tos.rtd", , "ASK", "."&amp;Table133[[#This Row],[Ticker]]&amp;Table133[[#This Row],[Expiry]]&amp;""&amp;"P"&amp;Table133[[#This Row],[Strike]]))</f>
        <v>0</v>
      </c>
      <c r="S595" s="17"/>
      <c r="T595" t="b">
        <f>IF(     ISNUMBER(Table133[[#This Row],[Strike]]),RTD("tos.rtd", , "OPEN_INT", "."&amp;Table133[[#This Row],[Ticker]]&amp;Table133[[#This Row],[Expiry]]&amp;""&amp;"P"&amp;Table133[[#This Row],[Strike]]))</f>
        <v>0</v>
      </c>
      <c r="U59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5" t="b">
        <f>IF(     ISNUMBER(Table133[[#This Row],[Strike]]),RTD("tos.rtd", , "DELTA", "."&amp;Table133[[#This Row],[Ticker]]&amp;Table133[[#This Row],[Expiry]]&amp;""&amp;"P"&amp;Table133[[#This Row],[Strike]]))</f>
        <v>0</v>
      </c>
      <c r="Y595" s="19">
        <f>39.5* IF($M$1="NDX", 10, IF(OR($M$1="SPX", $M$1="RUT"), 2, 1))</f>
        <v>79</v>
      </c>
      <c r="Z595">
        <f ca="1">IFERROR(Table133[[#This Row],[call gamma]]*(Table133[[#This Row],[Open.Int]])*$A$4^2,0)</f>
        <v>0</v>
      </c>
      <c r="AA595">
        <f ca="1">IFERROR(((Table133[[#This Row],[Open.Int8]])*Table133[[#This Row],[Put gamma]])*-1*$A$4^2,0)</f>
        <v>0</v>
      </c>
      <c r="AB595">
        <f ca="1">(Table133[[#This Row],[Call Gex]]+Table133[[#This Row],[Put Gex]])</f>
        <v>0</v>
      </c>
      <c r="AC595">
        <f ca="1">Table133[[#This Row],[put delta adj]]+Table133[[#This Row],[call delta adj]]</f>
        <v>0</v>
      </c>
      <c r="AD595">
        <f ca="1">Table133[[#This Row],[Put Gex]]*Table133[[#This Row],[DeltaP]]*-1</f>
        <v>0</v>
      </c>
      <c r="AE595">
        <f ca="1">Table133[[#This Row],[Call Gex]]*Table133[[#This Row],[DeltaC]]</f>
        <v>0</v>
      </c>
      <c r="AF595">
        <f>IF(Table133[[#This Row],[DeltaC]]-ABS(Table133[[#This Row],[DeltaP]])="0","0.01",Table133[[#This Row],[DeltaC]]-ABS(Table133[[#This Row],[DeltaP]]))</f>
        <v>0</v>
      </c>
      <c r="AG595" t="e">
        <f ca="1">((LN($A$4/Table133[[#This Row],[Strike]]) + (0.411 + 0.5 * Table133[[#This Row],[IV Calc P]]^2) *Table133[[#This Row],[T]])) / (Table133[[#This Row],[IV Calc P]] * SQRT(Table133[[#This Row],[T]]))</f>
        <v>#DIV/0!</v>
      </c>
      <c r="AH595" t="e">
        <f ca="1">(LN($A$4/Table133[[#This Row],[Strike]]) + (0.411-0 + 0.5 * Table133[[#This Row],[IV Calc C]]^2) *Table133[[#This Row],[T]]) / (Table133[[#This Row],[IV Calc C]] * SQRT(Table133[[#This Row],[T]]))</f>
        <v>#DIV/0!</v>
      </c>
      <c r="AI595" t="e">
        <f ca="1">(EXP(-(AG595^2)/2)/SQRT(2*PI())*EXP(0*SQRT(Table133[[#This Row],[T]]))/$A$4*18%*SQRT(SQRT(Table133[[#This Row],[T]])))</f>
        <v>#DIV/0!</v>
      </c>
      <c r="AJ595" t="e">
        <f ca="1">(EXP(-(AH595^2)/2)/SQRT(2*PI())*EXP(0*SQRT(Table133[[#This Row],[T]]))/$A$4*18%*SQRT(SQRT(Table133[[#This Row],[T]])))</f>
        <v>#DIV/0!</v>
      </c>
      <c r="AK595" t="e">
        <f ca="1">Table133[[#This Row],[Call D1]]-Table133[[#This Row],[IV Calc C]]*SQRT(Table133[[#This Row],[T]])</f>
        <v>#DIV/0!</v>
      </c>
      <c r="AL595" t="e">
        <f ca="1">Table133[[#This Row],[Put D1]]-Table133[[#This Row],[IV Calc P]]*SQRT(Table133[[#This Row],[T]])</f>
        <v>#DIV/0!</v>
      </c>
      <c r="AM595" t="e">
        <f ca="1">EXP(-0.5*Table133[[#This Row],[Call D1]]^2)/SQRT(2*PI())</f>
        <v>#DIV/0!</v>
      </c>
      <c r="AN595" t="e">
        <f ca="1">EXP(-0.5*Table133[[#This Row],[Put D1]]^2)/SQRT(2*PI())</f>
        <v>#DIV/0!</v>
      </c>
      <c r="AO59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5">
        <f ca="1">((Table133[[#This Row],[call vanna]]+Table133[[#This Row],[put vanna]])*$A$4)</f>
        <v>0</v>
      </c>
      <c r="AR59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5" s="9" t="str" cm="1">
        <f t="array" ref="AT595">_xlfn.IFS(     $M$1="SPX","SPXW",     $M$1="RUT","RUTW",  $M$1="NDX","NDXP",   TRUE,$M$1 )</f>
        <v>SPXW</v>
      </c>
      <c r="AU595" s="2">
        <f t="shared" si="57"/>
        <v>6915</v>
      </c>
      <c r="AV595" t="str">
        <f t="shared" si="58"/>
        <v>000100</v>
      </c>
      <c r="AY59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5">
        <f>((Table133[[#This Row],[High C]]+Table133[[#This Row],[Low C]])/2)*Table133[[#This Row],[gammac]]*Table133[[#This Row],[Volume]]</f>
        <v>0</v>
      </c>
      <c r="BD595">
        <f>((Table133[[#This Row],[High P]]+Table133[[#This Row],[Low P]])/2)*Table133[[#This Row],[gammap]]*Table133[[#This Row],[Volume9]]*-1</f>
        <v>0</v>
      </c>
      <c r="BE595">
        <f>(Table133[[#This Row],[SgammaC]]+Table133[[#This Row],[SgammaP]])*$A$4*-100</f>
        <v>0</v>
      </c>
      <c r="BF595" s="78">
        <f>Table133[[#This Row],[DEXc]]+Table133[[#This Row],[DEXp]]</f>
        <v>0</v>
      </c>
      <c r="BG595">
        <f>IFERROR(Table133[[#This Row],[DeltaC]]*Table133[[#This Row],[Open.Int]]*$A$4,0)</f>
        <v>0</v>
      </c>
      <c r="BH595">
        <f>IFERROR(Table133[[#This Row],[DeltaP]]*Table133[[#This Row],[Open.Int8]]*$A$4,0)</f>
        <v>0</v>
      </c>
      <c r="BI59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5">
        <f ca="1">Table133[[#This Row],[charmc]]+Table133[[#This Row],[charmp]]</f>
        <v>0</v>
      </c>
      <c r="BL59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5" s="78">
        <f ca="1">Table133[[#This Row],[call helper]]+Table133[[#This Row],[put helper]]</f>
        <v>0</v>
      </c>
      <c r="BP595" t="str">
        <f>RTD("tos.rtd", , "STRIKE", "."&amp;Table133[[#This Row],[Ticker]]&amp;Table133[[#This Row],[Expiry]]&amp;""&amp;"C"&amp;Table133[[#This Row],[Spot]]+Table133[[#This Row],[step]])</f>
        <v>N/A</v>
      </c>
    </row>
    <row r="596" spans="1:68" x14ac:dyDescent="0.25">
      <c r="A596" s="14">
        <f t="shared" ca="1" si="54"/>
        <v>-126.14810350076104</v>
      </c>
      <c r="C596" s="17"/>
      <c r="D596" t="str">
        <f>RTD("tos.rtd", , "OPEN_INT", "."&amp;Table133[[#This Row],[Ticker]]&amp;Table133[[#This Row],[Expiry]]&amp;""&amp;"C"&amp;Table133[[#This Row],[Spot]]+Table133[[#This Row],[step]])</f>
        <v>N/A</v>
      </c>
      <c r="E59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6" t="b">
        <f>IF(     ISNUMBER(Table133[[#This Row],[Strike]]),RTD("tos.rtd", , "DELTA", "."&amp;Table133[[#This Row],[Ticker]]&amp;Table133[[#This Row],[Expiry]]&amp;""&amp;"C"&amp;Table133[[#This Row],[Strike]]))</f>
        <v>0</v>
      </c>
      <c r="H596" s="17" cm="1">
        <f t="array" aca="1" ref="H596" ca="1">IndividualLegIVCore($A$4, Table133[[#This Row],[Strike]], 0.0411, Table133[[#This Row],[T]], ((Table133[[#This Row],[BIDC]]+Table133[[#This Row],[ASKC]])/2), TRUE)</f>
        <v>0.01</v>
      </c>
      <c r="I596" t="b">
        <f>IF(     ISNUMBER(Table133[[#This Row],[Strike]]),RTD("tos.rtd", , "BID", "."&amp;Table133[[#This Row],[Ticker]]&amp;Table133[[#This Row],[Expiry]]&amp;""&amp;"C"&amp;Table133[[#This Row],[Strike]]))</f>
        <v>0</v>
      </c>
      <c r="J596" t="b">
        <f>IF(     ISNUMBER(Table133[[#This Row],[Strike]]),RTD("tos.rtd", , "ASK", "."&amp;Table133[[#This Row],[Ticker]]&amp;Table133[[#This Row],[Expiry]]&amp;""&amp;"C"&amp;Table133[[#This Row],[Strike]]))</f>
        <v>0</v>
      </c>
      <c r="K596" s="17"/>
      <c r="M596" s="1">
        <f t="shared" si="55"/>
        <v>0</v>
      </c>
      <c r="N596" t="b">
        <f t="shared" si="56"/>
        <v>0</v>
      </c>
      <c r="P596" s="17" cm="1">
        <f t="array" aca="1" ref="P596" ca="1">IndividualLegIVCore($A$4, Table133[[#This Row],[Strike]], 0.0411, Table133[[#This Row],[T]], ((Table133[[#This Row],[BIDP]]+Table133[[#This Row],[ASKP]])/2), FALSE)</f>
        <v>0.01</v>
      </c>
      <c r="Q596" t="b">
        <f>IF(     ISNUMBER(Table133[[#This Row],[Strike]]),RTD("tos.rtd", , "BID", "."&amp;Table133[[#This Row],[Ticker]]&amp;Table133[[#This Row],[Expiry]]&amp;""&amp;"P"&amp;Table133[[#This Row],[Strike]]))</f>
        <v>0</v>
      </c>
      <c r="R596" t="b">
        <f>IF(     ISNUMBER(Table133[[#This Row],[Strike]]),RTD("tos.rtd", , "ASK", "."&amp;Table133[[#This Row],[Ticker]]&amp;Table133[[#This Row],[Expiry]]&amp;""&amp;"P"&amp;Table133[[#This Row],[Strike]]))</f>
        <v>0</v>
      </c>
      <c r="S596" s="17"/>
      <c r="T596" t="b">
        <f>IF(     ISNUMBER(Table133[[#This Row],[Strike]]),RTD("tos.rtd", , "OPEN_INT", "."&amp;Table133[[#This Row],[Ticker]]&amp;Table133[[#This Row],[Expiry]]&amp;""&amp;"P"&amp;Table133[[#This Row],[Strike]]))</f>
        <v>0</v>
      </c>
      <c r="U59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6" t="b">
        <f>IF(     ISNUMBER(Table133[[#This Row],[Strike]]),RTD("tos.rtd", , "DELTA", "."&amp;Table133[[#This Row],[Ticker]]&amp;Table133[[#This Row],[Expiry]]&amp;""&amp;"P"&amp;Table133[[#This Row],[Strike]]))</f>
        <v>0</v>
      </c>
      <c r="Y596" s="19">
        <f>40* IF($M$1="NDX", 10, IF(OR($M$1="SPX", $M$1="RUT"), 2, 1))</f>
        <v>80</v>
      </c>
      <c r="Z596">
        <f ca="1">IFERROR(Table133[[#This Row],[call gamma]]*(Table133[[#This Row],[Open.Int]])*$A$4^2,0)</f>
        <v>0</v>
      </c>
      <c r="AA596">
        <f ca="1">IFERROR(((Table133[[#This Row],[Open.Int8]])*Table133[[#This Row],[Put gamma]])*-1*$A$4^2,0)</f>
        <v>0</v>
      </c>
      <c r="AB596">
        <f ca="1">(Table133[[#This Row],[Call Gex]]+Table133[[#This Row],[Put Gex]])</f>
        <v>0</v>
      </c>
      <c r="AC596">
        <f ca="1">Table133[[#This Row],[put delta adj]]+Table133[[#This Row],[call delta adj]]</f>
        <v>0</v>
      </c>
      <c r="AD596">
        <f ca="1">Table133[[#This Row],[Put Gex]]*Table133[[#This Row],[DeltaP]]*-1</f>
        <v>0</v>
      </c>
      <c r="AE596">
        <f ca="1">Table133[[#This Row],[Call Gex]]*Table133[[#This Row],[DeltaC]]</f>
        <v>0</v>
      </c>
      <c r="AF596">
        <f>IF(Table133[[#This Row],[DeltaC]]-ABS(Table133[[#This Row],[DeltaP]])="0","0.01",Table133[[#This Row],[DeltaC]]-ABS(Table133[[#This Row],[DeltaP]]))</f>
        <v>0</v>
      </c>
      <c r="AG596" t="e">
        <f ca="1">((LN($A$4/Table133[[#This Row],[Strike]]) + (0.411 + 0.5 * Table133[[#This Row],[IV Calc P]]^2) *Table133[[#This Row],[T]])) / (Table133[[#This Row],[IV Calc P]] * SQRT(Table133[[#This Row],[T]]))</f>
        <v>#DIV/0!</v>
      </c>
      <c r="AH596" t="e">
        <f ca="1">(LN($A$4/Table133[[#This Row],[Strike]]) + (0.411-0 + 0.5 * Table133[[#This Row],[IV Calc C]]^2) *Table133[[#This Row],[T]]) / (Table133[[#This Row],[IV Calc C]] * SQRT(Table133[[#This Row],[T]]))</f>
        <v>#DIV/0!</v>
      </c>
      <c r="AI596" t="e">
        <f ca="1">(EXP(-(AG596^2)/2)/SQRT(2*PI())*EXP(0*SQRT(Table133[[#This Row],[T]]))/$A$4*18%*SQRT(SQRT(Table133[[#This Row],[T]])))</f>
        <v>#DIV/0!</v>
      </c>
      <c r="AJ596" t="e">
        <f ca="1">(EXP(-(AH596^2)/2)/SQRT(2*PI())*EXP(0*SQRT(Table133[[#This Row],[T]]))/$A$4*18%*SQRT(SQRT(Table133[[#This Row],[T]])))</f>
        <v>#DIV/0!</v>
      </c>
      <c r="AK596" t="e">
        <f ca="1">Table133[[#This Row],[Call D1]]-Table133[[#This Row],[IV Calc C]]*SQRT(Table133[[#This Row],[T]])</f>
        <v>#DIV/0!</v>
      </c>
      <c r="AL596" t="e">
        <f ca="1">Table133[[#This Row],[Put D1]]-Table133[[#This Row],[IV Calc P]]*SQRT(Table133[[#This Row],[T]])</f>
        <v>#DIV/0!</v>
      </c>
      <c r="AM596" t="e">
        <f ca="1">EXP(-0.5*Table133[[#This Row],[Call D1]]^2)/SQRT(2*PI())</f>
        <v>#DIV/0!</v>
      </c>
      <c r="AN596" t="e">
        <f ca="1">EXP(-0.5*Table133[[#This Row],[Put D1]]^2)/SQRT(2*PI())</f>
        <v>#DIV/0!</v>
      </c>
      <c r="AO59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6">
        <f ca="1">((Table133[[#This Row],[call vanna]]+Table133[[#This Row],[put vanna]])*$A$4)</f>
        <v>0</v>
      </c>
      <c r="AR59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6" s="9" t="str" cm="1">
        <f t="array" ref="AT596">_xlfn.IFS(     $M$1="SPX","SPXW",     $M$1="RUT","RUTW",  $M$1="NDX","NDXP",   TRUE,$M$1 )</f>
        <v>SPXW</v>
      </c>
      <c r="AU596" s="2">
        <f t="shared" si="57"/>
        <v>6915</v>
      </c>
      <c r="AV596" t="str">
        <f t="shared" si="58"/>
        <v>000100</v>
      </c>
      <c r="AY59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6">
        <f>((Table133[[#This Row],[High C]]+Table133[[#This Row],[Low C]])/2)*Table133[[#This Row],[gammac]]*Table133[[#This Row],[Volume]]</f>
        <v>0</v>
      </c>
      <c r="BD596">
        <f>((Table133[[#This Row],[High P]]+Table133[[#This Row],[Low P]])/2)*Table133[[#This Row],[gammap]]*Table133[[#This Row],[Volume9]]*-1</f>
        <v>0</v>
      </c>
      <c r="BE596">
        <f>(Table133[[#This Row],[SgammaC]]+Table133[[#This Row],[SgammaP]])*$A$4*-100</f>
        <v>0</v>
      </c>
      <c r="BF596" s="78">
        <f>Table133[[#This Row],[DEXc]]+Table133[[#This Row],[DEXp]]</f>
        <v>0</v>
      </c>
      <c r="BG596">
        <f>IFERROR(Table133[[#This Row],[DeltaC]]*Table133[[#This Row],[Open.Int]]*$A$4,0)</f>
        <v>0</v>
      </c>
      <c r="BH596">
        <f>IFERROR(Table133[[#This Row],[DeltaP]]*Table133[[#This Row],[Open.Int8]]*$A$4,0)</f>
        <v>0</v>
      </c>
      <c r="BI59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6">
        <f ca="1">Table133[[#This Row],[charmc]]+Table133[[#This Row],[charmp]]</f>
        <v>0</v>
      </c>
      <c r="BL59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6" s="78">
        <f ca="1">Table133[[#This Row],[call helper]]+Table133[[#This Row],[put helper]]</f>
        <v>0</v>
      </c>
      <c r="BP596" t="str">
        <f>RTD("tos.rtd", , "STRIKE", "."&amp;Table133[[#This Row],[Ticker]]&amp;Table133[[#This Row],[Expiry]]&amp;""&amp;"C"&amp;Table133[[#This Row],[Spot]]+Table133[[#This Row],[step]])</f>
        <v>N/A</v>
      </c>
    </row>
    <row r="597" spans="1:68" x14ac:dyDescent="0.25">
      <c r="A597" s="14">
        <f t="shared" ca="1" si="54"/>
        <v>-126.14810350076104</v>
      </c>
      <c r="C597" s="17"/>
      <c r="D597" t="str">
        <f>RTD("tos.rtd", , "OPEN_INT", "."&amp;Table133[[#This Row],[Ticker]]&amp;Table133[[#This Row],[Expiry]]&amp;""&amp;"C"&amp;Table133[[#This Row],[Spot]]+Table133[[#This Row],[step]])</f>
        <v>N/A</v>
      </c>
      <c r="E59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7" t="b">
        <f>IF(     ISNUMBER(Table133[[#This Row],[Strike]]),RTD("tos.rtd", , "DELTA", "."&amp;Table133[[#This Row],[Ticker]]&amp;Table133[[#This Row],[Expiry]]&amp;""&amp;"C"&amp;Table133[[#This Row],[Strike]]))</f>
        <v>0</v>
      </c>
      <c r="H597" s="17" cm="1">
        <f t="array" aca="1" ref="H597" ca="1">IndividualLegIVCore($A$4, Table133[[#This Row],[Strike]], 0.0411, Table133[[#This Row],[T]], ((Table133[[#This Row],[BIDC]]+Table133[[#This Row],[ASKC]])/2), TRUE)</f>
        <v>0.01</v>
      </c>
      <c r="I597" t="b">
        <f>IF(     ISNUMBER(Table133[[#This Row],[Strike]]),RTD("tos.rtd", , "BID", "."&amp;Table133[[#This Row],[Ticker]]&amp;Table133[[#This Row],[Expiry]]&amp;""&amp;"C"&amp;Table133[[#This Row],[Strike]]))</f>
        <v>0</v>
      </c>
      <c r="J597" t="b">
        <f>IF(     ISNUMBER(Table133[[#This Row],[Strike]]),RTD("tos.rtd", , "ASK", "."&amp;Table133[[#This Row],[Ticker]]&amp;Table133[[#This Row],[Expiry]]&amp;""&amp;"C"&amp;Table133[[#This Row],[Strike]]))</f>
        <v>0</v>
      </c>
      <c r="K597" s="17"/>
      <c r="M597" s="1">
        <f t="shared" si="55"/>
        <v>0</v>
      </c>
      <c r="N597" t="b">
        <f t="shared" si="56"/>
        <v>0</v>
      </c>
      <c r="P597" s="17" cm="1">
        <f t="array" aca="1" ref="P597" ca="1">IndividualLegIVCore($A$4, Table133[[#This Row],[Strike]], 0.0411, Table133[[#This Row],[T]], ((Table133[[#This Row],[BIDP]]+Table133[[#This Row],[ASKP]])/2), FALSE)</f>
        <v>0.01</v>
      </c>
      <c r="Q597" t="b">
        <f>IF(     ISNUMBER(Table133[[#This Row],[Strike]]),RTD("tos.rtd", , "BID", "."&amp;Table133[[#This Row],[Ticker]]&amp;Table133[[#This Row],[Expiry]]&amp;""&amp;"P"&amp;Table133[[#This Row],[Strike]]))</f>
        <v>0</v>
      </c>
      <c r="R597" t="b">
        <f>IF(     ISNUMBER(Table133[[#This Row],[Strike]]),RTD("tos.rtd", , "ASK", "."&amp;Table133[[#This Row],[Ticker]]&amp;Table133[[#This Row],[Expiry]]&amp;""&amp;"P"&amp;Table133[[#This Row],[Strike]]))</f>
        <v>0</v>
      </c>
      <c r="S597" s="17"/>
      <c r="T597" t="b">
        <f>IF(     ISNUMBER(Table133[[#This Row],[Strike]]),RTD("tos.rtd", , "OPEN_INT", "."&amp;Table133[[#This Row],[Ticker]]&amp;Table133[[#This Row],[Expiry]]&amp;""&amp;"P"&amp;Table133[[#This Row],[Strike]]))</f>
        <v>0</v>
      </c>
      <c r="U59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7" t="b">
        <f>IF(     ISNUMBER(Table133[[#This Row],[Strike]]),RTD("tos.rtd", , "DELTA", "."&amp;Table133[[#This Row],[Ticker]]&amp;Table133[[#This Row],[Expiry]]&amp;""&amp;"P"&amp;Table133[[#This Row],[Strike]]))</f>
        <v>0</v>
      </c>
      <c r="Y597" s="19">
        <f>40.5* IF($M$1="NDX", 10, IF(OR($M$1="SPX", $M$1="RUT"), 2, 1))</f>
        <v>81</v>
      </c>
      <c r="Z597">
        <f ca="1">IFERROR(Table133[[#This Row],[call gamma]]*(Table133[[#This Row],[Open.Int]])*$A$4^2,0)</f>
        <v>0</v>
      </c>
      <c r="AA597">
        <f ca="1">IFERROR(((Table133[[#This Row],[Open.Int8]])*Table133[[#This Row],[Put gamma]])*-1*$A$4^2,0)</f>
        <v>0</v>
      </c>
      <c r="AB597">
        <f ca="1">(Table133[[#This Row],[Call Gex]]+Table133[[#This Row],[Put Gex]])</f>
        <v>0</v>
      </c>
      <c r="AC597">
        <f ca="1">Table133[[#This Row],[put delta adj]]+Table133[[#This Row],[call delta adj]]</f>
        <v>0</v>
      </c>
      <c r="AD597">
        <f ca="1">Table133[[#This Row],[Put Gex]]*Table133[[#This Row],[DeltaP]]*-1</f>
        <v>0</v>
      </c>
      <c r="AE597">
        <f ca="1">Table133[[#This Row],[Call Gex]]*Table133[[#This Row],[DeltaC]]</f>
        <v>0</v>
      </c>
      <c r="AF597">
        <f>IF(Table133[[#This Row],[DeltaC]]-ABS(Table133[[#This Row],[DeltaP]])="0","0.01",Table133[[#This Row],[DeltaC]]-ABS(Table133[[#This Row],[DeltaP]]))</f>
        <v>0</v>
      </c>
      <c r="AG597" t="e">
        <f ca="1">((LN($A$4/Table133[[#This Row],[Strike]]) + (0.411 + 0.5 * Table133[[#This Row],[IV Calc P]]^2) *Table133[[#This Row],[T]])) / (Table133[[#This Row],[IV Calc P]] * SQRT(Table133[[#This Row],[T]]))</f>
        <v>#DIV/0!</v>
      </c>
      <c r="AH597" t="e">
        <f ca="1">(LN($A$4/Table133[[#This Row],[Strike]]) + (0.411-0 + 0.5 * Table133[[#This Row],[IV Calc C]]^2) *Table133[[#This Row],[T]]) / (Table133[[#This Row],[IV Calc C]] * SQRT(Table133[[#This Row],[T]]))</f>
        <v>#DIV/0!</v>
      </c>
      <c r="AI597" t="e">
        <f ca="1">(EXP(-(AG597^2)/2)/SQRT(2*PI())*EXP(0*SQRT(Table133[[#This Row],[T]]))/$A$4*18%*SQRT(SQRT(Table133[[#This Row],[T]])))</f>
        <v>#DIV/0!</v>
      </c>
      <c r="AJ597" t="e">
        <f ca="1">(EXP(-(AH597^2)/2)/SQRT(2*PI())*EXP(0*SQRT(Table133[[#This Row],[T]]))/$A$4*18%*SQRT(SQRT(Table133[[#This Row],[T]])))</f>
        <v>#DIV/0!</v>
      </c>
      <c r="AK597" t="e">
        <f ca="1">Table133[[#This Row],[Call D1]]-Table133[[#This Row],[IV Calc C]]*SQRT(Table133[[#This Row],[T]])</f>
        <v>#DIV/0!</v>
      </c>
      <c r="AL597" t="e">
        <f ca="1">Table133[[#This Row],[Put D1]]-Table133[[#This Row],[IV Calc P]]*SQRT(Table133[[#This Row],[T]])</f>
        <v>#DIV/0!</v>
      </c>
      <c r="AM597" t="e">
        <f ca="1">EXP(-0.5*Table133[[#This Row],[Call D1]]^2)/SQRT(2*PI())</f>
        <v>#DIV/0!</v>
      </c>
      <c r="AN597" t="e">
        <f ca="1">EXP(-0.5*Table133[[#This Row],[Put D1]]^2)/SQRT(2*PI())</f>
        <v>#DIV/0!</v>
      </c>
      <c r="AO59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7">
        <f ca="1">((Table133[[#This Row],[call vanna]]+Table133[[#This Row],[put vanna]])*$A$4)</f>
        <v>0</v>
      </c>
      <c r="AR59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7" s="9" t="str" cm="1">
        <f t="array" ref="AT597">_xlfn.IFS(     $M$1="SPX","SPXW",     $M$1="RUT","RUTW",  $M$1="NDX","NDXP",   TRUE,$M$1 )</f>
        <v>SPXW</v>
      </c>
      <c r="AU597" s="2">
        <f t="shared" si="57"/>
        <v>6915</v>
      </c>
      <c r="AV597" t="str">
        <f t="shared" si="58"/>
        <v>000100</v>
      </c>
      <c r="AY59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7">
        <f>((Table133[[#This Row],[High C]]+Table133[[#This Row],[Low C]])/2)*Table133[[#This Row],[gammac]]*Table133[[#This Row],[Volume]]</f>
        <v>0</v>
      </c>
      <c r="BD597">
        <f>((Table133[[#This Row],[High P]]+Table133[[#This Row],[Low P]])/2)*Table133[[#This Row],[gammap]]*Table133[[#This Row],[Volume9]]*-1</f>
        <v>0</v>
      </c>
      <c r="BE597">
        <f>(Table133[[#This Row],[SgammaC]]+Table133[[#This Row],[SgammaP]])*$A$4*-100</f>
        <v>0</v>
      </c>
      <c r="BF597" s="78">
        <f>Table133[[#This Row],[DEXc]]+Table133[[#This Row],[DEXp]]</f>
        <v>0</v>
      </c>
      <c r="BG597">
        <f>IFERROR(Table133[[#This Row],[DeltaC]]*Table133[[#This Row],[Open.Int]]*$A$4,0)</f>
        <v>0</v>
      </c>
      <c r="BH597">
        <f>IFERROR(Table133[[#This Row],[DeltaP]]*Table133[[#This Row],[Open.Int8]]*$A$4,0)</f>
        <v>0</v>
      </c>
      <c r="BI59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7">
        <f ca="1">Table133[[#This Row],[charmc]]+Table133[[#This Row],[charmp]]</f>
        <v>0</v>
      </c>
      <c r="BL59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7" s="78">
        <f ca="1">Table133[[#This Row],[call helper]]+Table133[[#This Row],[put helper]]</f>
        <v>0</v>
      </c>
      <c r="BP597" t="str">
        <f>RTD("tos.rtd", , "STRIKE", "."&amp;Table133[[#This Row],[Ticker]]&amp;Table133[[#This Row],[Expiry]]&amp;""&amp;"C"&amp;Table133[[#This Row],[Spot]]+Table133[[#This Row],[step]])</f>
        <v>N/A</v>
      </c>
    </row>
    <row r="598" spans="1:68" x14ac:dyDescent="0.25">
      <c r="A598" s="14">
        <f t="shared" ca="1" si="54"/>
        <v>-126.14810350076104</v>
      </c>
      <c r="C598" s="17"/>
      <c r="D598" t="str">
        <f>RTD("tos.rtd", , "OPEN_INT", "."&amp;Table133[[#This Row],[Ticker]]&amp;Table133[[#This Row],[Expiry]]&amp;""&amp;"C"&amp;Table133[[#This Row],[Spot]]+Table133[[#This Row],[step]])</f>
        <v>N/A</v>
      </c>
      <c r="E59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8" t="b">
        <f>IF(     ISNUMBER(Table133[[#This Row],[Strike]]),RTD("tos.rtd", , "DELTA", "."&amp;Table133[[#This Row],[Ticker]]&amp;Table133[[#This Row],[Expiry]]&amp;""&amp;"C"&amp;Table133[[#This Row],[Strike]]))</f>
        <v>0</v>
      </c>
      <c r="H598" s="17" cm="1">
        <f t="array" aca="1" ref="H598" ca="1">IndividualLegIVCore($A$4, Table133[[#This Row],[Strike]], 0.0411, Table133[[#This Row],[T]], ((Table133[[#This Row],[BIDC]]+Table133[[#This Row],[ASKC]])/2), TRUE)</f>
        <v>0.01</v>
      </c>
      <c r="I598" t="b">
        <f>IF(     ISNUMBER(Table133[[#This Row],[Strike]]),RTD("tos.rtd", , "BID", "."&amp;Table133[[#This Row],[Ticker]]&amp;Table133[[#This Row],[Expiry]]&amp;""&amp;"C"&amp;Table133[[#This Row],[Strike]]))</f>
        <v>0</v>
      </c>
      <c r="J598" t="b">
        <f>IF(     ISNUMBER(Table133[[#This Row],[Strike]]),RTD("tos.rtd", , "ASK", "."&amp;Table133[[#This Row],[Ticker]]&amp;Table133[[#This Row],[Expiry]]&amp;""&amp;"C"&amp;Table133[[#This Row],[Strike]]))</f>
        <v>0</v>
      </c>
      <c r="K598" s="17"/>
      <c r="M598" s="1">
        <f t="shared" si="55"/>
        <v>0</v>
      </c>
      <c r="N598" t="b">
        <f t="shared" si="56"/>
        <v>0</v>
      </c>
      <c r="P598" s="17" cm="1">
        <f t="array" aca="1" ref="P598" ca="1">IndividualLegIVCore($A$4, Table133[[#This Row],[Strike]], 0.0411, Table133[[#This Row],[T]], ((Table133[[#This Row],[BIDP]]+Table133[[#This Row],[ASKP]])/2), FALSE)</f>
        <v>0.01</v>
      </c>
      <c r="Q598" t="b">
        <f>IF(     ISNUMBER(Table133[[#This Row],[Strike]]),RTD("tos.rtd", , "BID", "."&amp;Table133[[#This Row],[Ticker]]&amp;Table133[[#This Row],[Expiry]]&amp;""&amp;"P"&amp;Table133[[#This Row],[Strike]]))</f>
        <v>0</v>
      </c>
      <c r="R598" t="b">
        <f>IF(     ISNUMBER(Table133[[#This Row],[Strike]]),RTD("tos.rtd", , "ASK", "."&amp;Table133[[#This Row],[Ticker]]&amp;Table133[[#This Row],[Expiry]]&amp;""&amp;"P"&amp;Table133[[#This Row],[Strike]]))</f>
        <v>0</v>
      </c>
      <c r="S598" s="17"/>
      <c r="T598" t="b">
        <f>IF(     ISNUMBER(Table133[[#This Row],[Strike]]),RTD("tos.rtd", , "OPEN_INT", "."&amp;Table133[[#This Row],[Ticker]]&amp;Table133[[#This Row],[Expiry]]&amp;""&amp;"P"&amp;Table133[[#This Row],[Strike]]))</f>
        <v>0</v>
      </c>
      <c r="U59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8" t="b">
        <f>IF(     ISNUMBER(Table133[[#This Row],[Strike]]),RTD("tos.rtd", , "DELTA", "."&amp;Table133[[#This Row],[Ticker]]&amp;Table133[[#This Row],[Expiry]]&amp;""&amp;"P"&amp;Table133[[#This Row],[Strike]]))</f>
        <v>0</v>
      </c>
      <c r="Y598" s="19">
        <f>41* IF($M$1="NDX", 10, IF(OR($M$1="SPX", $M$1="RUT"), 2, 1))</f>
        <v>82</v>
      </c>
      <c r="Z598">
        <f ca="1">IFERROR(Table133[[#This Row],[call gamma]]*(Table133[[#This Row],[Open.Int]])*$A$4^2,0)</f>
        <v>0</v>
      </c>
      <c r="AA598">
        <f ca="1">IFERROR(((Table133[[#This Row],[Open.Int8]])*Table133[[#This Row],[Put gamma]])*-1*$A$4^2,0)</f>
        <v>0</v>
      </c>
      <c r="AB598">
        <f ca="1">(Table133[[#This Row],[Call Gex]]+Table133[[#This Row],[Put Gex]])</f>
        <v>0</v>
      </c>
      <c r="AC598">
        <f ca="1">Table133[[#This Row],[put delta adj]]+Table133[[#This Row],[call delta adj]]</f>
        <v>0</v>
      </c>
      <c r="AD598">
        <f ca="1">Table133[[#This Row],[Put Gex]]*Table133[[#This Row],[DeltaP]]*-1</f>
        <v>0</v>
      </c>
      <c r="AE598">
        <f ca="1">Table133[[#This Row],[Call Gex]]*Table133[[#This Row],[DeltaC]]</f>
        <v>0</v>
      </c>
      <c r="AF598">
        <f>IF(Table133[[#This Row],[DeltaC]]-ABS(Table133[[#This Row],[DeltaP]])="0","0.01",Table133[[#This Row],[DeltaC]]-ABS(Table133[[#This Row],[DeltaP]]))</f>
        <v>0</v>
      </c>
      <c r="AG598" t="e">
        <f ca="1">((LN($A$4/Table133[[#This Row],[Strike]]) + (0.411 + 0.5 * Table133[[#This Row],[IV Calc P]]^2) *Table133[[#This Row],[T]])) / (Table133[[#This Row],[IV Calc P]] * SQRT(Table133[[#This Row],[T]]))</f>
        <v>#DIV/0!</v>
      </c>
      <c r="AH598" t="e">
        <f ca="1">(LN($A$4/Table133[[#This Row],[Strike]]) + (0.411-0 + 0.5 * Table133[[#This Row],[IV Calc C]]^2) *Table133[[#This Row],[T]]) / (Table133[[#This Row],[IV Calc C]] * SQRT(Table133[[#This Row],[T]]))</f>
        <v>#DIV/0!</v>
      </c>
      <c r="AI598" t="e">
        <f ca="1">(EXP(-(AG598^2)/2)/SQRT(2*PI())*EXP(0*SQRT(Table133[[#This Row],[T]]))/$A$4*18%*SQRT(SQRT(Table133[[#This Row],[T]])))</f>
        <v>#DIV/0!</v>
      </c>
      <c r="AJ598" t="e">
        <f ca="1">(EXP(-(AH598^2)/2)/SQRT(2*PI())*EXP(0*SQRT(Table133[[#This Row],[T]]))/$A$4*18%*SQRT(SQRT(Table133[[#This Row],[T]])))</f>
        <v>#DIV/0!</v>
      </c>
      <c r="AK598" t="e">
        <f ca="1">Table133[[#This Row],[Call D1]]-Table133[[#This Row],[IV Calc C]]*SQRT(Table133[[#This Row],[T]])</f>
        <v>#DIV/0!</v>
      </c>
      <c r="AL598" t="e">
        <f ca="1">Table133[[#This Row],[Put D1]]-Table133[[#This Row],[IV Calc P]]*SQRT(Table133[[#This Row],[T]])</f>
        <v>#DIV/0!</v>
      </c>
      <c r="AM598" t="e">
        <f ca="1">EXP(-0.5*Table133[[#This Row],[Call D1]]^2)/SQRT(2*PI())</f>
        <v>#DIV/0!</v>
      </c>
      <c r="AN598" t="e">
        <f ca="1">EXP(-0.5*Table133[[#This Row],[Put D1]]^2)/SQRT(2*PI())</f>
        <v>#DIV/0!</v>
      </c>
      <c r="AO59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8">
        <f ca="1">((Table133[[#This Row],[call vanna]]+Table133[[#This Row],[put vanna]])*$A$4)</f>
        <v>0</v>
      </c>
      <c r="AR59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8" s="9" t="str" cm="1">
        <f t="array" ref="AT598">_xlfn.IFS(     $M$1="SPX","SPXW",     $M$1="RUT","RUTW",  $M$1="NDX","NDXP",   TRUE,$M$1 )</f>
        <v>SPXW</v>
      </c>
      <c r="AU598" s="2">
        <f t="shared" si="57"/>
        <v>6915</v>
      </c>
      <c r="AV598" t="str">
        <f t="shared" si="58"/>
        <v>000100</v>
      </c>
      <c r="AY59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8">
        <f>((Table133[[#This Row],[High C]]+Table133[[#This Row],[Low C]])/2)*Table133[[#This Row],[gammac]]*Table133[[#This Row],[Volume]]</f>
        <v>0</v>
      </c>
      <c r="BD598">
        <f>((Table133[[#This Row],[High P]]+Table133[[#This Row],[Low P]])/2)*Table133[[#This Row],[gammap]]*Table133[[#This Row],[Volume9]]*-1</f>
        <v>0</v>
      </c>
      <c r="BE598">
        <f>(Table133[[#This Row],[SgammaC]]+Table133[[#This Row],[SgammaP]])*$A$4*-100</f>
        <v>0</v>
      </c>
      <c r="BF598" s="78">
        <f>Table133[[#This Row],[DEXc]]+Table133[[#This Row],[DEXp]]</f>
        <v>0</v>
      </c>
      <c r="BG598">
        <f>IFERROR(Table133[[#This Row],[DeltaC]]*Table133[[#This Row],[Open.Int]]*$A$4,0)</f>
        <v>0</v>
      </c>
      <c r="BH598">
        <f>IFERROR(Table133[[#This Row],[DeltaP]]*Table133[[#This Row],[Open.Int8]]*$A$4,0)</f>
        <v>0</v>
      </c>
      <c r="BI59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8">
        <f ca="1">Table133[[#This Row],[charmc]]+Table133[[#This Row],[charmp]]</f>
        <v>0</v>
      </c>
      <c r="BL59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8" s="78">
        <f ca="1">Table133[[#This Row],[call helper]]+Table133[[#This Row],[put helper]]</f>
        <v>0</v>
      </c>
      <c r="BP598" t="str">
        <f>RTD("tos.rtd", , "STRIKE", "."&amp;Table133[[#This Row],[Ticker]]&amp;Table133[[#This Row],[Expiry]]&amp;""&amp;"C"&amp;Table133[[#This Row],[Spot]]+Table133[[#This Row],[step]])</f>
        <v>N/A</v>
      </c>
    </row>
    <row r="599" spans="1:68" x14ac:dyDescent="0.25">
      <c r="A599" s="14">
        <f t="shared" ca="1" si="54"/>
        <v>-126.14810350076104</v>
      </c>
      <c r="C599" s="17"/>
      <c r="D599" t="str">
        <f>RTD("tos.rtd", , "OPEN_INT", "."&amp;Table133[[#This Row],[Ticker]]&amp;Table133[[#This Row],[Expiry]]&amp;""&amp;"C"&amp;Table133[[#This Row],[Spot]]+Table133[[#This Row],[step]])</f>
        <v>N/A</v>
      </c>
      <c r="E59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9" t="b">
        <f>IF(     ISNUMBER(Table133[[#This Row],[Strike]]),RTD("tos.rtd", , "DELTA", "."&amp;Table133[[#This Row],[Ticker]]&amp;Table133[[#This Row],[Expiry]]&amp;""&amp;"C"&amp;Table133[[#This Row],[Strike]]))</f>
        <v>0</v>
      </c>
      <c r="H599" s="17" cm="1">
        <f t="array" aca="1" ref="H599" ca="1">IndividualLegIVCore($A$4, Table133[[#This Row],[Strike]], 0.0411, Table133[[#This Row],[T]], ((Table133[[#This Row],[BIDC]]+Table133[[#This Row],[ASKC]])/2), TRUE)</f>
        <v>0.01</v>
      </c>
      <c r="I599" t="b">
        <f>IF(     ISNUMBER(Table133[[#This Row],[Strike]]),RTD("tos.rtd", , "BID", "."&amp;Table133[[#This Row],[Ticker]]&amp;Table133[[#This Row],[Expiry]]&amp;""&amp;"C"&amp;Table133[[#This Row],[Strike]]))</f>
        <v>0</v>
      </c>
      <c r="J599" t="b">
        <f>IF(     ISNUMBER(Table133[[#This Row],[Strike]]),RTD("tos.rtd", , "ASK", "."&amp;Table133[[#This Row],[Ticker]]&amp;Table133[[#This Row],[Expiry]]&amp;""&amp;"C"&amp;Table133[[#This Row],[Strike]]))</f>
        <v>0</v>
      </c>
      <c r="K599" s="17"/>
      <c r="M599" s="1">
        <f t="shared" si="55"/>
        <v>0</v>
      </c>
      <c r="N599" t="b">
        <f t="shared" si="56"/>
        <v>0</v>
      </c>
      <c r="P599" s="17" cm="1">
        <f t="array" aca="1" ref="P599" ca="1">IndividualLegIVCore($A$4, Table133[[#This Row],[Strike]], 0.0411, Table133[[#This Row],[T]], ((Table133[[#This Row],[BIDP]]+Table133[[#This Row],[ASKP]])/2), FALSE)</f>
        <v>0.01</v>
      </c>
      <c r="Q599" t="b">
        <f>IF(     ISNUMBER(Table133[[#This Row],[Strike]]),RTD("tos.rtd", , "BID", "."&amp;Table133[[#This Row],[Ticker]]&amp;Table133[[#This Row],[Expiry]]&amp;""&amp;"P"&amp;Table133[[#This Row],[Strike]]))</f>
        <v>0</v>
      </c>
      <c r="R599" t="b">
        <f>IF(     ISNUMBER(Table133[[#This Row],[Strike]]),RTD("tos.rtd", , "ASK", "."&amp;Table133[[#This Row],[Ticker]]&amp;Table133[[#This Row],[Expiry]]&amp;""&amp;"P"&amp;Table133[[#This Row],[Strike]]))</f>
        <v>0</v>
      </c>
      <c r="S599" s="17"/>
      <c r="T599" t="b">
        <f>IF(     ISNUMBER(Table133[[#This Row],[Strike]]),RTD("tos.rtd", , "OPEN_INT", "."&amp;Table133[[#This Row],[Ticker]]&amp;Table133[[#This Row],[Expiry]]&amp;""&amp;"P"&amp;Table133[[#This Row],[Strike]]))</f>
        <v>0</v>
      </c>
      <c r="U59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9" t="b">
        <f>IF(     ISNUMBER(Table133[[#This Row],[Strike]]),RTD("tos.rtd", , "DELTA", "."&amp;Table133[[#This Row],[Ticker]]&amp;Table133[[#This Row],[Expiry]]&amp;""&amp;"P"&amp;Table133[[#This Row],[Strike]]))</f>
        <v>0</v>
      </c>
      <c r="Y599" s="19">
        <f>41.5* IF($M$1="NDX", 10, IF(OR($M$1="SPX", $M$1="RUT"), 2, 1))</f>
        <v>83</v>
      </c>
      <c r="Z599">
        <f ca="1">IFERROR(Table133[[#This Row],[call gamma]]*(Table133[[#This Row],[Open.Int]])*$A$4^2,0)</f>
        <v>0</v>
      </c>
      <c r="AA599">
        <f ca="1">IFERROR(((Table133[[#This Row],[Open.Int8]])*Table133[[#This Row],[Put gamma]])*-1*$A$4^2,0)</f>
        <v>0</v>
      </c>
      <c r="AB599">
        <f ca="1">(Table133[[#This Row],[Call Gex]]+Table133[[#This Row],[Put Gex]])</f>
        <v>0</v>
      </c>
      <c r="AC599">
        <f ca="1">Table133[[#This Row],[put delta adj]]+Table133[[#This Row],[call delta adj]]</f>
        <v>0</v>
      </c>
      <c r="AD599">
        <f ca="1">Table133[[#This Row],[Put Gex]]*Table133[[#This Row],[DeltaP]]*-1</f>
        <v>0</v>
      </c>
      <c r="AE599">
        <f ca="1">Table133[[#This Row],[Call Gex]]*Table133[[#This Row],[DeltaC]]</f>
        <v>0</v>
      </c>
      <c r="AF599">
        <f>IF(Table133[[#This Row],[DeltaC]]-ABS(Table133[[#This Row],[DeltaP]])="0","0.01",Table133[[#This Row],[DeltaC]]-ABS(Table133[[#This Row],[DeltaP]]))</f>
        <v>0</v>
      </c>
      <c r="AG599" t="e">
        <f ca="1">((LN($A$4/Table133[[#This Row],[Strike]]) + (0.411 + 0.5 * Table133[[#This Row],[IV Calc P]]^2) *Table133[[#This Row],[T]])) / (Table133[[#This Row],[IV Calc P]] * SQRT(Table133[[#This Row],[T]]))</f>
        <v>#DIV/0!</v>
      </c>
      <c r="AH599" t="e">
        <f ca="1">(LN($A$4/Table133[[#This Row],[Strike]]) + (0.411-0 + 0.5 * Table133[[#This Row],[IV Calc C]]^2) *Table133[[#This Row],[T]]) / (Table133[[#This Row],[IV Calc C]] * SQRT(Table133[[#This Row],[T]]))</f>
        <v>#DIV/0!</v>
      </c>
      <c r="AI599" t="e">
        <f ca="1">(EXP(-(AG599^2)/2)/SQRT(2*PI())*EXP(0*SQRT(Table133[[#This Row],[T]]))/$A$4*18%*SQRT(SQRT(Table133[[#This Row],[T]])))</f>
        <v>#DIV/0!</v>
      </c>
      <c r="AJ599" t="e">
        <f ca="1">(EXP(-(AH599^2)/2)/SQRT(2*PI())*EXP(0*SQRT(Table133[[#This Row],[T]]))/$A$4*18%*SQRT(SQRT(Table133[[#This Row],[T]])))</f>
        <v>#DIV/0!</v>
      </c>
      <c r="AK599" t="e">
        <f ca="1">Table133[[#This Row],[Call D1]]-Table133[[#This Row],[IV Calc C]]*SQRT(Table133[[#This Row],[T]])</f>
        <v>#DIV/0!</v>
      </c>
      <c r="AL599" t="e">
        <f ca="1">Table133[[#This Row],[Put D1]]-Table133[[#This Row],[IV Calc P]]*SQRT(Table133[[#This Row],[T]])</f>
        <v>#DIV/0!</v>
      </c>
      <c r="AM599" t="e">
        <f ca="1">EXP(-0.5*Table133[[#This Row],[Call D1]]^2)/SQRT(2*PI())</f>
        <v>#DIV/0!</v>
      </c>
      <c r="AN599" t="e">
        <f ca="1">EXP(-0.5*Table133[[#This Row],[Put D1]]^2)/SQRT(2*PI())</f>
        <v>#DIV/0!</v>
      </c>
      <c r="AO59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9">
        <f ca="1">((Table133[[#This Row],[call vanna]]+Table133[[#This Row],[put vanna]])*$A$4)</f>
        <v>0</v>
      </c>
      <c r="AR59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9" s="9" t="str" cm="1">
        <f t="array" ref="AT599">_xlfn.IFS(     $M$1="SPX","SPXW",     $M$1="RUT","RUTW",  $M$1="NDX","NDXP",   TRUE,$M$1 )</f>
        <v>SPXW</v>
      </c>
      <c r="AU599" s="2">
        <f t="shared" si="57"/>
        <v>6915</v>
      </c>
      <c r="AV599" t="str">
        <f t="shared" si="58"/>
        <v>000100</v>
      </c>
      <c r="AY59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9">
        <f>((Table133[[#This Row],[High C]]+Table133[[#This Row],[Low C]])/2)*Table133[[#This Row],[gammac]]*Table133[[#This Row],[Volume]]</f>
        <v>0</v>
      </c>
      <c r="BD599">
        <f>((Table133[[#This Row],[High P]]+Table133[[#This Row],[Low P]])/2)*Table133[[#This Row],[gammap]]*Table133[[#This Row],[Volume9]]*-1</f>
        <v>0</v>
      </c>
      <c r="BE599">
        <f>(Table133[[#This Row],[SgammaC]]+Table133[[#This Row],[SgammaP]])*$A$4*-100</f>
        <v>0</v>
      </c>
      <c r="BF599" s="78">
        <f>Table133[[#This Row],[DEXc]]+Table133[[#This Row],[DEXp]]</f>
        <v>0</v>
      </c>
      <c r="BG599">
        <f>IFERROR(Table133[[#This Row],[DeltaC]]*Table133[[#This Row],[Open.Int]]*$A$4,0)</f>
        <v>0</v>
      </c>
      <c r="BH599">
        <f>IFERROR(Table133[[#This Row],[DeltaP]]*Table133[[#This Row],[Open.Int8]]*$A$4,0)</f>
        <v>0</v>
      </c>
      <c r="BI59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9">
        <f ca="1">Table133[[#This Row],[charmc]]+Table133[[#This Row],[charmp]]</f>
        <v>0</v>
      </c>
      <c r="BL59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9" s="78">
        <f ca="1">Table133[[#This Row],[call helper]]+Table133[[#This Row],[put helper]]</f>
        <v>0</v>
      </c>
      <c r="BP599" t="str">
        <f>RTD("tos.rtd", , "STRIKE", "."&amp;Table133[[#This Row],[Ticker]]&amp;Table133[[#This Row],[Expiry]]&amp;""&amp;"C"&amp;Table133[[#This Row],[Spot]]+Table133[[#This Row],[step]])</f>
        <v>N/A</v>
      </c>
    </row>
    <row r="600" spans="1:68" x14ac:dyDescent="0.25">
      <c r="A600" s="14">
        <f t="shared" ca="1" si="54"/>
        <v>-126.14810350076104</v>
      </c>
      <c r="C600" s="17"/>
      <c r="D600" t="str">
        <f>RTD("tos.rtd", , "OPEN_INT", "."&amp;Table133[[#This Row],[Ticker]]&amp;Table133[[#This Row],[Expiry]]&amp;""&amp;"C"&amp;Table133[[#This Row],[Spot]]+Table133[[#This Row],[step]])</f>
        <v>N/A</v>
      </c>
      <c r="E60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0" t="b">
        <f>IF(     ISNUMBER(Table133[[#This Row],[Strike]]),RTD("tos.rtd", , "DELTA", "."&amp;Table133[[#This Row],[Ticker]]&amp;Table133[[#This Row],[Expiry]]&amp;""&amp;"C"&amp;Table133[[#This Row],[Strike]]))</f>
        <v>0</v>
      </c>
      <c r="H600" s="17" cm="1">
        <f t="array" aca="1" ref="H600" ca="1">IndividualLegIVCore($A$4, Table133[[#This Row],[Strike]], 0.0411, Table133[[#This Row],[T]], ((Table133[[#This Row],[BIDC]]+Table133[[#This Row],[ASKC]])/2), TRUE)</f>
        <v>0.01</v>
      </c>
      <c r="I600" t="b">
        <f>IF(     ISNUMBER(Table133[[#This Row],[Strike]]),RTD("tos.rtd", , "BID", "."&amp;Table133[[#This Row],[Ticker]]&amp;Table133[[#This Row],[Expiry]]&amp;""&amp;"C"&amp;Table133[[#This Row],[Strike]]))</f>
        <v>0</v>
      </c>
      <c r="J600" t="b">
        <f>IF(     ISNUMBER(Table133[[#This Row],[Strike]]),RTD("tos.rtd", , "ASK", "."&amp;Table133[[#This Row],[Ticker]]&amp;Table133[[#This Row],[Expiry]]&amp;""&amp;"C"&amp;Table133[[#This Row],[Strike]]))</f>
        <v>0</v>
      </c>
      <c r="K600" s="17"/>
      <c r="M600" s="1">
        <f t="shared" si="55"/>
        <v>0</v>
      </c>
      <c r="N600" t="b">
        <f t="shared" si="56"/>
        <v>0</v>
      </c>
      <c r="P600" s="17" cm="1">
        <f t="array" aca="1" ref="P600" ca="1">IndividualLegIVCore($A$4, Table133[[#This Row],[Strike]], 0.0411, Table133[[#This Row],[T]], ((Table133[[#This Row],[BIDP]]+Table133[[#This Row],[ASKP]])/2), FALSE)</f>
        <v>0.01</v>
      </c>
      <c r="Q600" t="b">
        <f>IF(     ISNUMBER(Table133[[#This Row],[Strike]]),RTD("tos.rtd", , "BID", "."&amp;Table133[[#This Row],[Ticker]]&amp;Table133[[#This Row],[Expiry]]&amp;""&amp;"P"&amp;Table133[[#This Row],[Strike]]))</f>
        <v>0</v>
      </c>
      <c r="R600" t="b">
        <f>IF(     ISNUMBER(Table133[[#This Row],[Strike]]),RTD("tos.rtd", , "ASK", "."&amp;Table133[[#This Row],[Ticker]]&amp;Table133[[#This Row],[Expiry]]&amp;""&amp;"P"&amp;Table133[[#This Row],[Strike]]))</f>
        <v>0</v>
      </c>
      <c r="S600" s="17"/>
      <c r="T600" t="b">
        <f>IF(     ISNUMBER(Table133[[#This Row],[Strike]]),RTD("tos.rtd", , "OPEN_INT", "."&amp;Table133[[#This Row],[Ticker]]&amp;Table133[[#This Row],[Expiry]]&amp;""&amp;"P"&amp;Table133[[#This Row],[Strike]]))</f>
        <v>0</v>
      </c>
      <c r="U60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0" t="b">
        <f>IF(     ISNUMBER(Table133[[#This Row],[Strike]]),RTD("tos.rtd", , "DELTA", "."&amp;Table133[[#This Row],[Ticker]]&amp;Table133[[#This Row],[Expiry]]&amp;""&amp;"P"&amp;Table133[[#This Row],[Strike]]))</f>
        <v>0</v>
      </c>
      <c r="Y600" s="19">
        <f>42* IF($M$1="NDX", 10, IF(OR($M$1="SPX", $M$1="RUT"), 2, 1))</f>
        <v>84</v>
      </c>
      <c r="Z600">
        <f ca="1">IFERROR(Table133[[#This Row],[call gamma]]*(Table133[[#This Row],[Open.Int]])*$A$4^2,0)</f>
        <v>0</v>
      </c>
      <c r="AA600">
        <f ca="1">IFERROR(((Table133[[#This Row],[Open.Int8]])*Table133[[#This Row],[Put gamma]])*-1*$A$4^2,0)</f>
        <v>0</v>
      </c>
      <c r="AB600">
        <f ca="1">(Table133[[#This Row],[Call Gex]]+Table133[[#This Row],[Put Gex]])</f>
        <v>0</v>
      </c>
      <c r="AC600">
        <f ca="1">Table133[[#This Row],[put delta adj]]+Table133[[#This Row],[call delta adj]]</f>
        <v>0</v>
      </c>
      <c r="AD600">
        <f ca="1">Table133[[#This Row],[Put Gex]]*Table133[[#This Row],[DeltaP]]*-1</f>
        <v>0</v>
      </c>
      <c r="AE600">
        <f ca="1">Table133[[#This Row],[Call Gex]]*Table133[[#This Row],[DeltaC]]</f>
        <v>0</v>
      </c>
      <c r="AF600">
        <f>IF(Table133[[#This Row],[DeltaC]]-ABS(Table133[[#This Row],[DeltaP]])="0","0.01",Table133[[#This Row],[DeltaC]]-ABS(Table133[[#This Row],[DeltaP]]))</f>
        <v>0</v>
      </c>
      <c r="AG600" t="e">
        <f ca="1">((LN($A$4/Table133[[#This Row],[Strike]]) + (0.411 + 0.5 * Table133[[#This Row],[IV Calc P]]^2) *Table133[[#This Row],[T]])) / (Table133[[#This Row],[IV Calc P]] * SQRT(Table133[[#This Row],[T]]))</f>
        <v>#DIV/0!</v>
      </c>
      <c r="AH600" t="e">
        <f ca="1">(LN($A$4/Table133[[#This Row],[Strike]]) + (0.411-0 + 0.5 * Table133[[#This Row],[IV Calc C]]^2) *Table133[[#This Row],[T]]) / (Table133[[#This Row],[IV Calc C]] * SQRT(Table133[[#This Row],[T]]))</f>
        <v>#DIV/0!</v>
      </c>
      <c r="AI600" t="e">
        <f ca="1">(EXP(-(AG600^2)/2)/SQRT(2*PI())*EXP(0*SQRT(Table133[[#This Row],[T]]))/$A$4*18%*SQRT(SQRT(Table133[[#This Row],[T]])))</f>
        <v>#DIV/0!</v>
      </c>
      <c r="AJ600" t="e">
        <f ca="1">(EXP(-(AH600^2)/2)/SQRT(2*PI())*EXP(0*SQRT(Table133[[#This Row],[T]]))/$A$4*18%*SQRT(SQRT(Table133[[#This Row],[T]])))</f>
        <v>#DIV/0!</v>
      </c>
      <c r="AK600" t="e">
        <f ca="1">Table133[[#This Row],[Call D1]]-Table133[[#This Row],[IV Calc C]]*SQRT(Table133[[#This Row],[T]])</f>
        <v>#DIV/0!</v>
      </c>
      <c r="AL600" t="e">
        <f ca="1">Table133[[#This Row],[Put D1]]-Table133[[#This Row],[IV Calc P]]*SQRT(Table133[[#This Row],[T]])</f>
        <v>#DIV/0!</v>
      </c>
      <c r="AM600" t="e">
        <f ca="1">EXP(-0.5*Table133[[#This Row],[Call D1]]^2)/SQRT(2*PI())</f>
        <v>#DIV/0!</v>
      </c>
      <c r="AN600" t="e">
        <f ca="1">EXP(-0.5*Table133[[#This Row],[Put D1]]^2)/SQRT(2*PI())</f>
        <v>#DIV/0!</v>
      </c>
      <c r="AO60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0">
        <f ca="1">((Table133[[#This Row],[call vanna]]+Table133[[#This Row],[put vanna]])*$A$4)</f>
        <v>0</v>
      </c>
      <c r="AR60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0" s="9" t="str" cm="1">
        <f t="array" ref="AT600">_xlfn.IFS(     $M$1="SPX","SPXW",     $M$1="RUT","RUTW",  $M$1="NDX","NDXP",   TRUE,$M$1 )</f>
        <v>SPXW</v>
      </c>
      <c r="AU600" s="2">
        <f t="shared" si="57"/>
        <v>6915</v>
      </c>
      <c r="AV600" t="str">
        <f t="shared" si="58"/>
        <v>000100</v>
      </c>
      <c r="AY60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0">
        <f>((Table133[[#This Row],[High C]]+Table133[[#This Row],[Low C]])/2)*Table133[[#This Row],[gammac]]*Table133[[#This Row],[Volume]]</f>
        <v>0</v>
      </c>
      <c r="BD600">
        <f>((Table133[[#This Row],[High P]]+Table133[[#This Row],[Low P]])/2)*Table133[[#This Row],[gammap]]*Table133[[#This Row],[Volume9]]*-1</f>
        <v>0</v>
      </c>
      <c r="BE600">
        <f>(Table133[[#This Row],[SgammaC]]+Table133[[#This Row],[SgammaP]])*$A$4*-100</f>
        <v>0</v>
      </c>
      <c r="BF600" s="78">
        <f>Table133[[#This Row],[DEXc]]+Table133[[#This Row],[DEXp]]</f>
        <v>0</v>
      </c>
      <c r="BG600">
        <f>IFERROR(Table133[[#This Row],[DeltaC]]*Table133[[#This Row],[Open.Int]]*$A$4,0)</f>
        <v>0</v>
      </c>
      <c r="BH600">
        <f>IFERROR(Table133[[#This Row],[DeltaP]]*Table133[[#This Row],[Open.Int8]]*$A$4,0)</f>
        <v>0</v>
      </c>
      <c r="BI60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0">
        <f ca="1">Table133[[#This Row],[charmc]]+Table133[[#This Row],[charmp]]</f>
        <v>0</v>
      </c>
      <c r="BL60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0" s="78">
        <f ca="1">Table133[[#This Row],[call helper]]+Table133[[#This Row],[put helper]]</f>
        <v>0</v>
      </c>
      <c r="BP600" t="str">
        <f>RTD("tos.rtd", , "STRIKE", "."&amp;Table133[[#This Row],[Ticker]]&amp;Table133[[#This Row],[Expiry]]&amp;""&amp;"C"&amp;Table133[[#This Row],[Spot]]+Table133[[#This Row],[step]])</f>
        <v>N/A</v>
      </c>
    </row>
    <row r="601" spans="1:68" x14ac:dyDescent="0.25">
      <c r="A601" s="14">
        <f t="shared" ca="1" si="54"/>
        <v>-126.14810350076104</v>
      </c>
      <c r="C601" s="17"/>
      <c r="D601" t="str">
        <f>RTD("tos.rtd", , "OPEN_INT", "."&amp;Table133[[#This Row],[Ticker]]&amp;Table133[[#This Row],[Expiry]]&amp;""&amp;"C"&amp;Table133[[#This Row],[Spot]]+Table133[[#This Row],[step]])</f>
        <v>N/A</v>
      </c>
      <c r="E60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1" t="b">
        <f>IF(     ISNUMBER(Table133[[#This Row],[Strike]]),RTD("tos.rtd", , "DELTA", "."&amp;Table133[[#This Row],[Ticker]]&amp;Table133[[#This Row],[Expiry]]&amp;""&amp;"C"&amp;Table133[[#This Row],[Strike]]))</f>
        <v>0</v>
      </c>
      <c r="H601" s="17" cm="1">
        <f t="array" aca="1" ref="H601" ca="1">IndividualLegIVCore($A$4, Table133[[#This Row],[Strike]], 0.0411, Table133[[#This Row],[T]], ((Table133[[#This Row],[BIDC]]+Table133[[#This Row],[ASKC]])/2), TRUE)</f>
        <v>0.01</v>
      </c>
      <c r="I601" t="b">
        <f>IF(     ISNUMBER(Table133[[#This Row],[Strike]]),RTD("tos.rtd", , "BID", "."&amp;Table133[[#This Row],[Ticker]]&amp;Table133[[#This Row],[Expiry]]&amp;""&amp;"C"&amp;Table133[[#This Row],[Strike]]))</f>
        <v>0</v>
      </c>
      <c r="J601" t="b">
        <f>IF(     ISNUMBER(Table133[[#This Row],[Strike]]),RTD("tos.rtd", , "ASK", "."&amp;Table133[[#This Row],[Ticker]]&amp;Table133[[#This Row],[Expiry]]&amp;""&amp;"C"&amp;Table133[[#This Row],[Strike]]))</f>
        <v>0</v>
      </c>
      <c r="K601" s="17"/>
      <c r="M601" s="1">
        <f t="shared" si="55"/>
        <v>0</v>
      </c>
      <c r="N601" t="b">
        <f t="shared" si="56"/>
        <v>0</v>
      </c>
      <c r="P601" s="17" cm="1">
        <f t="array" aca="1" ref="P601" ca="1">IndividualLegIVCore($A$4, Table133[[#This Row],[Strike]], 0.0411, Table133[[#This Row],[T]], ((Table133[[#This Row],[BIDP]]+Table133[[#This Row],[ASKP]])/2), FALSE)</f>
        <v>0.01</v>
      </c>
      <c r="Q601" t="b">
        <f>IF(     ISNUMBER(Table133[[#This Row],[Strike]]),RTD("tos.rtd", , "BID", "."&amp;Table133[[#This Row],[Ticker]]&amp;Table133[[#This Row],[Expiry]]&amp;""&amp;"P"&amp;Table133[[#This Row],[Strike]]))</f>
        <v>0</v>
      </c>
      <c r="R601" t="b">
        <f>IF(     ISNUMBER(Table133[[#This Row],[Strike]]),RTD("tos.rtd", , "ASK", "."&amp;Table133[[#This Row],[Ticker]]&amp;Table133[[#This Row],[Expiry]]&amp;""&amp;"P"&amp;Table133[[#This Row],[Strike]]))</f>
        <v>0</v>
      </c>
      <c r="S601" s="17"/>
      <c r="T601" t="b">
        <f>IF(     ISNUMBER(Table133[[#This Row],[Strike]]),RTD("tos.rtd", , "OPEN_INT", "."&amp;Table133[[#This Row],[Ticker]]&amp;Table133[[#This Row],[Expiry]]&amp;""&amp;"P"&amp;Table133[[#This Row],[Strike]]))</f>
        <v>0</v>
      </c>
      <c r="U60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1" t="b">
        <f>IF(     ISNUMBER(Table133[[#This Row],[Strike]]),RTD("tos.rtd", , "DELTA", "."&amp;Table133[[#This Row],[Ticker]]&amp;Table133[[#This Row],[Expiry]]&amp;""&amp;"P"&amp;Table133[[#This Row],[Strike]]))</f>
        <v>0</v>
      </c>
      <c r="Y601" s="19">
        <f>42.5* IF($M$1="NDX", 10, IF(OR($M$1="SPX", $M$1="RUT"), 2, 1))</f>
        <v>85</v>
      </c>
      <c r="Z601">
        <f ca="1">IFERROR(Table133[[#This Row],[call gamma]]*(Table133[[#This Row],[Open.Int]])*$A$4^2,0)</f>
        <v>0</v>
      </c>
      <c r="AA601">
        <f ca="1">IFERROR(((Table133[[#This Row],[Open.Int8]])*Table133[[#This Row],[Put gamma]])*-1*$A$4^2,0)</f>
        <v>0</v>
      </c>
      <c r="AB601">
        <f ca="1">(Table133[[#This Row],[Call Gex]]+Table133[[#This Row],[Put Gex]])</f>
        <v>0</v>
      </c>
      <c r="AC601">
        <f ca="1">Table133[[#This Row],[put delta adj]]+Table133[[#This Row],[call delta adj]]</f>
        <v>0</v>
      </c>
      <c r="AD601">
        <f ca="1">Table133[[#This Row],[Put Gex]]*Table133[[#This Row],[DeltaP]]*-1</f>
        <v>0</v>
      </c>
      <c r="AE601">
        <f ca="1">Table133[[#This Row],[Call Gex]]*Table133[[#This Row],[DeltaC]]</f>
        <v>0</v>
      </c>
      <c r="AF601">
        <f>IF(Table133[[#This Row],[DeltaC]]-ABS(Table133[[#This Row],[DeltaP]])="0","0.01",Table133[[#This Row],[DeltaC]]-ABS(Table133[[#This Row],[DeltaP]]))</f>
        <v>0</v>
      </c>
      <c r="AG601" t="e">
        <f ca="1">((LN($A$4/Table133[[#This Row],[Strike]]) + (0.411 + 0.5 * Table133[[#This Row],[IV Calc P]]^2) *Table133[[#This Row],[T]])) / (Table133[[#This Row],[IV Calc P]] * SQRT(Table133[[#This Row],[T]]))</f>
        <v>#DIV/0!</v>
      </c>
      <c r="AH601" t="e">
        <f ca="1">(LN($A$4/Table133[[#This Row],[Strike]]) + (0.411-0 + 0.5 * Table133[[#This Row],[IV Calc C]]^2) *Table133[[#This Row],[T]]) / (Table133[[#This Row],[IV Calc C]] * SQRT(Table133[[#This Row],[T]]))</f>
        <v>#DIV/0!</v>
      </c>
      <c r="AI601" t="e">
        <f ca="1">(EXP(-(AG601^2)/2)/SQRT(2*PI())*EXP(0*SQRT(Table133[[#This Row],[T]]))/$A$4*18%*SQRT(SQRT(Table133[[#This Row],[T]])))</f>
        <v>#DIV/0!</v>
      </c>
      <c r="AJ601" t="e">
        <f ca="1">(EXP(-(AH601^2)/2)/SQRT(2*PI())*EXP(0*SQRT(Table133[[#This Row],[T]]))/$A$4*18%*SQRT(SQRT(Table133[[#This Row],[T]])))</f>
        <v>#DIV/0!</v>
      </c>
      <c r="AK601" t="e">
        <f ca="1">Table133[[#This Row],[Call D1]]-Table133[[#This Row],[IV Calc C]]*SQRT(Table133[[#This Row],[T]])</f>
        <v>#DIV/0!</v>
      </c>
      <c r="AL601" t="e">
        <f ca="1">Table133[[#This Row],[Put D1]]-Table133[[#This Row],[IV Calc P]]*SQRT(Table133[[#This Row],[T]])</f>
        <v>#DIV/0!</v>
      </c>
      <c r="AM601" t="e">
        <f ca="1">EXP(-0.5*Table133[[#This Row],[Call D1]]^2)/SQRT(2*PI())</f>
        <v>#DIV/0!</v>
      </c>
      <c r="AN601" t="e">
        <f ca="1">EXP(-0.5*Table133[[#This Row],[Put D1]]^2)/SQRT(2*PI())</f>
        <v>#DIV/0!</v>
      </c>
      <c r="AO60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1">
        <f ca="1">((Table133[[#This Row],[call vanna]]+Table133[[#This Row],[put vanna]])*$A$4)</f>
        <v>0</v>
      </c>
      <c r="AR60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1" s="9" t="str" cm="1">
        <f t="array" ref="AT601">_xlfn.IFS(     $M$1="SPX","SPXW",     $M$1="RUT","RUTW",  $M$1="NDX","NDXP",   TRUE,$M$1 )</f>
        <v>SPXW</v>
      </c>
      <c r="AU601" s="2">
        <f t="shared" si="57"/>
        <v>6915</v>
      </c>
      <c r="AV601" t="str">
        <f t="shared" si="58"/>
        <v>000100</v>
      </c>
      <c r="AY60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1">
        <f>((Table133[[#This Row],[High C]]+Table133[[#This Row],[Low C]])/2)*Table133[[#This Row],[gammac]]*Table133[[#This Row],[Volume]]</f>
        <v>0</v>
      </c>
      <c r="BD601">
        <f>((Table133[[#This Row],[High P]]+Table133[[#This Row],[Low P]])/2)*Table133[[#This Row],[gammap]]*Table133[[#This Row],[Volume9]]*-1</f>
        <v>0</v>
      </c>
      <c r="BE601">
        <f>(Table133[[#This Row],[SgammaC]]+Table133[[#This Row],[SgammaP]])*$A$4*-100</f>
        <v>0</v>
      </c>
      <c r="BF601" s="78">
        <f>Table133[[#This Row],[DEXc]]+Table133[[#This Row],[DEXp]]</f>
        <v>0</v>
      </c>
      <c r="BG601">
        <f>IFERROR(Table133[[#This Row],[DeltaC]]*Table133[[#This Row],[Open.Int]]*$A$4,0)</f>
        <v>0</v>
      </c>
      <c r="BH601">
        <f>IFERROR(Table133[[#This Row],[DeltaP]]*Table133[[#This Row],[Open.Int8]]*$A$4,0)</f>
        <v>0</v>
      </c>
      <c r="BI60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1">
        <f ca="1">Table133[[#This Row],[charmc]]+Table133[[#This Row],[charmp]]</f>
        <v>0</v>
      </c>
      <c r="BL60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1" s="78">
        <f ca="1">Table133[[#This Row],[call helper]]+Table133[[#This Row],[put helper]]</f>
        <v>0</v>
      </c>
      <c r="BP601" t="str">
        <f>RTD("tos.rtd", , "STRIKE", "."&amp;Table133[[#This Row],[Ticker]]&amp;Table133[[#This Row],[Expiry]]&amp;""&amp;"C"&amp;Table133[[#This Row],[Spot]]+Table133[[#This Row],[step]])</f>
        <v>N/A</v>
      </c>
    </row>
    <row r="602" spans="1:68" x14ac:dyDescent="0.25">
      <c r="A602" s="14">
        <f t="shared" ca="1" si="54"/>
        <v>-126.14810350076104</v>
      </c>
      <c r="C602" s="17"/>
      <c r="D602" t="str">
        <f>RTD("tos.rtd", , "OPEN_INT", "."&amp;Table133[[#This Row],[Ticker]]&amp;Table133[[#This Row],[Expiry]]&amp;""&amp;"C"&amp;Table133[[#This Row],[Spot]]+Table133[[#This Row],[step]])</f>
        <v>N/A</v>
      </c>
      <c r="E60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2" t="b">
        <f>IF(     ISNUMBER(Table133[[#This Row],[Strike]]),RTD("tos.rtd", , "DELTA", "."&amp;Table133[[#This Row],[Ticker]]&amp;Table133[[#This Row],[Expiry]]&amp;""&amp;"C"&amp;Table133[[#This Row],[Strike]]))</f>
        <v>0</v>
      </c>
      <c r="H602" s="17" cm="1">
        <f t="array" aca="1" ref="H602" ca="1">IndividualLegIVCore($A$4, Table133[[#This Row],[Strike]], 0.0411, Table133[[#This Row],[T]], ((Table133[[#This Row],[BIDC]]+Table133[[#This Row],[ASKC]])/2), TRUE)</f>
        <v>0.01</v>
      </c>
      <c r="I602" t="b">
        <f>IF(     ISNUMBER(Table133[[#This Row],[Strike]]),RTD("tos.rtd", , "BID", "."&amp;Table133[[#This Row],[Ticker]]&amp;Table133[[#This Row],[Expiry]]&amp;""&amp;"C"&amp;Table133[[#This Row],[Strike]]))</f>
        <v>0</v>
      </c>
      <c r="J602" t="b">
        <f>IF(     ISNUMBER(Table133[[#This Row],[Strike]]),RTD("tos.rtd", , "ASK", "."&amp;Table133[[#This Row],[Ticker]]&amp;Table133[[#This Row],[Expiry]]&amp;""&amp;"C"&amp;Table133[[#This Row],[Strike]]))</f>
        <v>0</v>
      </c>
      <c r="K602" s="17"/>
      <c r="M602" s="1">
        <f t="shared" si="55"/>
        <v>0</v>
      </c>
      <c r="N602" t="b">
        <f t="shared" si="56"/>
        <v>0</v>
      </c>
      <c r="P602" s="17" cm="1">
        <f t="array" aca="1" ref="P602" ca="1">IndividualLegIVCore($A$4, Table133[[#This Row],[Strike]], 0.0411, Table133[[#This Row],[T]], ((Table133[[#This Row],[BIDP]]+Table133[[#This Row],[ASKP]])/2), FALSE)</f>
        <v>0.01</v>
      </c>
      <c r="Q602" t="b">
        <f>IF(     ISNUMBER(Table133[[#This Row],[Strike]]),RTD("tos.rtd", , "BID", "."&amp;Table133[[#This Row],[Ticker]]&amp;Table133[[#This Row],[Expiry]]&amp;""&amp;"P"&amp;Table133[[#This Row],[Strike]]))</f>
        <v>0</v>
      </c>
      <c r="R602" t="b">
        <f>IF(     ISNUMBER(Table133[[#This Row],[Strike]]),RTD("tos.rtd", , "ASK", "."&amp;Table133[[#This Row],[Ticker]]&amp;Table133[[#This Row],[Expiry]]&amp;""&amp;"P"&amp;Table133[[#This Row],[Strike]]))</f>
        <v>0</v>
      </c>
      <c r="S602" s="17"/>
      <c r="T602" t="b">
        <f>IF(     ISNUMBER(Table133[[#This Row],[Strike]]),RTD("tos.rtd", , "OPEN_INT", "."&amp;Table133[[#This Row],[Ticker]]&amp;Table133[[#This Row],[Expiry]]&amp;""&amp;"P"&amp;Table133[[#This Row],[Strike]]))</f>
        <v>0</v>
      </c>
      <c r="U60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2" t="b">
        <f>IF(     ISNUMBER(Table133[[#This Row],[Strike]]),RTD("tos.rtd", , "DELTA", "."&amp;Table133[[#This Row],[Ticker]]&amp;Table133[[#This Row],[Expiry]]&amp;""&amp;"P"&amp;Table133[[#This Row],[Strike]]))</f>
        <v>0</v>
      </c>
      <c r="Y602" s="19">
        <f>43* IF($M$1="NDX", 10, IF(OR($M$1="SPX", $M$1="RUT"), 2, 1))</f>
        <v>86</v>
      </c>
      <c r="Z602">
        <f ca="1">IFERROR(Table133[[#This Row],[call gamma]]*(Table133[[#This Row],[Open.Int]])*$A$4^2,0)</f>
        <v>0</v>
      </c>
      <c r="AA602">
        <f ca="1">IFERROR(((Table133[[#This Row],[Open.Int8]])*Table133[[#This Row],[Put gamma]])*-1*$A$4^2,0)</f>
        <v>0</v>
      </c>
      <c r="AB602">
        <f ca="1">(Table133[[#This Row],[Call Gex]]+Table133[[#This Row],[Put Gex]])</f>
        <v>0</v>
      </c>
      <c r="AC602">
        <f ca="1">Table133[[#This Row],[put delta adj]]+Table133[[#This Row],[call delta adj]]</f>
        <v>0</v>
      </c>
      <c r="AD602">
        <f ca="1">Table133[[#This Row],[Put Gex]]*Table133[[#This Row],[DeltaP]]*-1</f>
        <v>0</v>
      </c>
      <c r="AE602">
        <f ca="1">Table133[[#This Row],[Call Gex]]*Table133[[#This Row],[DeltaC]]</f>
        <v>0</v>
      </c>
      <c r="AF602">
        <f>IF(Table133[[#This Row],[DeltaC]]-ABS(Table133[[#This Row],[DeltaP]])="0","0.01",Table133[[#This Row],[DeltaC]]-ABS(Table133[[#This Row],[DeltaP]]))</f>
        <v>0</v>
      </c>
      <c r="AG602" t="e">
        <f ca="1">((LN($A$4/Table133[[#This Row],[Strike]]) + (0.411 + 0.5 * Table133[[#This Row],[IV Calc P]]^2) *Table133[[#This Row],[T]])) / (Table133[[#This Row],[IV Calc P]] * SQRT(Table133[[#This Row],[T]]))</f>
        <v>#DIV/0!</v>
      </c>
      <c r="AH602" t="e">
        <f ca="1">(LN($A$4/Table133[[#This Row],[Strike]]) + (0.411-0 + 0.5 * Table133[[#This Row],[IV Calc C]]^2) *Table133[[#This Row],[T]]) / (Table133[[#This Row],[IV Calc C]] * SQRT(Table133[[#This Row],[T]]))</f>
        <v>#DIV/0!</v>
      </c>
      <c r="AI602" t="e">
        <f ca="1">(EXP(-(AG602^2)/2)/SQRT(2*PI())*EXP(0*SQRT(Table133[[#This Row],[T]]))/$A$4*18%*SQRT(SQRT(Table133[[#This Row],[T]])))</f>
        <v>#DIV/0!</v>
      </c>
      <c r="AJ602" t="e">
        <f ca="1">(EXP(-(AH602^2)/2)/SQRT(2*PI())*EXP(0*SQRT(Table133[[#This Row],[T]]))/$A$4*18%*SQRT(SQRT(Table133[[#This Row],[T]])))</f>
        <v>#DIV/0!</v>
      </c>
      <c r="AK602" t="e">
        <f ca="1">Table133[[#This Row],[Call D1]]-Table133[[#This Row],[IV Calc C]]*SQRT(Table133[[#This Row],[T]])</f>
        <v>#DIV/0!</v>
      </c>
      <c r="AL602" t="e">
        <f ca="1">Table133[[#This Row],[Put D1]]-Table133[[#This Row],[IV Calc P]]*SQRT(Table133[[#This Row],[T]])</f>
        <v>#DIV/0!</v>
      </c>
      <c r="AM602" t="e">
        <f ca="1">EXP(-0.5*Table133[[#This Row],[Call D1]]^2)/SQRT(2*PI())</f>
        <v>#DIV/0!</v>
      </c>
      <c r="AN602" t="e">
        <f ca="1">EXP(-0.5*Table133[[#This Row],[Put D1]]^2)/SQRT(2*PI())</f>
        <v>#DIV/0!</v>
      </c>
      <c r="AO60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2">
        <f ca="1">((Table133[[#This Row],[call vanna]]+Table133[[#This Row],[put vanna]])*$A$4)</f>
        <v>0</v>
      </c>
      <c r="AR60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2" s="9" t="str" cm="1">
        <f t="array" ref="AT602">_xlfn.IFS(     $M$1="SPX","SPXW",     $M$1="RUT","RUTW",  $M$1="NDX","NDXP",   TRUE,$M$1 )</f>
        <v>SPXW</v>
      </c>
      <c r="AU602" s="2">
        <f t="shared" si="57"/>
        <v>6915</v>
      </c>
      <c r="AV602" t="str">
        <f t="shared" si="58"/>
        <v>000100</v>
      </c>
      <c r="AY60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2">
        <f>((Table133[[#This Row],[High C]]+Table133[[#This Row],[Low C]])/2)*Table133[[#This Row],[gammac]]*Table133[[#This Row],[Volume]]</f>
        <v>0</v>
      </c>
      <c r="BD602">
        <f>((Table133[[#This Row],[High P]]+Table133[[#This Row],[Low P]])/2)*Table133[[#This Row],[gammap]]*Table133[[#This Row],[Volume9]]*-1</f>
        <v>0</v>
      </c>
      <c r="BE602">
        <f>(Table133[[#This Row],[SgammaC]]+Table133[[#This Row],[SgammaP]])*$A$4*-100</f>
        <v>0</v>
      </c>
      <c r="BF602" s="78">
        <f>Table133[[#This Row],[DEXc]]+Table133[[#This Row],[DEXp]]</f>
        <v>0</v>
      </c>
      <c r="BG602">
        <f>IFERROR(Table133[[#This Row],[DeltaC]]*Table133[[#This Row],[Open.Int]]*$A$4,0)</f>
        <v>0</v>
      </c>
      <c r="BH602">
        <f>IFERROR(Table133[[#This Row],[DeltaP]]*Table133[[#This Row],[Open.Int8]]*$A$4,0)</f>
        <v>0</v>
      </c>
      <c r="BI60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2">
        <f ca="1">Table133[[#This Row],[charmc]]+Table133[[#This Row],[charmp]]</f>
        <v>0</v>
      </c>
      <c r="BL60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2" s="78">
        <f ca="1">Table133[[#This Row],[call helper]]+Table133[[#This Row],[put helper]]</f>
        <v>0</v>
      </c>
      <c r="BP602" t="str">
        <f>RTD("tos.rtd", , "STRIKE", "."&amp;Table133[[#This Row],[Ticker]]&amp;Table133[[#This Row],[Expiry]]&amp;""&amp;"C"&amp;Table133[[#This Row],[Spot]]+Table133[[#This Row],[step]])</f>
        <v>N/A</v>
      </c>
    </row>
    <row r="603" spans="1:68" x14ac:dyDescent="0.25">
      <c r="A603" s="14">
        <f t="shared" ca="1" si="54"/>
        <v>-126.14810350076104</v>
      </c>
      <c r="C603" s="17"/>
      <c r="D603" t="str">
        <f>RTD("tos.rtd", , "OPEN_INT", "."&amp;Table133[[#This Row],[Ticker]]&amp;Table133[[#This Row],[Expiry]]&amp;""&amp;"C"&amp;Table133[[#This Row],[Spot]]+Table133[[#This Row],[step]])</f>
        <v>N/A</v>
      </c>
      <c r="E60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3" t="b">
        <f>IF(     ISNUMBER(Table133[[#This Row],[Strike]]),RTD("tos.rtd", , "DELTA", "."&amp;Table133[[#This Row],[Ticker]]&amp;Table133[[#This Row],[Expiry]]&amp;""&amp;"C"&amp;Table133[[#This Row],[Strike]]))</f>
        <v>0</v>
      </c>
      <c r="H603" s="17" cm="1">
        <f t="array" aca="1" ref="H603" ca="1">IndividualLegIVCore($A$4, Table133[[#This Row],[Strike]], 0.0411, Table133[[#This Row],[T]], ((Table133[[#This Row],[BIDC]]+Table133[[#This Row],[ASKC]])/2), TRUE)</f>
        <v>0.01</v>
      </c>
      <c r="I603" t="b">
        <f>IF(     ISNUMBER(Table133[[#This Row],[Strike]]),RTD("tos.rtd", , "BID", "."&amp;Table133[[#This Row],[Ticker]]&amp;Table133[[#This Row],[Expiry]]&amp;""&amp;"C"&amp;Table133[[#This Row],[Strike]]))</f>
        <v>0</v>
      </c>
      <c r="J603" t="b">
        <f>IF(     ISNUMBER(Table133[[#This Row],[Strike]]),RTD("tos.rtd", , "ASK", "."&amp;Table133[[#This Row],[Ticker]]&amp;Table133[[#This Row],[Expiry]]&amp;""&amp;"C"&amp;Table133[[#This Row],[Strike]]))</f>
        <v>0</v>
      </c>
      <c r="K603" s="17"/>
      <c r="M603" s="1">
        <f t="shared" si="55"/>
        <v>0</v>
      </c>
      <c r="N603" t="b">
        <f t="shared" si="56"/>
        <v>0</v>
      </c>
      <c r="P603" s="17" cm="1">
        <f t="array" aca="1" ref="P603" ca="1">IndividualLegIVCore($A$4, Table133[[#This Row],[Strike]], 0.0411, Table133[[#This Row],[T]], ((Table133[[#This Row],[BIDP]]+Table133[[#This Row],[ASKP]])/2), FALSE)</f>
        <v>0.01</v>
      </c>
      <c r="Q603" t="b">
        <f>IF(     ISNUMBER(Table133[[#This Row],[Strike]]),RTD("tos.rtd", , "BID", "."&amp;Table133[[#This Row],[Ticker]]&amp;Table133[[#This Row],[Expiry]]&amp;""&amp;"P"&amp;Table133[[#This Row],[Strike]]))</f>
        <v>0</v>
      </c>
      <c r="R603" t="b">
        <f>IF(     ISNUMBER(Table133[[#This Row],[Strike]]),RTD("tos.rtd", , "ASK", "."&amp;Table133[[#This Row],[Ticker]]&amp;Table133[[#This Row],[Expiry]]&amp;""&amp;"P"&amp;Table133[[#This Row],[Strike]]))</f>
        <v>0</v>
      </c>
      <c r="S603" s="17"/>
      <c r="T603" t="b">
        <f>IF(     ISNUMBER(Table133[[#This Row],[Strike]]),RTD("tos.rtd", , "OPEN_INT", "."&amp;Table133[[#This Row],[Ticker]]&amp;Table133[[#This Row],[Expiry]]&amp;""&amp;"P"&amp;Table133[[#This Row],[Strike]]))</f>
        <v>0</v>
      </c>
      <c r="U60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3" t="b">
        <f>IF(     ISNUMBER(Table133[[#This Row],[Strike]]),RTD("tos.rtd", , "DELTA", "."&amp;Table133[[#This Row],[Ticker]]&amp;Table133[[#This Row],[Expiry]]&amp;""&amp;"P"&amp;Table133[[#This Row],[Strike]]))</f>
        <v>0</v>
      </c>
      <c r="Y603" s="19">
        <f>43.5* IF($M$1="NDX", 10, IF(OR($M$1="SPX", $M$1="RUT"), 2, 1))</f>
        <v>87</v>
      </c>
      <c r="Z603">
        <f ca="1">IFERROR(Table133[[#This Row],[call gamma]]*(Table133[[#This Row],[Open.Int]])*$A$4^2,0)</f>
        <v>0</v>
      </c>
      <c r="AA603">
        <f ca="1">IFERROR(((Table133[[#This Row],[Open.Int8]])*Table133[[#This Row],[Put gamma]])*-1*$A$4^2,0)</f>
        <v>0</v>
      </c>
      <c r="AB603">
        <f ca="1">(Table133[[#This Row],[Call Gex]]+Table133[[#This Row],[Put Gex]])</f>
        <v>0</v>
      </c>
      <c r="AC603">
        <f ca="1">Table133[[#This Row],[put delta adj]]+Table133[[#This Row],[call delta adj]]</f>
        <v>0</v>
      </c>
      <c r="AD603">
        <f ca="1">Table133[[#This Row],[Put Gex]]*Table133[[#This Row],[DeltaP]]*-1</f>
        <v>0</v>
      </c>
      <c r="AE603">
        <f ca="1">Table133[[#This Row],[Call Gex]]*Table133[[#This Row],[DeltaC]]</f>
        <v>0</v>
      </c>
      <c r="AF603">
        <f>IF(Table133[[#This Row],[DeltaC]]-ABS(Table133[[#This Row],[DeltaP]])="0","0.01",Table133[[#This Row],[DeltaC]]-ABS(Table133[[#This Row],[DeltaP]]))</f>
        <v>0</v>
      </c>
      <c r="AG603" t="e">
        <f ca="1">((LN($A$4/Table133[[#This Row],[Strike]]) + (0.411 + 0.5 * Table133[[#This Row],[IV Calc P]]^2) *Table133[[#This Row],[T]])) / (Table133[[#This Row],[IV Calc P]] * SQRT(Table133[[#This Row],[T]]))</f>
        <v>#DIV/0!</v>
      </c>
      <c r="AH603" t="e">
        <f ca="1">(LN($A$4/Table133[[#This Row],[Strike]]) + (0.411-0 + 0.5 * Table133[[#This Row],[IV Calc C]]^2) *Table133[[#This Row],[T]]) / (Table133[[#This Row],[IV Calc C]] * SQRT(Table133[[#This Row],[T]]))</f>
        <v>#DIV/0!</v>
      </c>
      <c r="AI603" t="e">
        <f ca="1">(EXP(-(AG603^2)/2)/SQRT(2*PI())*EXP(0*SQRT(Table133[[#This Row],[T]]))/$A$4*18%*SQRT(SQRT(Table133[[#This Row],[T]])))</f>
        <v>#DIV/0!</v>
      </c>
      <c r="AJ603" t="e">
        <f ca="1">(EXP(-(AH603^2)/2)/SQRT(2*PI())*EXP(0*SQRT(Table133[[#This Row],[T]]))/$A$4*18%*SQRT(SQRT(Table133[[#This Row],[T]])))</f>
        <v>#DIV/0!</v>
      </c>
      <c r="AK603" t="e">
        <f ca="1">Table133[[#This Row],[Call D1]]-Table133[[#This Row],[IV Calc C]]*SQRT(Table133[[#This Row],[T]])</f>
        <v>#DIV/0!</v>
      </c>
      <c r="AL603" t="e">
        <f ca="1">Table133[[#This Row],[Put D1]]-Table133[[#This Row],[IV Calc P]]*SQRT(Table133[[#This Row],[T]])</f>
        <v>#DIV/0!</v>
      </c>
      <c r="AM603" t="e">
        <f ca="1">EXP(-0.5*Table133[[#This Row],[Call D1]]^2)/SQRT(2*PI())</f>
        <v>#DIV/0!</v>
      </c>
      <c r="AN603" t="e">
        <f ca="1">EXP(-0.5*Table133[[#This Row],[Put D1]]^2)/SQRT(2*PI())</f>
        <v>#DIV/0!</v>
      </c>
      <c r="AO60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3">
        <f ca="1">((Table133[[#This Row],[call vanna]]+Table133[[#This Row],[put vanna]])*$A$4)</f>
        <v>0</v>
      </c>
      <c r="AR60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3" s="9" t="str" cm="1">
        <f t="array" ref="AT603">_xlfn.IFS(     $M$1="SPX","SPXW",     $M$1="RUT","RUTW",  $M$1="NDX","NDXP",   TRUE,$M$1 )</f>
        <v>SPXW</v>
      </c>
      <c r="AU603" s="2">
        <f t="shared" si="57"/>
        <v>6915</v>
      </c>
      <c r="AV603" t="str">
        <f t="shared" si="58"/>
        <v>000100</v>
      </c>
      <c r="AY60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3">
        <f>((Table133[[#This Row],[High C]]+Table133[[#This Row],[Low C]])/2)*Table133[[#This Row],[gammac]]*Table133[[#This Row],[Volume]]</f>
        <v>0</v>
      </c>
      <c r="BD603">
        <f>((Table133[[#This Row],[High P]]+Table133[[#This Row],[Low P]])/2)*Table133[[#This Row],[gammap]]*Table133[[#This Row],[Volume9]]*-1</f>
        <v>0</v>
      </c>
      <c r="BE603">
        <f>(Table133[[#This Row],[SgammaC]]+Table133[[#This Row],[SgammaP]])*$A$4*-100</f>
        <v>0</v>
      </c>
      <c r="BF603" s="78">
        <f>Table133[[#This Row],[DEXc]]+Table133[[#This Row],[DEXp]]</f>
        <v>0</v>
      </c>
      <c r="BG603">
        <f>IFERROR(Table133[[#This Row],[DeltaC]]*Table133[[#This Row],[Open.Int]]*$A$4,0)</f>
        <v>0</v>
      </c>
      <c r="BH603">
        <f>IFERROR(Table133[[#This Row],[DeltaP]]*Table133[[#This Row],[Open.Int8]]*$A$4,0)</f>
        <v>0</v>
      </c>
      <c r="BI60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3">
        <f ca="1">Table133[[#This Row],[charmc]]+Table133[[#This Row],[charmp]]</f>
        <v>0</v>
      </c>
      <c r="BL60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3" s="78">
        <f ca="1">Table133[[#This Row],[call helper]]+Table133[[#This Row],[put helper]]</f>
        <v>0</v>
      </c>
      <c r="BP603" t="str">
        <f>RTD("tos.rtd", , "STRIKE", "."&amp;Table133[[#This Row],[Ticker]]&amp;Table133[[#This Row],[Expiry]]&amp;""&amp;"C"&amp;Table133[[#This Row],[Spot]]+Table133[[#This Row],[step]])</f>
        <v>N/A</v>
      </c>
    </row>
    <row r="604" spans="1:68" x14ac:dyDescent="0.25">
      <c r="A604" s="14">
        <f t="shared" ca="1" si="54"/>
        <v>-126.14810350076104</v>
      </c>
      <c r="C604" s="17"/>
      <c r="D604" t="str">
        <f>RTD("tos.rtd", , "OPEN_INT", "."&amp;Table133[[#This Row],[Ticker]]&amp;Table133[[#This Row],[Expiry]]&amp;""&amp;"C"&amp;Table133[[#This Row],[Spot]]+Table133[[#This Row],[step]])</f>
        <v>N/A</v>
      </c>
      <c r="E60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4" t="b">
        <f>IF(     ISNUMBER(Table133[[#This Row],[Strike]]),RTD("tos.rtd", , "DELTA", "."&amp;Table133[[#This Row],[Ticker]]&amp;Table133[[#This Row],[Expiry]]&amp;""&amp;"C"&amp;Table133[[#This Row],[Strike]]))</f>
        <v>0</v>
      </c>
      <c r="H604" s="17" cm="1">
        <f t="array" aca="1" ref="H604" ca="1">IndividualLegIVCore($A$4, Table133[[#This Row],[Strike]], 0.0411, Table133[[#This Row],[T]], ((Table133[[#This Row],[BIDC]]+Table133[[#This Row],[ASKC]])/2), TRUE)</f>
        <v>0.01</v>
      </c>
      <c r="I604" t="b">
        <f>IF(     ISNUMBER(Table133[[#This Row],[Strike]]),RTD("tos.rtd", , "BID", "."&amp;Table133[[#This Row],[Ticker]]&amp;Table133[[#This Row],[Expiry]]&amp;""&amp;"C"&amp;Table133[[#This Row],[Strike]]))</f>
        <v>0</v>
      </c>
      <c r="J604" t="b">
        <f>IF(     ISNUMBER(Table133[[#This Row],[Strike]]),RTD("tos.rtd", , "ASK", "."&amp;Table133[[#This Row],[Ticker]]&amp;Table133[[#This Row],[Expiry]]&amp;""&amp;"C"&amp;Table133[[#This Row],[Strike]]))</f>
        <v>0</v>
      </c>
      <c r="K604" s="17"/>
      <c r="M604" s="1">
        <f t="shared" si="55"/>
        <v>0</v>
      </c>
      <c r="N604" t="b">
        <f t="shared" si="56"/>
        <v>0</v>
      </c>
      <c r="P604" s="17" cm="1">
        <f t="array" aca="1" ref="P604" ca="1">IndividualLegIVCore($A$4, Table133[[#This Row],[Strike]], 0.0411, Table133[[#This Row],[T]], ((Table133[[#This Row],[BIDP]]+Table133[[#This Row],[ASKP]])/2), FALSE)</f>
        <v>0.01</v>
      </c>
      <c r="Q604" t="b">
        <f>IF(     ISNUMBER(Table133[[#This Row],[Strike]]),RTD("tos.rtd", , "BID", "."&amp;Table133[[#This Row],[Ticker]]&amp;Table133[[#This Row],[Expiry]]&amp;""&amp;"P"&amp;Table133[[#This Row],[Strike]]))</f>
        <v>0</v>
      </c>
      <c r="R604" t="b">
        <f>IF(     ISNUMBER(Table133[[#This Row],[Strike]]),RTD("tos.rtd", , "ASK", "."&amp;Table133[[#This Row],[Ticker]]&amp;Table133[[#This Row],[Expiry]]&amp;""&amp;"P"&amp;Table133[[#This Row],[Strike]]))</f>
        <v>0</v>
      </c>
      <c r="S604" s="17"/>
      <c r="T604" t="b">
        <f>IF(     ISNUMBER(Table133[[#This Row],[Strike]]),RTD("tos.rtd", , "OPEN_INT", "."&amp;Table133[[#This Row],[Ticker]]&amp;Table133[[#This Row],[Expiry]]&amp;""&amp;"P"&amp;Table133[[#This Row],[Strike]]))</f>
        <v>0</v>
      </c>
      <c r="U60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4" t="b">
        <f>IF(     ISNUMBER(Table133[[#This Row],[Strike]]),RTD("tos.rtd", , "DELTA", "."&amp;Table133[[#This Row],[Ticker]]&amp;Table133[[#This Row],[Expiry]]&amp;""&amp;"P"&amp;Table133[[#This Row],[Strike]]))</f>
        <v>0</v>
      </c>
      <c r="Y604" s="19">
        <f>44* IF($M$1="NDX", 10, IF(OR($M$1="SPX", $M$1="RUT"), 2, 1))</f>
        <v>88</v>
      </c>
      <c r="Z604">
        <f ca="1">IFERROR(Table133[[#This Row],[call gamma]]*(Table133[[#This Row],[Open.Int]])*$A$4^2,0)</f>
        <v>0</v>
      </c>
      <c r="AA604">
        <f ca="1">IFERROR(((Table133[[#This Row],[Open.Int8]])*Table133[[#This Row],[Put gamma]])*-1*$A$4^2,0)</f>
        <v>0</v>
      </c>
      <c r="AB604">
        <f ca="1">(Table133[[#This Row],[Call Gex]]+Table133[[#This Row],[Put Gex]])</f>
        <v>0</v>
      </c>
      <c r="AC604">
        <f ca="1">Table133[[#This Row],[put delta adj]]+Table133[[#This Row],[call delta adj]]</f>
        <v>0</v>
      </c>
      <c r="AD604">
        <f ca="1">Table133[[#This Row],[Put Gex]]*Table133[[#This Row],[DeltaP]]*-1</f>
        <v>0</v>
      </c>
      <c r="AE604">
        <f ca="1">Table133[[#This Row],[Call Gex]]*Table133[[#This Row],[DeltaC]]</f>
        <v>0</v>
      </c>
      <c r="AF604">
        <f>IF(Table133[[#This Row],[DeltaC]]-ABS(Table133[[#This Row],[DeltaP]])="0","0.01",Table133[[#This Row],[DeltaC]]-ABS(Table133[[#This Row],[DeltaP]]))</f>
        <v>0</v>
      </c>
      <c r="AG604" t="e">
        <f ca="1">((LN($A$4/Table133[[#This Row],[Strike]]) + (0.411 + 0.5 * Table133[[#This Row],[IV Calc P]]^2) *Table133[[#This Row],[T]])) / (Table133[[#This Row],[IV Calc P]] * SQRT(Table133[[#This Row],[T]]))</f>
        <v>#DIV/0!</v>
      </c>
      <c r="AH604" t="e">
        <f ca="1">(LN($A$4/Table133[[#This Row],[Strike]]) + (0.411-0 + 0.5 * Table133[[#This Row],[IV Calc C]]^2) *Table133[[#This Row],[T]]) / (Table133[[#This Row],[IV Calc C]] * SQRT(Table133[[#This Row],[T]]))</f>
        <v>#DIV/0!</v>
      </c>
      <c r="AI604" t="e">
        <f ca="1">(EXP(-(AG604^2)/2)/SQRT(2*PI())*EXP(0*SQRT(Table133[[#This Row],[T]]))/$A$4*18%*SQRT(SQRT(Table133[[#This Row],[T]])))</f>
        <v>#DIV/0!</v>
      </c>
      <c r="AJ604" t="e">
        <f ca="1">(EXP(-(AH604^2)/2)/SQRT(2*PI())*EXP(0*SQRT(Table133[[#This Row],[T]]))/$A$4*18%*SQRT(SQRT(Table133[[#This Row],[T]])))</f>
        <v>#DIV/0!</v>
      </c>
      <c r="AK604" t="e">
        <f ca="1">Table133[[#This Row],[Call D1]]-Table133[[#This Row],[IV Calc C]]*SQRT(Table133[[#This Row],[T]])</f>
        <v>#DIV/0!</v>
      </c>
      <c r="AL604" t="e">
        <f ca="1">Table133[[#This Row],[Put D1]]-Table133[[#This Row],[IV Calc P]]*SQRT(Table133[[#This Row],[T]])</f>
        <v>#DIV/0!</v>
      </c>
      <c r="AM604" t="e">
        <f ca="1">EXP(-0.5*Table133[[#This Row],[Call D1]]^2)/SQRT(2*PI())</f>
        <v>#DIV/0!</v>
      </c>
      <c r="AN604" t="e">
        <f ca="1">EXP(-0.5*Table133[[#This Row],[Put D1]]^2)/SQRT(2*PI())</f>
        <v>#DIV/0!</v>
      </c>
      <c r="AO60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4">
        <f ca="1">((Table133[[#This Row],[call vanna]]+Table133[[#This Row],[put vanna]])*$A$4)</f>
        <v>0</v>
      </c>
      <c r="AR60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4" s="9" t="str" cm="1">
        <f t="array" ref="AT604">_xlfn.IFS(     $M$1="SPX","SPXW",     $M$1="RUT","RUTW",  $M$1="NDX","NDXP",   TRUE,$M$1 )</f>
        <v>SPXW</v>
      </c>
      <c r="AU604" s="2">
        <f t="shared" si="57"/>
        <v>6915</v>
      </c>
      <c r="AV604" t="str">
        <f t="shared" si="58"/>
        <v>000100</v>
      </c>
      <c r="AY60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4">
        <f>((Table133[[#This Row],[High C]]+Table133[[#This Row],[Low C]])/2)*Table133[[#This Row],[gammac]]*Table133[[#This Row],[Volume]]</f>
        <v>0</v>
      </c>
      <c r="BD604">
        <f>((Table133[[#This Row],[High P]]+Table133[[#This Row],[Low P]])/2)*Table133[[#This Row],[gammap]]*Table133[[#This Row],[Volume9]]*-1</f>
        <v>0</v>
      </c>
      <c r="BE604">
        <f>(Table133[[#This Row],[SgammaC]]+Table133[[#This Row],[SgammaP]])*$A$4*-100</f>
        <v>0</v>
      </c>
      <c r="BF604" s="78">
        <f>Table133[[#This Row],[DEXc]]+Table133[[#This Row],[DEXp]]</f>
        <v>0</v>
      </c>
      <c r="BG604">
        <f>IFERROR(Table133[[#This Row],[DeltaC]]*Table133[[#This Row],[Open.Int]]*$A$4,0)</f>
        <v>0</v>
      </c>
      <c r="BH604">
        <f>IFERROR(Table133[[#This Row],[DeltaP]]*Table133[[#This Row],[Open.Int8]]*$A$4,0)</f>
        <v>0</v>
      </c>
      <c r="BI60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4">
        <f ca="1">Table133[[#This Row],[charmc]]+Table133[[#This Row],[charmp]]</f>
        <v>0</v>
      </c>
      <c r="BL60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4" s="78">
        <f ca="1">Table133[[#This Row],[call helper]]+Table133[[#This Row],[put helper]]</f>
        <v>0</v>
      </c>
      <c r="BP604" t="str">
        <f>RTD("tos.rtd", , "STRIKE", "."&amp;Table133[[#This Row],[Ticker]]&amp;Table133[[#This Row],[Expiry]]&amp;""&amp;"C"&amp;Table133[[#This Row],[Spot]]+Table133[[#This Row],[step]])</f>
        <v>N/A</v>
      </c>
    </row>
    <row r="605" spans="1:68" x14ac:dyDescent="0.25">
      <c r="A605" s="14">
        <f t="shared" ca="1" si="54"/>
        <v>-126.14810350076104</v>
      </c>
      <c r="C605" s="17"/>
      <c r="D605" t="str">
        <f>RTD("tos.rtd", , "OPEN_INT", "."&amp;Table133[[#This Row],[Ticker]]&amp;Table133[[#This Row],[Expiry]]&amp;""&amp;"C"&amp;Table133[[#This Row],[Spot]]+Table133[[#This Row],[step]])</f>
        <v>N/A</v>
      </c>
      <c r="E60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5" t="b">
        <f>IF(     ISNUMBER(Table133[[#This Row],[Strike]]),RTD("tos.rtd", , "DELTA", "."&amp;Table133[[#This Row],[Ticker]]&amp;Table133[[#This Row],[Expiry]]&amp;""&amp;"C"&amp;Table133[[#This Row],[Strike]]))</f>
        <v>0</v>
      </c>
      <c r="H605" s="17" cm="1">
        <f t="array" aca="1" ref="H605" ca="1">IndividualLegIVCore($A$4, Table133[[#This Row],[Strike]], 0.0411, Table133[[#This Row],[T]], ((Table133[[#This Row],[BIDC]]+Table133[[#This Row],[ASKC]])/2), TRUE)</f>
        <v>0.01</v>
      </c>
      <c r="I605" t="b">
        <f>IF(     ISNUMBER(Table133[[#This Row],[Strike]]),RTD("tos.rtd", , "BID", "."&amp;Table133[[#This Row],[Ticker]]&amp;Table133[[#This Row],[Expiry]]&amp;""&amp;"C"&amp;Table133[[#This Row],[Strike]]))</f>
        <v>0</v>
      </c>
      <c r="J605" t="b">
        <f>IF(     ISNUMBER(Table133[[#This Row],[Strike]]),RTD("tos.rtd", , "ASK", "."&amp;Table133[[#This Row],[Ticker]]&amp;Table133[[#This Row],[Expiry]]&amp;""&amp;"C"&amp;Table133[[#This Row],[Strike]]))</f>
        <v>0</v>
      </c>
      <c r="K605" s="17"/>
      <c r="M605" s="1">
        <f t="shared" si="55"/>
        <v>0</v>
      </c>
      <c r="N605" t="b">
        <f t="shared" si="56"/>
        <v>0</v>
      </c>
      <c r="P605" s="17" cm="1">
        <f t="array" aca="1" ref="P605" ca="1">IndividualLegIVCore($A$4, Table133[[#This Row],[Strike]], 0.0411, Table133[[#This Row],[T]], ((Table133[[#This Row],[BIDP]]+Table133[[#This Row],[ASKP]])/2), FALSE)</f>
        <v>0.01</v>
      </c>
      <c r="Q605" t="b">
        <f>IF(     ISNUMBER(Table133[[#This Row],[Strike]]),RTD("tos.rtd", , "BID", "."&amp;Table133[[#This Row],[Ticker]]&amp;Table133[[#This Row],[Expiry]]&amp;""&amp;"P"&amp;Table133[[#This Row],[Strike]]))</f>
        <v>0</v>
      </c>
      <c r="R605" t="b">
        <f>IF(     ISNUMBER(Table133[[#This Row],[Strike]]),RTD("tos.rtd", , "ASK", "."&amp;Table133[[#This Row],[Ticker]]&amp;Table133[[#This Row],[Expiry]]&amp;""&amp;"P"&amp;Table133[[#This Row],[Strike]]))</f>
        <v>0</v>
      </c>
      <c r="S605" s="17"/>
      <c r="T605" t="b">
        <f>IF(     ISNUMBER(Table133[[#This Row],[Strike]]),RTD("tos.rtd", , "OPEN_INT", "."&amp;Table133[[#This Row],[Ticker]]&amp;Table133[[#This Row],[Expiry]]&amp;""&amp;"P"&amp;Table133[[#This Row],[Strike]]))</f>
        <v>0</v>
      </c>
      <c r="U60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5" t="b">
        <f>IF(     ISNUMBER(Table133[[#This Row],[Strike]]),RTD("tos.rtd", , "DELTA", "."&amp;Table133[[#This Row],[Ticker]]&amp;Table133[[#This Row],[Expiry]]&amp;""&amp;"P"&amp;Table133[[#This Row],[Strike]]))</f>
        <v>0</v>
      </c>
      <c r="Y605" s="19">
        <f>44.5* IF($M$1="NDX", 10, IF(OR($M$1="SPX", $M$1="RUT"), 2, 1))</f>
        <v>89</v>
      </c>
      <c r="Z605">
        <f ca="1">IFERROR(Table133[[#This Row],[call gamma]]*(Table133[[#This Row],[Open.Int]])*$A$4^2,0)</f>
        <v>0</v>
      </c>
      <c r="AA605">
        <f ca="1">IFERROR(((Table133[[#This Row],[Open.Int8]])*Table133[[#This Row],[Put gamma]])*-1*$A$4^2,0)</f>
        <v>0</v>
      </c>
      <c r="AB605">
        <f ca="1">(Table133[[#This Row],[Call Gex]]+Table133[[#This Row],[Put Gex]])</f>
        <v>0</v>
      </c>
      <c r="AC605">
        <f ca="1">Table133[[#This Row],[put delta adj]]+Table133[[#This Row],[call delta adj]]</f>
        <v>0</v>
      </c>
      <c r="AD605">
        <f ca="1">Table133[[#This Row],[Put Gex]]*Table133[[#This Row],[DeltaP]]*-1</f>
        <v>0</v>
      </c>
      <c r="AE605">
        <f ca="1">Table133[[#This Row],[Call Gex]]*Table133[[#This Row],[DeltaC]]</f>
        <v>0</v>
      </c>
      <c r="AF605">
        <f>IF(Table133[[#This Row],[DeltaC]]-ABS(Table133[[#This Row],[DeltaP]])="0","0.01",Table133[[#This Row],[DeltaC]]-ABS(Table133[[#This Row],[DeltaP]]))</f>
        <v>0</v>
      </c>
      <c r="AG605" t="e">
        <f ca="1">((LN($A$4/Table133[[#This Row],[Strike]]) + (0.411 + 0.5 * Table133[[#This Row],[IV Calc P]]^2) *Table133[[#This Row],[T]])) / (Table133[[#This Row],[IV Calc P]] * SQRT(Table133[[#This Row],[T]]))</f>
        <v>#DIV/0!</v>
      </c>
      <c r="AH605" t="e">
        <f ca="1">(LN($A$4/Table133[[#This Row],[Strike]]) + (0.411-0 + 0.5 * Table133[[#This Row],[IV Calc C]]^2) *Table133[[#This Row],[T]]) / (Table133[[#This Row],[IV Calc C]] * SQRT(Table133[[#This Row],[T]]))</f>
        <v>#DIV/0!</v>
      </c>
      <c r="AI605" t="e">
        <f ca="1">(EXP(-(AG605^2)/2)/SQRT(2*PI())*EXP(0*SQRT(Table133[[#This Row],[T]]))/$A$4*18%*SQRT(SQRT(Table133[[#This Row],[T]])))</f>
        <v>#DIV/0!</v>
      </c>
      <c r="AJ605" t="e">
        <f ca="1">(EXP(-(AH605^2)/2)/SQRT(2*PI())*EXP(0*SQRT(Table133[[#This Row],[T]]))/$A$4*18%*SQRT(SQRT(Table133[[#This Row],[T]])))</f>
        <v>#DIV/0!</v>
      </c>
      <c r="AK605" t="e">
        <f ca="1">Table133[[#This Row],[Call D1]]-Table133[[#This Row],[IV Calc C]]*SQRT(Table133[[#This Row],[T]])</f>
        <v>#DIV/0!</v>
      </c>
      <c r="AL605" t="e">
        <f ca="1">Table133[[#This Row],[Put D1]]-Table133[[#This Row],[IV Calc P]]*SQRT(Table133[[#This Row],[T]])</f>
        <v>#DIV/0!</v>
      </c>
      <c r="AM605" t="e">
        <f ca="1">EXP(-0.5*Table133[[#This Row],[Call D1]]^2)/SQRT(2*PI())</f>
        <v>#DIV/0!</v>
      </c>
      <c r="AN605" t="e">
        <f ca="1">EXP(-0.5*Table133[[#This Row],[Put D1]]^2)/SQRT(2*PI())</f>
        <v>#DIV/0!</v>
      </c>
      <c r="AO60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5">
        <f ca="1">((Table133[[#This Row],[call vanna]]+Table133[[#This Row],[put vanna]])*$A$4)</f>
        <v>0</v>
      </c>
      <c r="AR60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5" s="9" t="str" cm="1">
        <f t="array" ref="AT605">_xlfn.IFS(     $M$1="SPX","SPXW",     $M$1="RUT","RUTW",  $M$1="NDX","NDXP",   TRUE,$M$1 )</f>
        <v>SPXW</v>
      </c>
      <c r="AU605" s="2">
        <f t="shared" si="57"/>
        <v>6915</v>
      </c>
      <c r="AV605" t="str">
        <f t="shared" si="58"/>
        <v>000100</v>
      </c>
      <c r="AY60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5">
        <f>((Table133[[#This Row],[High C]]+Table133[[#This Row],[Low C]])/2)*Table133[[#This Row],[gammac]]*Table133[[#This Row],[Volume]]</f>
        <v>0</v>
      </c>
      <c r="BD605">
        <f>((Table133[[#This Row],[High P]]+Table133[[#This Row],[Low P]])/2)*Table133[[#This Row],[gammap]]*Table133[[#This Row],[Volume9]]*-1</f>
        <v>0</v>
      </c>
      <c r="BE605">
        <f>(Table133[[#This Row],[SgammaC]]+Table133[[#This Row],[SgammaP]])*$A$4*-100</f>
        <v>0</v>
      </c>
      <c r="BF605" s="78">
        <f>Table133[[#This Row],[DEXc]]+Table133[[#This Row],[DEXp]]</f>
        <v>0</v>
      </c>
      <c r="BG605">
        <f>IFERROR(Table133[[#This Row],[DeltaC]]*Table133[[#This Row],[Open.Int]]*$A$4,0)</f>
        <v>0</v>
      </c>
      <c r="BH605">
        <f>IFERROR(Table133[[#This Row],[DeltaP]]*Table133[[#This Row],[Open.Int8]]*$A$4,0)</f>
        <v>0</v>
      </c>
      <c r="BI60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5">
        <f ca="1">Table133[[#This Row],[charmc]]+Table133[[#This Row],[charmp]]</f>
        <v>0</v>
      </c>
      <c r="BL60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5" s="78">
        <f ca="1">Table133[[#This Row],[call helper]]+Table133[[#This Row],[put helper]]</f>
        <v>0</v>
      </c>
      <c r="BP605" t="str">
        <f>RTD("tos.rtd", , "STRIKE", "."&amp;Table133[[#This Row],[Ticker]]&amp;Table133[[#This Row],[Expiry]]&amp;""&amp;"C"&amp;Table133[[#This Row],[Spot]]+Table133[[#This Row],[step]])</f>
        <v>N/A</v>
      </c>
    </row>
    <row r="606" spans="1:68" x14ac:dyDescent="0.25">
      <c r="A606" s="14">
        <f t="shared" ca="1" si="54"/>
        <v>-126.14810350076104</v>
      </c>
      <c r="C606" s="17"/>
      <c r="D606" t="str">
        <f>RTD("tos.rtd", , "OPEN_INT", "."&amp;Table133[[#This Row],[Ticker]]&amp;Table133[[#This Row],[Expiry]]&amp;""&amp;"C"&amp;Table133[[#This Row],[Spot]]+Table133[[#This Row],[step]])</f>
        <v>N/A</v>
      </c>
      <c r="E60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6" t="b">
        <f>IF(     ISNUMBER(Table133[[#This Row],[Strike]]),RTD("tos.rtd", , "DELTA", "."&amp;Table133[[#This Row],[Ticker]]&amp;Table133[[#This Row],[Expiry]]&amp;""&amp;"C"&amp;Table133[[#This Row],[Strike]]))</f>
        <v>0</v>
      </c>
      <c r="H606" s="17" cm="1">
        <f t="array" aca="1" ref="H606" ca="1">IndividualLegIVCore($A$4, Table133[[#This Row],[Strike]], 0.0411, Table133[[#This Row],[T]], ((Table133[[#This Row],[BIDC]]+Table133[[#This Row],[ASKC]])/2), TRUE)</f>
        <v>0.01</v>
      </c>
      <c r="I606" t="b">
        <f>IF(     ISNUMBER(Table133[[#This Row],[Strike]]),RTD("tos.rtd", , "BID", "."&amp;Table133[[#This Row],[Ticker]]&amp;Table133[[#This Row],[Expiry]]&amp;""&amp;"C"&amp;Table133[[#This Row],[Strike]]))</f>
        <v>0</v>
      </c>
      <c r="J606" t="b">
        <f>IF(     ISNUMBER(Table133[[#This Row],[Strike]]),RTD("tos.rtd", , "ASK", "."&amp;Table133[[#This Row],[Ticker]]&amp;Table133[[#This Row],[Expiry]]&amp;""&amp;"C"&amp;Table133[[#This Row],[Strike]]))</f>
        <v>0</v>
      </c>
      <c r="K606" s="17"/>
      <c r="M606" s="1">
        <f t="shared" si="55"/>
        <v>0</v>
      </c>
      <c r="N606" t="b">
        <f t="shared" si="56"/>
        <v>0</v>
      </c>
      <c r="P606" s="17" cm="1">
        <f t="array" aca="1" ref="P606" ca="1">IndividualLegIVCore($A$4, Table133[[#This Row],[Strike]], 0.0411, Table133[[#This Row],[T]], ((Table133[[#This Row],[BIDP]]+Table133[[#This Row],[ASKP]])/2), FALSE)</f>
        <v>0.01</v>
      </c>
      <c r="Q606" t="b">
        <f>IF(     ISNUMBER(Table133[[#This Row],[Strike]]),RTD("tos.rtd", , "BID", "."&amp;Table133[[#This Row],[Ticker]]&amp;Table133[[#This Row],[Expiry]]&amp;""&amp;"P"&amp;Table133[[#This Row],[Strike]]))</f>
        <v>0</v>
      </c>
      <c r="R606" t="b">
        <f>IF(     ISNUMBER(Table133[[#This Row],[Strike]]),RTD("tos.rtd", , "ASK", "."&amp;Table133[[#This Row],[Ticker]]&amp;Table133[[#This Row],[Expiry]]&amp;""&amp;"P"&amp;Table133[[#This Row],[Strike]]))</f>
        <v>0</v>
      </c>
      <c r="S606" s="17"/>
      <c r="T606" t="b">
        <f>IF(     ISNUMBER(Table133[[#This Row],[Strike]]),RTD("tos.rtd", , "OPEN_INT", "."&amp;Table133[[#This Row],[Ticker]]&amp;Table133[[#This Row],[Expiry]]&amp;""&amp;"P"&amp;Table133[[#This Row],[Strike]]))</f>
        <v>0</v>
      </c>
      <c r="U60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6" t="b">
        <f>IF(     ISNUMBER(Table133[[#This Row],[Strike]]),RTD("tos.rtd", , "DELTA", "."&amp;Table133[[#This Row],[Ticker]]&amp;Table133[[#This Row],[Expiry]]&amp;""&amp;"P"&amp;Table133[[#This Row],[Strike]]))</f>
        <v>0</v>
      </c>
      <c r="Y606" s="20">
        <f>45* IF($M$1="NDX", 10, IF(OR($M$1="SPX", $M$1="RUT"), 2, 1))</f>
        <v>90</v>
      </c>
      <c r="Z606">
        <f ca="1">IFERROR(Table133[[#This Row],[call gamma]]*(Table133[[#This Row],[Open.Int]])*$A$4^2,0)</f>
        <v>0</v>
      </c>
      <c r="AA606">
        <f ca="1">IFERROR(((Table133[[#This Row],[Open.Int8]])*Table133[[#This Row],[Put gamma]])*-1*$A$4^2,0)</f>
        <v>0</v>
      </c>
      <c r="AB606">
        <f ca="1">(Table133[[#This Row],[Call Gex]]+Table133[[#This Row],[Put Gex]])</f>
        <v>0</v>
      </c>
      <c r="AC606">
        <f ca="1">Table133[[#This Row],[put delta adj]]+Table133[[#This Row],[call delta adj]]</f>
        <v>0</v>
      </c>
      <c r="AD606">
        <f ca="1">Table133[[#This Row],[Put Gex]]*Table133[[#This Row],[DeltaP]]*-1</f>
        <v>0</v>
      </c>
      <c r="AE606">
        <f ca="1">Table133[[#This Row],[Call Gex]]*Table133[[#This Row],[DeltaC]]</f>
        <v>0</v>
      </c>
      <c r="AF606">
        <f>IF(Table133[[#This Row],[DeltaC]]-ABS(Table133[[#This Row],[DeltaP]])="0","0.01",Table133[[#This Row],[DeltaC]]-ABS(Table133[[#This Row],[DeltaP]]))</f>
        <v>0</v>
      </c>
      <c r="AG606" t="e">
        <f ca="1">((LN($A$4/Table133[[#This Row],[Strike]]) + (0.411 + 0.5 * Table133[[#This Row],[IV Calc P]]^2) *Table133[[#This Row],[T]])) / (Table133[[#This Row],[IV Calc P]] * SQRT(Table133[[#This Row],[T]]))</f>
        <v>#DIV/0!</v>
      </c>
      <c r="AH606" t="e">
        <f ca="1">(LN($A$4/Table133[[#This Row],[Strike]]) + (0.411-0 + 0.5 * Table133[[#This Row],[IV Calc C]]^2) *Table133[[#This Row],[T]]) / (Table133[[#This Row],[IV Calc C]] * SQRT(Table133[[#This Row],[T]]))</f>
        <v>#DIV/0!</v>
      </c>
      <c r="AI606" t="e">
        <f ca="1">(EXP(-(AG606^2)/2)/SQRT(2*PI())*EXP(0*SQRT(Table133[[#This Row],[T]]))/$A$4*18%*SQRT(SQRT(Table133[[#This Row],[T]])))</f>
        <v>#DIV/0!</v>
      </c>
      <c r="AJ606" t="e">
        <f ca="1">(EXP(-(AH606^2)/2)/SQRT(2*PI())*EXP(0*SQRT(Table133[[#This Row],[T]]))/$A$4*18%*SQRT(SQRT(Table133[[#This Row],[T]])))</f>
        <v>#DIV/0!</v>
      </c>
      <c r="AK606" t="e">
        <f ca="1">Table133[[#This Row],[Call D1]]-Table133[[#This Row],[IV Calc C]]*SQRT(Table133[[#This Row],[T]])</f>
        <v>#DIV/0!</v>
      </c>
      <c r="AL606" t="e">
        <f ca="1">Table133[[#This Row],[Put D1]]-Table133[[#This Row],[IV Calc P]]*SQRT(Table133[[#This Row],[T]])</f>
        <v>#DIV/0!</v>
      </c>
      <c r="AM606" t="e">
        <f ca="1">EXP(-0.5*Table133[[#This Row],[Call D1]]^2)/SQRT(2*PI())</f>
        <v>#DIV/0!</v>
      </c>
      <c r="AN606" t="e">
        <f ca="1">EXP(-0.5*Table133[[#This Row],[Put D1]]^2)/SQRT(2*PI())</f>
        <v>#DIV/0!</v>
      </c>
      <c r="AO60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6">
        <f ca="1">((Table133[[#This Row],[call vanna]]+Table133[[#This Row],[put vanna]])*$A$4)</f>
        <v>0</v>
      </c>
      <c r="AR60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6" s="9" t="str" cm="1">
        <f t="array" ref="AT606">_xlfn.IFS(     $M$1="SPX","SPXW",     $M$1="RUT","RUTW",  $M$1="NDX","NDXP",   TRUE,$M$1 )</f>
        <v>SPXW</v>
      </c>
      <c r="AU606" s="2">
        <f t="shared" si="57"/>
        <v>6915</v>
      </c>
      <c r="AV606" t="str">
        <f t="shared" si="58"/>
        <v>000100</v>
      </c>
      <c r="AY60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6">
        <f>((Table133[[#This Row],[High C]]+Table133[[#This Row],[Low C]])/2)*Table133[[#This Row],[gammac]]*Table133[[#This Row],[Volume]]</f>
        <v>0</v>
      </c>
      <c r="BD606">
        <f>((Table133[[#This Row],[High P]]+Table133[[#This Row],[Low P]])/2)*Table133[[#This Row],[gammap]]*Table133[[#This Row],[Volume9]]*-1</f>
        <v>0</v>
      </c>
      <c r="BE606">
        <f>(Table133[[#This Row],[SgammaC]]+Table133[[#This Row],[SgammaP]])*$A$4*-100</f>
        <v>0</v>
      </c>
      <c r="BF606" s="78">
        <f>Table133[[#This Row],[DEXc]]+Table133[[#This Row],[DEXp]]</f>
        <v>0</v>
      </c>
      <c r="BG606">
        <f>IFERROR(Table133[[#This Row],[DeltaC]]*Table133[[#This Row],[Open.Int]]*$A$4,0)</f>
        <v>0</v>
      </c>
      <c r="BH606">
        <f>IFERROR(Table133[[#This Row],[DeltaP]]*Table133[[#This Row],[Open.Int8]]*$A$4,0)</f>
        <v>0</v>
      </c>
      <c r="BI60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6">
        <f ca="1">Table133[[#This Row],[charmc]]+Table133[[#This Row],[charmp]]</f>
        <v>0</v>
      </c>
      <c r="BL60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6" s="78">
        <f ca="1">Table133[[#This Row],[call helper]]+Table133[[#This Row],[put helper]]</f>
        <v>0</v>
      </c>
      <c r="BP606" t="str">
        <f>RTD("tos.rtd", , "STRIKE", "."&amp;Table133[[#This Row],[Ticker]]&amp;Table133[[#This Row],[Expiry]]&amp;""&amp;"C"&amp;Table133[[#This Row],[Spot]]+Table133[[#This Row],[step]])</f>
        <v>N/A</v>
      </c>
    </row>
    <row r="607" spans="1:68" x14ac:dyDescent="0.25">
      <c r="A607" s="14">
        <f t="shared" ca="1" si="54"/>
        <v>-126.14810350076104</v>
      </c>
      <c r="C607" s="17"/>
      <c r="D607" t="str">
        <f>RTD("tos.rtd", , "OPEN_INT", "."&amp;Table133[[#This Row],[Ticker]]&amp;Table133[[#This Row],[Expiry]]&amp;""&amp;"C"&amp;Table133[[#This Row],[Spot]]+Table133[[#This Row],[step]])</f>
        <v>N/A</v>
      </c>
      <c r="E60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7" t="b">
        <f>IF(     ISNUMBER(Table133[[#This Row],[Strike]]),RTD("tos.rtd", , "DELTA", "."&amp;Table133[[#This Row],[Ticker]]&amp;Table133[[#This Row],[Expiry]]&amp;""&amp;"C"&amp;Table133[[#This Row],[Strike]]))</f>
        <v>0</v>
      </c>
      <c r="H607" s="17" cm="1">
        <f t="array" aca="1" ref="H607" ca="1">IndividualLegIVCore($A$4, Table133[[#This Row],[Strike]], 0.0411, Table133[[#This Row],[T]], ((Table133[[#This Row],[BIDC]]+Table133[[#This Row],[ASKC]])/2), TRUE)</f>
        <v>0.01</v>
      </c>
      <c r="I607" t="b">
        <f>IF(     ISNUMBER(Table133[[#This Row],[Strike]]),RTD("tos.rtd", , "BID", "."&amp;Table133[[#This Row],[Ticker]]&amp;Table133[[#This Row],[Expiry]]&amp;""&amp;"C"&amp;Table133[[#This Row],[Strike]]))</f>
        <v>0</v>
      </c>
      <c r="J607" t="b">
        <f>IF(     ISNUMBER(Table133[[#This Row],[Strike]]),RTD("tos.rtd", , "ASK", "."&amp;Table133[[#This Row],[Ticker]]&amp;Table133[[#This Row],[Expiry]]&amp;""&amp;"C"&amp;Table133[[#This Row],[Strike]]))</f>
        <v>0</v>
      </c>
      <c r="K607" s="17"/>
      <c r="M607" s="1">
        <f t="shared" si="55"/>
        <v>0</v>
      </c>
      <c r="N607" t="b">
        <f t="shared" si="56"/>
        <v>0</v>
      </c>
      <c r="P607" s="17" cm="1">
        <f t="array" aca="1" ref="P607" ca="1">IndividualLegIVCore($A$4, Table133[[#This Row],[Strike]], 0.0411, Table133[[#This Row],[T]], ((Table133[[#This Row],[BIDP]]+Table133[[#This Row],[ASKP]])/2), FALSE)</f>
        <v>0.01</v>
      </c>
      <c r="Q607" t="b">
        <f>IF(     ISNUMBER(Table133[[#This Row],[Strike]]),RTD("tos.rtd", , "BID", "."&amp;Table133[[#This Row],[Ticker]]&amp;Table133[[#This Row],[Expiry]]&amp;""&amp;"P"&amp;Table133[[#This Row],[Strike]]))</f>
        <v>0</v>
      </c>
      <c r="R607" t="b">
        <f>IF(     ISNUMBER(Table133[[#This Row],[Strike]]),RTD("tos.rtd", , "ASK", "."&amp;Table133[[#This Row],[Ticker]]&amp;Table133[[#This Row],[Expiry]]&amp;""&amp;"P"&amp;Table133[[#This Row],[Strike]]))</f>
        <v>0</v>
      </c>
      <c r="S607" s="17"/>
      <c r="T607" t="b">
        <f>IF(     ISNUMBER(Table133[[#This Row],[Strike]]),RTD("tos.rtd", , "OPEN_INT", "."&amp;Table133[[#This Row],[Ticker]]&amp;Table133[[#This Row],[Expiry]]&amp;""&amp;"P"&amp;Table133[[#This Row],[Strike]]))</f>
        <v>0</v>
      </c>
      <c r="U60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7" t="b">
        <f>IF(     ISNUMBER(Table133[[#This Row],[Strike]]),RTD("tos.rtd", , "DELTA", "."&amp;Table133[[#This Row],[Ticker]]&amp;Table133[[#This Row],[Expiry]]&amp;""&amp;"P"&amp;Table133[[#This Row],[Strike]]))</f>
        <v>0</v>
      </c>
      <c r="Y607" s="19">
        <f>45.5* IF($M$1="NDX", 10, IF(OR($M$1="SPX", $M$1="RUT"), 2, 1))</f>
        <v>91</v>
      </c>
      <c r="Z607">
        <f ca="1">IFERROR(Table133[[#This Row],[call gamma]]*(Table133[[#This Row],[Open.Int]])*$A$4^2,0)</f>
        <v>0</v>
      </c>
      <c r="AA607">
        <f ca="1">IFERROR(((Table133[[#This Row],[Open.Int8]])*Table133[[#This Row],[Put gamma]])*-1*$A$4^2,0)</f>
        <v>0</v>
      </c>
      <c r="AB607">
        <f ca="1">(Table133[[#This Row],[Call Gex]]+Table133[[#This Row],[Put Gex]])</f>
        <v>0</v>
      </c>
      <c r="AC607">
        <f ca="1">Table133[[#This Row],[put delta adj]]+Table133[[#This Row],[call delta adj]]</f>
        <v>0</v>
      </c>
      <c r="AD607">
        <f ca="1">Table133[[#This Row],[Put Gex]]*Table133[[#This Row],[DeltaP]]*-1</f>
        <v>0</v>
      </c>
      <c r="AE607">
        <f ca="1">Table133[[#This Row],[Call Gex]]*Table133[[#This Row],[DeltaC]]</f>
        <v>0</v>
      </c>
      <c r="AF607">
        <f>IF(Table133[[#This Row],[DeltaC]]-ABS(Table133[[#This Row],[DeltaP]])="0","0.01",Table133[[#This Row],[DeltaC]]-ABS(Table133[[#This Row],[DeltaP]]))</f>
        <v>0</v>
      </c>
      <c r="AG607" t="e">
        <f ca="1">((LN($A$4/Table133[[#This Row],[Strike]]) + (0.411 + 0.5 * Table133[[#This Row],[IV Calc P]]^2) *Table133[[#This Row],[T]])) / (Table133[[#This Row],[IV Calc P]] * SQRT(Table133[[#This Row],[T]]))</f>
        <v>#DIV/0!</v>
      </c>
      <c r="AH607" t="e">
        <f ca="1">(LN($A$4/Table133[[#This Row],[Strike]]) + (0.411-0 + 0.5 * Table133[[#This Row],[IV Calc C]]^2) *Table133[[#This Row],[T]]) / (Table133[[#This Row],[IV Calc C]] * SQRT(Table133[[#This Row],[T]]))</f>
        <v>#DIV/0!</v>
      </c>
      <c r="AI607" t="e">
        <f ca="1">(EXP(-(AG607^2)/2)/SQRT(2*PI())*EXP(0*SQRT(Table133[[#This Row],[T]]))/$A$4*18%*SQRT(SQRT(Table133[[#This Row],[T]])))</f>
        <v>#DIV/0!</v>
      </c>
      <c r="AJ607" t="e">
        <f ca="1">(EXP(-(AH607^2)/2)/SQRT(2*PI())*EXP(0*SQRT(Table133[[#This Row],[T]]))/$A$4*18%*SQRT(SQRT(Table133[[#This Row],[T]])))</f>
        <v>#DIV/0!</v>
      </c>
      <c r="AK607" t="e">
        <f ca="1">Table133[[#This Row],[Call D1]]-Table133[[#This Row],[IV Calc C]]*SQRT(Table133[[#This Row],[T]])</f>
        <v>#DIV/0!</v>
      </c>
      <c r="AL607" t="e">
        <f ca="1">Table133[[#This Row],[Put D1]]-Table133[[#This Row],[IV Calc P]]*SQRT(Table133[[#This Row],[T]])</f>
        <v>#DIV/0!</v>
      </c>
      <c r="AM607" t="e">
        <f ca="1">EXP(-0.5*Table133[[#This Row],[Call D1]]^2)/SQRT(2*PI())</f>
        <v>#DIV/0!</v>
      </c>
      <c r="AN607" t="e">
        <f ca="1">EXP(-0.5*Table133[[#This Row],[Put D1]]^2)/SQRT(2*PI())</f>
        <v>#DIV/0!</v>
      </c>
      <c r="AO60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7">
        <f ca="1">((Table133[[#This Row],[call vanna]]+Table133[[#This Row],[put vanna]])*$A$4)</f>
        <v>0</v>
      </c>
      <c r="AR60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7" s="9" t="str" cm="1">
        <f t="array" ref="AT607">_xlfn.IFS(     $M$1="SPX","SPXW",     $M$1="RUT","RUTW",  $M$1="NDX","NDXP",   TRUE,$M$1 )</f>
        <v>SPXW</v>
      </c>
      <c r="AU607" s="2">
        <f t="shared" si="57"/>
        <v>6915</v>
      </c>
      <c r="AV607" t="str">
        <f t="shared" si="58"/>
        <v>000100</v>
      </c>
      <c r="AY60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7">
        <f>((Table133[[#This Row],[High C]]+Table133[[#This Row],[Low C]])/2)*Table133[[#This Row],[gammac]]*Table133[[#This Row],[Volume]]</f>
        <v>0</v>
      </c>
      <c r="BD607">
        <f>((Table133[[#This Row],[High P]]+Table133[[#This Row],[Low P]])/2)*Table133[[#This Row],[gammap]]*Table133[[#This Row],[Volume9]]*-1</f>
        <v>0</v>
      </c>
      <c r="BE607">
        <f>(Table133[[#This Row],[SgammaC]]+Table133[[#This Row],[SgammaP]])*$A$4*-100</f>
        <v>0</v>
      </c>
      <c r="BF607" s="78">
        <f>Table133[[#This Row],[DEXc]]+Table133[[#This Row],[DEXp]]</f>
        <v>0</v>
      </c>
      <c r="BG607">
        <f>IFERROR(Table133[[#This Row],[DeltaC]]*Table133[[#This Row],[Open.Int]]*$A$4,0)</f>
        <v>0</v>
      </c>
      <c r="BH607">
        <f>IFERROR(Table133[[#This Row],[DeltaP]]*Table133[[#This Row],[Open.Int8]]*$A$4,0)</f>
        <v>0</v>
      </c>
      <c r="BI60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7">
        <f ca="1">Table133[[#This Row],[charmc]]+Table133[[#This Row],[charmp]]</f>
        <v>0</v>
      </c>
      <c r="BL607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7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7" s="78">
        <f ca="1">Table133[[#This Row],[call helper]]+Table133[[#This Row],[put helper]]</f>
        <v>0</v>
      </c>
      <c r="BP607" t="str">
        <f>RTD("tos.rtd", , "STRIKE", "."&amp;Table133[[#This Row],[Ticker]]&amp;Table133[[#This Row],[Expiry]]&amp;""&amp;"C"&amp;Table133[[#This Row],[Spot]]+Table133[[#This Row],[step]])</f>
        <v>N/A</v>
      </c>
    </row>
    <row r="608" spans="1:68" x14ac:dyDescent="0.25">
      <c r="A608" s="14">
        <f t="shared" ref="A608:A616" ca="1" si="59">$Q$3</f>
        <v>-126.14810350076104</v>
      </c>
      <c r="C608" s="17"/>
      <c r="D608" t="str">
        <f>RTD("tos.rtd", , "OPEN_INT", "."&amp;Table133[[#This Row],[Ticker]]&amp;Table133[[#This Row],[Expiry]]&amp;""&amp;"C"&amp;Table133[[#This Row],[Spot]]+Table133[[#This Row],[step]])</f>
        <v>N/A</v>
      </c>
      <c r="E60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8" t="b">
        <f>IF(     ISNUMBER(Table133[[#This Row],[Strike]]),RTD("tos.rtd", , "DELTA", "."&amp;Table133[[#This Row],[Ticker]]&amp;Table133[[#This Row],[Expiry]]&amp;""&amp;"C"&amp;Table133[[#This Row],[Strike]]))</f>
        <v>0</v>
      </c>
      <c r="H608" s="17" cm="1">
        <f t="array" aca="1" ref="H608" ca="1">IndividualLegIVCore($A$4, Table133[[#This Row],[Strike]], 0.0411, Table133[[#This Row],[T]], ((Table133[[#This Row],[BIDC]]+Table133[[#This Row],[ASKC]])/2), TRUE)</f>
        <v>0.01</v>
      </c>
      <c r="I608" t="b">
        <f>IF(     ISNUMBER(Table133[[#This Row],[Strike]]),RTD("tos.rtd", , "BID", "."&amp;Table133[[#This Row],[Ticker]]&amp;Table133[[#This Row],[Expiry]]&amp;""&amp;"C"&amp;Table133[[#This Row],[Strike]]))</f>
        <v>0</v>
      </c>
      <c r="J608" t="b">
        <f>IF(     ISNUMBER(Table133[[#This Row],[Strike]]),RTD("tos.rtd", , "ASK", "."&amp;Table133[[#This Row],[Ticker]]&amp;Table133[[#This Row],[Expiry]]&amp;""&amp;"C"&amp;Table133[[#This Row],[Strike]]))</f>
        <v>0</v>
      </c>
      <c r="K608" s="17"/>
      <c r="M608" s="1">
        <f t="shared" ref="M608:M616" si="60">$Q$1</f>
        <v>0</v>
      </c>
      <c r="N608" t="b">
        <f t="shared" ref="N608:N616" si="61">IF(ISNUMBER($BP608), $BP608, FALSE)</f>
        <v>0</v>
      </c>
      <c r="P608" s="17" cm="1">
        <f t="array" aca="1" ref="P608" ca="1">IndividualLegIVCore($A$4, Table133[[#This Row],[Strike]], 0.0411, Table133[[#This Row],[T]], ((Table133[[#This Row],[BIDP]]+Table133[[#This Row],[ASKP]])/2), FALSE)</f>
        <v>0.01</v>
      </c>
      <c r="Q608" t="b">
        <f>IF(     ISNUMBER(Table133[[#This Row],[Strike]]),RTD("tos.rtd", , "BID", "."&amp;Table133[[#This Row],[Ticker]]&amp;Table133[[#This Row],[Expiry]]&amp;""&amp;"P"&amp;Table133[[#This Row],[Strike]]))</f>
        <v>0</v>
      </c>
      <c r="R608" t="b">
        <f>IF(     ISNUMBER(Table133[[#This Row],[Strike]]),RTD("tos.rtd", , "ASK", "."&amp;Table133[[#This Row],[Ticker]]&amp;Table133[[#This Row],[Expiry]]&amp;""&amp;"P"&amp;Table133[[#This Row],[Strike]]))</f>
        <v>0</v>
      </c>
      <c r="S608" s="17"/>
      <c r="T608" t="b">
        <f>IF(     ISNUMBER(Table133[[#This Row],[Strike]]),RTD("tos.rtd", , "OPEN_INT", "."&amp;Table133[[#This Row],[Ticker]]&amp;Table133[[#This Row],[Expiry]]&amp;""&amp;"P"&amp;Table133[[#This Row],[Strike]]))</f>
        <v>0</v>
      </c>
      <c r="U60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8" t="b">
        <f>IF(     ISNUMBER(Table133[[#This Row],[Strike]]),RTD("tos.rtd", , "DELTA", "."&amp;Table133[[#This Row],[Ticker]]&amp;Table133[[#This Row],[Expiry]]&amp;""&amp;"P"&amp;Table133[[#This Row],[Strike]]))</f>
        <v>0</v>
      </c>
      <c r="Y608">
        <f>46* IF($M$1="NDX", 10, IF(OR($M$1="SPX", $M$1="RUT"), 2, 1))</f>
        <v>92</v>
      </c>
      <c r="Z608">
        <f ca="1">IFERROR(Table133[[#This Row],[call gamma]]*(Table133[[#This Row],[Open.Int]])*$A$4^2,0)</f>
        <v>0</v>
      </c>
      <c r="AA608">
        <f ca="1">IFERROR(((Table133[[#This Row],[Open.Int8]])*Table133[[#This Row],[Put gamma]])*-1*$A$4^2,0)</f>
        <v>0</v>
      </c>
      <c r="AB608">
        <f ca="1">(Table133[[#This Row],[Call Gex]]+Table133[[#This Row],[Put Gex]])</f>
        <v>0</v>
      </c>
      <c r="AC608">
        <f ca="1">Table133[[#This Row],[put delta adj]]+Table133[[#This Row],[call delta adj]]</f>
        <v>0</v>
      </c>
      <c r="AD608">
        <f ca="1">Table133[[#This Row],[Put Gex]]*Table133[[#This Row],[DeltaP]]*-1</f>
        <v>0</v>
      </c>
      <c r="AE608">
        <f ca="1">Table133[[#This Row],[Call Gex]]*Table133[[#This Row],[DeltaC]]</f>
        <v>0</v>
      </c>
      <c r="AF608">
        <f>IF(Table133[[#This Row],[DeltaC]]-ABS(Table133[[#This Row],[DeltaP]])="0","0.01",Table133[[#This Row],[DeltaC]]-ABS(Table133[[#This Row],[DeltaP]]))</f>
        <v>0</v>
      </c>
      <c r="AG608" t="e">
        <f ca="1">((LN($A$4/Table133[[#This Row],[Strike]]) + (0.411 + 0.5 * Table133[[#This Row],[IV Calc P]]^2) *Table133[[#This Row],[T]])) / (Table133[[#This Row],[IV Calc P]] * SQRT(Table133[[#This Row],[T]]))</f>
        <v>#DIV/0!</v>
      </c>
      <c r="AH608" t="e">
        <f ca="1">(LN($A$4/Table133[[#This Row],[Strike]]) + (0.411-0 + 0.5 * Table133[[#This Row],[IV Calc C]]^2) *Table133[[#This Row],[T]]) / (Table133[[#This Row],[IV Calc C]] * SQRT(Table133[[#This Row],[T]]))</f>
        <v>#DIV/0!</v>
      </c>
      <c r="AI608" t="e">
        <f ca="1">(EXP(-(AG608^2)/2)/SQRT(2*PI())*EXP(0*SQRT(Table133[[#This Row],[T]]))/$A$4*18%*SQRT(SQRT(Table133[[#This Row],[T]])))</f>
        <v>#DIV/0!</v>
      </c>
      <c r="AJ608" t="e">
        <f ca="1">(EXP(-(AH608^2)/2)/SQRT(2*PI())*EXP(0*SQRT(Table133[[#This Row],[T]]))/$A$4*18%*SQRT(SQRT(Table133[[#This Row],[T]])))</f>
        <v>#DIV/0!</v>
      </c>
      <c r="AK608" t="e">
        <f ca="1">Table133[[#This Row],[Call D1]]-Table133[[#This Row],[IV Calc C]]*SQRT(Table133[[#This Row],[T]])</f>
        <v>#DIV/0!</v>
      </c>
      <c r="AL608" t="e">
        <f ca="1">Table133[[#This Row],[Put D1]]-Table133[[#This Row],[IV Calc P]]*SQRT(Table133[[#This Row],[T]])</f>
        <v>#DIV/0!</v>
      </c>
      <c r="AM608" t="e">
        <f ca="1">EXP(-0.5*Table133[[#This Row],[Call D1]]^2)/SQRT(2*PI())</f>
        <v>#DIV/0!</v>
      </c>
      <c r="AN608" t="e">
        <f ca="1">EXP(-0.5*Table133[[#This Row],[Put D1]]^2)/SQRT(2*PI())</f>
        <v>#DIV/0!</v>
      </c>
      <c r="AO60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8">
        <f ca="1">((Table133[[#This Row],[call vanna]]+Table133[[#This Row],[put vanna]])*$A$4)</f>
        <v>0</v>
      </c>
      <c r="AR60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8" s="9" t="str" cm="1">
        <f t="array" ref="AT608">_xlfn.IFS(     $M$1="SPX","SPXW",     $M$1="RUT","RUTW",  $M$1="NDX","NDXP",   TRUE,$M$1 )</f>
        <v>SPXW</v>
      </c>
      <c r="AU608" s="2">
        <f t="shared" ref="AU608:AU616" si="62">$N$1</f>
        <v>6915</v>
      </c>
      <c r="AV608" t="str">
        <f t="shared" ref="AV608:AV616" si="63">$Q$2</f>
        <v>000100</v>
      </c>
      <c r="AY60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8">
        <f>((Table133[[#This Row],[High C]]+Table133[[#This Row],[Low C]])/2)*Table133[[#This Row],[gammac]]*Table133[[#This Row],[Volume]]</f>
        <v>0</v>
      </c>
      <c r="BD608">
        <f>((Table133[[#This Row],[High P]]+Table133[[#This Row],[Low P]])/2)*Table133[[#This Row],[gammap]]*Table133[[#This Row],[Volume9]]*-1</f>
        <v>0</v>
      </c>
      <c r="BE608">
        <f>(Table133[[#This Row],[SgammaC]]+Table133[[#This Row],[SgammaP]])*$A$4*-100</f>
        <v>0</v>
      </c>
      <c r="BF608" s="78">
        <f>Table133[[#This Row],[DEXc]]+Table133[[#This Row],[DEXp]]</f>
        <v>0</v>
      </c>
      <c r="BG608">
        <f>IFERROR(Table133[[#This Row],[DeltaC]]*Table133[[#This Row],[Open.Int]]*$A$4,0)</f>
        <v>0</v>
      </c>
      <c r="BH608">
        <f>IFERROR(Table133[[#This Row],[DeltaP]]*Table133[[#This Row],[Open.Int8]]*$A$4,0)</f>
        <v>0</v>
      </c>
      <c r="BI60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8">
        <f ca="1">Table133[[#This Row],[charmc]]+Table133[[#This Row],[charmp]]</f>
        <v>0</v>
      </c>
      <c r="BL608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8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8" s="78">
        <f ca="1">Table133[[#This Row],[call helper]]+Table133[[#This Row],[put helper]]</f>
        <v>0</v>
      </c>
      <c r="BP608" t="str">
        <f>RTD("tos.rtd", , "STRIKE", "."&amp;Table133[[#This Row],[Ticker]]&amp;Table133[[#This Row],[Expiry]]&amp;""&amp;"C"&amp;Table133[[#This Row],[Spot]]+Table133[[#This Row],[step]])</f>
        <v>N/A</v>
      </c>
    </row>
    <row r="609" spans="1:69" x14ac:dyDescent="0.25">
      <c r="A609" s="14">
        <f t="shared" ca="1" si="59"/>
        <v>-126.14810350076104</v>
      </c>
      <c r="C609" s="17"/>
      <c r="D609" t="str">
        <f>RTD("tos.rtd", , "OPEN_INT", "."&amp;Table133[[#This Row],[Ticker]]&amp;Table133[[#This Row],[Expiry]]&amp;""&amp;"C"&amp;Table133[[#This Row],[Spot]]+Table133[[#This Row],[step]])</f>
        <v>N/A</v>
      </c>
      <c r="E60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9" t="b">
        <f>IF(     ISNUMBER(Table133[[#This Row],[Strike]]),RTD("tos.rtd", , "DELTA", "."&amp;Table133[[#This Row],[Ticker]]&amp;Table133[[#This Row],[Expiry]]&amp;""&amp;"C"&amp;Table133[[#This Row],[Strike]]))</f>
        <v>0</v>
      </c>
      <c r="H609" s="17" cm="1">
        <f t="array" aca="1" ref="H609" ca="1">IndividualLegIVCore($A$4, Table133[[#This Row],[Strike]], 0.0411, Table133[[#This Row],[T]], ((Table133[[#This Row],[BIDC]]+Table133[[#This Row],[ASKC]])/2), TRUE)</f>
        <v>0.01</v>
      </c>
      <c r="I609" t="b">
        <f>IF(     ISNUMBER(Table133[[#This Row],[Strike]]),RTD("tos.rtd", , "BID", "."&amp;Table133[[#This Row],[Ticker]]&amp;Table133[[#This Row],[Expiry]]&amp;""&amp;"C"&amp;Table133[[#This Row],[Strike]]))</f>
        <v>0</v>
      </c>
      <c r="J609" t="b">
        <f>IF(     ISNUMBER(Table133[[#This Row],[Strike]]),RTD("tos.rtd", , "ASK", "."&amp;Table133[[#This Row],[Ticker]]&amp;Table133[[#This Row],[Expiry]]&amp;""&amp;"C"&amp;Table133[[#This Row],[Strike]]))</f>
        <v>0</v>
      </c>
      <c r="K609" s="17"/>
      <c r="M609" s="1">
        <f t="shared" si="60"/>
        <v>0</v>
      </c>
      <c r="N609" t="b">
        <f t="shared" si="61"/>
        <v>0</v>
      </c>
      <c r="P609" s="17" cm="1">
        <f t="array" aca="1" ref="P609" ca="1">IndividualLegIVCore($A$4, Table133[[#This Row],[Strike]], 0.0411, Table133[[#This Row],[T]], ((Table133[[#This Row],[BIDP]]+Table133[[#This Row],[ASKP]])/2), FALSE)</f>
        <v>0.01</v>
      </c>
      <c r="Q609" t="b">
        <f>IF(     ISNUMBER(Table133[[#This Row],[Strike]]),RTD("tos.rtd", , "BID", "."&amp;Table133[[#This Row],[Ticker]]&amp;Table133[[#This Row],[Expiry]]&amp;""&amp;"P"&amp;Table133[[#This Row],[Strike]]))</f>
        <v>0</v>
      </c>
      <c r="R609" t="b">
        <f>IF(     ISNUMBER(Table133[[#This Row],[Strike]]),RTD("tos.rtd", , "ASK", "."&amp;Table133[[#This Row],[Ticker]]&amp;Table133[[#This Row],[Expiry]]&amp;""&amp;"P"&amp;Table133[[#This Row],[Strike]]))</f>
        <v>0</v>
      </c>
      <c r="S609" s="17"/>
      <c r="T609" t="b">
        <f>IF(     ISNUMBER(Table133[[#This Row],[Strike]]),RTD("tos.rtd", , "OPEN_INT", "."&amp;Table133[[#This Row],[Ticker]]&amp;Table133[[#This Row],[Expiry]]&amp;""&amp;"P"&amp;Table133[[#This Row],[Strike]]))</f>
        <v>0</v>
      </c>
      <c r="U60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9" t="b">
        <f>IF(     ISNUMBER(Table133[[#This Row],[Strike]]),RTD("tos.rtd", , "DELTA", "."&amp;Table133[[#This Row],[Ticker]]&amp;Table133[[#This Row],[Expiry]]&amp;""&amp;"P"&amp;Table133[[#This Row],[Strike]]))</f>
        <v>0</v>
      </c>
      <c r="Y609">
        <f>46.5* IF($M$1="NDX", 10, IF(OR($M$1="SPX", $M$1="RUT"), 2, 1))</f>
        <v>93</v>
      </c>
      <c r="Z609">
        <f ca="1">IFERROR(Table133[[#This Row],[call gamma]]*(Table133[[#This Row],[Open.Int]])*$A$4^2,0)</f>
        <v>0</v>
      </c>
      <c r="AA609">
        <f ca="1">IFERROR(((Table133[[#This Row],[Open.Int8]])*Table133[[#This Row],[Put gamma]])*-1*$A$4^2,0)</f>
        <v>0</v>
      </c>
      <c r="AB609">
        <f ca="1">(Table133[[#This Row],[Call Gex]]+Table133[[#This Row],[Put Gex]])</f>
        <v>0</v>
      </c>
      <c r="AC609">
        <f ca="1">Table133[[#This Row],[put delta adj]]+Table133[[#This Row],[call delta adj]]</f>
        <v>0</v>
      </c>
      <c r="AD609">
        <f ca="1">Table133[[#This Row],[Put Gex]]*Table133[[#This Row],[DeltaP]]*-1</f>
        <v>0</v>
      </c>
      <c r="AE609">
        <f ca="1">Table133[[#This Row],[Call Gex]]*Table133[[#This Row],[DeltaC]]</f>
        <v>0</v>
      </c>
      <c r="AF609">
        <f>IF(Table133[[#This Row],[DeltaC]]-ABS(Table133[[#This Row],[DeltaP]])="0","0.01",Table133[[#This Row],[DeltaC]]-ABS(Table133[[#This Row],[DeltaP]]))</f>
        <v>0</v>
      </c>
      <c r="AG609" t="e">
        <f ca="1">((LN($A$4/Table133[[#This Row],[Strike]]) + (0.411 + 0.5 * Table133[[#This Row],[IV Calc P]]^2) *Table133[[#This Row],[T]])) / (Table133[[#This Row],[IV Calc P]] * SQRT(Table133[[#This Row],[T]]))</f>
        <v>#DIV/0!</v>
      </c>
      <c r="AH609" t="e">
        <f ca="1">(LN($A$4/Table133[[#This Row],[Strike]]) + (0.411-0 + 0.5 * Table133[[#This Row],[IV Calc C]]^2) *Table133[[#This Row],[T]]) / (Table133[[#This Row],[IV Calc C]] * SQRT(Table133[[#This Row],[T]]))</f>
        <v>#DIV/0!</v>
      </c>
      <c r="AI609" t="e">
        <f ca="1">(EXP(-(AG609^2)/2)/SQRT(2*PI())*EXP(0*SQRT(Table133[[#This Row],[T]]))/$A$4*18%*SQRT(SQRT(Table133[[#This Row],[T]])))</f>
        <v>#DIV/0!</v>
      </c>
      <c r="AJ609" t="e">
        <f ca="1">(EXP(-(AH609^2)/2)/SQRT(2*PI())*EXP(0*SQRT(Table133[[#This Row],[T]]))/$A$4*18%*SQRT(SQRT(Table133[[#This Row],[T]])))</f>
        <v>#DIV/0!</v>
      </c>
      <c r="AK609" t="e">
        <f ca="1">Table133[[#This Row],[Call D1]]-Table133[[#This Row],[IV Calc C]]*SQRT(Table133[[#This Row],[T]])</f>
        <v>#DIV/0!</v>
      </c>
      <c r="AL609" t="e">
        <f ca="1">Table133[[#This Row],[Put D1]]-Table133[[#This Row],[IV Calc P]]*SQRT(Table133[[#This Row],[T]])</f>
        <v>#DIV/0!</v>
      </c>
      <c r="AM609" t="e">
        <f ca="1">EXP(-0.5*Table133[[#This Row],[Call D1]]^2)/SQRT(2*PI())</f>
        <v>#DIV/0!</v>
      </c>
      <c r="AN609" t="e">
        <f ca="1">EXP(-0.5*Table133[[#This Row],[Put D1]]^2)/SQRT(2*PI())</f>
        <v>#DIV/0!</v>
      </c>
      <c r="AO60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9">
        <f ca="1">((Table133[[#This Row],[call vanna]]+Table133[[#This Row],[put vanna]])*$A$4)</f>
        <v>0</v>
      </c>
      <c r="AR60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9" s="9" t="str" cm="1">
        <f t="array" ref="AT609">_xlfn.IFS(     $M$1="SPX","SPXW",     $M$1="RUT","RUTW",  $M$1="NDX","NDXP",   TRUE,$M$1 )</f>
        <v>SPXW</v>
      </c>
      <c r="AU609" s="2">
        <f t="shared" si="62"/>
        <v>6915</v>
      </c>
      <c r="AV609" t="str">
        <f t="shared" si="63"/>
        <v>000100</v>
      </c>
      <c r="AY60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9">
        <f>((Table133[[#This Row],[High C]]+Table133[[#This Row],[Low C]])/2)*Table133[[#This Row],[gammac]]*Table133[[#This Row],[Volume]]</f>
        <v>0</v>
      </c>
      <c r="BD609">
        <f>((Table133[[#This Row],[High P]]+Table133[[#This Row],[Low P]])/2)*Table133[[#This Row],[gammap]]*Table133[[#This Row],[Volume9]]*-1</f>
        <v>0</v>
      </c>
      <c r="BE609">
        <f>(Table133[[#This Row],[SgammaC]]+Table133[[#This Row],[SgammaP]])*$A$4*-100</f>
        <v>0</v>
      </c>
      <c r="BF609" s="78">
        <f>Table133[[#This Row],[DEXc]]+Table133[[#This Row],[DEXp]]</f>
        <v>0</v>
      </c>
      <c r="BG609">
        <f>IFERROR(Table133[[#This Row],[DeltaC]]*Table133[[#This Row],[Open.Int]]*$A$4,0)</f>
        <v>0</v>
      </c>
      <c r="BH609">
        <f>IFERROR(Table133[[#This Row],[DeltaP]]*Table133[[#This Row],[Open.Int8]]*$A$4,0)</f>
        <v>0</v>
      </c>
      <c r="BI60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9">
        <f ca="1">Table133[[#This Row],[charmc]]+Table133[[#This Row],[charmp]]</f>
        <v>0</v>
      </c>
      <c r="BL609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9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9" s="78">
        <f ca="1">Table133[[#This Row],[call helper]]+Table133[[#This Row],[put helper]]</f>
        <v>0</v>
      </c>
      <c r="BP609" t="str">
        <f>RTD("tos.rtd", , "STRIKE", "."&amp;Table133[[#This Row],[Ticker]]&amp;Table133[[#This Row],[Expiry]]&amp;""&amp;"C"&amp;Table133[[#This Row],[Spot]]+Table133[[#This Row],[step]])</f>
        <v>N/A</v>
      </c>
    </row>
    <row r="610" spans="1:69" x14ac:dyDescent="0.25">
      <c r="A610" s="14">
        <f t="shared" ca="1" si="59"/>
        <v>-126.14810350076104</v>
      </c>
      <c r="C610" s="17"/>
      <c r="D610" t="str">
        <f>RTD("tos.rtd", , "OPEN_INT", "."&amp;Table133[[#This Row],[Ticker]]&amp;Table133[[#This Row],[Expiry]]&amp;""&amp;"C"&amp;Table133[[#This Row],[Spot]]+Table133[[#This Row],[step]])</f>
        <v>N/A</v>
      </c>
      <c r="E61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0" t="b">
        <f>IF(     ISNUMBER(Table133[[#This Row],[Strike]]),RTD("tos.rtd", , "DELTA", "."&amp;Table133[[#This Row],[Ticker]]&amp;Table133[[#This Row],[Expiry]]&amp;""&amp;"C"&amp;Table133[[#This Row],[Strike]]))</f>
        <v>0</v>
      </c>
      <c r="H610" s="17" cm="1">
        <f t="array" aca="1" ref="H610" ca="1">IndividualLegIVCore($A$4, Table133[[#This Row],[Strike]], 0.0411, Table133[[#This Row],[T]], ((Table133[[#This Row],[BIDC]]+Table133[[#This Row],[ASKC]])/2), TRUE)</f>
        <v>0.01</v>
      </c>
      <c r="I610" t="b">
        <f>IF(     ISNUMBER(Table133[[#This Row],[Strike]]),RTD("tos.rtd", , "BID", "."&amp;Table133[[#This Row],[Ticker]]&amp;Table133[[#This Row],[Expiry]]&amp;""&amp;"C"&amp;Table133[[#This Row],[Strike]]))</f>
        <v>0</v>
      </c>
      <c r="J610" t="b">
        <f>IF(     ISNUMBER(Table133[[#This Row],[Strike]]),RTD("tos.rtd", , "ASK", "."&amp;Table133[[#This Row],[Ticker]]&amp;Table133[[#This Row],[Expiry]]&amp;""&amp;"C"&amp;Table133[[#This Row],[Strike]]))</f>
        <v>0</v>
      </c>
      <c r="K610" s="17"/>
      <c r="M610" s="1">
        <f t="shared" si="60"/>
        <v>0</v>
      </c>
      <c r="N610" t="b">
        <f t="shared" si="61"/>
        <v>0</v>
      </c>
      <c r="P610" s="17" cm="1">
        <f t="array" aca="1" ref="P610" ca="1">IndividualLegIVCore($A$4, Table133[[#This Row],[Strike]], 0.0411, Table133[[#This Row],[T]], ((Table133[[#This Row],[BIDP]]+Table133[[#This Row],[ASKP]])/2), FALSE)</f>
        <v>0.01</v>
      </c>
      <c r="Q610" t="b">
        <f>IF(     ISNUMBER(Table133[[#This Row],[Strike]]),RTD("tos.rtd", , "BID", "."&amp;Table133[[#This Row],[Ticker]]&amp;Table133[[#This Row],[Expiry]]&amp;""&amp;"P"&amp;Table133[[#This Row],[Strike]]))</f>
        <v>0</v>
      </c>
      <c r="R610" t="b">
        <f>IF(     ISNUMBER(Table133[[#This Row],[Strike]]),RTD("tos.rtd", , "ASK", "."&amp;Table133[[#This Row],[Ticker]]&amp;Table133[[#This Row],[Expiry]]&amp;""&amp;"P"&amp;Table133[[#This Row],[Strike]]))</f>
        <v>0</v>
      </c>
      <c r="S610" s="17"/>
      <c r="T610" t="b">
        <f>IF(     ISNUMBER(Table133[[#This Row],[Strike]]),RTD("tos.rtd", , "OPEN_INT", "."&amp;Table133[[#This Row],[Ticker]]&amp;Table133[[#This Row],[Expiry]]&amp;""&amp;"P"&amp;Table133[[#This Row],[Strike]]))</f>
        <v>0</v>
      </c>
      <c r="U61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0" t="b">
        <f>IF(     ISNUMBER(Table133[[#This Row],[Strike]]),RTD("tos.rtd", , "DELTA", "."&amp;Table133[[#This Row],[Ticker]]&amp;Table133[[#This Row],[Expiry]]&amp;""&amp;"P"&amp;Table133[[#This Row],[Strike]]))</f>
        <v>0</v>
      </c>
      <c r="Y610">
        <f>47* IF($M$1="NDX", 10, IF(OR($M$1="SPX", $M$1="RUT"), 2, 1))</f>
        <v>94</v>
      </c>
      <c r="Z610">
        <f ca="1">IFERROR(Table133[[#This Row],[call gamma]]*(Table133[[#This Row],[Open.Int]])*$A$4^2,0)</f>
        <v>0</v>
      </c>
      <c r="AA610">
        <f ca="1">IFERROR(((Table133[[#This Row],[Open.Int8]])*Table133[[#This Row],[Put gamma]])*-1*$A$4^2,0)</f>
        <v>0</v>
      </c>
      <c r="AB610">
        <f ca="1">(Table133[[#This Row],[Call Gex]]+Table133[[#This Row],[Put Gex]])</f>
        <v>0</v>
      </c>
      <c r="AC610">
        <f ca="1">Table133[[#This Row],[put delta adj]]+Table133[[#This Row],[call delta adj]]</f>
        <v>0</v>
      </c>
      <c r="AD610">
        <f ca="1">Table133[[#This Row],[Put Gex]]*Table133[[#This Row],[DeltaP]]*-1</f>
        <v>0</v>
      </c>
      <c r="AE610">
        <f ca="1">Table133[[#This Row],[Call Gex]]*Table133[[#This Row],[DeltaC]]</f>
        <v>0</v>
      </c>
      <c r="AF610">
        <f>IF(Table133[[#This Row],[DeltaC]]-ABS(Table133[[#This Row],[DeltaP]])="0","0.01",Table133[[#This Row],[DeltaC]]-ABS(Table133[[#This Row],[DeltaP]]))</f>
        <v>0</v>
      </c>
      <c r="AG610" t="e">
        <f ca="1">((LN($A$4/Table133[[#This Row],[Strike]]) + (0.411 + 0.5 * Table133[[#This Row],[IV Calc P]]^2) *Table133[[#This Row],[T]])) / (Table133[[#This Row],[IV Calc P]] * SQRT(Table133[[#This Row],[T]]))</f>
        <v>#DIV/0!</v>
      </c>
      <c r="AH610" t="e">
        <f ca="1">(LN($A$4/Table133[[#This Row],[Strike]]) + (0.411-0 + 0.5 * Table133[[#This Row],[IV Calc C]]^2) *Table133[[#This Row],[T]]) / (Table133[[#This Row],[IV Calc C]] * SQRT(Table133[[#This Row],[T]]))</f>
        <v>#DIV/0!</v>
      </c>
      <c r="AI610" t="e">
        <f ca="1">(EXP(-(AG610^2)/2)/SQRT(2*PI())*EXP(0*SQRT(Table133[[#This Row],[T]]))/$A$4*18%*SQRT(SQRT(Table133[[#This Row],[T]])))</f>
        <v>#DIV/0!</v>
      </c>
      <c r="AJ610" t="e">
        <f ca="1">(EXP(-(AH610^2)/2)/SQRT(2*PI())*EXP(0*SQRT(Table133[[#This Row],[T]]))/$A$4*18%*SQRT(SQRT(Table133[[#This Row],[T]])))</f>
        <v>#DIV/0!</v>
      </c>
      <c r="AK610" t="e">
        <f ca="1">Table133[[#This Row],[Call D1]]-Table133[[#This Row],[IV Calc C]]*SQRT(Table133[[#This Row],[T]])</f>
        <v>#DIV/0!</v>
      </c>
      <c r="AL610" t="e">
        <f ca="1">Table133[[#This Row],[Put D1]]-Table133[[#This Row],[IV Calc P]]*SQRT(Table133[[#This Row],[T]])</f>
        <v>#DIV/0!</v>
      </c>
      <c r="AM610" t="e">
        <f ca="1">EXP(-0.5*Table133[[#This Row],[Call D1]]^2)/SQRT(2*PI())</f>
        <v>#DIV/0!</v>
      </c>
      <c r="AN610" t="e">
        <f ca="1">EXP(-0.5*Table133[[#This Row],[Put D1]]^2)/SQRT(2*PI())</f>
        <v>#DIV/0!</v>
      </c>
      <c r="AO61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0">
        <f ca="1">((Table133[[#This Row],[call vanna]]+Table133[[#This Row],[put vanna]])*$A$4)</f>
        <v>0</v>
      </c>
      <c r="AR61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0" s="9" t="str" cm="1">
        <f t="array" ref="AT610">_xlfn.IFS(     $M$1="SPX","SPXW",     $M$1="RUT","RUTW",  $M$1="NDX","NDXP",   TRUE,$M$1 )</f>
        <v>SPXW</v>
      </c>
      <c r="AU610" s="2">
        <f t="shared" si="62"/>
        <v>6915</v>
      </c>
      <c r="AV610" t="str">
        <f t="shared" si="63"/>
        <v>000100</v>
      </c>
      <c r="AY61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0">
        <f>((Table133[[#This Row],[High C]]+Table133[[#This Row],[Low C]])/2)*Table133[[#This Row],[gammac]]*Table133[[#This Row],[Volume]]</f>
        <v>0</v>
      </c>
      <c r="BD610">
        <f>((Table133[[#This Row],[High P]]+Table133[[#This Row],[Low P]])/2)*Table133[[#This Row],[gammap]]*Table133[[#This Row],[Volume9]]*-1</f>
        <v>0</v>
      </c>
      <c r="BE610">
        <f>(Table133[[#This Row],[SgammaC]]+Table133[[#This Row],[SgammaP]])*$A$4*-100</f>
        <v>0</v>
      </c>
      <c r="BF610" s="78">
        <f>Table133[[#This Row],[DEXc]]+Table133[[#This Row],[DEXp]]</f>
        <v>0</v>
      </c>
      <c r="BG610">
        <f>IFERROR(Table133[[#This Row],[DeltaC]]*Table133[[#This Row],[Open.Int]]*$A$4,0)</f>
        <v>0</v>
      </c>
      <c r="BH610">
        <f>IFERROR(Table133[[#This Row],[DeltaP]]*Table133[[#This Row],[Open.Int8]]*$A$4,0)</f>
        <v>0</v>
      </c>
      <c r="BI61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0">
        <f ca="1">Table133[[#This Row],[charmc]]+Table133[[#This Row],[charmp]]</f>
        <v>0</v>
      </c>
      <c r="BL610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0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0" s="78">
        <f ca="1">Table133[[#This Row],[call helper]]+Table133[[#This Row],[put helper]]</f>
        <v>0</v>
      </c>
      <c r="BP610" t="str">
        <f>RTD("tos.rtd", , "STRIKE", "."&amp;Table133[[#This Row],[Ticker]]&amp;Table133[[#This Row],[Expiry]]&amp;""&amp;"C"&amp;Table133[[#This Row],[Spot]]+Table133[[#This Row],[step]])</f>
        <v>N/A</v>
      </c>
    </row>
    <row r="611" spans="1:69" x14ac:dyDescent="0.25">
      <c r="A611" s="14">
        <f t="shared" ca="1" si="59"/>
        <v>-126.14810350076104</v>
      </c>
      <c r="C611" s="17"/>
      <c r="D611" t="str">
        <f>RTD("tos.rtd", , "OPEN_INT", "."&amp;Table133[[#This Row],[Ticker]]&amp;Table133[[#This Row],[Expiry]]&amp;""&amp;"C"&amp;Table133[[#This Row],[Spot]]+Table133[[#This Row],[step]])</f>
        <v>N/A</v>
      </c>
      <c r="E61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1" t="b">
        <f>IF(     ISNUMBER(Table133[[#This Row],[Strike]]),RTD("tos.rtd", , "DELTA", "."&amp;Table133[[#This Row],[Ticker]]&amp;Table133[[#This Row],[Expiry]]&amp;""&amp;"C"&amp;Table133[[#This Row],[Strike]]))</f>
        <v>0</v>
      </c>
      <c r="H611" s="17" cm="1">
        <f t="array" aca="1" ref="H611" ca="1">IndividualLegIVCore($A$4, Table133[[#This Row],[Strike]], 0.0411, Table133[[#This Row],[T]], ((Table133[[#This Row],[BIDC]]+Table133[[#This Row],[ASKC]])/2), TRUE)</f>
        <v>0.01</v>
      </c>
      <c r="I611" t="b">
        <f>IF(     ISNUMBER(Table133[[#This Row],[Strike]]),RTD("tos.rtd", , "BID", "."&amp;Table133[[#This Row],[Ticker]]&amp;Table133[[#This Row],[Expiry]]&amp;""&amp;"C"&amp;Table133[[#This Row],[Strike]]))</f>
        <v>0</v>
      </c>
      <c r="J611" t="b">
        <f>IF(     ISNUMBER(Table133[[#This Row],[Strike]]),RTD("tos.rtd", , "ASK", "."&amp;Table133[[#This Row],[Ticker]]&amp;Table133[[#This Row],[Expiry]]&amp;""&amp;"C"&amp;Table133[[#This Row],[Strike]]))</f>
        <v>0</v>
      </c>
      <c r="K611" s="17"/>
      <c r="M611" s="1">
        <f t="shared" si="60"/>
        <v>0</v>
      </c>
      <c r="N611" t="b">
        <f t="shared" si="61"/>
        <v>0</v>
      </c>
      <c r="P611" s="17" cm="1">
        <f t="array" aca="1" ref="P611" ca="1">IndividualLegIVCore($A$4, Table133[[#This Row],[Strike]], 0.0411, Table133[[#This Row],[T]], ((Table133[[#This Row],[BIDP]]+Table133[[#This Row],[ASKP]])/2), FALSE)</f>
        <v>0.01</v>
      </c>
      <c r="Q611" t="b">
        <f>IF(     ISNUMBER(Table133[[#This Row],[Strike]]),RTD("tos.rtd", , "BID", "."&amp;Table133[[#This Row],[Ticker]]&amp;Table133[[#This Row],[Expiry]]&amp;""&amp;"P"&amp;Table133[[#This Row],[Strike]]))</f>
        <v>0</v>
      </c>
      <c r="R611" t="b">
        <f>IF(     ISNUMBER(Table133[[#This Row],[Strike]]),RTD("tos.rtd", , "ASK", "."&amp;Table133[[#This Row],[Ticker]]&amp;Table133[[#This Row],[Expiry]]&amp;""&amp;"P"&amp;Table133[[#This Row],[Strike]]))</f>
        <v>0</v>
      </c>
      <c r="S611" s="17"/>
      <c r="T611" t="b">
        <f>IF(     ISNUMBER(Table133[[#This Row],[Strike]]),RTD("tos.rtd", , "OPEN_INT", "."&amp;Table133[[#This Row],[Ticker]]&amp;Table133[[#This Row],[Expiry]]&amp;""&amp;"P"&amp;Table133[[#This Row],[Strike]]))</f>
        <v>0</v>
      </c>
      <c r="U61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1" t="b">
        <f>IF(     ISNUMBER(Table133[[#This Row],[Strike]]),RTD("tos.rtd", , "DELTA", "."&amp;Table133[[#This Row],[Ticker]]&amp;Table133[[#This Row],[Expiry]]&amp;""&amp;"P"&amp;Table133[[#This Row],[Strike]]))</f>
        <v>0</v>
      </c>
      <c r="Y611">
        <f>47.5* IF($M$1="NDX", 10, IF(OR($M$1="SPX", $M$1="RUT"), 2, 1))</f>
        <v>95</v>
      </c>
      <c r="Z611">
        <f ca="1">IFERROR(Table133[[#This Row],[call gamma]]*(Table133[[#This Row],[Open.Int]])*$A$4^2,0)</f>
        <v>0</v>
      </c>
      <c r="AA611">
        <f ca="1">IFERROR(((Table133[[#This Row],[Open.Int8]])*Table133[[#This Row],[Put gamma]])*-1*$A$4^2,0)</f>
        <v>0</v>
      </c>
      <c r="AB611">
        <f ca="1">(Table133[[#This Row],[Call Gex]]+Table133[[#This Row],[Put Gex]])</f>
        <v>0</v>
      </c>
      <c r="AC611">
        <f ca="1">Table133[[#This Row],[put delta adj]]+Table133[[#This Row],[call delta adj]]</f>
        <v>0</v>
      </c>
      <c r="AD611">
        <f ca="1">Table133[[#This Row],[Put Gex]]*Table133[[#This Row],[DeltaP]]*-1</f>
        <v>0</v>
      </c>
      <c r="AE611">
        <f ca="1">Table133[[#This Row],[Call Gex]]*Table133[[#This Row],[DeltaC]]</f>
        <v>0</v>
      </c>
      <c r="AF611">
        <f>IF(Table133[[#This Row],[DeltaC]]-ABS(Table133[[#This Row],[DeltaP]])="0","0.01",Table133[[#This Row],[DeltaC]]-ABS(Table133[[#This Row],[DeltaP]]))</f>
        <v>0</v>
      </c>
      <c r="AG611" t="e">
        <f ca="1">((LN($A$4/Table133[[#This Row],[Strike]]) + (0.411 + 0.5 * Table133[[#This Row],[IV Calc P]]^2) *Table133[[#This Row],[T]])) / (Table133[[#This Row],[IV Calc P]] * SQRT(Table133[[#This Row],[T]]))</f>
        <v>#DIV/0!</v>
      </c>
      <c r="AH611" t="e">
        <f ca="1">(LN($A$4/Table133[[#This Row],[Strike]]) + (0.411-0 + 0.5 * Table133[[#This Row],[IV Calc C]]^2) *Table133[[#This Row],[T]]) / (Table133[[#This Row],[IV Calc C]] * SQRT(Table133[[#This Row],[T]]))</f>
        <v>#DIV/0!</v>
      </c>
      <c r="AI611" t="e">
        <f ca="1">(EXP(-(AG611^2)/2)/SQRT(2*PI())*EXP(0*SQRT(Table133[[#This Row],[T]]))/$A$4*18%*SQRT(SQRT(Table133[[#This Row],[T]])))</f>
        <v>#DIV/0!</v>
      </c>
      <c r="AJ611" t="e">
        <f ca="1">(EXP(-(AH611^2)/2)/SQRT(2*PI())*EXP(0*SQRT(Table133[[#This Row],[T]]))/$A$4*18%*SQRT(SQRT(Table133[[#This Row],[T]])))</f>
        <v>#DIV/0!</v>
      </c>
      <c r="AK611" t="e">
        <f ca="1">Table133[[#This Row],[Call D1]]-Table133[[#This Row],[IV Calc C]]*SQRT(Table133[[#This Row],[T]])</f>
        <v>#DIV/0!</v>
      </c>
      <c r="AL611" t="e">
        <f ca="1">Table133[[#This Row],[Put D1]]-Table133[[#This Row],[IV Calc P]]*SQRT(Table133[[#This Row],[T]])</f>
        <v>#DIV/0!</v>
      </c>
      <c r="AM611" t="e">
        <f ca="1">EXP(-0.5*Table133[[#This Row],[Call D1]]^2)/SQRT(2*PI())</f>
        <v>#DIV/0!</v>
      </c>
      <c r="AN611" t="e">
        <f ca="1">EXP(-0.5*Table133[[#This Row],[Put D1]]^2)/SQRT(2*PI())</f>
        <v>#DIV/0!</v>
      </c>
      <c r="AO61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1">
        <f ca="1">((Table133[[#This Row],[call vanna]]+Table133[[#This Row],[put vanna]])*$A$4)</f>
        <v>0</v>
      </c>
      <c r="AR61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1" s="9" t="str" cm="1">
        <f t="array" ref="AT611">_xlfn.IFS(     $M$1="SPX","SPXW",     $M$1="RUT","RUTW",  $M$1="NDX","NDXP",   TRUE,$M$1 )</f>
        <v>SPXW</v>
      </c>
      <c r="AU611" s="2">
        <f t="shared" si="62"/>
        <v>6915</v>
      </c>
      <c r="AV611" t="str">
        <f t="shared" si="63"/>
        <v>000100</v>
      </c>
      <c r="AY61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1">
        <f>((Table133[[#This Row],[High C]]+Table133[[#This Row],[Low C]])/2)*Table133[[#This Row],[gammac]]*Table133[[#This Row],[Volume]]</f>
        <v>0</v>
      </c>
      <c r="BD611">
        <f>((Table133[[#This Row],[High P]]+Table133[[#This Row],[Low P]])/2)*Table133[[#This Row],[gammap]]*Table133[[#This Row],[Volume9]]*-1</f>
        <v>0</v>
      </c>
      <c r="BE611">
        <f>(Table133[[#This Row],[SgammaC]]+Table133[[#This Row],[SgammaP]])*$A$4*-100</f>
        <v>0</v>
      </c>
      <c r="BF611" s="78">
        <f>Table133[[#This Row],[DEXc]]+Table133[[#This Row],[DEXp]]</f>
        <v>0</v>
      </c>
      <c r="BG611">
        <f>IFERROR(Table133[[#This Row],[DeltaC]]*Table133[[#This Row],[Open.Int]]*$A$4,0)</f>
        <v>0</v>
      </c>
      <c r="BH611">
        <f>IFERROR(Table133[[#This Row],[DeltaP]]*Table133[[#This Row],[Open.Int8]]*$A$4,0)</f>
        <v>0</v>
      </c>
      <c r="BI61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1">
        <f ca="1">Table133[[#This Row],[charmc]]+Table133[[#This Row],[charmp]]</f>
        <v>0</v>
      </c>
      <c r="BL611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1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1" s="78">
        <f ca="1">Table133[[#This Row],[call helper]]+Table133[[#This Row],[put helper]]</f>
        <v>0</v>
      </c>
      <c r="BP611" t="str">
        <f>RTD("tos.rtd", , "STRIKE", "."&amp;Table133[[#This Row],[Ticker]]&amp;Table133[[#This Row],[Expiry]]&amp;""&amp;"C"&amp;Table133[[#This Row],[Spot]]+Table133[[#This Row],[step]])</f>
        <v>N/A</v>
      </c>
    </row>
    <row r="612" spans="1:69" x14ac:dyDescent="0.25">
      <c r="A612" s="14">
        <f t="shared" ca="1" si="59"/>
        <v>-126.14810350076104</v>
      </c>
      <c r="C612" s="17"/>
      <c r="D612" t="str">
        <f>RTD("tos.rtd", , "OPEN_INT", "."&amp;Table133[[#This Row],[Ticker]]&amp;Table133[[#This Row],[Expiry]]&amp;""&amp;"C"&amp;Table133[[#This Row],[Spot]]+Table133[[#This Row],[step]])</f>
        <v>N/A</v>
      </c>
      <c r="E61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2" t="b">
        <f>IF(     ISNUMBER(Table133[[#This Row],[Strike]]),RTD("tos.rtd", , "DELTA", "."&amp;Table133[[#This Row],[Ticker]]&amp;Table133[[#This Row],[Expiry]]&amp;""&amp;"C"&amp;Table133[[#This Row],[Strike]]))</f>
        <v>0</v>
      </c>
      <c r="H612" s="17" cm="1">
        <f t="array" aca="1" ref="H612" ca="1">IndividualLegIVCore($A$4, Table133[[#This Row],[Strike]], 0.0411, Table133[[#This Row],[T]], ((Table133[[#This Row],[BIDC]]+Table133[[#This Row],[ASKC]])/2), TRUE)</f>
        <v>0.01</v>
      </c>
      <c r="I612" t="b">
        <f>IF(     ISNUMBER(Table133[[#This Row],[Strike]]),RTD("tos.rtd", , "BID", "."&amp;Table133[[#This Row],[Ticker]]&amp;Table133[[#This Row],[Expiry]]&amp;""&amp;"C"&amp;Table133[[#This Row],[Strike]]))</f>
        <v>0</v>
      </c>
      <c r="J612" t="b">
        <f>IF(     ISNUMBER(Table133[[#This Row],[Strike]]),RTD("tos.rtd", , "ASK", "."&amp;Table133[[#This Row],[Ticker]]&amp;Table133[[#This Row],[Expiry]]&amp;""&amp;"C"&amp;Table133[[#This Row],[Strike]]))</f>
        <v>0</v>
      </c>
      <c r="K612" s="17"/>
      <c r="M612" s="1">
        <f t="shared" si="60"/>
        <v>0</v>
      </c>
      <c r="N612" t="b">
        <f t="shared" si="61"/>
        <v>0</v>
      </c>
      <c r="P612" s="17" cm="1">
        <f t="array" aca="1" ref="P612" ca="1">IndividualLegIVCore($A$4, Table133[[#This Row],[Strike]], 0.0411, Table133[[#This Row],[T]], ((Table133[[#This Row],[BIDP]]+Table133[[#This Row],[ASKP]])/2), FALSE)</f>
        <v>0.01</v>
      </c>
      <c r="Q612" t="b">
        <f>IF(     ISNUMBER(Table133[[#This Row],[Strike]]),RTD("tos.rtd", , "BID", "."&amp;Table133[[#This Row],[Ticker]]&amp;Table133[[#This Row],[Expiry]]&amp;""&amp;"P"&amp;Table133[[#This Row],[Strike]]))</f>
        <v>0</v>
      </c>
      <c r="R612" t="b">
        <f>IF(     ISNUMBER(Table133[[#This Row],[Strike]]),RTD("tos.rtd", , "ASK", "."&amp;Table133[[#This Row],[Ticker]]&amp;Table133[[#This Row],[Expiry]]&amp;""&amp;"P"&amp;Table133[[#This Row],[Strike]]))</f>
        <v>0</v>
      </c>
      <c r="S612" s="17"/>
      <c r="T612" t="b">
        <f>IF(     ISNUMBER(Table133[[#This Row],[Strike]]),RTD("tos.rtd", , "OPEN_INT", "."&amp;Table133[[#This Row],[Ticker]]&amp;Table133[[#This Row],[Expiry]]&amp;""&amp;"P"&amp;Table133[[#This Row],[Strike]]))</f>
        <v>0</v>
      </c>
      <c r="U61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2" t="b">
        <f>IF(     ISNUMBER(Table133[[#This Row],[Strike]]),RTD("tos.rtd", , "DELTA", "."&amp;Table133[[#This Row],[Ticker]]&amp;Table133[[#This Row],[Expiry]]&amp;""&amp;"P"&amp;Table133[[#This Row],[Strike]]))</f>
        <v>0</v>
      </c>
      <c r="Y612">
        <f>48* IF($M$1="NDX", 10, IF(OR($M$1="SPX", $M$1="RUT"), 2, 1))</f>
        <v>96</v>
      </c>
      <c r="Z612">
        <f ca="1">IFERROR(Table133[[#This Row],[call gamma]]*(Table133[[#This Row],[Open.Int]])*$A$4^2,0)</f>
        <v>0</v>
      </c>
      <c r="AA612">
        <f ca="1">IFERROR(((Table133[[#This Row],[Open.Int8]])*Table133[[#This Row],[Put gamma]])*-1*$A$4^2,0)</f>
        <v>0</v>
      </c>
      <c r="AB612">
        <f ca="1">(Table133[[#This Row],[Call Gex]]+Table133[[#This Row],[Put Gex]])</f>
        <v>0</v>
      </c>
      <c r="AC612">
        <f ca="1">Table133[[#This Row],[put delta adj]]+Table133[[#This Row],[call delta adj]]</f>
        <v>0</v>
      </c>
      <c r="AD612">
        <f ca="1">Table133[[#This Row],[Put Gex]]*Table133[[#This Row],[DeltaP]]*-1</f>
        <v>0</v>
      </c>
      <c r="AE612">
        <f ca="1">Table133[[#This Row],[Call Gex]]*Table133[[#This Row],[DeltaC]]</f>
        <v>0</v>
      </c>
      <c r="AF612">
        <f>IF(Table133[[#This Row],[DeltaC]]-ABS(Table133[[#This Row],[DeltaP]])="0","0.01",Table133[[#This Row],[DeltaC]]-ABS(Table133[[#This Row],[DeltaP]]))</f>
        <v>0</v>
      </c>
      <c r="AG612" t="e">
        <f ca="1">((LN($A$4/Table133[[#This Row],[Strike]]) + (0.411 + 0.5 * Table133[[#This Row],[IV Calc P]]^2) *Table133[[#This Row],[T]])) / (Table133[[#This Row],[IV Calc P]] * SQRT(Table133[[#This Row],[T]]))</f>
        <v>#DIV/0!</v>
      </c>
      <c r="AH612" t="e">
        <f ca="1">(LN($A$4/Table133[[#This Row],[Strike]]) + (0.411-0 + 0.5 * Table133[[#This Row],[IV Calc C]]^2) *Table133[[#This Row],[T]]) / (Table133[[#This Row],[IV Calc C]] * SQRT(Table133[[#This Row],[T]]))</f>
        <v>#DIV/0!</v>
      </c>
      <c r="AI612" t="e">
        <f ca="1">(EXP(-(AG612^2)/2)/SQRT(2*PI())*EXP(0*SQRT(Table133[[#This Row],[T]]))/$A$4*18%*SQRT(SQRT(Table133[[#This Row],[T]])))</f>
        <v>#DIV/0!</v>
      </c>
      <c r="AJ612" t="e">
        <f ca="1">(EXP(-(AH612^2)/2)/SQRT(2*PI())*EXP(0*SQRT(Table133[[#This Row],[T]]))/$A$4*18%*SQRT(SQRT(Table133[[#This Row],[T]])))</f>
        <v>#DIV/0!</v>
      </c>
      <c r="AK612" t="e">
        <f ca="1">Table133[[#This Row],[Call D1]]-Table133[[#This Row],[IV Calc C]]*SQRT(Table133[[#This Row],[T]])</f>
        <v>#DIV/0!</v>
      </c>
      <c r="AL612" t="e">
        <f ca="1">Table133[[#This Row],[Put D1]]-Table133[[#This Row],[IV Calc P]]*SQRT(Table133[[#This Row],[T]])</f>
        <v>#DIV/0!</v>
      </c>
      <c r="AM612" t="e">
        <f ca="1">EXP(-0.5*Table133[[#This Row],[Call D1]]^2)/SQRT(2*PI())</f>
        <v>#DIV/0!</v>
      </c>
      <c r="AN612" t="e">
        <f ca="1">EXP(-0.5*Table133[[#This Row],[Put D1]]^2)/SQRT(2*PI())</f>
        <v>#DIV/0!</v>
      </c>
      <c r="AO61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2">
        <f ca="1">((Table133[[#This Row],[call vanna]]+Table133[[#This Row],[put vanna]])*$A$4)</f>
        <v>0</v>
      </c>
      <c r="AR61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2" s="9" t="str" cm="1">
        <f t="array" ref="AT612">_xlfn.IFS(     $M$1="SPX","SPXW",     $M$1="RUT","RUTW",  $M$1="NDX","NDXP",   TRUE,$M$1 )</f>
        <v>SPXW</v>
      </c>
      <c r="AU612" s="2">
        <f t="shared" si="62"/>
        <v>6915</v>
      </c>
      <c r="AV612" t="str">
        <f t="shared" si="63"/>
        <v>000100</v>
      </c>
      <c r="AY61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2">
        <f>((Table133[[#This Row],[High C]]+Table133[[#This Row],[Low C]])/2)*Table133[[#This Row],[gammac]]*Table133[[#This Row],[Volume]]</f>
        <v>0</v>
      </c>
      <c r="BD612">
        <f>((Table133[[#This Row],[High P]]+Table133[[#This Row],[Low P]])/2)*Table133[[#This Row],[gammap]]*Table133[[#This Row],[Volume9]]*-1</f>
        <v>0</v>
      </c>
      <c r="BE612">
        <f>(Table133[[#This Row],[SgammaC]]+Table133[[#This Row],[SgammaP]])*$A$4*-100</f>
        <v>0</v>
      </c>
      <c r="BF612" s="78">
        <f>Table133[[#This Row],[DEXc]]+Table133[[#This Row],[DEXp]]</f>
        <v>0</v>
      </c>
      <c r="BG612">
        <f>IFERROR(Table133[[#This Row],[DeltaC]]*Table133[[#This Row],[Open.Int]]*$A$4,0)</f>
        <v>0</v>
      </c>
      <c r="BH612">
        <f>IFERROR(Table133[[#This Row],[DeltaP]]*Table133[[#This Row],[Open.Int8]]*$A$4,0)</f>
        <v>0</v>
      </c>
      <c r="BI61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2">
        <f ca="1">Table133[[#This Row],[charmc]]+Table133[[#This Row],[charmp]]</f>
        <v>0</v>
      </c>
      <c r="BL612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2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2" s="78">
        <f ca="1">Table133[[#This Row],[call helper]]+Table133[[#This Row],[put helper]]</f>
        <v>0</v>
      </c>
      <c r="BP612" t="str">
        <f>RTD("tos.rtd", , "STRIKE", "."&amp;Table133[[#This Row],[Ticker]]&amp;Table133[[#This Row],[Expiry]]&amp;""&amp;"C"&amp;Table133[[#This Row],[Spot]]+Table133[[#This Row],[step]])</f>
        <v>N/A</v>
      </c>
    </row>
    <row r="613" spans="1:69" x14ac:dyDescent="0.25">
      <c r="A613" s="14">
        <f t="shared" ca="1" si="59"/>
        <v>-126.14810350076104</v>
      </c>
      <c r="C613" s="17"/>
      <c r="D613" t="str">
        <f>RTD("tos.rtd", , "OPEN_INT", "."&amp;Table133[[#This Row],[Ticker]]&amp;Table133[[#This Row],[Expiry]]&amp;""&amp;"C"&amp;Table133[[#This Row],[Spot]]+Table133[[#This Row],[step]])</f>
        <v>N/A</v>
      </c>
      <c r="E61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3" t="b">
        <f>IF(     ISNUMBER(Table133[[#This Row],[Strike]]),RTD("tos.rtd", , "DELTA", "."&amp;Table133[[#This Row],[Ticker]]&amp;Table133[[#This Row],[Expiry]]&amp;""&amp;"C"&amp;Table133[[#This Row],[Strike]]))</f>
        <v>0</v>
      </c>
      <c r="H613" s="17" cm="1">
        <f t="array" aca="1" ref="H613" ca="1">IndividualLegIVCore($A$4, Table133[[#This Row],[Strike]], 0.0411, Table133[[#This Row],[T]], ((Table133[[#This Row],[BIDC]]+Table133[[#This Row],[ASKC]])/2), TRUE)</f>
        <v>0.01</v>
      </c>
      <c r="I613" t="b">
        <f>IF(     ISNUMBER(Table133[[#This Row],[Strike]]),RTD("tos.rtd", , "BID", "."&amp;Table133[[#This Row],[Ticker]]&amp;Table133[[#This Row],[Expiry]]&amp;""&amp;"C"&amp;Table133[[#This Row],[Strike]]))</f>
        <v>0</v>
      </c>
      <c r="J613" t="b">
        <f>IF(     ISNUMBER(Table133[[#This Row],[Strike]]),RTD("tos.rtd", , "ASK", "."&amp;Table133[[#This Row],[Ticker]]&amp;Table133[[#This Row],[Expiry]]&amp;""&amp;"C"&amp;Table133[[#This Row],[Strike]]))</f>
        <v>0</v>
      </c>
      <c r="K613" s="17"/>
      <c r="M613" s="1">
        <f t="shared" si="60"/>
        <v>0</v>
      </c>
      <c r="N613" t="b">
        <f t="shared" si="61"/>
        <v>0</v>
      </c>
      <c r="P613" s="17" cm="1">
        <f t="array" aca="1" ref="P613" ca="1">IndividualLegIVCore($A$4, Table133[[#This Row],[Strike]], 0.0411, Table133[[#This Row],[T]], ((Table133[[#This Row],[BIDP]]+Table133[[#This Row],[ASKP]])/2), FALSE)</f>
        <v>0.01</v>
      </c>
      <c r="Q613" t="b">
        <f>IF(     ISNUMBER(Table133[[#This Row],[Strike]]),RTD("tos.rtd", , "BID", "."&amp;Table133[[#This Row],[Ticker]]&amp;Table133[[#This Row],[Expiry]]&amp;""&amp;"P"&amp;Table133[[#This Row],[Strike]]))</f>
        <v>0</v>
      </c>
      <c r="R613" t="b">
        <f>IF(     ISNUMBER(Table133[[#This Row],[Strike]]),RTD("tos.rtd", , "ASK", "."&amp;Table133[[#This Row],[Ticker]]&amp;Table133[[#This Row],[Expiry]]&amp;""&amp;"P"&amp;Table133[[#This Row],[Strike]]))</f>
        <v>0</v>
      </c>
      <c r="S613" s="17"/>
      <c r="T613" t="b">
        <f>IF(     ISNUMBER(Table133[[#This Row],[Strike]]),RTD("tos.rtd", , "OPEN_INT", "."&amp;Table133[[#This Row],[Ticker]]&amp;Table133[[#This Row],[Expiry]]&amp;""&amp;"P"&amp;Table133[[#This Row],[Strike]]))</f>
        <v>0</v>
      </c>
      <c r="U61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3" t="b">
        <f>IF(     ISNUMBER(Table133[[#This Row],[Strike]]),RTD("tos.rtd", , "DELTA", "."&amp;Table133[[#This Row],[Ticker]]&amp;Table133[[#This Row],[Expiry]]&amp;""&amp;"P"&amp;Table133[[#This Row],[Strike]]))</f>
        <v>0</v>
      </c>
      <c r="Y613">
        <f>48.5* IF($M$1="NDX", 10, IF(OR($M$1="SPX", $M$1="RUT"), 2, 1))</f>
        <v>97</v>
      </c>
      <c r="Z613">
        <f ca="1">IFERROR(Table133[[#This Row],[call gamma]]*(Table133[[#This Row],[Open.Int]])*$A$4^2,0)</f>
        <v>0</v>
      </c>
      <c r="AA613">
        <f ca="1">IFERROR(((Table133[[#This Row],[Open.Int8]])*Table133[[#This Row],[Put gamma]])*-1*$A$4^2,0)</f>
        <v>0</v>
      </c>
      <c r="AB613">
        <f ca="1">(Table133[[#This Row],[Call Gex]]+Table133[[#This Row],[Put Gex]])</f>
        <v>0</v>
      </c>
      <c r="AC613">
        <f ca="1">Table133[[#This Row],[put delta adj]]+Table133[[#This Row],[call delta adj]]</f>
        <v>0</v>
      </c>
      <c r="AD613">
        <f ca="1">Table133[[#This Row],[Put Gex]]*Table133[[#This Row],[DeltaP]]*-1</f>
        <v>0</v>
      </c>
      <c r="AE613">
        <f ca="1">Table133[[#This Row],[Call Gex]]*Table133[[#This Row],[DeltaC]]</f>
        <v>0</v>
      </c>
      <c r="AF613">
        <f>IF(Table133[[#This Row],[DeltaC]]-ABS(Table133[[#This Row],[DeltaP]])="0","0.01",Table133[[#This Row],[DeltaC]]-ABS(Table133[[#This Row],[DeltaP]]))</f>
        <v>0</v>
      </c>
      <c r="AG613" t="e">
        <f ca="1">((LN($A$4/Table133[[#This Row],[Strike]]) + (0.411 + 0.5 * Table133[[#This Row],[IV Calc P]]^2) *Table133[[#This Row],[T]])) / (Table133[[#This Row],[IV Calc P]] * SQRT(Table133[[#This Row],[T]]))</f>
        <v>#DIV/0!</v>
      </c>
      <c r="AH613" t="e">
        <f ca="1">(LN($A$4/Table133[[#This Row],[Strike]]) + (0.411-0 + 0.5 * Table133[[#This Row],[IV Calc C]]^2) *Table133[[#This Row],[T]]) / (Table133[[#This Row],[IV Calc C]] * SQRT(Table133[[#This Row],[T]]))</f>
        <v>#DIV/0!</v>
      </c>
      <c r="AI613" t="e">
        <f ca="1">(EXP(-(AG613^2)/2)/SQRT(2*PI())*EXP(0*SQRT(Table133[[#This Row],[T]]))/$A$4*18%*SQRT(SQRT(Table133[[#This Row],[T]])))</f>
        <v>#DIV/0!</v>
      </c>
      <c r="AJ613" t="e">
        <f ca="1">(EXP(-(AH613^2)/2)/SQRT(2*PI())*EXP(0*SQRT(Table133[[#This Row],[T]]))/$A$4*18%*SQRT(SQRT(Table133[[#This Row],[T]])))</f>
        <v>#DIV/0!</v>
      </c>
      <c r="AK613" t="e">
        <f ca="1">Table133[[#This Row],[Call D1]]-Table133[[#This Row],[IV Calc C]]*SQRT(Table133[[#This Row],[T]])</f>
        <v>#DIV/0!</v>
      </c>
      <c r="AL613" t="e">
        <f ca="1">Table133[[#This Row],[Put D1]]-Table133[[#This Row],[IV Calc P]]*SQRT(Table133[[#This Row],[T]])</f>
        <v>#DIV/0!</v>
      </c>
      <c r="AM613" t="e">
        <f ca="1">EXP(-0.5*Table133[[#This Row],[Call D1]]^2)/SQRT(2*PI())</f>
        <v>#DIV/0!</v>
      </c>
      <c r="AN613" t="e">
        <f ca="1">EXP(-0.5*Table133[[#This Row],[Put D1]]^2)/SQRT(2*PI())</f>
        <v>#DIV/0!</v>
      </c>
      <c r="AO61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3">
        <f ca="1">((Table133[[#This Row],[call vanna]]+Table133[[#This Row],[put vanna]])*$A$4)</f>
        <v>0</v>
      </c>
      <c r="AR61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3" s="9" t="str" cm="1">
        <f t="array" ref="AT613">_xlfn.IFS(     $M$1="SPX","SPXW",     $M$1="RUT","RUTW",  $M$1="NDX","NDXP",   TRUE,$M$1 )</f>
        <v>SPXW</v>
      </c>
      <c r="AU613" s="2">
        <f t="shared" si="62"/>
        <v>6915</v>
      </c>
      <c r="AV613" t="str">
        <f t="shared" si="63"/>
        <v>000100</v>
      </c>
      <c r="AY61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3">
        <f>((Table133[[#This Row],[High C]]+Table133[[#This Row],[Low C]])/2)*Table133[[#This Row],[gammac]]*Table133[[#This Row],[Volume]]</f>
        <v>0</v>
      </c>
      <c r="BD613">
        <f>((Table133[[#This Row],[High P]]+Table133[[#This Row],[Low P]])/2)*Table133[[#This Row],[gammap]]*Table133[[#This Row],[Volume9]]*-1</f>
        <v>0</v>
      </c>
      <c r="BE613">
        <f>(Table133[[#This Row],[SgammaC]]+Table133[[#This Row],[SgammaP]])*$A$4*-100</f>
        <v>0</v>
      </c>
      <c r="BF613" s="78">
        <f>Table133[[#This Row],[DEXc]]+Table133[[#This Row],[DEXp]]</f>
        <v>0</v>
      </c>
      <c r="BG613">
        <f>IFERROR(Table133[[#This Row],[DeltaC]]*Table133[[#This Row],[Open.Int]]*$A$4,0)</f>
        <v>0</v>
      </c>
      <c r="BH613">
        <f>IFERROR(Table133[[#This Row],[DeltaP]]*Table133[[#This Row],[Open.Int8]]*$A$4,0)</f>
        <v>0</v>
      </c>
      <c r="BI61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3">
        <f ca="1">Table133[[#This Row],[charmc]]+Table133[[#This Row],[charmp]]</f>
        <v>0</v>
      </c>
      <c r="BL613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3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3" s="78">
        <f ca="1">Table133[[#This Row],[call helper]]+Table133[[#This Row],[put helper]]</f>
        <v>0</v>
      </c>
      <c r="BP613" t="str">
        <f>RTD("tos.rtd", , "STRIKE", "."&amp;Table133[[#This Row],[Ticker]]&amp;Table133[[#This Row],[Expiry]]&amp;""&amp;"C"&amp;Table133[[#This Row],[Spot]]+Table133[[#This Row],[step]])</f>
        <v>N/A</v>
      </c>
    </row>
    <row r="614" spans="1:69" x14ac:dyDescent="0.25">
      <c r="A614" s="14">
        <f t="shared" ca="1" si="59"/>
        <v>-126.14810350076104</v>
      </c>
      <c r="C614" s="17"/>
      <c r="D614" t="str">
        <f>RTD("tos.rtd", , "OPEN_INT", "."&amp;Table133[[#This Row],[Ticker]]&amp;Table133[[#This Row],[Expiry]]&amp;""&amp;"C"&amp;Table133[[#This Row],[Spot]]+Table133[[#This Row],[step]])</f>
        <v>N/A</v>
      </c>
      <c r="E61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4" t="b">
        <f>IF(     ISNUMBER(Table133[[#This Row],[Strike]]),RTD("tos.rtd", , "DELTA", "."&amp;Table133[[#This Row],[Ticker]]&amp;Table133[[#This Row],[Expiry]]&amp;""&amp;"C"&amp;Table133[[#This Row],[Strike]]))</f>
        <v>0</v>
      </c>
      <c r="H614" s="17" cm="1">
        <f t="array" aca="1" ref="H614" ca="1">IndividualLegIVCore($A$4, Table133[[#This Row],[Strike]], 0.0411, Table133[[#This Row],[T]], ((Table133[[#This Row],[BIDC]]+Table133[[#This Row],[ASKC]])/2), TRUE)</f>
        <v>0.01</v>
      </c>
      <c r="I614" t="b">
        <f>IF(     ISNUMBER(Table133[[#This Row],[Strike]]),RTD("tos.rtd", , "BID", "."&amp;Table133[[#This Row],[Ticker]]&amp;Table133[[#This Row],[Expiry]]&amp;""&amp;"C"&amp;Table133[[#This Row],[Strike]]))</f>
        <v>0</v>
      </c>
      <c r="J614" t="b">
        <f>IF(     ISNUMBER(Table133[[#This Row],[Strike]]),RTD("tos.rtd", , "ASK", "."&amp;Table133[[#This Row],[Ticker]]&amp;Table133[[#This Row],[Expiry]]&amp;""&amp;"C"&amp;Table133[[#This Row],[Strike]]))</f>
        <v>0</v>
      </c>
      <c r="K614" s="17"/>
      <c r="M614" s="1">
        <f t="shared" si="60"/>
        <v>0</v>
      </c>
      <c r="N614" t="b">
        <f t="shared" si="61"/>
        <v>0</v>
      </c>
      <c r="P614" s="17" cm="1">
        <f t="array" aca="1" ref="P614" ca="1">IndividualLegIVCore($A$4, Table133[[#This Row],[Strike]], 0.0411, Table133[[#This Row],[T]], ((Table133[[#This Row],[BIDP]]+Table133[[#This Row],[ASKP]])/2), FALSE)</f>
        <v>0.01</v>
      </c>
      <c r="Q614" t="b">
        <f>IF(     ISNUMBER(Table133[[#This Row],[Strike]]),RTD("tos.rtd", , "BID", "."&amp;Table133[[#This Row],[Ticker]]&amp;Table133[[#This Row],[Expiry]]&amp;""&amp;"P"&amp;Table133[[#This Row],[Strike]]))</f>
        <v>0</v>
      </c>
      <c r="R614" t="b">
        <f>IF(     ISNUMBER(Table133[[#This Row],[Strike]]),RTD("tos.rtd", , "ASK", "."&amp;Table133[[#This Row],[Ticker]]&amp;Table133[[#This Row],[Expiry]]&amp;""&amp;"P"&amp;Table133[[#This Row],[Strike]]))</f>
        <v>0</v>
      </c>
      <c r="S614" s="17"/>
      <c r="T614" t="b">
        <f>IF(     ISNUMBER(Table133[[#This Row],[Strike]]),RTD("tos.rtd", , "OPEN_INT", "."&amp;Table133[[#This Row],[Ticker]]&amp;Table133[[#This Row],[Expiry]]&amp;""&amp;"P"&amp;Table133[[#This Row],[Strike]]))</f>
        <v>0</v>
      </c>
      <c r="U61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4" t="b">
        <f>IF(     ISNUMBER(Table133[[#This Row],[Strike]]),RTD("tos.rtd", , "DELTA", "."&amp;Table133[[#This Row],[Ticker]]&amp;Table133[[#This Row],[Expiry]]&amp;""&amp;"P"&amp;Table133[[#This Row],[Strike]]))</f>
        <v>0</v>
      </c>
      <c r="Y614">
        <f>49* IF($M$1="NDX", 10, IF(OR($M$1="SPX", $M$1="RUT"), 2, 1))</f>
        <v>98</v>
      </c>
      <c r="Z614">
        <f ca="1">IFERROR(Table133[[#This Row],[call gamma]]*(Table133[[#This Row],[Open.Int]])*$A$4^2,0)</f>
        <v>0</v>
      </c>
      <c r="AA614">
        <f ca="1">IFERROR(((Table133[[#This Row],[Open.Int8]])*Table133[[#This Row],[Put gamma]])*-1*$A$4^2,0)</f>
        <v>0</v>
      </c>
      <c r="AB614">
        <f ca="1">(Table133[[#This Row],[Call Gex]]+Table133[[#This Row],[Put Gex]])</f>
        <v>0</v>
      </c>
      <c r="AC614">
        <f ca="1">Table133[[#This Row],[put delta adj]]+Table133[[#This Row],[call delta adj]]</f>
        <v>0</v>
      </c>
      <c r="AD614">
        <f ca="1">Table133[[#This Row],[Put Gex]]*Table133[[#This Row],[DeltaP]]*-1</f>
        <v>0</v>
      </c>
      <c r="AE614">
        <f ca="1">Table133[[#This Row],[Call Gex]]*Table133[[#This Row],[DeltaC]]</f>
        <v>0</v>
      </c>
      <c r="AF614">
        <f>IF(Table133[[#This Row],[DeltaC]]-ABS(Table133[[#This Row],[DeltaP]])="0","0.01",Table133[[#This Row],[DeltaC]]-ABS(Table133[[#This Row],[DeltaP]]))</f>
        <v>0</v>
      </c>
      <c r="AG614" t="e">
        <f ca="1">((LN($A$4/Table133[[#This Row],[Strike]]) + (0.411 + 0.5 * Table133[[#This Row],[IV Calc P]]^2) *Table133[[#This Row],[T]])) / (Table133[[#This Row],[IV Calc P]] * SQRT(Table133[[#This Row],[T]]))</f>
        <v>#DIV/0!</v>
      </c>
      <c r="AH614" t="e">
        <f ca="1">(LN($A$4/Table133[[#This Row],[Strike]]) + (0.411-0 + 0.5 * Table133[[#This Row],[IV Calc C]]^2) *Table133[[#This Row],[T]]) / (Table133[[#This Row],[IV Calc C]] * SQRT(Table133[[#This Row],[T]]))</f>
        <v>#DIV/0!</v>
      </c>
      <c r="AI614" t="e">
        <f ca="1">(EXP(-(AG614^2)/2)/SQRT(2*PI())*EXP(0*SQRT(Table133[[#This Row],[T]]))/$A$4*18%*SQRT(SQRT(Table133[[#This Row],[T]])))</f>
        <v>#DIV/0!</v>
      </c>
      <c r="AJ614" t="e">
        <f ca="1">(EXP(-(AH614^2)/2)/SQRT(2*PI())*EXP(0*SQRT(Table133[[#This Row],[T]]))/$A$4*18%*SQRT(SQRT(Table133[[#This Row],[T]])))</f>
        <v>#DIV/0!</v>
      </c>
      <c r="AK614" t="e">
        <f ca="1">Table133[[#This Row],[Call D1]]-Table133[[#This Row],[IV Calc C]]*SQRT(Table133[[#This Row],[T]])</f>
        <v>#DIV/0!</v>
      </c>
      <c r="AL614" t="e">
        <f ca="1">Table133[[#This Row],[Put D1]]-Table133[[#This Row],[IV Calc P]]*SQRT(Table133[[#This Row],[T]])</f>
        <v>#DIV/0!</v>
      </c>
      <c r="AM614" t="e">
        <f ca="1">EXP(-0.5*Table133[[#This Row],[Call D1]]^2)/SQRT(2*PI())</f>
        <v>#DIV/0!</v>
      </c>
      <c r="AN614" t="e">
        <f ca="1">EXP(-0.5*Table133[[#This Row],[Put D1]]^2)/SQRT(2*PI())</f>
        <v>#DIV/0!</v>
      </c>
      <c r="AO61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4">
        <f ca="1">((Table133[[#This Row],[call vanna]]+Table133[[#This Row],[put vanna]])*$A$4)</f>
        <v>0</v>
      </c>
      <c r="AR61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4" s="9" t="str" cm="1">
        <f t="array" ref="AT614">_xlfn.IFS(     $M$1="SPX","SPXW",     $M$1="RUT","RUTW",  $M$1="NDX","NDXP",   TRUE,$M$1 )</f>
        <v>SPXW</v>
      </c>
      <c r="AU614" s="2">
        <f t="shared" si="62"/>
        <v>6915</v>
      </c>
      <c r="AV614" t="str">
        <f t="shared" si="63"/>
        <v>000100</v>
      </c>
      <c r="AY61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4">
        <f>((Table133[[#This Row],[High C]]+Table133[[#This Row],[Low C]])/2)*Table133[[#This Row],[gammac]]*Table133[[#This Row],[Volume]]</f>
        <v>0</v>
      </c>
      <c r="BD614">
        <f>((Table133[[#This Row],[High P]]+Table133[[#This Row],[Low P]])/2)*Table133[[#This Row],[gammap]]*Table133[[#This Row],[Volume9]]*-1</f>
        <v>0</v>
      </c>
      <c r="BE614">
        <f>(Table133[[#This Row],[SgammaC]]+Table133[[#This Row],[SgammaP]])*$A$4*-100</f>
        <v>0</v>
      </c>
      <c r="BF614" s="78">
        <f>Table133[[#This Row],[DEXc]]+Table133[[#This Row],[DEXp]]</f>
        <v>0</v>
      </c>
      <c r="BG614">
        <f>IFERROR(Table133[[#This Row],[DeltaC]]*Table133[[#This Row],[Open.Int]]*$A$4,0)</f>
        <v>0</v>
      </c>
      <c r="BH614">
        <f>IFERROR(Table133[[#This Row],[DeltaP]]*Table133[[#This Row],[Open.Int8]]*$A$4,0)</f>
        <v>0</v>
      </c>
      <c r="BI61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4">
        <f ca="1">Table133[[#This Row],[charmc]]+Table133[[#This Row],[charmp]]</f>
        <v>0</v>
      </c>
      <c r="BL614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4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4" s="78">
        <f ca="1">Table133[[#This Row],[call helper]]+Table133[[#This Row],[put helper]]</f>
        <v>0</v>
      </c>
      <c r="BP614" t="str">
        <f>RTD("tos.rtd", , "STRIKE", "."&amp;Table133[[#This Row],[Ticker]]&amp;Table133[[#This Row],[Expiry]]&amp;""&amp;"C"&amp;Table133[[#This Row],[Spot]]+Table133[[#This Row],[step]])</f>
        <v>N/A</v>
      </c>
    </row>
    <row r="615" spans="1:69" x14ac:dyDescent="0.25">
      <c r="A615" s="14">
        <f t="shared" ca="1" si="59"/>
        <v>-126.14810350076104</v>
      </c>
      <c r="C615" s="17"/>
      <c r="D615" t="str">
        <f>RTD("tos.rtd", , "OPEN_INT", "."&amp;Table133[[#This Row],[Ticker]]&amp;Table133[[#This Row],[Expiry]]&amp;""&amp;"C"&amp;Table133[[#This Row],[Spot]]+Table133[[#This Row],[step]])</f>
        <v>N/A</v>
      </c>
      <c r="E61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5" t="b">
        <f>IF(     ISNUMBER(Table133[[#This Row],[Strike]]),RTD("tos.rtd", , "DELTA", "."&amp;Table133[[#This Row],[Ticker]]&amp;Table133[[#This Row],[Expiry]]&amp;""&amp;"C"&amp;Table133[[#This Row],[Strike]]))</f>
        <v>0</v>
      </c>
      <c r="H615" s="17" cm="1">
        <f t="array" aca="1" ref="H615" ca="1">IndividualLegIVCore($A$4, Table133[[#This Row],[Strike]], 0.0411, Table133[[#This Row],[T]], ((Table133[[#This Row],[BIDC]]+Table133[[#This Row],[ASKC]])/2), TRUE)</f>
        <v>0.01</v>
      </c>
      <c r="I615" t="b">
        <f>IF(     ISNUMBER(Table133[[#This Row],[Strike]]),RTD("tos.rtd", , "BID", "."&amp;Table133[[#This Row],[Ticker]]&amp;Table133[[#This Row],[Expiry]]&amp;""&amp;"C"&amp;Table133[[#This Row],[Strike]]))</f>
        <v>0</v>
      </c>
      <c r="J615" t="b">
        <f>IF(     ISNUMBER(Table133[[#This Row],[Strike]]),RTD("tos.rtd", , "ASK", "."&amp;Table133[[#This Row],[Ticker]]&amp;Table133[[#This Row],[Expiry]]&amp;""&amp;"C"&amp;Table133[[#This Row],[Strike]]))</f>
        <v>0</v>
      </c>
      <c r="K615" s="17"/>
      <c r="M615" s="1">
        <f t="shared" si="60"/>
        <v>0</v>
      </c>
      <c r="N615" t="b">
        <f t="shared" si="61"/>
        <v>0</v>
      </c>
      <c r="P615" s="17" cm="1">
        <f t="array" aca="1" ref="P615" ca="1">IndividualLegIVCore($A$4, Table133[[#This Row],[Strike]], 0.0411, Table133[[#This Row],[T]], ((Table133[[#This Row],[BIDP]]+Table133[[#This Row],[ASKP]])/2), FALSE)</f>
        <v>0.01</v>
      </c>
      <c r="Q615" t="b">
        <f>IF(     ISNUMBER(Table133[[#This Row],[Strike]]),RTD("tos.rtd", , "BID", "."&amp;Table133[[#This Row],[Ticker]]&amp;Table133[[#This Row],[Expiry]]&amp;""&amp;"P"&amp;Table133[[#This Row],[Strike]]))</f>
        <v>0</v>
      </c>
      <c r="R615" t="b">
        <f>IF(     ISNUMBER(Table133[[#This Row],[Strike]]),RTD("tos.rtd", , "ASK", "."&amp;Table133[[#This Row],[Ticker]]&amp;Table133[[#This Row],[Expiry]]&amp;""&amp;"P"&amp;Table133[[#This Row],[Strike]]))</f>
        <v>0</v>
      </c>
      <c r="S615" s="17"/>
      <c r="T615" t="b">
        <f>IF(     ISNUMBER(Table133[[#This Row],[Strike]]),RTD("tos.rtd", , "OPEN_INT", "."&amp;Table133[[#This Row],[Ticker]]&amp;Table133[[#This Row],[Expiry]]&amp;""&amp;"P"&amp;Table133[[#This Row],[Strike]]))</f>
        <v>0</v>
      </c>
      <c r="U61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5" t="b">
        <f>IF(     ISNUMBER(Table133[[#This Row],[Strike]]),RTD("tos.rtd", , "DELTA", "."&amp;Table133[[#This Row],[Ticker]]&amp;Table133[[#This Row],[Expiry]]&amp;""&amp;"P"&amp;Table133[[#This Row],[Strike]]))</f>
        <v>0</v>
      </c>
      <c r="Y615">
        <f>49.5* IF($M$1="NDX", 10, IF(OR($M$1="SPX", $M$1="RUT"), 2, 1))</f>
        <v>99</v>
      </c>
      <c r="Z615">
        <f ca="1">IFERROR(Table133[[#This Row],[call gamma]]*(Table133[[#This Row],[Open.Int]])*$A$4^2,0)</f>
        <v>0</v>
      </c>
      <c r="AA615">
        <f ca="1">IFERROR(((Table133[[#This Row],[Open.Int8]])*Table133[[#This Row],[Put gamma]])*-1*$A$4^2,0)</f>
        <v>0</v>
      </c>
      <c r="AB615">
        <f ca="1">(Table133[[#This Row],[Call Gex]]+Table133[[#This Row],[Put Gex]])</f>
        <v>0</v>
      </c>
      <c r="AC615">
        <f ca="1">Table133[[#This Row],[put delta adj]]+Table133[[#This Row],[call delta adj]]</f>
        <v>0</v>
      </c>
      <c r="AD615">
        <f ca="1">Table133[[#This Row],[Put Gex]]*Table133[[#This Row],[DeltaP]]*-1</f>
        <v>0</v>
      </c>
      <c r="AE615">
        <f ca="1">Table133[[#This Row],[Call Gex]]*Table133[[#This Row],[DeltaC]]</f>
        <v>0</v>
      </c>
      <c r="AF615">
        <f>IF(Table133[[#This Row],[DeltaC]]-ABS(Table133[[#This Row],[DeltaP]])="0","0.01",Table133[[#This Row],[DeltaC]]-ABS(Table133[[#This Row],[DeltaP]]))</f>
        <v>0</v>
      </c>
      <c r="AG615" t="e">
        <f ca="1">((LN($A$4/Table133[[#This Row],[Strike]]) + (0.411 + 0.5 * Table133[[#This Row],[IV Calc P]]^2) *Table133[[#This Row],[T]])) / (Table133[[#This Row],[IV Calc P]] * SQRT(Table133[[#This Row],[T]]))</f>
        <v>#DIV/0!</v>
      </c>
      <c r="AH615" t="e">
        <f ca="1">(LN($A$4/Table133[[#This Row],[Strike]]) + (0.411-0 + 0.5 * Table133[[#This Row],[IV Calc C]]^2) *Table133[[#This Row],[T]]) / (Table133[[#This Row],[IV Calc C]] * SQRT(Table133[[#This Row],[T]]))</f>
        <v>#DIV/0!</v>
      </c>
      <c r="AI615" t="e">
        <f ca="1">(EXP(-(AG615^2)/2)/SQRT(2*PI())*EXP(0*SQRT(Table133[[#This Row],[T]]))/$A$4*18%*SQRT(SQRT(Table133[[#This Row],[T]])))</f>
        <v>#DIV/0!</v>
      </c>
      <c r="AJ615" t="e">
        <f ca="1">(EXP(-(AH615^2)/2)/SQRT(2*PI())*EXP(0*SQRT(Table133[[#This Row],[T]]))/$A$4*18%*SQRT(SQRT(Table133[[#This Row],[T]])))</f>
        <v>#DIV/0!</v>
      </c>
      <c r="AK615" t="e">
        <f ca="1">Table133[[#This Row],[Call D1]]-Table133[[#This Row],[IV Calc C]]*SQRT(Table133[[#This Row],[T]])</f>
        <v>#DIV/0!</v>
      </c>
      <c r="AL615" t="e">
        <f ca="1">Table133[[#This Row],[Put D1]]-Table133[[#This Row],[IV Calc P]]*SQRT(Table133[[#This Row],[T]])</f>
        <v>#DIV/0!</v>
      </c>
      <c r="AM615" t="e">
        <f ca="1">EXP(-0.5*Table133[[#This Row],[Call D1]]^2)/SQRT(2*PI())</f>
        <v>#DIV/0!</v>
      </c>
      <c r="AN615" t="e">
        <f ca="1">EXP(-0.5*Table133[[#This Row],[Put D1]]^2)/SQRT(2*PI())</f>
        <v>#DIV/0!</v>
      </c>
      <c r="AO61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5">
        <f ca="1">((Table133[[#This Row],[call vanna]]+Table133[[#This Row],[put vanna]])*$A$4)</f>
        <v>0</v>
      </c>
      <c r="AR61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5" s="9" t="str" cm="1">
        <f t="array" ref="AT615">_xlfn.IFS(     $M$1="SPX","SPXW",     $M$1="RUT","RUTW",  $M$1="NDX","NDXP",   TRUE,$M$1 )</f>
        <v>SPXW</v>
      </c>
      <c r="AU615" s="2">
        <f t="shared" si="62"/>
        <v>6915</v>
      </c>
      <c r="AV615" t="str">
        <f t="shared" si="63"/>
        <v>000100</v>
      </c>
      <c r="AY61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5">
        <f>((Table133[[#This Row],[High C]]+Table133[[#This Row],[Low C]])/2)*Table133[[#This Row],[gammac]]*Table133[[#This Row],[Volume]]</f>
        <v>0</v>
      </c>
      <c r="BD615">
        <f>((Table133[[#This Row],[High P]]+Table133[[#This Row],[Low P]])/2)*Table133[[#This Row],[gammap]]*Table133[[#This Row],[Volume9]]*-1</f>
        <v>0</v>
      </c>
      <c r="BE615">
        <f>(Table133[[#This Row],[SgammaC]]+Table133[[#This Row],[SgammaP]])*$A$4*-100</f>
        <v>0</v>
      </c>
      <c r="BF615" s="78">
        <f>Table133[[#This Row],[DEXc]]+Table133[[#This Row],[DEXp]]</f>
        <v>0</v>
      </c>
      <c r="BG615">
        <f>IFERROR(Table133[[#This Row],[DeltaC]]*Table133[[#This Row],[Open.Int]]*$A$4,0)</f>
        <v>0</v>
      </c>
      <c r="BH615">
        <f>IFERROR(Table133[[#This Row],[DeltaP]]*Table133[[#This Row],[Open.Int8]]*$A$4,0)</f>
        <v>0</v>
      </c>
      <c r="BI61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5">
        <f ca="1">Table133[[#This Row],[charmc]]+Table133[[#This Row],[charmp]]</f>
        <v>0</v>
      </c>
      <c r="BL615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5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5" s="78">
        <f ca="1">Table133[[#This Row],[call helper]]+Table133[[#This Row],[put helper]]</f>
        <v>0</v>
      </c>
      <c r="BP615" t="str">
        <f>RTD("tos.rtd", , "STRIKE", "."&amp;Table133[[#This Row],[Ticker]]&amp;Table133[[#This Row],[Expiry]]&amp;""&amp;"C"&amp;Table133[[#This Row],[Spot]]+Table133[[#This Row],[step]])</f>
        <v>N/A</v>
      </c>
    </row>
    <row r="616" spans="1:69" x14ac:dyDescent="0.25">
      <c r="A616" s="14">
        <f t="shared" ca="1" si="59"/>
        <v>-126.14810350076104</v>
      </c>
      <c r="C616" s="17"/>
      <c r="D616" t="str">
        <f>RTD("tos.rtd", , "OPEN_INT", "."&amp;Table133[[#This Row],[Ticker]]&amp;Table133[[#This Row],[Expiry]]&amp;""&amp;"C"&amp;Table133[[#This Row],[Spot]]+Table133[[#This Row],[step]])</f>
        <v>N/A</v>
      </c>
      <c r="E6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6" t="b">
        <f>IF(     ISNUMBER(Table133[[#This Row],[Strike]]),RTD("tos.rtd", , "DELTA", "."&amp;Table133[[#This Row],[Ticker]]&amp;Table133[[#This Row],[Expiry]]&amp;""&amp;"C"&amp;Table133[[#This Row],[Strike]]))</f>
        <v>0</v>
      </c>
      <c r="H616" s="17" cm="1">
        <f t="array" aca="1" ref="H616" ca="1">IFERROR(
  IndividualLegIVCore(
    $A$4,
    Table133[[#This Row],[Strike]],
    0.0411,
    Table133[[#This Row],[T]],
    0,
    TRUE,
    0,
    0.001,
    5,
    0.0001,
    40,
    0,
    0.2,
    Table133[[#This Row],[BIDC]],
    Table133[[#This Row],[ASKC]],
    Table133[[#This Row],[Volume]]
  ),
  NA()
)</f>
        <v>0.2</v>
      </c>
      <c r="I616" t="b">
        <f>IF(     ISNUMBER(Table133[[#This Row],[Strike]]),RTD("tos.rtd", , "BID", "."&amp;Table133[[#This Row],[Ticker]]&amp;Table133[[#This Row],[Expiry]]&amp;""&amp;"C"&amp;Table133[[#This Row],[Strike]]))</f>
        <v>0</v>
      </c>
      <c r="J616" t="b">
        <f>IF(     ISNUMBER(Table133[[#This Row],[Strike]]),RTD("tos.rtd", , "ASK", "."&amp;Table133[[#This Row],[Ticker]]&amp;Table133[[#This Row],[Expiry]]&amp;""&amp;"C"&amp;Table133[[#This Row],[Strike]]))</f>
        <v>0</v>
      </c>
      <c r="K616" s="17"/>
      <c r="M616" s="1">
        <f t="shared" si="60"/>
        <v>0</v>
      </c>
      <c r="N616" t="b">
        <f t="shared" si="61"/>
        <v>0</v>
      </c>
      <c r="P616" s="17" cm="1">
        <f t="array" aca="1" ref="P616" ca="1">IFERROR(
  IndividualLegIVCore(
    $A$4,
    Table133[[#This Row],[Strike]],
    0.0411,
    Table133[[#This Row],[T]],
    0,
    FALSE,
    0,
    0.001,
    5,
    0.0001,
    40,
    0,
    0,
    Table133[[#This Row],[BIDP]],
    Table133[[#This Row],[ASKP]],
    Table133[[#This Row],[Volume9]]
  ),
  NA()
)</f>
        <v>0.01</v>
      </c>
      <c r="Q616" t="b">
        <f>IF(     ISNUMBER(Table133[[#This Row],[Strike]]),RTD("tos.rtd", , "BID", "."&amp;Table133[[#This Row],[Ticker]]&amp;Table133[[#This Row],[Expiry]]&amp;""&amp;"P"&amp;Table133[[#This Row],[Strike]]))</f>
        <v>0</v>
      </c>
      <c r="R616" t="b">
        <f>IF(     ISNUMBER(Table133[[#This Row],[Strike]]),RTD("tos.rtd", , "ASK", "."&amp;Table133[[#This Row],[Ticker]]&amp;Table133[[#This Row],[Expiry]]&amp;""&amp;"P"&amp;Table133[[#This Row],[Strike]]))</f>
        <v>0</v>
      </c>
      <c r="S616" s="17"/>
      <c r="T616" t="b">
        <f>IF(     ISNUMBER(Table133[[#This Row],[Strike]]),RTD("tos.rtd", , "OPEN_INT", "."&amp;Table133[[#This Row],[Ticker]]&amp;Table133[[#This Row],[Expiry]]&amp;""&amp;"P"&amp;Table133[[#This Row],[Strike]]))</f>
        <v>0</v>
      </c>
      <c r="U6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6" t="b">
        <f>IF(     ISNUMBER(Table133[[#This Row],[Strike]]),RTD("tos.rtd", , "DELTA", "."&amp;Table133[[#This Row],[Ticker]]&amp;Table133[[#This Row],[Expiry]]&amp;""&amp;"P"&amp;Table133[[#This Row],[Strike]]))</f>
        <v>0</v>
      </c>
      <c r="Y616">
        <f>50* IF($M$1="NDX", 10, IF(OR($M$1="SPX", $M$1="RUT"), 2, 1))</f>
        <v>100</v>
      </c>
      <c r="Z616">
        <f ca="1">IFERROR(Table133[[#This Row],[call gamma]]*(Table133[[#This Row],[Open.Int]])*$A$4^2,0)</f>
        <v>0</v>
      </c>
      <c r="AA616">
        <f ca="1">IFERROR(((Table133[[#This Row],[Open.Int8]])*Table133[[#This Row],[Put gamma]])*-1*$A$4^2,0)</f>
        <v>0</v>
      </c>
      <c r="AB616">
        <f ca="1">(Table133[[#This Row],[Call Gex]]+Table133[[#This Row],[Put Gex]])</f>
        <v>0</v>
      </c>
      <c r="AC616">
        <f ca="1">Table133[[#This Row],[put delta adj]]+Table133[[#This Row],[call delta adj]]</f>
        <v>0</v>
      </c>
      <c r="AD616">
        <f ca="1">Table133[[#This Row],[Put Gex]]*Table133[[#This Row],[DeltaP]]*-1</f>
        <v>0</v>
      </c>
      <c r="AE616">
        <f ca="1">Table133[[#This Row],[Call Gex]]*Table133[[#This Row],[DeltaC]]</f>
        <v>0</v>
      </c>
      <c r="AF616">
        <f>IF(Table133[[#This Row],[DeltaC]]-ABS(Table133[[#This Row],[DeltaP]])="0","0.01",Table133[[#This Row],[DeltaC]]-ABS(Table133[[#This Row],[DeltaP]]))</f>
        <v>0</v>
      </c>
      <c r="AG616" t="e">
        <f ca="1">((LN($A$4/Table133[[#This Row],[Strike]]) + (0.411 + 0.5 * Table133[[#This Row],[IV Calc P]]^2) *Table133[[#This Row],[T]])) / (Table133[[#This Row],[IV Calc P]] * SQRT(Table133[[#This Row],[T]]))</f>
        <v>#DIV/0!</v>
      </c>
      <c r="AH616" t="e">
        <f ca="1">(LN($A$4/Table133[[#This Row],[Strike]]) + (0.411-0 + 0.5 * Table133[[#This Row],[IV Calc C]]^2) *Table133[[#This Row],[T]]) / (Table133[[#This Row],[IV Calc C]] * SQRT(Table133[[#This Row],[T]]))</f>
        <v>#DIV/0!</v>
      </c>
      <c r="AI616" t="e">
        <f ca="1">(EXP(-(AG616^2)/2)/SQRT(2*PI())*EXP(0*SQRT(Table133[[#This Row],[T]]))/$A$4*18%*SQRT(SQRT(Table133[[#This Row],[T]])))</f>
        <v>#DIV/0!</v>
      </c>
      <c r="AJ616" t="e">
        <f ca="1">(EXP(-(AH616^2)/2)/SQRT(2*PI())*EXP(0*SQRT(Table133[[#This Row],[T]]))/$A$4*18%*SQRT(SQRT(Table133[[#This Row],[T]])))</f>
        <v>#DIV/0!</v>
      </c>
      <c r="AK616" t="e">
        <f ca="1">Table133[[#This Row],[Call D1]]-Table133[[#This Row],[IV Calc C]]*SQRT(Table133[[#This Row],[T]])</f>
        <v>#DIV/0!</v>
      </c>
      <c r="AL616" t="e">
        <f ca="1">Table133[[#This Row],[Put D1]]-Table133[[#This Row],[IV Calc P]]*SQRT(Table133[[#This Row],[T]])</f>
        <v>#DIV/0!</v>
      </c>
      <c r="AM616" t="e">
        <f ca="1">EXP(-0.5*Table133[[#This Row],[Call D1]]^2)/SQRT(2*PI())</f>
        <v>#DIV/0!</v>
      </c>
      <c r="AN616" t="e">
        <f ca="1">EXP(-0.5*Table133[[#This Row],[Put D1]]^2)/SQRT(2*PI())</f>
        <v>#DIV/0!</v>
      </c>
      <c r="AO6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6">
        <f ca="1">((Table133[[#This Row],[call vanna]]+Table133[[#This Row],[put vanna]])*$A$4)</f>
        <v>0</v>
      </c>
      <c r="AR6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6" s="9" t="str" cm="1">
        <f t="array" ref="AT616">_xlfn.IFS(     $M$1="SPX","SPXW",     $M$1="RUT","RUTW",  $M$1="NDX","NDXP",   TRUE,$M$1 )</f>
        <v>SPXW</v>
      </c>
      <c r="AU616" s="2">
        <f t="shared" si="62"/>
        <v>6915</v>
      </c>
      <c r="AV616" t="str">
        <f t="shared" si="63"/>
        <v>000100</v>
      </c>
      <c r="AY6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6">
        <f>((Table133[[#This Row],[High C]]+Table133[[#This Row],[Low C]])/2)*Table133[[#This Row],[gammac]]*Table133[[#This Row],[Volume]]</f>
        <v>0</v>
      </c>
      <c r="BD616">
        <f>((Table133[[#This Row],[High P]]+Table133[[#This Row],[Low P]])/2)*Table133[[#This Row],[gammap]]*Table133[[#This Row],[Volume9]]*-1</f>
        <v>0</v>
      </c>
      <c r="BE616">
        <f>(Table133[[#This Row],[SgammaC]]+Table133[[#This Row],[SgammaP]])*$A$4*-100</f>
        <v>0</v>
      </c>
      <c r="BF616" s="78">
        <f>Table133[[#This Row],[DEXc]]+Table133[[#This Row],[DEXp]]</f>
        <v>0</v>
      </c>
      <c r="BG616">
        <f>IFERROR(Table133[[#This Row],[DeltaC]]*Table133[[#This Row],[Open.Int]]*$A$4,0)</f>
        <v>0</v>
      </c>
      <c r="BH616">
        <f>IFERROR(Table133[[#This Row],[DeltaP]]*Table133[[#This Row],[Open.Int8]]*$A$4,0)</f>
        <v>0</v>
      </c>
      <c r="BI61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6">
        <f ca="1">Table133[[#This Row],[charmc]]+Table133[[#This Row],[charmp]]</f>
        <v>0</v>
      </c>
      <c r="BL616" s="78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6" s="78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6" s="78">
        <f ca="1">Table133[[#This Row],[call helper]]+Table133[[#This Row],[put helper]]</f>
        <v>0</v>
      </c>
      <c r="BP616" t="str">
        <f>RTD("tos.rtd", , "STRIKE", "."&amp;Table133[[#This Row],[Ticker]]&amp;Table133[[#This Row],[Expiry]]&amp;""&amp;"C"&amp;Table133[[#This Row],[Spot]]+Table133[[#This Row],[step]])</f>
        <v>N/A</v>
      </c>
    </row>
    <row r="618" spans="1:69" ht="30" x14ac:dyDescent="0.25">
      <c r="A618" t="s">
        <v>53</v>
      </c>
      <c r="B618" t="s">
        <v>12</v>
      </c>
      <c r="C618" t="s">
        <v>11</v>
      </c>
      <c r="D618" t="s">
        <v>2</v>
      </c>
      <c r="E618" t="s">
        <v>1</v>
      </c>
      <c r="F618" t="s">
        <v>29</v>
      </c>
      <c r="G618" t="s">
        <v>36</v>
      </c>
      <c r="H618" t="s">
        <v>43</v>
      </c>
      <c r="I618" t="s">
        <v>34</v>
      </c>
      <c r="J618" t="s">
        <v>33</v>
      </c>
      <c r="K618" t="s">
        <v>47</v>
      </c>
      <c r="L618" s="17" t="s">
        <v>44</v>
      </c>
      <c r="M618" t="s">
        <v>3</v>
      </c>
      <c r="N618" t="s">
        <v>4</v>
      </c>
      <c r="O618" t="s">
        <v>27</v>
      </c>
      <c r="P618" t="s">
        <v>42</v>
      </c>
      <c r="Q618" t="s">
        <v>35</v>
      </c>
      <c r="R618" t="s">
        <v>32</v>
      </c>
      <c r="S618" t="s">
        <v>26</v>
      </c>
      <c r="T618" t="s">
        <v>13</v>
      </c>
      <c r="U618" t="s">
        <v>14</v>
      </c>
      <c r="V618" t="s">
        <v>30</v>
      </c>
      <c r="W618" t="s">
        <v>39</v>
      </c>
      <c r="X618" t="s">
        <v>31</v>
      </c>
      <c r="Y618" t="s">
        <v>10</v>
      </c>
      <c r="Z618" t="s">
        <v>5</v>
      </c>
      <c r="AA618" t="s">
        <v>6</v>
      </c>
      <c r="AB618" t="s">
        <v>7</v>
      </c>
      <c r="AC618" t="s">
        <v>40</v>
      </c>
      <c r="AD618" t="s">
        <v>37</v>
      </c>
      <c r="AE618" t="s">
        <v>38</v>
      </c>
      <c r="AF618" t="s">
        <v>8</v>
      </c>
      <c r="AG618" t="s">
        <v>15</v>
      </c>
      <c r="AH618" t="s">
        <v>16</v>
      </c>
      <c r="AI618" t="s">
        <v>17</v>
      </c>
      <c r="AJ618" t="s">
        <v>18</v>
      </c>
      <c r="AK618" t="s">
        <v>19</v>
      </c>
      <c r="AL618" t="s">
        <v>20</v>
      </c>
      <c r="AM618" t="s">
        <v>21</v>
      </c>
      <c r="AN618" t="s">
        <v>22</v>
      </c>
      <c r="AO618" t="s">
        <v>23</v>
      </c>
      <c r="AP618" t="s">
        <v>24</v>
      </c>
      <c r="AQ618" t="s">
        <v>25</v>
      </c>
      <c r="AR618" t="s">
        <v>45</v>
      </c>
      <c r="AS618" t="s">
        <v>46</v>
      </c>
      <c r="AT618" t="s">
        <v>54</v>
      </c>
      <c r="AU618" t="s">
        <v>55</v>
      </c>
      <c r="AV618" t="s">
        <v>56</v>
      </c>
      <c r="AW618" t="s">
        <v>60</v>
      </c>
      <c r="AX618" t="s">
        <v>61</v>
      </c>
      <c r="AY618" s="61" t="s">
        <v>48</v>
      </c>
      <c r="AZ618" s="61" t="s">
        <v>49</v>
      </c>
      <c r="BA618" s="61" t="s">
        <v>50</v>
      </c>
      <c r="BB618" s="61" t="s">
        <v>51</v>
      </c>
      <c r="BC618" s="61" t="s">
        <v>52</v>
      </c>
      <c r="BD618" s="61" t="s">
        <v>59</v>
      </c>
      <c r="BE618" s="61" t="s">
        <v>62</v>
      </c>
      <c r="BF618" s="61" t="s">
        <v>28</v>
      </c>
      <c r="BG618" s="61" t="s">
        <v>68</v>
      </c>
      <c r="BH618" s="61" t="s">
        <v>69</v>
      </c>
      <c r="BI618" s="61" t="s">
        <v>70</v>
      </c>
      <c r="BJ618" s="61" t="s">
        <v>71</v>
      </c>
      <c r="BK618" s="61" t="s">
        <v>72</v>
      </c>
      <c r="BL618" s="89" t="s">
        <v>78</v>
      </c>
      <c r="BM618" s="89" t="s">
        <v>79</v>
      </c>
      <c r="BN618" s="17" t="s">
        <v>84</v>
      </c>
    </row>
    <row r="619" spans="1:69" x14ac:dyDescent="0.25">
      <c r="A619" s="14">
        <f t="shared" ref="A619:A682" ca="1" si="64">$R$3</f>
        <v>-126.14810350076104</v>
      </c>
      <c r="C619" s="17"/>
      <c r="D619" t="str">
        <f>RTD("tos.rtd", , "OPEN_INT", "."&amp;Table1334[[#This Row],[Ticker]]&amp;Table1334[[#This Row],[Expiry]]&amp;""&amp;"C"&amp;Table1334[[#This Row],[Spot]]+Table1334[[#This Row],[step]])</f>
        <v>N/A</v>
      </c>
      <c r="E6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19" t="b">
        <f>IF(     ISNUMBER(Table1334[[#This Row],[Strike]]),RTD("tos.rtd", , "DELTA", "."&amp;Table1334[[#This Row],[Ticker]]&amp;Table1334[[#This Row],[Expiry]]&amp;""&amp;"C"&amp;Table1334[[#This Row],[Strike]]))</f>
        <v>0</v>
      </c>
      <c r="H619" s="17" cm="1">
        <f t="array" aca="1" ref="H619" ca="1">IndividualLegIVCore($A$4, Table1334[[#This Row],[Strike]], 0.0411, Table1334[[#This Row],[T]], ((Table1334[[#This Row],[BIDC]]+Table1334[[#This Row],[ASKC]])/2), TRUE)</f>
        <v>0.01</v>
      </c>
      <c r="I619" t="b">
        <f>IF(     ISNUMBER(Table1334[[#This Row],[Strike]]),RTD("tos.rtd", , "BID", "."&amp;Table1334[[#This Row],[Ticker]]&amp;Table1334[[#This Row],[Expiry]]&amp;""&amp;"C"&amp;Table1334[[#This Row],[Strike]]))</f>
        <v>0</v>
      </c>
      <c r="J619" t="b">
        <f>IF(     ISNUMBER(Table1334[[#This Row],[Strike]]),RTD("tos.rtd", , "ASK", "."&amp;Table1334[[#This Row],[Ticker]]&amp;Table1334[[#This Row],[Expiry]]&amp;""&amp;"C"&amp;Table1334[[#This Row],[Strike]]))</f>
        <v>0</v>
      </c>
      <c r="K619" s="17"/>
      <c r="M619" s="1">
        <f t="shared" ref="M619:M682" si="65">$R$1</f>
        <v>0</v>
      </c>
      <c r="N619" t="b">
        <f t="shared" ref="N619:N682" si="66">IF(ISNUMBER($BP619), $BP619, FALSE)</f>
        <v>0</v>
      </c>
      <c r="P619" s="17" cm="1">
        <f t="array" aca="1" ref="P619" ca="1">IndividualLegIVCore($A$4, Table1334[[#This Row],[Strike]], 0.0411, Table1334[[#This Row],[T]], ((Table1334[[#This Row],[BIDP]]+Table1334[[#This Row],[ASKP]])/2), FALSE)</f>
        <v>0.01</v>
      </c>
      <c r="Q619" t="b">
        <f>IF(     ISNUMBER(Table1334[[#This Row],[Strike]]),RTD("tos.rtd", , "BID", "."&amp;Table1334[[#This Row],[Ticker]]&amp;Table1334[[#This Row],[Expiry]]&amp;""&amp;"P"&amp;Table1334[[#This Row],[Strike]]))</f>
        <v>0</v>
      </c>
      <c r="R619" t="b">
        <f>IF(     ISNUMBER(Table1334[[#This Row],[Strike]]),RTD("tos.rtd", , "ASK", "."&amp;Table1334[[#This Row],[Ticker]]&amp;Table1334[[#This Row],[Expiry]]&amp;""&amp;"P"&amp;Table1334[[#This Row],[Strike]]))</f>
        <v>0</v>
      </c>
      <c r="S619" s="17"/>
      <c r="T619" t="b">
        <f>IF(     ISNUMBER(Table1334[[#This Row],[Strike]]),RTD("tos.rtd", , "OPEN_INT", "."&amp;Table1334[[#This Row],[Ticker]]&amp;Table1334[[#This Row],[Expiry]]&amp;""&amp;"P"&amp;Table1334[[#This Row],[Strike]]))</f>
        <v>0</v>
      </c>
      <c r="U6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19" t="b">
        <f>IF(     ISNUMBER(Table1334[[#This Row],[Strike]]),RTD("tos.rtd", , "DELTA", "."&amp;Table1334[[#This Row],[Ticker]]&amp;Table1334[[#This Row],[Expiry]]&amp;""&amp;"P"&amp;Table1334[[#This Row],[Strike]]))</f>
        <v>0</v>
      </c>
      <c r="Y619" s="19">
        <f>-50* IF($M$1="NDX", 10, IF(OR($M$1="SPX", $M$1="RUT"), 2, 1))</f>
        <v>-100</v>
      </c>
      <c r="Z619">
        <f ca="1">IFERROR(Table1334[[#This Row],[call gamma]]*(Table1334[[#This Row],[Open.Int]])*$A$4^2,0)</f>
        <v>0</v>
      </c>
      <c r="AA619">
        <f ca="1">IFERROR(((Table1334[[#This Row],[Open.Int8]])*Table1334[[#This Row],[Put gamma]])*-1*$A$4^2,0)</f>
        <v>0</v>
      </c>
      <c r="AB619">
        <f ca="1">(Table1334[[#This Row],[Call Gex]]+Table1334[[#This Row],[Put Gex]])</f>
        <v>0</v>
      </c>
      <c r="AC619">
        <f ca="1">Table1334[[#This Row],[put delta adj]]+Table1334[[#This Row],[call delta adj]]</f>
        <v>0</v>
      </c>
      <c r="AD619">
        <f ca="1">Table1334[[#This Row],[Put Gex]]*Table1334[[#This Row],[DeltaP]]*-1</f>
        <v>0</v>
      </c>
      <c r="AE619">
        <f ca="1">Table1334[[#This Row],[Call Gex]]*Table1334[[#This Row],[DeltaC]]</f>
        <v>0</v>
      </c>
      <c r="AF619">
        <f>IF(Table1334[[#This Row],[DeltaC]]-ABS(Table1334[[#This Row],[DeltaP]])="0","0.01",Table1334[[#This Row],[DeltaC]]-ABS(Table1334[[#This Row],[DeltaP]]))</f>
        <v>0</v>
      </c>
      <c r="AG6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19" t="e">
        <f ca="1">(EXP(-(AG619^2)/2)/SQRT(2*PI())*EXP(0*SQRT(Table1334[[#This Row],[T]]))/$A$4*18%*SQRT(SQRT(Table1334[[#This Row],[T]])))</f>
        <v>#DIV/0!</v>
      </c>
      <c r="AJ619" t="e">
        <f ca="1">(EXP(-(AH619^2)/2)/SQRT(2*PI())*EXP(0*SQRT(Table1334[[#This Row],[T]]))/$A$4*18%*SQRT(SQRT(Table1334[[#This Row],[T]])))</f>
        <v>#DIV/0!</v>
      </c>
      <c r="AK619" t="e">
        <f ca="1">Table1334[[#This Row],[Call D1]]-Table1334[[#This Row],[IV Calc C]]*SQRT(Table1334[[#This Row],[T]])</f>
        <v>#DIV/0!</v>
      </c>
      <c r="AL619" t="e">
        <f ca="1">Table1334[[#This Row],[Put D1]]-Table1334[[#This Row],[IV Calc P]]*SQRT(Table1334[[#This Row],[T]])</f>
        <v>#DIV/0!</v>
      </c>
      <c r="AM619" t="e">
        <f ca="1">EXP(-0.5*Table1334[[#This Row],[Call D1]]^2)/SQRT(2*PI())</f>
        <v>#DIV/0!</v>
      </c>
      <c r="AN619" t="e">
        <f ca="1">EXP(-0.5*Table1334[[#This Row],[Put D1]]^2)/SQRT(2*PI())</f>
        <v>#DIV/0!</v>
      </c>
      <c r="AO6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19">
        <f ca="1">((Table1334[[#This Row],[call vanna]]+Table1334[[#This Row],[put vanna]])*$A$4)</f>
        <v>0</v>
      </c>
      <c r="AR6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19" s="9" t="str" cm="1">
        <f t="array" ref="AT619">_xlfn.IFS(     $M$1="SPX","SPXW",     $M$1="RUT","RUTW",  $M$1="NDX","NDXP",   TRUE,$M$1 )</f>
        <v>SPXW</v>
      </c>
      <c r="AU619" s="2">
        <f t="shared" ref="AU619:AU682" si="67">$N$1</f>
        <v>6915</v>
      </c>
      <c r="AV619" t="str">
        <f t="shared" ref="AV619:AV682" si="68">$R$2</f>
        <v>000100</v>
      </c>
      <c r="AY6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19">
        <f>((Table1334[[#This Row],[High C]]+Table1334[[#This Row],[Low C]])/2)*Table1334[[#This Row],[gammac]]*Table1334[[#This Row],[Volume]]</f>
        <v>0</v>
      </c>
      <c r="BD619">
        <f>((Table1334[[#This Row],[High P]]+Table1334[[#This Row],[Low P]])/2)*Table1334[[#This Row],[gammap]]*Table1334[[#This Row],[Volume9]]*-1</f>
        <v>0</v>
      </c>
      <c r="BE619">
        <f>(Table1334[[#This Row],[SgammaC]]+Table1334[[#This Row],[SgammaP]])*$A$4*-100</f>
        <v>0</v>
      </c>
      <c r="BF619" s="78">
        <f>Table1334[[#This Row],[DEXc]]+Table1334[[#This Row],[DEXp]]</f>
        <v>0</v>
      </c>
      <c r="BG619" s="78">
        <f>IFERROR(Table1334[[#This Row],[DeltaC]]*Table1334[[#This Row],[Open.Int]]*$A$4,0)</f>
        <v>0</v>
      </c>
      <c r="BH619">
        <f>IFERROR(Table1334[[#This Row],[DeltaP]]*Table1334[[#This Row],[Open.Int8]]*$A$4,0)</f>
        <v>0</v>
      </c>
      <c r="BI619" s="6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19">
        <f ca="1">Table1334[[#This Row],[charmc]]+Table1334[[#This Row],[charmp]]</f>
        <v>0</v>
      </c>
      <c r="BL61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1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19" s="78">
        <f ca="1">Table1334[[#This Row],[call helper]]+Table1334[[#This Row],[put helper]]</f>
        <v>0</v>
      </c>
      <c r="BP619" t="str">
        <f>RTD("tos.rtd", , "STRIKE", "."&amp;Table1334[[#This Row],[Ticker]]&amp;Table1334[[#This Row],[Expiry]]&amp;""&amp;"C"&amp;Table1334[[#This Row],[Spot]]+Table1334[[#This Row],[step]])</f>
        <v>N/A</v>
      </c>
      <c r="BQ619" t="e" cm="1" vm="1">
        <f t="array" ref="BQ619">_xlfn._xlws.FILTER(
    BP619:BP819,
    ISNUMBER(BP619:BP819)
)</f>
        <v>#VALUE!</v>
      </c>
    </row>
    <row r="620" spans="1:69" x14ac:dyDescent="0.25">
      <c r="A620" s="14">
        <f t="shared" ca="1" si="64"/>
        <v>-126.14810350076104</v>
      </c>
      <c r="C620" s="17"/>
      <c r="D620" t="str">
        <f>RTD("tos.rtd", , "OPEN_INT", "."&amp;Table1334[[#This Row],[Ticker]]&amp;Table1334[[#This Row],[Expiry]]&amp;""&amp;"C"&amp;Table1334[[#This Row],[Spot]]+Table1334[[#This Row],[step]])</f>
        <v>N/A</v>
      </c>
      <c r="E62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0" t="b">
        <f>IF(     ISNUMBER(Table1334[[#This Row],[Strike]]),RTD("tos.rtd", , "DELTA", "."&amp;Table1334[[#This Row],[Ticker]]&amp;Table1334[[#This Row],[Expiry]]&amp;""&amp;"C"&amp;Table1334[[#This Row],[Strike]]))</f>
        <v>0</v>
      </c>
      <c r="H620" s="17" cm="1">
        <f t="array" aca="1" ref="H620" ca="1">IndividualLegIVCore($A$4, Table1334[[#This Row],[Strike]], 0.0411, Table1334[[#This Row],[T]], ((Table1334[[#This Row],[BIDC]]+Table1334[[#This Row],[ASKC]])/2), TRUE)</f>
        <v>0.01</v>
      </c>
      <c r="I620" t="b">
        <f>IF(     ISNUMBER(Table1334[[#This Row],[Strike]]),RTD("tos.rtd", , "BID", "."&amp;Table1334[[#This Row],[Ticker]]&amp;Table1334[[#This Row],[Expiry]]&amp;""&amp;"C"&amp;Table1334[[#This Row],[Strike]]))</f>
        <v>0</v>
      </c>
      <c r="J620" t="b">
        <f>IF(     ISNUMBER(Table1334[[#This Row],[Strike]]),RTD("tos.rtd", , "ASK", "."&amp;Table1334[[#This Row],[Ticker]]&amp;Table1334[[#This Row],[Expiry]]&amp;""&amp;"C"&amp;Table1334[[#This Row],[Strike]]))</f>
        <v>0</v>
      </c>
      <c r="K620" s="17"/>
      <c r="M620" s="1">
        <f t="shared" si="65"/>
        <v>0</v>
      </c>
      <c r="N620" t="b">
        <f t="shared" si="66"/>
        <v>0</v>
      </c>
      <c r="P620" s="17" cm="1">
        <f t="array" aca="1" ref="P620" ca="1">IndividualLegIVCore($A$4, Table1334[[#This Row],[Strike]], 0.0411, Table1334[[#This Row],[T]], ((Table1334[[#This Row],[BIDP]]+Table1334[[#This Row],[ASKP]])/2), FALSE)</f>
        <v>0.01</v>
      </c>
      <c r="Q620" t="b">
        <f>IF(     ISNUMBER(Table1334[[#This Row],[Strike]]),RTD("tos.rtd", , "BID", "."&amp;Table1334[[#This Row],[Ticker]]&amp;Table1334[[#This Row],[Expiry]]&amp;""&amp;"P"&amp;Table1334[[#This Row],[Strike]]))</f>
        <v>0</v>
      </c>
      <c r="R620" t="b">
        <f>IF(     ISNUMBER(Table1334[[#This Row],[Strike]]),RTD("tos.rtd", , "ASK", "."&amp;Table1334[[#This Row],[Ticker]]&amp;Table1334[[#This Row],[Expiry]]&amp;""&amp;"P"&amp;Table1334[[#This Row],[Strike]]))</f>
        <v>0</v>
      </c>
      <c r="S620" s="17"/>
      <c r="T620" t="b">
        <f>IF(     ISNUMBER(Table1334[[#This Row],[Strike]]),RTD("tos.rtd", , "OPEN_INT", "."&amp;Table1334[[#This Row],[Ticker]]&amp;Table1334[[#This Row],[Expiry]]&amp;""&amp;"P"&amp;Table1334[[#This Row],[Strike]]))</f>
        <v>0</v>
      </c>
      <c r="U62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0" t="b">
        <f>IF(     ISNUMBER(Table1334[[#This Row],[Strike]]),RTD("tos.rtd", , "DELTA", "."&amp;Table1334[[#This Row],[Ticker]]&amp;Table1334[[#This Row],[Expiry]]&amp;""&amp;"P"&amp;Table1334[[#This Row],[Strike]]))</f>
        <v>0</v>
      </c>
      <c r="Y620" s="19">
        <f>-49.5* IF($M$1="NDX", 10, IF(OR($M$1="SPX", $M$1="RUT"), 2, 1))</f>
        <v>-99</v>
      </c>
      <c r="Z620">
        <f ca="1">IFERROR(Table1334[[#This Row],[call gamma]]*(Table1334[[#This Row],[Open.Int]])*$A$4^2,0)</f>
        <v>0</v>
      </c>
      <c r="AA620">
        <f ca="1">IFERROR(((Table1334[[#This Row],[Open.Int8]])*Table1334[[#This Row],[Put gamma]])*-1*$A$4^2,0)</f>
        <v>0</v>
      </c>
      <c r="AB620">
        <f ca="1">(Table1334[[#This Row],[Call Gex]]+Table1334[[#This Row],[Put Gex]])</f>
        <v>0</v>
      </c>
      <c r="AC620">
        <f ca="1">Table1334[[#This Row],[put delta adj]]+Table1334[[#This Row],[call delta adj]]</f>
        <v>0</v>
      </c>
      <c r="AD620">
        <f ca="1">Table1334[[#This Row],[Put Gex]]*Table1334[[#This Row],[DeltaP]]*-1</f>
        <v>0</v>
      </c>
      <c r="AE620">
        <f ca="1">Table1334[[#This Row],[Call Gex]]*Table1334[[#This Row],[DeltaC]]</f>
        <v>0</v>
      </c>
      <c r="AF620">
        <f>IF(Table1334[[#This Row],[DeltaC]]-ABS(Table1334[[#This Row],[DeltaP]])="0","0.01",Table1334[[#This Row],[DeltaC]]-ABS(Table1334[[#This Row],[DeltaP]]))</f>
        <v>0</v>
      </c>
      <c r="AG62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0" t="e">
        <f ca="1">(EXP(-(AG620^2)/2)/SQRT(2*PI())*EXP(0*SQRT(Table1334[[#This Row],[T]]))/$A$4*18%*SQRT(SQRT(Table1334[[#This Row],[T]])))</f>
        <v>#DIV/0!</v>
      </c>
      <c r="AJ620" t="e">
        <f ca="1">(EXP(-(AH620^2)/2)/SQRT(2*PI())*EXP(0*SQRT(Table1334[[#This Row],[T]]))/$A$4*18%*SQRT(SQRT(Table1334[[#This Row],[T]])))</f>
        <v>#DIV/0!</v>
      </c>
      <c r="AK620" t="e">
        <f ca="1">Table1334[[#This Row],[Call D1]]-Table1334[[#This Row],[IV Calc C]]*SQRT(Table1334[[#This Row],[T]])</f>
        <v>#DIV/0!</v>
      </c>
      <c r="AL620" t="e">
        <f ca="1">Table1334[[#This Row],[Put D1]]-Table1334[[#This Row],[IV Calc P]]*SQRT(Table1334[[#This Row],[T]])</f>
        <v>#DIV/0!</v>
      </c>
      <c r="AM620" t="e">
        <f ca="1">EXP(-0.5*Table1334[[#This Row],[Call D1]]^2)/SQRT(2*PI())</f>
        <v>#DIV/0!</v>
      </c>
      <c r="AN620" t="e">
        <f ca="1">EXP(-0.5*Table1334[[#This Row],[Put D1]]^2)/SQRT(2*PI())</f>
        <v>#DIV/0!</v>
      </c>
      <c r="AO62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0">
        <f ca="1">((Table1334[[#This Row],[call vanna]]+Table1334[[#This Row],[put vanna]])*$A$4)</f>
        <v>0</v>
      </c>
      <c r="AR62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0" s="9" t="str" cm="1">
        <f t="array" ref="AT620">_xlfn.IFS(     $M$1="SPX","SPXW",     $M$1="RUT","RUTW",  $M$1="NDX","NDXP",   TRUE,$M$1 )</f>
        <v>SPXW</v>
      </c>
      <c r="AU620" s="2">
        <f t="shared" si="67"/>
        <v>6915</v>
      </c>
      <c r="AV620" t="str">
        <f t="shared" si="68"/>
        <v>000100</v>
      </c>
      <c r="AY62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0">
        <f>((Table1334[[#This Row],[High C]]+Table1334[[#This Row],[Low C]])/2)*Table1334[[#This Row],[gammac]]*Table1334[[#This Row],[Volume]]</f>
        <v>0</v>
      </c>
      <c r="BD620">
        <f>((Table1334[[#This Row],[High P]]+Table1334[[#This Row],[Low P]])/2)*Table1334[[#This Row],[gammap]]*Table1334[[#This Row],[Volume9]]*-1</f>
        <v>0</v>
      </c>
      <c r="BE620">
        <f>(Table1334[[#This Row],[SgammaC]]+Table1334[[#This Row],[SgammaP]])*$A$4*-100</f>
        <v>0</v>
      </c>
      <c r="BF620">
        <f>Table1334[[#This Row],[DEXc]]+Table1334[[#This Row],[DEXp]]</f>
        <v>0</v>
      </c>
      <c r="BG620">
        <f>IFERROR(Table1334[[#This Row],[DeltaC]]*Table1334[[#This Row],[Open.Int]]*$A$4,0)</f>
        <v>0</v>
      </c>
      <c r="BH620">
        <f>IFERROR(Table1334[[#This Row],[DeltaP]]*Table1334[[#This Row],[Open.Int8]]*$A$4,0)</f>
        <v>0</v>
      </c>
      <c r="BI62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0">
        <f ca="1">Table1334[[#This Row],[charmc]]+Table1334[[#This Row],[charmp]]</f>
        <v>0</v>
      </c>
      <c r="BL62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0" s="78">
        <f ca="1">Table1334[[#This Row],[call helper]]+Table1334[[#This Row],[put helper]]</f>
        <v>0</v>
      </c>
      <c r="BP620" t="str">
        <f>RTD("tos.rtd", , "STRIKE", "."&amp;Table1334[[#This Row],[Ticker]]&amp;Table1334[[#This Row],[Expiry]]&amp;""&amp;"C"&amp;Table1334[[#This Row],[Spot]]+Table1334[[#This Row],[step]])</f>
        <v>N/A</v>
      </c>
    </row>
    <row r="621" spans="1:69" x14ac:dyDescent="0.25">
      <c r="A621" s="14">
        <f t="shared" ca="1" si="64"/>
        <v>-126.14810350076104</v>
      </c>
      <c r="C621" s="17"/>
      <c r="D621" t="str">
        <f>RTD("tos.rtd", , "OPEN_INT", "."&amp;Table1334[[#This Row],[Ticker]]&amp;Table1334[[#This Row],[Expiry]]&amp;""&amp;"C"&amp;Table1334[[#This Row],[Spot]]+Table1334[[#This Row],[step]])</f>
        <v>N/A</v>
      </c>
      <c r="E62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1" t="b">
        <f>IF(     ISNUMBER(Table1334[[#This Row],[Strike]]),RTD("tos.rtd", , "DELTA", "."&amp;Table1334[[#This Row],[Ticker]]&amp;Table1334[[#This Row],[Expiry]]&amp;""&amp;"C"&amp;Table1334[[#This Row],[Strike]]))</f>
        <v>0</v>
      </c>
      <c r="H621" s="17" cm="1">
        <f t="array" aca="1" ref="H621" ca="1">IndividualLegIVCore($A$4, Table1334[[#This Row],[Strike]], 0.0411, Table1334[[#This Row],[T]], ((Table1334[[#This Row],[BIDC]]+Table1334[[#This Row],[ASKC]])/2), TRUE)</f>
        <v>0.01</v>
      </c>
      <c r="I621" t="b">
        <f>IF(     ISNUMBER(Table1334[[#This Row],[Strike]]),RTD("tos.rtd", , "BID", "."&amp;Table1334[[#This Row],[Ticker]]&amp;Table1334[[#This Row],[Expiry]]&amp;""&amp;"C"&amp;Table1334[[#This Row],[Strike]]))</f>
        <v>0</v>
      </c>
      <c r="J621" t="b">
        <f>IF(     ISNUMBER(Table1334[[#This Row],[Strike]]),RTD("tos.rtd", , "ASK", "."&amp;Table1334[[#This Row],[Ticker]]&amp;Table1334[[#This Row],[Expiry]]&amp;""&amp;"C"&amp;Table1334[[#This Row],[Strike]]))</f>
        <v>0</v>
      </c>
      <c r="K621" s="17"/>
      <c r="M621" s="1">
        <f t="shared" si="65"/>
        <v>0</v>
      </c>
      <c r="N621" t="b">
        <f t="shared" si="66"/>
        <v>0</v>
      </c>
      <c r="P621" s="17" cm="1">
        <f t="array" aca="1" ref="P621" ca="1">IndividualLegIVCore($A$4, Table1334[[#This Row],[Strike]], 0.0411, Table1334[[#This Row],[T]], ((Table1334[[#This Row],[BIDP]]+Table1334[[#This Row],[ASKP]])/2), FALSE)</f>
        <v>0.01</v>
      </c>
      <c r="Q621" t="b">
        <f>IF(     ISNUMBER(Table1334[[#This Row],[Strike]]),RTD("tos.rtd", , "BID", "."&amp;Table1334[[#This Row],[Ticker]]&amp;Table1334[[#This Row],[Expiry]]&amp;""&amp;"P"&amp;Table1334[[#This Row],[Strike]]))</f>
        <v>0</v>
      </c>
      <c r="R621" t="b">
        <f>IF(     ISNUMBER(Table1334[[#This Row],[Strike]]),RTD("tos.rtd", , "ASK", "."&amp;Table1334[[#This Row],[Ticker]]&amp;Table1334[[#This Row],[Expiry]]&amp;""&amp;"P"&amp;Table1334[[#This Row],[Strike]]))</f>
        <v>0</v>
      </c>
      <c r="S621" s="17"/>
      <c r="T621" t="b">
        <f>IF(     ISNUMBER(Table1334[[#This Row],[Strike]]),RTD("tos.rtd", , "OPEN_INT", "."&amp;Table1334[[#This Row],[Ticker]]&amp;Table1334[[#This Row],[Expiry]]&amp;""&amp;"P"&amp;Table1334[[#This Row],[Strike]]))</f>
        <v>0</v>
      </c>
      <c r="U62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1" t="b">
        <f>IF(     ISNUMBER(Table1334[[#This Row],[Strike]]),RTD("tos.rtd", , "DELTA", "."&amp;Table1334[[#This Row],[Ticker]]&amp;Table1334[[#This Row],[Expiry]]&amp;""&amp;"P"&amp;Table1334[[#This Row],[Strike]]))</f>
        <v>0</v>
      </c>
      <c r="Y621" s="19">
        <f>-49* IF($M$1="NDX", 10, IF(OR($M$1="SPX", $M$1="RUT"), 2, 1))</f>
        <v>-98</v>
      </c>
      <c r="Z621">
        <f ca="1">IFERROR(Table1334[[#This Row],[call gamma]]*(Table1334[[#This Row],[Open.Int]])*$A$4^2,0)</f>
        <v>0</v>
      </c>
      <c r="AA621">
        <f ca="1">IFERROR(((Table1334[[#This Row],[Open.Int8]])*Table1334[[#This Row],[Put gamma]])*-1*$A$4^2,0)</f>
        <v>0</v>
      </c>
      <c r="AB621">
        <f ca="1">(Table1334[[#This Row],[Call Gex]]+Table1334[[#This Row],[Put Gex]])</f>
        <v>0</v>
      </c>
      <c r="AC621">
        <f ca="1">Table1334[[#This Row],[put delta adj]]+Table1334[[#This Row],[call delta adj]]</f>
        <v>0</v>
      </c>
      <c r="AD621">
        <f ca="1">Table1334[[#This Row],[Put Gex]]*Table1334[[#This Row],[DeltaP]]*-1</f>
        <v>0</v>
      </c>
      <c r="AE621">
        <f ca="1">Table1334[[#This Row],[Call Gex]]*Table1334[[#This Row],[DeltaC]]</f>
        <v>0</v>
      </c>
      <c r="AF621">
        <f>IF(Table1334[[#This Row],[DeltaC]]-ABS(Table1334[[#This Row],[DeltaP]])="0","0.01",Table1334[[#This Row],[DeltaC]]-ABS(Table1334[[#This Row],[DeltaP]]))</f>
        <v>0</v>
      </c>
      <c r="AG62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1" t="e">
        <f ca="1">(EXP(-(AG621^2)/2)/SQRT(2*PI())*EXP(0*SQRT(Table1334[[#This Row],[T]]))/$A$4*18%*SQRT(SQRT(Table1334[[#This Row],[T]])))</f>
        <v>#DIV/0!</v>
      </c>
      <c r="AJ621" t="e">
        <f ca="1">(EXP(-(AH621^2)/2)/SQRT(2*PI())*EXP(0*SQRT(Table1334[[#This Row],[T]]))/$A$4*18%*SQRT(SQRT(Table1334[[#This Row],[T]])))</f>
        <v>#DIV/0!</v>
      </c>
      <c r="AK621" t="e">
        <f ca="1">Table1334[[#This Row],[Call D1]]-Table1334[[#This Row],[IV Calc C]]*SQRT(Table1334[[#This Row],[T]])</f>
        <v>#DIV/0!</v>
      </c>
      <c r="AL621" t="e">
        <f ca="1">Table1334[[#This Row],[Put D1]]-Table1334[[#This Row],[IV Calc P]]*SQRT(Table1334[[#This Row],[T]])</f>
        <v>#DIV/0!</v>
      </c>
      <c r="AM621" t="e">
        <f ca="1">EXP(-0.5*Table1334[[#This Row],[Call D1]]^2)/SQRT(2*PI())</f>
        <v>#DIV/0!</v>
      </c>
      <c r="AN621" t="e">
        <f ca="1">EXP(-0.5*Table1334[[#This Row],[Put D1]]^2)/SQRT(2*PI())</f>
        <v>#DIV/0!</v>
      </c>
      <c r="AO62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1">
        <f ca="1">((Table1334[[#This Row],[call vanna]]+Table1334[[#This Row],[put vanna]])*$A$4)</f>
        <v>0</v>
      </c>
      <c r="AR62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1" s="9" t="str" cm="1">
        <f t="array" ref="AT621">_xlfn.IFS(     $M$1="SPX","SPXW",     $M$1="RUT","RUTW",  $M$1="NDX","NDXP",   TRUE,$M$1 )</f>
        <v>SPXW</v>
      </c>
      <c r="AU621" s="2">
        <f t="shared" si="67"/>
        <v>6915</v>
      </c>
      <c r="AV621" t="str">
        <f t="shared" si="68"/>
        <v>000100</v>
      </c>
      <c r="AY62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1">
        <f>((Table1334[[#This Row],[High C]]+Table1334[[#This Row],[Low C]])/2)*Table1334[[#This Row],[gammac]]*Table1334[[#This Row],[Volume]]</f>
        <v>0</v>
      </c>
      <c r="BD621">
        <f>((Table1334[[#This Row],[High P]]+Table1334[[#This Row],[Low P]])/2)*Table1334[[#This Row],[gammap]]*Table1334[[#This Row],[Volume9]]*-1</f>
        <v>0</v>
      </c>
      <c r="BE621">
        <f>(Table1334[[#This Row],[SgammaC]]+Table1334[[#This Row],[SgammaP]])*$A$4*-100</f>
        <v>0</v>
      </c>
      <c r="BF621">
        <f>Table1334[[#This Row],[DEXc]]+Table1334[[#This Row],[DEXp]]</f>
        <v>0</v>
      </c>
      <c r="BG621">
        <f>IFERROR(Table1334[[#This Row],[DeltaC]]*Table1334[[#This Row],[Open.Int]]*$A$4,0)</f>
        <v>0</v>
      </c>
      <c r="BH621">
        <f>IFERROR(Table1334[[#This Row],[DeltaP]]*Table1334[[#This Row],[Open.Int8]]*$A$4,0)</f>
        <v>0</v>
      </c>
      <c r="BI62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1">
        <f ca="1">Table1334[[#This Row],[charmc]]+Table1334[[#This Row],[charmp]]</f>
        <v>0</v>
      </c>
      <c r="BL62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1" s="78">
        <f ca="1">Table1334[[#This Row],[call helper]]+Table1334[[#This Row],[put helper]]</f>
        <v>0</v>
      </c>
      <c r="BP621" t="str">
        <f>RTD("tos.rtd", , "STRIKE", "."&amp;Table1334[[#This Row],[Ticker]]&amp;Table1334[[#This Row],[Expiry]]&amp;""&amp;"C"&amp;Table1334[[#This Row],[Spot]]+Table1334[[#This Row],[step]])</f>
        <v>N/A</v>
      </c>
    </row>
    <row r="622" spans="1:69" x14ac:dyDescent="0.25">
      <c r="A622" s="14">
        <f t="shared" ca="1" si="64"/>
        <v>-126.14810350076104</v>
      </c>
      <c r="C622" s="17"/>
      <c r="D622" t="str">
        <f>RTD("tos.rtd", , "OPEN_INT", "."&amp;Table1334[[#This Row],[Ticker]]&amp;Table1334[[#This Row],[Expiry]]&amp;""&amp;"C"&amp;Table1334[[#This Row],[Spot]]+Table1334[[#This Row],[step]])</f>
        <v>N/A</v>
      </c>
      <c r="E62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2" t="b">
        <f>IF(     ISNUMBER(Table1334[[#This Row],[Strike]]),RTD("tos.rtd", , "DELTA", "."&amp;Table1334[[#This Row],[Ticker]]&amp;Table1334[[#This Row],[Expiry]]&amp;""&amp;"C"&amp;Table1334[[#This Row],[Strike]]))</f>
        <v>0</v>
      </c>
      <c r="H622" s="17" cm="1">
        <f t="array" aca="1" ref="H622" ca="1">IndividualLegIVCore($A$4, Table1334[[#This Row],[Strike]], 0.0411, Table1334[[#This Row],[T]], ((Table1334[[#This Row],[BIDC]]+Table1334[[#This Row],[ASKC]])/2), TRUE)</f>
        <v>0.01</v>
      </c>
      <c r="I622" t="b">
        <f>IF(     ISNUMBER(Table1334[[#This Row],[Strike]]),RTD("tos.rtd", , "BID", "."&amp;Table1334[[#This Row],[Ticker]]&amp;Table1334[[#This Row],[Expiry]]&amp;""&amp;"C"&amp;Table1334[[#This Row],[Strike]]))</f>
        <v>0</v>
      </c>
      <c r="J622" t="b">
        <f>IF(     ISNUMBER(Table1334[[#This Row],[Strike]]),RTD("tos.rtd", , "ASK", "."&amp;Table1334[[#This Row],[Ticker]]&amp;Table1334[[#This Row],[Expiry]]&amp;""&amp;"C"&amp;Table1334[[#This Row],[Strike]]))</f>
        <v>0</v>
      </c>
      <c r="K622" s="17"/>
      <c r="M622" s="1">
        <f t="shared" si="65"/>
        <v>0</v>
      </c>
      <c r="N622" t="b">
        <f t="shared" si="66"/>
        <v>0</v>
      </c>
      <c r="P622" s="17" cm="1">
        <f t="array" aca="1" ref="P622" ca="1">IndividualLegIVCore($A$4, Table1334[[#This Row],[Strike]], 0.0411, Table1334[[#This Row],[T]], ((Table1334[[#This Row],[BIDP]]+Table1334[[#This Row],[ASKP]])/2), FALSE)</f>
        <v>0.01</v>
      </c>
      <c r="Q622" t="b">
        <f>IF(     ISNUMBER(Table1334[[#This Row],[Strike]]),RTD("tos.rtd", , "BID", "."&amp;Table1334[[#This Row],[Ticker]]&amp;Table1334[[#This Row],[Expiry]]&amp;""&amp;"P"&amp;Table1334[[#This Row],[Strike]]))</f>
        <v>0</v>
      </c>
      <c r="R622" t="b">
        <f>IF(     ISNUMBER(Table1334[[#This Row],[Strike]]),RTD("tos.rtd", , "ASK", "."&amp;Table1334[[#This Row],[Ticker]]&amp;Table1334[[#This Row],[Expiry]]&amp;""&amp;"P"&amp;Table1334[[#This Row],[Strike]]))</f>
        <v>0</v>
      </c>
      <c r="S622" s="17"/>
      <c r="T622" t="b">
        <f>IF(     ISNUMBER(Table1334[[#This Row],[Strike]]),RTD("tos.rtd", , "OPEN_INT", "."&amp;Table1334[[#This Row],[Ticker]]&amp;Table1334[[#This Row],[Expiry]]&amp;""&amp;"P"&amp;Table1334[[#This Row],[Strike]]))</f>
        <v>0</v>
      </c>
      <c r="U62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2" t="b">
        <f>IF(     ISNUMBER(Table1334[[#This Row],[Strike]]),RTD("tos.rtd", , "DELTA", "."&amp;Table1334[[#This Row],[Ticker]]&amp;Table1334[[#This Row],[Expiry]]&amp;""&amp;"P"&amp;Table1334[[#This Row],[Strike]]))</f>
        <v>0</v>
      </c>
      <c r="Y622" s="19">
        <f>-48.5* IF($M$1="NDX", 10, IF(OR($M$1="SPX", $M$1="RUT"), 2, 1))</f>
        <v>-97</v>
      </c>
      <c r="Z622">
        <f ca="1">IFERROR(Table1334[[#This Row],[call gamma]]*(Table1334[[#This Row],[Open.Int]])*$A$4^2,0)</f>
        <v>0</v>
      </c>
      <c r="AA622">
        <f ca="1">IFERROR(((Table1334[[#This Row],[Open.Int8]])*Table1334[[#This Row],[Put gamma]])*-1*$A$4^2,0)</f>
        <v>0</v>
      </c>
      <c r="AB622">
        <f ca="1">(Table1334[[#This Row],[Call Gex]]+Table1334[[#This Row],[Put Gex]])</f>
        <v>0</v>
      </c>
      <c r="AC622">
        <f ca="1">Table1334[[#This Row],[put delta adj]]+Table1334[[#This Row],[call delta adj]]</f>
        <v>0</v>
      </c>
      <c r="AD622">
        <f ca="1">Table1334[[#This Row],[Put Gex]]*Table1334[[#This Row],[DeltaP]]*-1</f>
        <v>0</v>
      </c>
      <c r="AE622">
        <f ca="1">Table1334[[#This Row],[Call Gex]]*Table1334[[#This Row],[DeltaC]]</f>
        <v>0</v>
      </c>
      <c r="AF622">
        <f>IF(Table1334[[#This Row],[DeltaC]]-ABS(Table1334[[#This Row],[DeltaP]])="0","0.01",Table1334[[#This Row],[DeltaC]]-ABS(Table1334[[#This Row],[DeltaP]]))</f>
        <v>0</v>
      </c>
      <c r="AG62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2" t="e">
        <f ca="1">(EXP(-(AG622^2)/2)/SQRT(2*PI())*EXP(0*SQRT(Table1334[[#This Row],[T]]))/$A$4*18%*SQRT(SQRT(Table1334[[#This Row],[T]])))</f>
        <v>#DIV/0!</v>
      </c>
      <c r="AJ622" t="e">
        <f ca="1">(EXP(-(AH622^2)/2)/SQRT(2*PI())*EXP(0*SQRT(Table1334[[#This Row],[T]]))/$A$4*18%*SQRT(SQRT(Table1334[[#This Row],[T]])))</f>
        <v>#DIV/0!</v>
      </c>
      <c r="AK622" t="e">
        <f ca="1">Table1334[[#This Row],[Call D1]]-Table1334[[#This Row],[IV Calc C]]*SQRT(Table1334[[#This Row],[T]])</f>
        <v>#DIV/0!</v>
      </c>
      <c r="AL622" t="e">
        <f ca="1">Table1334[[#This Row],[Put D1]]-Table1334[[#This Row],[IV Calc P]]*SQRT(Table1334[[#This Row],[T]])</f>
        <v>#DIV/0!</v>
      </c>
      <c r="AM622" t="e">
        <f ca="1">EXP(-0.5*Table1334[[#This Row],[Call D1]]^2)/SQRT(2*PI())</f>
        <v>#DIV/0!</v>
      </c>
      <c r="AN622" t="e">
        <f ca="1">EXP(-0.5*Table1334[[#This Row],[Put D1]]^2)/SQRT(2*PI())</f>
        <v>#DIV/0!</v>
      </c>
      <c r="AO62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2">
        <f ca="1">((Table1334[[#This Row],[call vanna]]+Table1334[[#This Row],[put vanna]])*$A$4)</f>
        <v>0</v>
      </c>
      <c r="AR62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2" s="9" t="str" cm="1">
        <f t="array" ref="AT622">_xlfn.IFS(     $M$1="SPX","SPXW",     $M$1="RUT","RUTW",  $M$1="NDX","NDXP",   TRUE,$M$1 )</f>
        <v>SPXW</v>
      </c>
      <c r="AU622" s="2">
        <f t="shared" si="67"/>
        <v>6915</v>
      </c>
      <c r="AV622" t="str">
        <f t="shared" si="68"/>
        <v>000100</v>
      </c>
      <c r="AY62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2">
        <f>((Table1334[[#This Row],[High C]]+Table1334[[#This Row],[Low C]])/2)*Table1334[[#This Row],[gammac]]*Table1334[[#This Row],[Volume]]</f>
        <v>0</v>
      </c>
      <c r="BD622">
        <f>((Table1334[[#This Row],[High P]]+Table1334[[#This Row],[Low P]])/2)*Table1334[[#This Row],[gammap]]*Table1334[[#This Row],[Volume9]]*-1</f>
        <v>0</v>
      </c>
      <c r="BE622">
        <f>(Table1334[[#This Row],[SgammaC]]+Table1334[[#This Row],[SgammaP]])*$A$4*-100</f>
        <v>0</v>
      </c>
      <c r="BF622">
        <f>Table1334[[#This Row],[DEXc]]+Table1334[[#This Row],[DEXp]]</f>
        <v>0</v>
      </c>
      <c r="BG622">
        <f>IFERROR(Table1334[[#This Row],[DeltaC]]*Table1334[[#This Row],[Open.Int]]*$A$4,0)</f>
        <v>0</v>
      </c>
      <c r="BH622">
        <f>IFERROR(Table1334[[#This Row],[DeltaP]]*Table1334[[#This Row],[Open.Int8]]*$A$4,0)</f>
        <v>0</v>
      </c>
      <c r="BI62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2">
        <f ca="1">Table1334[[#This Row],[charmc]]+Table1334[[#This Row],[charmp]]</f>
        <v>0</v>
      </c>
      <c r="BL62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2" s="78">
        <f ca="1">Table1334[[#This Row],[call helper]]+Table1334[[#This Row],[put helper]]</f>
        <v>0</v>
      </c>
      <c r="BP622" t="str">
        <f>RTD("tos.rtd", , "STRIKE", "."&amp;Table1334[[#This Row],[Ticker]]&amp;Table1334[[#This Row],[Expiry]]&amp;""&amp;"C"&amp;Table1334[[#This Row],[Spot]]+Table1334[[#This Row],[step]])</f>
        <v>N/A</v>
      </c>
    </row>
    <row r="623" spans="1:69" x14ac:dyDescent="0.25">
      <c r="A623" s="14">
        <f t="shared" ca="1" si="64"/>
        <v>-126.14810350076104</v>
      </c>
      <c r="C623" s="17"/>
      <c r="D623" t="str">
        <f>RTD("tos.rtd", , "OPEN_INT", "."&amp;Table1334[[#This Row],[Ticker]]&amp;Table1334[[#This Row],[Expiry]]&amp;""&amp;"C"&amp;Table1334[[#This Row],[Spot]]+Table1334[[#This Row],[step]])</f>
        <v>N/A</v>
      </c>
      <c r="E62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3" t="b">
        <f>IF(     ISNUMBER(Table1334[[#This Row],[Strike]]),RTD("tos.rtd", , "DELTA", "."&amp;Table1334[[#This Row],[Ticker]]&amp;Table1334[[#This Row],[Expiry]]&amp;""&amp;"C"&amp;Table1334[[#This Row],[Strike]]))</f>
        <v>0</v>
      </c>
      <c r="H623" s="17" cm="1">
        <f t="array" aca="1" ref="H623" ca="1">IndividualLegIVCore($A$4, Table1334[[#This Row],[Strike]], 0.0411, Table1334[[#This Row],[T]], ((Table1334[[#This Row],[BIDC]]+Table1334[[#This Row],[ASKC]])/2), TRUE)</f>
        <v>0.01</v>
      </c>
      <c r="I623" t="b">
        <f>IF(     ISNUMBER(Table1334[[#This Row],[Strike]]),RTD("tos.rtd", , "BID", "."&amp;Table1334[[#This Row],[Ticker]]&amp;Table1334[[#This Row],[Expiry]]&amp;""&amp;"C"&amp;Table1334[[#This Row],[Strike]]))</f>
        <v>0</v>
      </c>
      <c r="J623" t="b">
        <f>IF(     ISNUMBER(Table1334[[#This Row],[Strike]]),RTD("tos.rtd", , "ASK", "."&amp;Table1334[[#This Row],[Ticker]]&amp;Table1334[[#This Row],[Expiry]]&amp;""&amp;"C"&amp;Table1334[[#This Row],[Strike]]))</f>
        <v>0</v>
      </c>
      <c r="K623" s="17"/>
      <c r="M623" s="1">
        <f t="shared" si="65"/>
        <v>0</v>
      </c>
      <c r="N623" t="b">
        <f t="shared" si="66"/>
        <v>0</v>
      </c>
      <c r="P623" s="17" cm="1">
        <f t="array" aca="1" ref="P623" ca="1">IndividualLegIVCore($A$4, Table1334[[#This Row],[Strike]], 0.0411, Table1334[[#This Row],[T]], ((Table1334[[#This Row],[BIDP]]+Table1334[[#This Row],[ASKP]])/2), FALSE)</f>
        <v>0.01</v>
      </c>
      <c r="Q623" t="b">
        <f>IF(     ISNUMBER(Table1334[[#This Row],[Strike]]),RTD("tos.rtd", , "BID", "."&amp;Table1334[[#This Row],[Ticker]]&amp;Table1334[[#This Row],[Expiry]]&amp;""&amp;"P"&amp;Table1334[[#This Row],[Strike]]))</f>
        <v>0</v>
      </c>
      <c r="R623" t="b">
        <f>IF(     ISNUMBER(Table1334[[#This Row],[Strike]]),RTD("tos.rtd", , "ASK", "."&amp;Table1334[[#This Row],[Ticker]]&amp;Table1334[[#This Row],[Expiry]]&amp;""&amp;"P"&amp;Table1334[[#This Row],[Strike]]))</f>
        <v>0</v>
      </c>
      <c r="S623" s="17"/>
      <c r="T623" t="b">
        <f>IF(     ISNUMBER(Table1334[[#This Row],[Strike]]),RTD("tos.rtd", , "OPEN_INT", "."&amp;Table1334[[#This Row],[Ticker]]&amp;Table1334[[#This Row],[Expiry]]&amp;""&amp;"P"&amp;Table1334[[#This Row],[Strike]]))</f>
        <v>0</v>
      </c>
      <c r="U62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3" t="b">
        <f>IF(     ISNUMBER(Table1334[[#This Row],[Strike]]),RTD("tos.rtd", , "DELTA", "."&amp;Table1334[[#This Row],[Ticker]]&amp;Table1334[[#This Row],[Expiry]]&amp;""&amp;"P"&amp;Table1334[[#This Row],[Strike]]))</f>
        <v>0</v>
      </c>
      <c r="Y623" s="19">
        <f>-48* IF($M$1="NDX", 10, IF(OR($M$1="SPX", $M$1="RUT"), 2, 1))</f>
        <v>-96</v>
      </c>
      <c r="Z623">
        <f ca="1">IFERROR(Table1334[[#This Row],[call gamma]]*(Table1334[[#This Row],[Open.Int]])*$A$4^2,0)</f>
        <v>0</v>
      </c>
      <c r="AA623">
        <f ca="1">IFERROR(((Table1334[[#This Row],[Open.Int8]])*Table1334[[#This Row],[Put gamma]])*-1*$A$4^2,0)</f>
        <v>0</v>
      </c>
      <c r="AB623">
        <f ca="1">(Table1334[[#This Row],[Call Gex]]+Table1334[[#This Row],[Put Gex]])</f>
        <v>0</v>
      </c>
      <c r="AC623">
        <f ca="1">Table1334[[#This Row],[put delta adj]]+Table1334[[#This Row],[call delta adj]]</f>
        <v>0</v>
      </c>
      <c r="AD623">
        <f ca="1">Table1334[[#This Row],[Put Gex]]*Table1334[[#This Row],[DeltaP]]*-1</f>
        <v>0</v>
      </c>
      <c r="AE623">
        <f ca="1">Table1334[[#This Row],[Call Gex]]*Table1334[[#This Row],[DeltaC]]</f>
        <v>0</v>
      </c>
      <c r="AF623">
        <f>IF(Table1334[[#This Row],[DeltaC]]-ABS(Table1334[[#This Row],[DeltaP]])="0","0.01",Table1334[[#This Row],[DeltaC]]-ABS(Table1334[[#This Row],[DeltaP]]))</f>
        <v>0</v>
      </c>
      <c r="AG62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3" t="e">
        <f ca="1">(EXP(-(AG623^2)/2)/SQRT(2*PI())*EXP(0*SQRT(Table1334[[#This Row],[T]]))/$A$4*18%*SQRT(SQRT(Table1334[[#This Row],[T]])))</f>
        <v>#DIV/0!</v>
      </c>
      <c r="AJ623" t="e">
        <f ca="1">(EXP(-(AH623^2)/2)/SQRT(2*PI())*EXP(0*SQRT(Table1334[[#This Row],[T]]))/$A$4*18%*SQRT(SQRT(Table1334[[#This Row],[T]])))</f>
        <v>#DIV/0!</v>
      </c>
      <c r="AK623" t="e">
        <f ca="1">Table1334[[#This Row],[Call D1]]-Table1334[[#This Row],[IV Calc C]]*SQRT(Table1334[[#This Row],[T]])</f>
        <v>#DIV/0!</v>
      </c>
      <c r="AL623" t="e">
        <f ca="1">Table1334[[#This Row],[Put D1]]-Table1334[[#This Row],[IV Calc P]]*SQRT(Table1334[[#This Row],[T]])</f>
        <v>#DIV/0!</v>
      </c>
      <c r="AM623" t="e">
        <f ca="1">EXP(-0.5*Table1334[[#This Row],[Call D1]]^2)/SQRT(2*PI())</f>
        <v>#DIV/0!</v>
      </c>
      <c r="AN623" t="e">
        <f ca="1">EXP(-0.5*Table1334[[#This Row],[Put D1]]^2)/SQRT(2*PI())</f>
        <v>#DIV/0!</v>
      </c>
      <c r="AO62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3">
        <f ca="1">((Table1334[[#This Row],[call vanna]]+Table1334[[#This Row],[put vanna]])*$A$4)</f>
        <v>0</v>
      </c>
      <c r="AR62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3" s="9" t="str" cm="1">
        <f t="array" ref="AT623">_xlfn.IFS(     $M$1="SPX","SPXW",     $M$1="RUT","RUTW",  $M$1="NDX","NDXP",   TRUE,$M$1 )</f>
        <v>SPXW</v>
      </c>
      <c r="AU623" s="2">
        <f t="shared" si="67"/>
        <v>6915</v>
      </c>
      <c r="AV623" t="str">
        <f t="shared" si="68"/>
        <v>000100</v>
      </c>
      <c r="AY62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3">
        <f>((Table1334[[#This Row],[High C]]+Table1334[[#This Row],[Low C]])/2)*Table1334[[#This Row],[gammac]]*Table1334[[#This Row],[Volume]]</f>
        <v>0</v>
      </c>
      <c r="BD623">
        <f>((Table1334[[#This Row],[High P]]+Table1334[[#This Row],[Low P]])/2)*Table1334[[#This Row],[gammap]]*Table1334[[#This Row],[Volume9]]*-1</f>
        <v>0</v>
      </c>
      <c r="BE623">
        <f>(Table1334[[#This Row],[SgammaC]]+Table1334[[#This Row],[SgammaP]])*$A$4*-100</f>
        <v>0</v>
      </c>
      <c r="BF623">
        <f>Table1334[[#This Row],[DEXc]]+Table1334[[#This Row],[DEXp]]</f>
        <v>0</v>
      </c>
      <c r="BG623">
        <f>IFERROR(Table1334[[#This Row],[DeltaC]]*Table1334[[#This Row],[Open.Int]]*$A$4,0)</f>
        <v>0</v>
      </c>
      <c r="BH623">
        <f>IFERROR(Table1334[[#This Row],[DeltaP]]*Table1334[[#This Row],[Open.Int8]]*$A$4,0)</f>
        <v>0</v>
      </c>
      <c r="BI62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3">
        <f ca="1">Table1334[[#This Row],[charmc]]+Table1334[[#This Row],[charmp]]</f>
        <v>0</v>
      </c>
      <c r="BL62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3" s="78">
        <f ca="1">Table1334[[#This Row],[call helper]]+Table1334[[#This Row],[put helper]]</f>
        <v>0</v>
      </c>
      <c r="BP623" t="str">
        <f>RTD("tos.rtd", , "STRIKE", "."&amp;Table1334[[#This Row],[Ticker]]&amp;Table1334[[#This Row],[Expiry]]&amp;""&amp;"C"&amp;Table1334[[#This Row],[Spot]]+Table1334[[#This Row],[step]])</f>
        <v>N/A</v>
      </c>
    </row>
    <row r="624" spans="1:69" x14ac:dyDescent="0.25">
      <c r="A624" s="14">
        <f t="shared" ca="1" si="64"/>
        <v>-126.14810350076104</v>
      </c>
      <c r="C624" s="17"/>
      <c r="D624" t="str">
        <f>RTD("tos.rtd", , "OPEN_INT", "."&amp;Table1334[[#This Row],[Ticker]]&amp;Table1334[[#This Row],[Expiry]]&amp;""&amp;"C"&amp;Table1334[[#This Row],[Spot]]+Table1334[[#This Row],[step]])</f>
        <v>N/A</v>
      </c>
      <c r="E62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4" t="b">
        <f>IF(     ISNUMBER(Table1334[[#This Row],[Strike]]),RTD("tos.rtd", , "DELTA", "."&amp;Table1334[[#This Row],[Ticker]]&amp;Table1334[[#This Row],[Expiry]]&amp;""&amp;"C"&amp;Table1334[[#This Row],[Strike]]))</f>
        <v>0</v>
      </c>
      <c r="H624" s="17" cm="1">
        <f t="array" aca="1" ref="H624" ca="1">IndividualLegIVCore($A$4, Table1334[[#This Row],[Strike]], 0.0411, Table1334[[#This Row],[T]], ((Table1334[[#This Row],[BIDC]]+Table1334[[#This Row],[ASKC]])/2), TRUE)</f>
        <v>0.01</v>
      </c>
      <c r="I624" t="b">
        <f>IF(     ISNUMBER(Table1334[[#This Row],[Strike]]),RTD("tos.rtd", , "BID", "."&amp;Table1334[[#This Row],[Ticker]]&amp;Table1334[[#This Row],[Expiry]]&amp;""&amp;"C"&amp;Table1334[[#This Row],[Strike]]))</f>
        <v>0</v>
      </c>
      <c r="J624" t="b">
        <f>IF(     ISNUMBER(Table1334[[#This Row],[Strike]]),RTD("tos.rtd", , "ASK", "."&amp;Table1334[[#This Row],[Ticker]]&amp;Table1334[[#This Row],[Expiry]]&amp;""&amp;"C"&amp;Table1334[[#This Row],[Strike]]))</f>
        <v>0</v>
      </c>
      <c r="K624" s="17"/>
      <c r="M624" s="1">
        <f t="shared" si="65"/>
        <v>0</v>
      </c>
      <c r="N624" t="b">
        <f t="shared" si="66"/>
        <v>0</v>
      </c>
      <c r="P624" s="17" cm="1">
        <f t="array" aca="1" ref="P624" ca="1">IndividualLegIVCore($A$4, Table1334[[#This Row],[Strike]], 0.0411, Table1334[[#This Row],[T]], ((Table1334[[#This Row],[BIDP]]+Table1334[[#This Row],[ASKP]])/2), FALSE)</f>
        <v>0.01</v>
      </c>
      <c r="Q624" t="b">
        <f>IF(     ISNUMBER(Table1334[[#This Row],[Strike]]),RTD("tos.rtd", , "BID", "."&amp;Table1334[[#This Row],[Ticker]]&amp;Table1334[[#This Row],[Expiry]]&amp;""&amp;"P"&amp;Table1334[[#This Row],[Strike]]))</f>
        <v>0</v>
      </c>
      <c r="R624" t="b">
        <f>IF(     ISNUMBER(Table1334[[#This Row],[Strike]]),RTD("tos.rtd", , "ASK", "."&amp;Table1334[[#This Row],[Ticker]]&amp;Table1334[[#This Row],[Expiry]]&amp;""&amp;"P"&amp;Table1334[[#This Row],[Strike]]))</f>
        <v>0</v>
      </c>
      <c r="S624" s="17"/>
      <c r="T624" t="b">
        <f>IF(     ISNUMBER(Table1334[[#This Row],[Strike]]),RTD("tos.rtd", , "OPEN_INT", "."&amp;Table1334[[#This Row],[Ticker]]&amp;Table1334[[#This Row],[Expiry]]&amp;""&amp;"P"&amp;Table1334[[#This Row],[Strike]]))</f>
        <v>0</v>
      </c>
      <c r="U62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4" t="b">
        <f>IF(     ISNUMBER(Table1334[[#This Row],[Strike]]),RTD("tos.rtd", , "DELTA", "."&amp;Table1334[[#This Row],[Ticker]]&amp;Table1334[[#This Row],[Expiry]]&amp;""&amp;"P"&amp;Table1334[[#This Row],[Strike]]))</f>
        <v>0</v>
      </c>
      <c r="Y624" s="19">
        <f>-47.5* IF($M$1="NDX", 10, IF(OR($M$1="SPX", $M$1="RUT"), 2, 1))</f>
        <v>-95</v>
      </c>
      <c r="Z624">
        <f ca="1">IFERROR(Table1334[[#This Row],[call gamma]]*(Table1334[[#This Row],[Open.Int]])*$A$4^2,0)</f>
        <v>0</v>
      </c>
      <c r="AA624">
        <f ca="1">IFERROR(((Table1334[[#This Row],[Open.Int8]])*Table1334[[#This Row],[Put gamma]])*-1*$A$4^2,0)</f>
        <v>0</v>
      </c>
      <c r="AB624">
        <f ca="1">(Table1334[[#This Row],[Call Gex]]+Table1334[[#This Row],[Put Gex]])</f>
        <v>0</v>
      </c>
      <c r="AC624">
        <f ca="1">Table1334[[#This Row],[put delta adj]]+Table1334[[#This Row],[call delta adj]]</f>
        <v>0</v>
      </c>
      <c r="AD624">
        <f ca="1">Table1334[[#This Row],[Put Gex]]*Table1334[[#This Row],[DeltaP]]*-1</f>
        <v>0</v>
      </c>
      <c r="AE624">
        <f ca="1">Table1334[[#This Row],[Call Gex]]*Table1334[[#This Row],[DeltaC]]</f>
        <v>0</v>
      </c>
      <c r="AF624">
        <f>IF(Table1334[[#This Row],[DeltaC]]-ABS(Table1334[[#This Row],[DeltaP]])="0","0.01",Table1334[[#This Row],[DeltaC]]-ABS(Table1334[[#This Row],[DeltaP]]))</f>
        <v>0</v>
      </c>
      <c r="AG62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4" t="e">
        <f ca="1">(EXP(-(AG624^2)/2)/SQRT(2*PI())*EXP(0*SQRT(Table1334[[#This Row],[T]]))/$A$4*18%*SQRT(SQRT(Table1334[[#This Row],[T]])))</f>
        <v>#DIV/0!</v>
      </c>
      <c r="AJ624" t="e">
        <f ca="1">(EXP(-(AH624^2)/2)/SQRT(2*PI())*EXP(0*SQRT(Table1334[[#This Row],[T]]))/$A$4*18%*SQRT(SQRT(Table1334[[#This Row],[T]])))</f>
        <v>#DIV/0!</v>
      </c>
      <c r="AK624" t="e">
        <f ca="1">Table1334[[#This Row],[Call D1]]-Table1334[[#This Row],[IV Calc C]]*SQRT(Table1334[[#This Row],[T]])</f>
        <v>#DIV/0!</v>
      </c>
      <c r="AL624" t="e">
        <f ca="1">Table1334[[#This Row],[Put D1]]-Table1334[[#This Row],[IV Calc P]]*SQRT(Table1334[[#This Row],[T]])</f>
        <v>#DIV/0!</v>
      </c>
      <c r="AM624" t="e">
        <f ca="1">EXP(-0.5*Table1334[[#This Row],[Call D1]]^2)/SQRT(2*PI())</f>
        <v>#DIV/0!</v>
      </c>
      <c r="AN624" t="e">
        <f ca="1">EXP(-0.5*Table1334[[#This Row],[Put D1]]^2)/SQRT(2*PI())</f>
        <v>#DIV/0!</v>
      </c>
      <c r="AO62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4">
        <f ca="1">((Table1334[[#This Row],[call vanna]]+Table1334[[#This Row],[put vanna]])*$A$4)</f>
        <v>0</v>
      </c>
      <c r="AR62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4" s="9" t="str" cm="1">
        <f t="array" ref="AT624">_xlfn.IFS(     $M$1="SPX","SPXW",     $M$1="RUT","RUTW",  $M$1="NDX","NDXP",   TRUE,$M$1 )</f>
        <v>SPXW</v>
      </c>
      <c r="AU624" s="2">
        <f t="shared" si="67"/>
        <v>6915</v>
      </c>
      <c r="AV624" t="str">
        <f t="shared" si="68"/>
        <v>000100</v>
      </c>
      <c r="AY62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4">
        <f>((Table1334[[#This Row],[High C]]+Table1334[[#This Row],[Low C]])/2)*Table1334[[#This Row],[gammac]]*Table1334[[#This Row],[Volume]]</f>
        <v>0</v>
      </c>
      <c r="BD624">
        <f>((Table1334[[#This Row],[High P]]+Table1334[[#This Row],[Low P]])/2)*Table1334[[#This Row],[gammap]]*Table1334[[#This Row],[Volume9]]*-1</f>
        <v>0</v>
      </c>
      <c r="BE624">
        <f>(Table1334[[#This Row],[SgammaC]]+Table1334[[#This Row],[SgammaP]])*$A$4*-100</f>
        <v>0</v>
      </c>
      <c r="BF624">
        <f>Table1334[[#This Row],[DEXc]]+Table1334[[#This Row],[DEXp]]</f>
        <v>0</v>
      </c>
      <c r="BG624">
        <f>IFERROR(Table1334[[#This Row],[DeltaC]]*Table1334[[#This Row],[Open.Int]]*$A$4,0)</f>
        <v>0</v>
      </c>
      <c r="BH624">
        <f>IFERROR(Table1334[[#This Row],[DeltaP]]*Table1334[[#This Row],[Open.Int8]]*$A$4,0)</f>
        <v>0</v>
      </c>
      <c r="BI62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4">
        <f ca="1">Table1334[[#This Row],[charmc]]+Table1334[[#This Row],[charmp]]</f>
        <v>0</v>
      </c>
      <c r="BL62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4" s="78">
        <f ca="1">Table1334[[#This Row],[call helper]]+Table1334[[#This Row],[put helper]]</f>
        <v>0</v>
      </c>
      <c r="BP624" t="str">
        <f>RTD("tos.rtd", , "STRIKE", "."&amp;Table1334[[#This Row],[Ticker]]&amp;Table1334[[#This Row],[Expiry]]&amp;""&amp;"C"&amp;Table1334[[#This Row],[Spot]]+Table1334[[#This Row],[step]])</f>
        <v>N/A</v>
      </c>
    </row>
    <row r="625" spans="1:68" x14ac:dyDescent="0.25">
      <c r="A625" s="14">
        <f t="shared" ca="1" si="64"/>
        <v>-126.14810350076104</v>
      </c>
      <c r="C625" s="17"/>
      <c r="D625" t="str">
        <f>RTD("tos.rtd", , "OPEN_INT", "."&amp;Table1334[[#This Row],[Ticker]]&amp;Table1334[[#This Row],[Expiry]]&amp;""&amp;"C"&amp;Table1334[[#This Row],[Spot]]+Table1334[[#This Row],[step]])</f>
        <v>N/A</v>
      </c>
      <c r="E62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5" t="b">
        <f>IF(     ISNUMBER(Table1334[[#This Row],[Strike]]),RTD("tos.rtd", , "DELTA", "."&amp;Table1334[[#This Row],[Ticker]]&amp;Table1334[[#This Row],[Expiry]]&amp;""&amp;"C"&amp;Table1334[[#This Row],[Strike]]))</f>
        <v>0</v>
      </c>
      <c r="H625" s="17" cm="1">
        <f t="array" aca="1" ref="H625" ca="1">IndividualLegIVCore($A$4, Table1334[[#This Row],[Strike]], 0.0411, Table1334[[#This Row],[T]], ((Table1334[[#This Row],[BIDC]]+Table1334[[#This Row],[ASKC]])/2), TRUE)</f>
        <v>0.01</v>
      </c>
      <c r="I625" t="b">
        <f>IF(     ISNUMBER(Table1334[[#This Row],[Strike]]),RTD("tos.rtd", , "BID", "."&amp;Table1334[[#This Row],[Ticker]]&amp;Table1334[[#This Row],[Expiry]]&amp;""&amp;"C"&amp;Table1334[[#This Row],[Strike]]))</f>
        <v>0</v>
      </c>
      <c r="J625" t="b">
        <f>IF(     ISNUMBER(Table1334[[#This Row],[Strike]]),RTD("tos.rtd", , "ASK", "."&amp;Table1334[[#This Row],[Ticker]]&amp;Table1334[[#This Row],[Expiry]]&amp;""&amp;"C"&amp;Table1334[[#This Row],[Strike]]))</f>
        <v>0</v>
      </c>
      <c r="K625" s="17"/>
      <c r="M625" s="1">
        <f t="shared" si="65"/>
        <v>0</v>
      </c>
      <c r="N625" t="b">
        <f t="shared" si="66"/>
        <v>0</v>
      </c>
      <c r="P625" s="17" cm="1">
        <f t="array" aca="1" ref="P625" ca="1">IndividualLegIVCore($A$4, Table1334[[#This Row],[Strike]], 0.0411, Table1334[[#This Row],[T]], ((Table1334[[#This Row],[BIDP]]+Table1334[[#This Row],[ASKP]])/2), FALSE)</f>
        <v>0.01</v>
      </c>
      <c r="Q625" t="b">
        <f>IF(     ISNUMBER(Table1334[[#This Row],[Strike]]),RTD("tos.rtd", , "BID", "."&amp;Table1334[[#This Row],[Ticker]]&amp;Table1334[[#This Row],[Expiry]]&amp;""&amp;"P"&amp;Table1334[[#This Row],[Strike]]))</f>
        <v>0</v>
      </c>
      <c r="R625" t="b">
        <f>IF(     ISNUMBER(Table1334[[#This Row],[Strike]]),RTD("tos.rtd", , "ASK", "."&amp;Table1334[[#This Row],[Ticker]]&amp;Table1334[[#This Row],[Expiry]]&amp;""&amp;"P"&amp;Table1334[[#This Row],[Strike]]))</f>
        <v>0</v>
      </c>
      <c r="S625" s="17"/>
      <c r="T625" t="b">
        <f>IF(     ISNUMBER(Table1334[[#This Row],[Strike]]),RTD("tos.rtd", , "OPEN_INT", "."&amp;Table1334[[#This Row],[Ticker]]&amp;Table1334[[#This Row],[Expiry]]&amp;""&amp;"P"&amp;Table1334[[#This Row],[Strike]]))</f>
        <v>0</v>
      </c>
      <c r="U62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5" t="b">
        <f>IF(     ISNUMBER(Table1334[[#This Row],[Strike]]),RTD("tos.rtd", , "DELTA", "."&amp;Table1334[[#This Row],[Ticker]]&amp;Table1334[[#This Row],[Expiry]]&amp;""&amp;"P"&amp;Table1334[[#This Row],[Strike]]))</f>
        <v>0</v>
      </c>
      <c r="Y625" s="19">
        <f>-47* IF($M$1="NDX", 10, IF(OR($M$1="SPX", $M$1="RUT"), 2, 1))</f>
        <v>-94</v>
      </c>
      <c r="Z625">
        <f ca="1">IFERROR(Table1334[[#This Row],[call gamma]]*(Table1334[[#This Row],[Open.Int]])*$A$4^2,0)</f>
        <v>0</v>
      </c>
      <c r="AA625">
        <f ca="1">IFERROR(((Table1334[[#This Row],[Open.Int8]])*Table1334[[#This Row],[Put gamma]])*-1*$A$4^2,0)</f>
        <v>0</v>
      </c>
      <c r="AB625">
        <f ca="1">(Table1334[[#This Row],[Call Gex]]+Table1334[[#This Row],[Put Gex]])</f>
        <v>0</v>
      </c>
      <c r="AC625">
        <f ca="1">Table1334[[#This Row],[put delta adj]]+Table1334[[#This Row],[call delta adj]]</f>
        <v>0</v>
      </c>
      <c r="AD625">
        <f ca="1">Table1334[[#This Row],[Put Gex]]*Table1334[[#This Row],[DeltaP]]*-1</f>
        <v>0</v>
      </c>
      <c r="AE625">
        <f ca="1">Table1334[[#This Row],[Call Gex]]*Table1334[[#This Row],[DeltaC]]</f>
        <v>0</v>
      </c>
      <c r="AF625">
        <f>IF(Table1334[[#This Row],[DeltaC]]-ABS(Table1334[[#This Row],[DeltaP]])="0","0.01",Table1334[[#This Row],[DeltaC]]-ABS(Table1334[[#This Row],[DeltaP]]))</f>
        <v>0</v>
      </c>
      <c r="AG62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5" t="e">
        <f ca="1">(EXP(-(AG625^2)/2)/SQRT(2*PI())*EXP(0*SQRT(Table1334[[#This Row],[T]]))/$A$4*18%*SQRT(SQRT(Table1334[[#This Row],[T]])))</f>
        <v>#DIV/0!</v>
      </c>
      <c r="AJ625" t="e">
        <f ca="1">(EXP(-(AH625^2)/2)/SQRT(2*PI())*EXP(0*SQRT(Table1334[[#This Row],[T]]))/$A$4*18%*SQRT(SQRT(Table1334[[#This Row],[T]])))</f>
        <v>#DIV/0!</v>
      </c>
      <c r="AK625" t="e">
        <f ca="1">Table1334[[#This Row],[Call D1]]-Table1334[[#This Row],[IV Calc C]]*SQRT(Table1334[[#This Row],[T]])</f>
        <v>#DIV/0!</v>
      </c>
      <c r="AL625" t="e">
        <f ca="1">Table1334[[#This Row],[Put D1]]-Table1334[[#This Row],[IV Calc P]]*SQRT(Table1334[[#This Row],[T]])</f>
        <v>#DIV/0!</v>
      </c>
      <c r="AM625" t="e">
        <f ca="1">EXP(-0.5*Table1334[[#This Row],[Call D1]]^2)/SQRT(2*PI())</f>
        <v>#DIV/0!</v>
      </c>
      <c r="AN625" t="e">
        <f ca="1">EXP(-0.5*Table1334[[#This Row],[Put D1]]^2)/SQRT(2*PI())</f>
        <v>#DIV/0!</v>
      </c>
      <c r="AO62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5">
        <f ca="1">((Table1334[[#This Row],[call vanna]]+Table1334[[#This Row],[put vanna]])*$A$4)</f>
        <v>0</v>
      </c>
      <c r="AR62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5" s="9" t="str" cm="1">
        <f t="array" ref="AT625">_xlfn.IFS(     $M$1="SPX","SPXW",     $M$1="RUT","RUTW",  $M$1="NDX","NDXP",   TRUE,$M$1 )</f>
        <v>SPXW</v>
      </c>
      <c r="AU625" s="2">
        <f t="shared" si="67"/>
        <v>6915</v>
      </c>
      <c r="AV625" t="str">
        <f t="shared" si="68"/>
        <v>000100</v>
      </c>
      <c r="AY62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5">
        <f>((Table1334[[#This Row],[High C]]+Table1334[[#This Row],[Low C]])/2)*Table1334[[#This Row],[gammac]]*Table1334[[#This Row],[Volume]]</f>
        <v>0</v>
      </c>
      <c r="BD625">
        <f>((Table1334[[#This Row],[High P]]+Table1334[[#This Row],[Low P]])/2)*Table1334[[#This Row],[gammap]]*Table1334[[#This Row],[Volume9]]*-1</f>
        <v>0</v>
      </c>
      <c r="BE625">
        <f>(Table1334[[#This Row],[SgammaC]]+Table1334[[#This Row],[SgammaP]])*$A$4*-100</f>
        <v>0</v>
      </c>
      <c r="BF625">
        <f>Table1334[[#This Row],[DEXc]]+Table1334[[#This Row],[DEXp]]</f>
        <v>0</v>
      </c>
      <c r="BG625">
        <f>IFERROR(Table1334[[#This Row],[DeltaC]]*Table1334[[#This Row],[Open.Int]]*$A$4,0)</f>
        <v>0</v>
      </c>
      <c r="BH625">
        <f>IFERROR(Table1334[[#This Row],[DeltaP]]*Table1334[[#This Row],[Open.Int8]]*$A$4,0)</f>
        <v>0</v>
      </c>
      <c r="BI62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5">
        <f ca="1">Table1334[[#This Row],[charmc]]+Table1334[[#This Row],[charmp]]</f>
        <v>0</v>
      </c>
      <c r="BL62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5" s="78">
        <f ca="1">Table1334[[#This Row],[call helper]]+Table1334[[#This Row],[put helper]]</f>
        <v>0</v>
      </c>
      <c r="BP625" t="str">
        <f>RTD("tos.rtd", , "STRIKE", "."&amp;Table1334[[#This Row],[Ticker]]&amp;Table1334[[#This Row],[Expiry]]&amp;""&amp;"C"&amp;Table1334[[#This Row],[Spot]]+Table1334[[#This Row],[step]])</f>
        <v>N/A</v>
      </c>
    </row>
    <row r="626" spans="1:68" x14ac:dyDescent="0.25">
      <c r="A626" s="14">
        <f t="shared" ca="1" si="64"/>
        <v>-126.14810350076104</v>
      </c>
      <c r="C626" s="17"/>
      <c r="D626" t="str">
        <f>RTD("tos.rtd", , "OPEN_INT", "."&amp;Table1334[[#This Row],[Ticker]]&amp;Table1334[[#This Row],[Expiry]]&amp;""&amp;"C"&amp;Table1334[[#This Row],[Spot]]+Table1334[[#This Row],[step]])</f>
        <v>N/A</v>
      </c>
      <c r="E62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6" t="b">
        <f>IF(     ISNUMBER(Table1334[[#This Row],[Strike]]),RTD("tos.rtd", , "DELTA", "."&amp;Table1334[[#This Row],[Ticker]]&amp;Table1334[[#This Row],[Expiry]]&amp;""&amp;"C"&amp;Table1334[[#This Row],[Strike]]))</f>
        <v>0</v>
      </c>
      <c r="H626" s="17" cm="1">
        <f t="array" aca="1" ref="H626" ca="1">IndividualLegIVCore($A$4, Table1334[[#This Row],[Strike]], 0.0411, Table1334[[#This Row],[T]], ((Table1334[[#This Row],[BIDC]]+Table1334[[#This Row],[ASKC]])/2), TRUE)</f>
        <v>0.01</v>
      </c>
      <c r="I626" t="b">
        <f>IF(     ISNUMBER(Table1334[[#This Row],[Strike]]),RTD("tos.rtd", , "BID", "."&amp;Table1334[[#This Row],[Ticker]]&amp;Table1334[[#This Row],[Expiry]]&amp;""&amp;"C"&amp;Table1334[[#This Row],[Strike]]))</f>
        <v>0</v>
      </c>
      <c r="J626" t="b">
        <f>IF(     ISNUMBER(Table1334[[#This Row],[Strike]]),RTD("tos.rtd", , "ASK", "."&amp;Table1334[[#This Row],[Ticker]]&amp;Table1334[[#This Row],[Expiry]]&amp;""&amp;"C"&amp;Table1334[[#This Row],[Strike]]))</f>
        <v>0</v>
      </c>
      <c r="K626" s="17"/>
      <c r="M626" s="1">
        <f t="shared" si="65"/>
        <v>0</v>
      </c>
      <c r="N626" t="b">
        <f t="shared" si="66"/>
        <v>0</v>
      </c>
      <c r="P626" s="17" cm="1">
        <f t="array" aca="1" ref="P626" ca="1">IndividualLegIVCore($A$4, Table1334[[#This Row],[Strike]], 0.0411, Table1334[[#This Row],[T]], ((Table1334[[#This Row],[BIDP]]+Table1334[[#This Row],[ASKP]])/2), FALSE)</f>
        <v>0.01</v>
      </c>
      <c r="Q626" t="b">
        <f>IF(     ISNUMBER(Table1334[[#This Row],[Strike]]),RTD("tos.rtd", , "BID", "."&amp;Table1334[[#This Row],[Ticker]]&amp;Table1334[[#This Row],[Expiry]]&amp;""&amp;"P"&amp;Table1334[[#This Row],[Strike]]))</f>
        <v>0</v>
      </c>
      <c r="R626" t="b">
        <f>IF(     ISNUMBER(Table1334[[#This Row],[Strike]]),RTD("tos.rtd", , "ASK", "."&amp;Table1334[[#This Row],[Ticker]]&amp;Table1334[[#This Row],[Expiry]]&amp;""&amp;"P"&amp;Table1334[[#This Row],[Strike]]))</f>
        <v>0</v>
      </c>
      <c r="S626" s="17"/>
      <c r="T626" t="b">
        <f>IF(     ISNUMBER(Table1334[[#This Row],[Strike]]),RTD("tos.rtd", , "OPEN_INT", "."&amp;Table1334[[#This Row],[Ticker]]&amp;Table1334[[#This Row],[Expiry]]&amp;""&amp;"P"&amp;Table1334[[#This Row],[Strike]]))</f>
        <v>0</v>
      </c>
      <c r="U62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6" t="b">
        <f>IF(     ISNUMBER(Table1334[[#This Row],[Strike]]),RTD("tos.rtd", , "DELTA", "."&amp;Table1334[[#This Row],[Ticker]]&amp;Table1334[[#This Row],[Expiry]]&amp;""&amp;"P"&amp;Table1334[[#This Row],[Strike]]))</f>
        <v>0</v>
      </c>
      <c r="Y626" s="19">
        <f>-46.5* IF($M$1="NDX", 10, IF(OR($M$1="SPX", $M$1="RUT"), 2, 1))</f>
        <v>-93</v>
      </c>
      <c r="Z626">
        <f ca="1">IFERROR(Table1334[[#This Row],[call gamma]]*(Table1334[[#This Row],[Open.Int]])*$A$4^2,0)</f>
        <v>0</v>
      </c>
      <c r="AA626">
        <f ca="1">IFERROR(((Table1334[[#This Row],[Open.Int8]])*Table1334[[#This Row],[Put gamma]])*-1*$A$4^2,0)</f>
        <v>0</v>
      </c>
      <c r="AB626">
        <f ca="1">(Table1334[[#This Row],[Call Gex]]+Table1334[[#This Row],[Put Gex]])</f>
        <v>0</v>
      </c>
      <c r="AC626">
        <f ca="1">Table1334[[#This Row],[put delta adj]]+Table1334[[#This Row],[call delta adj]]</f>
        <v>0</v>
      </c>
      <c r="AD626">
        <f ca="1">Table1334[[#This Row],[Put Gex]]*Table1334[[#This Row],[DeltaP]]*-1</f>
        <v>0</v>
      </c>
      <c r="AE626">
        <f ca="1">Table1334[[#This Row],[Call Gex]]*Table1334[[#This Row],[DeltaC]]</f>
        <v>0</v>
      </c>
      <c r="AF626">
        <f>IF(Table1334[[#This Row],[DeltaC]]-ABS(Table1334[[#This Row],[DeltaP]])="0","0.01",Table1334[[#This Row],[DeltaC]]-ABS(Table1334[[#This Row],[DeltaP]]))</f>
        <v>0</v>
      </c>
      <c r="AG62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6" t="e">
        <f ca="1">(EXP(-(AG626^2)/2)/SQRT(2*PI())*EXP(0*SQRT(Table1334[[#This Row],[T]]))/$A$4*18%*SQRT(SQRT(Table1334[[#This Row],[T]])))</f>
        <v>#DIV/0!</v>
      </c>
      <c r="AJ626" t="e">
        <f ca="1">(EXP(-(AH626^2)/2)/SQRT(2*PI())*EXP(0*SQRT(Table1334[[#This Row],[T]]))/$A$4*18%*SQRT(SQRT(Table1334[[#This Row],[T]])))</f>
        <v>#DIV/0!</v>
      </c>
      <c r="AK626" t="e">
        <f ca="1">Table1334[[#This Row],[Call D1]]-Table1334[[#This Row],[IV Calc C]]*SQRT(Table1334[[#This Row],[T]])</f>
        <v>#DIV/0!</v>
      </c>
      <c r="AL626" t="e">
        <f ca="1">Table1334[[#This Row],[Put D1]]-Table1334[[#This Row],[IV Calc P]]*SQRT(Table1334[[#This Row],[T]])</f>
        <v>#DIV/0!</v>
      </c>
      <c r="AM626" t="e">
        <f ca="1">EXP(-0.5*Table1334[[#This Row],[Call D1]]^2)/SQRT(2*PI())</f>
        <v>#DIV/0!</v>
      </c>
      <c r="AN626" t="e">
        <f ca="1">EXP(-0.5*Table1334[[#This Row],[Put D1]]^2)/SQRT(2*PI())</f>
        <v>#DIV/0!</v>
      </c>
      <c r="AO62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6">
        <f ca="1">((Table1334[[#This Row],[call vanna]]+Table1334[[#This Row],[put vanna]])*$A$4)</f>
        <v>0</v>
      </c>
      <c r="AR62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6" s="9" t="str" cm="1">
        <f t="array" ref="AT626">_xlfn.IFS(     $M$1="SPX","SPXW",     $M$1="RUT","RUTW",  $M$1="NDX","NDXP",   TRUE,$M$1 )</f>
        <v>SPXW</v>
      </c>
      <c r="AU626" s="2">
        <f t="shared" si="67"/>
        <v>6915</v>
      </c>
      <c r="AV626" t="str">
        <f t="shared" si="68"/>
        <v>000100</v>
      </c>
      <c r="AY62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6">
        <f>((Table1334[[#This Row],[High C]]+Table1334[[#This Row],[Low C]])/2)*Table1334[[#This Row],[gammac]]*Table1334[[#This Row],[Volume]]</f>
        <v>0</v>
      </c>
      <c r="BD626">
        <f>((Table1334[[#This Row],[High P]]+Table1334[[#This Row],[Low P]])/2)*Table1334[[#This Row],[gammap]]*Table1334[[#This Row],[Volume9]]*-1</f>
        <v>0</v>
      </c>
      <c r="BE626">
        <f>(Table1334[[#This Row],[SgammaC]]+Table1334[[#This Row],[SgammaP]])*$A$4*-100</f>
        <v>0</v>
      </c>
      <c r="BF626">
        <f>Table1334[[#This Row],[DEXc]]+Table1334[[#This Row],[DEXp]]</f>
        <v>0</v>
      </c>
      <c r="BG626">
        <f>IFERROR(Table1334[[#This Row],[DeltaC]]*Table1334[[#This Row],[Open.Int]]*$A$4,0)</f>
        <v>0</v>
      </c>
      <c r="BH626">
        <f>IFERROR(Table1334[[#This Row],[DeltaP]]*Table1334[[#This Row],[Open.Int8]]*$A$4,0)</f>
        <v>0</v>
      </c>
      <c r="BI62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6">
        <f ca="1">Table1334[[#This Row],[charmc]]+Table1334[[#This Row],[charmp]]</f>
        <v>0</v>
      </c>
      <c r="BL62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6" s="78">
        <f ca="1">Table1334[[#This Row],[call helper]]+Table1334[[#This Row],[put helper]]</f>
        <v>0</v>
      </c>
      <c r="BP626" t="str">
        <f>RTD("tos.rtd", , "STRIKE", "."&amp;Table1334[[#This Row],[Ticker]]&amp;Table1334[[#This Row],[Expiry]]&amp;""&amp;"C"&amp;Table1334[[#This Row],[Spot]]+Table1334[[#This Row],[step]])</f>
        <v>N/A</v>
      </c>
    </row>
    <row r="627" spans="1:68" x14ac:dyDescent="0.25">
      <c r="A627" s="14">
        <f t="shared" ca="1" si="64"/>
        <v>-126.14810350076104</v>
      </c>
      <c r="C627" s="17"/>
      <c r="D627" t="str">
        <f>RTD("tos.rtd", , "OPEN_INT", "."&amp;Table1334[[#This Row],[Ticker]]&amp;Table1334[[#This Row],[Expiry]]&amp;""&amp;"C"&amp;Table1334[[#This Row],[Spot]]+Table1334[[#This Row],[step]])</f>
        <v>N/A</v>
      </c>
      <c r="E62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7" t="b">
        <f>IF(     ISNUMBER(Table1334[[#This Row],[Strike]]),RTD("tos.rtd", , "DELTA", "."&amp;Table1334[[#This Row],[Ticker]]&amp;Table1334[[#This Row],[Expiry]]&amp;""&amp;"C"&amp;Table1334[[#This Row],[Strike]]))</f>
        <v>0</v>
      </c>
      <c r="H627" s="17" cm="1">
        <f t="array" aca="1" ref="H627" ca="1">IndividualLegIVCore($A$4, Table1334[[#This Row],[Strike]], 0.0411, Table1334[[#This Row],[T]], ((Table1334[[#This Row],[BIDC]]+Table1334[[#This Row],[ASKC]])/2), TRUE)</f>
        <v>0.01</v>
      </c>
      <c r="I627" t="b">
        <f>IF(     ISNUMBER(Table1334[[#This Row],[Strike]]),RTD("tos.rtd", , "BID", "."&amp;Table1334[[#This Row],[Ticker]]&amp;Table1334[[#This Row],[Expiry]]&amp;""&amp;"C"&amp;Table1334[[#This Row],[Strike]]))</f>
        <v>0</v>
      </c>
      <c r="J627" t="b">
        <f>IF(     ISNUMBER(Table1334[[#This Row],[Strike]]),RTD("tos.rtd", , "ASK", "."&amp;Table1334[[#This Row],[Ticker]]&amp;Table1334[[#This Row],[Expiry]]&amp;""&amp;"C"&amp;Table1334[[#This Row],[Strike]]))</f>
        <v>0</v>
      </c>
      <c r="K627" s="17"/>
      <c r="M627" s="1">
        <f t="shared" si="65"/>
        <v>0</v>
      </c>
      <c r="N627" t="b">
        <f t="shared" si="66"/>
        <v>0</v>
      </c>
      <c r="P627" s="17" cm="1">
        <f t="array" aca="1" ref="P627" ca="1">IndividualLegIVCore($A$4, Table1334[[#This Row],[Strike]], 0.0411, Table1334[[#This Row],[T]], ((Table1334[[#This Row],[BIDP]]+Table1334[[#This Row],[ASKP]])/2), FALSE)</f>
        <v>0.01</v>
      </c>
      <c r="Q627" t="b">
        <f>IF(     ISNUMBER(Table1334[[#This Row],[Strike]]),RTD("tos.rtd", , "BID", "."&amp;Table1334[[#This Row],[Ticker]]&amp;Table1334[[#This Row],[Expiry]]&amp;""&amp;"P"&amp;Table1334[[#This Row],[Strike]]))</f>
        <v>0</v>
      </c>
      <c r="R627" t="b">
        <f>IF(     ISNUMBER(Table1334[[#This Row],[Strike]]),RTD("tos.rtd", , "ASK", "."&amp;Table1334[[#This Row],[Ticker]]&amp;Table1334[[#This Row],[Expiry]]&amp;""&amp;"P"&amp;Table1334[[#This Row],[Strike]]))</f>
        <v>0</v>
      </c>
      <c r="S627" s="17"/>
      <c r="T627" t="b">
        <f>IF(     ISNUMBER(Table1334[[#This Row],[Strike]]),RTD("tos.rtd", , "OPEN_INT", "."&amp;Table1334[[#This Row],[Ticker]]&amp;Table1334[[#This Row],[Expiry]]&amp;""&amp;"P"&amp;Table1334[[#This Row],[Strike]]))</f>
        <v>0</v>
      </c>
      <c r="U62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7" t="b">
        <f>IF(     ISNUMBER(Table1334[[#This Row],[Strike]]),RTD("tos.rtd", , "DELTA", "."&amp;Table1334[[#This Row],[Ticker]]&amp;Table1334[[#This Row],[Expiry]]&amp;""&amp;"P"&amp;Table1334[[#This Row],[Strike]]))</f>
        <v>0</v>
      </c>
      <c r="Y627" s="19">
        <f>-46* IF($M$1="NDX", 10, IF(OR($M$1="SPX", $M$1="RUT"), 2, 1))</f>
        <v>-92</v>
      </c>
      <c r="Z627">
        <f ca="1">IFERROR(Table1334[[#This Row],[call gamma]]*(Table1334[[#This Row],[Open.Int]])*$A$4^2,0)</f>
        <v>0</v>
      </c>
      <c r="AA627">
        <f ca="1">IFERROR(((Table1334[[#This Row],[Open.Int8]])*Table1334[[#This Row],[Put gamma]])*-1*$A$4^2,0)</f>
        <v>0</v>
      </c>
      <c r="AB627">
        <f ca="1">(Table1334[[#This Row],[Call Gex]]+Table1334[[#This Row],[Put Gex]])</f>
        <v>0</v>
      </c>
      <c r="AC627">
        <f ca="1">Table1334[[#This Row],[put delta adj]]+Table1334[[#This Row],[call delta adj]]</f>
        <v>0</v>
      </c>
      <c r="AD627">
        <f ca="1">Table1334[[#This Row],[Put Gex]]*Table1334[[#This Row],[DeltaP]]*-1</f>
        <v>0</v>
      </c>
      <c r="AE627">
        <f ca="1">Table1334[[#This Row],[Call Gex]]*Table1334[[#This Row],[DeltaC]]</f>
        <v>0</v>
      </c>
      <c r="AF627">
        <f>IF(Table1334[[#This Row],[DeltaC]]-ABS(Table1334[[#This Row],[DeltaP]])="0","0.01",Table1334[[#This Row],[DeltaC]]-ABS(Table1334[[#This Row],[DeltaP]]))</f>
        <v>0</v>
      </c>
      <c r="AG62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7" t="e">
        <f ca="1">(EXP(-(AG627^2)/2)/SQRT(2*PI())*EXP(0*SQRT(Table1334[[#This Row],[T]]))/$A$4*18%*SQRT(SQRT(Table1334[[#This Row],[T]])))</f>
        <v>#DIV/0!</v>
      </c>
      <c r="AJ627" t="e">
        <f ca="1">(EXP(-(AH627^2)/2)/SQRT(2*PI())*EXP(0*SQRT(Table1334[[#This Row],[T]]))/$A$4*18%*SQRT(SQRT(Table1334[[#This Row],[T]])))</f>
        <v>#DIV/0!</v>
      </c>
      <c r="AK627" t="e">
        <f ca="1">Table1334[[#This Row],[Call D1]]-Table1334[[#This Row],[IV Calc C]]*SQRT(Table1334[[#This Row],[T]])</f>
        <v>#DIV/0!</v>
      </c>
      <c r="AL627" t="e">
        <f ca="1">Table1334[[#This Row],[Put D1]]-Table1334[[#This Row],[IV Calc P]]*SQRT(Table1334[[#This Row],[T]])</f>
        <v>#DIV/0!</v>
      </c>
      <c r="AM627" t="e">
        <f ca="1">EXP(-0.5*Table1334[[#This Row],[Call D1]]^2)/SQRT(2*PI())</f>
        <v>#DIV/0!</v>
      </c>
      <c r="AN627" t="e">
        <f ca="1">EXP(-0.5*Table1334[[#This Row],[Put D1]]^2)/SQRT(2*PI())</f>
        <v>#DIV/0!</v>
      </c>
      <c r="AO62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7">
        <f ca="1">((Table1334[[#This Row],[call vanna]]+Table1334[[#This Row],[put vanna]])*$A$4)</f>
        <v>0</v>
      </c>
      <c r="AR62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7" s="9" t="str" cm="1">
        <f t="array" ref="AT627">_xlfn.IFS(     $M$1="SPX","SPXW",     $M$1="RUT","RUTW",  $M$1="NDX","NDXP",   TRUE,$M$1 )</f>
        <v>SPXW</v>
      </c>
      <c r="AU627" s="2">
        <f t="shared" si="67"/>
        <v>6915</v>
      </c>
      <c r="AV627" t="str">
        <f t="shared" si="68"/>
        <v>000100</v>
      </c>
      <c r="AY62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7">
        <f>((Table1334[[#This Row],[High C]]+Table1334[[#This Row],[Low C]])/2)*Table1334[[#This Row],[gammac]]*Table1334[[#This Row],[Volume]]</f>
        <v>0</v>
      </c>
      <c r="BD627">
        <f>((Table1334[[#This Row],[High P]]+Table1334[[#This Row],[Low P]])/2)*Table1334[[#This Row],[gammap]]*Table1334[[#This Row],[Volume9]]*-1</f>
        <v>0</v>
      </c>
      <c r="BE627">
        <f>(Table1334[[#This Row],[SgammaC]]+Table1334[[#This Row],[SgammaP]])*$A$4*-100</f>
        <v>0</v>
      </c>
      <c r="BF627">
        <f>Table1334[[#This Row],[DEXc]]+Table1334[[#This Row],[DEXp]]</f>
        <v>0</v>
      </c>
      <c r="BG627">
        <f>IFERROR(Table1334[[#This Row],[DeltaC]]*Table1334[[#This Row],[Open.Int]]*$A$4,0)</f>
        <v>0</v>
      </c>
      <c r="BH627">
        <f>IFERROR(Table1334[[#This Row],[DeltaP]]*Table1334[[#This Row],[Open.Int8]]*$A$4,0)</f>
        <v>0</v>
      </c>
      <c r="BI62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7">
        <f ca="1">Table1334[[#This Row],[charmc]]+Table1334[[#This Row],[charmp]]</f>
        <v>0</v>
      </c>
      <c r="BL62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7" s="78">
        <f ca="1">Table1334[[#This Row],[call helper]]+Table1334[[#This Row],[put helper]]</f>
        <v>0</v>
      </c>
      <c r="BP627" t="str">
        <f>RTD("tos.rtd", , "STRIKE", "."&amp;Table1334[[#This Row],[Ticker]]&amp;Table1334[[#This Row],[Expiry]]&amp;""&amp;"C"&amp;Table1334[[#This Row],[Spot]]+Table1334[[#This Row],[step]])</f>
        <v>N/A</v>
      </c>
    </row>
    <row r="628" spans="1:68" x14ac:dyDescent="0.25">
      <c r="A628" s="14">
        <f t="shared" ca="1" si="64"/>
        <v>-126.14810350076104</v>
      </c>
      <c r="C628" s="17"/>
      <c r="D628" t="str">
        <f>RTD("tos.rtd", , "OPEN_INT", "."&amp;Table1334[[#This Row],[Ticker]]&amp;Table1334[[#This Row],[Expiry]]&amp;""&amp;"C"&amp;Table1334[[#This Row],[Spot]]+Table1334[[#This Row],[step]])</f>
        <v>N/A</v>
      </c>
      <c r="E62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8" t="b">
        <f>IF(     ISNUMBER(Table1334[[#This Row],[Strike]]),RTD("tos.rtd", , "DELTA", "."&amp;Table1334[[#This Row],[Ticker]]&amp;Table1334[[#This Row],[Expiry]]&amp;""&amp;"C"&amp;Table1334[[#This Row],[Strike]]))</f>
        <v>0</v>
      </c>
      <c r="H628" s="17" cm="1">
        <f t="array" aca="1" ref="H628" ca="1">IndividualLegIVCore($A$4, Table1334[[#This Row],[Strike]], 0.0411, Table1334[[#This Row],[T]], ((Table1334[[#This Row],[BIDC]]+Table1334[[#This Row],[ASKC]])/2), TRUE)</f>
        <v>0.01</v>
      </c>
      <c r="I628" t="b">
        <f>IF(     ISNUMBER(Table1334[[#This Row],[Strike]]),RTD("tos.rtd", , "BID", "."&amp;Table1334[[#This Row],[Ticker]]&amp;Table1334[[#This Row],[Expiry]]&amp;""&amp;"C"&amp;Table1334[[#This Row],[Strike]]))</f>
        <v>0</v>
      </c>
      <c r="J628" t="b">
        <f>IF(     ISNUMBER(Table1334[[#This Row],[Strike]]),RTD("tos.rtd", , "ASK", "."&amp;Table1334[[#This Row],[Ticker]]&amp;Table1334[[#This Row],[Expiry]]&amp;""&amp;"C"&amp;Table1334[[#This Row],[Strike]]))</f>
        <v>0</v>
      </c>
      <c r="K628" s="17"/>
      <c r="M628" s="1">
        <f t="shared" si="65"/>
        <v>0</v>
      </c>
      <c r="N628" t="b">
        <f t="shared" si="66"/>
        <v>0</v>
      </c>
      <c r="P628" s="17" cm="1">
        <f t="array" aca="1" ref="P628" ca="1">IndividualLegIVCore($A$4, Table1334[[#This Row],[Strike]], 0.0411, Table1334[[#This Row],[T]], ((Table1334[[#This Row],[BIDP]]+Table1334[[#This Row],[ASKP]])/2), FALSE)</f>
        <v>0.01</v>
      </c>
      <c r="Q628" t="b">
        <f>IF(     ISNUMBER(Table1334[[#This Row],[Strike]]),RTD("tos.rtd", , "BID", "."&amp;Table1334[[#This Row],[Ticker]]&amp;Table1334[[#This Row],[Expiry]]&amp;""&amp;"P"&amp;Table1334[[#This Row],[Strike]]))</f>
        <v>0</v>
      </c>
      <c r="R628" t="b">
        <f>IF(     ISNUMBER(Table1334[[#This Row],[Strike]]),RTD("tos.rtd", , "ASK", "."&amp;Table1334[[#This Row],[Ticker]]&amp;Table1334[[#This Row],[Expiry]]&amp;""&amp;"P"&amp;Table1334[[#This Row],[Strike]]))</f>
        <v>0</v>
      </c>
      <c r="S628" s="17"/>
      <c r="T628" t="b">
        <f>IF(     ISNUMBER(Table1334[[#This Row],[Strike]]),RTD("tos.rtd", , "OPEN_INT", "."&amp;Table1334[[#This Row],[Ticker]]&amp;Table1334[[#This Row],[Expiry]]&amp;""&amp;"P"&amp;Table1334[[#This Row],[Strike]]))</f>
        <v>0</v>
      </c>
      <c r="U62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8" t="b">
        <f>IF(     ISNUMBER(Table1334[[#This Row],[Strike]]),RTD("tos.rtd", , "DELTA", "."&amp;Table1334[[#This Row],[Ticker]]&amp;Table1334[[#This Row],[Expiry]]&amp;""&amp;"P"&amp;Table1334[[#This Row],[Strike]]))</f>
        <v>0</v>
      </c>
      <c r="Y628" s="19">
        <f>-45.5* IF($M$1="NDX", 10, IF(OR($M$1="SPX", $M$1="RUT"), 2, 1))</f>
        <v>-91</v>
      </c>
      <c r="Z628">
        <f ca="1">IFERROR(Table1334[[#This Row],[call gamma]]*(Table1334[[#This Row],[Open.Int]])*$A$4^2,0)</f>
        <v>0</v>
      </c>
      <c r="AA628">
        <f ca="1">IFERROR(((Table1334[[#This Row],[Open.Int8]])*Table1334[[#This Row],[Put gamma]])*-1*$A$4^2,0)</f>
        <v>0</v>
      </c>
      <c r="AB628">
        <f ca="1">(Table1334[[#This Row],[Call Gex]]+Table1334[[#This Row],[Put Gex]])</f>
        <v>0</v>
      </c>
      <c r="AC628">
        <f ca="1">Table1334[[#This Row],[put delta adj]]+Table1334[[#This Row],[call delta adj]]</f>
        <v>0</v>
      </c>
      <c r="AD628">
        <f ca="1">Table1334[[#This Row],[Put Gex]]*Table1334[[#This Row],[DeltaP]]*-1</f>
        <v>0</v>
      </c>
      <c r="AE628">
        <f ca="1">Table1334[[#This Row],[Call Gex]]*Table1334[[#This Row],[DeltaC]]</f>
        <v>0</v>
      </c>
      <c r="AF628">
        <f>IF(Table1334[[#This Row],[DeltaC]]-ABS(Table1334[[#This Row],[DeltaP]])="0","0.01",Table1334[[#This Row],[DeltaC]]-ABS(Table1334[[#This Row],[DeltaP]]))</f>
        <v>0</v>
      </c>
      <c r="AG62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8" t="e">
        <f ca="1">(EXP(-(AG628^2)/2)/SQRT(2*PI())*EXP(0*SQRT(Table1334[[#This Row],[T]]))/$A$4*18%*SQRT(SQRT(Table1334[[#This Row],[T]])))</f>
        <v>#DIV/0!</v>
      </c>
      <c r="AJ628" t="e">
        <f ca="1">(EXP(-(AH628^2)/2)/SQRT(2*PI())*EXP(0*SQRT(Table1334[[#This Row],[T]]))/$A$4*18%*SQRT(SQRT(Table1334[[#This Row],[T]])))</f>
        <v>#DIV/0!</v>
      </c>
      <c r="AK628" t="e">
        <f ca="1">Table1334[[#This Row],[Call D1]]-Table1334[[#This Row],[IV Calc C]]*SQRT(Table1334[[#This Row],[T]])</f>
        <v>#DIV/0!</v>
      </c>
      <c r="AL628" t="e">
        <f ca="1">Table1334[[#This Row],[Put D1]]-Table1334[[#This Row],[IV Calc P]]*SQRT(Table1334[[#This Row],[T]])</f>
        <v>#DIV/0!</v>
      </c>
      <c r="AM628" t="e">
        <f ca="1">EXP(-0.5*Table1334[[#This Row],[Call D1]]^2)/SQRT(2*PI())</f>
        <v>#DIV/0!</v>
      </c>
      <c r="AN628" t="e">
        <f ca="1">EXP(-0.5*Table1334[[#This Row],[Put D1]]^2)/SQRT(2*PI())</f>
        <v>#DIV/0!</v>
      </c>
      <c r="AO62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8">
        <f ca="1">((Table1334[[#This Row],[call vanna]]+Table1334[[#This Row],[put vanna]])*$A$4)</f>
        <v>0</v>
      </c>
      <c r="AR62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8" s="9" t="str" cm="1">
        <f t="array" ref="AT628">_xlfn.IFS(     $M$1="SPX","SPXW",     $M$1="RUT","RUTW",  $M$1="NDX","NDXP",   TRUE,$M$1 )</f>
        <v>SPXW</v>
      </c>
      <c r="AU628" s="2">
        <f t="shared" si="67"/>
        <v>6915</v>
      </c>
      <c r="AV628" t="str">
        <f t="shared" si="68"/>
        <v>000100</v>
      </c>
      <c r="AY62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8">
        <f>((Table1334[[#This Row],[High C]]+Table1334[[#This Row],[Low C]])/2)*Table1334[[#This Row],[gammac]]*Table1334[[#This Row],[Volume]]</f>
        <v>0</v>
      </c>
      <c r="BD628">
        <f>((Table1334[[#This Row],[High P]]+Table1334[[#This Row],[Low P]])/2)*Table1334[[#This Row],[gammap]]*Table1334[[#This Row],[Volume9]]*-1</f>
        <v>0</v>
      </c>
      <c r="BE628">
        <f>(Table1334[[#This Row],[SgammaC]]+Table1334[[#This Row],[SgammaP]])*$A$4*-100</f>
        <v>0</v>
      </c>
      <c r="BF628">
        <f>Table1334[[#This Row],[DEXc]]+Table1334[[#This Row],[DEXp]]</f>
        <v>0</v>
      </c>
      <c r="BG628">
        <f>IFERROR(Table1334[[#This Row],[DeltaC]]*Table1334[[#This Row],[Open.Int]]*$A$4,0)</f>
        <v>0</v>
      </c>
      <c r="BH628">
        <f>IFERROR(Table1334[[#This Row],[DeltaP]]*Table1334[[#This Row],[Open.Int8]]*$A$4,0)</f>
        <v>0</v>
      </c>
      <c r="BI62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8">
        <f ca="1">Table1334[[#This Row],[charmc]]+Table1334[[#This Row],[charmp]]</f>
        <v>0</v>
      </c>
      <c r="BL62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8" s="78">
        <f ca="1">Table1334[[#This Row],[call helper]]+Table1334[[#This Row],[put helper]]</f>
        <v>0</v>
      </c>
      <c r="BP628" t="str">
        <f>RTD("tos.rtd", , "STRIKE", "."&amp;Table1334[[#This Row],[Ticker]]&amp;Table1334[[#This Row],[Expiry]]&amp;""&amp;"C"&amp;Table1334[[#This Row],[Spot]]+Table1334[[#This Row],[step]])</f>
        <v>N/A</v>
      </c>
    </row>
    <row r="629" spans="1:68" x14ac:dyDescent="0.25">
      <c r="A629" s="14">
        <f t="shared" ca="1" si="64"/>
        <v>-126.14810350076104</v>
      </c>
      <c r="C629" s="17"/>
      <c r="D629" t="str">
        <f>RTD("tos.rtd", , "OPEN_INT", "."&amp;Table1334[[#This Row],[Ticker]]&amp;Table1334[[#This Row],[Expiry]]&amp;""&amp;"C"&amp;Table1334[[#This Row],[Spot]]+Table1334[[#This Row],[step]])</f>
        <v>N/A</v>
      </c>
      <c r="E62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9" t="b">
        <f>IF(     ISNUMBER(Table1334[[#This Row],[Strike]]),RTD("tos.rtd", , "DELTA", "."&amp;Table1334[[#This Row],[Ticker]]&amp;Table1334[[#This Row],[Expiry]]&amp;""&amp;"C"&amp;Table1334[[#This Row],[Strike]]))</f>
        <v>0</v>
      </c>
      <c r="H629" s="17" cm="1">
        <f t="array" aca="1" ref="H629" ca="1">IndividualLegIVCore($A$4, Table1334[[#This Row],[Strike]], 0.0411, Table1334[[#This Row],[T]], ((Table1334[[#This Row],[BIDC]]+Table1334[[#This Row],[ASKC]])/2), TRUE)</f>
        <v>0.01</v>
      </c>
      <c r="I629" t="b">
        <f>IF(     ISNUMBER(Table1334[[#This Row],[Strike]]),RTD("tos.rtd", , "BID", "."&amp;Table1334[[#This Row],[Ticker]]&amp;Table1334[[#This Row],[Expiry]]&amp;""&amp;"C"&amp;Table1334[[#This Row],[Strike]]))</f>
        <v>0</v>
      </c>
      <c r="J629" t="b">
        <f>IF(     ISNUMBER(Table1334[[#This Row],[Strike]]),RTD("tos.rtd", , "ASK", "."&amp;Table1334[[#This Row],[Ticker]]&amp;Table1334[[#This Row],[Expiry]]&amp;""&amp;"C"&amp;Table1334[[#This Row],[Strike]]))</f>
        <v>0</v>
      </c>
      <c r="K629" s="17"/>
      <c r="M629" s="1">
        <f t="shared" si="65"/>
        <v>0</v>
      </c>
      <c r="N629" t="b">
        <f t="shared" si="66"/>
        <v>0</v>
      </c>
      <c r="P629" s="17" cm="1">
        <f t="array" aca="1" ref="P629" ca="1">IndividualLegIVCore($A$4, Table1334[[#This Row],[Strike]], 0.0411, Table1334[[#This Row],[T]], ((Table1334[[#This Row],[BIDP]]+Table1334[[#This Row],[ASKP]])/2), FALSE)</f>
        <v>0.01</v>
      </c>
      <c r="Q629" t="b">
        <f>IF(     ISNUMBER(Table1334[[#This Row],[Strike]]),RTD("tos.rtd", , "BID", "."&amp;Table1334[[#This Row],[Ticker]]&amp;Table1334[[#This Row],[Expiry]]&amp;""&amp;"P"&amp;Table1334[[#This Row],[Strike]]))</f>
        <v>0</v>
      </c>
      <c r="R629" t="b">
        <f>IF(     ISNUMBER(Table1334[[#This Row],[Strike]]),RTD("tos.rtd", , "ASK", "."&amp;Table1334[[#This Row],[Ticker]]&amp;Table1334[[#This Row],[Expiry]]&amp;""&amp;"P"&amp;Table1334[[#This Row],[Strike]]))</f>
        <v>0</v>
      </c>
      <c r="S629" s="17"/>
      <c r="T629" t="b">
        <f>IF(     ISNUMBER(Table1334[[#This Row],[Strike]]),RTD("tos.rtd", , "OPEN_INT", "."&amp;Table1334[[#This Row],[Ticker]]&amp;Table1334[[#This Row],[Expiry]]&amp;""&amp;"P"&amp;Table1334[[#This Row],[Strike]]))</f>
        <v>0</v>
      </c>
      <c r="U62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9" t="b">
        <f>IF(     ISNUMBER(Table1334[[#This Row],[Strike]]),RTD("tos.rtd", , "DELTA", "."&amp;Table1334[[#This Row],[Ticker]]&amp;Table1334[[#This Row],[Expiry]]&amp;""&amp;"P"&amp;Table1334[[#This Row],[Strike]]))</f>
        <v>0</v>
      </c>
      <c r="Y629" s="19">
        <f>-45* IF($M$1="NDX", 10, IF(OR($M$1="SPX", $M$1="RUT"), 2, 1))</f>
        <v>-90</v>
      </c>
      <c r="Z629">
        <f ca="1">IFERROR(Table1334[[#This Row],[call gamma]]*(Table1334[[#This Row],[Open.Int]])*$A$4^2,0)</f>
        <v>0</v>
      </c>
      <c r="AA629">
        <f ca="1">IFERROR(((Table1334[[#This Row],[Open.Int8]])*Table1334[[#This Row],[Put gamma]])*-1*$A$4^2,0)</f>
        <v>0</v>
      </c>
      <c r="AB629">
        <f ca="1">(Table1334[[#This Row],[Call Gex]]+Table1334[[#This Row],[Put Gex]])</f>
        <v>0</v>
      </c>
      <c r="AC629">
        <f ca="1">Table1334[[#This Row],[put delta adj]]+Table1334[[#This Row],[call delta adj]]</f>
        <v>0</v>
      </c>
      <c r="AD629">
        <f ca="1">Table1334[[#This Row],[Put Gex]]*Table1334[[#This Row],[DeltaP]]*-1</f>
        <v>0</v>
      </c>
      <c r="AE629">
        <f ca="1">Table1334[[#This Row],[Call Gex]]*Table1334[[#This Row],[DeltaC]]</f>
        <v>0</v>
      </c>
      <c r="AF629">
        <f>IF(Table1334[[#This Row],[DeltaC]]-ABS(Table1334[[#This Row],[DeltaP]])="0","0.01",Table1334[[#This Row],[DeltaC]]-ABS(Table1334[[#This Row],[DeltaP]]))</f>
        <v>0</v>
      </c>
      <c r="AG62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9" t="e">
        <f ca="1">(EXP(-(AG629^2)/2)/SQRT(2*PI())*EXP(0*SQRT(Table1334[[#This Row],[T]]))/$A$4*18%*SQRT(SQRT(Table1334[[#This Row],[T]])))</f>
        <v>#DIV/0!</v>
      </c>
      <c r="AJ629" t="e">
        <f ca="1">(EXP(-(AH629^2)/2)/SQRT(2*PI())*EXP(0*SQRT(Table1334[[#This Row],[T]]))/$A$4*18%*SQRT(SQRT(Table1334[[#This Row],[T]])))</f>
        <v>#DIV/0!</v>
      </c>
      <c r="AK629" t="e">
        <f ca="1">Table1334[[#This Row],[Call D1]]-Table1334[[#This Row],[IV Calc C]]*SQRT(Table1334[[#This Row],[T]])</f>
        <v>#DIV/0!</v>
      </c>
      <c r="AL629" t="e">
        <f ca="1">Table1334[[#This Row],[Put D1]]-Table1334[[#This Row],[IV Calc P]]*SQRT(Table1334[[#This Row],[T]])</f>
        <v>#DIV/0!</v>
      </c>
      <c r="AM629" t="e">
        <f ca="1">EXP(-0.5*Table1334[[#This Row],[Call D1]]^2)/SQRT(2*PI())</f>
        <v>#DIV/0!</v>
      </c>
      <c r="AN629" t="e">
        <f ca="1">EXP(-0.5*Table1334[[#This Row],[Put D1]]^2)/SQRT(2*PI())</f>
        <v>#DIV/0!</v>
      </c>
      <c r="AO62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9">
        <f ca="1">((Table1334[[#This Row],[call vanna]]+Table1334[[#This Row],[put vanna]])*$A$4)</f>
        <v>0</v>
      </c>
      <c r="AR62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9" s="9" t="str" cm="1">
        <f t="array" ref="AT629">_xlfn.IFS(     $M$1="SPX","SPXW",     $M$1="RUT","RUTW",  $M$1="NDX","NDXP",   TRUE,$M$1 )</f>
        <v>SPXW</v>
      </c>
      <c r="AU629" s="2">
        <f t="shared" si="67"/>
        <v>6915</v>
      </c>
      <c r="AV629" t="str">
        <f t="shared" si="68"/>
        <v>000100</v>
      </c>
      <c r="AY62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9">
        <f>((Table1334[[#This Row],[High C]]+Table1334[[#This Row],[Low C]])/2)*Table1334[[#This Row],[gammac]]*Table1334[[#This Row],[Volume]]</f>
        <v>0</v>
      </c>
      <c r="BD629">
        <f>((Table1334[[#This Row],[High P]]+Table1334[[#This Row],[Low P]])/2)*Table1334[[#This Row],[gammap]]*Table1334[[#This Row],[Volume9]]*-1</f>
        <v>0</v>
      </c>
      <c r="BE629">
        <f>(Table1334[[#This Row],[SgammaC]]+Table1334[[#This Row],[SgammaP]])*$A$4*-100</f>
        <v>0</v>
      </c>
      <c r="BF629">
        <f>Table1334[[#This Row],[DEXc]]+Table1334[[#This Row],[DEXp]]</f>
        <v>0</v>
      </c>
      <c r="BG629">
        <f>IFERROR(Table1334[[#This Row],[DeltaC]]*Table1334[[#This Row],[Open.Int]]*$A$4,0)</f>
        <v>0</v>
      </c>
      <c r="BH629">
        <f>IFERROR(Table1334[[#This Row],[DeltaP]]*Table1334[[#This Row],[Open.Int8]]*$A$4,0)</f>
        <v>0</v>
      </c>
      <c r="BI62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9">
        <f ca="1">Table1334[[#This Row],[charmc]]+Table1334[[#This Row],[charmp]]</f>
        <v>0</v>
      </c>
      <c r="BL62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9" s="78">
        <f ca="1">Table1334[[#This Row],[call helper]]+Table1334[[#This Row],[put helper]]</f>
        <v>0</v>
      </c>
      <c r="BP629" t="str">
        <f>RTD("tos.rtd", , "STRIKE", "."&amp;Table1334[[#This Row],[Ticker]]&amp;Table1334[[#This Row],[Expiry]]&amp;""&amp;"C"&amp;Table1334[[#This Row],[Spot]]+Table1334[[#This Row],[step]])</f>
        <v>N/A</v>
      </c>
    </row>
    <row r="630" spans="1:68" x14ac:dyDescent="0.25">
      <c r="A630" s="14">
        <f t="shared" ca="1" si="64"/>
        <v>-126.14810350076104</v>
      </c>
      <c r="C630" s="17"/>
      <c r="D630" t="str">
        <f>RTD("tos.rtd", , "OPEN_INT", "."&amp;Table1334[[#This Row],[Ticker]]&amp;Table1334[[#This Row],[Expiry]]&amp;""&amp;"C"&amp;Table1334[[#This Row],[Spot]]+Table1334[[#This Row],[step]])</f>
        <v>N/A</v>
      </c>
      <c r="E63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0" t="b">
        <f>IF(     ISNUMBER(Table1334[[#This Row],[Strike]]),RTD("tos.rtd", , "DELTA", "."&amp;Table1334[[#This Row],[Ticker]]&amp;Table1334[[#This Row],[Expiry]]&amp;""&amp;"C"&amp;Table1334[[#This Row],[Strike]]))</f>
        <v>0</v>
      </c>
      <c r="H630" s="17" cm="1">
        <f t="array" aca="1" ref="H630" ca="1">IndividualLegIVCore($A$4, Table1334[[#This Row],[Strike]], 0.0411, Table1334[[#This Row],[T]], ((Table1334[[#This Row],[BIDC]]+Table1334[[#This Row],[ASKC]])/2), TRUE)</f>
        <v>0.01</v>
      </c>
      <c r="I630" t="b">
        <f>IF(     ISNUMBER(Table1334[[#This Row],[Strike]]),RTD("tos.rtd", , "BID", "."&amp;Table1334[[#This Row],[Ticker]]&amp;Table1334[[#This Row],[Expiry]]&amp;""&amp;"C"&amp;Table1334[[#This Row],[Strike]]))</f>
        <v>0</v>
      </c>
      <c r="J630" t="b">
        <f>IF(     ISNUMBER(Table1334[[#This Row],[Strike]]),RTD("tos.rtd", , "ASK", "."&amp;Table1334[[#This Row],[Ticker]]&amp;Table1334[[#This Row],[Expiry]]&amp;""&amp;"C"&amp;Table1334[[#This Row],[Strike]]))</f>
        <v>0</v>
      </c>
      <c r="K630" s="17"/>
      <c r="M630" s="1">
        <f t="shared" si="65"/>
        <v>0</v>
      </c>
      <c r="N630" t="b">
        <f t="shared" si="66"/>
        <v>0</v>
      </c>
      <c r="P630" s="17" cm="1">
        <f t="array" aca="1" ref="P630" ca="1">IndividualLegIVCore($A$4, Table1334[[#This Row],[Strike]], 0.0411, Table1334[[#This Row],[T]], ((Table1334[[#This Row],[BIDP]]+Table1334[[#This Row],[ASKP]])/2), FALSE)</f>
        <v>0.01</v>
      </c>
      <c r="Q630" t="b">
        <f>IF(     ISNUMBER(Table1334[[#This Row],[Strike]]),RTD("tos.rtd", , "BID", "."&amp;Table1334[[#This Row],[Ticker]]&amp;Table1334[[#This Row],[Expiry]]&amp;""&amp;"P"&amp;Table1334[[#This Row],[Strike]]))</f>
        <v>0</v>
      </c>
      <c r="R630" t="b">
        <f>IF(     ISNUMBER(Table1334[[#This Row],[Strike]]),RTD("tos.rtd", , "ASK", "."&amp;Table1334[[#This Row],[Ticker]]&amp;Table1334[[#This Row],[Expiry]]&amp;""&amp;"P"&amp;Table1334[[#This Row],[Strike]]))</f>
        <v>0</v>
      </c>
      <c r="S630" s="17"/>
      <c r="T630" t="b">
        <f>IF(     ISNUMBER(Table1334[[#This Row],[Strike]]),RTD("tos.rtd", , "OPEN_INT", "."&amp;Table1334[[#This Row],[Ticker]]&amp;Table1334[[#This Row],[Expiry]]&amp;""&amp;"P"&amp;Table1334[[#This Row],[Strike]]))</f>
        <v>0</v>
      </c>
      <c r="U63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0" t="b">
        <f>IF(     ISNUMBER(Table1334[[#This Row],[Strike]]),RTD("tos.rtd", , "DELTA", "."&amp;Table1334[[#This Row],[Ticker]]&amp;Table1334[[#This Row],[Expiry]]&amp;""&amp;"P"&amp;Table1334[[#This Row],[Strike]]))</f>
        <v>0</v>
      </c>
      <c r="Y630" s="19">
        <f>-44.5* IF($M$1="NDX", 10, IF(OR($M$1="SPX", $M$1="RUT"), 2, 1))</f>
        <v>-89</v>
      </c>
      <c r="Z630">
        <f ca="1">IFERROR(Table1334[[#This Row],[call gamma]]*(Table1334[[#This Row],[Open.Int]])*$A$4^2,0)</f>
        <v>0</v>
      </c>
      <c r="AA630">
        <f ca="1">IFERROR(((Table1334[[#This Row],[Open.Int8]])*Table1334[[#This Row],[Put gamma]])*-1*$A$4^2,0)</f>
        <v>0</v>
      </c>
      <c r="AB630">
        <f ca="1">(Table1334[[#This Row],[Call Gex]]+Table1334[[#This Row],[Put Gex]])</f>
        <v>0</v>
      </c>
      <c r="AC630">
        <f ca="1">Table1334[[#This Row],[put delta adj]]+Table1334[[#This Row],[call delta adj]]</f>
        <v>0</v>
      </c>
      <c r="AD630">
        <f ca="1">Table1334[[#This Row],[Put Gex]]*Table1334[[#This Row],[DeltaP]]*-1</f>
        <v>0</v>
      </c>
      <c r="AE630">
        <f ca="1">Table1334[[#This Row],[Call Gex]]*Table1334[[#This Row],[DeltaC]]</f>
        <v>0</v>
      </c>
      <c r="AF630">
        <f>IF(Table1334[[#This Row],[DeltaC]]-ABS(Table1334[[#This Row],[DeltaP]])="0","0.01",Table1334[[#This Row],[DeltaC]]-ABS(Table1334[[#This Row],[DeltaP]]))</f>
        <v>0</v>
      </c>
      <c r="AG63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0" t="e">
        <f ca="1">(EXP(-(AG630^2)/2)/SQRT(2*PI())*EXP(0*SQRT(Table1334[[#This Row],[T]]))/$A$4*18%*SQRT(SQRT(Table1334[[#This Row],[T]])))</f>
        <v>#DIV/0!</v>
      </c>
      <c r="AJ630" t="e">
        <f ca="1">(EXP(-(AH630^2)/2)/SQRT(2*PI())*EXP(0*SQRT(Table1334[[#This Row],[T]]))/$A$4*18%*SQRT(SQRT(Table1334[[#This Row],[T]])))</f>
        <v>#DIV/0!</v>
      </c>
      <c r="AK630" t="e">
        <f ca="1">Table1334[[#This Row],[Call D1]]-Table1334[[#This Row],[IV Calc C]]*SQRT(Table1334[[#This Row],[T]])</f>
        <v>#DIV/0!</v>
      </c>
      <c r="AL630" t="e">
        <f ca="1">Table1334[[#This Row],[Put D1]]-Table1334[[#This Row],[IV Calc P]]*SQRT(Table1334[[#This Row],[T]])</f>
        <v>#DIV/0!</v>
      </c>
      <c r="AM630" t="e">
        <f ca="1">EXP(-0.5*Table1334[[#This Row],[Call D1]]^2)/SQRT(2*PI())</f>
        <v>#DIV/0!</v>
      </c>
      <c r="AN630" t="e">
        <f ca="1">EXP(-0.5*Table1334[[#This Row],[Put D1]]^2)/SQRT(2*PI())</f>
        <v>#DIV/0!</v>
      </c>
      <c r="AO63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0">
        <f ca="1">((Table1334[[#This Row],[call vanna]]+Table1334[[#This Row],[put vanna]])*$A$4)</f>
        <v>0</v>
      </c>
      <c r="AR63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0" s="9" t="str" cm="1">
        <f t="array" ref="AT630">_xlfn.IFS(     $M$1="SPX","SPXW",     $M$1="RUT","RUTW",  $M$1="NDX","NDXP",   TRUE,$M$1 )</f>
        <v>SPXW</v>
      </c>
      <c r="AU630" s="2">
        <f t="shared" si="67"/>
        <v>6915</v>
      </c>
      <c r="AV630" t="str">
        <f t="shared" si="68"/>
        <v>000100</v>
      </c>
      <c r="AY63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0">
        <f>((Table1334[[#This Row],[High C]]+Table1334[[#This Row],[Low C]])/2)*Table1334[[#This Row],[gammac]]*Table1334[[#This Row],[Volume]]</f>
        <v>0</v>
      </c>
      <c r="BD630">
        <f>((Table1334[[#This Row],[High P]]+Table1334[[#This Row],[Low P]])/2)*Table1334[[#This Row],[gammap]]*Table1334[[#This Row],[Volume9]]*-1</f>
        <v>0</v>
      </c>
      <c r="BE630">
        <f>(Table1334[[#This Row],[SgammaC]]+Table1334[[#This Row],[SgammaP]])*$A$4*-100</f>
        <v>0</v>
      </c>
      <c r="BF630">
        <f>Table1334[[#This Row],[DEXc]]+Table1334[[#This Row],[DEXp]]</f>
        <v>0</v>
      </c>
      <c r="BG630">
        <f>IFERROR(Table1334[[#This Row],[DeltaC]]*Table1334[[#This Row],[Open.Int]]*$A$4,0)</f>
        <v>0</v>
      </c>
      <c r="BH630">
        <f>IFERROR(Table1334[[#This Row],[DeltaP]]*Table1334[[#This Row],[Open.Int8]]*$A$4,0)</f>
        <v>0</v>
      </c>
      <c r="BI63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0">
        <f ca="1">Table1334[[#This Row],[charmc]]+Table1334[[#This Row],[charmp]]</f>
        <v>0</v>
      </c>
      <c r="BL63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0" s="78">
        <f ca="1">Table1334[[#This Row],[call helper]]+Table1334[[#This Row],[put helper]]</f>
        <v>0</v>
      </c>
      <c r="BP630" t="str">
        <f>RTD("tos.rtd", , "STRIKE", "."&amp;Table1334[[#This Row],[Ticker]]&amp;Table1334[[#This Row],[Expiry]]&amp;""&amp;"C"&amp;Table1334[[#This Row],[Spot]]+Table1334[[#This Row],[step]])</f>
        <v>N/A</v>
      </c>
    </row>
    <row r="631" spans="1:68" x14ac:dyDescent="0.25">
      <c r="A631" s="14">
        <f t="shared" ca="1" si="64"/>
        <v>-126.14810350076104</v>
      </c>
      <c r="C631" s="17"/>
      <c r="D631" t="str">
        <f>RTD("tos.rtd", , "OPEN_INT", "."&amp;Table1334[[#This Row],[Ticker]]&amp;Table1334[[#This Row],[Expiry]]&amp;""&amp;"C"&amp;Table1334[[#This Row],[Spot]]+Table1334[[#This Row],[step]])</f>
        <v>N/A</v>
      </c>
      <c r="E63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1" t="b">
        <f>IF(     ISNUMBER(Table1334[[#This Row],[Strike]]),RTD("tos.rtd", , "DELTA", "."&amp;Table1334[[#This Row],[Ticker]]&amp;Table1334[[#This Row],[Expiry]]&amp;""&amp;"C"&amp;Table1334[[#This Row],[Strike]]))</f>
        <v>0</v>
      </c>
      <c r="H631" s="17" cm="1">
        <f t="array" aca="1" ref="H631" ca="1">IndividualLegIVCore($A$4, Table1334[[#This Row],[Strike]], 0.0411, Table1334[[#This Row],[T]], ((Table1334[[#This Row],[BIDC]]+Table1334[[#This Row],[ASKC]])/2), TRUE)</f>
        <v>0.01</v>
      </c>
      <c r="I631" t="b">
        <f>IF(     ISNUMBER(Table1334[[#This Row],[Strike]]),RTD("tos.rtd", , "BID", "."&amp;Table1334[[#This Row],[Ticker]]&amp;Table1334[[#This Row],[Expiry]]&amp;""&amp;"C"&amp;Table1334[[#This Row],[Strike]]))</f>
        <v>0</v>
      </c>
      <c r="J631" t="b">
        <f>IF(     ISNUMBER(Table1334[[#This Row],[Strike]]),RTD("tos.rtd", , "ASK", "."&amp;Table1334[[#This Row],[Ticker]]&amp;Table1334[[#This Row],[Expiry]]&amp;""&amp;"C"&amp;Table1334[[#This Row],[Strike]]))</f>
        <v>0</v>
      </c>
      <c r="K631" s="17"/>
      <c r="M631" s="1">
        <f t="shared" si="65"/>
        <v>0</v>
      </c>
      <c r="N631" t="b">
        <f t="shared" si="66"/>
        <v>0</v>
      </c>
      <c r="P631" s="17" cm="1">
        <f t="array" aca="1" ref="P631" ca="1">IndividualLegIVCore($A$4, Table1334[[#This Row],[Strike]], 0.0411, Table1334[[#This Row],[T]], ((Table1334[[#This Row],[BIDP]]+Table1334[[#This Row],[ASKP]])/2), FALSE)</f>
        <v>0.01</v>
      </c>
      <c r="Q631" t="b">
        <f>IF(     ISNUMBER(Table1334[[#This Row],[Strike]]),RTD("tos.rtd", , "BID", "."&amp;Table1334[[#This Row],[Ticker]]&amp;Table1334[[#This Row],[Expiry]]&amp;""&amp;"P"&amp;Table1334[[#This Row],[Strike]]))</f>
        <v>0</v>
      </c>
      <c r="R631" t="b">
        <f>IF(     ISNUMBER(Table1334[[#This Row],[Strike]]),RTD("tos.rtd", , "ASK", "."&amp;Table1334[[#This Row],[Ticker]]&amp;Table1334[[#This Row],[Expiry]]&amp;""&amp;"P"&amp;Table1334[[#This Row],[Strike]]))</f>
        <v>0</v>
      </c>
      <c r="S631" s="17"/>
      <c r="T631" t="b">
        <f>IF(     ISNUMBER(Table1334[[#This Row],[Strike]]),RTD("tos.rtd", , "OPEN_INT", "."&amp;Table1334[[#This Row],[Ticker]]&amp;Table1334[[#This Row],[Expiry]]&amp;""&amp;"P"&amp;Table1334[[#This Row],[Strike]]))</f>
        <v>0</v>
      </c>
      <c r="U63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1" t="b">
        <f>IF(     ISNUMBER(Table1334[[#This Row],[Strike]]),RTD("tos.rtd", , "DELTA", "."&amp;Table1334[[#This Row],[Ticker]]&amp;Table1334[[#This Row],[Expiry]]&amp;""&amp;"P"&amp;Table1334[[#This Row],[Strike]]))</f>
        <v>0</v>
      </c>
      <c r="Y631" s="19">
        <f>-44* IF($M$1="NDX", 10, IF(OR($M$1="SPX", $M$1="RUT"), 2, 1))</f>
        <v>-88</v>
      </c>
      <c r="Z631">
        <f ca="1">IFERROR(Table1334[[#This Row],[call gamma]]*(Table1334[[#This Row],[Open.Int]])*$A$4^2,0)</f>
        <v>0</v>
      </c>
      <c r="AA631">
        <f ca="1">IFERROR(((Table1334[[#This Row],[Open.Int8]])*Table1334[[#This Row],[Put gamma]])*-1*$A$4^2,0)</f>
        <v>0</v>
      </c>
      <c r="AB631">
        <f ca="1">(Table1334[[#This Row],[Call Gex]]+Table1334[[#This Row],[Put Gex]])</f>
        <v>0</v>
      </c>
      <c r="AC631">
        <f ca="1">Table1334[[#This Row],[put delta adj]]+Table1334[[#This Row],[call delta adj]]</f>
        <v>0</v>
      </c>
      <c r="AD631">
        <f ca="1">Table1334[[#This Row],[Put Gex]]*Table1334[[#This Row],[DeltaP]]*-1</f>
        <v>0</v>
      </c>
      <c r="AE631">
        <f ca="1">Table1334[[#This Row],[Call Gex]]*Table1334[[#This Row],[DeltaC]]</f>
        <v>0</v>
      </c>
      <c r="AF631">
        <f>IF(Table1334[[#This Row],[DeltaC]]-ABS(Table1334[[#This Row],[DeltaP]])="0","0.01",Table1334[[#This Row],[DeltaC]]-ABS(Table1334[[#This Row],[DeltaP]]))</f>
        <v>0</v>
      </c>
      <c r="AG63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1" t="e">
        <f ca="1">(EXP(-(AG631^2)/2)/SQRT(2*PI())*EXP(0*SQRT(Table1334[[#This Row],[T]]))/$A$4*18%*SQRT(SQRT(Table1334[[#This Row],[T]])))</f>
        <v>#DIV/0!</v>
      </c>
      <c r="AJ631" t="e">
        <f ca="1">(EXP(-(AH631^2)/2)/SQRT(2*PI())*EXP(0*SQRT(Table1334[[#This Row],[T]]))/$A$4*18%*SQRT(SQRT(Table1334[[#This Row],[T]])))</f>
        <v>#DIV/0!</v>
      </c>
      <c r="AK631" t="e">
        <f ca="1">Table1334[[#This Row],[Call D1]]-Table1334[[#This Row],[IV Calc C]]*SQRT(Table1334[[#This Row],[T]])</f>
        <v>#DIV/0!</v>
      </c>
      <c r="AL631" t="e">
        <f ca="1">Table1334[[#This Row],[Put D1]]-Table1334[[#This Row],[IV Calc P]]*SQRT(Table1334[[#This Row],[T]])</f>
        <v>#DIV/0!</v>
      </c>
      <c r="AM631" t="e">
        <f ca="1">EXP(-0.5*Table1334[[#This Row],[Call D1]]^2)/SQRT(2*PI())</f>
        <v>#DIV/0!</v>
      </c>
      <c r="AN631" t="e">
        <f ca="1">EXP(-0.5*Table1334[[#This Row],[Put D1]]^2)/SQRT(2*PI())</f>
        <v>#DIV/0!</v>
      </c>
      <c r="AO63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1">
        <f ca="1">((Table1334[[#This Row],[call vanna]]+Table1334[[#This Row],[put vanna]])*$A$4)</f>
        <v>0</v>
      </c>
      <c r="AR63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1" s="9" t="str" cm="1">
        <f t="array" ref="AT631">_xlfn.IFS(     $M$1="SPX","SPXW",     $M$1="RUT","RUTW",  $M$1="NDX","NDXP",   TRUE,$M$1 )</f>
        <v>SPXW</v>
      </c>
      <c r="AU631" s="2">
        <f t="shared" si="67"/>
        <v>6915</v>
      </c>
      <c r="AV631" t="str">
        <f t="shared" si="68"/>
        <v>000100</v>
      </c>
      <c r="AY63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1">
        <f>((Table1334[[#This Row],[High C]]+Table1334[[#This Row],[Low C]])/2)*Table1334[[#This Row],[gammac]]*Table1334[[#This Row],[Volume]]</f>
        <v>0</v>
      </c>
      <c r="BD631">
        <f>((Table1334[[#This Row],[High P]]+Table1334[[#This Row],[Low P]])/2)*Table1334[[#This Row],[gammap]]*Table1334[[#This Row],[Volume9]]*-1</f>
        <v>0</v>
      </c>
      <c r="BE631">
        <f>(Table1334[[#This Row],[SgammaC]]+Table1334[[#This Row],[SgammaP]])*$A$4*-100</f>
        <v>0</v>
      </c>
      <c r="BF631">
        <f>Table1334[[#This Row],[DEXc]]+Table1334[[#This Row],[DEXp]]</f>
        <v>0</v>
      </c>
      <c r="BG631">
        <f>IFERROR(Table1334[[#This Row],[DeltaC]]*Table1334[[#This Row],[Open.Int]]*$A$4,0)</f>
        <v>0</v>
      </c>
      <c r="BH631">
        <f>IFERROR(Table1334[[#This Row],[DeltaP]]*Table1334[[#This Row],[Open.Int8]]*$A$4,0)</f>
        <v>0</v>
      </c>
      <c r="BI63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1">
        <f ca="1">Table1334[[#This Row],[charmc]]+Table1334[[#This Row],[charmp]]</f>
        <v>0</v>
      </c>
      <c r="BL63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1" s="78">
        <f ca="1">Table1334[[#This Row],[call helper]]+Table1334[[#This Row],[put helper]]</f>
        <v>0</v>
      </c>
      <c r="BP631" t="str">
        <f>RTD("tos.rtd", , "STRIKE", "."&amp;Table1334[[#This Row],[Ticker]]&amp;Table1334[[#This Row],[Expiry]]&amp;""&amp;"C"&amp;Table1334[[#This Row],[Spot]]+Table1334[[#This Row],[step]])</f>
        <v>N/A</v>
      </c>
    </row>
    <row r="632" spans="1:68" x14ac:dyDescent="0.25">
      <c r="A632" s="14">
        <f t="shared" ca="1" si="64"/>
        <v>-126.14810350076104</v>
      </c>
      <c r="C632" s="17"/>
      <c r="D632" t="str">
        <f>RTD("tos.rtd", , "OPEN_INT", "."&amp;Table1334[[#This Row],[Ticker]]&amp;Table1334[[#This Row],[Expiry]]&amp;""&amp;"C"&amp;Table1334[[#This Row],[Spot]]+Table1334[[#This Row],[step]])</f>
        <v>N/A</v>
      </c>
      <c r="E63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2" t="b">
        <f>IF(     ISNUMBER(Table1334[[#This Row],[Strike]]),RTD("tos.rtd", , "DELTA", "."&amp;Table1334[[#This Row],[Ticker]]&amp;Table1334[[#This Row],[Expiry]]&amp;""&amp;"C"&amp;Table1334[[#This Row],[Strike]]))</f>
        <v>0</v>
      </c>
      <c r="H632" s="17" cm="1">
        <f t="array" aca="1" ref="H632" ca="1">IndividualLegIVCore($A$4, Table1334[[#This Row],[Strike]], 0.0411, Table1334[[#This Row],[T]], ((Table1334[[#This Row],[BIDC]]+Table1334[[#This Row],[ASKC]])/2), TRUE)</f>
        <v>0.01</v>
      </c>
      <c r="I632" t="b">
        <f>IF(     ISNUMBER(Table1334[[#This Row],[Strike]]),RTD("tos.rtd", , "BID", "."&amp;Table1334[[#This Row],[Ticker]]&amp;Table1334[[#This Row],[Expiry]]&amp;""&amp;"C"&amp;Table1334[[#This Row],[Strike]]))</f>
        <v>0</v>
      </c>
      <c r="J632" t="b">
        <f>IF(     ISNUMBER(Table1334[[#This Row],[Strike]]),RTD("tos.rtd", , "ASK", "."&amp;Table1334[[#This Row],[Ticker]]&amp;Table1334[[#This Row],[Expiry]]&amp;""&amp;"C"&amp;Table1334[[#This Row],[Strike]]))</f>
        <v>0</v>
      </c>
      <c r="K632" s="17"/>
      <c r="M632" s="1">
        <f t="shared" si="65"/>
        <v>0</v>
      </c>
      <c r="N632" t="b">
        <f t="shared" si="66"/>
        <v>0</v>
      </c>
      <c r="P632" s="17" cm="1">
        <f t="array" aca="1" ref="P632" ca="1">IndividualLegIVCore($A$4, Table1334[[#This Row],[Strike]], 0.0411, Table1334[[#This Row],[T]], ((Table1334[[#This Row],[BIDP]]+Table1334[[#This Row],[ASKP]])/2), FALSE)</f>
        <v>0.01</v>
      </c>
      <c r="Q632" t="b">
        <f>IF(     ISNUMBER(Table1334[[#This Row],[Strike]]),RTD("tos.rtd", , "BID", "."&amp;Table1334[[#This Row],[Ticker]]&amp;Table1334[[#This Row],[Expiry]]&amp;""&amp;"P"&amp;Table1334[[#This Row],[Strike]]))</f>
        <v>0</v>
      </c>
      <c r="R632" t="b">
        <f>IF(     ISNUMBER(Table1334[[#This Row],[Strike]]),RTD("tos.rtd", , "ASK", "."&amp;Table1334[[#This Row],[Ticker]]&amp;Table1334[[#This Row],[Expiry]]&amp;""&amp;"P"&amp;Table1334[[#This Row],[Strike]]))</f>
        <v>0</v>
      </c>
      <c r="S632" s="17"/>
      <c r="T632" t="b">
        <f>IF(     ISNUMBER(Table1334[[#This Row],[Strike]]),RTD("tos.rtd", , "OPEN_INT", "."&amp;Table1334[[#This Row],[Ticker]]&amp;Table1334[[#This Row],[Expiry]]&amp;""&amp;"P"&amp;Table1334[[#This Row],[Strike]]))</f>
        <v>0</v>
      </c>
      <c r="U63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2" t="b">
        <f>IF(     ISNUMBER(Table1334[[#This Row],[Strike]]),RTD("tos.rtd", , "DELTA", "."&amp;Table1334[[#This Row],[Ticker]]&amp;Table1334[[#This Row],[Expiry]]&amp;""&amp;"P"&amp;Table1334[[#This Row],[Strike]]))</f>
        <v>0</v>
      </c>
      <c r="Y632" s="19">
        <f>-43.5* IF($M$1="NDX", 10, IF(OR($M$1="SPX", $M$1="RUT"), 2, 1))</f>
        <v>-87</v>
      </c>
      <c r="Z632">
        <f ca="1">IFERROR(Table1334[[#This Row],[call gamma]]*(Table1334[[#This Row],[Open.Int]])*$A$4^2,0)</f>
        <v>0</v>
      </c>
      <c r="AA632">
        <f ca="1">IFERROR(((Table1334[[#This Row],[Open.Int8]])*Table1334[[#This Row],[Put gamma]])*-1*$A$4^2,0)</f>
        <v>0</v>
      </c>
      <c r="AB632">
        <f ca="1">(Table1334[[#This Row],[Call Gex]]+Table1334[[#This Row],[Put Gex]])</f>
        <v>0</v>
      </c>
      <c r="AC632">
        <f ca="1">Table1334[[#This Row],[put delta adj]]+Table1334[[#This Row],[call delta adj]]</f>
        <v>0</v>
      </c>
      <c r="AD632">
        <f ca="1">Table1334[[#This Row],[Put Gex]]*Table1334[[#This Row],[DeltaP]]*-1</f>
        <v>0</v>
      </c>
      <c r="AE632">
        <f ca="1">Table1334[[#This Row],[Call Gex]]*Table1334[[#This Row],[DeltaC]]</f>
        <v>0</v>
      </c>
      <c r="AF632">
        <f>IF(Table1334[[#This Row],[DeltaC]]-ABS(Table1334[[#This Row],[DeltaP]])="0","0.01",Table1334[[#This Row],[DeltaC]]-ABS(Table1334[[#This Row],[DeltaP]]))</f>
        <v>0</v>
      </c>
      <c r="AG63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2" t="e">
        <f ca="1">(EXP(-(AG632^2)/2)/SQRT(2*PI())*EXP(0*SQRT(Table1334[[#This Row],[T]]))/$A$4*18%*SQRT(SQRT(Table1334[[#This Row],[T]])))</f>
        <v>#DIV/0!</v>
      </c>
      <c r="AJ632" t="e">
        <f ca="1">(EXP(-(AH632^2)/2)/SQRT(2*PI())*EXP(0*SQRT(Table1334[[#This Row],[T]]))/$A$4*18%*SQRT(SQRT(Table1334[[#This Row],[T]])))</f>
        <v>#DIV/0!</v>
      </c>
      <c r="AK632" t="e">
        <f ca="1">Table1334[[#This Row],[Call D1]]-Table1334[[#This Row],[IV Calc C]]*SQRT(Table1334[[#This Row],[T]])</f>
        <v>#DIV/0!</v>
      </c>
      <c r="AL632" t="e">
        <f ca="1">Table1334[[#This Row],[Put D1]]-Table1334[[#This Row],[IV Calc P]]*SQRT(Table1334[[#This Row],[T]])</f>
        <v>#DIV/0!</v>
      </c>
      <c r="AM632" t="e">
        <f ca="1">EXP(-0.5*Table1334[[#This Row],[Call D1]]^2)/SQRT(2*PI())</f>
        <v>#DIV/0!</v>
      </c>
      <c r="AN632" t="e">
        <f ca="1">EXP(-0.5*Table1334[[#This Row],[Put D1]]^2)/SQRT(2*PI())</f>
        <v>#DIV/0!</v>
      </c>
      <c r="AO63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2">
        <f ca="1">((Table1334[[#This Row],[call vanna]]+Table1334[[#This Row],[put vanna]])*$A$4)</f>
        <v>0</v>
      </c>
      <c r="AR63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2" s="9" t="str" cm="1">
        <f t="array" ref="AT632">_xlfn.IFS(     $M$1="SPX","SPXW",     $M$1="RUT","RUTW",  $M$1="NDX","NDXP",   TRUE,$M$1 )</f>
        <v>SPXW</v>
      </c>
      <c r="AU632" s="2">
        <f t="shared" si="67"/>
        <v>6915</v>
      </c>
      <c r="AV632" t="str">
        <f t="shared" si="68"/>
        <v>000100</v>
      </c>
      <c r="AY63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2">
        <f>((Table1334[[#This Row],[High C]]+Table1334[[#This Row],[Low C]])/2)*Table1334[[#This Row],[gammac]]*Table1334[[#This Row],[Volume]]</f>
        <v>0</v>
      </c>
      <c r="BD632">
        <f>((Table1334[[#This Row],[High P]]+Table1334[[#This Row],[Low P]])/2)*Table1334[[#This Row],[gammap]]*Table1334[[#This Row],[Volume9]]*-1</f>
        <v>0</v>
      </c>
      <c r="BE632">
        <f>(Table1334[[#This Row],[SgammaC]]+Table1334[[#This Row],[SgammaP]])*$A$4*-100</f>
        <v>0</v>
      </c>
      <c r="BF632">
        <f>Table1334[[#This Row],[DEXc]]+Table1334[[#This Row],[DEXp]]</f>
        <v>0</v>
      </c>
      <c r="BG632">
        <f>IFERROR(Table1334[[#This Row],[DeltaC]]*Table1334[[#This Row],[Open.Int]]*$A$4,0)</f>
        <v>0</v>
      </c>
      <c r="BH632">
        <f>IFERROR(Table1334[[#This Row],[DeltaP]]*Table1334[[#This Row],[Open.Int8]]*$A$4,0)</f>
        <v>0</v>
      </c>
      <c r="BI63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2">
        <f ca="1">Table1334[[#This Row],[charmc]]+Table1334[[#This Row],[charmp]]</f>
        <v>0</v>
      </c>
      <c r="BL63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2" s="78">
        <f ca="1">Table1334[[#This Row],[call helper]]+Table1334[[#This Row],[put helper]]</f>
        <v>0</v>
      </c>
      <c r="BP632" t="str">
        <f>RTD("tos.rtd", , "STRIKE", "."&amp;Table1334[[#This Row],[Ticker]]&amp;Table1334[[#This Row],[Expiry]]&amp;""&amp;"C"&amp;Table1334[[#This Row],[Spot]]+Table1334[[#This Row],[step]])</f>
        <v>N/A</v>
      </c>
    </row>
    <row r="633" spans="1:68" x14ac:dyDescent="0.25">
      <c r="A633" s="14">
        <f t="shared" ca="1" si="64"/>
        <v>-126.14810350076104</v>
      </c>
      <c r="C633" s="17"/>
      <c r="D633" t="str">
        <f>RTD("tos.rtd", , "OPEN_INT", "."&amp;Table1334[[#This Row],[Ticker]]&amp;Table1334[[#This Row],[Expiry]]&amp;""&amp;"C"&amp;Table1334[[#This Row],[Spot]]+Table1334[[#This Row],[step]])</f>
        <v>N/A</v>
      </c>
      <c r="E63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3" t="b">
        <f>IF(     ISNUMBER(Table1334[[#This Row],[Strike]]),RTD("tos.rtd", , "DELTA", "."&amp;Table1334[[#This Row],[Ticker]]&amp;Table1334[[#This Row],[Expiry]]&amp;""&amp;"C"&amp;Table1334[[#This Row],[Strike]]))</f>
        <v>0</v>
      </c>
      <c r="H633" s="17" cm="1">
        <f t="array" aca="1" ref="H633" ca="1">IndividualLegIVCore($A$4, Table1334[[#This Row],[Strike]], 0.0411, Table1334[[#This Row],[T]], ((Table1334[[#This Row],[BIDC]]+Table1334[[#This Row],[ASKC]])/2), TRUE)</f>
        <v>0.01</v>
      </c>
      <c r="I633" t="b">
        <f>IF(     ISNUMBER(Table1334[[#This Row],[Strike]]),RTD("tos.rtd", , "BID", "."&amp;Table1334[[#This Row],[Ticker]]&amp;Table1334[[#This Row],[Expiry]]&amp;""&amp;"C"&amp;Table1334[[#This Row],[Strike]]))</f>
        <v>0</v>
      </c>
      <c r="J633" t="b">
        <f>IF(     ISNUMBER(Table1334[[#This Row],[Strike]]),RTD("tos.rtd", , "ASK", "."&amp;Table1334[[#This Row],[Ticker]]&amp;Table1334[[#This Row],[Expiry]]&amp;""&amp;"C"&amp;Table1334[[#This Row],[Strike]]))</f>
        <v>0</v>
      </c>
      <c r="K633" s="17"/>
      <c r="M633" s="1">
        <f t="shared" si="65"/>
        <v>0</v>
      </c>
      <c r="N633" t="b">
        <f t="shared" si="66"/>
        <v>0</v>
      </c>
      <c r="P633" s="17" cm="1">
        <f t="array" aca="1" ref="P633" ca="1">IndividualLegIVCore($A$4, Table1334[[#This Row],[Strike]], 0.0411, Table1334[[#This Row],[T]], ((Table1334[[#This Row],[BIDP]]+Table1334[[#This Row],[ASKP]])/2), FALSE)</f>
        <v>0.01</v>
      </c>
      <c r="Q633" t="b">
        <f>IF(     ISNUMBER(Table1334[[#This Row],[Strike]]),RTD("tos.rtd", , "BID", "."&amp;Table1334[[#This Row],[Ticker]]&amp;Table1334[[#This Row],[Expiry]]&amp;""&amp;"P"&amp;Table1334[[#This Row],[Strike]]))</f>
        <v>0</v>
      </c>
      <c r="R633" t="b">
        <f>IF(     ISNUMBER(Table1334[[#This Row],[Strike]]),RTD("tos.rtd", , "ASK", "."&amp;Table1334[[#This Row],[Ticker]]&amp;Table1334[[#This Row],[Expiry]]&amp;""&amp;"P"&amp;Table1334[[#This Row],[Strike]]))</f>
        <v>0</v>
      </c>
      <c r="S633" s="17"/>
      <c r="T633" t="b">
        <f>IF(     ISNUMBER(Table1334[[#This Row],[Strike]]),RTD("tos.rtd", , "OPEN_INT", "."&amp;Table1334[[#This Row],[Ticker]]&amp;Table1334[[#This Row],[Expiry]]&amp;""&amp;"P"&amp;Table1334[[#This Row],[Strike]]))</f>
        <v>0</v>
      </c>
      <c r="U63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3" t="b">
        <f>IF(     ISNUMBER(Table1334[[#This Row],[Strike]]),RTD("tos.rtd", , "DELTA", "."&amp;Table1334[[#This Row],[Ticker]]&amp;Table1334[[#This Row],[Expiry]]&amp;""&amp;"P"&amp;Table1334[[#This Row],[Strike]]))</f>
        <v>0</v>
      </c>
      <c r="Y633" s="19">
        <f>-43* IF($M$1="NDX", 10, IF(OR($M$1="SPX", $M$1="RUT"), 2, 1))</f>
        <v>-86</v>
      </c>
      <c r="Z633">
        <f ca="1">IFERROR(Table1334[[#This Row],[call gamma]]*(Table1334[[#This Row],[Open.Int]])*$A$4^2,0)</f>
        <v>0</v>
      </c>
      <c r="AA633">
        <f ca="1">IFERROR(((Table1334[[#This Row],[Open.Int8]])*Table1334[[#This Row],[Put gamma]])*-1*$A$4^2,0)</f>
        <v>0</v>
      </c>
      <c r="AB633">
        <f ca="1">(Table1334[[#This Row],[Call Gex]]+Table1334[[#This Row],[Put Gex]])</f>
        <v>0</v>
      </c>
      <c r="AC633">
        <f ca="1">Table1334[[#This Row],[put delta adj]]+Table1334[[#This Row],[call delta adj]]</f>
        <v>0</v>
      </c>
      <c r="AD633">
        <f ca="1">Table1334[[#This Row],[Put Gex]]*Table1334[[#This Row],[DeltaP]]*-1</f>
        <v>0</v>
      </c>
      <c r="AE633">
        <f ca="1">Table1334[[#This Row],[Call Gex]]*Table1334[[#This Row],[DeltaC]]</f>
        <v>0</v>
      </c>
      <c r="AF633">
        <f>IF(Table1334[[#This Row],[DeltaC]]-ABS(Table1334[[#This Row],[DeltaP]])="0","0.01",Table1334[[#This Row],[DeltaC]]-ABS(Table1334[[#This Row],[DeltaP]]))</f>
        <v>0</v>
      </c>
      <c r="AG63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3" t="e">
        <f ca="1">(EXP(-(AG633^2)/2)/SQRT(2*PI())*EXP(0*SQRT(Table1334[[#This Row],[T]]))/$A$4*18%*SQRT(SQRT(Table1334[[#This Row],[T]])))</f>
        <v>#DIV/0!</v>
      </c>
      <c r="AJ633" t="e">
        <f ca="1">(EXP(-(AH633^2)/2)/SQRT(2*PI())*EXP(0*SQRT(Table1334[[#This Row],[T]]))/$A$4*18%*SQRT(SQRT(Table1334[[#This Row],[T]])))</f>
        <v>#DIV/0!</v>
      </c>
      <c r="AK633" t="e">
        <f ca="1">Table1334[[#This Row],[Call D1]]-Table1334[[#This Row],[IV Calc C]]*SQRT(Table1334[[#This Row],[T]])</f>
        <v>#DIV/0!</v>
      </c>
      <c r="AL633" t="e">
        <f ca="1">Table1334[[#This Row],[Put D1]]-Table1334[[#This Row],[IV Calc P]]*SQRT(Table1334[[#This Row],[T]])</f>
        <v>#DIV/0!</v>
      </c>
      <c r="AM633" t="e">
        <f ca="1">EXP(-0.5*Table1334[[#This Row],[Call D1]]^2)/SQRT(2*PI())</f>
        <v>#DIV/0!</v>
      </c>
      <c r="AN633" t="e">
        <f ca="1">EXP(-0.5*Table1334[[#This Row],[Put D1]]^2)/SQRT(2*PI())</f>
        <v>#DIV/0!</v>
      </c>
      <c r="AO63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3">
        <f ca="1">((Table1334[[#This Row],[call vanna]]+Table1334[[#This Row],[put vanna]])*$A$4)</f>
        <v>0</v>
      </c>
      <c r="AR63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3" s="9" t="str" cm="1">
        <f t="array" ref="AT633">_xlfn.IFS(     $M$1="SPX","SPXW",     $M$1="RUT","RUTW",  $M$1="NDX","NDXP",   TRUE,$M$1 )</f>
        <v>SPXW</v>
      </c>
      <c r="AU633" s="2">
        <f t="shared" si="67"/>
        <v>6915</v>
      </c>
      <c r="AV633" t="str">
        <f t="shared" si="68"/>
        <v>000100</v>
      </c>
      <c r="AY63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3">
        <f>((Table1334[[#This Row],[High C]]+Table1334[[#This Row],[Low C]])/2)*Table1334[[#This Row],[gammac]]*Table1334[[#This Row],[Volume]]</f>
        <v>0</v>
      </c>
      <c r="BD633">
        <f>((Table1334[[#This Row],[High P]]+Table1334[[#This Row],[Low P]])/2)*Table1334[[#This Row],[gammap]]*Table1334[[#This Row],[Volume9]]*-1</f>
        <v>0</v>
      </c>
      <c r="BE633">
        <f>(Table1334[[#This Row],[SgammaC]]+Table1334[[#This Row],[SgammaP]])*$A$4*-100</f>
        <v>0</v>
      </c>
      <c r="BF633">
        <f>Table1334[[#This Row],[DEXc]]+Table1334[[#This Row],[DEXp]]</f>
        <v>0</v>
      </c>
      <c r="BG633">
        <f>IFERROR(Table1334[[#This Row],[DeltaC]]*Table1334[[#This Row],[Open.Int]]*$A$4,0)</f>
        <v>0</v>
      </c>
      <c r="BH633">
        <f>IFERROR(Table1334[[#This Row],[DeltaP]]*Table1334[[#This Row],[Open.Int8]]*$A$4,0)</f>
        <v>0</v>
      </c>
      <c r="BI63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3">
        <f ca="1">Table1334[[#This Row],[charmc]]+Table1334[[#This Row],[charmp]]</f>
        <v>0</v>
      </c>
      <c r="BL63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3" s="78">
        <f ca="1">Table1334[[#This Row],[call helper]]+Table1334[[#This Row],[put helper]]</f>
        <v>0</v>
      </c>
      <c r="BP633" t="str">
        <f>RTD("tos.rtd", , "STRIKE", "."&amp;Table1334[[#This Row],[Ticker]]&amp;Table1334[[#This Row],[Expiry]]&amp;""&amp;"C"&amp;Table1334[[#This Row],[Spot]]+Table1334[[#This Row],[step]])</f>
        <v>N/A</v>
      </c>
    </row>
    <row r="634" spans="1:68" x14ac:dyDescent="0.25">
      <c r="A634" s="14">
        <f t="shared" ca="1" si="64"/>
        <v>-126.14810350076104</v>
      </c>
      <c r="C634" s="17"/>
      <c r="D634" t="str">
        <f>RTD("tos.rtd", , "OPEN_INT", "."&amp;Table1334[[#This Row],[Ticker]]&amp;Table1334[[#This Row],[Expiry]]&amp;""&amp;"C"&amp;Table1334[[#This Row],[Spot]]+Table1334[[#This Row],[step]])</f>
        <v>N/A</v>
      </c>
      <c r="E63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4" t="b">
        <f>IF(     ISNUMBER(Table1334[[#This Row],[Strike]]),RTD("tos.rtd", , "DELTA", "."&amp;Table1334[[#This Row],[Ticker]]&amp;Table1334[[#This Row],[Expiry]]&amp;""&amp;"C"&amp;Table1334[[#This Row],[Strike]]))</f>
        <v>0</v>
      </c>
      <c r="H634" s="17" cm="1">
        <f t="array" aca="1" ref="H634" ca="1">IndividualLegIVCore($A$4, Table1334[[#This Row],[Strike]], 0.0411, Table1334[[#This Row],[T]], ((Table1334[[#This Row],[BIDC]]+Table1334[[#This Row],[ASKC]])/2), TRUE)</f>
        <v>0.01</v>
      </c>
      <c r="I634" t="b">
        <f>IF(     ISNUMBER(Table1334[[#This Row],[Strike]]),RTD("tos.rtd", , "BID", "."&amp;Table1334[[#This Row],[Ticker]]&amp;Table1334[[#This Row],[Expiry]]&amp;""&amp;"C"&amp;Table1334[[#This Row],[Strike]]))</f>
        <v>0</v>
      </c>
      <c r="J634" t="b">
        <f>IF(     ISNUMBER(Table1334[[#This Row],[Strike]]),RTD("tos.rtd", , "ASK", "."&amp;Table1334[[#This Row],[Ticker]]&amp;Table1334[[#This Row],[Expiry]]&amp;""&amp;"C"&amp;Table1334[[#This Row],[Strike]]))</f>
        <v>0</v>
      </c>
      <c r="K634" s="17"/>
      <c r="M634" s="1">
        <f t="shared" si="65"/>
        <v>0</v>
      </c>
      <c r="N634" t="b">
        <f t="shared" si="66"/>
        <v>0</v>
      </c>
      <c r="P634" s="17" cm="1">
        <f t="array" aca="1" ref="P634" ca="1">IndividualLegIVCore($A$4, Table1334[[#This Row],[Strike]], 0.0411, Table1334[[#This Row],[T]], ((Table1334[[#This Row],[BIDP]]+Table1334[[#This Row],[ASKP]])/2), FALSE)</f>
        <v>0.01</v>
      </c>
      <c r="Q634" t="b">
        <f>IF(     ISNUMBER(Table1334[[#This Row],[Strike]]),RTD("tos.rtd", , "BID", "."&amp;Table1334[[#This Row],[Ticker]]&amp;Table1334[[#This Row],[Expiry]]&amp;""&amp;"P"&amp;Table1334[[#This Row],[Strike]]))</f>
        <v>0</v>
      </c>
      <c r="R634" t="b">
        <f>IF(     ISNUMBER(Table1334[[#This Row],[Strike]]),RTD("tos.rtd", , "ASK", "."&amp;Table1334[[#This Row],[Ticker]]&amp;Table1334[[#This Row],[Expiry]]&amp;""&amp;"P"&amp;Table1334[[#This Row],[Strike]]))</f>
        <v>0</v>
      </c>
      <c r="S634" s="17"/>
      <c r="T634" t="b">
        <f>IF(     ISNUMBER(Table1334[[#This Row],[Strike]]),RTD("tos.rtd", , "OPEN_INT", "."&amp;Table1334[[#This Row],[Ticker]]&amp;Table1334[[#This Row],[Expiry]]&amp;""&amp;"P"&amp;Table1334[[#This Row],[Strike]]))</f>
        <v>0</v>
      </c>
      <c r="U63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4" t="b">
        <f>IF(     ISNUMBER(Table1334[[#This Row],[Strike]]),RTD("tos.rtd", , "DELTA", "."&amp;Table1334[[#This Row],[Ticker]]&amp;Table1334[[#This Row],[Expiry]]&amp;""&amp;"P"&amp;Table1334[[#This Row],[Strike]]))</f>
        <v>0</v>
      </c>
      <c r="Y634" s="19">
        <f>-42.5* IF($M$1="NDX", 10, IF(OR($M$1="SPX", $M$1="RUT"), 2, 1))</f>
        <v>-85</v>
      </c>
      <c r="Z634">
        <f ca="1">IFERROR(Table1334[[#This Row],[call gamma]]*(Table1334[[#This Row],[Open.Int]])*$A$4^2,0)</f>
        <v>0</v>
      </c>
      <c r="AA634">
        <f ca="1">IFERROR(((Table1334[[#This Row],[Open.Int8]])*Table1334[[#This Row],[Put gamma]])*-1*$A$4^2,0)</f>
        <v>0</v>
      </c>
      <c r="AB634">
        <f ca="1">(Table1334[[#This Row],[Call Gex]]+Table1334[[#This Row],[Put Gex]])</f>
        <v>0</v>
      </c>
      <c r="AC634">
        <f ca="1">Table1334[[#This Row],[put delta adj]]+Table1334[[#This Row],[call delta adj]]</f>
        <v>0</v>
      </c>
      <c r="AD634">
        <f ca="1">Table1334[[#This Row],[Put Gex]]*Table1334[[#This Row],[DeltaP]]*-1</f>
        <v>0</v>
      </c>
      <c r="AE634">
        <f ca="1">Table1334[[#This Row],[Call Gex]]*Table1334[[#This Row],[DeltaC]]</f>
        <v>0</v>
      </c>
      <c r="AF634">
        <f>IF(Table1334[[#This Row],[DeltaC]]-ABS(Table1334[[#This Row],[DeltaP]])="0","0.01",Table1334[[#This Row],[DeltaC]]-ABS(Table1334[[#This Row],[DeltaP]]))</f>
        <v>0</v>
      </c>
      <c r="AG63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4" t="e">
        <f ca="1">(EXP(-(AG634^2)/2)/SQRT(2*PI())*EXP(0*SQRT(Table1334[[#This Row],[T]]))/$A$4*18%*SQRT(SQRT(Table1334[[#This Row],[T]])))</f>
        <v>#DIV/0!</v>
      </c>
      <c r="AJ634" t="e">
        <f ca="1">(EXP(-(AH634^2)/2)/SQRT(2*PI())*EXP(0*SQRT(Table1334[[#This Row],[T]]))/$A$4*18%*SQRT(SQRT(Table1334[[#This Row],[T]])))</f>
        <v>#DIV/0!</v>
      </c>
      <c r="AK634" t="e">
        <f ca="1">Table1334[[#This Row],[Call D1]]-Table1334[[#This Row],[IV Calc C]]*SQRT(Table1334[[#This Row],[T]])</f>
        <v>#DIV/0!</v>
      </c>
      <c r="AL634" t="e">
        <f ca="1">Table1334[[#This Row],[Put D1]]-Table1334[[#This Row],[IV Calc P]]*SQRT(Table1334[[#This Row],[T]])</f>
        <v>#DIV/0!</v>
      </c>
      <c r="AM634" t="e">
        <f ca="1">EXP(-0.5*Table1334[[#This Row],[Call D1]]^2)/SQRT(2*PI())</f>
        <v>#DIV/0!</v>
      </c>
      <c r="AN634" t="e">
        <f ca="1">EXP(-0.5*Table1334[[#This Row],[Put D1]]^2)/SQRT(2*PI())</f>
        <v>#DIV/0!</v>
      </c>
      <c r="AO63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4">
        <f ca="1">((Table1334[[#This Row],[call vanna]]+Table1334[[#This Row],[put vanna]])*$A$4)</f>
        <v>0</v>
      </c>
      <c r="AR63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4" s="9" t="str" cm="1">
        <f t="array" ref="AT634">_xlfn.IFS(     $M$1="SPX","SPXW",     $M$1="RUT","RUTW",  $M$1="NDX","NDXP",   TRUE,$M$1 )</f>
        <v>SPXW</v>
      </c>
      <c r="AU634" s="2">
        <f t="shared" si="67"/>
        <v>6915</v>
      </c>
      <c r="AV634" t="str">
        <f t="shared" si="68"/>
        <v>000100</v>
      </c>
      <c r="AY63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4">
        <f>((Table1334[[#This Row],[High C]]+Table1334[[#This Row],[Low C]])/2)*Table1334[[#This Row],[gammac]]*Table1334[[#This Row],[Volume]]</f>
        <v>0</v>
      </c>
      <c r="BD634">
        <f>((Table1334[[#This Row],[High P]]+Table1334[[#This Row],[Low P]])/2)*Table1334[[#This Row],[gammap]]*Table1334[[#This Row],[Volume9]]*-1</f>
        <v>0</v>
      </c>
      <c r="BE634">
        <f>(Table1334[[#This Row],[SgammaC]]+Table1334[[#This Row],[SgammaP]])*$A$4*-100</f>
        <v>0</v>
      </c>
      <c r="BF634">
        <f>Table1334[[#This Row],[DEXc]]+Table1334[[#This Row],[DEXp]]</f>
        <v>0</v>
      </c>
      <c r="BG634">
        <f>IFERROR(Table1334[[#This Row],[DeltaC]]*Table1334[[#This Row],[Open.Int]]*$A$4,0)</f>
        <v>0</v>
      </c>
      <c r="BH634">
        <f>IFERROR(Table1334[[#This Row],[DeltaP]]*Table1334[[#This Row],[Open.Int8]]*$A$4,0)</f>
        <v>0</v>
      </c>
      <c r="BI63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4">
        <f ca="1">Table1334[[#This Row],[charmc]]+Table1334[[#This Row],[charmp]]</f>
        <v>0</v>
      </c>
      <c r="BL63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4" s="78">
        <f ca="1">Table1334[[#This Row],[call helper]]+Table1334[[#This Row],[put helper]]</f>
        <v>0</v>
      </c>
      <c r="BP634" t="str">
        <f>RTD("tos.rtd", , "STRIKE", "."&amp;Table1334[[#This Row],[Ticker]]&amp;Table1334[[#This Row],[Expiry]]&amp;""&amp;"C"&amp;Table1334[[#This Row],[Spot]]+Table1334[[#This Row],[step]])</f>
        <v>N/A</v>
      </c>
    </row>
    <row r="635" spans="1:68" x14ac:dyDescent="0.25">
      <c r="A635" s="14">
        <f t="shared" ca="1" si="64"/>
        <v>-126.14810350076104</v>
      </c>
      <c r="C635" s="17"/>
      <c r="D635" t="str">
        <f>RTD("tos.rtd", , "OPEN_INT", "."&amp;Table1334[[#This Row],[Ticker]]&amp;Table1334[[#This Row],[Expiry]]&amp;""&amp;"C"&amp;Table1334[[#This Row],[Spot]]+Table1334[[#This Row],[step]])</f>
        <v>N/A</v>
      </c>
      <c r="E63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5" t="b">
        <f>IF(     ISNUMBER(Table1334[[#This Row],[Strike]]),RTD("tos.rtd", , "DELTA", "."&amp;Table1334[[#This Row],[Ticker]]&amp;Table1334[[#This Row],[Expiry]]&amp;""&amp;"C"&amp;Table1334[[#This Row],[Strike]]))</f>
        <v>0</v>
      </c>
      <c r="H635" s="17" cm="1">
        <f t="array" aca="1" ref="H635" ca="1">IndividualLegIVCore($A$4, Table1334[[#This Row],[Strike]], 0.0411, Table1334[[#This Row],[T]], ((Table1334[[#This Row],[BIDC]]+Table1334[[#This Row],[ASKC]])/2), TRUE)</f>
        <v>0.01</v>
      </c>
      <c r="I635" t="b">
        <f>IF(     ISNUMBER(Table1334[[#This Row],[Strike]]),RTD("tos.rtd", , "BID", "."&amp;Table1334[[#This Row],[Ticker]]&amp;Table1334[[#This Row],[Expiry]]&amp;""&amp;"C"&amp;Table1334[[#This Row],[Strike]]))</f>
        <v>0</v>
      </c>
      <c r="J635" t="b">
        <f>IF(     ISNUMBER(Table1334[[#This Row],[Strike]]),RTD("tos.rtd", , "ASK", "."&amp;Table1334[[#This Row],[Ticker]]&amp;Table1334[[#This Row],[Expiry]]&amp;""&amp;"C"&amp;Table1334[[#This Row],[Strike]]))</f>
        <v>0</v>
      </c>
      <c r="K635" s="17"/>
      <c r="M635" s="1">
        <f t="shared" si="65"/>
        <v>0</v>
      </c>
      <c r="N635" t="b">
        <f t="shared" si="66"/>
        <v>0</v>
      </c>
      <c r="P635" s="17" cm="1">
        <f t="array" aca="1" ref="P635" ca="1">IndividualLegIVCore($A$4, Table1334[[#This Row],[Strike]], 0.0411, Table1334[[#This Row],[T]], ((Table1334[[#This Row],[BIDP]]+Table1334[[#This Row],[ASKP]])/2), FALSE)</f>
        <v>0.01</v>
      </c>
      <c r="Q635" t="b">
        <f>IF(     ISNUMBER(Table1334[[#This Row],[Strike]]),RTD("tos.rtd", , "BID", "."&amp;Table1334[[#This Row],[Ticker]]&amp;Table1334[[#This Row],[Expiry]]&amp;""&amp;"P"&amp;Table1334[[#This Row],[Strike]]))</f>
        <v>0</v>
      </c>
      <c r="R635" t="b">
        <f>IF(     ISNUMBER(Table1334[[#This Row],[Strike]]),RTD("tos.rtd", , "ASK", "."&amp;Table1334[[#This Row],[Ticker]]&amp;Table1334[[#This Row],[Expiry]]&amp;""&amp;"P"&amp;Table1334[[#This Row],[Strike]]))</f>
        <v>0</v>
      </c>
      <c r="S635" s="17"/>
      <c r="T635" t="b">
        <f>IF(     ISNUMBER(Table1334[[#This Row],[Strike]]),RTD("tos.rtd", , "OPEN_INT", "."&amp;Table1334[[#This Row],[Ticker]]&amp;Table1334[[#This Row],[Expiry]]&amp;""&amp;"P"&amp;Table1334[[#This Row],[Strike]]))</f>
        <v>0</v>
      </c>
      <c r="U63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5" t="b">
        <f>IF(     ISNUMBER(Table1334[[#This Row],[Strike]]),RTD("tos.rtd", , "DELTA", "."&amp;Table1334[[#This Row],[Ticker]]&amp;Table1334[[#This Row],[Expiry]]&amp;""&amp;"P"&amp;Table1334[[#This Row],[Strike]]))</f>
        <v>0</v>
      </c>
      <c r="Y635" s="19">
        <f>-42* IF($M$1="NDX", 10, IF(OR($M$1="SPX", $M$1="RUT"), 2, 1))</f>
        <v>-84</v>
      </c>
      <c r="Z635">
        <f ca="1">IFERROR(Table1334[[#This Row],[call gamma]]*(Table1334[[#This Row],[Open.Int]])*$A$4^2,0)</f>
        <v>0</v>
      </c>
      <c r="AA635">
        <f ca="1">IFERROR(((Table1334[[#This Row],[Open.Int8]])*Table1334[[#This Row],[Put gamma]])*-1*$A$4^2,0)</f>
        <v>0</v>
      </c>
      <c r="AB635">
        <f ca="1">(Table1334[[#This Row],[Call Gex]]+Table1334[[#This Row],[Put Gex]])</f>
        <v>0</v>
      </c>
      <c r="AC635">
        <f ca="1">Table1334[[#This Row],[put delta adj]]+Table1334[[#This Row],[call delta adj]]</f>
        <v>0</v>
      </c>
      <c r="AD635">
        <f ca="1">Table1334[[#This Row],[Put Gex]]*Table1334[[#This Row],[DeltaP]]*-1</f>
        <v>0</v>
      </c>
      <c r="AE635">
        <f ca="1">Table1334[[#This Row],[Call Gex]]*Table1334[[#This Row],[DeltaC]]</f>
        <v>0</v>
      </c>
      <c r="AF635">
        <f>IF(Table1334[[#This Row],[DeltaC]]-ABS(Table1334[[#This Row],[DeltaP]])="0","0.01",Table1334[[#This Row],[DeltaC]]-ABS(Table1334[[#This Row],[DeltaP]]))</f>
        <v>0</v>
      </c>
      <c r="AG63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5" t="e">
        <f ca="1">(EXP(-(AG635^2)/2)/SQRT(2*PI())*EXP(0*SQRT(Table1334[[#This Row],[T]]))/$A$4*18%*SQRT(SQRT(Table1334[[#This Row],[T]])))</f>
        <v>#DIV/0!</v>
      </c>
      <c r="AJ635" t="e">
        <f ca="1">(EXP(-(AH635^2)/2)/SQRT(2*PI())*EXP(0*SQRT(Table1334[[#This Row],[T]]))/$A$4*18%*SQRT(SQRT(Table1334[[#This Row],[T]])))</f>
        <v>#DIV/0!</v>
      </c>
      <c r="AK635" t="e">
        <f ca="1">Table1334[[#This Row],[Call D1]]-Table1334[[#This Row],[IV Calc C]]*SQRT(Table1334[[#This Row],[T]])</f>
        <v>#DIV/0!</v>
      </c>
      <c r="AL635" t="e">
        <f ca="1">Table1334[[#This Row],[Put D1]]-Table1334[[#This Row],[IV Calc P]]*SQRT(Table1334[[#This Row],[T]])</f>
        <v>#DIV/0!</v>
      </c>
      <c r="AM635" t="e">
        <f ca="1">EXP(-0.5*Table1334[[#This Row],[Call D1]]^2)/SQRT(2*PI())</f>
        <v>#DIV/0!</v>
      </c>
      <c r="AN635" t="e">
        <f ca="1">EXP(-0.5*Table1334[[#This Row],[Put D1]]^2)/SQRT(2*PI())</f>
        <v>#DIV/0!</v>
      </c>
      <c r="AO63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5">
        <f ca="1">((Table1334[[#This Row],[call vanna]]+Table1334[[#This Row],[put vanna]])*$A$4)</f>
        <v>0</v>
      </c>
      <c r="AR63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5" s="9" t="str" cm="1">
        <f t="array" ref="AT635">_xlfn.IFS(     $M$1="SPX","SPXW",     $M$1="RUT","RUTW",  $M$1="NDX","NDXP",   TRUE,$M$1 )</f>
        <v>SPXW</v>
      </c>
      <c r="AU635" s="2">
        <f t="shared" si="67"/>
        <v>6915</v>
      </c>
      <c r="AV635" t="str">
        <f t="shared" si="68"/>
        <v>000100</v>
      </c>
      <c r="AY63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5">
        <f>((Table1334[[#This Row],[High C]]+Table1334[[#This Row],[Low C]])/2)*Table1334[[#This Row],[gammac]]*Table1334[[#This Row],[Volume]]</f>
        <v>0</v>
      </c>
      <c r="BD635">
        <f>((Table1334[[#This Row],[High P]]+Table1334[[#This Row],[Low P]])/2)*Table1334[[#This Row],[gammap]]*Table1334[[#This Row],[Volume9]]*-1</f>
        <v>0</v>
      </c>
      <c r="BE635">
        <f>(Table1334[[#This Row],[SgammaC]]+Table1334[[#This Row],[SgammaP]])*$A$4*-100</f>
        <v>0</v>
      </c>
      <c r="BF635">
        <f>Table1334[[#This Row],[DEXc]]+Table1334[[#This Row],[DEXp]]</f>
        <v>0</v>
      </c>
      <c r="BG635">
        <f>IFERROR(Table1334[[#This Row],[DeltaC]]*Table1334[[#This Row],[Open.Int]]*$A$4,0)</f>
        <v>0</v>
      </c>
      <c r="BH635">
        <f>IFERROR(Table1334[[#This Row],[DeltaP]]*Table1334[[#This Row],[Open.Int8]]*$A$4,0)</f>
        <v>0</v>
      </c>
      <c r="BI63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5">
        <f ca="1">Table1334[[#This Row],[charmc]]+Table1334[[#This Row],[charmp]]</f>
        <v>0</v>
      </c>
      <c r="BL63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5" s="78">
        <f ca="1">Table1334[[#This Row],[call helper]]+Table1334[[#This Row],[put helper]]</f>
        <v>0</v>
      </c>
      <c r="BP635" t="str">
        <f>RTD("tos.rtd", , "STRIKE", "."&amp;Table1334[[#This Row],[Ticker]]&amp;Table1334[[#This Row],[Expiry]]&amp;""&amp;"C"&amp;Table1334[[#This Row],[Spot]]+Table1334[[#This Row],[step]])</f>
        <v>N/A</v>
      </c>
    </row>
    <row r="636" spans="1:68" x14ac:dyDescent="0.25">
      <c r="A636" s="14">
        <f t="shared" ca="1" si="64"/>
        <v>-126.14810350076104</v>
      </c>
      <c r="C636" s="17"/>
      <c r="D636" t="str">
        <f>RTD("tos.rtd", , "OPEN_INT", "."&amp;Table1334[[#This Row],[Ticker]]&amp;Table1334[[#This Row],[Expiry]]&amp;""&amp;"C"&amp;Table1334[[#This Row],[Spot]]+Table1334[[#This Row],[step]])</f>
        <v>N/A</v>
      </c>
      <c r="E63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6" t="b">
        <f>IF(     ISNUMBER(Table1334[[#This Row],[Strike]]),RTD("tos.rtd", , "DELTA", "."&amp;Table1334[[#This Row],[Ticker]]&amp;Table1334[[#This Row],[Expiry]]&amp;""&amp;"C"&amp;Table1334[[#This Row],[Strike]]))</f>
        <v>0</v>
      </c>
      <c r="H636" s="17" cm="1">
        <f t="array" aca="1" ref="H636" ca="1">IndividualLegIVCore($A$4, Table1334[[#This Row],[Strike]], 0.0411, Table1334[[#This Row],[T]], ((Table1334[[#This Row],[BIDC]]+Table1334[[#This Row],[ASKC]])/2), TRUE)</f>
        <v>0.01</v>
      </c>
      <c r="I636" t="b">
        <f>IF(     ISNUMBER(Table1334[[#This Row],[Strike]]),RTD("tos.rtd", , "BID", "."&amp;Table1334[[#This Row],[Ticker]]&amp;Table1334[[#This Row],[Expiry]]&amp;""&amp;"C"&amp;Table1334[[#This Row],[Strike]]))</f>
        <v>0</v>
      </c>
      <c r="J636" t="b">
        <f>IF(     ISNUMBER(Table1334[[#This Row],[Strike]]),RTD("tos.rtd", , "ASK", "."&amp;Table1334[[#This Row],[Ticker]]&amp;Table1334[[#This Row],[Expiry]]&amp;""&amp;"C"&amp;Table1334[[#This Row],[Strike]]))</f>
        <v>0</v>
      </c>
      <c r="K636" s="17"/>
      <c r="M636" s="1">
        <f t="shared" si="65"/>
        <v>0</v>
      </c>
      <c r="N636" t="b">
        <f t="shared" si="66"/>
        <v>0</v>
      </c>
      <c r="P636" s="17" cm="1">
        <f t="array" aca="1" ref="P636" ca="1">IndividualLegIVCore($A$4, Table1334[[#This Row],[Strike]], 0.0411, Table1334[[#This Row],[T]], ((Table1334[[#This Row],[BIDP]]+Table1334[[#This Row],[ASKP]])/2), FALSE)</f>
        <v>0.01</v>
      </c>
      <c r="Q636" t="b">
        <f>IF(     ISNUMBER(Table1334[[#This Row],[Strike]]),RTD("tos.rtd", , "BID", "."&amp;Table1334[[#This Row],[Ticker]]&amp;Table1334[[#This Row],[Expiry]]&amp;""&amp;"P"&amp;Table1334[[#This Row],[Strike]]))</f>
        <v>0</v>
      </c>
      <c r="R636" t="b">
        <f>IF(     ISNUMBER(Table1334[[#This Row],[Strike]]),RTD("tos.rtd", , "ASK", "."&amp;Table1334[[#This Row],[Ticker]]&amp;Table1334[[#This Row],[Expiry]]&amp;""&amp;"P"&amp;Table1334[[#This Row],[Strike]]))</f>
        <v>0</v>
      </c>
      <c r="S636" s="17"/>
      <c r="T636" t="b">
        <f>IF(     ISNUMBER(Table1334[[#This Row],[Strike]]),RTD("tos.rtd", , "OPEN_INT", "."&amp;Table1334[[#This Row],[Ticker]]&amp;Table1334[[#This Row],[Expiry]]&amp;""&amp;"P"&amp;Table1334[[#This Row],[Strike]]))</f>
        <v>0</v>
      </c>
      <c r="U63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6" t="b">
        <f>IF(     ISNUMBER(Table1334[[#This Row],[Strike]]),RTD("tos.rtd", , "DELTA", "."&amp;Table1334[[#This Row],[Ticker]]&amp;Table1334[[#This Row],[Expiry]]&amp;""&amp;"P"&amp;Table1334[[#This Row],[Strike]]))</f>
        <v>0</v>
      </c>
      <c r="Y636" s="19">
        <f>-41.5* IF($M$1="NDX", 10, IF(OR($M$1="SPX", $M$1="RUT"), 2, 1))</f>
        <v>-83</v>
      </c>
      <c r="Z636">
        <f ca="1">IFERROR(Table1334[[#This Row],[call gamma]]*(Table1334[[#This Row],[Open.Int]])*$A$4^2,0)</f>
        <v>0</v>
      </c>
      <c r="AA636">
        <f ca="1">IFERROR(((Table1334[[#This Row],[Open.Int8]])*Table1334[[#This Row],[Put gamma]])*-1*$A$4^2,0)</f>
        <v>0</v>
      </c>
      <c r="AB636">
        <f ca="1">(Table1334[[#This Row],[Call Gex]]+Table1334[[#This Row],[Put Gex]])</f>
        <v>0</v>
      </c>
      <c r="AC636">
        <f ca="1">Table1334[[#This Row],[put delta adj]]+Table1334[[#This Row],[call delta adj]]</f>
        <v>0</v>
      </c>
      <c r="AD636">
        <f ca="1">Table1334[[#This Row],[Put Gex]]*Table1334[[#This Row],[DeltaP]]*-1</f>
        <v>0</v>
      </c>
      <c r="AE636">
        <f ca="1">Table1334[[#This Row],[Call Gex]]*Table1334[[#This Row],[DeltaC]]</f>
        <v>0</v>
      </c>
      <c r="AF636">
        <f>IF(Table1334[[#This Row],[DeltaC]]-ABS(Table1334[[#This Row],[DeltaP]])="0","0.01",Table1334[[#This Row],[DeltaC]]-ABS(Table1334[[#This Row],[DeltaP]]))</f>
        <v>0</v>
      </c>
      <c r="AG63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6" t="e">
        <f ca="1">(EXP(-(AG636^2)/2)/SQRT(2*PI())*EXP(0*SQRT(Table1334[[#This Row],[T]]))/$A$4*18%*SQRT(SQRT(Table1334[[#This Row],[T]])))</f>
        <v>#DIV/0!</v>
      </c>
      <c r="AJ636" t="e">
        <f ca="1">(EXP(-(AH636^2)/2)/SQRT(2*PI())*EXP(0*SQRT(Table1334[[#This Row],[T]]))/$A$4*18%*SQRT(SQRT(Table1334[[#This Row],[T]])))</f>
        <v>#DIV/0!</v>
      </c>
      <c r="AK636" t="e">
        <f ca="1">Table1334[[#This Row],[Call D1]]-Table1334[[#This Row],[IV Calc C]]*SQRT(Table1334[[#This Row],[T]])</f>
        <v>#DIV/0!</v>
      </c>
      <c r="AL636" t="e">
        <f ca="1">Table1334[[#This Row],[Put D1]]-Table1334[[#This Row],[IV Calc P]]*SQRT(Table1334[[#This Row],[T]])</f>
        <v>#DIV/0!</v>
      </c>
      <c r="AM636" t="e">
        <f ca="1">EXP(-0.5*Table1334[[#This Row],[Call D1]]^2)/SQRT(2*PI())</f>
        <v>#DIV/0!</v>
      </c>
      <c r="AN636" t="e">
        <f ca="1">EXP(-0.5*Table1334[[#This Row],[Put D1]]^2)/SQRT(2*PI())</f>
        <v>#DIV/0!</v>
      </c>
      <c r="AO63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6">
        <f ca="1">((Table1334[[#This Row],[call vanna]]+Table1334[[#This Row],[put vanna]])*$A$4)</f>
        <v>0</v>
      </c>
      <c r="AR63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6" s="9" t="str" cm="1">
        <f t="array" ref="AT636">_xlfn.IFS(     $M$1="SPX","SPXW",     $M$1="RUT","RUTW",  $M$1="NDX","NDXP",   TRUE,$M$1 )</f>
        <v>SPXW</v>
      </c>
      <c r="AU636" s="2">
        <f t="shared" si="67"/>
        <v>6915</v>
      </c>
      <c r="AV636" t="str">
        <f t="shared" si="68"/>
        <v>000100</v>
      </c>
      <c r="AY63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6">
        <f>((Table1334[[#This Row],[High C]]+Table1334[[#This Row],[Low C]])/2)*Table1334[[#This Row],[gammac]]*Table1334[[#This Row],[Volume]]</f>
        <v>0</v>
      </c>
      <c r="BD636">
        <f>((Table1334[[#This Row],[High P]]+Table1334[[#This Row],[Low P]])/2)*Table1334[[#This Row],[gammap]]*Table1334[[#This Row],[Volume9]]*-1</f>
        <v>0</v>
      </c>
      <c r="BE636">
        <f>(Table1334[[#This Row],[SgammaC]]+Table1334[[#This Row],[SgammaP]])*$A$4*-100</f>
        <v>0</v>
      </c>
      <c r="BF636">
        <f>Table1334[[#This Row],[DEXc]]+Table1334[[#This Row],[DEXp]]</f>
        <v>0</v>
      </c>
      <c r="BG636">
        <f>IFERROR(Table1334[[#This Row],[DeltaC]]*Table1334[[#This Row],[Open.Int]]*$A$4,0)</f>
        <v>0</v>
      </c>
      <c r="BH636">
        <f>IFERROR(Table1334[[#This Row],[DeltaP]]*Table1334[[#This Row],[Open.Int8]]*$A$4,0)</f>
        <v>0</v>
      </c>
      <c r="BI63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6">
        <f ca="1">Table1334[[#This Row],[charmc]]+Table1334[[#This Row],[charmp]]</f>
        <v>0</v>
      </c>
      <c r="BL63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6" s="78">
        <f ca="1">Table1334[[#This Row],[call helper]]+Table1334[[#This Row],[put helper]]</f>
        <v>0</v>
      </c>
      <c r="BP636" t="str">
        <f>RTD("tos.rtd", , "STRIKE", "."&amp;Table1334[[#This Row],[Ticker]]&amp;Table1334[[#This Row],[Expiry]]&amp;""&amp;"C"&amp;Table1334[[#This Row],[Spot]]+Table1334[[#This Row],[step]])</f>
        <v>N/A</v>
      </c>
    </row>
    <row r="637" spans="1:68" x14ac:dyDescent="0.25">
      <c r="A637" s="14">
        <f t="shared" ca="1" si="64"/>
        <v>-126.14810350076104</v>
      </c>
      <c r="C637" s="17"/>
      <c r="D637" t="str">
        <f>RTD("tos.rtd", , "OPEN_INT", "."&amp;Table1334[[#This Row],[Ticker]]&amp;Table1334[[#This Row],[Expiry]]&amp;""&amp;"C"&amp;Table1334[[#This Row],[Spot]]+Table1334[[#This Row],[step]])</f>
        <v>N/A</v>
      </c>
      <c r="E63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7" t="b">
        <f>IF(     ISNUMBER(Table1334[[#This Row],[Strike]]),RTD("tos.rtd", , "DELTA", "."&amp;Table1334[[#This Row],[Ticker]]&amp;Table1334[[#This Row],[Expiry]]&amp;""&amp;"C"&amp;Table1334[[#This Row],[Strike]]))</f>
        <v>0</v>
      </c>
      <c r="H637" s="17" cm="1">
        <f t="array" aca="1" ref="H637" ca="1">IndividualLegIVCore($A$4, Table1334[[#This Row],[Strike]], 0.0411, Table1334[[#This Row],[T]], ((Table1334[[#This Row],[BIDC]]+Table1334[[#This Row],[ASKC]])/2), TRUE)</f>
        <v>0.01</v>
      </c>
      <c r="I637" t="b">
        <f>IF(     ISNUMBER(Table1334[[#This Row],[Strike]]),RTD("tos.rtd", , "BID", "."&amp;Table1334[[#This Row],[Ticker]]&amp;Table1334[[#This Row],[Expiry]]&amp;""&amp;"C"&amp;Table1334[[#This Row],[Strike]]))</f>
        <v>0</v>
      </c>
      <c r="J637" t="b">
        <f>IF(     ISNUMBER(Table1334[[#This Row],[Strike]]),RTD("tos.rtd", , "ASK", "."&amp;Table1334[[#This Row],[Ticker]]&amp;Table1334[[#This Row],[Expiry]]&amp;""&amp;"C"&amp;Table1334[[#This Row],[Strike]]))</f>
        <v>0</v>
      </c>
      <c r="K637" s="17"/>
      <c r="M637" s="1">
        <f t="shared" si="65"/>
        <v>0</v>
      </c>
      <c r="N637" t="b">
        <f t="shared" si="66"/>
        <v>0</v>
      </c>
      <c r="P637" s="17" cm="1">
        <f t="array" aca="1" ref="P637" ca="1">IndividualLegIVCore($A$4, Table1334[[#This Row],[Strike]], 0.0411, Table1334[[#This Row],[T]], ((Table1334[[#This Row],[BIDP]]+Table1334[[#This Row],[ASKP]])/2), FALSE)</f>
        <v>0.01</v>
      </c>
      <c r="Q637" t="b">
        <f>IF(     ISNUMBER(Table1334[[#This Row],[Strike]]),RTD("tos.rtd", , "BID", "."&amp;Table1334[[#This Row],[Ticker]]&amp;Table1334[[#This Row],[Expiry]]&amp;""&amp;"P"&amp;Table1334[[#This Row],[Strike]]))</f>
        <v>0</v>
      </c>
      <c r="R637" t="b">
        <f>IF(     ISNUMBER(Table1334[[#This Row],[Strike]]),RTD("tos.rtd", , "ASK", "."&amp;Table1334[[#This Row],[Ticker]]&amp;Table1334[[#This Row],[Expiry]]&amp;""&amp;"P"&amp;Table1334[[#This Row],[Strike]]))</f>
        <v>0</v>
      </c>
      <c r="S637" s="17"/>
      <c r="T637" t="b">
        <f>IF(     ISNUMBER(Table1334[[#This Row],[Strike]]),RTD("tos.rtd", , "OPEN_INT", "."&amp;Table1334[[#This Row],[Ticker]]&amp;Table1334[[#This Row],[Expiry]]&amp;""&amp;"P"&amp;Table1334[[#This Row],[Strike]]))</f>
        <v>0</v>
      </c>
      <c r="U63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7" t="b">
        <f>IF(     ISNUMBER(Table1334[[#This Row],[Strike]]),RTD("tos.rtd", , "DELTA", "."&amp;Table1334[[#This Row],[Ticker]]&amp;Table1334[[#This Row],[Expiry]]&amp;""&amp;"P"&amp;Table1334[[#This Row],[Strike]]))</f>
        <v>0</v>
      </c>
      <c r="Y637" s="19">
        <f>-41* IF($M$1="NDX", 10, IF(OR($M$1="SPX", $M$1="RUT"), 2, 1))</f>
        <v>-82</v>
      </c>
      <c r="Z637">
        <f ca="1">IFERROR(Table1334[[#This Row],[call gamma]]*(Table1334[[#This Row],[Open.Int]])*$A$4^2,0)</f>
        <v>0</v>
      </c>
      <c r="AA637">
        <f ca="1">IFERROR(((Table1334[[#This Row],[Open.Int8]])*Table1334[[#This Row],[Put gamma]])*-1*$A$4^2,0)</f>
        <v>0</v>
      </c>
      <c r="AB637">
        <f ca="1">(Table1334[[#This Row],[Call Gex]]+Table1334[[#This Row],[Put Gex]])</f>
        <v>0</v>
      </c>
      <c r="AC637">
        <f ca="1">Table1334[[#This Row],[put delta adj]]+Table1334[[#This Row],[call delta adj]]</f>
        <v>0</v>
      </c>
      <c r="AD637">
        <f ca="1">Table1334[[#This Row],[Put Gex]]*Table1334[[#This Row],[DeltaP]]*-1</f>
        <v>0</v>
      </c>
      <c r="AE637">
        <f ca="1">Table1334[[#This Row],[Call Gex]]*Table1334[[#This Row],[DeltaC]]</f>
        <v>0</v>
      </c>
      <c r="AF637">
        <f>IF(Table1334[[#This Row],[DeltaC]]-ABS(Table1334[[#This Row],[DeltaP]])="0","0.01",Table1334[[#This Row],[DeltaC]]-ABS(Table1334[[#This Row],[DeltaP]]))</f>
        <v>0</v>
      </c>
      <c r="AG63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7" t="e">
        <f ca="1">(EXP(-(AG637^2)/2)/SQRT(2*PI())*EXP(0*SQRT(Table1334[[#This Row],[T]]))/$A$4*18%*SQRT(SQRT(Table1334[[#This Row],[T]])))</f>
        <v>#DIV/0!</v>
      </c>
      <c r="AJ637" t="e">
        <f ca="1">(EXP(-(AH637^2)/2)/SQRT(2*PI())*EXP(0*SQRT(Table1334[[#This Row],[T]]))/$A$4*18%*SQRT(SQRT(Table1334[[#This Row],[T]])))</f>
        <v>#DIV/0!</v>
      </c>
      <c r="AK637" t="e">
        <f ca="1">Table1334[[#This Row],[Call D1]]-Table1334[[#This Row],[IV Calc C]]*SQRT(Table1334[[#This Row],[T]])</f>
        <v>#DIV/0!</v>
      </c>
      <c r="AL637" t="e">
        <f ca="1">Table1334[[#This Row],[Put D1]]-Table1334[[#This Row],[IV Calc P]]*SQRT(Table1334[[#This Row],[T]])</f>
        <v>#DIV/0!</v>
      </c>
      <c r="AM637" t="e">
        <f ca="1">EXP(-0.5*Table1334[[#This Row],[Call D1]]^2)/SQRT(2*PI())</f>
        <v>#DIV/0!</v>
      </c>
      <c r="AN637" t="e">
        <f ca="1">EXP(-0.5*Table1334[[#This Row],[Put D1]]^2)/SQRT(2*PI())</f>
        <v>#DIV/0!</v>
      </c>
      <c r="AO63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7">
        <f ca="1">((Table1334[[#This Row],[call vanna]]+Table1334[[#This Row],[put vanna]])*$A$4)</f>
        <v>0</v>
      </c>
      <c r="AR63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7" s="9" t="str" cm="1">
        <f t="array" ref="AT637">_xlfn.IFS(     $M$1="SPX","SPXW",     $M$1="RUT","RUTW",  $M$1="NDX","NDXP",   TRUE,$M$1 )</f>
        <v>SPXW</v>
      </c>
      <c r="AU637" s="2">
        <f t="shared" si="67"/>
        <v>6915</v>
      </c>
      <c r="AV637" t="str">
        <f t="shared" si="68"/>
        <v>000100</v>
      </c>
      <c r="AY63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7">
        <f>((Table1334[[#This Row],[High C]]+Table1334[[#This Row],[Low C]])/2)*Table1334[[#This Row],[gammac]]*Table1334[[#This Row],[Volume]]</f>
        <v>0</v>
      </c>
      <c r="BD637">
        <f>((Table1334[[#This Row],[High P]]+Table1334[[#This Row],[Low P]])/2)*Table1334[[#This Row],[gammap]]*Table1334[[#This Row],[Volume9]]*-1</f>
        <v>0</v>
      </c>
      <c r="BE637">
        <f>(Table1334[[#This Row],[SgammaC]]+Table1334[[#This Row],[SgammaP]])*$A$4*-100</f>
        <v>0</v>
      </c>
      <c r="BF637">
        <f>Table1334[[#This Row],[DEXc]]+Table1334[[#This Row],[DEXp]]</f>
        <v>0</v>
      </c>
      <c r="BG637">
        <f>IFERROR(Table1334[[#This Row],[DeltaC]]*Table1334[[#This Row],[Open.Int]]*$A$4,0)</f>
        <v>0</v>
      </c>
      <c r="BH637">
        <f>IFERROR(Table1334[[#This Row],[DeltaP]]*Table1334[[#This Row],[Open.Int8]]*$A$4,0)</f>
        <v>0</v>
      </c>
      <c r="BI63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7">
        <f ca="1">Table1334[[#This Row],[charmc]]+Table1334[[#This Row],[charmp]]</f>
        <v>0</v>
      </c>
      <c r="BL63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7" s="78">
        <f ca="1">Table1334[[#This Row],[call helper]]+Table1334[[#This Row],[put helper]]</f>
        <v>0</v>
      </c>
      <c r="BP637" t="str">
        <f>RTD("tos.rtd", , "STRIKE", "."&amp;Table1334[[#This Row],[Ticker]]&amp;Table1334[[#This Row],[Expiry]]&amp;""&amp;"C"&amp;Table1334[[#This Row],[Spot]]+Table1334[[#This Row],[step]])</f>
        <v>N/A</v>
      </c>
    </row>
    <row r="638" spans="1:68" x14ac:dyDescent="0.25">
      <c r="A638" s="14">
        <f t="shared" ca="1" si="64"/>
        <v>-126.14810350076104</v>
      </c>
      <c r="C638" s="17"/>
      <c r="D638" t="str">
        <f>RTD("tos.rtd", , "OPEN_INT", "."&amp;Table1334[[#This Row],[Ticker]]&amp;Table1334[[#This Row],[Expiry]]&amp;""&amp;"C"&amp;Table1334[[#This Row],[Spot]]+Table1334[[#This Row],[step]])</f>
        <v>N/A</v>
      </c>
      <c r="E63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8" t="b">
        <f>IF(     ISNUMBER(Table1334[[#This Row],[Strike]]),RTD("tos.rtd", , "DELTA", "."&amp;Table1334[[#This Row],[Ticker]]&amp;Table1334[[#This Row],[Expiry]]&amp;""&amp;"C"&amp;Table1334[[#This Row],[Strike]]))</f>
        <v>0</v>
      </c>
      <c r="H638" s="17" cm="1">
        <f t="array" aca="1" ref="H638" ca="1">IndividualLegIVCore($A$4, Table1334[[#This Row],[Strike]], 0.0411, Table1334[[#This Row],[T]], ((Table1334[[#This Row],[BIDC]]+Table1334[[#This Row],[ASKC]])/2), TRUE)</f>
        <v>0.01</v>
      </c>
      <c r="I638" t="b">
        <f>IF(     ISNUMBER(Table1334[[#This Row],[Strike]]),RTD("tos.rtd", , "BID", "."&amp;Table1334[[#This Row],[Ticker]]&amp;Table1334[[#This Row],[Expiry]]&amp;""&amp;"C"&amp;Table1334[[#This Row],[Strike]]))</f>
        <v>0</v>
      </c>
      <c r="J638" t="b">
        <f>IF(     ISNUMBER(Table1334[[#This Row],[Strike]]),RTD("tos.rtd", , "ASK", "."&amp;Table1334[[#This Row],[Ticker]]&amp;Table1334[[#This Row],[Expiry]]&amp;""&amp;"C"&amp;Table1334[[#This Row],[Strike]]))</f>
        <v>0</v>
      </c>
      <c r="K638" s="17"/>
      <c r="M638" s="1">
        <f t="shared" si="65"/>
        <v>0</v>
      </c>
      <c r="N638" t="b">
        <f t="shared" si="66"/>
        <v>0</v>
      </c>
      <c r="P638" s="17" cm="1">
        <f t="array" aca="1" ref="P638" ca="1">IndividualLegIVCore($A$4, Table1334[[#This Row],[Strike]], 0.0411, Table1334[[#This Row],[T]], ((Table1334[[#This Row],[BIDP]]+Table1334[[#This Row],[ASKP]])/2), FALSE)</f>
        <v>0.01</v>
      </c>
      <c r="Q638" t="b">
        <f>IF(     ISNUMBER(Table1334[[#This Row],[Strike]]),RTD("tos.rtd", , "BID", "."&amp;Table1334[[#This Row],[Ticker]]&amp;Table1334[[#This Row],[Expiry]]&amp;""&amp;"P"&amp;Table1334[[#This Row],[Strike]]))</f>
        <v>0</v>
      </c>
      <c r="R638" t="b">
        <f>IF(     ISNUMBER(Table1334[[#This Row],[Strike]]),RTD("tos.rtd", , "ASK", "."&amp;Table1334[[#This Row],[Ticker]]&amp;Table1334[[#This Row],[Expiry]]&amp;""&amp;"P"&amp;Table1334[[#This Row],[Strike]]))</f>
        <v>0</v>
      </c>
      <c r="S638" s="17"/>
      <c r="T638" t="b">
        <f>IF(     ISNUMBER(Table1334[[#This Row],[Strike]]),RTD("tos.rtd", , "OPEN_INT", "."&amp;Table1334[[#This Row],[Ticker]]&amp;Table1334[[#This Row],[Expiry]]&amp;""&amp;"P"&amp;Table1334[[#This Row],[Strike]]))</f>
        <v>0</v>
      </c>
      <c r="U63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8" t="b">
        <f>IF(     ISNUMBER(Table1334[[#This Row],[Strike]]),RTD("tos.rtd", , "DELTA", "."&amp;Table1334[[#This Row],[Ticker]]&amp;Table1334[[#This Row],[Expiry]]&amp;""&amp;"P"&amp;Table1334[[#This Row],[Strike]]))</f>
        <v>0</v>
      </c>
      <c r="Y638" s="19">
        <f>-40.5* IF($M$1="NDX", 10, IF(OR($M$1="SPX", $M$1="RUT"), 2, 1))</f>
        <v>-81</v>
      </c>
      <c r="Z638">
        <f ca="1">IFERROR(Table1334[[#This Row],[call gamma]]*(Table1334[[#This Row],[Open.Int]])*$A$4^2,0)</f>
        <v>0</v>
      </c>
      <c r="AA638">
        <f ca="1">IFERROR(((Table1334[[#This Row],[Open.Int8]])*Table1334[[#This Row],[Put gamma]])*-1*$A$4^2,0)</f>
        <v>0</v>
      </c>
      <c r="AB638">
        <f ca="1">(Table1334[[#This Row],[Call Gex]]+Table1334[[#This Row],[Put Gex]])</f>
        <v>0</v>
      </c>
      <c r="AC638">
        <f ca="1">Table1334[[#This Row],[put delta adj]]+Table1334[[#This Row],[call delta adj]]</f>
        <v>0</v>
      </c>
      <c r="AD638">
        <f ca="1">Table1334[[#This Row],[Put Gex]]*Table1334[[#This Row],[DeltaP]]*-1</f>
        <v>0</v>
      </c>
      <c r="AE638">
        <f ca="1">Table1334[[#This Row],[Call Gex]]*Table1334[[#This Row],[DeltaC]]</f>
        <v>0</v>
      </c>
      <c r="AF638">
        <f>IF(Table1334[[#This Row],[DeltaC]]-ABS(Table1334[[#This Row],[DeltaP]])="0","0.01",Table1334[[#This Row],[DeltaC]]-ABS(Table1334[[#This Row],[DeltaP]]))</f>
        <v>0</v>
      </c>
      <c r="AG63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8" t="e">
        <f ca="1">(EXP(-(AG638^2)/2)/SQRT(2*PI())*EXP(0*SQRT(Table1334[[#This Row],[T]]))/$A$4*18%*SQRT(SQRT(Table1334[[#This Row],[T]])))</f>
        <v>#DIV/0!</v>
      </c>
      <c r="AJ638" t="e">
        <f ca="1">(EXP(-(AH638^2)/2)/SQRT(2*PI())*EXP(0*SQRT(Table1334[[#This Row],[T]]))/$A$4*18%*SQRT(SQRT(Table1334[[#This Row],[T]])))</f>
        <v>#DIV/0!</v>
      </c>
      <c r="AK638" t="e">
        <f ca="1">Table1334[[#This Row],[Call D1]]-Table1334[[#This Row],[IV Calc C]]*SQRT(Table1334[[#This Row],[T]])</f>
        <v>#DIV/0!</v>
      </c>
      <c r="AL638" t="e">
        <f ca="1">Table1334[[#This Row],[Put D1]]-Table1334[[#This Row],[IV Calc P]]*SQRT(Table1334[[#This Row],[T]])</f>
        <v>#DIV/0!</v>
      </c>
      <c r="AM638" t="e">
        <f ca="1">EXP(-0.5*Table1334[[#This Row],[Call D1]]^2)/SQRT(2*PI())</f>
        <v>#DIV/0!</v>
      </c>
      <c r="AN638" t="e">
        <f ca="1">EXP(-0.5*Table1334[[#This Row],[Put D1]]^2)/SQRT(2*PI())</f>
        <v>#DIV/0!</v>
      </c>
      <c r="AO63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8">
        <f ca="1">((Table1334[[#This Row],[call vanna]]+Table1334[[#This Row],[put vanna]])*$A$4)</f>
        <v>0</v>
      </c>
      <c r="AR63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8" s="9" t="str" cm="1">
        <f t="array" ref="AT638">_xlfn.IFS(     $M$1="SPX","SPXW",     $M$1="RUT","RUTW",  $M$1="NDX","NDXP",   TRUE,$M$1 )</f>
        <v>SPXW</v>
      </c>
      <c r="AU638" s="2">
        <f t="shared" si="67"/>
        <v>6915</v>
      </c>
      <c r="AV638" t="str">
        <f t="shared" si="68"/>
        <v>000100</v>
      </c>
      <c r="AY63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8">
        <f>((Table1334[[#This Row],[High C]]+Table1334[[#This Row],[Low C]])/2)*Table1334[[#This Row],[gammac]]*Table1334[[#This Row],[Volume]]</f>
        <v>0</v>
      </c>
      <c r="BD638">
        <f>((Table1334[[#This Row],[High P]]+Table1334[[#This Row],[Low P]])/2)*Table1334[[#This Row],[gammap]]*Table1334[[#This Row],[Volume9]]*-1</f>
        <v>0</v>
      </c>
      <c r="BE638">
        <f>(Table1334[[#This Row],[SgammaC]]+Table1334[[#This Row],[SgammaP]])*$A$4*-100</f>
        <v>0</v>
      </c>
      <c r="BF638">
        <f>Table1334[[#This Row],[DEXc]]+Table1334[[#This Row],[DEXp]]</f>
        <v>0</v>
      </c>
      <c r="BG638">
        <f>IFERROR(Table1334[[#This Row],[DeltaC]]*Table1334[[#This Row],[Open.Int]]*$A$4,0)</f>
        <v>0</v>
      </c>
      <c r="BH638">
        <f>IFERROR(Table1334[[#This Row],[DeltaP]]*Table1334[[#This Row],[Open.Int8]]*$A$4,0)</f>
        <v>0</v>
      </c>
      <c r="BI63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8">
        <f ca="1">Table1334[[#This Row],[charmc]]+Table1334[[#This Row],[charmp]]</f>
        <v>0</v>
      </c>
      <c r="BL63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8" s="78">
        <f ca="1">Table1334[[#This Row],[call helper]]+Table1334[[#This Row],[put helper]]</f>
        <v>0</v>
      </c>
      <c r="BP638" t="str">
        <f>RTD("tos.rtd", , "STRIKE", "."&amp;Table1334[[#This Row],[Ticker]]&amp;Table1334[[#This Row],[Expiry]]&amp;""&amp;"C"&amp;Table1334[[#This Row],[Spot]]+Table1334[[#This Row],[step]])</f>
        <v>N/A</v>
      </c>
    </row>
    <row r="639" spans="1:68" x14ac:dyDescent="0.25">
      <c r="A639" s="14">
        <f t="shared" ca="1" si="64"/>
        <v>-126.14810350076104</v>
      </c>
      <c r="C639" s="17"/>
      <c r="D639" t="str">
        <f>RTD("tos.rtd", , "OPEN_INT", "."&amp;Table1334[[#This Row],[Ticker]]&amp;Table1334[[#This Row],[Expiry]]&amp;""&amp;"C"&amp;Table1334[[#This Row],[Spot]]+Table1334[[#This Row],[step]])</f>
        <v>N/A</v>
      </c>
      <c r="E63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9" t="b">
        <f>IF(     ISNUMBER(Table1334[[#This Row],[Strike]]),RTD("tos.rtd", , "DELTA", "."&amp;Table1334[[#This Row],[Ticker]]&amp;Table1334[[#This Row],[Expiry]]&amp;""&amp;"C"&amp;Table1334[[#This Row],[Strike]]))</f>
        <v>0</v>
      </c>
      <c r="H639" s="17" cm="1">
        <f t="array" aca="1" ref="H639" ca="1">IndividualLegIVCore($A$4, Table1334[[#This Row],[Strike]], 0.0411, Table1334[[#This Row],[T]], ((Table1334[[#This Row],[BIDC]]+Table1334[[#This Row],[ASKC]])/2), TRUE)</f>
        <v>0.01</v>
      </c>
      <c r="I639" t="b">
        <f>IF(     ISNUMBER(Table1334[[#This Row],[Strike]]),RTD("tos.rtd", , "BID", "."&amp;Table1334[[#This Row],[Ticker]]&amp;Table1334[[#This Row],[Expiry]]&amp;""&amp;"C"&amp;Table1334[[#This Row],[Strike]]))</f>
        <v>0</v>
      </c>
      <c r="J639" t="b">
        <f>IF(     ISNUMBER(Table1334[[#This Row],[Strike]]),RTD("tos.rtd", , "ASK", "."&amp;Table1334[[#This Row],[Ticker]]&amp;Table1334[[#This Row],[Expiry]]&amp;""&amp;"C"&amp;Table1334[[#This Row],[Strike]]))</f>
        <v>0</v>
      </c>
      <c r="K639" s="17"/>
      <c r="M639" s="1">
        <f t="shared" si="65"/>
        <v>0</v>
      </c>
      <c r="N639" t="b">
        <f t="shared" si="66"/>
        <v>0</v>
      </c>
      <c r="P639" s="17" cm="1">
        <f t="array" aca="1" ref="P639" ca="1">IndividualLegIVCore($A$4, Table1334[[#This Row],[Strike]], 0.0411, Table1334[[#This Row],[T]], ((Table1334[[#This Row],[BIDP]]+Table1334[[#This Row],[ASKP]])/2), FALSE)</f>
        <v>0.01</v>
      </c>
      <c r="Q639" t="b">
        <f>IF(     ISNUMBER(Table1334[[#This Row],[Strike]]),RTD("tos.rtd", , "BID", "."&amp;Table1334[[#This Row],[Ticker]]&amp;Table1334[[#This Row],[Expiry]]&amp;""&amp;"P"&amp;Table1334[[#This Row],[Strike]]))</f>
        <v>0</v>
      </c>
      <c r="R639" t="b">
        <f>IF(     ISNUMBER(Table1334[[#This Row],[Strike]]),RTD("tos.rtd", , "ASK", "."&amp;Table1334[[#This Row],[Ticker]]&amp;Table1334[[#This Row],[Expiry]]&amp;""&amp;"P"&amp;Table1334[[#This Row],[Strike]]))</f>
        <v>0</v>
      </c>
      <c r="S639" s="17"/>
      <c r="T639" t="b">
        <f>IF(     ISNUMBER(Table1334[[#This Row],[Strike]]),RTD("tos.rtd", , "OPEN_INT", "."&amp;Table1334[[#This Row],[Ticker]]&amp;Table1334[[#This Row],[Expiry]]&amp;""&amp;"P"&amp;Table1334[[#This Row],[Strike]]))</f>
        <v>0</v>
      </c>
      <c r="U63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9" t="b">
        <f>IF(     ISNUMBER(Table1334[[#This Row],[Strike]]),RTD("tos.rtd", , "DELTA", "."&amp;Table1334[[#This Row],[Ticker]]&amp;Table1334[[#This Row],[Expiry]]&amp;""&amp;"P"&amp;Table1334[[#This Row],[Strike]]))</f>
        <v>0</v>
      </c>
      <c r="Y639" s="19">
        <f>-40* IF($M$1="NDX", 10, IF(OR($M$1="SPX", $M$1="RUT"), 2, 1))</f>
        <v>-80</v>
      </c>
      <c r="Z639">
        <f ca="1">IFERROR(Table1334[[#This Row],[call gamma]]*(Table1334[[#This Row],[Open.Int]])*$A$4^2,0)</f>
        <v>0</v>
      </c>
      <c r="AA639">
        <f ca="1">IFERROR(((Table1334[[#This Row],[Open.Int8]])*Table1334[[#This Row],[Put gamma]])*-1*$A$4^2,0)</f>
        <v>0</v>
      </c>
      <c r="AB639">
        <f ca="1">(Table1334[[#This Row],[Call Gex]]+Table1334[[#This Row],[Put Gex]])</f>
        <v>0</v>
      </c>
      <c r="AC639">
        <f ca="1">Table1334[[#This Row],[put delta adj]]+Table1334[[#This Row],[call delta adj]]</f>
        <v>0</v>
      </c>
      <c r="AD639">
        <f ca="1">Table1334[[#This Row],[Put Gex]]*Table1334[[#This Row],[DeltaP]]*-1</f>
        <v>0</v>
      </c>
      <c r="AE639">
        <f ca="1">Table1334[[#This Row],[Call Gex]]*Table1334[[#This Row],[DeltaC]]</f>
        <v>0</v>
      </c>
      <c r="AF639">
        <f>IF(Table1334[[#This Row],[DeltaC]]-ABS(Table1334[[#This Row],[DeltaP]])="0","0.01",Table1334[[#This Row],[DeltaC]]-ABS(Table1334[[#This Row],[DeltaP]]))</f>
        <v>0</v>
      </c>
      <c r="AG63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9" t="e">
        <f ca="1">(EXP(-(AG639^2)/2)/SQRT(2*PI())*EXP(0*SQRT(Table1334[[#This Row],[T]]))/$A$4*18%*SQRT(SQRT(Table1334[[#This Row],[T]])))</f>
        <v>#DIV/0!</v>
      </c>
      <c r="AJ639" t="e">
        <f ca="1">(EXP(-(AH639^2)/2)/SQRT(2*PI())*EXP(0*SQRT(Table1334[[#This Row],[T]]))/$A$4*18%*SQRT(SQRT(Table1334[[#This Row],[T]])))</f>
        <v>#DIV/0!</v>
      </c>
      <c r="AK639" t="e">
        <f ca="1">Table1334[[#This Row],[Call D1]]-Table1334[[#This Row],[IV Calc C]]*SQRT(Table1334[[#This Row],[T]])</f>
        <v>#DIV/0!</v>
      </c>
      <c r="AL639" t="e">
        <f ca="1">Table1334[[#This Row],[Put D1]]-Table1334[[#This Row],[IV Calc P]]*SQRT(Table1334[[#This Row],[T]])</f>
        <v>#DIV/0!</v>
      </c>
      <c r="AM639" t="e">
        <f ca="1">EXP(-0.5*Table1334[[#This Row],[Call D1]]^2)/SQRT(2*PI())</f>
        <v>#DIV/0!</v>
      </c>
      <c r="AN639" t="e">
        <f ca="1">EXP(-0.5*Table1334[[#This Row],[Put D1]]^2)/SQRT(2*PI())</f>
        <v>#DIV/0!</v>
      </c>
      <c r="AO63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9">
        <f ca="1">((Table1334[[#This Row],[call vanna]]+Table1334[[#This Row],[put vanna]])*$A$4)</f>
        <v>0</v>
      </c>
      <c r="AR63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9" s="9" t="str" cm="1">
        <f t="array" ref="AT639">_xlfn.IFS(     $M$1="SPX","SPXW",     $M$1="RUT","RUTW",  $M$1="NDX","NDXP",   TRUE,$M$1 )</f>
        <v>SPXW</v>
      </c>
      <c r="AU639" s="2">
        <f t="shared" si="67"/>
        <v>6915</v>
      </c>
      <c r="AV639" t="str">
        <f t="shared" si="68"/>
        <v>000100</v>
      </c>
      <c r="AY63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9">
        <f>((Table1334[[#This Row],[High C]]+Table1334[[#This Row],[Low C]])/2)*Table1334[[#This Row],[gammac]]*Table1334[[#This Row],[Volume]]</f>
        <v>0</v>
      </c>
      <c r="BD639">
        <f>((Table1334[[#This Row],[High P]]+Table1334[[#This Row],[Low P]])/2)*Table1334[[#This Row],[gammap]]*Table1334[[#This Row],[Volume9]]*-1</f>
        <v>0</v>
      </c>
      <c r="BE639">
        <f>(Table1334[[#This Row],[SgammaC]]+Table1334[[#This Row],[SgammaP]])*$A$4*-100</f>
        <v>0</v>
      </c>
      <c r="BF639">
        <f>Table1334[[#This Row],[DEXc]]+Table1334[[#This Row],[DEXp]]</f>
        <v>0</v>
      </c>
      <c r="BG639">
        <f>IFERROR(Table1334[[#This Row],[DeltaC]]*Table1334[[#This Row],[Open.Int]]*$A$4,0)</f>
        <v>0</v>
      </c>
      <c r="BH639">
        <f>IFERROR(Table1334[[#This Row],[DeltaP]]*Table1334[[#This Row],[Open.Int8]]*$A$4,0)</f>
        <v>0</v>
      </c>
      <c r="BI63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9">
        <f ca="1">Table1334[[#This Row],[charmc]]+Table1334[[#This Row],[charmp]]</f>
        <v>0</v>
      </c>
      <c r="BL63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9" s="78">
        <f ca="1">Table1334[[#This Row],[call helper]]+Table1334[[#This Row],[put helper]]</f>
        <v>0</v>
      </c>
      <c r="BP639" t="str">
        <f>RTD("tos.rtd", , "STRIKE", "."&amp;Table1334[[#This Row],[Ticker]]&amp;Table1334[[#This Row],[Expiry]]&amp;""&amp;"C"&amp;Table1334[[#This Row],[Spot]]+Table1334[[#This Row],[step]])</f>
        <v>N/A</v>
      </c>
    </row>
    <row r="640" spans="1:68" x14ac:dyDescent="0.25">
      <c r="A640" s="14">
        <f t="shared" ca="1" si="64"/>
        <v>-126.14810350076104</v>
      </c>
      <c r="C640" s="17"/>
      <c r="D640" t="str">
        <f>RTD("tos.rtd", , "OPEN_INT", "."&amp;Table1334[[#This Row],[Ticker]]&amp;Table1334[[#This Row],[Expiry]]&amp;""&amp;"C"&amp;Table1334[[#This Row],[Spot]]+Table1334[[#This Row],[step]])</f>
        <v>N/A</v>
      </c>
      <c r="E64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0" t="b">
        <f>IF(     ISNUMBER(Table1334[[#This Row],[Strike]]),RTD("tos.rtd", , "DELTA", "."&amp;Table1334[[#This Row],[Ticker]]&amp;Table1334[[#This Row],[Expiry]]&amp;""&amp;"C"&amp;Table1334[[#This Row],[Strike]]))</f>
        <v>0</v>
      </c>
      <c r="H640" s="17" cm="1">
        <f t="array" aca="1" ref="H640" ca="1">IndividualLegIVCore($A$4, Table1334[[#This Row],[Strike]], 0.0411, Table1334[[#This Row],[T]], ((Table1334[[#This Row],[BIDC]]+Table1334[[#This Row],[ASKC]])/2), TRUE)</f>
        <v>0.01</v>
      </c>
      <c r="I640" t="b">
        <f>IF(     ISNUMBER(Table1334[[#This Row],[Strike]]),RTD("tos.rtd", , "BID", "."&amp;Table1334[[#This Row],[Ticker]]&amp;Table1334[[#This Row],[Expiry]]&amp;""&amp;"C"&amp;Table1334[[#This Row],[Strike]]))</f>
        <v>0</v>
      </c>
      <c r="J640" t="b">
        <f>IF(     ISNUMBER(Table1334[[#This Row],[Strike]]),RTD("tos.rtd", , "ASK", "."&amp;Table1334[[#This Row],[Ticker]]&amp;Table1334[[#This Row],[Expiry]]&amp;""&amp;"C"&amp;Table1334[[#This Row],[Strike]]))</f>
        <v>0</v>
      </c>
      <c r="K640" s="17"/>
      <c r="M640" s="1">
        <f t="shared" si="65"/>
        <v>0</v>
      </c>
      <c r="N640" t="b">
        <f t="shared" si="66"/>
        <v>0</v>
      </c>
      <c r="P640" s="17" cm="1">
        <f t="array" aca="1" ref="P640" ca="1">IndividualLegIVCore($A$4, Table1334[[#This Row],[Strike]], 0.0411, Table1334[[#This Row],[T]], ((Table1334[[#This Row],[BIDP]]+Table1334[[#This Row],[ASKP]])/2), FALSE)</f>
        <v>0.01</v>
      </c>
      <c r="Q640" t="b">
        <f>IF(     ISNUMBER(Table1334[[#This Row],[Strike]]),RTD("tos.rtd", , "BID", "."&amp;Table1334[[#This Row],[Ticker]]&amp;Table1334[[#This Row],[Expiry]]&amp;""&amp;"P"&amp;Table1334[[#This Row],[Strike]]))</f>
        <v>0</v>
      </c>
      <c r="R640" t="b">
        <f>IF(     ISNUMBER(Table1334[[#This Row],[Strike]]),RTD("tos.rtd", , "ASK", "."&amp;Table1334[[#This Row],[Ticker]]&amp;Table1334[[#This Row],[Expiry]]&amp;""&amp;"P"&amp;Table1334[[#This Row],[Strike]]))</f>
        <v>0</v>
      </c>
      <c r="S640" s="17"/>
      <c r="T640" t="b">
        <f>IF(     ISNUMBER(Table1334[[#This Row],[Strike]]),RTD("tos.rtd", , "OPEN_INT", "."&amp;Table1334[[#This Row],[Ticker]]&amp;Table1334[[#This Row],[Expiry]]&amp;""&amp;"P"&amp;Table1334[[#This Row],[Strike]]))</f>
        <v>0</v>
      </c>
      <c r="U64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0" t="b">
        <f>IF(     ISNUMBER(Table1334[[#This Row],[Strike]]),RTD("tos.rtd", , "DELTA", "."&amp;Table1334[[#This Row],[Ticker]]&amp;Table1334[[#This Row],[Expiry]]&amp;""&amp;"P"&amp;Table1334[[#This Row],[Strike]]))</f>
        <v>0</v>
      </c>
      <c r="Y640" s="19">
        <f>-39.5* IF($M$1="NDX", 10, IF(OR($M$1="SPX", $M$1="RUT"), 2, 1))</f>
        <v>-79</v>
      </c>
      <c r="Z640">
        <f ca="1">IFERROR(Table1334[[#This Row],[call gamma]]*(Table1334[[#This Row],[Open.Int]])*$A$4^2,0)</f>
        <v>0</v>
      </c>
      <c r="AA640">
        <f ca="1">IFERROR(((Table1334[[#This Row],[Open.Int8]])*Table1334[[#This Row],[Put gamma]])*-1*$A$4^2,0)</f>
        <v>0</v>
      </c>
      <c r="AB640">
        <f ca="1">(Table1334[[#This Row],[Call Gex]]+Table1334[[#This Row],[Put Gex]])</f>
        <v>0</v>
      </c>
      <c r="AC640">
        <f ca="1">Table1334[[#This Row],[put delta adj]]+Table1334[[#This Row],[call delta adj]]</f>
        <v>0</v>
      </c>
      <c r="AD640">
        <f ca="1">Table1334[[#This Row],[Put Gex]]*Table1334[[#This Row],[DeltaP]]*-1</f>
        <v>0</v>
      </c>
      <c r="AE640">
        <f ca="1">Table1334[[#This Row],[Call Gex]]*Table1334[[#This Row],[DeltaC]]</f>
        <v>0</v>
      </c>
      <c r="AF640">
        <f>IF(Table1334[[#This Row],[DeltaC]]-ABS(Table1334[[#This Row],[DeltaP]])="0","0.01",Table1334[[#This Row],[DeltaC]]-ABS(Table1334[[#This Row],[DeltaP]]))</f>
        <v>0</v>
      </c>
      <c r="AG64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0" t="e">
        <f ca="1">(EXP(-(AG640^2)/2)/SQRT(2*PI())*EXP(0*SQRT(Table1334[[#This Row],[T]]))/$A$4*18%*SQRT(SQRT(Table1334[[#This Row],[T]])))</f>
        <v>#DIV/0!</v>
      </c>
      <c r="AJ640" t="e">
        <f ca="1">(EXP(-(AH640^2)/2)/SQRT(2*PI())*EXP(0*SQRT(Table1334[[#This Row],[T]]))/$A$4*18%*SQRT(SQRT(Table1334[[#This Row],[T]])))</f>
        <v>#DIV/0!</v>
      </c>
      <c r="AK640" t="e">
        <f ca="1">Table1334[[#This Row],[Call D1]]-Table1334[[#This Row],[IV Calc C]]*SQRT(Table1334[[#This Row],[T]])</f>
        <v>#DIV/0!</v>
      </c>
      <c r="AL640" t="e">
        <f ca="1">Table1334[[#This Row],[Put D1]]-Table1334[[#This Row],[IV Calc P]]*SQRT(Table1334[[#This Row],[T]])</f>
        <v>#DIV/0!</v>
      </c>
      <c r="AM640" t="e">
        <f ca="1">EXP(-0.5*Table1334[[#This Row],[Call D1]]^2)/SQRT(2*PI())</f>
        <v>#DIV/0!</v>
      </c>
      <c r="AN640" t="e">
        <f ca="1">EXP(-0.5*Table1334[[#This Row],[Put D1]]^2)/SQRT(2*PI())</f>
        <v>#DIV/0!</v>
      </c>
      <c r="AO64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0">
        <f ca="1">((Table1334[[#This Row],[call vanna]]+Table1334[[#This Row],[put vanna]])*$A$4)</f>
        <v>0</v>
      </c>
      <c r="AR64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0" s="9" t="str" cm="1">
        <f t="array" ref="AT640">_xlfn.IFS(     $M$1="SPX","SPXW",     $M$1="RUT","RUTW",  $M$1="NDX","NDXP",   TRUE,$M$1 )</f>
        <v>SPXW</v>
      </c>
      <c r="AU640" s="2">
        <f t="shared" si="67"/>
        <v>6915</v>
      </c>
      <c r="AV640" t="str">
        <f t="shared" si="68"/>
        <v>000100</v>
      </c>
      <c r="AY64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0">
        <f>((Table1334[[#This Row],[High C]]+Table1334[[#This Row],[Low C]])/2)*Table1334[[#This Row],[gammac]]*Table1334[[#This Row],[Volume]]</f>
        <v>0</v>
      </c>
      <c r="BD640">
        <f>((Table1334[[#This Row],[High P]]+Table1334[[#This Row],[Low P]])/2)*Table1334[[#This Row],[gammap]]*Table1334[[#This Row],[Volume9]]*-1</f>
        <v>0</v>
      </c>
      <c r="BE640">
        <f>(Table1334[[#This Row],[SgammaC]]+Table1334[[#This Row],[SgammaP]])*$A$4*-100</f>
        <v>0</v>
      </c>
      <c r="BF640">
        <f>Table1334[[#This Row],[DEXc]]+Table1334[[#This Row],[DEXp]]</f>
        <v>0</v>
      </c>
      <c r="BG640">
        <f>IFERROR(Table1334[[#This Row],[DeltaC]]*Table1334[[#This Row],[Open.Int]]*$A$4,0)</f>
        <v>0</v>
      </c>
      <c r="BH640">
        <f>IFERROR(Table1334[[#This Row],[DeltaP]]*Table1334[[#This Row],[Open.Int8]]*$A$4,0)</f>
        <v>0</v>
      </c>
      <c r="BI64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0">
        <f ca="1">Table1334[[#This Row],[charmc]]+Table1334[[#This Row],[charmp]]</f>
        <v>0</v>
      </c>
      <c r="BL64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0" s="78">
        <f ca="1">Table1334[[#This Row],[call helper]]+Table1334[[#This Row],[put helper]]</f>
        <v>0</v>
      </c>
      <c r="BP640" t="str">
        <f>RTD("tos.rtd", , "STRIKE", "."&amp;Table1334[[#This Row],[Ticker]]&amp;Table1334[[#This Row],[Expiry]]&amp;""&amp;"C"&amp;Table1334[[#This Row],[Spot]]+Table1334[[#This Row],[step]])</f>
        <v>N/A</v>
      </c>
    </row>
    <row r="641" spans="1:68" x14ac:dyDescent="0.25">
      <c r="A641" s="14">
        <f t="shared" ca="1" si="64"/>
        <v>-126.14810350076104</v>
      </c>
      <c r="C641" s="17"/>
      <c r="D641" t="str">
        <f>RTD("tos.rtd", , "OPEN_INT", "."&amp;Table1334[[#This Row],[Ticker]]&amp;Table1334[[#This Row],[Expiry]]&amp;""&amp;"C"&amp;Table1334[[#This Row],[Spot]]+Table1334[[#This Row],[step]])</f>
        <v>N/A</v>
      </c>
      <c r="E64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1" t="b">
        <f>IF(     ISNUMBER(Table1334[[#This Row],[Strike]]),RTD("tos.rtd", , "DELTA", "."&amp;Table1334[[#This Row],[Ticker]]&amp;Table1334[[#This Row],[Expiry]]&amp;""&amp;"C"&amp;Table1334[[#This Row],[Strike]]))</f>
        <v>0</v>
      </c>
      <c r="H641" s="17" cm="1">
        <f t="array" aca="1" ref="H641" ca="1">IndividualLegIVCore($A$4, Table1334[[#This Row],[Strike]], 0.0411, Table1334[[#This Row],[T]], ((Table1334[[#This Row],[BIDC]]+Table1334[[#This Row],[ASKC]])/2), TRUE)</f>
        <v>0.01</v>
      </c>
      <c r="I641" t="b">
        <f>IF(     ISNUMBER(Table1334[[#This Row],[Strike]]),RTD("tos.rtd", , "BID", "."&amp;Table1334[[#This Row],[Ticker]]&amp;Table1334[[#This Row],[Expiry]]&amp;""&amp;"C"&amp;Table1334[[#This Row],[Strike]]))</f>
        <v>0</v>
      </c>
      <c r="J641" t="b">
        <f>IF(     ISNUMBER(Table1334[[#This Row],[Strike]]),RTD("tos.rtd", , "ASK", "."&amp;Table1334[[#This Row],[Ticker]]&amp;Table1334[[#This Row],[Expiry]]&amp;""&amp;"C"&amp;Table1334[[#This Row],[Strike]]))</f>
        <v>0</v>
      </c>
      <c r="K641" s="17"/>
      <c r="M641" s="1">
        <f t="shared" si="65"/>
        <v>0</v>
      </c>
      <c r="N641" t="b">
        <f t="shared" si="66"/>
        <v>0</v>
      </c>
      <c r="P641" s="17" cm="1">
        <f t="array" aca="1" ref="P641" ca="1">IndividualLegIVCore($A$4, Table1334[[#This Row],[Strike]], 0.0411, Table1334[[#This Row],[T]], ((Table1334[[#This Row],[BIDP]]+Table1334[[#This Row],[ASKP]])/2), FALSE)</f>
        <v>0.01</v>
      </c>
      <c r="Q641" t="b">
        <f>IF(     ISNUMBER(Table1334[[#This Row],[Strike]]),RTD("tos.rtd", , "BID", "."&amp;Table1334[[#This Row],[Ticker]]&amp;Table1334[[#This Row],[Expiry]]&amp;""&amp;"P"&amp;Table1334[[#This Row],[Strike]]))</f>
        <v>0</v>
      </c>
      <c r="R641" t="b">
        <f>IF(     ISNUMBER(Table1334[[#This Row],[Strike]]),RTD("tos.rtd", , "ASK", "."&amp;Table1334[[#This Row],[Ticker]]&amp;Table1334[[#This Row],[Expiry]]&amp;""&amp;"P"&amp;Table1334[[#This Row],[Strike]]))</f>
        <v>0</v>
      </c>
      <c r="S641" s="17"/>
      <c r="T641" t="b">
        <f>IF(     ISNUMBER(Table1334[[#This Row],[Strike]]),RTD("tos.rtd", , "OPEN_INT", "."&amp;Table1334[[#This Row],[Ticker]]&amp;Table1334[[#This Row],[Expiry]]&amp;""&amp;"P"&amp;Table1334[[#This Row],[Strike]]))</f>
        <v>0</v>
      </c>
      <c r="U64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1" t="b">
        <f>IF(     ISNUMBER(Table1334[[#This Row],[Strike]]),RTD("tos.rtd", , "DELTA", "."&amp;Table1334[[#This Row],[Ticker]]&amp;Table1334[[#This Row],[Expiry]]&amp;""&amp;"P"&amp;Table1334[[#This Row],[Strike]]))</f>
        <v>0</v>
      </c>
      <c r="Y641" s="19">
        <f>-39* IF($M$1="NDX", 10, IF(OR($M$1="SPX", $M$1="RUT"), 2, 1))</f>
        <v>-78</v>
      </c>
      <c r="Z641">
        <f ca="1">IFERROR(Table1334[[#This Row],[call gamma]]*(Table1334[[#This Row],[Open.Int]])*$A$4^2,0)</f>
        <v>0</v>
      </c>
      <c r="AA641">
        <f ca="1">IFERROR(((Table1334[[#This Row],[Open.Int8]])*Table1334[[#This Row],[Put gamma]])*-1*$A$4^2,0)</f>
        <v>0</v>
      </c>
      <c r="AB641">
        <f ca="1">(Table1334[[#This Row],[Call Gex]]+Table1334[[#This Row],[Put Gex]])</f>
        <v>0</v>
      </c>
      <c r="AC641">
        <f ca="1">Table1334[[#This Row],[put delta adj]]+Table1334[[#This Row],[call delta adj]]</f>
        <v>0</v>
      </c>
      <c r="AD641">
        <f ca="1">Table1334[[#This Row],[Put Gex]]*Table1334[[#This Row],[DeltaP]]*-1</f>
        <v>0</v>
      </c>
      <c r="AE641">
        <f ca="1">Table1334[[#This Row],[Call Gex]]*Table1334[[#This Row],[DeltaC]]</f>
        <v>0</v>
      </c>
      <c r="AF641">
        <f>IF(Table1334[[#This Row],[DeltaC]]-ABS(Table1334[[#This Row],[DeltaP]])="0","0.01",Table1334[[#This Row],[DeltaC]]-ABS(Table1334[[#This Row],[DeltaP]]))</f>
        <v>0</v>
      </c>
      <c r="AG64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1" t="e">
        <f ca="1">(EXP(-(AG641^2)/2)/SQRT(2*PI())*EXP(0*SQRT(Table1334[[#This Row],[T]]))/$A$4*18%*SQRT(SQRT(Table1334[[#This Row],[T]])))</f>
        <v>#DIV/0!</v>
      </c>
      <c r="AJ641" t="e">
        <f ca="1">(EXP(-(AH641^2)/2)/SQRT(2*PI())*EXP(0*SQRT(Table1334[[#This Row],[T]]))/$A$4*18%*SQRT(SQRT(Table1334[[#This Row],[T]])))</f>
        <v>#DIV/0!</v>
      </c>
      <c r="AK641" t="e">
        <f ca="1">Table1334[[#This Row],[Call D1]]-Table1334[[#This Row],[IV Calc C]]*SQRT(Table1334[[#This Row],[T]])</f>
        <v>#DIV/0!</v>
      </c>
      <c r="AL641" t="e">
        <f ca="1">Table1334[[#This Row],[Put D1]]-Table1334[[#This Row],[IV Calc P]]*SQRT(Table1334[[#This Row],[T]])</f>
        <v>#DIV/0!</v>
      </c>
      <c r="AM641" t="e">
        <f ca="1">EXP(-0.5*Table1334[[#This Row],[Call D1]]^2)/SQRT(2*PI())</f>
        <v>#DIV/0!</v>
      </c>
      <c r="AN641" t="e">
        <f ca="1">EXP(-0.5*Table1334[[#This Row],[Put D1]]^2)/SQRT(2*PI())</f>
        <v>#DIV/0!</v>
      </c>
      <c r="AO64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1">
        <f ca="1">((Table1334[[#This Row],[call vanna]]+Table1334[[#This Row],[put vanna]])*$A$4)</f>
        <v>0</v>
      </c>
      <c r="AR64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1" s="9" t="str" cm="1">
        <f t="array" ref="AT641">_xlfn.IFS(     $M$1="SPX","SPXW",     $M$1="RUT","RUTW",  $M$1="NDX","NDXP",   TRUE,$M$1 )</f>
        <v>SPXW</v>
      </c>
      <c r="AU641" s="2">
        <f t="shared" si="67"/>
        <v>6915</v>
      </c>
      <c r="AV641" t="str">
        <f t="shared" si="68"/>
        <v>000100</v>
      </c>
      <c r="AY64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1">
        <f>((Table1334[[#This Row],[High C]]+Table1334[[#This Row],[Low C]])/2)*Table1334[[#This Row],[gammac]]*Table1334[[#This Row],[Volume]]</f>
        <v>0</v>
      </c>
      <c r="BD641">
        <f>((Table1334[[#This Row],[High P]]+Table1334[[#This Row],[Low P]])/2)*Table1334[[#This Row],[gammap]]*Table1334[[#This Row],[Volume9]]*-1</f>
        <v>0</v>
      </c>
      <c r="BE641">
        <f>(Table1334[[#This Row],[SgammaC]]+Table1334[[#This Row],[SgammaP]])*$A$4*-100</f>
        <v>0</v>
      </c>
      <c r="BF641">
        <f>Table1334[[#This Row],[DEXc]]+Table1334[[#This Row],[DEXp]]</f>
        <v>0</v>
      </c>
      <c r="BG641">
        <f>IFERROR(Table1334[[#This Row],[DeltaC]]*Table1334[[#This Row],[Open.Int]]*$A$4,0)</f>
        <v>0</v>
      </c>
      <c r="BH641">
        <f>IFERROR(Table1334[[#This Row],[DeltaP]]*Table1334[[#This Row],[Open.Int8]]*$A$4,0)</f>
        <v>0</v>
      </c>
      <c r="BI64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1">
        <f ca="1">Table1334[[#This Row],[charmc]]+Table1334[[#This Row],[charmp]]</f>
        <v>0</v>
      </c>
      <c r="BL64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1" s="78">
        <f ca="1">Table1334[[#This Row],[call helper]]+Table1334[[#This Row],[put helper]]</f>
        <v>0</v>
      </c>
      <c r="BP641" t="str">
        <f>RTD("tos.rtd", , "STRIKE", "."&amp;Table1334[[#This Row],[Ticker]]&amp;Table1334[[#This Row],[Expiry]]&amp;""&amp;"C"&amp;Table1334[[#This Row],[Spot]]+Table1334[[#This Row],[step]])</f>
        <v>N/A</v>
      </c>
    </row>
    <row r="642" spans="1:68" x14ac:dyDescent="0.25">
      <c r="A642" s="14">
        <f t="shared" ca="1" si="64"/>
        <v>-126.14810350076104</v>
      </c>
      <c r="C642" s="17"/>
      <c r="D642" t="str">
        <f>RTD("tos.rtd", , "OPEN_INT", "."&amp;Table1334[[#This Row],[Ticker]]&amp;Table1334[[#This Row],[Expiry]]&amp;""&amp;"C"&amp;Table1334[[#This Row],[Spot]]+Table1334[[#This Row],[step]])</f>
        <v>N/A</v>
      </c>
      <c r="E64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2" t="b">
        <f>IF(     ISNUMBER(Table1334[[#This Row],[Strike]]),RTD("tos.rtd", , "DELTA", "."&amp;Table1334[[#This Row],[Ticker]]&amp;Table1334[[#This Row],[Expiry]]&amp;""&amp;"C"&amp;Table1334[[#This Row],[Strike]]))</f>
        <v>0</v>
      </c>
      <c r="H642" s="17" cm="1">
        <f t="array" aca="1" ref="H642" ca="1">IndividualLegIVCore($A$4, Table1334[[#This Row],[Strike]], 0.0411, Table1334[[#This Row],[T]], ((Table1334[[#This Row],[BIDC]]+Table1334[[#This Row],[ASKC]])/2), TRUE)</f>
        <v>0.01</v>
      </c>
      <c r="I642" t="b">
        <f>IF(     ISNUMBER(Table1334[[#This Row],[Strike]]),RTD("tos.rtd", , "BID", "."&amp;Table1334[[#This Row],[Ticker]]&amp;Table1334[[#This Row],[Expiry]]&amp;""&amp;"C"&amp;Table1334[[#This Row],[Strike]]))</f>
        <v>0</v>
      </c>
      <c r="J642" t="b">
        <f>IF(     ISNUMBER(Table1334[[#This Row],[Strike]]),RTD("tos.rtd", , "ASK", "."&amp;Table1334[[#This Row],[Ticker]]&amp;Table1334[[#This Row],[Expiry]]&amp;""&amp;"C"&amp;Table1334[[#This Row],[Strike]]))</f>
        <v>0</v>
      </c>
      <c r="K642" s="17"/>
      <c r="M642" s="1">
        <f t="shared" si="65"/>
        <v>0</v>
      </c>
      <c r="N642" t="b">
        <f t="shared" si="66"/>
        <v>0</v>
      </c>
      <c r="P642" s="17" cm="1">
        <f t="array" aca="1" ref="P642" ca="1">IndividualLegIVCore($A$4, Table1334[[#This Row],[Strike]], 0.0411, Table1334[[#This Row],[T]], ((Table1334[[#This Row],[BIDP]]+Table1334[[#This Row],[ASKP]])/2), FALSE)</f>
        <v>0.01</v>
      </c>
      <c r="Q642" t="b">
        <f>IF(     ISNUMBER(Table1334[[#This Row],[Strike]]),RTD("tos.rtd", , "BID", "."&amp;Table1334[[#This Row],[Ticker]]&amp;Table1334[[#This Row],[Expiry]]&amp;""&amp;"P"&amp;Table1334[[#This Row],[Strike]]))</f>
        <v>0</v>
      </c>
      <c r="R642" t="b">
        <f>IF(     ISNUMBER(Table1334[[#This Row],[Strike]]),RTD("tos.rtd", , "ASK", "."&amp;Table1334[[#This Row],[Ticker]]&amp;Table1334[[#This Row],[Expiry]]&amp;""&amp;"P"&amp;Table1334[[#This Row],[Strike]]))</f>
        <v>0</v>
      </c>
      <c r="S642" s="17"/>
      <c r="T642" t="b">
        <f>IF(     ISNUMBER(Table1334[[#This Row],[Strike]]),RTD("tos.rtd", , "OPEN_INT", "."&amp;Table1334[[#This Row],[Ticker]]&amp;Table1334[[#This Row],[Expiry]]&amp;""&amp;"P"&amp;Table1334[[#This Row],[Strike]]))</f>
        <v>0</v>
      </c>
      <c r="U64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2" t="b">
        <f>IF(     ISNUMBER(Table1334[[#This Row],[Strike]]),RTD("tos.rtd", , "DELTA", "."&amp;Table1334[[#This Row],[Ticker]]&amp;Table1334[[#This Row],[Expiry]]&amp;""&amp;"P"&amp;Table1334[[#This Row],[Strike]]))</f>
        <v>0</v>
      </c>
      <c r="Y642" s="19">
        <f>-38.5* IF($M$1="NDX", 10, IF(OR($M$1="SPX", $M$1="RUT"), 2, 1))</f>
        <v>-77</v>
      </c>
      <c r="Z642">
        <f ca="1">IFERROR(Table1334[[#This Row],[call gamma]]*(Table1334[[#This Row],[Open.Int]])*$A$4^2,0)</f>
        <v>0</v>
      </c>
      <c r="AA642">
        <f ca="1">IFERROR(((Table1334[[#This Row],[Open.Int8]])*Table1334[[#This Row],[Put gamma]])*-1*$A$4^2,0)</f>
        <v>0</v>
      </c>
      <c r="AB642">
        <f ca="1">(Table1334[[#This Row],[Call Gex]]+Table1334[[#This Row],[Put Gex]])</f>
        <v>0</v>
      </c>
      <c r="AC642">
        <f ca="1">Table1334[[#This Row],[put delta adj]]+Table1334[[#This Row],[call delta adj]]</f>
        <v>0</v>
      </c>
      <c r="AD642">
        <f ca="1">Table1334[[#This Row],[Put Gex]]*Table1334[[#This Row],[DeltaP]]*-1</f>
        <v>0</v>
      </c>
      <c r="AE642">
        <f ca="1">Table1334[[#This Row],[Call Gex]]*Table1334[[#This Row],[DeltaC]]</f>
        <v>0</v>
      </c>
      <c r="AF642">
        <f>IF(Table1334[[#This Row],[DeltaC]]-ABS(Table1334[[#This Row],[DeltaP]])="0","0.01",Table1334[[#This Row],[DeltaC]]-ABS(Table1334[[#This Row],[DeltaP]]))</f>
        <v>0</v>
      </c>
      <c r="AG64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2" t="e">
        <f ca="1">(EXP(-(AG642^2)/2)/SQRT(2*PI())*EXP(0*SQRT(Table1334[[#This Row],[T]]))/$A$4*18%*SQRT(SQRT(Table1334[[#This Row],[T]])))</f>
        <v>#DIV/0!</v>
      </c>
      <c r="AJ642" t="e">
        <f ca="1">(EXP(-(AH642^2)/2)/SQRT(2*PI())*EXP(0*SQRT(Table1334[[#This Row],[T]]))/$A$4*18%*SQRT(SQRT(Table1334[[#This Row],[T]])))</f>
        <v>#DIV/0!</v>
      </c>
      <c r="AK642" t="e">
        <f ca="1">Table1334[[#This Row],[Call D1]]-Table1334[[#This Row],[IV Calc C]]*SQRT(Table1334[[#This Row],[T]])</f>
        <v>#DIV/0!</v>
      </c>
      <c r="AL642" t="e">
        <f ca="1">Table1334[[#This Row],[Put D1]]-Table1334[[#This Row],[IV Calc P]]*SQRT(Table1334[[#This Row],[T]])</f>
        <v>#DIV/0!</v>
      </c>
      <c r="AM642" t="e">
        <f ca="1">EXP(-0.5*Table1334[[#This Row],[Call D1]]^2)/SQRT(2*PI())</f>
        <v>#DIV/0!</v>
      </c>
      <c r="AN642" t="e">
        <f ca="1">EXP(-0.5*Table1334[[#This Row],[Put D1]]^2)/SQRT(2*PI())</f>
        <v>#DIV/0!</v>
      </c>
      <c r="AO64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2">
        <f ca="1">((Table1334[[#This Row],[call vanna]]+Table1334[[#This Row],[put vanna]])*$A$4)</f>
        <v>0</v>
      </c>
      <c r="AR64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2" s="9" t="str" cm="1">
        <f t="array" ref="AT642">_xlfn.IFS(     $M$1="SPX","SPXW",     $M$1="RUT","RUTW",  $M$1="NDX","NDXP",   TRUE,$M$1 )</f>
        <v>SPXW</v>
      </c>
      <c r="AU642" s="2">
        <f t="shared" si="67"/>
        <v>6915</v>
      </c>
      <c r="AV642" t="str">
        <f t="shared" si="68"/>
        <v>000100</v>
      </c>
      <c r="AY64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2">
        <f>((Table1334[[#This Row],[High C]]+Table1334[[#This Row],[Low C]])/2)*Table1334[[#This Row],[gammac]]*Table1334[[#This Row],[Volume]]</f>
        <v>0</v>
      </c>
      <c r="BD642">
        <f>((Table1334[[#This Row],[High P]]+Table1334[[#This Row],[Low P]])/2)*Table1334[[#This Row],[gammap]]*Table1334[[#This Row],[Volume9]]*-1</f>
        <v>0</v>
      </c>
      <c r="BE642">
        <f>(Table1334[[#This Row],[SgammaC]]+Table1334[[#This Row],[SgammaP]])*$A$4*-100</f>
        <v>0</v>
      </c>
      <c r="BF642">
        <f>Table1334[[#This Row],[DEXc]]+Table1334[[#This Row],[DEXp]]</f>
        <v>0</v>
      </c>
      <c r="BG642">
        <f>IFERROR(Table1334[[#This Row],[DeltaC]]*Table1334[[#This Row],[Open.Int]]*$A$4,0)</f>
        <v>0</v>
      </c>
      <c r="BH642">
        <f>IFERROR(Table1334[[#This Row],[DeltaP]]*Table1334[[#This Row],[Open.Int8]]*$A$4,0)</f>
        <v>0</v>
      </c>
      <c r="BI64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2">
        <f ca="1">Table1334[[#This Row],[charmc]]+Table1334[[#This Row],[charmp]]</f>
        <v>0</v>
      </c>
      <c r="BL64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2" s="78">
        <f ca="1">Table1334[[#This Row],[call helper]]+Table1334[[#This Row],[put helper]]</f>
        <v>0</v>
      </c>
      <c r="BP642" t="str">
        <f>RTD("tos.rtd", , "STRIKE", "."&amp;Table1334[[#This Row],[Ticker]]&amp;Table1334[[#This Row],[Expiry]]&amp;""&amp;"C"&amp;Table1334[[#This Row],[Spot]]+Table1334[[#This Row],[step]])</f>
        <v>N/A</v>
      </c>
    </row>
    <row r="643" spans="1:68" x14ac:dyDescent="0.25">
      <c r="A643" s="14">
        <f t="shared" ca="1" si="64"/>
        <v>-126.14810350076104</v>
      </c>
      <c r="C643" s="17"/>
      <c r="D643" t="str">
        <f>RTD("tos.rtd", , "OPEN_INT", "."&amp;Table1334[[#This Row],[Ticker]]&amp;Table1334[[#This Row],[Expiry]]&amp;""&amp;"C"&amp;Table1334[[#This Row],[Spot]]+Table1334[[#This Row],[step]])</f>
        <v>N/A</v>
      </c>
      <c r="E64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3" t="b">
        <f>IF(     ISNUMBER(Table1334[[#This Row],[Strike]]),RTD("tos.rtd", , "DELTA", "."&amp;Table1334[[#This Row],[Ticker]]&amp;Table1334[[#This Row],[Expiry]]&amp;""&amp;"C"&amp;Table1334[[#This Row],[Strike]]))</f>
        <v>0</v>
      </c>
      <c r="H643" s="17" cm="1">
        <f t="array" aca="1" ref="H643" ca="1">IndividualLegIVCore($A$4, Table1334[[#This Row],[Strike]], 0.0411, Table1334[[#This Row],[T]], ((Table1334[[#This Row],[BIDC]]+Table1334[[#This Row],[ASKC]])/2), TRUE)</f>
        <v>0.01</v>
      </c>
      <c r="I643" t="b">
        <f>IF(     ISNUMBER(Table1334[[#This Row],[Strike]]),RTD("tos.rtd", , "BID", "."&amp;Table1334[[#This Row],[Ticker]]&amp;Table1334[[#This Row],[Expiry]]&amp;""&amp;"C"&amp;Table1334[[#This Row],[Strike]]))</f>
        <v>0</v>
      </c>
      <c r="J643" t="b">
        <f>IF(     ISNUMBER(Table1334[[#This Row],[Strike]]),RTD("tos.rtd", , "ASK", "."&amp;Table1334[[#This Row],[Ticker]]&amp;Table1334[[#This Row],[Expiry]]&amp;""&amp;"C"&amp;Table1334[[#This Row],[Strike]]))</f>
        <v>0</v>
      </c>
      <c r="K643" s="17"/>
      <c r="M643" s="1">
        <f t="shared" si="65"/>
        <v>0</v>
      </c>
      <c r="N643" t="b">
        <f t="shared" si="66"/>
        <v>0</v>
      </c>
      <c r="P643" s="17" cm="1">
        <f t="array" aca="1" ref="P643" ca="1">IndividualLegIVCore($A$4, Table1334[[#This Row],[Strike]], 0.0411, Table1334[[#This Row],[T]], ((Table1334[[#This Row],[BIDP]]+Table1334[[#This Row],[ASKP]])/2), FALSE)</f>
        <v>0.01</v>
      </c>
      <c r="Q643" t="b">
        <f>IF(     ISNUMBER(Table1334[[#This Row],[Strike]]),RTD("tos.rtd", , "BID", "."&amp;Table1334[[#This Row],[Ticker]]&amp;Table1334[[#This Row],[Expiry]]&amp;""&amp;"P"&amp;Table1334[[#This Row],[Strike]]))</f>
        <v>0</v>
      </c>
      <c r="R643" t="b">
        <f>IF(     ISNUMBER(Table1334[[#This Row],[Strike]]),RTD("tos.rtd", , "ASK", "."&amp;Table1334[[#This Row],[Ticker]]&amp;Table1334[[#This Row],[Expiry]]&amp;""&amp;"P"&amp;Table1334[[#This Row],[Strike]]))</f>
        <v>0</v>
      </c>
      <c r="S643" s="17"/>
      <c r="T643" t="b">
        <f>IF(     ISNUMBER(Table1334[[#This Row],[Strike]]),RTD("tos.rtd", , "OPEN_INT", "."&amp;Table1334[[#This Row],[Ticker]]&amp;Table1334[[#This Row],[Expiry]]&amp;""&amp;"P"&amp;Table1334[[#This Row],[Strike]]))</f>
        <v>0</v>
      </c>
      <c r="U64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3" t="b">
        <f>IF(     ISNUMBER(Table1334[[#This Row],[Strike]]),RTD("tos.rtd", , "DELTA", "."&amp;Table1334[[#This Row],[Ticker]]&amp;Table1334[[#This Row],[Expiry]]&amp;""&amp;"P"&amp;Table1334[[#This Row],[Strike]]))</f>
        <v>0</v>
      </c>
      <c r="Y643" s="19">
        <f>-38* IF($M$1="NDX", 10, IF(OR($M$1="SPX", $M$1="RUT"), 2, 1))</f>
        <v>-76</v>
      </c>
      <c r="Z643">
        <f ca="1">IFERROR(Table1334[[#This Row],[call gamma]]*(Table1334[[#This Row],[Open.Int]])*$A$4^2,0)</f>
        <v>0</v>
      </c>
      <c r="AA643">
        <f ca="1">IFERROR(((Table1334[[#This Row],[Open.Int8]])*Table1334[[#This Row],[Put gamma]])*-1*$A$4^2,0)</f>
        <v>0</v>
      </c>
      <c r="AB643">
        <f ca="1">(Table1334[[#This Row],[Call Gex]]+Table1334[[#This Row],[Put Gex]])</f>
        <v>0</v>
      </c>
      <c r="AC643">
        <f ca="1">Table1334[[#This Row],[put delta adj]]+Table1334[[#This Row],[call delta adj]]</f>
        <v>0</v>
      </c>
      <c r="AD643">
        <f ca="1">Table1334[[#This Row],[Put Gex]]*Table1334[[#This Row],[DeltaP]]*-1</f>
        <v>0</v>
      </c>
      <c r="AE643">
        <f ca="1">Table1334[[#This Row],[Call Gex]]*Table1334[[#This Row],[DeltaC]]</f>
        <v>0</v>
      </c>
      <c r="AF643">
        <f>IF(Table1334[[#This Row],[DeltaC]]-ABS(Table1334[[#This Row],[DeltaP]])="0","0.01",Table1334[[#This Row],[DeltaC]]-ABS(Table1334[[#This Row],[DeltaP]]))</f>
        <v>0</v>
      </c>
      <c r="AG64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3" t="e">
        <f ca="1">(EXP(-(AG643^2)/2)/SQRT(2*PI())*EXP(0*SQRT(Table1334[[#This Row],[T]]))/$A$4*18%*SQRT(SQRT(Table1334[[#This Row],[T]])))</f>
        <v>#DIV/0!</v>
      </c>
      <c r="AJ643" t="e">
        <f ca="1">(EXP(-(AH643^2)/2)/SQRT(2*PI())*EXP(0*SQRT(Table1334[[#This Row],[T]]))/$A$4*18%*SQRT(SQRT(Table1334[[#This Row],[T]])))</f>
        <v>#DIV/0!</v>
      </c>
      <c r="AK643" t="e">
        <f ca="1">Table1334[[#This Row],[Call D1]]-Table1334[[#This Row],[IV Calc C]]*SQRT(Table1334[[#This Row],[T]])</f>
        <v>#DIV/0!</v>
      </c>
      <c r="AL643" t="e">
        <f ca="1">Table1334[[#This Row],[Put D1]]-Table1334[[#This Row],[IV Calc P]]*SQRT(Table1334[[#This Row],[T]])</f>
        <v>#DIV/0!</v>
      </c>
      <c r="AM643" t="e">
        <f ca="1">EXP(-0.5*Table1334[[#This Row],[Call D1]]^2)/SQRT(2*PI())</f>
        <v>#DIV/0!</v>
      </c>
      <c r="AN643" t="e">
        <f ca="1">EXP(-0.5*Table1334[[#This Row],[Put D1]]^2)/SQRT(2*PI())</f>
        <v>#DIV/0!</v>
      </c>
      <c r="AO64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3">
        <f ca="1">((Table1334[[#This Row],[call vanna]]+Table1334[[#This Row],[put vanna]])*$A$4)</f>
        <v>0</v>
      </c>
      <c r="AR64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3" s="9" t="str" cm="1">
        <f t="array" ref="AT643">_xlfn.IFS(     $M$1="SPX","SPXW",     $M$1="RUT","RUTW",  $M$1="NDX","NDXP",   TRUE,$M$1 )</f>
        <v>SPXW</v>
      </c>
      <c r="AU643" s="2">
        <f t="shared" si="67"/>
        <v>6915</v>
      </c>
      <c r="AV643" t="str">
        <f t="shared" si="68"/>
        <v>000100</v>
      </c>
      <c r="AY64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3">
        <f>((Table1334[[#This Row],[High C]]+Table1334[[#This Row],[Low C]])/2)*Table1334[[#This Row],[gammac]]*Table1334[[#This Row],[Volume]]</f>
        <v>0</v>
      </c>
      <c r="BD643">
        <f>((Table1334[[#This Row],[High P]]+Table1334[[#This Row],[Low P]])/2)*Table1334[[#This Row],[gammap]]*Table1334[[#This Row],[Volume9]]*-1</f>
        <v>0</v>
      </c>
      <c r="BE643">
        <f>(Table1334[[#This Row],[SgammaC]]+Table1334[[#This Row],[SgammaP]])*$A$4*-100</f>
        <v>0</v>
      </c>
      <c r="BF643">
        <f>Table1334[[#This Row],[DEXc]]+Table1334[[#This Row],[DEXp]]</f>
        <v>0</v>
      </c>
      <c r="BG643">
        <f>IFERROR(Table1334[[#This Row],[DeltaC]]*Table1334[[#This Row],[Open.Int]]*$A$4,0)</f>
        <v>0</v>
      </c>
      <c r="BH643">
        <f>IFERROR(Table1334[[#This Row],[DeltaP]]*Table1334[[#This Row],[Open.Int8]]*$A$4,0)</f>
        <v>0</v>
      </c>
      <c r="BI64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3">
        <f ca="1">Table1334[[#This Row],[charmc]]+Table1334[[#This Row],[charmp]]</f>
        <v>0</v>
      </c>
      <c r="BL64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3" s="78">
        <f ca="1">Table1334[[#This Row],[call helper]]+Table1334[[#This Row],[put helper]]</f>
        <v>0</v>
      </c>
      <c r="BP643" t="str">
        <f>RTD("tos.rtd", , "STRIKE", "."&amp;Table1334[[#This Row],[Ticker]]&amp;Table1334[[#This Row],[Expiry]]&amp;""&amp;"C"&amp;Table1334[[#This Row],[Spot]]+Table1334[[#This Row],[step]])</f>
        <v>N/A</v>
      </c>
    </row>
    <row r="644" spans="1:68" x14ac:dyDescent="0.25">
      <c r="A644" s="14">
        <f t="shared" ca="1" si="64"/>
        <v>-126.14810350076104</v>
      </c>
      <c r="C644" s="17"/>
      <c r="D644" t="str">
        <f>RTD("tos.rtd", , "OPEN_INT", "."&amp;Table1334[[#This Row],[Ticker]]&amp;Table1334[[#This Row],[Expiry]]&amp;""&amp;"C"&amp;Table1334[[#This Row],[Spot]]+Table1334[[#This Row],[step]])</f>
        <v>N/A</v>
      </c>
      <c r="E64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4" t="b">
        <f>IF(     ISNUMBER(Table1334[[#This Row],[Strike]]),RTD("tos.rtd", , "DELTA", "."&amp;Table1334[[#This Row],[Ticker]]&amp;Table1334[[#This Row],[Expiry]]&amp;""&amp;"C"&amp;Table1334[[#This Row],[Strike]]))</f>
        <v>0</v>
      </c>
      <c r="H644" s="17" cm="1">
        <f t="array" aca="1" ref="H644" ca="1">IndividualLegIVCore($A$4, Table1334[[#This Row],[Strike]], 0.0411, Table1334[[#This Row],[T]], ((Table1334[[#This Row],[BIDC]]+Table1334[[#This Row],[ASKC]])/2), TRUE)</f>
        <v>0.01</v>
      </c>
      <c r="I644" t="b">
        <f>IF(     ISNUMBER(Table1334[[#This Row],[Strike]]),RTD("tos.rtd", , "BID", "."&amp;Table1334[[#This Row],[Ticker]]&amp;Table1334[[#This Row],[Expiry]]&amp;""&amp;"C"&amp;Table1334[[#This Row],[Strike]]))</f>
        <v>0</v>
      </c>
      <c r="J644" t="b">
        <f>IF(     ISNUMBER(Table1334[[#This Row],[Strike]]),RTD("tos.rtd", , "ASK", "."&amp;Table1334[[#This Row],[Ticker]]&amp;Table1334[[#This Row],[Expiry]]&amp;""&amp;"C"&amp;Table1334[[#This Row],[Strike]]))</f>
        <v>0</v>
      </c>
      <c r="K644" s="17"/>
      <c r="M644" s="1">
        <f t="shared" si="65"/>
        <v>0</v>
      </c>
      <c r="N644" t="b">
        <f t="shared" si="66"/>
        <v>0</v>
      </c>
      <c r="P644" s="17" cm="1">
        <f t="array" aca="1" ref="P644" ca="1">IndividualLegIVCore($A$4, Table1334[[#This Row],[Strike]], 0.0411, Table1334[[#This Row],[T]], ((Table1334[[#This Row],[BIDP]]+Table1334[[#This Row],[ASKP]])/2), FALSE)</f>
        <v>0.01</v>
      </c>
      <c r="Q644" t="b">
        <f>IF(     ISNUMBER(Table1334[[#This Row],[Strike]]),RTD("tos.rtd", , "BID", "."&amp;Table1334[[#This Row],[Ticker]]&amp;Table1334[[#This Row],[Expiry]]&amp;""&amp;"P"&amp;Table1334[[#This Row],[Strike]]))</f>
        <v>0</v>
      </c>
      <c r="R644" t="b">
        <f>IF(     ISNUMBER(Table1334[[#This Row],[Strike]]),RTD("tos.rtd", , "ASK", "."&amp;Table1334[[#This Row],[Ticker]]&amp;Table1334[[#This Row],[Expiry]]&amp;""&amp;"P"&amp;Table1334[[#This Row],[Strike]]))</f>
        <v>0</v>
      </c>
      <c r="S644" s="17"/>
      <c r="T644" t="b">
        <f>IF(     ISNUMBER(Table1334[[#This Row],[Strike]]),RTD("tos.rtd", , "OPEN_INT", "."&amp;Table1334[[#This Row],[Ticker]]&amp;Table1334[[#This Row],[Expiry]]&amp;""&amp;"P"&amp;Table1334[[#This Row],[Strike]]))</f>
        <v>0</v>
      </c>
      <c r="U64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4" t="b">
        <f>IF(     ISNUMBER(Table1334[[#This Row],[Strike]]),RTD("tos.rtd", , "DELTA", "."&amp;Table1334[[#This Row],[Ticker]]&amp;Table1334[[#This Row],[Expiry]]&amp;""&amp;"P"&amp;Table1334[[#This Row],[Strike]]))</f>
        <v>0</v>
      </c>
      <c r="Y644" s="19">
        <f>-37.5* IF($M$1="NDX", 10, IF(OR($M$1="SPX", $M$1="RUT"), 2, 1))</f>
        <v>-75</v>
      </c>
      <c r="Z644">
        <f ca="1">IFERROR(Table1334[[#This Row],[call gamma]]*(Table1334[[#This Row],[Open.Int]])*$A$4^2,0)</f>
        <v>0</v>
      </c>
      <c r="AA644">
        <f ca="1">IFERROR(((Table1334[[#This Row],[Open.Int8]])*Table1334[[#This Row],[Put gamma]])*-1*$A$4^2,0)</f>
        <v>0</v>
      </c>
      <c r="AB644">
        <f ca="1">(Table1334[[#This Row],[Call Gex]]+Table1334[[#This Row],[Put Gex]])</f>
        <v>0</v>
      </c>
      <c r="AC644">
        <f ca="1">Table1334[[#This Row],[put delta adj]]+Table1334[[#This Row],[call delta adj]]</f>
        <v>0</v>
      </c>
      <c r="AD644">
        <f ca="1">Table1334[[#This Row],[Put Gex]]*Table1334[[#This Row],[DeltaP]]*-1</f>
        <v>0</v>
      </c>
      <c r="AE644">
        <f ca="1">Table1334[[#This Row],[Call Gex]]*Table1334[[#This Row],[DeltaC]]</f>
        <v>0</v>
      </c>
      <c r="AF644">
        <f>IF(Table1334[[#This Row],[DeltaC]]-ABS(Table1334[[#This Row],[DeltaP]])="0","0.01",Table1334[[#This Row],[DeltaC]]-ABS(Table1334[[#This Row],[DeltaP]]))</f>
        <v>0</v>
      </c>
      <c r="AG64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4" t="e">
        <f ca="1">(EXP(-(AG644^2)/2)/SQRT(2*PI())*EXP(0*SQRT(Table1334[[#This Row],[T]]))/$A$4*18%*SQRT(SQRT(Table1334[[#This Row],[T]])))</f>
        <v>#DIV/0!</v>
      </c>
      <c r="AJ644" t="e">
        <f ca="1">(EXP(-(AH644^2)/2)/SQRT(2*PI())*EXP(0*SQRT(Table1334[[#This Row],[T]]))/$A$4*18%*SQRT(SQRT(Table1334[[#This Row],[T]])))</f>
        <v>#DIV/0!</v>
      </c>
      <c r="AK644" t="e">
        <f ca="1">Table1334[[#This Row],[Call D1]]-Table1334[[#This Row],[IV Calc C]]*SQRT(Table1334[[#This Row],[T]])</f>
        <v>#DIV/0!</v>
      </c>
      <c r="AL644" t="e">
        <f ca="1">Table1334[[#This Row],[Put D1]]-Table1334[[#This Row],[IV Calc P]]*SQRT(Table1334[[#This Row],[T]])</f>
        <v>#DIV/0!</v>
      </c>
      <c r="AM644" t="e">
        <f ca="1">EXP(-0.5*Table1334[[#This Row],[Call D1]]^2)/SQRT(2*PI())</f>
        <v>#DIV/0!</v>
      </c>
      <c r="AN644" t="e">
        <f ca="1">EXP(-0.5*Table1334[[#This Row],[Put D1]]^2)/SQRT(2*PI())</f>
        <v>#DIV/0!</v>
      </c>
      <c r="AO64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4">
        <f ca="1">((Table1334[[#This Row],[call vanna]]+Table1334[[#This Row],[put vanna]])*$A$4)</f>
        <v>0</v>
      </c>
      <c r="AR64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4" s="9" t="str" cm="1">
        <f t="array" ref="AT644">_xlfn.IFS(     $M$1="SPX","SPXW",     $M$1="RUT","RUTW",  $M$1="NDX","NDXP",   TRUE,$M$1 )</f>
        <v>SPXW</v>
      </c>
      <c r="AU644" s="2">
        <f t="shared" si="67"/>
        <v>6915</v>
      </c>
      <c r="AV644" t="str">
        <f t="shared" si="68"/>
        <v>000100</v>
      </c>
      <c r="AY64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4">
        <f>((Table1334[[#This Row],[High C]]+Table1334[[#This Row],[Low C]])/2)*Table1334[[#This Row],[gammac]]*Table1334[[#This Row],[Volume]]</f>
        <v>0</v>
      </c>
      <c r="BD644">
        <f>((Table1334[[#This Row],[High P]]+Table1334[[#This Row],[Low P]])/2)*Table1334[[#This Row],[gammap]]*Table1334[[#This Row],[Volume9]]*-1</f>
        <v>0</v>
      </c>
      <c r="BE644">
        <f>(Table1334[[#This Row],[SgammaC]]+Table1334[[#This Row],[SgammaP]])*$A$4*-100</f>
        <v>0</v>
      </c>
      <c r="BF644">
        <f>Table1334[[#This Row],[DEXc]]+Table1334[[#This Row],[DEXp]]</f>
        <v>0</v>
      </c>
      <c r="BG644">
        <f>IFERROR(Table1334[[#This Row],[DeltaC]]*Table1334[[#This Row],[Open.Int]]*$A$4,0)</f>
        <v>0</v>
      </c>
      <c r="BH644">
        <f>IFERROR(Table1334[[#This Row],[DeltaP]]*Table1334[[#This Row],[Open.Int8]]*$A$4,0)</f>
        <v>0</v>
      </c>
      <c r="BI64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4">
        <f ca="1">Table1334[[#This Row],[charmc]]+Table1334[[#This Row],[charmp]]</f>
        <v>0</v>
      </c>
      <c r="BL64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4" s="78">
        <f ca="1">Table1334[[#This Row],[call helper]]+Table1334[[#This Row],[put helper]]</f>
        <v>0</v>
      </c>
      <c r="BP644" t="str">
        <f>RTD("tos.rtd", , "STRIKE", "."&amp;Table1334[[#This Row],[Ticker]]&amp;Table1334[[#This Row],[Expiry]]&amp;""&amp;"C"&amp;Table1334[[#This Row],[Spot]]+Table1334[[#This Row],[step]])</f>
        <v>N/A</v>
      </c>
    </row>
    <row r="645" spans="1:68" x14ac:dyDescent="0.25">
      <c r="A645" s="14">
        <f t="shared" ca="1" si="64"/>
        <v>-126.14810350076104</v>
      </c>
      <c r="C645" s="17"/>
      <c r="D645" t="str">
        <f>RTD("tos.rtd", , "OPEN_INT", "."&amp;Table1334[[#This Row],[Ticker]]&amp;Table1334[[#This Row],[Expiry]]&amp;""&amp;"C"&amp;Table1334[[#This Row],[Spot]]+Table1334[[#This Row],[step]])</f>
        <v>N/A</v>
      </c>
      <c r="E64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5" t="b">
        <f>IF(     ISNUMBER(Table1334[[#This Row],[Strike]]),RTD("tos.rtd", , "DELTA", "."&amp;Table1334[[#This Row],[Ticker]]&amp;Table1334[[#This Row],[Expiry]]&amp;""&amp;"C"&amp;Table1334[[#This Row],[Strike]]))</f>
        <v>0</v>
      </c>
      <c r="H645" s="17" cm="1">
        <f t="array" aca="1" ref="H645" ca="1">IndividualLegIVCore($A$4, Table1334[[#This Row],[Strike]], 0.0411, Table1334[[#This Row],[T]], ((Table1334[[#This Row],[BIDC]]+Table1334[[#This Row],[ASKC]])/2), TRUE)</f>
        <v>0.01</v>
      </c>
      <c r="I645" t="b">
        <f>IF(     ISNUMBER(Table1334[[#This Row],[Strike]]),RTD("tos.rtd", , "BID", "."&amp;Table1334[[#This Row],[Ticker]]&amp;Table1334[[#This Row],[Expiry]]&amp;""&amp;"C"&amp;Table1334[[#This Row],[Strike]]))</f>
        <v>0</v>
      </c>
      <c r="J645" t="b">
        <f>IF(     ISNUMBER(Table1334[[#This Row],[Strike]]),RTD("tos.rtd", , "ASK", "."&amp;Table1334[[#This Row],[Ticker]]&amp;Table1334[[#This Row],[Expiry]]&amp;""&amp;"C"&amp;Table1334[[#This Row],[Strike]]))</f>
        <v>0</v>
      </c>
      <c r="K645" s="17"/>
      <c r="M645" s="1">
        <f t="shared" si="65"/>
        <v>0</v>
      </c>
      <c r="N645" t="b">
        <f t="shared" si="66"/>
        <v>0</v>
      </c>
      <c r="P645" s="17" cm="1">
        <f t="array" aca="1" ref="P645" ca="1">IndividualLegIVCore($A$4, Table1334[[#This Row],[Strike]], 0.0411, Table1334[[#This Row],[T]], ((Table1334[[#This Row],[BIDP]]+Table1334[[#This Row],[ASKP]])/2), FALSE)</f>
        <v>0.01</v>
      </c>
      <c r="Q645" t="b">
        <f>IF(     ISNUMBER(Table1334[[#This Row],[Strike]]),RTD("tos.rtd", , "BID", "."&amp;Table1334[[#This Row],[Ticker]]&amp;Table1334[[#This Row],[Expiry]]&amp;""&amp;"P"&amp;Table1334[[#This Row],[Strike]]))</f>
        <v>0</v>
      </c>
      <c r="R645" t="b">
        <f>IF(     ISNUMBER(Table1334[[#This Row],[Strike]]),RTD("tos.rtd", , "ASK", "."&amp;Table1334[[#This Row],[Ticker]]&amp;Table1334[[#This Row],[Expiry]]&amp;""&amp;"P"&amp;Table1334[[#This Row],[Strike]]))</f>
        <v>0</v>
      </c>
      <c r="S645" s="17"/>
      <c r="T645" t="b">
        <f>IF(     ISNUMBER(Table1334[[#This Row],[Strike]]),RTD("tos.rtd", , "OPEN_INT", "."&amp;Table1334[[#This Row],[Ticker]]&amp;Table1334[[#This Row],[Expiry]]&amp;""&amp;"P"&amp;Table1334[[#This Row],[Strike]]))</f>
        <v>0</v>
      </c>
      <c r="U64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5" t="b">
        <f>IF(     ISNUMBER(Table1334[[#This Row],[Strike]]),RTD("tos.rtd", , "DELTA", "."&amp;Table1334[[#This Row],[Ticker]]&amp;Table1334[[#This Row],[Expiry]]&amp;""&amp;"P"&amp;Table1334[[#This Row],[Strike]]))</f>
        <v>0</v>
      </c>
      <c r="Y645" s="19">
        <f xml:space="preserve"> -37 * IF($M$1="NDX", 10, IF(OR($M$1="SPX", $M$1="RUT"), 2, 1))</f>
        <v>-74</v>
      </c>
      <c r="Z645">
        <f ca="1">IFERROR(Table1334[[#This Row],[call gamma]]*(Table1334[[#This Row],[Open.Int]])*$A$4^2,0)</f>
        <v>0</v>
      </c>
      <c r="AA645">
        <f ca="1">IFERROR(((Table1334[[#This Row],[Open.Int8]])*Table1334[[#This Row],[Put gamma]])*-1*$A$4^2,0)</f>
        <v>0</v>
      </c>
      <c r="AB645">
        <f ca="1">(Table1334[[#This Row],[Call Gex]]+Table1334[[#This Row],[Put Gex]])</f>
        <v>0</v>
      </c>
      <c r="AC645">
        <f ca="1">Table1334[[#This Row],[put delta adj]]+Table1334[[#This Row],[call delta adj]]</f>
        <v>0</v>
      </c>
      <c r="AD645">
        <f ca="1">Table1334[[#This Row],[Put Gex]]*Table1334[[#This Row],[DeltaP]]*-1</f>
        <v>0</v>
      </c>
      <c r="AE645">
        <f ca="1">Table1334[[#This Row],[Call Gex]]*Table1334[[#This Row],[DeltaC]]</f>
        <v>0</v>
      </c>
      <c r="AF645">
        <f>IF(Table1334[[#This Row],[DeltaC]]-ABS(Table1334[[#This Row],[DeltaP]])="0","0.01",Table1334[[#This Row],[DeltaC]]-ABS(Table1334[[#This Row],[DeltaP]]))</f>
        <v>0</v>
      </c>
      <c r="AG64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5" t="e">
        <f ca="1">(EXP(-(AG645^2)/2)/SQRT(2*PI())*EXP(0*SQRT(Table1334[[#This Row],[T]]))/$A$4*18%*SQRT(SQRT(Table1334[[#This Row],[T]])))</f>
        <v>#DIV/0!</v>
      </c>
      <c r="AJ645" t="e">
        <f ca="1">(EXP(-(AH645^2)/2)/SQRT(2*PI())*EXP(0*SQRT(Table1334[[#This Row],[T]]))/$A$4*18%*SQRT(SQRT(Table1334[[#This Row],[T]])))</f>
        <v>#DIV/0!</v>
      </c>
      <c r="AK645" t="e">
        <f ca="1">Table1334[[#This Row],[Call D1]]-Table1334[[#This Row],[IV Calc C]]*SQRT(Table1334[[#This Row],[T]])</f>
        <v>#DIV/0!</v>
      </c>
      <c r="AL645" t="e">
        <f ca="1">Table1334[[#This Row],[Put D1]]-Table1334[[#This Row],[IV Calc P]]*SQRT(Table1334[[#This Row],[T]])</f>
        <v>#DIV/0!</v>
      </c>
      <c r="AM645" t="e">
        <f ca="1">EXP(-0.5*Table1334[[#This Row],[Call D1]]^2)/SQRT(2*PI())</f>
        <v>#DIV/0!</v>
      </c>
      <c r="AN645" t="e">
        <f ca="1">EXP(-0.5*Table1334[[#This Row],[Put D1]]^2)/SQRT(2*PI())</f>
        <v>#DIV/0!</v>
      </c>
      <c r="AO64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5">
        <f ca="1">((Table1334[[#This Row],[call vanna]]+Table1334[[#This Row],[put vanna]])*$A$4)</f>
        <v>0</v>
      </c>
      <c r="AR64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5" s="9" t="str" cm="1">
        <f t="array" ref="AT645">_xlfn.IFS(     $M$1="SPX","SPXW",     $M$1="RUT","RUTW",  $M$1="NDX","NDXP",   TRUE,$M$1 )</f>
        <v>SPXW</v>
      </c>
      <c r="AU645" s="2">
        <f t="shared" si="67"/>
        <v>6915</v>
      </c>
      <c r="AV645" t="str">
        <f t="shared" si="68"/>
        <v>000100</v>
      </c>
      <c r="AY64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5">
        <f>((Table1334[[#This Row],[High C]]+Table1334[[#This Row],[Low C]])/2)*Table1334[[#This Row],[gammac]]*Table1334[[#This Row],[Volume]]</f>
        <v>0</v>
      </c>
      <c r="BD645">
        <f>((Table1334[[#This Row],[High P]]+Table1334[[#This Row],[Low P]])/2)*Table1334[[#This Row],[gammap]]*Table1334[[#This Row],[Volume9]]*-1</f>
        <v>0</v>
      </c>
      <c r="BE645">
        <f>(Table1334[[#This Row],[SgammaC]]+Table1334[[#This Row],[SgammaP]])*$A$4*-100</f>
        <v>0</v>
      </c>
      <c r="BF645">
        <f>Table1334[[#This Row],[DEXc]]+Table1334[[#This Row],[DEXp]]</f>
        <v>0</v>
      </c>
      <c r="BG645">
        <f>IFERROR(Table1334[[#This Row],[DeltaC]]*Table1334[[#This Row],[Open.Int]]*$A$4,0)</f>
        <v>0</v>
      </c>
      <c r="BH645">
        <f>IFERROR(Table1334[[#This Row],[DeltaP]]*Table1334[[#This Row],[Open.Int8]]*$A$4,0)</f>
        <v>0</v>
      </c>
      <c r="BI64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5">
        <f ca="1">Table1334[[#This Row],[charmc]]+Table1334[[#This Row],[charmp]]</f>
        <v>0</v>
      </c>
      <c r="BL64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5" s="78">
        <f ca="1">Table1334[[#This Row],[call helper]]+Table1334[[#This Row],[put helper]]</f>
        <v>0</v>
      </c>
      <c r="BP645" t="str">
        <f>RTD("tos.rtd", , "STRIKE", "."&amp;Table1334[[#This Row],[Ticker]]&amp;Table1334[[#This Row],[Expiry]]&amp;""&amp;"C"&amp;Table1334[[#This Row],[Spot]]+Table1334[[#This Row],[step]])</f>
        <v>N/A</v>
      </c>
    </row>
    <row r="646" spans="1:68" x14ac:dyDescent="0.25">
      <c r="A646" s="14">
        <f t="shared" ca="1" si="64"/>
        <v>-126.14810350076104</v>
      </c>
      <c r="C646" s="17"/>
      <c r="D646" t="str">
        <f>RTD("tos.rtd", , "OPEN_INT", "."&amp;Table1334[[#This Row],[Ticker]]&amp;Table1334[[#This Row],[Expiry]]&amp;""&amp;"C"&amp;Table1334[[#This Row],[Spot]]+Table1334[[#This Row],[step]])</f>
        <v>N/A</v>
      </c>
      <c r="E64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6" t="b">
        <f>IF(     ISNUMBER(Table1334[[#This Row],[Strike]]),RTD("tos.rtd", , "DELTA", "."&amp;Table1334[[#This Row],[Ticker]]&amp;Table1334[[#This Row],[Expiry]]&amp;""&amp;"C"&amp;Table1334[[#This Row],[Strike]]))</f>
        <v>0</v>
      </c>
      <c r="H646" s="17" cm="1">
        <f t="array" aca="1" ref="H646" ca="1">IndividualLegIVCore($A$4, Table1334[[#This Row],[Strike]], 0.0411, Table1334[[#This Row],[T]], ((Table1334[[#This Row],[BIDC]]+Table1334[[#This Row],[ASKC]])/2), TRUE)</f>
        <v>0.01</v>
      </c>
      <c r="I646" t="b">
        <f>IF(     ISNUMBER(Table1334[[#This Row],[Strike]]),RTD("tos.rtd", , "BID", "."&amp;Table1334[[#This Row],[Ticker]]&amp;Table1334[[#This Row],[Expiry]]&amp;""&amp;"C"&amp;Table1334[[#This Row],[Strike]]))</f>
        <v>0</v>
      </c>
      <c r="J646" t="b">
        <f>IF(     ISNUMBER(Table1334[[#This Row],[Strike]]),RTD("tos.rtd", , "ASK", "."&amp;Table1334[[#This Row],[Ticker]]&amp;Table1334[[#This Row],[Expiry]]&amp;""&amp;"C"&amp;Table1334[[#This Row],[Strike]]))</f>
        <v>0</v>
      </c>
      <c r="K646" s="17"/>
      <c r="M646" s="1">
        <f t="shared" si="65"/>
        <v>0</v>
      </c>
      <c r="N646" t="b">
        <f t="shared" si="66"/>
        <v>0</v>
      </c>
      <c r="P646" s="17" cm="1">
        <f t="array" aca="1" ref="P646" ca="1">IndividualLegIVCore($A$4, Table1334[[#This Row],[Strike]], 0.0411, Table1334[[#This Row],[T]], ((Table1334[[#This Row],[BIDP]]+Table1334[[#This Row],[ASKP]])/2), FALSE)</f>
        <v>0.01</v>
      </c>
      <c r="Q646" t="b">
        <f>IF(     ISNUMBER(Table1334[[#This Row],[Strike]]),RTD("tos.rtd", , "BID", "."&amp;Table1334[[#This Row],[Ticker]]&amp;Table1334[[#This Row],[Expiry]]&amp;""&amp;"P"&amp;Table1334[[#This Row],[Strike]]))</f>
        <v>0</v>
      </c>
      <c r="R646" t="b">
        <f>IF(     ISNUMBER(Table1334[[#This Row],[Strike]]),RTD("tos.rtd", , "ASK", "."&amp;Table1334[[#This Row],[Ticker]]&amp;Table1334[[#This Row],[Expiry]]&amp;""&amp;"P"&amp;Table1334[[#This Row],[Strike]]))</f>
        <v>0</v>
      </c>
      <c r="S646" s="17"/>
      <c r="T646" t="b">
        <f>IF(     ISNUMBER(Table1334[[#This Row],[Strike]]),RTD("tos.rtd", , "OPEN_INT", "."&amp;Table1334[[#This Row],[Ticker]]&amp;Table1334[[#This Row],[Expiry]]&amp;""&amp;"P"&amp;Table1334[[#This Row],[Strike]]))</f>
        <v>0</v>
      </c>
      <c r="U64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6" t="b">
        <f>IF(     ISNUMBER(Table1334[[#This Row],[Strike]]),RTD("tos.rtd", , "DELTA", "."&amp;Table1334[[#This Row],[Ticker]]&amp;Table1334[[#This Row],[Expiry]]&amp;""&amp;"P"&amp;Table1334[[#This Row],[Strike]]))</f>
        <v>0</v>
      </c>
      <c r="Y646" s="19">
        <f>-36.5 * IF($M$1="NDX", 10, IF(OR($M$1="SPX", $M$1="RUT"), 2, 1))</f>
        <v>-73</v>
      </c>
      <c r="Z646">
        <f ca="1">IFERROR(Table1334[[#This Row],[call gamma]]*(Table1334[[#This Row],[Open.Int]])*$A$4^2,0)</f>
        <v>0</v>
      </c>
      <c r="AA646">
        <f ca="1">IFERROR(((Table1334[[#This Row],[Open.Int8]])*Table1334[[#This Row],[Put gamma]])*-1*$A$4^2,0)</f>
        <v>0</v>
      </c>
      <c r="AB646">
        <f ca="1">(Table1334[[#This Row],[Call Gex]]+Table1334[[#This Row],[Put Gex]])</f>
        <v>0</v>
      </c>
      <c r="AC646">
        <f ca="1">Table1334[[#This Row],[put delta adj]]+Table1334[[#This Row],[call delta adj]]</f>
        <v>0</v>
      </c>
      <c r="AD646">
        <f ca="1">Table1334[[#This Row],[Put Gex]]*Table1334[[#This Row],[DeltaP]]*-1</f>
        <v>0</v>
      </c>
      <c r="AE646">
        <f ca="1">Table1334[[#This Row],[Call Gex]]*Table1334[[#This Row],[DeltaC]]</f>
        <v>0</v>
      </c>
      <c r="AF646">
        <f>IF(Table1334[[#This Row],[DeltaC]]-ABS(Table1334[[#This Row],[DeltaP]])="0","0.01",Table1334[[#This Row],[DeltaC]]-ABS(Table1334[[#This Row],[DeltaP]]))</f>
        <v>0</v>
      </c>
      <c r="AG64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6" t="e">
        <f ca="1">(EXP(-(AG646^2)/2)/SQRT(2*PI())*EXP(0*SQRT(Table1334[[#This Row],[T]]))/$A$4*18%*SQRT(SQRT(Table1334[[#This Row],[T]])))</f>
        <v>#DIV/0!</v>
      </c>
      <c r="AJ646" t="e">
        <f ca="1">(EXP(-(AH646^2)/2)/SQRT(2*PI())*EXP(0*SQRT(Table1334[[#This Row],[T]]))/$A$4*18%*SQRT(SQRT(Table1334[[#This Row],[T]])))</f>
        <v>#DIV/0!</v>
      </c>
      <c r="AK646" t="e">
        <f ca="1">Table1334[[#This Row],[Call D1]]-Table1334[[#This Row],[IV Calc C]]*SQRT(Table1334[[#This Row],[T]])</f>
        <v>#DIV/0!</v>
      </c>
      <c r="AL646" t="e">
        <f ca="1">Table1334[[#This Row],[Put D1]]-Table1334[[#This Row],[IV Calc P]]*SQRT(Table1334[[#This Row],[T]])</f>
        <v>#DIV/0!</v>
      </c>
      <c r="AM646" t="e">
        <f ca="1">EXP(-0.5*Table1334[[#This Row],[Call D1]]^2)/SQRT(2*PI())</f>
        <v>#DIV/0!</v>
      </c>
      <c r="AN646" t="e">
        <f ca="1">EXP(-0.5*Table1334[[#This Row],[Put D1]]^2)/SQRT(2*PI())</f>
        <v>#DIV/0!</v>
      </c>
      <c r="AO64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6">
        <f ca="1">((Table1334[[#This Row],[call vanna]]+Table1334[[#This Row],[put vanna]])*$A$4)</f>
        <v>0</v>
      </c>
      <c r="AR64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6" s="9" t="str" cm="1">
        <f t="array" ref="AT646">_xlfn.IFS(     $M$1="SPX","SPXW",     $M$1="RUT","RUTW",  $M$1="NDX","NDXP",   TRUE,$M$1 )</f>
        <v>SPXW</v>
      </c>
      <c r="AU646" s="2">
        <f t="shared" si="67"/>
        <v>6915</v>
      </c>
      <c r="AV646" t="str">
        <f t="shared" si="68"/>
        <v>000100</v>
      </c>
      <c r="AY64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6">
        <f>((Table1334[[#This Row],[High C]]+Table1334[[#This Row],[Low C]])/2)*Table1334[[#This Row],[gammac]]*Table1334[[#This Row],[Volume]]</f>
        <v>0</v>
      </c>
      <c r="BD646">
        <f>((Table1334[[#This Row],[High P]]+Table1334[[#This Row],[Low P]])/2)*Table1334[[#This Row],[gammap]]*Table1334[[#This Row],[Volume9]]*-1</f>
        <v>0</v>
      </c>
      <c r="BE646">
        <f>(Table1334[[#This Row],[SgammaC]]+Table1334[[#This Row],[SgammaP]])*$A$4*-100</f>
        <v>0</v>
      </c>
      <c r="BF646">
        <f>Table1334[[#This Row],[DEXc]]+Table1334[[#This Row],[DEXp]]</f>
        <v>0</v>
      </c>
      <c r="BG646">
        <f>IFERROR(Table1334[[#This Row],[DeltaC]]*Table1334[[#This Row],[Open.Int]]*$A$4,0)</f>
        <v>0</v>
      </c>
      <c r="BH646">
        <f>IFERROR(Table1334[[#This Row],[DeltaP]]*Table1334[[#This Row],[Open.Int8]]*$A$4,0)</f>
        <v>0</v>
      </c>
      <c r="BI64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6">
        <f ca="1">Table1334[[#This Row],[charmc]]+Table1334[[#This Row],[charmp]]</f>
        <v>0</v>
      </c>
      <c r="BL64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6" s="78">
        <f ca="1">Table1334[[#This Row],[call helper]]+Table1334[[#This Row],[put helper]]</f>
        <v>0</v>
      </c>
      <c r="BP646" t="str">
        <f>RTD("tos.rtd", , "STRIKE", "."&amp;Table1334[[#This Row],[Ticker]]&amp;Table1334[[#This Row],[Expiry]]&amp;""&amp;"C"&amp;Table1334[[#This Row],[Spot]]+Table1334[[#This Row],[step]])</f>
        <v>N/A</v>
      </c>
    </row>
    <row r="647" spans="1:68" x14ac:dyDescent="0.25">
      <c r="A647" s="14">
        <f t="shared" ca="1" si="64"/>
        <v>-126.14810350076104</v>
      </c>
      <c r="C647" s="17"/>
      <c r="D647" t="str">
        <f>RTD("tos.rtd", , "OPEN_INT", "."&amp;Table1334[[#This Row],[Ticker]]&amp;Table1334[[#This Row],[Expiry]]&amp;""&amp;"C"&amp;Table1334[[#This Row],[Spot]]+Table1334[[#This Row],[step]])</f>
        <v>N/A</v>
      </c>
      <c r="E64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7" t="b">
        <f>IF(     ISNUMBER(Table1334[[#This Row],[Strike]]),RTD("tos.rtd", , "DELTA", "."&amp;Table1334[[#This Row],[Ticker]]&amp;Table1334[[#This Row],[Expiry]]&amp;""&amp;"C"&amp;Table1334[[#This Row],[Strike]]))</f>
        <v>0</v>
      </c>
      <c r="H647" s="17" cm="1">
        <f t="array" aca="1" ref="H647" ca="1">IndividualLegIVCore($A$4, Table1334[[#This Row],[Strike]], 0.0411, Table1334[[#This Row],[T]], ((Table1334[[#This Row],[BIDC]]+Table1334[[#This Row],[ASKC]])/2), TRUE)</f>
        <v>0.01</v>
      </c>
      <c r="I647" t="b">
        <f>IF(     ISNUMBER(Table1334[[#This Row],[Strike]]),RTD("tos.rtd", , "BID", "."&amp;Table1334[[#This Row],[Ticker]]&amp;Table1334[[#This Row],[Expiry]]&amp;""&amp;"C"&amp;Table1334[[#This Row],[Strike]]))</f>
        <v>0</v>
      </c>
      <c r="J647" t="b">
        <f>IF(     ISNUMBER(Table1334[[#This Row],[Strike]]),RTD("tos.rtd", , "ASK", "."&amp;Table1334[[#This Row],[Ticker]]&amp;Table1334[[#This Row],[Expiry]]&amp;""&amp;"C"&amp;Table1334[[#This Row],[Strike]]))</f>
        <v>0</v>
      </c>
      <c r="K647" s="17"/>
      <c r="M647" s="1">
        <f t="shared" si="65"/>
        <v>0</v>
      </c>
      <c r="N647" t="b">
        <f t="shared" si="66"/>
        <v>0</v>
      </c>
      <c r="P647" s="17" cm="1">
        <f t="array" aca="1" ref="P647" ca="1">IndividualLegIVCore($A$4, Table1334[[#This Row],[Strike]], 0.0411, Table1334[[#This Row],[T]], ((Table1334[[#This Row],[BIDP]]+Table1334[[#This Row],[ASKP]])/2), FALSE)</f>
        <v>0.01</v>
      </c>
      <c r="Q647" t="b">
        <f>IF(     ISNUMBER(Table1334[[#This Row],[Strike]]),RTD("tos.rtd", , "BID", "."&amp;Table1334[[#This Row],[Ticker]]&amp;Table1334[[#This Row],[Expiry]]&amp;""&amp;"P"&amp;Table1334[[#This Row],[Strike]]))</f>
        <v>0</v>
      </c>
      <c r="R647" t="b">
        <f>IF(     ISNUMBER(Table1334[[#This Row],[Strike]]),RTD("tos.rtd", , "ASK", "."&amp;Table1334[[#This Row],[Ticker]]&amp;Table1334[[#This Row],[Expiry]]&amp;""&amp;"P"&amp;Table1334[[#This Row],[Strike]]))</f>
        <v>0</v>
      </c>
      <c r="S647" s="17"/>
      <c r="T647" t="b">
        <f>IF(     ISNUMBER(Table1334[[#This Row],[Strike]]),RTD("tos.rtd", , "OPEN_INT", "."&amp;Table1334[[#This Row],[Ticker]]&amp;Table1334[[#This Row],[Expiry]]&amp;""&amp;"P"&amp;Table1334[[#This Row],[Strike]]))</f>
        <v>0</v>
      </c>
      <c r="U64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7" t="b">
        <f>IF(     ISNUMBER(Table1334[[#This Row],[Strike]]),RTD("tos.rtd", , "DELTA", "."&amp;Table1334[[#This Row],[Ticker]]&amp;Table1334[[#This Row],[Expiry]]&amp;""&amp;"P"&amp;Table1334[[#This Row],[Strike]]))</f>
        <v>0</v>
      </c>
      <c r="Y647" s="19">
        <f>-36 * IF($M$1="NDX", 10, IF(OR($M$1="SPX", $M$1="RUT"), 2, 1))</f>
        <v>-72</v>
      </c>
      <c r="Z647">
        <f ca="1">IFERROR(Table1334[[#This Row],[call gamma]]*(Table1334[[#This Row],[Open.Int]])*$A$4^2,0)</f>
        <v>0</v>
      </c>
      <c r="AA647">
        <f ca="1">IFERROR(((Table1334[[#This Row],[Open.Int8]])*Table1334[[#This Row],[Put gamma]])*-1*$A$4^2,0)</f>
        <v>0</v>
      </c>
      <c r="AB647">
        <f ca="1">(Table1334[[#This Row],[Call Gex]]+Table1334[[#This Row],[Put Gex]])</f>
        <v>0</v>
      </c>
      <c r="AC647">
        <f ca="1">Table1334[[#This Row],[put delta adj]]+Table1334[[#This Row],[call delta adj]]</f>
        <v>0</v>
      </c>
      <c r="AD647">
        <f ca="1">Table1334[[#This Row],[Put Gex]]*Table1334[[#This Row],[DeltaP]]*-1</f>
        <v>0</v>
      </c>
      <c r="AE647">
        <f ca="1">Table1334[[#This Row],[Call Gex]]*Table1334[[#This Row],[DeltaC]]</f>
        <v>0</v>
      </c>
      <c r="AF647">
        <f>IF(Table1334[[#This Row],[DeltaC]]-ABS(Table1334[[#This Row],[DeltaP]])="0","0.01",Table1334[[#This Row],[DeltaC]]-ABS(Table1334[[#This Row],[DeltaP]]))</f>
        <v>0</v>
      </c>
      <c r="AG64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7" t="e">
        <f ca="1">(EXP(-(AG647^2)/2)/SQRT(2*PI())*EXP(0*SQRT(Table1334[[#This Row],[T]]))/$A$4*18%*SQRT(SQRT(Table1334[[#This Row],[T]])))</f>
        <v>#DIV/0!</v>
      </c>
      <c r="AJ647" t="e">
        <f ca="1">(EXP(-(AH647^2)/2)/SQRT(2*PI())*EXP(0*SQRT(Table1334[[#This Row],[T]]))/$A$4*18%*SQRT(SQRT(Table1334[[#This Row],[T]])))</f>
        <v>#DIV/0!</v>
      </c>
      <c r="AK647" t="e">
        <f ca="1">Table1334[[#This Row],[Call D1]]-Table1334[[#This Row],[IV Calc C]]*SQRT(Table1334[[#This Row],[T]])</f>
        <v>#DIV/0!</v>
      </c>
      <c r="AL647" t="e">
        <f ca="1">Table1334[[#This Row],[Put D1]]-Table1334[[#This Row],[IV Calc P]]*SQRT(Table1334[[#This Row],[T]])</f>
        <v>#DIV/0!</v>
      </c>
      <c r="AM647" t="e">
        <f ca="1">EXP(-0.5*Table1334[[#This Row],[Call D1]]^2)/SQRT(2*PI())</f>
        <v>#DIV/0!</v>
      </c>
      <c r="AN647" t="e">
        <f ca="1">EXP(-0.5*Table1334[[#This Row],[Put D1]]^2)/SQRT(2*PI())</f>
        <v>#DIV/0!</v>
      </c>
      <c r="AO64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7">
        <f ca="1">((Table1334[[#This Row],[call vanna]]+Table1334[[#This Row],[put vanna]])*$A$4)</f>
        <v>0</v>
      </c>
      <c r="AR64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7" s="9" t="str" cm="1">
        <f t="array" ref="AT647">_xlfn.IFS(     $M$1="SPX","SPXW",     $M$1="RUT","RUTW",  $M$1="NDX","NDXP",   TRUE,$M$1 )</f>
        <v>SPXW</v>
      </c>
      <c r="AU647" s="2">
        <f t="shared" si="67"/>
        <v>6915</v>
      </c>
      <c r="AV647" t="str">
        <f t="shared" si="68"/>
        <v>000100</v>
      </c>
      <c r="AY64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7">
        <f>((Table1334[[#This Row],[High C]]+Table1334[[#This Row],[Low C]])/2)*Table1334[[#This Row],[gammac]]*Table1334[[#This Row],[Volume]]</f>
        <v>0</v>
      </c>
      <c r="BD647">
        <f>((Table1334[[#This Row],[High P]]+Table1334[[#This Row],[Low P]])/2)*Table1334[[#This Row],[gammap]]*Table1334[[#This Row],[Volume9]]*-1</f>
        <v>0</v>
      </c>
      <c r="BE647">
        <f>(Table1334[[#This Row],[SgammaC]]+Table1334[[#This Row],[SgammaP]])*$A$4*-100</f>
        <v>0</v>
      </c>
      <c r="BF647">
        <f>Table1334[[#This Row],[DEXc]]+Table1334[[#This Row],[DEXp]]</f>
        <v>0</v>
      </c>
      <c r="BG647">
        <f>IFERROR(Table1334[[#This Row],[DeltaC]]*Table1334[[#This Row],[Open.Int]]*$A$4,0)</f>
        <v>0</v>
      </c>
      <c r="BH647">
        <f>IFERROR(Table1334[[#This Row],[DeltaP]]*Table1334[[#This Row],[Open.Int8]]*$A$4,0)</f>
        <v>0</v>
      </c>
      <c r="BI64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7">
        <f ca="1">Table1334[[#This Row],[charmc]]+Table1334[[#This Row],[charmp]]</f>
        <v>0</v>
      </c>
      <c r="BL64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7" s="78">
        <f ca="1">Table1334[[#This Row],[call helper]]+Table1334[[#This Row],[put helper]]</f>
        <v>0</v>
      </c>
      <c r="BP647" t="str">
        <f>RTD("tos.rtd", , "STRIKE", "."&amp;Table1334[[#This Row],[Ticker]]&amp;Table1334[[#This Row],[Expiry]]&amp;""&amp;"C"&amp;Table1334[[#This Row],[Spot]]+Table1334[[#This Row],[step]])</f>
        <v>N/A</v>
      </c>
    </row>
    <row r="648" spans="1:68" x14ac:dyDescent="0.25">
      <c r="A648" s="14">
        <f t="shared" ca="1" si="64"/>
        <v>-126.14810350076104</v>
      </c>
      <c r="C648" s="17"/>
      <c r="D648" t="str">
        <f>RTD("tos.rtd", , "OPEN_INT", "."&amp;Table1334[[#This Row],[Ticker]]&amp;Table1334[[#This Row],[Expiry]]&amp;""&amp;"C"&amp;Table1334[[#This Row],[Spot]]+Table1334[[#This Row],[step]])</f>
        <v>N/A</v>
      </c>
      <c r="E64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8" t="b">
        <f>IF(     ISNUMBER(Table1334[[#This Row],[Strike]]),RTD("tos.rtd", , "DELTA", "."&amp;Table1334[[#This Row],[Ticker]]&amp;Table1334[[#This Row],[Expiry]]&amp;""&amp;"C"&amp;Table1334[[#This Row],[Strike]]))</f>
        <v>0</v>
      </c>
      <c r="H648" s="17" cm="1">
        <f t="array" aca="1" ref="H648" ca="1">IndividualLegIVCore($A$4, Table1334[[#This Row],[Strike]], 0.0411, Table1334[[#This Row],[T]], ((Table1334[[#This Row],[BIDC]]+Table1334[[#This Row],[ASKC]])/2), TRUE)</f>
        <v>0.01</v>
      </c>
      <c r="I648" t="b">
        <f>IF(     ISNUMBER(Table1334[[#This Row],[Strike]]),RTD("tos.rtd", , "BID", "."&amp;Table1334[[#This Row],[Ticker]]&amp;Table1334[[#This Row],[Expiry]]&amp;""&amp;"C"&amp;Table1334[[#This Row],[Strike]]))</f>
        <v>0</v>
      </c>
      <c r="J648" t="b">
        <f>IF(     ISNUMBER(Table1334[[#This Row],[Strike]]),RTD("tos.rtd", , "ASK", "."&amp;Table1334[[#This Row],[Ticker]]&amp;Table1334[[#This Row],[Expiry]]&amp;""&amp;"C"&amp;Table1334[[#This Row],[Strike]]))</f>
        <v>0</v>
      </c>
      <c r="K648" s="17"/>
      <c r="M648" s="1">
        <f t="shared" si="65"/>
        <v>0</v>
      </c>
      <c r="N648" t="b">
        <f t="shared" si="66"/>
        <v>0</v>
      </c>
      <c r="P648" s="17" cm="1">
        <f t="array" aca="1" ref="P648" ca="1">IndividualLegIVCore($A$4, Table1334[[#This Row],[Strike]], 0.0411, Table1334[[#This Row],[T]], ((Table1334[[#This Row],[BIDP]]+Table1334[[#This Row],[ASKP]])/2), FALSE)</f>
        <v>0.01</v>
      </c>
      <c r="Q648" t="b">
        <f>IF(     ISNUMBER(Table1334[[#This Row],[Strike]]),RTD("tos.rtd", , "BID", "."&amp;Table1334[[#This Row],[Ticker]]&amp;Table1334[[#This Row],[Expiry]]&amp;""&amp;"P"&amp;Table1334[[#This Row],[Strike]]))</f>
        <v>0</v>
      </c>
      <c r="R648" t="b">
        <f>IF(     ISNUMBER(Table1334[[#This Row],[Strike]]),RTD("tos.rtd", , "ASK", "."&amp;Table1334[[#This Row],[Ticker]]&amp;Table1334[[#This Row],[Expiry]]&amp;""&amp;"P"&amp;Table1334[[#This Row],[Strike]]))</f>
        <v>0</v>
      </c>
      <c r="S648" s="17"/>
      <c r="T648" t="b">
        <f>IF(     ISNUMBER(Table1334[[#This Row],[Strike]]),RTD("tos.rtd", , "OPEN_INT", "."&amp;Table1334[[#This Row],[Ticker]]&amp;Table1334[[#This Row],[Expiry]]&amp;""&amp;"P"&amp;Table1334[[#This Row],[Strike]]))</f>
        <v>0</v>
      </c>
      <c r="U64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8" t="b">
        <f>IF(     ISNUMBER(Table1334[[#This Row],[Strike]]),RTD("tos.rtd", , "DELTA", "."&amp;Table1334[[#This Row],[Ticker]]&amp;Table1334[[#This Row],[Expiry]]&amp;""&amp;"P"&amp;Table1334[[#This Row],[Strike]]))</f>
        <v>0</v>
      </c>
      <c r="Y648" s="19">
        <f>-35.5 * IF($M$1="NDX", 10, IF(OR($M$1="SPX", $M$1="RUT"), 2, 1))</f>
        <v>-71</v>
      </c>
      <c r="Z648">
        <f ca="1">IFERROR(Table1334[[#This Row],[call gamma]]*(Table1334[[#This Row],[Open.Int]])*$A$4^2,0)</f>
        <v>0</v>
      </c>
      <c r="AA648">
        <f ca="1">IFERROR(((Table1334[[#This Row],[Open.Int8]])*Table1334[[#This Row],[Put gamma]])*-1*$A$4^2,0)</f>
        <v>0</v>
      </c>
      <c r="AB648">
        <f ca="1">(Table1334[[#This Row],[Call Gex]]+Table1334[[#This Row],[Put Gex]])</f>
        <v>0</v>
      </c>
      <c r="AC648">
        <f ca="1">Table1334[[#This Row],[put delta adj]]+Table1334[[#This Row],[call delta adj]]</f>
        <v>0</v>
      </c>
      <c r="AD648">
        <f ca="1">Table1334[[#This Row],[Put Gex]]*Table1334[[#This Row],[DeltaP]]*-1</f>
        <v>0</v>
      </c>
      <c r="AE648">
        <f ca="1">Table1334[[#This Row],[Call Gex]]*Table1334[[#This Row],[DeltaC]]</f>
        <v>0</v>
      </c>
      <c r="AF648">
        <f>IF(Table1334[[#This Row],[DeltaC]]-ABS(Table1334[[#This Row],[DeltaP]])="0","0.01",Table1334[[#This Row],[DeltaC]]-ABS(Table1334[[#This Row],[DeltaP]]))</f>
        <v>0</v>
      </c>
      <c r="AG64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8" t="e">
        <f ca="1">(EXP(-(AG648^2)/2)/SQRT(2*PI())*EXP(0*SQRT(Table1334[[#This Row],[T]]))/$A$4*18%*SQRT(SQRT(Table1334[[#This Row],[T]])))</f>
        <v>#DIV/0!</v>
      </c>
      <c r="AJ648" t="e">
        <f ca="1">(EXP(-(AH648^2)/2)/SQRT(2*PI())*EXP(0*SQRT(Table1334[[#This Row],[T]]))/$A$4*18%*SQRT(SQRT(Table1334[[#This Row],[T]])))</f>
        <v>#DIV/0!</v>
      </c>
      <c r="AK648" t="e">
        <f ca="1">Table1334[[#This Row],[Call D1]]-Table1334[[#This Row],[IV Calc C]]*SQRT(Table1334[[#This Row],[T]])</f>
        <v>#DIV/0!</v>
      </c>
      <c r="AL648" t="e">
        <f ca="1">Table1334[[#This Row],[Put D1]]-Table1334[[#This Row],[IV Calc P]]*SQRT(Table1334[[#This Row],[T]])</f>
        <v>#DIV/0!</v>
      </c>
      <c r="AM648" t="e">
        <f ca="1">EXP(-0.5*Table1334[[#This Row],[Call D1]]^2)/SQRT(2*PI())</f>
        <v>#DIV/0!</v>
      </c>
      <c r="AN648" t="e">
        <f ca="1">EXP(-0.5*Table1334[[#This Row],[Put D1]]^2)/SQRT(2*PI())</f>
        <v>#DIV/0!</v>
      </c>
      <c r="AO64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8">
        <f ca="1">((Table1334[[#This Row],[call vanna]]+Table1334[[#This Row],[put vanna]])*$A$4)</f>
        <v>0</v>
      </c>
      <c r="AR64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8" s="9" t="str" cm="1">
        <f t="array" ref="AT648">_xlfn.IFS(     $M$1="SPX","SPXW",     $M$1="RUT","RUTW",  $M$1="NDX","NDXP",   TRUE,$M$1 )</f>
        <v>SPXW</v>
      </c>
      <c r="AU648" s="2">
        <f t="shared" si="67"/>
        <v>6915</v>
      </c>
      <c r="AV648" t="str">
        <f t="shared" si="68"/>
        <v>000100</v>
      </c>
      <c r="AY64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8">
        <f>((Table1334[[#This Row],[High C]]+Table1334[[#This Row],[Low C]])/2)*Table1334[[#This Row],[gammac]]*Table1334[[#This Row],[Volume]]</f>
        <v>0</v>
      </c>
      <c r="BD648">
        <f>((Table1334[[#This Row],[High P]]+Table1334[[#This Row],[Low P]])/2)*Table1334[[#This Row],[gammap]]*Table1334[[#This Row],[Volume9]]*-1</f>
        <v>0</v>
      </c>
      <c r="BE648">
        <f>(Table1334[[#This Row],[SgammaC]]+Table1334[[#This Row],[SgammaP]])*$A$4*-100</f>
        <v>0</v>
      </c>
      <c r="BF648">
        <f>Table1334[[#This Row],[DEXc]]+Table1334[[#This Row],[DEXp]]</f>
        <v>0</v>
      </c>
      <c r="BG648">
        <f>IFERROR(Table1334[[#This Row],[DeltaC]]*Table1334[[#This Row],[Open.Int]]*$A$4,0)</f>
        <v>0</v>
      </c>
      <c r="BH648">
        <f>IFERROR(Table1334[[#This Row],[DeltaP]]*Table1334[[#This Row],[Open.Int8]]*$A$4,0)</f>
        <v>0</v>
      </c>
      <c r="BI64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8">
        <f ca="1">Table1334[[#This Row],[charmc]]+Table1334[[#This Row],[charmp]]</f>
        <v>0</v>
      </c>
      <c r="BL64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8" s="78">
        <f ca="1">Table1334[[#This Row],[call helper]]+Table1334[[#This Row],[put helper]]</f>
        <v>0</v>
      </c>
      <c r="BP648" t="str">
        <f>RTD("tos.rtd", , "STRIKE", "."&amp;Table1334[[#This Row],[Ticker]]&amp;Table1334[[#This Row],[Expiry]]&amp;""&amp;"C"&amp;Table1334[[#This Row],[Spot]]+Table1334[[#This Row],[step]])</f>
        <v>N/A</v>
      </c>
    </row>
    <row r="649" spans="1:68" x14ac:dyDescent="0.25">
      <c r="A649" s="14">
        <f t="shared" ca="1" si="64"/>
        <v>-126.14810350076104</v>
      </c>
      <c r="C649" s="17"/>
      <c r="D649" t="str">
        <f>RTD("tos.rtd", , "OPEN_INT", "."&amp;Table1334[[#This Row],[Ticker]]&amp;Table1334[[#This Row],[Expiry]]&amp;""&amp;"C"&amp;Table1334[[#This Row],[Spot]]+Table1334[[#This Row],[step]])</f>
        <v>N/A</v>
      </c>
      <c r="E64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9" t="b">
        <f>IF(     ISNUMBER(Table1334[[#This Row],[Strike]]),RTD("tos.rtd", , "DELTA", "."&amp;Table1334[[#This Row],[Ticker]]&amp;Table1334[[#This Row],[Expiry]]&amp;""&amp;"C"&amp;Table1334[[#This Row],[Strike]]))</f>
        <v>0</v>
      </c>
      <c r="H649" s="17" cm="1">
        <f t="array" aca="1" ref="H649" ca="1">IndividualLegIVCore($A$4, Table1334[[#This Row],[Strike]], 0.0411, Table1334[[#This Row],[T]], ((Table1334[[#This Row],[BIDC]]+Table1334[[#This Row],[ASKC]])/2), TRUE)</f>
        <v>0.01</v>
      </c>
      <c r="I649" t="b">
        <f>IF(     ISNUMBER(Table1334[[#This Row],[Strike]]),RTD("tos.rtd", , "BID", "."&amp;Table1334[[#This Row],[Ticker]]&amp;Table1334[[#This Row],[Expiry]]&amp;""&amp;"C"&amp;Table1334[[#This Row],[Strike]]))</f>
        <v>0</v>
      </c>
      <c r="J649" t="b">
        <f>IF(     ISNUMBER(Table1334[[#This Row],[Strike]]),RTD("tos.rtd", , "ASK", "."&amp;Table1334[[#This Row],[Ticker]]&amp;Table1334[[#This Row],[Expiry]]&amp;""&amp;"C"&amp;Table1334[[#This Row],[Strike]]))</f>
        <v>0</v>
      </c>
      <c r="K649" s="17"/>
      <c r="M649" s="1">
        <f t="shared" si="65"/>
        <v>0</v>
      </c>
      <c r="N649" t="b">
        <f t="shared" si="66"/>
        <v>0</v>
      </c>
      <c r="P649" s="17" cm="1">
        <f t="array" aca="1" ref="P649" ca="1">IndividualLegIVCore($A$4, Table1334[[#This Row],[Strike]], 0.0411, Table1334[[#This Row],[T]], ((Table1334[[#This Row],[BIDP]]+Table1334[[#This Row],[ASKP]])/2), FALSE)</f>
        <v>0.01</v>
      </c>
      <c r="Q649" t="b">
        <f>IF(     ISNUMBER(Table1334[[#This Row],[Strike]]),RTD("tos.rtd", , "BID", "."&amp;Table1334[[#This Row],[Ticker]]&amp;Table1334[[#This Row],[Expiry]]&amp;""&amp;"P"&amp;Table1334[[#This Row],[Strike]]))</f>
        <v>0</v>
      </c>
      <c r="R649" t="b">
        <f>IF(     ISNUMBER(Table1334[[#This Row],[Strike]]),RTD("tos.rtd", , "ASK", "."&amp;Table1334[[#This Row],[Ticker]]&amp;Table1334[[#This Row],[Expiry]]&amp;""&amp;"P"&amp;Table1334[[#This Row],[Strike]]))</f>
        <v>0</v>
      </c>
      <c r="S649" s="17"/>
      <c r="T649" t="b">
        <f>IF(     ISNUMBER(Table1334[[#This Row],[Strike]]),RTD("tos.rtd", , "OPEN_INT", "."&amp;Table1334[[#This Row],[Ticker]]&amp;Table1334[[#This Row],[Expiry]]&amp;""&amp;"P"&amp;Table1334[[#This Row],[Strike]]))</f>
        <v>0</v>
      </c>
      <c r="U64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9" t="b">
        <f>IF(     ISNUMBER(Table1334[[#This Row],[Strike]]),RTD("tos.rtd", , "DELTA", "."&amp;Table1334[[#This Row],[Ticker]]&amp;Table1334[[#This Row],[Expiry]]&amp;""&amp;"P"&amp;Table1334[[#This Row],[Strike]]))</f>
        <v>0</v>
      </c>
      <c r="Y649" s="19">
        <f>-35 * IF($M$1="NDX", 10, IF(OR($M$1="SPX", $M$1="RUT"), 2, 1))</f>
        <v>-70</v>
      </c>
      <c r="Z649">
        <f ca="1">IFERROR(Table1334[[#This Row],[call gamma]]*(Table1334[[#This Row],[Open.Int]])*$A$4^2,0)</f>
        <v>0</v>
      </c>
      <c r="AA649">
        <f ca="1">IFERROR(((Table1334[[#This Row],[Open.Int8]])*Table1334[[#This Row],[Put gamma]])*-1*$A$4^2,0)</f>
        <v>0</v>
      </c>
      <c r="AB649">
        <f ca="1">(Table1334[[#This Row],[Call Gex]]+Table1334[[#This Row],[Put Gex]])</f>
        <v>0</v>
      </c>
      <c r="AC649">
        <f ca="1">Table1334[[#This Row],[put delta adj]]+Table1334[[#This Row],[call delta adj]]</f>
        <v>0</v>
      </c>
      <c r="AD649">
        <f ca="1">Table1334[[#This Row],[Put Gex]]*Table1334[[#This Row],[DeltaP]]*-1</f>
        <v>0</v>
      </c>
      <c r="AE649">
        <f ca="1">Table1334[[#This Row],[Call Gex]]*Table1334[[#This Row],[DeltaC]]</f>
        <v>0</v>
      </c>
      <c r="AF649">
        <f>IF(Table1334[[#This Row],[DeltaC]]-ABS(Table1334[[#This Row],[DeltaP]])="0","0.01",Table1334[[#This Row],[DeltaC]]-ABS(Table1334[[#This Row],[DeltaP]]))</f>
        <v>0</v>
      </c>
      <c r="AG64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9" t="e">
        <f ca="1">(EXP(-(AG649^2)/2)/SQRT(2*PI())*EXP(0*SQRT(Table1334[[#This Row],[T]]))/$A$4*18%*SQRT(SQRT(Table1334[[#This Row],[T]])))</f>
        <v>#DIV/0!</v>
      </c>
      <c r="AJ649" t="e">
        <f ca="1">(EXP(-(AH649^2)/2)/SQRT(2*PI())*EXP(0*SQRT(Table1334[[#This Row],[T]]))/$A$4*18%*SQRT(SQRT(Table1334[[#This Row],[T]])))</f>
        <v>#DIV/0!</v>
      </c>
      <c r="AK649" t="e">
        <f ca="1">Table1334[[#This Row],[Call D1]]-Table1334[[#This Row],[IV Calc C]]*SQRT(Table1334[[#This Row],[T]])</f>
        <v>#DIV/0!</v>
      </c>
      <c r="AL649" t="e">
        <f ca="1">Table1334[[#This Row],[Put D1]]-Table1334[[#This Row],[IV Calc P]]*SQRT(Table1334[[#This Row],[T]])</f>
        <v>#DIV/0!</v>
      </c>
      <c r="AM649" t="e">
        <f ca="1">EXP(-0.5*Table1334[[#This Row],[Call D1]]^2)/SQRT(2*PI())</f>
        <v>#DIV/0!</v>
      </c>
      <c r="AN649" t="e">
        <f ca="1">EXP(-0.5*Table1334[[#This Row],[Put D1]]^2)/SQRT(2*PI())</f>
        <v>#DIV/0!</v>
      </c>
      <c r="AO64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9">
        <f ca="1">((Table1334[[#This Row],[call vanna]]+Table1334[[#This Row],[put vanna]])*$A$4)</f>
        <v>0</v>
      </c>
      <c r="AR64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9" s="9" t="str" cm="1">
        <f t="array" ref="AT649">_xlfn.IFS(     $M$1="SPX","SPXW",     $M$1="RUT","RUTW",  $M$1="NDX","NDXP",   TRUE,$M$1 )</f>
        <v>SPXW</v>
      </c>
      <c r="AU649" s="2">
        <f t="shared" si="67"/>
        <v>6915</v>
      </c>
      <c r="AV649" t="str">
        <f t="shared" si="68"/>
        <v>000100</v>
      </c>
      <c r="AY64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9">
        <f>((Table1334[[#This Row],[High C]]+Table1334[[#This Row],[Low C]])/2)*Table1334[[#This Row],[gammac]]*Table1334[[#This Row],[Volume]]</f>
        <v>0</v>
      </c>
      <c r="BD649">
        <f>((Table1334[[#This Row],[High P]]+Table1334[[#This Row],[Low P]])/2)*Table1334[[#This Row],[gammap]]*Table1334[[#This Row],[Volume9]]*-1</f>
        <v>0</v>
      </c>
      <c r="BE649">
        <f>(Table1334[[#This Row],[SgammaC]]+Table1334[[#This Row],[SgammaP]])*$A$4*-100</f>
        <v>0</v>
      </c>
      <c r="BF649">
        <f>Table1334[[#This Row],[DEXc]]+Table1334[[#This Row],[DEXp]]</f>
        <v>0</v>
      </c>
      <c r="BG649">
        <f>IFERROR(Table1334[[#This Row],[DeltaC]]*Table1334[[#This Row],[Open.Int]]*$A$4,0)</f>
        <v>0</v>
      </c>
      <c r="BH649">
        <f>IFERROR(Table1334[[#This Row],[DeltaP]]*Table1334[[#This Row],[Open.Int8]]*$A$4,0)</f>
        <v>0</v>
      </c>
      <c r="BI64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9">
        <f ca="1">Table1334[[#This Row],[charmc]]+Table1334[[#This Row],[charmp]]</f>
        <v>0</v>
      </c>
      <c r="BL64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9" s="78">
        <f ca="1">Table1334[[#This Row],[call helper]]+Table1334[[#This Row],[put helper]]</f>
        <v>0</v>
      </c>
      <c r="BP649" t="str">
        <f>RTD("tos.rtd", , "STRIKE", "."&amp;Table1334[[#This Row],[Ticker]]&amp;Table1334[[#This Row],[Expiry]]&amp;""&amp;"C"&amp;Table1334[[#This Row],[Spot]]+Table1334[[#This Row],[step]])</f>
        <v>N/A</v>
      </c>
    </row>
    <row r="650" spans="1:68" x14ac:dyDescent="0.25">
      <c r="A650" s="14">
        <f t="shared" ca="1" si="64"/>
        <v>-126.14810350076104</v>
      </c>
      <c r="C650" s="17"/>
      <c r="D650" t="str">
        <f>RTD("tos.rtd", , "OPEN_INT", "."&amp;Table1334[[#This Row],[Ticker]]&amp;Table1334[[#This Row],[Expiry]]&amp;""&amp;"C"&amp;Table1334[[#This Row],[Spot]]+Table1334[[#This Row],[step]])</f>
        <v>N/A</v>
      </c>
      <c r="E65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0" t="b">
        <f>IF(     ISNUMBER(Table1334[[#This Row],[Strike]]),RTD("tos.rtd", , "DELTA", "."&amp;Table1334[[#This Row],[Ticker]]&amp;Table1334[[#This Row],[Expiry]]&amp;""&amp;"C"&amp;Table1334[[#This Row],[Strike]]))</f>
        <v>0</v>
      </c>
      <c r="H650" s="17" cm="1">
        <f t="array" aca="1" ref="H650" ca="1">IndividualLegIVCore($A$4, Table1334[[#This Row],[Strike]], 0.0411, Table1334[[#This Row],[T]], ((Table1334[[#This Row],[BIDC]]+Table1334[[#This Row],[ASKC]])/2), TRUE)</f>
        <v>0.01</v>
      </c>
      <c r="I650" t="b">
        <f>IF(     ISNUMBER(Table1334[[#This Row],[Strike]]),RTD("tos.rtd", , "BID", "."&amp;Table1334[[#This Row],[Ticker]]&amp;Table1334[[#This Row],[Expiry]]&amp;""&amp;"C"&amp;Table1334[[#This Row],[Strike]]))</f>
        <v>0</v>
      </c>
      <c r="J650" t="b">
        <f>IF(     ISNUMBER(Table1334[[#This Row],[Strike]]),RTD("tos.rtd", , "ASK", "."&amp;Table1334[[#This Row],[Ticker]]&amp;Table1334[[#This Row],[Expiry]]&amp;""&amp;"C"&amp;Table1334[[#This Row],[Strike]]))</f>
        <v>0</v>
      </c>
      <c r="K650" s="17"/>
      <c r="M650" s="1">
        <f t="shared" si="65"/>
        <v>0</v>
      </c>
      <c r="N650" t="b">
        <f t="shared" si="66"/>
        <v>0</v>
      </c>
      <c r="P650" s="17" cm="1">
        <f t="array" aca="1" ref="P650" ca="1">IndividualLegIVCore($A$4, Table1334[[#This Row],[Strike]], 0.0411, Table1334[[#This Row],[T]], ((Table1334[[#This Row],[BIDP]]+Table1334[[#This Row],[ASKP]])/2), FALSE)</f>
        <v>0.01</v>
      </c>
      <c r="Q650" t="b">
        <f>IF(     ISNUMBER(Table1334[[#This Row],[Strike]]),RTD("tos.rtd", , "BID", "."&amp;Table1334[[#This Row],[Ticker]]&amp;Table1334[[#This Row],[Expiry]]&amp;""&amp;"P"&amp;Table1334[[#This Row],[Strike]]))</f>
        <v>0</v>
      </c>
      <c r="R650" t="b">
        <f>IF(     ISNUMBER(Table1334[[#This Row],[Strike]]),RTD("tos.rtd", , "ASK", "."&amp;Table1334[[#This Row],[Ticker]]&amp;Table1334[[#This Row],[Expiry]]&amp;""&amp;"P"&amp;Table1334[[#This Row],[Strike]]))</f>
        <v>0</v>
      </c>
      <c r="S650" s="17"/>
      <c r="T650" t="b">
        <f>IF(     ISNUMBER(Table1334[[#This Row],[Strike]]),RTD("tos.rtd", , "OPEN_INT", "."&amp;Table1334[[#This Row],[Ticker]]&amp;Table1334[[#This Row],[Expiry]]&amp;""&amp;"P"&amp;Table1334[[#This Row],[Strike]]))</f>
        <v>0</v>
      </c>
      <c r="U65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0" t="b">
        <f>IF(     ISNUMBER(Table1334[[#This Row],[Strike]]),RTD("tos.rtd", , "DELTA", "."&amp;Table1334[[#This Row],[Ticker]]&amp;Table1334[[#This Row],[Expiry]]&amp;""&amp;"P"&amp;Table1334[[#This Row],[Strike]]))</f>
        <v>0</v>
      </c>
      <c r="Y650" s="19">
        <f>-34.5 * IF($M$1="NDX", 10, IF(OR($M$1="SPX", $M$1="RUT"), 2, 1))</f>
        <v>-69</v>
      </c>
      <c r="Z650">
        <f ca="1">IFERROR(Table1334[[#This Row],[call gamma]]*(Table1334[[#This Row],[Open.Int]])*$A$4^2,0)</f>
        <v>0</v>
      </c>
      <c r="AA650">
        <f ca="1">IFERROR(((Table1334[[#This Row],[Open.Int8]])*Table1334[[#This Row],[Put gamma]])*-1*$A$4^2,0)</f>
        <v>0</v>
      </c>
      <c r="AB650">
        <f ca="1">(Table1334[[#This Row],[Call Gex]]+Table1334[[#This Row],[Put Gex]])</f>
        <v>0</v>
      </c>
      <c r="AC650">
        <f ca="1">Table1334[[#This Row],[put delta adj]]+Table1334[[#This Row],[call delta adj]]</f>
        <v>0</v>
      </c>
      <c r="AD650">
        <f ca="1">Table1334[[#This Row],[Put Gex]]*Table1334[[#This Row],[DeltaP]]*-1</f>
        <v>0</v>
      </c>
      <c r="AE650">
        <f ca="1">Table1334[[#This Row],[Call Gex]]*Table1334[[#This Row],[DeltaC]]</f>
        <v>0</v>
      </c>
      <c r="AF650">
        <f>IF(Table1334[[#This Row],[DeltaC]]-ABS(Table1334[[#This Row],[DeltaP]])="0","0.01",Table1334[[#This Row],[DeltaC]]-ABS(Table1334[[#This Row],[DeltaP]]))</f>
        <v>0</v>
      </c>
      <c r="AG65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0" t="e">
        <f ca="1">(EXP(-(AG650^2)/2)/SQRT(2*PI())*EXP(0*SQRT(Table1334[[#This Row],[T]]))/$A$4*18%*SQRT(SQRT(Table1334[[#This Row],[T]])))</f>
        <v>#DIV/0!</v>
      </c>
      <c r="AJ650" t="e">
        <f ca="1">(EXP(-(AH650^2)/2)/SQRT(2*PI())*EXP(0*SQRT(Table1334[[#This Row],[T]]))/$A$4*18%*SQRT(SQRT(Table1334[[#This Row],[T]])))</f>
        <v>#DIV/0!</v>
      </c>
      <c r="AK650" t="e">
        <f ca="1">Table1334[[#This Row],[Call D1]]-Table1334[[#This Row],[IV Calc C]]*SQRT(Table1334[[#This Row],[T]])</f>
        <v>#DIV/0!</v>
      </c>
      <c r="AL650" t="e">
        <f ca="1">Table1334[[#This Row],[Put D1]]-Table1334[[#This Row],[IV Calc P]]*SQRT(Table1334[[#This Row],[T]])</f>
        <v>#DIV/0!</v>
      </c>
      <c r="AM650" t="e">
        <f ca="1">EXP(-0.5*Table1334[[#This Row],[Call D1]]^2)/SQRT(2*PI())</f>
        <v>#DIV/0!</v>
      </c>
      <c r="AN650" t="e">
        <f ca="1">EXP(-0.5*Table1334[[#This Row],[Put D1]]^2)/SQRT(2*PI())</f>
        <v>#DIV/0!</v>
      </c>
      <c r="AO65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0">
        <f ca="1">((Table1334[[#This Row],[call vanna]]+Table1334[[#This Row],[put vanna]])*$A$4)</f>
        <v>0</v>
      </c>
      <c r="AR65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0" s="9" t="str" cm="1">
        <f t="array" ref="AT650">_xlfn.IFS(     $M$1="SPX","SPXW",     $M$1="RUT","RUTW",  $M$1="NDX","NDXP",   TRUE,$M$1 )</f>
        <v>SPXW</v>
      </c>
      <c r="AU650" s="2">
        <f t="shared" si="67"/>
        <v>6915</v>
      </c>
      <c r="AV650" t="str">
        <f t="shared" si="68"/>
        <v>000100</v>
      </c>
      <c r="AY65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0">
        <f>((Table1334[[#This Row],[High C]]+Table1334[[#This Row],[Low C]])/2)*Table1334[[#This Row],[gammac]]*Table1334[[#This Row],[Volume]]</f>
        <v>0</v>
      </c>
      <c r="BD650">
        <f>((Table1334[[#This Row],[High P]]+Table1334[[#This Row],[Low P]])/2)*Table1334[[#This Row],[gammap]]*Table1334[[#This Row],[Volume9]]*-1</f>
        <v>0</v>
      </c>
      <c r="BE650">
        <f>(Table1334[[#This Row],[SgammaC]]+Table1334[[#This Row],[SgammaP]])*$A$4*-100</f>
        <v>0</v>
      </c>
      <c r="BF650">
        <f>Table1334[[#This Row],[DEXc]]+Table1334[[#This Row],[DEXp]]</f>
        <v>0</v>
      </c>
      <c r="BG650">
        <f>IFERROR(Table1334[[#This Row],[DeltaC]]*Table1334[[#This Row],[Open.Int]]*$A$4,0)</f>
        <v>0</v>
      </c>
      <c r="BH650">
        <f>IFERROR(Table1334[[#This Row],[DeltaP]]*Table1334[[#This Row],[Open.Int8]]*$A$4,0)</f>
        <v>0</v>
      </c>
      <c r="BI65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0">
        <f ca="1">Table1334[[#This Row],[charmc]]+Table1334[[#This Row],[charmp]]</f>
        <v>0</v>
      </c>
      <c r="BL65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0" s="78">
        <f ca="1">Table1334[[#This Row],[call helper]]+Table1334[[#This Row],[put helper]]</f>
        <v>0</v>
      </c>
      <c r="BP650" t="str">
        <f>RTD("tos.rtd", , "STRIKE", "."&amp;Table1334[[#This Row],[Ticker]]&amp;Table1334[[#This Row],[Expiry]]&amp;""&amp;"C"&amp;Table1334[[#This Row],[Spot]]+Table1334[[#This Row],[step]])</f>
        <v>N/A</v>
      </c>
    </row>
    <row r="651" spans="1:68" x14ac:dyDescent="0.25">
      <c r="A651" s="14">
        <f t="shared" ca="1" si="64"/>
        <v>-126.14810350076104</v>
      </c>
      <c r="C651" s="17"/>
      <c r="D651" t="str">
        <f>RTD("tos.rtd", , "OPEN_INT", "."&amp;Table1334[[#This Row],[Ticker]]&amp;Table1334[[#This Row],[Expiry]]&amp;""&amp;"C"&amp;Table1334[[#This Row],[Spot]]+Table1334[[#This Row],[step]])</f>
        <v>N/A</v>
      </c>
      <c r="E65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1" t="b">
        <f>IF(     ISNUMBER(Table1334[[#This Row],[Strike]]),RTD("tos.rtd", , "DELTA", "."&amp;Table1334[[#This Row],[Ticker]]&amp;Table1334[[#This Row],[Expiry]]&amp;""&amp;"C"&amp;Table1334[[#This Row],[Strike]]))</f>
        <v>0</v>
      </c>
      <c r="H651" s="17" cm="1">
        <f t="array" aca="1" ref="H651" ca="1">IndividualLegIVCore($A$4, Table1334[[#This Row],[Strike]], 0.0411, Table1334[[#This Row],[T]], ((Table1334[[#This Row],[BIDC]]+Table1334[[#This Row],[ASKC]])/2), TRUE)</f>
        <v>0.01</v>
      </c>
      <c r="I651" t="b">
        <f>IF(     ISNUMBER(Table1334[[#This Row],[Strike]]),RTD("tos.rtd", , "BID", "."&amp;Table1334[[#This Row],[Ticker]]&amp;Table1334[[#This Row],[Expiry]]&amp;""&amp;"C"&amp;Table1334[[#This Row],[Strike]]))</f>
        <v>0</v>
      </c>
      <c r="J651" t="b">
        <f>IF(     ISNUMBER(Table1334[[#This Row],[Strike]]),RTD("tos.rtd", , "ASK", "."&amp;Table1334[[#This Row],[Ticker]]&amp;Table1334[[#This Row],[Expiry]]&amp;""&amp;"C"&amp;Table1334[[#This Row],[Strike]]))</f>
        <v>0</v>
      </c>
      <c r="K651" s="17"/>
      <c r="M651" s="1">
        <f t="shared" si="65"/>
        <v>0</v>
      </c>
      <c r="N651" t="b">
        <f t="shared" si="66"/>
        <v>0</v>
      </c>
      <c r="P651" s="17" cm="1">
        <f t="array" aca="1" ref="P651" ca="1">IndividualLegIVCore($A$4, Table1334[[#This Row],[Strike]], 0.0411, Table1334[[#This Row],[T]], ((Table1334[[#This Row],[BIDP]]+Table1334[[#This Row],[ASKP]])/2), FALSE)</f>
        <v>0.01</v>
      </c>
      <c r="Q651" t="b">
        <f>IF(     ISNUMBER(Table1334[[#This Row],[Strike]]),RTD("tos.rtd", , "BID", "."&amp;Table1334[[#This Row],[Ticker]]&amp;Table1334[[#This Row],[Expiry]]&amp;""&amp;"P"&amp;Table1334[[#This Row],[Strike]]))</f>
        <v>0</v>
      </c>
      <c r="R651" t="b">
        <f>IF(     ISNUMBER(Table1334[[#This Row],[Strike]]),RTD("tos.rtd", , "ASK", "."&amp;Table1334[[#This Row],[Ticker]]&amp;Table1334[[#This Row],[Expiry]]&amp;""&amp;"P"&amp;Table1334[[#This Row],[Strike]]))</f>
        <v>0</v>
      </c>
      <c r="S651" s="17"/>
      <c r="T651" t="b">
        <f>IF(     ISNUMBER(Table1334[[#This Row],[Strike]]),RTD("tos.rtd", , "OPEN_INT", "."&amp;Table1334[[#This Row],[Ticker]]&amp;Table1334[[#This Row],[Expiry]]&amp;""&amp;"P"&amp;Table1334[[#This Row],[Strike]]))</f>
        <v>0</v>
      </c>
      <c r="U65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1" t="b">
        <f>IF(     ISNUMBER(Table1334[[#This Row],[Strike]]),RTD("tos.rtd", , "DELTA", "."&amp;Table1334[[#This Row],[Ticker]]&amp;Table1334[[#This Row],[Expiry]]&amp;""&amp;"P"&amp;Table1334[[#This Row],[Strike]]))</f>
        <v>0</v>
      </c>
      <c r="Y651" s="19">
        <f>-34 * IF($M$1="NDX", 10, IF(OR($M$1="SPX", $M$1="RUT"), 2, 1))</f>
        <v>-68</v>
      </c>
      <c r="Z651">
        <f ca="1">IFERROR(Table1334[[#This Row],[call gamma]]*(Table1334[[#This Row],[Open.Int]])*$A$4^2,0)</f>
        <v>0</v>
      </c>
      <c r="AA651">
        <f ca="1">IFERROR(((Table1334[[#This Row],[Open.Int8]])*Table1334[[#This Row],[Put gamma]])*-1*$A$4^2,0)</f>
        <v>0</v>
      </c>
      <c r="AB651">
        <f ca="1">(Table1334[[#This Row],[Call Gex]]+Table1334[[#This Row],[Put Gex]])</f>
        <v>0</v>
      </c>
      <c r="AC651">
        <f ca="1">Table1334[[#This Row],[put delta adj]]+Table1334[[#This Row],[call delta adj]]</f>
        <v>0</v>
      </c>
      <c r="AD651">
        <f ca="1">Table1334[[#This Row],[Put Gex]]*Table1334[[#This Row],[DeltaP]]*-1</f>
        <v>0</v>
      </c>
      <c r="AE651">
        <f ca="1">Table1334[[#This Row],[Call Gex]]*Table1334[[#This Row],[DeltaC]]</f>
        <v>0</v>
      </c>
      <c r="AF651">
        <f>IF(Table1334[[#This Row],[DeltaC]]-ABS(Table1334[[#This Row],[DeltaP]])="0","0.01",Table1334[[#This Row],[DeltaC]]-ABS(Table1334[[#This Row],[DeltaP]]))</f>
        <v>0</v>
      </c>
      <c r="AG65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1" t="e">
        <f ca="1">(EXP(-(AG651^2)/2)/SQRT(2*PI())*EXP(0*SQRT(Table1334[[#This Row],[T]]))/$A$4*18%*SQRT(SQRT(Table1334[[#This Row],[T]])))</f>
        <v>#DIV/0!</v>
      </c>
      <c r="AJ651" t="e">
        <f ca="1">(EXP(-(AH651^2)/2)/SQRT(2*PI())*EXP(0*SQRT(Table1334[[#This Row],[T]]))/$A$4*18%*SQRT(SQRT(Table1334[[#This Row],[T]])))</f>
        <v>#DIV/0!</v>
      </c>
      <c r="AK651" t="e">
        <f ca="1">Table1334[[#This Row],[Call D1]]-Table1334[[#This Row],[IV Calc C]]*SQRT(Table1334[[#This Row],[T]])</f>
        <v>#DIV/0!</v>
      </c>
      <c r="AL651" t="e">
        <f ca="1">Table1334[[#This Row],[Put D1]]-Table1334[[#This Row],[IV Calc P]]*SQRT(Table1334[[#This Row],[T]])</f>
        <v>#DIV/0!</v>
      </c>
      <c r="AM651" t="e">
        <f ca="1">EXP(-0.5*Table1334[[#This Row],[Call D1]]^2)/SQRT(2*PI())</f>
        <v>#DIV/0!</v>
      </c>
      <c r="AN651" t="e">
        <f ca="1">EXP(-0.5*Table1334[[#This Row],[Put D1]]^2)/SQRT(2*PI())</f>
        <v>#DIV/0!</v>
      </c>
      <c r="AO65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1">
        <f ca="1">((Table1334[[#This Row],[call vanna]]+Table1334[[#This Row],[put vanna]])*$A$4)</f>
        <v>0</v>
      </c>
      <c r="AR65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1" s="9" t="str" cm="1">
        <f t="array" ref="AT651">_xlfn.IFS(     $M$1="SPX","SPXW",     $M$1="RUT","RUTW",  $M$1="NDX","NDXP",   TRUE,$M$1 )</f>
        <v>SPXW</v>
      </c>
      <c r="AU651" s="2">
        <f t="shared" si="67"/>
        <v>6915</v>
      </c>
      <c r="AV651" t="str">
        <f t="shared" si="68"/>
        <v>000100</v>
      </c>
      <c r="AY65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1">
        <f>((Table1334[[#This Row],[High C]]+Table1334[[#This Row],[Low C]])/2)*Table1334[[#This Row],[gammac]]*Table1334[[#This Row],[Volume]]</f>
        <v>0</v>
      </c>
      <c r="BD651">
        <f>((Table1334[[#This Row],[High P]]+Table1334[[#This Row],[Low P]])/2)*Table1334[[#This Row],[gammap]]*Table1334[[#This Row],[Volume9]]*-1</f>
        <v>0</v>
      </c>
      <c r="BE651">
        <f>(Table1334[[#This Row],[SgammaC]]+Table1334[[#This Row],[SgammaP]])*$A$4*-100</f>
        <v>0</v>
      </c>
      <c r="BF651">
        <f>Table1334[[#This Row],[DEXc]]+Table1334[[#This Row],[DEXp]]</f>
        <v>0</v>
      </c>
      <c r="BG651">
        <f>IFERROR(Table1334[[#This Row],[DeltaC]]*Table1334[[#This Row],[Open.Int]]*$A$4,0)</f>
        <v>0</v>
      </c>
      <c r="BH651">
        <f>IFERROR(Table1334[[#This Row],[DeltaP]]*Table1334[[#This Row],[Open.Int8]]*$A$4,0)</f>
        <v>0</v>
      </c>
      <c r="BI65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1">
        <f ca="1">Table1334[[#This Row],[charmc]]+Table1334[[#This Row],[charmp]]</f>
        <v>0</v>
      </c>
      <c r="BL65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1" s="78">
        <f ca="1">Table1334[[#This Row],[call helper]]+Table1334[[#This Row],[put helper]]</f>
        <v>0</v>
      </c>
      <c r="BP651" t="str">
        <f>RTD("tos.rtd", , "STRIKE", "."&amp;Table1334[[#This Row],[Ticker]]&amp;Table1334[[#This Row],[Expiry]]&amp;""&amp;"C"&amp;Table1334[[#This Row],[Spot]]+Table1334[[#This Row],[step]])</f>
        <v>N/A</v>
      </c>
    </row>
    <row r="652" spans="1:68" x14ac:dyDescent="0.25">
      <c r="A652" s="14">
        <f t="shared" ca="1" si="64"/>
        <v>-126.14810350076104</v>
      </c>
      <c r="C652" s="17"/>
      <c r="D652" t="str">
        <f>RTD("tos.rtd", , "OPEN_INT", "."&amp;Table1334[[#This Row],[Ticker]]&amp;Table1334[[#This Row],[Expiry]]&amp;""&amp;"C"&amp;Table1334[[#This Row],[Spot]]+Table1334[[#This Row],[step]])</f>
        <v>N/A</v>
      </c>
      <c r="E65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2" t="b">
        <f>IF(     ISNUMBER(Table1334[[#This Row],[Strike]]),RTD("tos.rtd", , "DELTA", "."&amp;Table1334[[#This Row],[Ticker]]&amp;Table1334[[#This Row],[Expiry]]&amp;""&amp;"C"&amp;Table1334[[#This Row],[Strike]]))</f>
        <v>0</v>
      </c>
      <c r="H652" s="17" cm="1">
        <f t="array" aca="1" ref="H652" ca="1">IndividualLegIVCore($A$4, Table1334[[#This Row],[Strike]], 0.0411, Table1334[[#This Row],[T]], ((Table1334[[#This Row],[BIDC]]+Table1334[[#This Row],[ASKC]])/2), TRUE)</f>
        <v>0.01</v>
      </c>
      <c r="I652" t="b">
        <f>IF(     ISNUMBER(Table1334[[#This Row],[Strike]]),RTD("tos.rtd", , "BID", "."&amp;Table1334[[#This Row],[Ticker]]&amp;Table1334[[#This Row],[Expiry]]&amp;""&amp;"C"&amp;Table1334[[#This Row],[Strike]]))</f>
        <v>0</v>
      </c>
      <c r="J652" t="b">
        <f>IF(     ISNUMBER(Table1334[[#This Row],[Strike]]),RTD("tos.rtd", , "ASK", "."&amp;Table1334[[#This Row],[Ticker]]&amp;Table1334[[#This Row],[Expiry]]&amp;""&amp;"C"&amp;Table1334[[#This Row],[Strike]]))</f>
        <v>0</v>
      </c>
      <c r="K652" s="17"/>
      <c r="M652" s="1">
        <f t="shared" si="65"/>
        <v>0</v>
      </c>
      <c r="N652" t="b">
        <f t="shared" si="66"/>
        <v>0</v>
      </c>
      <c r="P652" s="17" cm="1">
        <f t="array" aca="1" ref="P652" ca="1">IndividualLegIVCore($A$4, Table1334[[#This Row],[Strike]], 0.0411, Table1334[[#This Row],[T]], ((Table1334[[#This Row],[BIDP]]+Table1334[[#This Row],[ASKP]])/2), FALSE)</f>
        <v>0.01</v>
      </c>
      <c r="Q652" t="b">
        <f>IF(     ISNUMBER(Table1334[[#This Row],[Strike]]),RTD("tos.rtd", , "BID", "."&amp;Table1334[[#This Row],[Ticker]]&amp;Table1334[[#This Row],[Expiry]]&amp;""&amp;"P"&amp;Table1334[[#This Row],[Strike]]))</f>
        <v>0</v>
      </c>
      <c r="R652" t="b">
        <f>IF(     ISNUMBER(Table1334[[#This Row],[Strike]]),RTD("tos.rtd", , "ASK", "."&amp;Table1334[[#This Row],[Ticker]]&amp;Table1334[[#This Row],[Expiry]]&amp;""&amp;"P"&amp;Table1334[[#This Row],[Strike]]))</f>
        <v>0</v>
      </c>
      <c r="S652" s="17"/>
      <c r="T652" t="b">
        <f>IF(     ISNUMBER(Table1334[[#This Row],[Strike]]),RTD("tos.rtd", , "OPEN_INT", "."&amp;Table1334[[#This Row],[Ticker]]&amp;Table1334[[#This Row],[Expiry]]&amp;""&amp;"P"&amp;Table1334[[#This Row],[Strike]]))</f>
        <v>0</v>
      </c>
      <c r="U65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2" t="b">
        <f>IF(     ISNUMBER(Table1334[[#This Row],[Strike]]),RTD("tos.rtd", , "DELTA", "."&amp;Table1334[[#This Row],[Ticker]]&amp;Table1334[[#This Row],[Expiry]]&amp;""&amp;"P"&amp;Table1334[[#This Row],[Strike]]))</f>
        <v>0</v>
      </c>
      <c r="Y652" s="19">
        <f>-33.5 * IF($M$1="NDX", 10, IF(OR($M$1="SPX", $M$1="RUT"), 2, 1))</f>
        <v>-67</v>
      </c>
      <c r="Z652">
        <f ca="1">IFERROR(Table1334[[#This Row],[call gamma]]*(Table1334[[#This Row],[Open.Int]])*$A$4^2,0)</f>
        <v>0</v>
      </c>
      <c r="AA652">
        <f ca="1">IFERROR(((Table1334[[#This Row],[Open.Int8]])*Table1334[[#This Row],[Put gamma]])*-1*$A$4^2,0)</f>
        <v>0</v>
      </c>
      <c r="AB652">
        <f ca="1">(Table1334[[#This Row],[Call Gex]]+Table1334[[#This Row],[Put Gex]])</f>
        <v>0</v>
      </c>
      <c r="AC652">
        <f ca="1">Table1334[[#This Row],[put delta adj]]+Table1334[[#This Row],[call delta adj]]</f>
        <v>0</v>
      </c>
      <c r="AD652">
        <f ca="1">Table1334[[#This Row],[Put Gex]]*Table1334[[#This Row],[DeltaP]]*-1</f>
        <v>0</v>
      </c>
      <c r="AE652">
        <f ca="1">Table1334[[#This Row],[Call Gex]]*Table1334[[#This Row],[DeltaC]]</f>
        <v>0</v>
      </c>
      <c r="AF652">
        <f>IF(Table1334[[#This Row],[DeltaC]]-ABS(Table1334[[#This Row],[DeltaP]])="0","0.01",Table1334[[#This Row],[DeltaC]]-ABS(Table1334[[#This Row],[DeltaP]]))</f>
        <v>0</v>
      </c>
      <c r="AG65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2" t="e">
        <f ca="1">(EXP(-(AG652^2)/2)/SQRT(2*PI())*EXP(0*SQRT(Table1334[[#This Row],[T]]))/$A$4*18%*SQRT(SQRT(Table1334[[#This Row],[T]])))</f>
        <v>#DIV/0!</v>
      </c>
      <c r="AJ652" t="e">
        <f ca="1">(EXP(-(AH652^2)/2)/SQRT(2*PI())*EXP(0*SQRT(Table1334[[#This Row],[T]]))/$A$4*18%*SQRT(SQRT(Table1334[[#This Row],[T]])))</f>
        <v>#DIV/0!</v>
      </c>
      <c r="AK652" t="e">
        <f ca="1">Table1334[[#This Row],[Call D1]]-Table1334[[#This Row],[IV Calc C]]*SQRT(Table1334[[#This Row],[T]])</f>
        <v>#DIV/0!</v>
      </c>
      <c r="AL652" t="e">
        <f ca="1">Table1334[[#This Row],[Put D1]]-Table1334[[#This Row],[IV Calc P]]*SQRT(Table1334[[#This Row],[T]])</f>
        <v>#DIV/0!</v>
      </c>
      <c r="AM652" t="e">
        <f ca="1">EXP(-0.5*Table1334[[#This Row],[Call D1]]^2)/SQRT(2*PI())</f>
        <v>#DIV/0!</v>
      </c>
      <c r="AN652" t="e">
        <f ca="1">EXP(-0.5*Table1334[[#This Row],[Put D1]]^2)/SQRT(2*PI())</f>
        <v>#DIV/0!</v>
      </c>
      <c r="AO65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2">
        <f ca="1">((Table1334[[#This Row],[call vanna]]+Table1334[[#This Row],[put vanna]])*$A$4)</f>
        <v>0</v>
      </c>
      <c r="AR65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2" s="9" t="str" cm="1">
        <f t="array" ref="AT652">_xlfn.IFS(     $M$1="SPX","SPXW",     $M$1="RUT","RUTW",  $M$1="NDX","NDXP",   TRUE,$M$1 )</f>
        <v>SPXW</v>
      </c>
      <c r="AU652" s="2">
        <f t="shared" si="67"/>
        <v>6915</v>
      </c>
      <c r="AV652" t="str">
        <f t="shared" si="68"/>
        <v>000100</v>
      </c>
      <c r="AY65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2">
        <f>((Table1334[[#This Row],[High C]]+Table1334[[#This Row],[Low C]])/2)*Table1334[[#This Row],[gammac]]*Table1334[[#This Row],[Volume]]</f>
        <v>0</v>
      </c>
      <c r="BD652">
        <f>((Table1334[[#This Row],[High P]]+Table1334[[#This Row],[Low P]])/2)*Table1334[[#This Row],[gammap]]*Table1334[[#This Row],[Volume9]]*-1</f>
        <v>0</v>
      </c>
      <c r="BE652">
        <f>(Table1334[[#This Row],[SgammaC]]+Table1334[[#This Row],[SgammaP]])*$A$4*-100</f>
        <v>0</v>
      </c>
      <c r="BF652">
        <f>Table1334[[#This Row],[DEXc]]+Table1334[[#This Row],[DEXp]]</f>
        <v>0</v>
      </c>
      <c r="BG652">
        <f>IFERROR(Table1334[[#This Row],[DeltaC]]*Table1334[[#This Row],[Open.Int]]*$A$4,0)</f>
        <v>0</v>
      </c>
      <c r="BH652">
        <f>IFERROR(Table1334[[#This Row],[DeltaP]]*Table1334[[#This Row],[Open.Int8]]*$A$4,0)</f>
        <v>0</v>
      </c>
      <c r="BI65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2">
        <f ca="1">Table1334[[#This Row],[charmc]]+Table1334[[#This Row],[charmp]]</f>
        <v>0</v>
      </c>
      <c r="BL65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2" s="78">
        <f ca="1">Table1334[[#This Row],[call helper]]+Table1334[[#This Row],[put helper]]</f>
        <v>0</v>
      </c>
      <c r="BP652" t="str">
        <f>RTD("tos.rtd", , "STRIKE", "."&amp;Table1334[[#This Row],[Ticker]]&amp;Table1334[[#This Row],[Expiry]]&amp;""&amp;"C"&amp;Table1334[[#This Row],[Spot]]+Table1334[[#This Row],[step]])</f>
        <v>N/A</v>
      </c>
    </row>
    <row r="653" spans="1:68" x14ac:dyDescent="0.25">
      <c r="A653" s="14">
        <f t="shared" ca="1" si="64"/>
        <v>-126.14810350076104</v>
      </c>
      <c r="C653" s="17"/>
      <c r="D653" t="str">
        <f>RTD("tos.rtd", , "OPEN_INT", "."&amp;Table1334[[#This Row],[Ticker]]&amp;Table1334[[#This Row],[Expiry]]&amp;""&amp;"C"&amp;Table1334[[#This Row],[Spot]]+Table1334[[#This Row],[step]])</f>
        <v>N/A</v>
      </c>
      <c r="E65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3" t="b">
        <f>IF(     ISNUMBER(Table1334[[#This Row],[Strike]]),RTD("tos.rtd", , "DELTA", "."&amp;Table1334[[#This Row],[Ticker]]&amp;Table1334[[#This Row],[Expiry]]&amp;""&amp;"C"&amp;Table1334[[#This Row],[Strike]]))</f>
        <v>0</v>
      </c>
      <c r="H653" s="17" cm="1">
        <f t="array" aca="1" ref="H653" ca="1">IndividualLegIVCore($A$4, Table1334[[#This Row],[Strike]], 0.0411, Table1334[[#This Row],[T]], ((Table1334[[#This Row],[BIDC]]+Table1334[[#This Row],[ASKC]])/2), TRUE)</f>
        <v>0.01</v>
      </c>
      <c r="I653" t="b">
        <f>IF(     ISNUMBER(Table1334[[#This Row],[Strike]]),RTD("tos.rtd", , "BID", "."&amp;Table1334[[#This Row],[Ticker]]&amp;Table1334[[#This Row],[Expiry]]&amp;""&amp;"C"&amp;Table1334[[#This Row],[Strike]]))</f>
        <v>0</v>
      </c>
      <c r="J653" t="b">
        <f>IF(     ISNUMBER(Table1334[[#This Row],[Strike]]),RTD("tos.rtd", , "ASK", "."&amp;Table1334[[#This Row],[Ticker]]&amp;Table1334[[#This Row],[Expiry]]&amp;""&amp;"C"&amp;Table1334[[#This Row],[Strike]]))</f>
        <v>0</v>
      </c>
      <c r="K653" s="17"/>
      <c r="M653" s="1">
        <f t="shared" si="65"/>
        <v>0</v>
      </c>
      <c r="N653" t="b">
        <f t="shared" si="66"/>
        <v>0</v>
      </c>
      <c r="P653" s="17" cm="1">
        <f t="array" aca="1" ref="P653" ca="1">IndividualLegIVCore($A$4, Table1334[[#This Row],[Strike]], 0.0411, Table1334[[#This Row],[T]], ((Table1334[[#This Row],[BIDP]]+Table1334[[#This Row],[ASKP]])/2), FALSE)</f>
        <v>0.01</v>
      </c>
      <c r="Q653" t="b">
        <f>IF(     ISNUMBER(Table1334[[#This Row],[Strike]]),RTD("tos.rtd", , "BID", "."&amp;Table1334[[#This Row],[Ticker]]&amp;Table1334[[#This Row],[Expiry]]&amp;""&amp;"P"&amp;Table1334[[#This Row],[Strike]]))</f>
        <v>0</v>
      </c>
      <c r="R653" t="b">
        <f>IF(     ISNUMBER(Table1334[[#This Row],[Strike]]),RTD("tos.rtd", , "ASK", "."&amp;Table1334[[#This Row],[Ticker]]&amp;Table1334[[#This Row],[Expiry]]&amp;""&amp;"P"&amp;Table1334[[#This Row],[Strike]]))</f>
        <v>0</v>
      </c>
      <c r="S653" s="17"/>
      <c r="T653" t="b">
        <f>IF(     ISNUMBER(Table1334[[#This Row],[Strike]]),RTD("tos.rtd", , "OPEN_INT", "."&amp;Table1334[[#This Row],[Ticker]]&amp;Table1334[[#This Row],[Expiry]]&amp;""&amp;"P"&amp;Table1334[[#This Row],[Strike]]))</f>
        <v>0</v>
      </c>
      <c r="U65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3" t="b">
        <f>IF(     ISNUMBER(Table1334[[#This Row],[Strike]]),RTD("tos.rtd", , "DELTA", "."&amp;Table1334[[#This Row],[Ticker]]&amp;Table1334[[#This Row],[Expiry]]&amp;""&amp;"P"&amp;Table1334[[#This Row],[Strike]]))</f>
        <v>0</v>
      </c>
      <c r="Y653" s="19">
        <f>-33 * IF($M$1="NDX", 10, IF(OR($M$1="SPX", $M$1="RUT"), 2, 1))</f>
        <v>-66</v>
      </c>
      <c r="Z653">
        <f ca="1">IFERROR(Table1334[[#This Row],[call gamma]]*(Table1334[[#This Row],[Open.Int]])*$A$4^2,0)</f>
        <v>0</v>
      </c>
      <c r="AA653">
        <f ca="1">IFERROR(((Table1334[[#This Row],[Open.Int8]])*Table1334[[#This Row],[Put gamma]])*-1*$A$4^2,0)</f>
        <v>0</v>
      </c>
      <c r="AB653">
        <f ca="1">(Table1334[[#This Row],[Call Gex]]+Table1334[[#This Row],[Put Gex]])</f>
        <v>0</v>
      </c>
      <c r="AC653">
        <f ca="1">Table1334[[#This Row],[put delta adj]]+Table1334[[#This Row],[call delta adj]]</f>
        <v>0</v>
      </c>
      <c r="AD653">
        <f ca="1">Table1334[[#This Row],[Put Gex]]*Table1334[[#This Row],[DeltaP]]*-1</f>
        <v>0</v>
      </c>
      <c r="AE653">
        <f ca="1">Table1334[[#This Row],[Call Gex]]*Table1334[[#This Row],[DeltaC]]</f>
        <v>0</v>
      </c>
      <c r="AF653">
        <f>IF(Table1334[[#This Row],[DeltaC]]-ABS(Table1334[[#This Row],[DeltaP]])="0","0.01",Table1334[[#This Row],[DeltaC]]-ABS(Table1334[[#This Row],[DeltaP]]))</f>
        <v>0</v>
      </c>
      <c r="AG65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3" t="e">
        <f ca="1">(EXP(-(AG653^2)/2)/SQRT(2*PI())*EXP(0*SQRT(Table1334[[#This Row],[T]]))/$A$4*18%*SQRT(SQRT(Table1334[[#This Row],[T]])))</f>
        <v>#DIV/0!</v>
      </c>
      <c r="AJ653" t="e">
        <f ca="1">(EXP(-(AH653^2)/2)/SQRT(2*PI())*EXP(0*SQRT(Table1334[[#This Row],[T]]))/$A$4*18%*SQRT(SQRT(Table1334[[#This Row],[T]])))</f>
        <v>#DIV/0!</v>
      </c>
      <c r="AK653" t="e">
        <f ca="1">Table1334[[#This Row],[Call D1]]-Table1334[[#This Row],[IV Calc C]]*SQRT(Table1334[[#This Row],[T]])</f>
        <v>#DIV/0!</v>
      </c>
      <c r="AL653" t="e">
        <f ca="1">Table1334[[#This Row],[Put D1]]-Table1334[[#This Row],[IV Calc P]]*SQRT(Table1334[[#This Row],[T]])</f>
        <v>#DIV/0!</v>
      </c>
      <c r="AM653" t="e">
        <f ca="1">EXP(-0.5*Table1334[[#This Row],[Call D1]]^2)/SQRT(2*PI())</f>
        <v>#DIV/0!</v>
      </c>
      <c r="AN653" t="e">
        <f ca="1">EXP(-0.5*Table1334[[#This Row],[Put D1]]^2)/SQRT(2*PI())</f>
        <v>#DIV/0!</v>
      </c>
      <c r="AO65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3">
        <f ca="1">((Table1334[[#This Row],[call vanna]]+Table1334[[#This Row],[put vanna]])*$A$4)</f>
        <v>0</v>
      </c>
      <c r="AR65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3" s="9" t="str" cm="1">
        <f t="array" ref="AT653">_xlfn.IFS(     $M$1="SPX","SPXW",     $M$1="RUT","RUTW",  $M$1="NDX","NDXP",   TRUE,$M$1 )</f>
        <v>SPXW</v>
      </c>
      <c r="AU653" s="2">
        <f t="shared" si="67"/>
        <v>6915</v>
      </c>
      <c r="AV653" t="str">
        <f t="shared" si="68"/>
        <v>000100</v>
      </c>
      <c r="AY65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3">
        <f>((Table1334[[#This Row],[High C]]+Table1334[[#This Row],[Low C]])/2)*Table1334[[#This Row],[gammac]]*Table1334[[#This Row],[Volume]]</f>
        <v>0</v>
      </c>
      <c r="BD653">
        <f>((Table1334[[#This Row],[High P]]+Table1334[[#This Row],[Low P]])/2)*Table1334[[#This Row],[gammap]]*Table1334[[#This Row],[Volume9]]*-1</f>
        <v>0</v>
      </c>
      <c r="BE653">
        <f>(Table1334[[#This Row],[SgammaC]]+Table1334[[#This Row],[SgammaP]])*$A$4*-100</f>
        <v>0</v>
      </c>
      <c r="BF653">
        <f>Table1334[[#This Row],[DEXc]]+Table1334[[#This Row],[DEXp]]</f>
        <v>0</v>
      </c>
      <c r="BG653">
        <f>IFERROR(Table1334[[#This Row],[DeltaC]]*Table1334[[#This Row],[Open.Int]]*$A$4,0)</f>
        <v>0</v>
      </c>
      <c r="BH653">
        <f>IFERROR(Table1334[[#This Row],[DeltaP]]*Table1334[[#This Row],[Open.Int8]]*$A$4,0)</f>
        <v>0</v>
      </c>
      <c r="BI65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3">
        <f ca="1">Table1334[[#This Row],[charmc]]+Table1334[[#This Row],[charmp]]</f>
        <v>0</v>
      </c>
      <c r="BL65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3" s="78">
        <f ca="1">Table1334[[#This Row],[call helper]]+Table1334[[#This Row],[put helper]]</f>
        <v>0</v>
      </c>
      <c r="BP653" t="str">
        <f>RTD("tos.rtd", , "STRIKE", "."&amp;Table1334[[#This Row],[Ticker]]&amp;Table1334[[#This Row],[Expiry]]&amp;""&amp;"C"&amp;Table1334[[#This Row],[Spot]]+Table1334[[#This Row],[step]])</f>
        <v>N/A</v>
      </c>
    </row>
    <row r="654" spans="1:68" x14ac:dyDescent="0.25">
      <c r="A654" s="14">
        <f t="shared" ca="1" si="64"/>
        <v>-126.14810350076104</v>
      </c>
      <c r="C654" s="17"/>
      <c r="D654" t="str">
        <f>RTD("tos.rtd", , "OPEN_INT", "."&amp;Table1334[[#This Row],[Ticker]]&amp;Table1334[[#This Row],[Expiry]]&amp;""&amp;"C"&amp;Table1334[[#This Row],[Spot]]+Table1334[[#This Row],[step]])</f>
        <v>N/A</v>
      </c>
      <c r="E65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4" t="b">
        <f>IF(     ISNUMBER(Table1334[[#This Row],[Strike]]),RTD("tos.rtd", , "DELTA", "."&amp;Table1334[[#This Row],[Ticker]]&amp;Table1334[[#This Row],[Expiry]]&amp;""&amp;"C"&amp;Table1334[[#This Row],[Strike]]))</f>
        <v>0</v>
      </c>
      <c r="H654" s="17" cm="1">
        <f t="array" aca="1" ref="H654" ca="1">IndividualLegIVCore($A$4, Table1334[[#This Row],[Strike]], 0.0411, Table1334[[#This Row],[T]], ((Table1334[[#This Row],[BIDC]]+Table1334[[#This Row],[ASKC]])/2), TRUE)</f>
        <v>0.01</v>
      </c>
      <c r="I654" t="b">
        <f>IF(     ISNUMBER(Table1334[[#This Row],[Strike]]),RTD("tos.rtd", , "BID", "."&amp;Table1334[[#This Row],[Ticker]]&amp;Table1334[[#This Row],[Expiry]]&amp;""&amp;"C"&amp;Table1334[[#This Row],[Strike]]))</f>
        <v>0</v>
      </c>
      <c r="J654" t="b">
        <f>IF(     ISNUMBER(Table1334[[#This Row],[Strike]]),RTD("tos.rtd", , "ASK", "."&amp;Table1334[[#This Row],[Ticker]]&amp;Table1334[[#This Row],[Expiry]]&amp;""&amp;"C"&amp;Table1334[[#This Row],[Strike]]))</f>
        <v>0</v>
      </c>
      <c r="K654" s="17"/>
      <c r="M654" s="1">
        <f t="shared" si="65"/>
        <v>0</v>
      </c>
      <c r="N654" t="b">
        <f t="shared" si="66"/>
        <v>0</v>
      </c>
      <c r="P654" s="17" cm="1">
        <f t="array" aca="1" ref="P654" ca="1">IndividualLegIVCore($A$4, Table1334[[#This Row],[Strike]], 0.0411, Table1334[[#This Row],[T]], ((Table1334[[#This Row],[BIDP]]+Table1334[[#This Row],[ASKP]])/2), FALSE)</f>
        <v>0.01</v>
      </c>
      <c r="Q654" t="b">
        <f>IF(     ISNUMBER(Table1334[[#This Row],[Strike]]),RTD("tos.rtd", , "BID", "."&amp;Table1334[[#This Row],[Ticker]]&amp;Table1334[[#This Row],[Expiry]]&amp;""&amp;"P"&amp;Table1334[[#This Row],[Strike]]))</f>
        <v>0</v>
      </c>
      <c r="R654" t="b">
        <f>IF(     ISNUMBER(Table1334[[#This Row],[Strike]]),RTD("tos.rtd", , "ASK", "."&amp;Table1334[[#This Row],[Ticker]]&amp;Table1334[[#This Row],[Expiry]]&amp;""&amp;"P"&amp;Table1334[[#This Row],[Strike]]))</f>
        <v>0</v>
      </c>
      <c r="S654" s="17"/>
      <c r="T654" t="b">
        <f>IF(     ISNUMBER(Table1334[[#This Row],[Strike]]),RTD("tos.rtd", , "OPEN_INT", "."&amp;Table1334[[#This Row],[Ticker]]&amp;Table1334[[#This Row],[Expiry]]&amp;""&amp;"P"&amp;Table1334[[#This Row],[Strike]]))</f>
        <v>0</v>
      </c>
      <c r="U65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4" t="b">
        <f>IF(     ISNUMBER(Table1334[[#This Row],[Strike]]),RTD("tos.rtd", , "DELTA", "."&amp;Table1334[[#This Row],[Ticker]]&amp;Table1334[[#This Row],[Expiry]]&amp;""&amp;"P"&amp;Table1334[[#This Row],[Strike]]))</f>
        <v>0</v>
      </c>
      <c r="Y654" s="19">
        <f>-32.5 * IF($M$1="NDX", 10, IF(OR($M$1="SPX", $M$1="RUT"), 2, 1))</f>
        <v>-65</v>
      </c>
      <c r="Z654">
        <f ca="1">IFERROR(Table1334[[#This Row],[call gamma]]*(Table1334[[#This Row],[Open.Int]])*$A$4^2,0)</f>
        <v>0</v>
      </c>
      <c r="AA654">
        <f ca="1">IFERROR(((Table1334[[#This Row],[Open.Int8]])*Table1334[[#This Row],[Put gamma]])*-1*$A$4^2,0)</f>
        <v>0</v>
      </c>
      <c r="AB654">
        <f ca="1">(Table1334[[#This Row],[Call Gex]]+Table1334[[#This Row],[Put Gex]])</f>
        <v>0</v>
      </c>
      <c r="AC654">
        <f ca="1">Table1334[[#This Row],[put delta adj]]+Table1334[[#This Row],[call delta adj]]</f>
        <v>0</v>
      </c>
      <c r="AD654">
        <f ca="1">Table1334[[#This Row],[Put Gex]]*Table1334[[#This Row],[DeltaP]]*-1</f>
        <v>0</v>
      </c>
      <c r="AE654">
        <f ca="1">Table1334[[#This Row],[Call Gex]]*Table1334[[#This Row],[DeltaC]]</f>
        <v>0</v>
      </c>
      <c r="AF654">
        <f>IF(Table1334[[#This Row],[DeltaC]]-ABS(Table1334[[#This Row],[DeltaP]])="0","0.01",Table1334[[#This Row],[DeltaC]]-ABS(Table1334[[#This Row],[DeltaP]]))</f>
        <v>0</v>
      </c>
      <c r="AG65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4" t="e">
        <f ca="1">(EXP(-(AG654^2)/2)/SQRT(2*PI())*EXP(0*SQRT(Table1334[[#This Row],[T]]))/$A$4*18%*SQRT(SQRT(Table1334[[#This Row],[T]])))</f>
        <v>#DIV/0!</v>
      </c>
      <c r="AJ654" t="e">
        <f ca="1">(EXP(-(AH654^2)/2)/SQRT(2*PI())*EXP(0*SQRT(Table1334[[#This Row],[T]]))/$A$4*18%*SQRT(SQRT(Table1334[[#This Row],[T]])))</f>
        <v>#DIV/0!</v>
      </c>
      <c r="AK654" t="e">
        <f ca="1">Table1334[[#This Row],[Call D1]]-Table1334[[#This Row],[IV Calc C]]*SQRT(Table1334[[#This Row],[T]])</f>
        <v>#DIV/0!</v>
      </c>
      <c r="AL654" t="e">
        <f ca="1">Table1334[[#This Row],[Put D1]]-Table1334[[#This Row],[IV Calc P]]*SQRT(Table1334[[#This Row],[T]])</f>
        <v>#DIV/0!</v>
      </c>
      <c r="AM654" t="e">
        <f ca="1">EXP(-0.5*Table1334[[#This Row],[Call D1]]^2)/SQRT(2*PI())</f>
        <v>#DIV/0!</v>
      </c>
      <c r="AN654" t="e">
        <f ca="1">EXP(-0.5*Table1334[[#This Row],[Put D1]]^2)/SQRT(2*PI())</f>
        <v>#DIV/0!</v>
      </c>
      <c r="AO65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4">
        <f ca="1">((Table1334[[#This Row],[call vanna]]+Table1334[[#This Row],[put vanna]])*$A$4)</f>
        <v>0</v>
      </c>
      <c r="AR65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4" s="9" t="str" cm="1">
        <f t="array" ref="AT654">_xlfn.IFS(     $M$1="SPX","SPXW",     $M$1="RUT","RUTW",  $M$1="NDX","NDXP",   TRUE,$M$1 )</f>
        <v>SPXW</v>
      </c>
      <c r="AU654" s="2">
        <f t="shared" si="67"/>
        <v>6915</v>
      </c>
      <c r="AV654" t="str">
        <f t="shared" si="68"/>
        <v>000100</v>
      </c>
      <c r="AY65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4">
        <f>((Table1334[[#This Row],[High C]]+Table1334[[#This Row],[Low C]])/2)*Table1334[[#This Row],[gammac]]*Table1334[[#This Row],[Volume]]</f>
        <v>0</v>
      </c>
      <c r="BD654">
        <f>((Table1334[[#This Row],[High P]]+Table1334[[#This Row],[Low P]])/2)*Table1334[[#This Row],[gammap]]*Table1334[[#This Row],[Volume9]]*-1</f>
        <v>0</v>
      </c>
      <c r="BE654">
        <f>(Table1334[[#This Row],[SgammaC]]+Table1334[[#This Row],[SgammaP]])*$A$4*-100</f>
        <v>0</v>
      </c>
      <c r="BF654">
        <f>Table1334[[#This Row],[DEXc]]+Table1334[[#This Row],[DEXp]]</f>
        <v>0</v>
      </c>
      <c r="BG654">
        <f>IFERROR(Table1334[[#This Row],[DeltaC]]*Table1334[[#This Row],[Open.Int]]*$A$4,0)</f>
        <v>0</v>
      </c>
      <c r="BH654">
        <f>IFERROR(Table1334[[#This Row],[DeltaP]]*Table1334[[#This Row],[Open.Int8]]*$A$4,0)</f>
        <v>0</v>
      </c>
      <c r="BI65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4">
        <f ca="1">Table1334[[#This Row],[charmc]]+Table1334[[#This Row],[charmp]]</f>
        <v>0</v>
      </c>
      <c r="BL65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4" s="78">
        <f ca="1">Table1334[[#This Row],[call helper]]+Table1334[[#This Row],[put helper]]</f>
        <v>0</v>
      </c>
      <c r="BP654" t="str">
        <f>RTD("tos.rtd", , "STRIKE", "."&amp;Table1334[[#This Row],[Ticker]]&amp;Table1334[[#This Row],[Expiry]]&amp;""&amp;"C"&amp;Table1334[[#This Row],[Spot]]+Table1334[[#This Row],[step]])</f>
        <v>N/A</v>
      </c>
    </row>
    <row r="655" spans="1:68" x14ac:dyDescent="0.25">
      <c r="A655" s="14">
        <f t="shared" ca="1" si="64"/>
        <v>-126.14810350076104</v>
      </c>
      <c r="C655" s="17"/>
      <c r="D655" t="str">
        <f>RTD("tos.rtd", , "OPEN_INT", "."&amp;Table1334[[#This Row],[Ticker]]&amp;Table1334[[#This Row],[Expiry]]&amp;""&amp;"C"&amp;Table1334[[#This Row],[Spot]]+Table1334[[#This Row],[step]])</f>
        <v>N/A</v>
      </c>
      <c r="E65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5" t="b">
        <f>IF(     ISNUMBER(Table1334[[#This Row],[Strike]]),RTD("tos.rtd", , "DELTA", "."&amp;Table1334[[#This Row],[Ticker]]&amp;Table1334[[#This Row],[Expiry]]&amp;""&amp;"C"&amp;Table1334[[#This Row],[Strike]]))</f>
        <v>0</v>
      </c>
      <c r="H655" s="17" cm="1">
        <f t="array" aca="1" ref="H655" ca="1">IndividualLegIVCore($A$4, Table1334[[#This Row],[Strike]], 0.0411, Table1334[[#This Row],[T]], ((Table1334[[#This Row],[BIDC]]+Table1334[[#This Row],[ASKC]])/2), TRUE)</f>
        <v>0.01</v>
      </c>
      <c r="I655" t="b">
        <f>IF(     ISNUMBER(Table1334[[#This Row],[Strike]]),RTD("tos.rtd", , "BID", "."&amp;Table1334[[#This Row],[Ticker]]&amp;Table1334[[#This Row],[Expiry]]&amp;""&amp;"C"&amp;Table1334[[#This Row],[Strike]]))</f>
        <v>0</v>
      </c>
      <c r="J655" t="b">
        <f>IF(     ISNUMBER(Table1334[[#This Row],[Strike]]),RTD("tos.rtd", , "ASK", "."&amp;Table1334[[#This Row],[Ticker]]&amp;Table1334[[#This Row],[Expiry]]&amp;""&amp;"C"&amp;Table1334[[#This Row],[Strike]]))</f>
        <v>0</v>
      </c>
      <c r="K655" s="17"/>
      <c r="M655" s="1">
        <f t="shared" si="65"/>
        <v>0</v>
      </c>
      <c r="N655" t="b">
        <f t="shared" si="66"/>
        <v>0</v>
      </c>
      <c r="P655" s="17" cm="1">
        <f t="array" aca="1" ref="P655" ca="1">IndividualLegIVCore($A$4, Table1334[[#This Row],[Strike]], 0.0411, Table1334[[#This Row],[T]], ((Table1334[[#This Row],[BIDP]]+Table1334[[#This Row],[ASKP]])/2), FALSE)</f>
        <v>0.01</v>
      </c>
      <c r="Q655" t="b">
        <f>IF(     ISNUMBER(Table1334[[#This Row],[Strike]]),RTD("tos.rtd", , "BID", "."&amp;Table1334[[#This Row],[Ticker]]&amp;Table1334[[#This Row],[Expiry]]&amp;""&amp;"P"&amp;Table1334[[#This Row],[Strike]]))</f>
        <v>0</v>
      </c>
      <c r="R655" t="b">
        <f>IF(     ISNUMBER(Table1334[[#This Row],[Strike]]),RTD("tos.rtd", , "ASK", "."&amp;Table1334[[#This Row],[Ticker]]&amp;Table1334[[#This Row],[Expiry]]&amp;""&amp;"P"&amp;Table1334[[#This Row],[Strike]]))</f>
        <v>0</v>
      </c>
      <c r="S655" s="17"/>
      <c r="T655" t="b">
        <f>IF(     ISNUMBER(Table1334[[#This Row],[Strike]]),RTD("tos.rtd", , "OPEN_INT", "."&amp;Table1334[[#This Row],[Ticker]]&amp;Table1334[[#This Row],[Expiry]]&amp;""&amp;"P"&amp;Table1334[[#This Row],[Strike]]))</f>
        <v>0</v>
      </c>
      <c r="U65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5" t="b">
        <f>IF(     ISNUMBER(Table1334[[#This Row],[Strike]]),RTD("tos.rtd", , "DELTA", "."&amp;Table1334[[#This Row],[Ticker]]&amp;Table1334[[#This Row],[Expiry]]&amp;""&amp;"P"&amp;Table1334[[#This Row],[Strike]]))</f>
        <v>0</v>
      </c>
      <c r="Y655" s="19">
        <f>-32 * IF($M$1="NDX", 10, IF(OR($M$1="SPX", $M$1="RUT"), 2, 1))</f>
        <v>-64</v>
      </c>
      <c r="Z655">
        <f ca="1">IFERROR(Table1334[[#This Row],[call gamma]]*(Table1334[[#This Row],[Open.Int]])*$A$4^2,0)</f>
        <v>0</v>
      </c>
      <c r="AA655">
        <f ca="1">IFERROR(((Table1334[[#This Row],[Open.Int8]])*Table1334[[#This Row],[Put gamma]])*-1*$A$4^2,0)</f>
        <v>0</v>
      </c>
      <c r="AB655">
        <f ca="1">(Table1334[[#This Row],[Call Gex]]+Table1334[[#This Row],[Put Gex]])</f>
        <v>0</v>
      </c>
      <c r="AC655">
        <f ca="1">Table1334[[#This Row],[put delta adj]]+Table1334[[#This Row],[call delta adj]]</f>
        <v>0</v>
      </c>
      <c r="AD655">
        <f ca="1">Table1334[[#This Row],[Put Gex]]*Table1334[[#This Row],[DeltaP]]*-1</f>
        <v>0</v>
      </c>
      <c r="AE655">
        <f ca="1">Table1334[[#This Row],[Call Gex]]*Table1334[[#This Row],[DeltaC]]</f>
        <v>0</v>
      </c>
      <c r="AF655">
        <f>IF(Table1334[[#This Row],[DeltaC]]-ABS(Table1334[[#This Row],[DeltaP]])="0","0.01",Table1334[[#This Row],[DeltaC]]-ABS(Table1334[[#This Row],[DeltaP]]))</f>
        <v>0</v>
      </c>
      <c r="AG65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5" t="e">
        <f ca="1">(EXP(-(AG655^2)/2)/SQRT(2*PI())*EXP(0*SQRT(Table1334[[#This Row],[T]]))/$A$4*18%*SQRT(SQRT(Table1334[[#This Row],[T]])))</f>
        <v>#DIV/0!</v>
      </c>
      <c r="AJ655" t="e">
        <f ca="1">(EXP(-(AH655^2)/2)/SQRT(2*PI())*EXP(0*SQRT(Table1334[[#This Row],[T]]))/$A$4*18%*SQRT(SQRT(Table1334[[#This Row],[T]])))</f>
        <v>#DIV/0!</v>
      </c>
      <c r="AK655" t="e">
        <f ca="1">Table1334[[#This Row],[Call D1]]-Table1334[[#This Row],[IV Calc C]]*SQRT(Table1334[[#This Row],[T]])</f>
        <v>#DIV/0!</v>
      </c>
      <c r="AL655" t="e">
        <f ca="1">Table1334[[#This Row],[Put D1]]-Table1334[[#This Row],[IV Calc P]]*SQRT(Table1334[[#This Row],[T]])</f>
        <v>#DIV/0!</v>
      </c>
      <c r="AM655" t="e">
        <f ca="1">EXP(-0.5*Table1334[[#This Row],[Call D1]]^2)/SQRT(2*PI())</f>
        <v>#DIV/0!</v>
      </c>
      <c r="AN655" t="e">
        <f ca="1">EXP(-0.5*Table1334[[#This Row],[Put D1]]^2)/SQRT(2*PI())</f>
        <v>#DIV/0!</v>
      </c>
      <c r="AO65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5">
        <f ca="1">((Table1334[[#This Row],[call vanna]]+Table1334[[#This Row],[put vanna]])*$A$4)</f>
        <v>0</v>
      </c>
      <c r="AR65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5" s="9" t="str" cm="1">
        <f t="array" ref="AT655">_xlfn.IFS(     $M$1="SPX","SPXW",     $M$1="RUT","RUTW",  $M$1="NDX","NDXP",   TRUE,$M$1 )</f>
        <v>SPXW</v>
      </c>
      <c r="AU655" s="2">
        <f t="shared" si="67"/>
        <v>6915</v>
      </c>
      <c r="AV655" t="str">
        <f t="shared" si="68"/>
        <v>000100</v>
      </c>
      <c r="AY65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5">
        <f>((Table1334[[#This Row],[High C]]+Table1334[[#This Row],[Low C]])/2)*Table1334[[#This Row],[gammac]]*Table1334[[#This Row],[Volume]]</f>
        <v>0</v>
      </c>
      <c r="BD655">
        <f>((Table1334[[#This Row],[High P]]+Table1334[[#This Row],[Low P]])/2)*Table1334[[#This Row],[gammap]]*Table1334[[#This Row],[Volume9]]*-1</f>
        <v>0</v>
      </c>
      <c r="BE655">
        <f>(Table1334[[#This Row],[SgammaC]]+Table1334[[#This Row],[SgammaP]])*$A$4*-100</f>
        <v>0</v>
      </c>
      <c r="BF655">
        <f>Table1334[[#This Row],[DEXc]]+Table1334[[#This Row],[DEXp]]</f>
        <v>0</v>
      </c>
      <c r="BG655">
        <f>IFERROR(Table1334[[#This Row],[DeltaC]]*Table1334[[#This Row],[Open.Int]]*$A$4,0)</f>
        <v>0</v>
      </c>
      <c r="BH655">
        <f>IFERROR(Table1334[[#This Row],[DeltaP]]*Table1334[[#This Row],[Open.Int8]]*$A$4,0)</f>
        <v>0</v>
      </c>
      <c r="BI65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5">
        <f ca="1">Table1334[[#This Row],[charmc]]+Table1334[[#This Row],[charmp]]</f>
        <v>0</v>
      </c>
      <c r="BL65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5" s="78">
        <f ca="1">Table1334[[#This Row],[call helper]]+Table1334[[#This Row],[put helper]]</f>
        <v>0</v>
      </c>
      <c r="BP655" t="str">
        <f>RTD("tos.rtd", , "STRIKE", "."&amp;Table1334[[#This Row],[Ticker]]&amp;Table1334[[#This Row],[Expiry]]&amp;""&amp;"C"&amp;Table1334[[#This Row],[Spot]]+Table1334[[#This Row],[step]])</f>
        <v>N/A</v>
      </c>
    </row>
    <row r="656" spans="1:68" x14ac:dyDescent="0.25">
      <c r="A656" s="14">
        <f t="shared" ca="1" si="64"/>
        <v>-126.14810350076104</v>
      </c>
      <c r="C656" s="17"/>
      <c r="D656" t="str">
        <f>RTD("tos.rtd", , "OPEN_INT", "."&amp;Table1334[[#This Row],[Ticker]]&amp;Table1334[[#This Row],[Expiry]]&amp;""&amp;"C"&amp;Table1334[[#This Row],[Spot]]+Table1334[[#This Row],[step]])</f>
        <v>N/A</v>
      </c>
      <c r="E65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6" t="b">
        <f>IF(     ISNUMBER(Table1334[[#This Row],[Strike]]),RTD("tos.rtd", , "DELTA", "."&amp;Table1334[[#This Row],[Ticker]]&amp;Table1334[[#This Row],[Expiry]]&amp;""&amp;"C"&amp;Table1334[[#This Row],[Strike]]))</f>
        <v>0</v>
      </c>
      <c r="H656" s="17" cm="1">
        <f t="array" aca="1" ref="H656" ca="1">IndividualLegIVCore($A$4, Table1334[[#This Row],[Strike]], 0.0411, Table1334[[#This Row],[T]], ((Table1334[[#This Row],[BIDC]]+Table1334[[#This Row],[ASKC]])/2), TRUE)</f>
        <v>0.01</v>
      </c>
      <c r="I656" t="b">
        <f>IF(     ISNUMBER(Table1334[[#This Row],[Strike]]),RTD("tos.rtd", , "BID", "."&amp;Table1334[[#This Row],[Ticker]]&amp;Table1334[[#This Row],[Expiry]]&amp;""&amp;"C"&amp;Table1334[[#This Row],[Strike]]))</f>
        <v>0</v>
      </c>
      <c r="J656" t="b">
        <f>IF(     ISNUMBER(Table1334[[#This Row],[Strike]]),RTD("tos.rtd", , "ASK", "."&amp;Table1334[[#This Row],[Ticker]]&amp;Table1334[[#This Row],[Expiry]]&amp;""&amp;"C"&amp;Table1334[[#This Row],[Strike]]))</f>
        <v>0</v>
      </c>
      <c r="K656" s="17"/>
      <c r="M656" s="1">
        <f t="shared" si="65"/>
        <v>0</v>
      </c>
      <c r="N656" t="b">
        <f t="shared" si="66"/>
        <v>0</v>
      </c>
      <c r="P656" s="17" cm="1">
        <f t="array" aca="1" ref="P656" ca="1">IndividualLegIVCore($A$4, Table1334[[#This Row],[Strike]], 0.0411, Table1334[[#This Row],[T]], ((Table1334[[#This Row],[BIDP]]+Table1334[[#This Row],[ASKP]])/2), FALSE)</f>
        <v>0.01</v>
      </c>
      <c r="Q656" t="b">
        <f>IF(     ISNUMBER(Table1334[[#This Row],[Strike]]),RTD("tos.rtd", , "BID", "."&amp;Table1334[[#This Row],[Ticker]]&amp;Table1334[[#This Row],[Expiry]]&amp;""&amp;"P"&amp;Table1334[[#This Row],[Strike]]))</f>
        <v>0</v>
      </c>
      <c r="R656" t="b">
        <f>IF(     ISNUMBER(Table1334[[#This Row],[Strike]]),RTD("tos.rtd", , "ASK", "."&amp;Table1334[[#This Row],[Ticker]]&amp;Table1334[[#This Row],[Expiry]]&amp;""&amp;"P"&amp;Table1334[[#This Row],[Strike]]))</f>
        <v>0</v>
      </c>
      <c r="S656" s="17"/>
      <c r="T656" t="b">
        <f>IF(     ISNUMBER(Table1334[[#This Row],[Strike]]),RTD("tos.rtd", , "OPEN_INT", "."&amp;Table1334[[#This Row],[Ticker]]&amp;Table1334[[#This Row],[Expiry]]&amp;""&amp;"P"&amp;Table1334[[#This Row],[Strike]]))</f>
        <v>0</v>
      </c>
      <c r="U65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6" t="b">
        <f>IF(     ISNUMBER(Table1334[[#This Row],[Strike]]),RTD("tos.rtd", , "DELTA", "."&amp;Table1334[[#This Row],[Ticker]]&amp;Table1334[[#This Row],[Expiry]]&amp;""&amp;"P"&amp;Table1334[[#This Row],[Strike]]))</f>
        <v>0</v>
      </c>
      <c r="Y656" s="19">
        <f>-31.5 * IF($M$1="NDX", 10, IF(OR($M$1="SPX", $M$1="RUT"), 2, 1))</f>
        <v>-63</v>
      </c>
      <c r="Z656">
        <f ca="1">IFERROR(Table1334[[#This Row],[call gamma]]*(Table1334[[#This Row],[Open.Int]])*$A$4^2,0)</f>
        <v>0</v>
      </c>
      <c r="AA656">
        <f ca="1">IFERROR(((Table1334[[#This Row],[Open.Int8]])*Table1334[[#This Row],[Put gamma]])*-1*$A$4^2,0)</f>
        <v>0</v>
      </c>
      <c r="AB656">
        <f ca="1">(Table1334[[#This Row],[Call Gex]]+Table1334[[#This Row],[Put Gex]])</f>
        <v>0</v>
      </c>
      <c r="AC656">
        <f ca="1">Table1334[[#This Row],[put delta adj]]+Table1334[[#This Row],[call delta adj]]</f>
        <v>0</v>
      </c>
      <c r="AD656">
        <f ca="1">Table1334[[#This Row],[Put Gex]]*Table1334[[#This Row],[DeltaP]]*-1</f>
        <v>0</v>
      </c>
      <c r="AE656">
        <f ca="1">Table1334[[#This Row],[Call Gex]]*Table1334[[#This Row],[DeltaC]]</f>
        <v>0</v>
      </c>
      <c r="AF656">
        <f>IF(Table1334[[#This Row],[DeltaC]]-ABS(Table1334[[#This Row],[DeltaP]])="0","0.01",Table1334[[#This Row],[DeltaC]]-ABS(Table1334[[#This Row],[DeltaP]]))</f>
        <v>0</v>
      </c>
      <c r="AG65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6" t="e">
        <f ca="1">(EXP(-(AG656^2)/2)/SQRT(2*PI())*EXP(0*SQRT(Table1334[[#This Row],[T]]))/$A$4*18%*SQRT(SQRT(Table1334[[#This Row],[T]])))</f>
        <v>#DIV/0!</v>
      </c>
      <c r="AJ656" t="e">
        <f ca="1">(EXP(-(AH656^2)/2)/SQRT(2*PI())*EXP(0*SQRT(Table1334[[#This Row],[T]]))/$A$4*18%*SQRT(SQRT(Table1334[[#This Row],[T]])))</f>
        <v>#DIV/0!</v>
      </c>
      <c r="AK656" t="e">
        <f ca="1">Table1334[[#This Row],[Call D1]]-Table1334[[#This Row],[IV Calc C]]*SQRT(Table1334[[#This Row],[T]])</f>
        <v>#DIV/0!</v>
      </c>
      <c r="AL656" t="e">
        <f ca="1">Table1334[[#This Row],[Put D1]]-Table1334[[#This Row],[IV Calc P]]*SQRT(Table1334[[#This Row],[T]])</f>
        <v>#DIV/0!</v>
      </c>
      <c r="AM656" t="e">
        <f ca="1">EXP(-0.5*Table1334[[#This Row],[Call D1]]^2)/SQRT(2*PI())</f>
        <v>#DIV/0!</v>
      </c>
      <c r="AN656" t="e">
        <f ca="1">EXP(-0.5*Table1334[[#This Row],[Put D1]]^2)/SQRT(2*PI())</f>
        <v>#DIV/0!</v>
      </c>
      <c r="AO65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6">
        <f ca="1">((Table1334[[#This Row],[call vanna]]+Table1334[[#This Row],[put vanna]])*$A$4)</f>
        <v>0</v>
      </c>
      <c r="AR65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6" s="9" t="str" cm="1">
        <f t="array" ref="AT656">_xlfn.IFS(     $M$1="SPX","SPXW",     $M$1="RUT","RUTW",  $M$1="NDX","NDXP",   TRUE,$M$1 )</f>
        <v>SPXW</v>
      </c>
      <c r="AU656" s="2">
        <f t="shared" si="67"/>
        <v>6915</v>
      </c>
      <c r="AV656" t="str">
        <f t="shared" si="68"/>
        <v>000100</v>
      </c>
      <c r="AY65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6">
        <f>((Table1334[[#This Row],[High C]]+Table1334[[#This Row],[Low C]])/2)*Table1334[[#This Row],[gammac]]*Table1334[[#This Row],[Volume]]</f>
        <v>0</v>
      </c>
      <c r="BD656">
        <f>((Table1334[[#This Row],[High P]]+Table1334[[#This Row],[Low P]])/2)*Table1334[[#This Row],[gammap]]*Table1334[[#This Row],[Volume9]]*-1</f>
        <v>0</v>
      </c>
      <c r="BE656">
        <f>(Table1334[[#This Row],[SgammaC]]+Table1334[[#This Row],[SgammaP]])*$A$4*-100</f>
        <v>0</v>
      </c>
      <c r="BF656">
        <f>Table1334[[#This Row],[DEXc]]+Table1334[[#This Row],[DEXp]]</f>
        <v>0</v>
      </c>
      <c r="BG656">
        <f>IFERROR(Table1334[[#This Row],[DeltaC]]*Table1334[[#This Row],[Open.Int]]*$A$4,0)</f>
        <v>0</v>
      </c>
      <c r="BH656">
        <f>IFERROR(Table1334[[#This Row],[DeltaP]]*Table1334[[#This Row],[Open.Int8]]*$A$4,0)</f>
        <v>0</v>
      </c>
      <c r="BI65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6">
        <f ca="1">Table1334[[#This Row],[charmc]]+Table1334[[#This Row],[charmp]]</f>
        <v>0</v>
      </c>
      <c r="BL65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6" s="78">
        <f ca="1">Table1334[[#This Row],[call helper]]+Table1334[[#This Row],[put helper]]</f>
        <v>0</v>
      </c>
      <c r="BP656" t="str">
        <f>RTD("tos.rtd", , "STRIKE", "."&amp;Table1334[[#This Row],[Ticker]]&amp;Table1334[[#This Row],[Expiry]]&amp;""&amp;"C"&amp;Table1334[[#This Row],[Spot]]+Table1334[[#This Row],[step]])</f>
        <v>N/A</v>
      </c>
    </row>
    <row r="657" spans="1:68" x14ac:dyDescent="0.25">
      <c r="A657" s="14">
        <f t="shared" ca="1" si="64"/>
        <v>-126.14810350076104</v>
      </c>
      <c r="C657" s="17"/>
      <c r="D657" t="str">
        <f>RTD("tos.rtd", , "OPEN_INT", "."&amp;Table1334[[#This Row],[Ticker]]&amp;Table1334[[#This Row],[Expiry]]&amp;""&amp;"C"&amp;Table1334[[#This Row],[Spot]]+Table1334[[#This Row],[step]])</f>
        <v>N/A</v>
      </c>
      <c r="E65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7" t="b">
        <f>IF(     ISNUMBER(Table1334[[#This Row],[Strike]]),RTD("tos.rtd", , "DELTA", "."&amp;Table1334[[#This Row],[Ticker]]&amp;Table1334[[#This Row],[Expiry]]&amp;""&amp;"C"&amp;Table1334[[#This Row],[Strike]]))</f>
        <v>0</v>
      </c>
      <c r="H657" s="17" cm="1">
        <f t="array" aca="1" ref="H657" ca="1">IndividualLegIVCore($A$4, Table1334[[#This Row],[Strike]], 0.0411, Table1334[[#This Row],[T]], ((Table1334[[#This Row],[BIDC]]+Table1334[[#This Row],[ASKC]])/2), TRUE)</f>
        <v>0.01</v>
      </c>
      <c r="I657" t="b">
        <f>IF(     ISNUMBER(Table1334[[#This Row],[Strike]]),RTD("tos.rtd", , "BID", "."&amp;Table1334[[#This Row],[Ticker]]&amp;Table1334[[#This Row],[Expiry]]&amp;""&amp;"C"&amp;Table1334[[#This Row],[Strike]]))</f>
        <v>0</v>
      </c>
      <c r="J657" t="b">
        <f>IF(     ISNUMBER(Table1334[[#This Row],[Strike]]),RTD("tos.rtd", , "ASK", "."&amp;Table1334[[#This Row],[Ticker]]&amp;Table1334[[#This Row],[Expiry]]&amp;""&amp;"C"&amp;Table1334[[#This Row],[Strike]]))</f>
        <v>0</v>
      </c>
      <c r="K657" s="17"/>
      <c r="M657" s="1">
        <f t="shared" si="65"/>
        <v>0</v>
      </c>
      <c r="N657" t="b">
        <f t="shared" si="66"/>
        <v>0</v>
      </c>
      <c r="P657" s="17" cm="1">
        <f t="array" aca="1" ref="P657" ca="1">IndividualLegIVCore($A$4, Table1334[[#This Row],[Strike]], 0.0411, Table1334[[#This Row],[T]], ((Table1334[[#This Row],[BIDP]]+Table1334[[#This Row],[ASKP]])/2), FALSE)</f>
        <v>0.01</v>
      </c>
      <c r="Q657" t="b">
        <f>IF(     ISNUMBER(Table1334[[#This Row],[Strike]]),RTD("tos.rtd", , "BID", "."&amp;Table1334[[#This Row],[Ticker]]&amp;Table1334[[#This Row],[Expiry]]&amp;""&amp;"P"&amp;Table1334[[#This Row],[Strike]]))</f>
        <v>0</v>
      </c>
      <c r="R657" t="b">
        <f>IF(     ISNUMBER(Table1334[[#This Row],[Strike]]),RTD("tos.rtd", , "ASK", "."&amp;Table1334[[#This Row],[Ticker]]&amp;Table1334[[#This Row],[Expiry]]&amp;""&amp;"P"&amp;Table1334[[#This Row],[Strike]]))</f>
        <v>0</v>
      </c>
      <c r="S657" s="17"/>
      <c r="T657" t="b">
        <f>IF(     ISNUMBER(Table1334[[#This Row],[Strike]]),RTD("tos.rtd", , "OPEN_INT", "."&amp;Table1334[[#This Row],[Ticker]]&amp;Table1334[[#This Row],[Expiry]]&amp;""&amp;"P"&amp;Table1334[[#This Row],[Strike]]))</f>
        <v>0</v>
      </c>
      <c r="U65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7" t="b">
        <f>IF(     ISNUMBER(Table1334[[#This Row],[Strike]]),RTD("tos.rtd", , "DELTA", "."&amp;Table1334[[#This Row],[Ticker]]&amp;Table1334[[#This Row],[Expiry]]&amp;""&amp;"P"&amp;Table1334[[#This Row],[Strike]]))</f>
        <v>0</v>
      </c>
      <c r="Y657" s="19">
        <f>-31 * IF($M$1="NDX", 10, IF(OR($M$1="SPX", $M$1="RUT"), 2, 1))</f>
        <v>-62</v>
      </c>
      <c r="Z657">
        <f ca="1">IFERROR(Table1334[[#This Row],[call gamma]]*(Table1334[[#This Row],[Open.Int]])*$A$4^2,0)</f>
        <v>0</v>
      </c>
      <c r="AA657">
        <f ca="1">IFERROR(((Table1334[[#This Row],[Open.Int8]])*Table1334[[#This Row],[Put gamma]])*-1*$A$4^2,0)</f>
        <v>0</v>
      </c>
      <c r="AB657">
        <f ca="1">(Table1334[[#This Row],[Call Gex]]+Table1334[[#This Row],[Put Gex]])</f>
        <v>0</v>
      </c>
      <c r="AC657">
        <f ca="1">Table1334[[#This Row],[put delta adj]]+Table1334[[#This Row],[call delta adj]]</f>
        <v>0</v>
      </c>
      <c r="AD657">
        <f ca="1">Table1334[[#This Row],[Put Gex]]*Table1334[[#This Row],[DeltaP]]*-1</f>
        <v>0</v>
      </c>
      <c r="AE657">
        <f ca="1">Table1334[[#This Row],[Call Gex]]*Table1334[[#This Row],[DeltaC]]</f>
        <v>0</v>
      </c>
      <c r="AF657">
        <f>IF(Table1334[[#This Row],[DeltaC]]-ABS(Table1334[[#This Row],[DeltaP]])="0","0.01",Table1334[[#This Row],[DeltaC]]-ABS(Table1334[[#This Row],[DeltaP]]))</f>
        <v>0</v>
      </c>
      <c r="AG65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7" t="e">
        <f ca="1">(EXP(-(AG657^2)/2)/SQRT(2*PI())*EXP(0*SQRT(Table1334[[#This Row],[T]]))/$A$4*18%*SQRT(SQRT(Table1334[[#This Row],[T]])))</f>
        <v>#DIV/0!</v>
      </c>
      <c r="AJ657" t="e">
        <f ca="1">(EXP(-(AH657^2)/2)/SQRT(2*PI())*EXP(0*SQRT(Table1334[[#This Row],[T]]))/$A$4*18%*SQRT(SQRT(Table1334[[#This Row],[T]])))</f>
        <v>#DIV/0!</v>
      </c>
      <c r="AK657" t="e">
        <f ca="1">Table1334[[#This Row],[Call D1]]-Table1334[[#This Row],[IV Calc C]]*SQRT(Table1334[[#This Row],[T]])</f>
        <v>#DIV/0!</v>
      </c>
      <c r="AL657" t="e">
        <f ca="1">Table1334[[#This Row],[Put D1]]-Table1334[[#This Row],[IV Calc P]]*SQRT(Table1334[[#This Row],[T]])</f>
        <v>#DIV/0!</v>
      </c>
      <c r="AM657" t="e">
        <f ca="1">EXP(-0.5*Table1334[[#This Row],[Call D1]]^2)/SQRT(2*PI())</f>
        <v>#DIV/0!</v>
      </c>
      <c r="AN657" t="e">
        <f ca="1">EXP(-0.5*Table1334[[#This Row],[Put D1]]^2)/SQRT(2*PI())</f>
        <v>#DIV/0!</v>
      </c>
      <c r="AO65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7">
        <f ca="1">((Table1334[[#This Row],[call vanna]]+Table1334[[#This Row],[put vanna]])*$A$4)</f>
        <v>0</v>
      </c>
      <c r="AR65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7" s="9" t="str" cm="1">
        <f t="array" ref="AT657">_xlfn.IFS(     $M$1="SPX","SPXW",     $M$1="RUT","RUTW",  $M$1="NDX","NDXP",   TRUE,$M$1 )</f>
        <v>SPXW</v>
      </c>
      <c r="AU657" s="2">
        <f t="shared" si="67"/>
        <v>6915</v>
      </c>
      <c r="AV657" t="str">
        <f t="shared" si="68"/>
        <v>000100</v>
      </c>
      <c r="AY65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7">
        <f>((Table1334[[#This Row],[High C]]+Table1334[[#This Row],[Low C]])/2)*Table1334[[#This Row],[gammac]]*Table1334[[#This Row],[Volume]]</f>
        <v>0</v>
      </c>
      <c r="BD657">
        <f>((Table1334[[#This Row],[High P]]+Table1334[[#This Row],[Low P]])/2)*Table1334[[#This Row],[gammap]]*Table1334[[#This Row],[Volume9]]*-1</f>
        <v>0</v>
      </c>
      <c r="BE657">
        <f>(Table1334[[#This Row],[SgammaC]]+Table1334[[#This Row],[SgammaP]])*$A$4*-100</f>
        <v>0</v>
      </c>
      <c r="BF657">
        <f>Table1334[[#This Row],[DEXc]]+Table1334[[#This Row],[DEXp]]</f>
        <v>0</v>
      </c>
      <c r="BG657">
        <f>IFERROR(Table1334[[#This Row],[DeltaC]]*Table1334[[#This Row],[Open.Int]]*$A$4,0)</f>
        <v>0</v>
      </c>
      <c r="BH657">
        <f>IFERROR(Table1334[[#This Row],[DeltaP]]*Table1334[[#This Row],[Open.Int8]]*$A$4,0)</f>
        <v>0</v>
      </c>
      <c r="BI65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7">
        <f ca="1">Table1334[[#This Row],[charmc]]+Table1334[[#This Row],[charmp]]</f>
        <v>0</v>
      </c>
      <c r="BL65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7" s="78">
        <f ca="1">Table1334[[#This Row],[call helper]]+Table1334[[#This Row],[put helper]]</f>
        <v>0</v>
      </c>
      <c r="BP657" t="str">
        <f>RTD("tos.rtd", , "STRIKE", "."&amp;Table1334[[#This Row],[Ticker]]&amp;Table1334[[#This Row],[Expiry]]&amp;""&amp;"C"&amp;Table1334[[#This Row],[Spot]]+Table1334[[#This Row],[step]])</f>
        <v>N/A</v>
      </c>
    </row>
    <row r="658" spans="1:68" x14ac:dyDescent="0.25">
      <c r="A658" s="14">
        <f t="shared" ca="1" si="64"/>
        <v>-126.14810350076104</v>
      </c>
      <c r="C658" s="17"/>
      <c r="D658" t="str">
        <f>RTD("tos.rtd", , "OPEN_INT", "."&amp;Table1334[[#This Row],[Ticker]]&amp;Table1334[[#This Row],[Expiry]]&amp;""&amp;"C"&amp;Table1334[[#This Row],[Spot]]+Table1334[[#This Row],[step]])</f>
        <v>N/A</v>
      </c>
      <c r="E65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8" t="b">
        <f>IF(     ISNUMBER(Table1334[[#This Row],[Strike]]),RTD("tos.rtd", , "DELTA", "."&amp;Table1334[[#This Row],[Ticker]]&amp;Table1334[[#This Row],[Expiry]]&amp;""&amp;"C"&amp;Table1334[[#This Row],[Strike]]))</f>
        <v>0</v>
      </c>
      <c r="H658" s="17" cm="1">
        <f t="array" aca="1" ref="H658" ca="1">IndividualLegIVCore($A$4, Table1334[[#This Row],[Strike]], 0.0411, Table1334[[#This Row],[T]], ((Table1334[[#This Row],[BIDC]]+Table1334[[#This Row],[ASKC]])/2), TRUE)</f>
        <v>0.01</v>
      </c>
      <c r="I658" t="b">
        <f>IF(     ISNUMBER(Table1334[[#This Row],[Strike]]),RTD("tos.rtd", , "BID", "."&amp;Table1334[[#This Row],[Ticker]]&amp;Table1334[[#This Row],[Expiry]]&amp;""&amp;"C"&amp;Table1334[[#This Row],[Strike]]))</f>
        <v>0</v>
      </c>
      <c r="J658" t="b">
        <f>IF(     ISNUMBER(Table1334[[#This Row],[Strike]]),RTD("tos.rtd", , "ASK", "."&amp;Table1334[[#This Row],[Ticker]]&amp;Table1334[[#This Row],[Expiry]]&amp;""&amp;"C"&amp;Table1334[[#This Row],[Strike]]))</f>
        <v>0</v>
      </c>
      <c r="K658" s="17"/>
      <c r="M658" s="1">
        <f t="shared" si="65"/>
        <v>0</v>
      </c>
      <c r="N658" t="b">
        <f t="shared" si="66"/>
        <v>0</v>
      </c>
      <c r="P658" s="17" cm="1">
        <f t="array" aca="1" ref="P658" ca="1">IndividualLegIVCore($A$4, Table1334[[#This Row],[Strike]], 0.0411, Table1334[[#This Row],[T]], ((Table1334[[#This Row],[BIDP]]+Table1334[[#This Row],[ASKP]])/2), FALSE)</f>
        <v>0.01</v>
      </c>
      <c r="Q658" t="b">
        <f>IF(     ISNUMBER(Table1334[[#This Row],[Strike]]),RTD("tos.rtd", , "BID", "."&amp;Table1334[[#This Row],[Ticker]]&amp;Table1334[[#This Row],[Expiry]]&amp;""&amp;"P"&amp;Table1334[[#This Row],[Strike]]))</f>
        <v>0</v>
      </c>
      <c r="R658" t="b">
        <f>IF(     ISNUMBER(Table1334[[#This Row],[Strike]]),RTD("tos.rtd", , "ASK", "."&amp;Table1334[[#This Row],[Ticker]]&amp;Table1334[[#This Row],[Expiry]]&amp;""&amp;"P"&amp;Table1334[[#This Row],[Strike]]))</f>
        <v>0</v>
      </c>
      <c r="S658" s="17"/>
      <c r="T658" t="b">
        <f>IF(     ISNUMBER(Table1334[[#This Row],[Strike]]),RTD("tos.rtd", , "OPEN_INT", "."&amp;Table1334[[#This Row],[Ticker]]&amp;Table1334[[#This Row],[Expiry]]&amp;""&amp;"P"&amp;Table1334[[#This Row],[Strike]]))</f>
        <v>0</v>
      </c>
      <c r="U65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8" t="b">
        <f>IF(     ISNUMBER(Table1334[[#This Row],[Strike]]),RTD("tos.rtd", , "DELTA", "."&amp;Table1334[[#This Row],[Ticker]]&amp;Table1334[[#This Row],[Expiry]]&amp;""&amp;"P"&amp;Table1334[[#This Row],[Strike]]))</f>
        <v>0</v>
      </c>
      <c r="Y658" s="19">
        <f>-30.5* IF($M$1="NDX", 10, IF(OR($M$1="SPX", $M$1="RUT"), 2, 1))</f>
        <v>-61</v>
      </c>
      <c r="Z658">
        <f ca="1">IFERROR(Table1334[[#This Row],[call gamma]]*(Table1334[[#This Row],[Open.Int]])*$A$4^2,0)</f>
        <v>0</v>
      </c>
      <c r="AA658">
        <f ca="1">IFERROR(((Table1334[[#This Row],[Open.Int8]])*Table1334[[#This Row],[Put gamma]])*-1*$A$4^2,0)</f>
        <v>0</v>
      </c>
      <c r="AB658">
        <f ca="1">(Table1334[[#This Row],[Call Gex]]+Table1334[[#This Row],[Put Gex]])</f>
        <v>0</v>
      </c>
      <c r="AC658">
        <f ca="1">Table1334[[#This Row],[put delta adj]]+Table1334[[#This Row],[call delta adj]]</f>
        <v>0</v>
      </c>
      <c r="AD658">
        <f ca="1">Table1334[[#This Row],[Put Gex]]*Table1334[[#This Row],[DeltaP]]*-1</f>
        <v>0</v>
      </c>
      <c r="AE658">
        <f ca="1">Table1334[[#This Row],[Call Gex]]*Table1334[[#This Row],[DeltaC]]</f>
        <v>0</v>
      </c>
      <c r="AF658">
        <f>IF(Table1334[[#This Row],[DeltaC]]-ABS(Table1334[[#This Row],[DeltaP]])="0","0.01",Table1334[[#This Row],[DeltaC]]-ABS(Table1334[[#This Row],[DeltaP]]))</f>
        <v>0</v>
      </c>
      <c r="AG65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8" t="e">
        <f ca="1">(EXP(-(AG658^2)/2)/SQRT(2*PI())*EXP(0*SQRT(Table1334[[#This Row],[T]]))/$A$4*18%*SQRT(SQRT(Table1334[[#This Row],[T]])))</f>
        <v>#DIV/0!</v>
      </c>
      <c r="AJ658" t="e">
        <f ca="1">(EXP(-(AH658^2)/2)/SQRT(2*PI())*EXP(0*SQRT(Table1334[[#This Row],[T]]))/$A$4*18%*SQRT(SQRT(Table1334[[#This Row],[T]])))</f>
        <v>#DIV/0!</v>
      </c>
      <c r="AK658" t="e">
        <f ca="1">Table1334[[#This Row],[Call D1]]-Table1334[[#This Row],[IV Calc C]]*SQRT(Table1334[[#This Row],[T]])</f>
        <v>#DIV/0!</v>
      </c>
      <c r="AL658" t="e">
        <f ca="1">Table1334[[#This Row],[Put D1]]-Table1334[[#This Row],[IV Calc P]]*SQRT(Table1334[[#This Row],[T]])</f>
        <v>#DIV/0!</v>
      </c>
      <c r="AM658" t="e">
        <f ca="1">EXP(-0.5*Table1334[[#This Row],[Call D1]]^2)/SQRT(2*PI())</f>
        <v>#DIV/0!</v>
      </c>
      <c r="AN658" t="e">
        <f ca="1">EXP(-0.5*Table1334[[#This Row],[Put D1]]^2)/SQRT(2*PI())</f>
        <v>#DIV/0!</v>
      </c>
      <c r="AO65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8">
        <f ca="1">((Table1334[[#This Row],[call vanna]]+Table1334[[#This Row],[put vanna]])*$A$4)</f>
        <v>0</v>
      </c>
      <c r="AR65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8" s="9" t="str" cm="1">
        <f t="array" ref="AT658">_xlfn.IFS(     $M$1="SPX","SPXW",     $M$1="RUT","RUTW",  $M$1="NDX","NDXP",   TRUE,$M$1 )</f>
        <v>SPXW</v>
      </c>
      <c r="AU658" s="2">
        <f t="shared" si="67"/>
        <v>6915</v>
      </c>
      <c r="AV658" t="str">
        <f t="shared" si="68"/>
        <v>000100</v>
      </c>
      <c r="AY65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8">
        <f>((Table1334[[#This Row],[High C]]+Table1334[[#This Row],[Low C]])/2)*Table1334[[#This Row],[gammac]]*Table1334[[#This Row],[Volume]]</f>
        <v>0</v>
      </c>
      <c r="BD658">
        <f>((Table1334[[#This Row],[High P]]+Table1334[[#This Row],[Low P]])/2)*Table1334[[#This Row],[gammap]]*Table1334[[#This Row],[Volume9]]*-1</f>
        <v>0</v>
      </c>
      <c r="BE658">
        <f>(Table1334[[#This Row],[SgammaC]]+Table1334[[#This Row],[SgammaP]])*$A$4*-100</f>
        <v>0</v>
      </c>
      <c r="BF658">
        <f>Table1334[[#This Row],[DEXc]]+Table1334[[#This Row],[DEXp]]</f>
        <v>0</v>
      </c>
      <c r="BG658">
        <f>IFERROR(Table1334[[#This Row],[DeltaC]]*Table1334[[#This Row],[Open.Int]]*$A$4,0)</f>
        <v>0</v>
      </c>
      <c r="BH658">
        <f>IFERROR(Table1334[[#This Row],[DeltaP]]*Table1334[[#This Row],[Open.Int8]]*$A$4,0)</f>
        <v>0</v>
      </c>
      <c r="BI65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8">
        <f ca="1">Table1334[[#This Row],[charmc]]+Table1334[[#This Row],[charmp]]</f>
        <v>0</v>
      </c>
      <c r="BL65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8" s="78">
        <f ca="1">Table1334[[#This Row],[call helper]]+Table1334[[#This Row],[put helper]]</f>
        <v>0</v>
      </c>
      <c r="BP658" t="str">
        <f>RTD("tos.rtd", , "STRIKE", "."&amp;Table1334[[#This Row],[Ticker]]&amp;Table1334[[#This Row],[Expiry]]&amp;""&amp;"C"&amp;Table1334[[#This Row],[Spot]]+Table1334[[#This Row],[step]])</f>
        <v>N/A</v>
      </c>
    </row>
    <row r="659" spans="1:68" x14ac:dyDescent="0.25">
      <c r="A659" s="14">
        <f t="shared" ca="1" si="64"/>
        <v>-126.14810350076104</v>
      </c>
      <c r="C659" s="17"/>
      <c r="D659" t="str">
        <f>RTD("tos.rtd", , "OPEN_INT", "."&amp;Table1334[[#This Row],[Ticker]]&amp;Table1334[[#This Row],[Expiry]]&amp;""&amp;"C"&amp;Table1334[[#This Row],[Spot]]+Table1334[[#This Row],[step]])</f>
        <v>N/A</v>
      </c>
      <c r="E65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9" t="b">
        <f>IF(     ISNUMBER(Table1334[[#This Row],[Strike]]),RTD("tos.rtd", , "DELTA", "."&amp;Table1334[[#This Row],[Ticker]]&amp;Table1334[[#This Row],[Expiry]]&amp;""&amp;"C"&amp;Table1334[[#This Row],[Strike]]))</f>
        <v>0</v>
      </c>
      <c r="H659" s="17" cm="1">
        <f t="array" aca="1" ref="H659" ca="1">IndividualLegIVCore($A$4, Table1334[[#This Row],[Strike]], 0.0411, Table1334[[#This Row],[T]], ((Table1334[[#This Row],[BIDC]]+Table1334[[#This Row],[ASKC]])/2), TRUE)</f>
        <v>0.01</v>
      </c>
      <c r="I659" t="b">
        <f>IF(     ISNUMBER(Table1334[[#This Row],[Strike]]),RTD("tos.rtd", , "BID", "."&amp;Table1334[[#This Row],[Ticker]]&amp;Table1334[[#This Row],[Expiry]]&amp;""&amp;"C"&amp;Table1334[[#This Row],[Strike]]))</f>
        <v>0</v>
      </c>
      <c r="J659" t="b">
        <f>IF(     ISNUMBER(Table1334[[#This Row],[Strike]]),RTD("tos.rtd", , "ASK", "."&amp;Table1334[[#This Row],[Ticker]]&amp;Table1334[[#This Row],[Expiry]]&amp;""&amp;"C"&amp;Table1334[[#This Row],[Strike]]))</f>
        <v>0</v>
      </c>
      <c r="K659" s="17"/>
      <c r="M659" s="1">
        <f t="shared" si="65"/>
        <v>0</v>
      </c>
      <c r="N659" t="b">
        <f t="shared" si="66"/>
        <v>0</v>
      </c>
      <c r="P659" s="17" cm="1">
        <f t="array" aca="1" ref="P659" ca="1">IndividualLegIVCore($A$4, Table1334[[#This Row],[Strike]], 0.0411, Table1334[[#This Row],[T]], ((Table1334[[#This Row],[BIDP]]+Table1334[[#This Row],[ASKP]])/2), FALSE)</f>
        <v>0.01</v>
      </c>
      <c r="Q659" t="b">
        <f>IF(     ISNUMBER(Table1334[[#This Row],[Strike]]),RTD("tos.rtd", , "BID", "."&amp;Table1334[[#This Row],[Ticker]]&amp;Table1334[[#This Row],[Expiry]]&amp;""&amp;"P"&amp;Table1334[[#This Row],[Strike]]))</f>
        <v>0</v>
      </c>
      <c r="R659" t="b">
        <f>IF(     ISNUMBER(Table1334[[#This Row],[Strike]]),RTD("tos.rtd", , "ASK", "."&amp;Table1334[[#This Row],[Ticker]]&amp;Table1334[[#This Row],[Expiry]]&amp;""&amp;"P"&amp;Table1334[[#This Row],[Strike]]))</f>
        <v>0</v>
      </c>
      <c r="S659" s="17"/>
      <c r="T659" t="b">
        <f>IF(     ISNUMBER(Table1334[[#This Row],[Strike]]),RTD("tos.rtd", , "OPEN_INT", "."&amp;Table1334[[#This Row],[Ticker]]&amp;Table1334[[#This Row],[Expiry]]&amp;""&amp;"P"&amp;Table1334[[#This Row],[Strike]]))</f>
        <v>0</v>
      </c>
      <c r="U65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9" t="b">
        <f>IF(     ISNUMBER(Table1334[[#This Row],[Strike]]),RTD("tos.rtd", , "DELTA", "."&amp;Table1334[[#This Row],[Ticker]]&amp;Table1334[[#This Row],[Expiry]]&amp;""&amp;"P"&amp;Table1334[[#This Row],[Strike]]))</f>
        <v>0</v>
      </c>
      <c r="Y659" s="19">
        <f>-30* IF($M$1="NDX", 10, IF(OR($M$1="SPX", $M$1="RUT"), 2, 1))</f>
        <v>-60</v>
      </c>
      <c r="Z659">
        <f ca="1">IFERROR(Table1334[[#This Row],[call gamma]]*(Table1334[[#This Row],[Open.Int]])*$A$4^2,0)</f>
        <v>0</v>
      </c>
      <c r="AA659">
        <f ca="1">IFERROR(((Table1334[[#This Row],[Open.Int8]])*Table1334[[#This Row],[Put gamma]])*-1*$A$4^2,0)</f>
        <v>0</v>
      </c>
      <c r="AB659">
        <f ca="1">(Table1334[[#This Row],[Call Gex]]+Table1334[[#This Row],[Put Gex]])</f>
        <v>0</v>
      </c>
      <c r="AC659">
        <f ca="1">Table1334[[#This Row],[put delta adj]]+Table1334[[#This Row],[call delta adj]]</f>
        <v>0</v>
      </c>
      <c r="AD659">
        <f ca="1">Table1334[[#This Row],[Put Gex]]*Table1334[[#This Row],[DeltaP]]*-1</f>
        <v>0</v>
      </c>
      <c r="AE659">
        <f ca="1">Table1334[[#This Row],[Call Gex]]*Table1334[[#This Row],[DeltaC]]</f>
        <v>0</v>
      </c>
      <c r="AF659">
        <f>IF(Table1334[[#This Row],[DeltaC]]-ABS(Table1334[[#This Row],[DeltaP]])="0","0.01",Table1334[[#This Row],[DeltaC]]-ABS(Table1334[[#This Row],[DeltaP]]))</f>
        <v>0</v>
      </c>
      <c r="AG65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9" t="e">
        <f ca="1">(EXP(-(AG659^2)/2)/SQRT(2*PI())*EXP(0*SQRT(Table1334[[#This Row],[T]]))/$A$4*18%*SQRT(SQRT(Table1334[[#This Row],[T]])))</f>
        <v>#DIV/0!</v>
      </c>
      <c r="AJ659" t="e">
        <f ca="1">(EXP(-(AH659^2)/2)/SQRT(2*PI())*EXP(0*SQRT(Table1334[[#This Row],[T]]))/$A$4*18%*SQRT(SQRT(Table1334[[#This Row],[T]])))</f>
        <v>#DIV/0!</v>
      </c>
      <c r="AK659" t="e">
        <f ca="1">Table1334[[#This Row],[Call D1]]-Table1334[[#This Row],[IV Calc C]]*SQRT(Table1334[[#This Row],[T]])</f>
        <v>#DIV/0!</v>
      </c>
      <c r="AL659" t="e">
        <f ca="1">Table1334[[#This Row],[Put D1]]-Table1334[[#This Row],[IV Calc P]]*SQRT(Table1334[[#This Row],[T]])</f>
        <v>#DIV/0!</v>
      </c>
      <c r="AM659" t="e">
        <f ca="1">EXP(-0.5*Table1334[[#This Row],[Call D1]]^2)/SQRT(2*PI())</f>
        <v>#DIV/0!</v>
      </c>
      <c r="AN659" t="e">
        <f ca="1">EXP(-0.5*Table1334[[#This Row],[Put D1]]^2)/SQRT(2*PI())</f>
        <v>#DIV/0!</v>
      </c>
      <c r="AO65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9">
        <f ca="1">((Table1334[[#This Row],[call vanna]]+Table1334[[#This Row],[put vanna]])*$A$4)</f>
        <v>0</v>
      </c>
      <c r="AR65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9" s="9" t="str" cm="1">
        <f t="array" ref="AT659">_xlfn.IFS(     $M$1="SPX","SPXW",     $M$1="RUT","RUTW",  $M$1="NDX","NDXP",   TRUE,$M$1 )</f>
        <v>SPXW</v>
      </c>
      <c r="AU659" s="2">
        <f t="shared" si="67"/>
        <v>6915</v>
      </c>
      <c r="AV659" t="str">
        <f t="shared" si="68"/>
        <v>000100</v>
      </c>
      <c r="AY65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9">
        <f>((Table1334[[#This Row],[High C]]+Table1334[[#This Row],[Low C]])/2)*Table1334[[#This Row],[gammac]]*Table1334[[#This Row],[Volume]]</f>
        <v>0</v>
      </c>
      <c r="BD659">
        <f>((Table1334[[#This Row],[High P]]+Table1334[[#This Row],[Low P]])/2)*Table1334[[#This Row],[gammap]]*Table1334[[#This Row],[Volume9]]*-1</f>
        <v>0</v>
      </c>
      <c r="BE659">
        <f>(Table1334[[#This Row],[SgammaC]]+Table1334[[#This Row],[SgammaP]])*$A$4*-100</f>
        <v>0</v>
      </c>
      <c r="BF659">
        <f>Table1334[[#This Row],[DEXc]]+Table1334[[#This Row],[DEXp]]</f>
        <v>0</v>
      </c>
      <c r="BG659">
        <f>IFERROR(Table1334[[#This Row],[DeltaC]]*Table1334[[#This Row],[Open.Int]]*$A$4,0)</f>
        <v>0</v>
      </c>
      <c r="BH659">
        <f>IFERROR(Table1334[[#This Row],[DeltaP]]*Table1334[[#This Row],[Open.Int8]]*$A$4,0)</f>
        <v>0</v>
      </c>
      <c r="BI65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9">
        <f ca="1">Table1334[[#This Row],[charmc]]+Table1334[[#This Row],[charmp]]</f>
        <v>0</v>
      </c>
      <c r="BL65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9" s="78">
        <f ca="1">Table1334[[#This Row],[call helper]]+Table1334[[#This Row],[put helper]]</f>
        <v>0</v>
      </c>
      <c r="BP659" t="str">
        <f>RTD("tos.rtd", , "STRIKE", "."&amp;Table1334[[#This Row],[Ticker]]&amp;Table1334[[#This Row],[Expiry]]&amp;""&amp;"C"&amp;Table1334[[#This Row],[Spot]]+Table1334[[#This Row],[step]])</f>
        <v>N/A</v>
      </c>
    </row>
    <row r="660" spans="1:68" x14ac:dyDescent="0.25">
      <c r="A660" s="14">
        <f t="shared" ca="1" si="64"/>
        <v>-126.14810350076104</v>
      </c>
      <c r="C660" s="17"/>
      <c r="D660" t="str">
        <f>RTD("tos.rtd", , "OPEN_INT", "."&amp;Table1334[[#This Row],[Ticker]]&amp;Table1334[[#This Row],[Expiry]]&amp;""&amp;"C"&amp;Table1334[[#This Row],[Spot]]+Table1334[[#This Row],[step]])</f>
        <v>N/A</v>
      </c>
      <c r="E66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0" t="b">
        <f>IF(     ISNUMBER(Table1334[[#This Row],[Strike]]),RTD("tos.rtd", , "DELTA", "."&amp;Table1334[[#This Row],[Ticker]]&amp;Table1334[[#This Row],[Expiry]]&amp;""&amp;"C"&amp;Table1334[[#This Row],[Strike]]))</f>
        <v>0</v>
      </c>
      <c r="H660" s="17" cm="1">
        <f t="array" aca="1" ref="H660" ca="1">IndividualLegIVCore($A$4, Table1334[[#This Row],[Strike]], 0.0411, Table1334[[#This Row],[T]], ((Table1334[[#This Row],[BIDC]]+Table1334[[#This Row],[ASKC]])/2), TRUE)</f>
        <v>0.01</v>
      </c>
      <c r="I660" t="b">
        <f>IF(     ISNUMBER(Table1334[[#This Row],[Strike]]),RTD("tos.rtd", , "BID", "."&amp;Table1334[[#This Row],[Ticker]]&amp;Table1334[[#This Row],[Expiry]]&amp;""&amp;"C"&amp;Table1334[[#This Row],[Strike]]))</f>
        <v>0</v>
      </c>
      <c r="J660" t="b">
        <f>IF(     ISNUMBER(Table1334[[#This Row],[Strike]]),RTD("tos.rtd", , "ASK", "."&amp;Table1334[[#This Row],[Ticker]]&amp;Table1334[[#This Row],[Expiry]]&amp;""&amp;"C"&amp;Table1334[[#This Row],[Strike]]))</f>
        <v>0</v>
      </c>
      <c r="K660" s="17"/>
      <c r="M660" s="1">
        <f t="shared" si="65"/>
        <v>0</v>
      </c>
      <c r="N660" t="b">
        <f t="shared" si="66"/>
        <v>0</v>
      </c>
      <c r="P660" s="17" cm="1">
        <f t="array" aca="1" ref="P660" ca="1">IndividualLegIVCore($A$4, Table1334[[#This Row],[Strike]], 0.0411, Table1334[[#This Row],[T]], ((Table1334[[#This Row],[BIDP]]+Table1334[[#This Row],[ASKP]])/2), FALSE)</f>
        <v>0.01</v>
      </c>
      <c r="Q660" t="b">
        <f>IF(     ISNUMBER(Table1334[[#This Row],[Strike]]),RTD("tos.rtd", , "BID", "."&amp;Table1334[[#This Row],[Ticker]]&amp;Table1334[[#This Row],[Expiry]]&amp;""&amp;"P"&amp;Table1334[[#This Row],[Strike]]))</f>
        <v>0</v>
      </c>
      <c r="R660" t="b">
        <f>IF(     ISNUMBER(Table1334[[#This Row],[Strike]]),RTD("tos.rtd", , "ASK", "."&amp;Table1334[[#This Row],[Ticker]]&amp;Table1334[[#This Row],[Expiry]]&amp;""&amp;"P"&amp;Table1334[[#This Row],[Strike]]))</f>
        <v>0</v>
      </c>
      <c r="S660" s="17"/>
      <c r="T660" t="b">
        <f>IF(     ISNUMBER(Table1334[[#This Row],[Strike]]),RTD("tos.rtd", , "OPEN_INT", "."&amp;Table1334[[#This Row],[Ticker]]&amp;Table1334[[#This Row],[Expiry]]&amp;""&amp;"P"&amp;Table1334[[#This Row],[Strike]]))</f>
        <v>0</v>
      </c>
      <c r="U66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0" t="b">
        <f>IF(     ISNUMBER(Table1334[[#This Row],[Strike]]),RTD("tos.rtd", , "DELTA", "."&amp;Table1334[[#This Row],[Ticker]]&amp;Table1334[[#This Row],[Expiry]]&amp;""&amp;"P"&amp;Table1334[[#This Row],[Strike]]))</f>
        <v>0</v>
      </c>
      <c r="Y660" s="19">
        <f>-29.5* IF($M$1="NDX", 10, IF(OR($M$1="SPX", $M$1="RUT"), 2, 1))</f>
        <v>-59</v>
      </c>
      <c r="Z660">
        <f ca="1">IFERROR(Table1334[[#This Row],[call gamma]]*(Table1334[[#This Row],[Open.Int]])*$A$4^2,0)</f>
        <v>0</v>
      </c>
      <c r="AA660">
        <f ca="1">IFERROR(((Table1334[[#This Row],[Open.Int8]])*Table1334[[#This Row],[Put gamma]])*-1*$A$4^2,0)</f>
        <v>0</v>
      </c>
      <c r="AB660">
        <f ca="1">(Table1334[[#This Row],[Call Gex]]+Table1334[[#This Row],[Put Gex]])</f>
        <v>0</v>
      </c>
      <c r="AC660">
        <f ca="1">Table1334[[#This Row],[put delta adj]]+Table1334[[#This Row],[call delta adj]]</f>
        <v>0</v>
      </c>
      <c r="AD660">
        <f ca="1">Table1334[[#This Row],[Put Gex]]*Table1334[[#This Row],[DeltaP]]*-1</f>
        <v>0</v>
      </c>
      <c r="AE660">
        <f ca="1">Table1334[[#This Row],[Call Gex]]*Table1334[[#This Row],[DeltaC]]</f>
        <v>0</v>
      </c>
      <c r="AF660">
        <f>IF(Table1334[[#This Row],[DeltaC]]-ABS(Table1334[[#This Row],[DeltaP]])="0","0.01",Table1334[[#This Row],[DeltaC]]-ABS(Table1334[[#This Row],[DeltaP]]))</f>
        <v>0</v>
      </c>
      <c r="AG66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0" t="e">
        <f ca="1">(EXP(-(AG660^2)/2)/SQRT(2*PI())*EXP(0*SQRT(Table1334[[#This Row],[T]]))/$A$4*18%*SQRT(SQRT(Table1334[[#This Row],[T]])))</f>
        <v>#DIV/0!</v>
      </c>
      <c r="AJ660" t="e">
        <f ca="1">(EXP(-(AH660^2)/2)/SQRT(2*PI())*EXP(0*SQRT(Table1334[[#This Row],[T]]))/$A$4*18%*SQRT(SQRT(Table1334[[#This Row],[T]])))</f>
        <v>#DIV/0!</v>
      </c>
      <c r="AK660" t="e">
        <f ca="1">Table1334[[#This Row],[Call D1]]-Table1334[[#This Row],[IV Calc C]]*SQRT(Table1334[[#This Row],[T]])</f>
        <v>#DIV/0!</v>
      </c>
      <c r="AL660" t="e">
        <f ca="1">Table1334[[#This Row],[Put D1]]-Table1334[[#This Row],[IV Calc P]]*SQRT(Table1334[[#This Row],[T]])</f>
        <v>#DIV/0!</v>
      </c>
      <c r="AM660" t="e">
        <f ca="1">EXP(-0.5*Table1334[[#This Row],[Call D1]]^2)/SQRT(2*PI())</f>
        <v>#DIV/0!</v>
      </c>
      <c r="AN660" t="e">
        <f ca="1">EXP(-0.5*Table1334[[#This Row],[Put D1]]^2)/SQRT(2*PI())</f>
        <v>#DIV/0!</v>
      </c>
      <c r="AO66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0">
        <f ca="1">((Table1334[[#This Row],[call vanna]]+Table1334[[#This Row],[put vanna]])*$A$4)</f>
        <v>0</v>
      </c>
      <c r="AR66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0" s="9" t="str" cm="1">
        <f t="array" ref="AT660">_xlfn.IFS(     $M$1="SPX","SPXW",     $M$1="RUT","RUTW",  $M$1="NDX","NDXP",   TRUE,$M$1 )</f>
        <v>SPXW</v>
      </c>
      <c r="AU660" s="2">
        <f t="shared" si="67"/>
        <v>6915</v>
      </c>
      <c r="AV660" t="str">
        <f t="shared" si="68"/>
        <v>000100</v>
      </c>
      <c r="AY66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0">
        <f>((Table1334[[#This Row],[High C]]+Table1334[[#This Row],[Low C]])/2)*Table1334[[#This Row],[gammac]]*Table1334[[#This Row],[Volume]]</f>
        <v>0</v>
      </c>
      <c r="BD660">
        <f>((Table1334[[#This Row],[High P]]+Table1334[[#This Row],[Low P]])/2)*Table1334[[#This Row],[gammap]]*Table1334[[#This Row],[Volume9]]*-1</f>
        <v>0</v>
      </c>
      <c r="BE660">
        <f>(Table1334[[#This Row],[SgammaC]]+Table1334[[#This Row],[SgammaP]])*$A$4*-100</f>
        <v>0</v>
      </c>
      <c r="BF660">
        <f>Table1334[[#This Row],[DEXc]]+Table1334[[#This Row],[DEXp]]</f>
        <v>0</v>
      </c>
      <c r="BG660">
        <f>IFERROR(Table1334[[#This Row],[DeltaC]]*Table1334[[#This Row],[Open.Int]]*$A$4,0)</f>
        <v>0</v>
      </c>
      <c r="BH660">
        <f>IFERROR(Table1334[[#This Row],[DeltaP]]*Table1334[[#This Row],[Open.Int8]]*$A$4,0)</f>
        <v>0</v>
      </c>
      <c r="BI66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0">
        <f ca="1">Table1334[[#This Row],[charmc]]+Table1334[[#This Row],[charmp]]</f>
        <v>0</v>
      </c>
      <c r="BL66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0" s="78">
        <f ca="1">Table1334[[#This Row],[call helper]]+Table1334[[#This Row],[put helper]]</f>
        <v>0</v>
      </c>
      <c r="BP660" t="str">
        <f>RTD("tos.rtd", , "STRIKE", "."&amp;Table1334[[#This Row],[Ticker]]&amp;Table1334[[#This Row],[Expiry]]&amp;""&amp;"C"&amp;Table1334[[#This Row],[Spot]]+Table1334[[#This Row],[step]])</f>
        <v>N/A</v>
      </c>
    </row>
    <row r="661" spans="1:68" x14ac:dyDescent="0.25">
      <c r="A661" s="14">
        <f t="shared" ca="1" si="64"/>
        <v>-126.14810350076104</v>
      </c>
      <c r="C661" s="17"/>
      <c r="D661" t="str">
        <f>RTD("tos.rtd", , "OPEN_INT", "."&amp;Table1334[[#This Row],[Ticker]]&amp;Table1334[[#This Row],[Expiry]]&amp;""&amp;"C"&amp;Table1334[[#This Row],[Spot]]+Table1334[[#This Row],[step]])</f>
        <v>N/A</v>
      </c>
      <c r="E66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1" t="b">
        <f>IF(     ISNUMBER(Table1334[[#This Row],[Strike]]),RTD("tos.rtd", , "DELTA", "."&amp;Table1334[[#This Row],[Ticker]]&amp;Table1334[[#This Row],[Expiry]]&amp;""&amp;"C"&amp;Table1334[[#This Row],[Strike]]))</f>
        <v>0</v>
      </c>
      <c r="H661" s="17" cm="1">
        <f t="array" aca="1" ref="H661" ca="1">IndividualLegIVCore($A$4, Table1334[[#This Row],[Strike]], 0.0411, Table1334[[#This Row],[T]], ((Table1334[[#This Row],[BIDC]]+Table1334[[#This Row],[ASKC]])/2), TRUE)</f>
        <v>0.01</v>
      </c>
      <c r="I661" t="b">
        <f>IF(     ISNUMBER(Table1334[[#This Row],[Strike]]),RTD("tos.rtd", , "BID", "."&amp;Table1334[[#This Row],[Ticker]]&amp;Table1334[[#This Row],[Expiry]]&amp;""&amp;"C"&amp;Table1334[[#This Row],[Strike]]))</f>
        <v>0</v>
      </c>
      <c r="J661" t="b">
        <f>IF(     ISNUMBER(Table1334[[#This Row],[Strike]]),RTD("tos.rtd", , "ASK", "."&amp;Table1334[[#This Row],[Ticker]]&amp;Table1334[[#This Row],[Expiry]]&amp;""&amp;"C"&amp;Table1334[[#This Row],[Strike]]))</f>
        <v>0</v>
      </c>
      <c r="K661" s="17"/>
      <c r="M661" s="1">
        <f t="shared" si="65"/>
        <v>0</v>
      </c>
      <c r="N661" t="b">
        <f t="shared" si="66"/>
        <v>0</v>
      </c>
      <c r="P661" s="17" cm="1">
        <f t="array" aca="1" ref="P661" ca="1">IndividualLegIVCore($A$4, Table1334[[#This Row],[Strike]], 0.0411, Table1334[[#This Row],[T]], ((Table1334[[#This Row],[BIDP]]+Table1334[[#This Row],[ASKP]])/2), FALSE)</f>
        <v>0.01</v>
      </c>
      <c r="Q661" t="b">
        <f>IF(     ISNUMBER(Table1334[[#This Row],[Strike]]),RTD("tos.rtd", , "BID", "."&amp;Table1334[[#This Row],[Ticker]]&amp;Table1334[[#This Row],[Expiry]]&amp;""&amp;"P"&amp;Table1334[[#This Row],[Strike]]))</f>
        <v>0</v>
      </c>
      <c r="R661" t="b">
        <f>IF(     ISNUMBER(Table1334[[#This Row],[Strike]]),RTD("tos.rtd", , "ASK", "."&amp;Table1334[[#This Row],[Ticker]]&amp;Table1334[[#This Row],[Expiry]]&amp;""&amp;"P"&amp;Table1334[[#This Row],[Strike]]))</f>
        <v>0</v>
      </c>
      <c r="S661" s="17"/>
      <c r="T661" t="b">
        <f>IF(     ISNUMBER(Table1334[[#This Row],[Strike]]),RTD("tos.rtd", , "OPEN_INT", "."&amp;Table1334[[#This Row],[Ticker]]&amp;Table1334[[#This Row],[Expiry]]&amp;""&amp;"P"&amp;Table1334[[#This Row],[Strike]]))</f>
        <v>0</v>
      </c>
      <c r="U66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1" t="b">
        <f>IF(     ISNUMBER(Table1334[[#This Row],[Strike]]),RTD("tos.rtd", , "DELTA", "."&amp;Table1334[[#This Row],[Ticker]]&amp;Table1334[[#This Row],[Expiry]]&amp;""&amp;"P"&amp;Table1334[[#This Row],[Strike]]))</f>
        <v>0</v>
      </c>
      <c r="Y661" s="19">
        <f>-29* IF($M$1="NDX", 10, IF(OR($M$1="SPX", $M$1="RUT"), 2, 1))</f>
        <v>-58</v>
      </c>
      <c r="Z661">
        <f ca="1">IFERROR(Table1334[[#This Row],[call gamma]]*(Table1334[[#This Row],[Open.Int]])*$A$4^2,0)</f>
        <v>0</v>
      </c>
      <c r="AA661">
        <f ca="1">IFERROR(((Table1334[[#This Row],[Open.Int8]])*Table1334[[#This Row],[Put gamma]])*-1*$A$4^2,0)</f>
        <v>0</v>
      </c>
      <c r="AB661">
        <f ca="1">(Table1334[[#This Row],[Call Gex]]+Table1334[[#This Row],[Put Gex]])</f>
        <v>0</v>
      </c>
      <c r="AC661">
        <f ca="1">Table1334[[#This Row],[put delta adj]]+Table1334[[#This Row],[call delta adj]]</f>
        <v>0</v>
      </c>
      <c r="AD661">
        <f ca="1">Table1334[[#This Row],[Put Gex]]*Table1334[[#This Row],[DeltaP]]*-1</f>
        <v>0</v>
      </c>
      <c r="AE661">
        <f ca="1">Table1334[[#This Row],[Call Gex]]*Table1334[[#This Row],[DeltaC]]</f>
        <v>0</v>
      </c>
      <c r="AF661">
        <f>IF(Table1334[[#This Row],[DeltaC]]-ABS(Table1334[[#This Row],[DeltaP]])="0","0.01",Table1334[[#This Row],[DeltaC]]-ABS(Table1334[[#This Row],[DeltaP]]))</f>
        <v>0</v>
      </c>
      <c r="AG66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1" t="e">
        <f ca="1">(EXP(-(AG661^2)/2)/SQRT(2*PI())*EXP(0*SQRT(Table1334[[#This Row],[T]]))/$A$4*18%*SQRT(SQRT(Table1334[[#This Row],[T]])))</f>
        <v>#DIV/0!</v>
      </c>
      <c r="AJ661" t="e">
        <f ca="1">(EXP(-(AH661^2)/2)/SQRT(2*PI())*EXP(0*SQRT(Table1334[[#This Row],[T]]))/$A$4*18%*SQRT(SQRT(Table1334[[#This Row],[T]])))</f>
        <v>#DIV/0!</v>
      </c>
      <c r="AK661" t="e">
        <f ca="1">Table1334[[#This Row],[Call D1]]-Table1334[[#This Row],[IV Calc C]]*SQRT(Table1334[[#This Row],[T]])</f>
        <v>#DIV/0!</v>
      </c>
      <c r="AL661" t="e">
        <f ca="1">Table1334[[#This Row],[Put D1]]-Table1334[[#This Row],[IV Calc P]]*SQRT(Table1334[[#This Row],[T]])</f>
        <v>#DIV/0!</v>
      </c>
      <c r="AM661" t="e">
        <f ca="1">EXP(-0.5*Table1334[[#This Row],[Call D1]]^2)/SQRT(2*PI())</f>
        <v>#DIV/0!</v>
      </c>
      <c r="AN661" t="e">
        <f ca="1">EXP(-0.5*Table1334[[#This Row],[Put D1]]^2)/SQRT(2*PI())</f>
        <v>#DIV/0!</v>
      </c>
      <c r="AO66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1">
        <f ca="1">((Table1334[[#This Row],[call vanna]]+Table1334[[#This Row],[put vanna]])*$A$4)</f>
        <v>0</v>
      </c>
      <c r="AR66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1" s="9" t="str" cm="1">
        <f t="array" ref="AT661">_xlfn.IFS(     $M$1="SPX","SPXW",     $M$1="RUT","RUTW",  $M$1="NDX","NDXP",   TRUE,$M$1 )</f>
        <v>SPXW</v>
      </c>
      <c r="AU661" s="2">
        <f t="shared" si="67"/>
        <v>6915</v>
      </c>
      <c r="AV661" t="str">
        <f t="shared" si="68"/>
        <v>000100</v>
      </c>
      <c r="AY66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1">
        <f>((Table1334[[#This Row],[High C]]+Table1334[[#This Row],[Low C]])/2)*Table1334[[#This Row],[gammac]]*Table1334[[#This Row],[Volume]]</f>
        <v>0</v>
      </c>
      <c r="BD661">
        <f>((Table1334[[#This Row],[High P]]+Table1334[[#This Row],[Low P]])/2)*Table1334[[#This Row],[gammap]]*Table1334[[#This Row],[Volume9]]*-1</f>
        <v>0</v>
      </c>
      <c r="BE661">
        <f>(Table1334[[#This Row],[SgammaC]]+Table1334[[#This Row],[SgammaP]])*$A$4*-100</f>
        <v>0</v>
      </c>
      <c r="BF661">
        <f>Table1334[[#This Row],[DEXc]]+Table1334[[#This Row],[DEXp]]</f>
        <v>0</v>
      </c>
      <c r="BG661">
        <f>IFERROR(Table1334[[#This Row],[DeltaC]]*Table1334[[#This Row],[Open.Int]]*$A$4,0)</f>
        <v>0</v>
      </c>
      <c r="BH661">
        <f>IFERROR(Table1334[[#This Row],[DeltaP]]*Table1334[[#This Row],[Open.Int8]]*$A$4,0)</f>
        <v>0</v>
      </c>
      <c r="BI66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1">
        <f ca="1">Table1334[[#This Row],[charmc]]+Table1334[[#This Row],[charmp]]</f>
        <v>0</v>
      </c>
      <c r="BL66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1" s="78">
        <f ca="1">Table1334[[#This Row],[call helper]]+Table1334[[#This Row],[put helper]]</f>
        <v>0</v>
      </c>
      <c r="BP661" t="str">
        <f>RTD("tos.rtd", , "STRIKE", "."&amp;Table1334[[#This Row],[Ticker]]&amp;Table1334[[#This Row],[Expiry]]&amp;""&amp;"C"&amp;Table1334[[#This Row],[Spot]]+Table1334[[#This Row],[step]])</f>
        <v>N/A</v>
      </c>
    </row>
    <row r="662" spans="1:68" x14ac:dyDescent="0.25">
      <c r="A662" s="14">
        <f t="shared" ca="1" si="64"/>
        <v>-126.14810350076104</v>
      </c>
      <c r="C662" s="17"/>
      <c r="D662" t="str">
        <f>RTD("tos.rtd", , "OPEN_INT", "."&amp;Table1334[[#This Row],[Ticker]]&amp;Table1334[[#This Row],[Expiry]]&amp;""&amp;"C"&amp;Table1334[[#This Row],[Spot]]+Table1334[[#This Row],[step]])</f>
        <v>N/A</v>
      </c>
      <c r="E66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2" t="b">
        <f>IF(     ISNUMBER(Table1334[[#This Row],[Strike]]),RTD("tos.rtd", , "DELTA", "."&amp;Table1334[[#This Row],[Ticker]]&amp;Table1334[[#This Row],[Expiry]]&amp;""&amp;"C"&amp;Table1334[[#This Row],[Strike]]))</f>
        <v>0</v>
      </c>
      <c r="H662" s="17" cm="1">
        <f t="array" aca="1" ref="H662" ca="1">IndividualLegIVCore($A$4, Table1334[[#This Row],[Strike]], 0.0411, Table1334[[#This Row],[T]], ((Table1334[[#This Row],[BIDC]]+Table1334[[#This Row],[ASKC]])/2), TRUE)</f>
        <v>0.01</v>
      </c>
      <c r="I662" t="b">
        <f>IF(     ISNUMBER(Table1334[[#This Row],[Strike]]),RTD("tos.rtd", , "BID", "."&amp;Table1334[[#This Row],[Ticker]]&amp;Table1334[[#This Row],[Expiry]]&amp;""&amp;"C"&amp;Table1334[[#This Row],[Strike]]))</f>
        <v>0</v>
      </c>
      <c r="J662" t="b">
        <f>IF(     ISNUMBER(Table1334[[#This Row],[Strike]]),RTD("tos.rtd", , "ASK", "."&amp;Table1334[[#This Row],[Ticker]]&amp;Table1334[[#This Row],[Expiry]]&amp;""&amp;"C"&amp;Table1334[[#This Row],[Strike]]))</f>
        <v>0</v>
      </c>
      <c r="K662" s="17"/>
      <c r="M662" s="1">
        <f t="shared" si="65"/>
        <v>0</v>
      </c>
      <c r="N662" t="b">
        <f t="shared" si="66"/>
        <v>0</v>
      </c>
      <c r="P662" s="17" cm="1">
        <f t="array" aca="1" ref="P662" ca="1">IndividualLegIVCore($A$4, Table1334[[#This Row],[Strike]], 0.0411, Table1334[[#This Row],[T]], ((Table1334[[#This Row],[BIDP]]+Table1334[[#This Row],[ASKP]])/2), FALSE)</f>
        <v>0.01</v>
      </c>
      <c r="Q662" t="b">
        <f>IF(     ISNUMBER(Table1334[[#This Row],[Strike]]),RTD("tos.rtd", , "BID", "."&amp;Table1334[[#This Row],[Ticker]]&amp;Table1334[[#This Row],[Expiry]]&amp;""&amp;"P"&amp;Table1334[[#This Row],[Strike]]))</f>
        <v>0</v>
      </c>
      <c r="R662" t="b">
        <f>IF(     ISNUMBER(Table1334[[#This Row],[Strike]]),RTD("tos.rtd", , "ASK", "."&amp;Table1334[[#This Row],[Ticker]]&amp;Table1334[[#This Row],[Expiry]]&amp;""&amp;"P"&amp;Table1334[[#This Row],[Strike]]))</f>
        <v>0</v>
      </c>
      <c r="S662" s="17"/>
      <c r="T662" t="b">
        <f>IF(     ISNUMBER(Table1334[[#This Row],[Strike]]),RTD("tos.rtd", , "OPEN_INT", "."&amp;Table1334[[#This Row],[Ticker]]&amp;Table1334[[#This Row],[Expiry]]&amp;""&amp;"P"&amp;Table1334[[#This Row],[Strike]]))</f>
        <v>0</v>
      </c>
      <c r="U66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2" t="b">
        <f>IF(     ISNUMBER(Table1334[[#This Row],[Strike]]),RTD("tos.rtd", , "DELTA", "."&amp;Table1334[[#This Row],[Ticker]]&amp;Table1334[[#This Row],[Expiry]]&amp;""&amp;"P"&amp;Table1334[[#This Row],[Strike]]))</f>
        <v>0</v>
      </c>
      <c r="Y662" s="19">
        <f>-28.5* IF($M$1="NDX", 10, IF(OR($M$1="SPX", $M$1="RUT"), 2, 1))</f>
        <v>-57</v>
      </c>
      <c r="Z662">
        <f ca="1">IFERROR(Table1334[[#This Row],[call gamma]]*(Table1334[[#This Row],[Open.Int]])*$A$4^2,0)</f>
        <v>0</v>
      </c>
      <c r="AA662">
        <f ca="1">IFERROR(((Table1334[[#This Row],[Open.Int8]])*Table1334[[#This Row],[Put gamma]])*-1*$A$4^2,0)</f>
        <v>0</v>
      </c>
      <c r="AB662">
        <f ca="1">(Table1334[[#This Row],[Call Gex]]+Table1334[[#This Row],[Put Gex]])</f>
        <v>0</v>
      </c>
      <c r="AC662">
        <f ca="1">Table1334[[#This Row],[put delta adj]]+Table1334[[#This Row],[call delta adj]]</f>
        <v>0</v>
      </c>
      <c r="AD662">
        <f ca="1">Table1334[[#This Row],[Put Gex]]*Table1334[[#This Row],[DeltaP]]*-1</f>
        <v>0</v>
      </c>
      <c r="AE662">
        <f ca="1">Table1334[[#This Row],[Call Gex]]*Table1334[[#This Row],[DeltaC]]</f>
        <v>0</v>
      </c>
      <c r="AF662">
        <f>IF(Table1334[[#This Row],[DeltaC]]-ABS(Table1334[[#This Row],[DeltaP]])="0","0.01",Table1334[[#This Row],[DeltaC]]-ABS(Table1334[[#This Row],[DeltaP]]))</f>
        <v>0</v>
      </c>
      <c r="AG66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2" t="e">
        <f ca="1">(EXP(-(AG662^2)/2)/SQRT(2*PI())*EXP(0*SQRT(Table1334[[#This Row],[T]]))/$A$4*18%*SQRT(SQRT(Table1334[[#This Row],[T]])))</f>
        <v>#DIV/0!</v>
      </c>
      <c r="AJ662" t="e">
        <f ca="1">(EXP(-(AH662^2)/2)/SQRT(2*PI())*EXP(0*SQRT(Table1334[[#This Row],[T]]))/$A$4*18%*SQRT(SQRT(Table1334[[#This Row],[T]])))</f>
        <v>#DIV/0!</v>
      </c>
      <c r="AK662" t="e">
        <f ca="1">Table1334[[#This Row],[Call D1]]-Table1334[[#This Row],[IV Calc C]]*SQRT(Table1334[[#This Row],[T]])</f>
        <v>#DIV/0!</v>
      </c>
      <c r="AL662" t="e">
        <f ca="1">Table1334[[#This Row],[Put D1]]-Table1334[[#This Row],[IV Calc P]]*SQRT(Table1334[[#This Row],[T]])</f>
        <v>#DIV/0!</v>
      </c>
      <c r="AM662" t="e">
        <f ca="1">EXP(-0.5*Table1334[[#This Row],[Call D1]]^2)/SQRT(2*PI())</f>
        <v>#DIV/0!</v>
      </c>
      <c r="AN662" t="e">
        <f ca="1">EXP(-0.5*Table1334[[#This Row],[Put D1]]^2)/SQRT(2*PI())</f>
        <v>#DIV/0!</v>
      </c>
      <c r="AO66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2">
        <f ca="1">((Table1334[[#This Row],[call vanna]]+Table1334[[#This Row],[put vanna]])*$A$4)</f>
        <v>0</v>
      </c>
      <c r="AR66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2" s="9" t="str" cm="1">
        <f t="array" ref="AT662">_xlfn.IFS(     $M$1="SPX","SPXW",     $M$1="RUT","RUTW",  $M$1="NDX","NDXP",   TRUE,$M$1 )</f>
        <v>SPXW</v>
      </c>
      <c r="AU662" s="2">
        <f t="shared" si="67"/>
        <v>6915</v>
      </c>
      <c r="AV662" t="str">
        <f t="shared" si="68"/>
        <v>000100</v>
      </c>
      <c r="AY66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2">
        <f>((Table1334[[#This Row],[High C]]+Table1334[[#This Row],[Low C]])/2)*Table1334[[#This Row],[gammac]]*Table1334[[#This Row],[Volume]]</f>
        <v>0</v>
      </c>
      <c r="BD662">
        <f>((Table1334[[#This Row],[High P]]+Table1334[[#This Row],[Low P]])/2)*Table1334[[#This Row],[gammap]]*Table1334[[#This Row],[Volume9]]*-1</f>
        <v>0</v>
      </c>
      <c r="BE662">
        <f>(Table1334[[#This Row],[SgammaC]]+Table1334[[#This Row],[SgammaP]])*$A$4*-100</f>
        <v>0</v>
      </c>
      <c r="BF662">
        <f>Table1334[[#This Row],[DEXc]]+Table1334[[#This Row],[DEXp]]</f>
        <v>0</v>
      </c>
      <c r="BG662">
        <f>IFERROR(Table1334[[#This Row],[DeltaC]]*Table1334[[#This Row],[Open.Int]]*$A$4,0)</f>
        <v>0</v>
      </c>
      <c r="BH662">
        <f>IFERROR(Table1334[[#This Row],[DeltaP]]*Table1334[[#This Row],[Open.Int8]]*$A$4,0)</f>
        <v>0</v>
      </c>
      <c r="BI66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2">
        <f ca="1">Table1334[[#This Row],[charmc]]+Table1334[[#This Row],[charmp]]</f>
        <v>0</v>
      </c>
      <c r="BL66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2" s="78">
        <f ca="1">Table1334[[#This Row],[call helper]]+Table1334[[#This Row],[put helper]]</f>
        <v>0</v>
      </c>
      <c r="BP662" t="str">
        <f>RTD("tos.rtd", , "STRIKE", "."&amp;Table1334[[#This Row],[Ticker]]&amp;Table1334[[#This Row],[Expiry]]&amp;""&amp;"C"&amp;Table1334[[#This Row],[Spot]]+Table1334[[#This Row],[step]])</f>
        <v>N/A</v>
      </c>
    </row>
    <row r="663" spans="1:68" x14ac:dyDescent="0.25">
      <c r="A663" s="14">
        <f t="shared" ca="1" si="64"/>
        <v>-126.14810350076104</v>
      </c>
      <c r="C663" s="17"/>
      <c r="D663" t="str">
        <f>RTD("tos.rtd", , "OPEN_INT", "."&amp;Table1334[[#This Row],[Ticker]]&amp;Table1334[[#This Row],[Expiry]]&amp;""&amp;"C"&amp;Table1334[[#This Row],[Spot]]+Table1334[[#This Row],[step]])</f>
        <v>N/A</v>
      </c>
      <c r="E66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3" t="b">
        <f>IF(     ISNUMBER(Table1334[[#This Row],[Strike]]),RTD("tos.rtd", , "DELTA", "."&amp;Table1334[[#This Row],[Ticker]]&amp;Table1334[[#This Row],[Expiry]]&amp;""&amp;"C"&amp;Table1334[[#This Row],[Strike]]))</f>
        <v>0</v>
      </c>
      <c r="H663" s="17" cm="1">
        <f t="array" aca="1" ref="H663" ca="1">IndividualLegIVCore($A$4, Table1334[[#This Row],[Strike]], 0.0411, Table1334[[#This Row],[T]], ((Table1334[[#This Row],[BIDC]]+Table1334[[#This Row],[ASKC]])/2), TRUE)</f>
        <v>0.01</v>
      </c>
      <c r="I663" t="b">
        <f>IF(     ISNUMBER(Table1334[[#This Row],[Strike]]),RTD("tos.rtd", , "BID", "."&amp;Table1334[[#This Row],[Ticker]]&amp;Table1334[[#This Row],[Expiry]]&amp;""&amp;"C"&amp;Table1334[[#This Row],[Strike]]))</f>
        <v>0</v>
      </c>
      <c r="J663" t="b">
        <f>IF(     ISNUMBER(Table1334[[#This Row],[Strike]]),RTD("tos.rtd", , "ASK", "."&amp;Table1334[[#This Row],[Ticker]]&amp;Table1334[[#This Row],[Expiry]]&amp;""&amp;"C"&amp;Table1334[[#This Row],[Strike]]))</f>
        <v>0</v>
      </c>
      <c r="K663" s="17"/>
      <c r="M663" s="1">
        <f t="shared" si="65"/>
        <v>0</v>
      </c>
      <c r="N663" t="b">
        <f t="shared" si="66"/>
        <v>0</v>
      </c>
      <c r="P663" s="17" cm="1">
        <f t="array" aca="1" ref="P663" ca="1">IndividualLegIVCore($A$4, Table1334[[#This Row],[Strike]], 0.0411, Table1334[[#This Row],[T]], ((Table1334[[#This Row],[BIDP]]+Table1334[[#This Row],[ASKP]])/2), FALSE)</f>
        <v>0.01</v>
      </c>
      <c r="Q663" t="b">
        <f>IF(     ISNUMBER(Table1334[[#This Row],[Strike]]),RTD("tos.rtd", , "BID", "."&amp;Table1334[[#This Row],[Ticker]]&amp;Table1334[[#This Row],[Expiry]]&amp;""&amp;"P"&amp;Table1334[[#This Row],[Strike]]))</f>
        <v>0</v>
      </c>
      <c r="R663" t="b">
        <f>IF(     ISNUMBER(Table1334[[#This Row],[Strike]]),RTD("tos.rtd", , "ASK", "."&amp;Table1334[[#This Row],[Ticker]]&amp;Table1334[[#This Row],[Expiry]]&amp;""&amp;"P"&amp;Table1334[[#This Row],[Strike]]))</f>
        <v>0</v>
      </c>
      <c r="S663" s="17"/>
      <c r="T663" t="b">
        <f>IF(     ISNUMBER(Table1334[[#This Row],[Strike]]),RTD("tos.rtd", , "OPEN_INT", "."&amp;Table1334[[#This Row],[Ticker]]&amp;Table1334[[#This Row],[Expiry]]&amp;""&amp;"P"&amp;Table1334[[#This Row],[Strike]]))</f>
        <v>0</v>
      </c>
      <c r="U66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3" t="b">
        <f>IF(     ISNUMBER(Table1334[[#This Row],[Strike]]),RTD("tos.rtd", , "DELTA", "."&amp;Table1334[[#This Row],[Ticker]]&amp;Table1334[[#This Row],[Expiry]]&amp;""&amp;"P"&amp;Table1334[[#This Row],[Strike]]))</f>
        <v>0</v>
      </c>
      <c r="Y663" s="19">
        <f>-28* IF($M$1="NDX", 10, IF(OR($M$1="SPX", $M$1="RUT"), 2, 1))</f>
        <v>-56</v>
      </c>
      <c r="Z663">
        <f ca="1">IFERROR(Table1334[[#This Row],[call gamma]]*(Table1334[[#This Row],[Open.Int]])*$A$4^2,0)</f>
        <v>0</v>
      </c>
      <c r="AA663">
        <f ca="1">IFERROR(((Table1334[[#This Row],[Open.Int8]])*Table1334[[#This Row],[Put gamma]])*-1*$A$4^2,0)</f>
        <v>0</v>
      </c>
      <c r="AB663">
        <f ca="1">(Table1334[[#This Row],[Call Gex]]+Table1334[[#This Row],[Put Gex]])</f>
        <v>0</v>
      </c>
      <c r="AC663">
        <f ca="1">Table1334[[#This Row],[put delta adj]]+Table1334[[#This Row],[call delta adj]]</f>
        <v>0</v>
      </c>
      <c r="AD663">
        <f ca="1">Table1334[[#This Row],[Put Gex]]*Table1334[[#This Row],[DeltaP]]*-1</f>
        <v>0</v>
      </c>
      <c r="AE663">
        <f ca="1">Table1334[[#This Row],[Call Gex]]*Table1334[[#This Row],[DeltaC]]</f>
        <v>0</v>
      </c>
      <c r="AF663">
        <f>IF(Table1334[[#This Row],[DeltaC]]-ABS(Table1334[[#This Row],[DeltaP]])="0","0.01",Table1334[[#This Row],[DeltaC]]-ABS(Table1334[[#This Row],[DeltaP]]))</f>
        <v>0</v>
      </c>
      <c r="AG66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3" t="e">
        <f ca="1">(EXP(-(AG663^2)/2)/SQRT(2*PI())*EXP(0*SQRT(Table1334[[#This Row],[T]]))/$A$4*18%*SQRT(SQRT(Table1334[[#This Row],[T]])))</f>
        <v>#DIV/0!</v>
      </c>
      <c r="AJ663" t="e">
        <f ca="1">(EXP(-(AH663^2)/2)/SQRT(2*PI())*EXP(0*SQRT(Table1334[[#This Row],[T]]))/$A$4*18%*SQRT(SQRT(Table1334[[#This Row],[T]])))</f>
        <v>#DIV/0!</v>
      </c>
      <c r="AK663" t="e">
        <f ca="1">Table1334[[#This Row],[Call D1]]-Table1334[[#This Row],[IV Calc C]]*SQRT(Table1334[[#This Row],[T]])</f>
        <v>#DIV/0!</v>
      </c>
      <c r="AL663" t="e">
        <f ca="1">Table1334[[#This Row],[Put D1]]-Table1334[[#This Row],[IV Calc P]]*SQRT(Table1334[[#This Row],[T]])</f>
        <v>#DIV/0!</v>
      </c>
      <c r="AM663" t="e">
        <f ca="1">EXP(-0.5*Table1334[[#This Row],[Call D1]]^2)/SQRT(2*PI())</f>
        <v>#DIV/0!</v>
      </c>
      <c r="AN663" t="e">
        <f ca="1">EXP(-0.5*Table1334[[#This Row],[Put D1]]^2)/SQRT(2*PI())</f>
        <v>#DIV/0!</v>
      </c>
      <c r="AO66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3">
        <f ca="1">((Table1334[[#This Row],[call vanna]]+Table1334[[#This Row],[put vanna]])*$A$4)</f>
        <v>0</v>
      </c>
      <c r="AR66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3" s="9" t="str" cm="1">
        <f t="array" ref="AT663">_xlfn.IFS(     $M$1="SPX","SPXW",     $M$1="RUT","RUTW",  $M$1="NDX","NDXP",   TRUE,$M$1 )</f>
        <v>SPXW</v>
      </c>
      <c r="AU663" s="2">
        <f t="shared" si="67"/>
        <v>6915</v>
      </c>
      <c r="AV663" t="str">
        <f t="shared" si="68"/>
        <v>000100</v>
      </c>
      <c r="AY66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3">
        <f>((Table1334[[#This Row],[High C]]+Table1334[[#This Row],[Low C]])/2)*Table1334[[#This Row],[gammac]]*Table1334[[#This Row],[Volume]]</f>
        <v>0</v>
      </c>
      <c r="BD663">
        <f>((Table1334[[#This Row],[High P]]+Table1334[[#This Row],[Low P]])/2)*Table1334[[#This Row],[gammap]]*Table1334[[#This Row],[Volume9]]*-1</f>
        <v>0</v>
      </c>
      <c r="BE663">
        <f>(Table1334[[#This Row],[SgammaC]]+Table1334[[#This Row],[SgammaP]])*$A$4*-100</f>
        <v>0</v>
      </c>
      <c r="BF663">
        <f>Table1334[[#This Row],[DEXc]]+Table1334[[#This Row],[DEXp]]</f>
        <v>0</v>
      </c>
      <c r="BG663">
        <f>IFERROR(Table1334[[#This Row],[DeltaC]]*Table1334[[#This Row],[Open.Int]]*$A$4,0)</f>
        <v>0</v>
      </c>
      <c r="BH663">
        <f>IFERROR(Table1334[[#This Row],[DeltaP]]*Table1334[[#This Row],[Open.Int8]]*$A$4,0)</f>
        <v>0</v>
      </c>
      <c r="BI66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3">
        <f ca="1">Table1334[[#This Row],[charmc]]+Table1334[[#This Row],[charmp]]</f>
        <v>0</v>
      </c>
      <c r="BL66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3" s="78">
        <f ca="1">Table1334[[#This Row],[call helper]]+Table1334[[#This Row],[put helper]]</f>
        <v>0</v>
      </c>
      <c r="BP663" t="str">
        <f>RTD("tos.rtd", , "STRIKE", "."&amp;Table1334[[#This Row],[Ticker]]&amp;Table1334[[#This Row],[Expiry]]&amp;""&amp;"C"&amp;Table1334[[#This Row],[Spot]]+Table1334[[#This Row],[step]])</f>
        <v>N/A</v>
      </c>
    </row>
    <row r="664" spans="1:68" x14ac:dyDescent="0.25">
      <c r="A664" s="14">
        <f t="shared" ca="1" si="64"/>
        <v>-126.14810350076104</v>
      </c>
      <c r="C664" s="17"/>
      <c r="D664" t="str">
        <f>RTD("tos.rtd", , "OPEN_INT", "."&amp;Table1334[[#This Row],[Ticker]]&amp;Table1334[[#This Row],[Expiry]]&amp;""&amp;"C"&amp;Table1334[[#This Row],[Spot]]+Table1334[[#This Row],[step]])</f>
        <v>N/A</v>
      </c>
      <c r="E66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4" t="b">
        <f>IF(     ISNUMBER(Table1334[[#This Row],[Strike]]),RTD("tos.rtd", , "DELTA", "."&amp;Table1334[[#This Row],[Ticker]]&amp;Table1334[[#This Row],[Expiry]]&amp;""&amp;"C"&amp;Table1334[[#This Row],[Strike]]))</f>
        <v>0</v>
      </c>
      <c r="H664" s="17" cm="1">
        <f t="array" aca="1" ref="H664" ca="1">IndividualLegIVCore($A$4, Table1334[[#This Row],[Strike]], 0.0411, Table1334[[#This Row],[T]], ((Table1334[[#This Row],[BIDC]]+Table1334[[#This Row],[ASKC]])/2), TRUE)</f>
        <v>0.01</v>
      </c>
      <c r="I664" t="b">
        <f>IF(     ISNUMBER(Table1334[[#This Row],[Strike]]),RTD("tos.rtd", , "BID", "."&amp;Table1334[[#This Row],[Ticker]]&amp;Table1334[[#This Row],[Expiry]]&amp;""&amp;"C"&amp;Table1334[[#This Row],[Strike]]))</f>
        <v>0</v>
      </c>
      <c r="J664" t="b">
        <f>IF(     ISNUMBER(Table1334[[#This Row],[Strike]]),RTD("tos.rtd", , "ASK", "."&amp;Table1334[[#This Row],[Ticker]]&amp;Table1334[[#This Row],[Expiry]]&amp;""&amp;"C"&amp;Table1334[[#This Row],[Strike]]))</f>
        <v>0</v>
      </c>
      <c r="K664" s="17"/>
      <c r="M664" s="1">
        <f t="shared" si="65"/>
        <v>0</v>
      </c>
      <c r="N664" t="b">
        <f t="shared" si="66"/>
        <v>0</v>
      </c>
      <c r="P664" s="17" cm="1">
        <f t="array" aca="1" ref="P664" ca="1">IndividualLegIVCore($A$4, Table1334[[#This Row],[Strike]], 0.0411, Table1334[[#This Row],[T]], ((Table1334[[#This Row],[BIDP]]+Table1334[[#This Row],[ASKP]])/2), FALSE)</f>
        <v>0.01</v>
      </c>
      <c r="Q664" t="b">
        <f>IF(     ISNUMBER(Table1334[[#This Row],[Strike]]),RTD("tos.rtd", , "BID", "."&amp;Table1334[[#This Row],[Ticker]]&amp;Table1334[[#This Row],[Expiry]]&amp;""&amp;"P"&amp;Table1334[[#This Row],[Strike]]))</f>
        <v>0</v>
      </c>
      <c r="R664" t="b">
        <f>IF(     ISNUMBER(Table1334[[#This Row],[Strike]]),RTD("tos.rtd", , "ASK", "."&amp;Table1334[[#This Row],[Ticker]]&amp;Table1334[[#This Row],[Expiry]]&amp;""&amp;"P"&amp;Table1334[[#This Row],[Strike]]))</f>
        <v>0</v>
      </c>
      <c r="S664" s="17"/>
      <c r="T664" t="b">
        <f>IF(     ISNUMBER(Table1334[[#This Row],[Strike]]),RTD("tos.rtd", , "OPEN_INT", "."&amp;Table1334[[#This Row],[Ticker]]&amp;Table1334[[#This Row],[Expiry]]&amp;""&amp;"P"&amp;Table1334[[#This Row],[Strike]]))</f>
        <v>0</v>
      </c>
      <c r="U66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4" t="b">
        <f>IF(     ISNUMBER(Table1334[[#This Row],[Strike]]),RTD("tos.rtd", , "DELTA", "."&amp;Table1334[[#This Row],[Ticker]]&amp;Table1334[[#This Row],[Expiry]]&amp;""&amp;"P"&amp;Table1334[[#This Row],[Strike]]))</f>
        <v>0</v>
      </c>
      <c r="Y664" s="19">
        <f>-27.5* IF($M$1="NDX", 10, IF(OR($M$1="SPX", $M$1="RUT"), 2, 1))</f>
        <v>-55</v>
      </c>
      <c r="Z664">
        <f ca="1">IFERROR(Table1334[[#This Row],[call gamma]]*(Table1334[[#This Row],[Open.Int]])*$A$4^2,0)</f>
        <v>0</v>
      </c>
      <c r="AA664">
        <f ca="1">IFERROR(((Table1334[[#This Row],[Open.Int8]])*Table1334[[#This Row],[Put gamma]])*-1*$A$4^2,0)</f>
        <v>0</v>
      </c>
      <c r="AB664">
        <f ca="1">(Table1334[[#This Row],[Call Gex]]+Table1334[[#This Row],[Put Gex]])</f>
        <v>0</v>
      </c>
      <c r="AC664">
        <f ca="1">Table1334[[#This Row],[put delta adj]]+Table1334[[#This Row],[call delta adj]]</f>
        <v>0</v>
      </c>
      <c r="AD664">
        <f ca="1">Table1334[[#This Row],[Put Gex]]*Table1334[[#This Row],[DeltaP]]*-1</f>
        <v>0</v>
      </c>
      <c r="AE664">
        <f ca="1">Table1334[[#This Row],[Call Gex]]*Table1334[[#This Row],[DeltaC]]</f>
        <v>0</v>
      </c>
      <c r="AF664">
        <f>IF(Table1334[[#This Row],[DeltaC]]-ABS(Table1334[[#This Row],[DeltaP]])="0","0.01",Table1334[[#This Row],[DeltaC]]-ABS(Table1334[[#This Row],[DeltaP]]))</f>
        <v>0</v>
      </c>
      <c r="AG66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4" t="e">
        <f ca="1">(EXP(-(AG664^2)/2)/SQRT(2*PI())*EXP(0*SQRT(Table1334[[#This Row],[T]]))/$A$4*18%*SQRT(SQRT(Table1334[[#This Row],[T]])))</f>
        <v>#DIV/0!</v>
      </c>
      <c r="AJ664" t="e">
        <f ca="1">(EXP(-(AH664^2)/2)/SQRT(2*PI())*EXP(0*SQRT(Table1334[[#This Row],[T]]))/$A$4*18%*SQRT(SQRT(Table1334[[#This Row],[T]])))</f>
        <v>#DIV/0!</v>
      </c>
      <c r="AK664" t="e">
        <f ca="1">Table1334[[#This Row],[Call D1]]-Table1334[[#This Row],[IV Calc C]]*SQRT(Table1334[[#This Row],[T]])</f>
        <v>#DIV/0!</v>
      </c>
      <c r="AL664" t="e">
        <f ca="1">Table1334[[#This Row],[Put D1]]-Table1334[[#This Row],[IV Calc P]]*SQRT(Table1334[[#This Row],[T]])</f>
        <v>#DIV/0!</v>
      </c>
      <c r="AM664" t="e">
        <f ca="1">EXP(-0.5*Table1334[[#This Row],[Call D1]]^2)/SQRT(2*PI())</f>
        <v>#DIV/0!</v>
      </c>
      <c r="AN664" t="e">
        <f ca="1">EXP(-0.5*Table1334[[#This Row],[Put D1]]^2)/SQRT(2*PI())</f>
        <v>#DIV/0!</v>
      </c>
      <c r="AO66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4">
        <f ca="1">((Table1334[[#This Row],[call vanna]]+Table1334[[#This Row],[put vanna]])*$A$4)</f>
        <v>0</v>
      </c>
      <c r="AR66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4" s="9" t="str" cm="1">
        <f t="array" ref="AT664">_xlfn.IFS(     $M$1="SPX","SPXW",     $M$1="RUT","RUTW",  $M$1="NDX","NDXP",   TRUE,$M$1 )</f>
        <v>SPXW</v>
      </c>
      <c r="AU664" s="2">
        <f t="shared" si="67"/>
        <v>6915</v>
      </c>
      <c r="AV664" t="str">
        <f t="shared" si="68"/>
        <v>000100</v>
      </c>
      <c r="AY66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4">
        <f>((Table1334[[#This Row],[High C]]+Table1334[[#This Row],[Low C]])/2)*Table1334[[#This Row],[gammac]]*Table1334[[#This Row],[Volume]]</f>
        <v>0</v>
      </c>
      <c r="BD664">
        <f>((Table1334[[#This Row],[High P]]+Table1334[[#This Row],[Low P]])/2)*Table1334[[#This Row],[gammap]]*Table1334[[#This Row],[Volume9]]*-1</f>
        <v>0</v>
      </c>
      <c r="BE664">
        <f>(Table1334[[#This Row],[SgammaC]]+Table1334[[#This Row],[SgammaP]])*$A$4*-100</f>
        <v>0</v>
      </c>
      <c r="BF664">
        <f>Table1334[[#This Row],[DEXc]]+Table1334[[#This Row],[DEXp]]</f>
        <v>0</v>
      </c>
      <c r="BG664">
        <f>IFERROR(Table1334[[#This Row],[DeltaC]]*Table1334[[#This Row],[Open.Int]]*$A$4,0)</f>
        <v>0</v>
      </c>
      <c r="BH664">
        <f>IFERROR(Table1334[[#This Row],[DeltaP]]*Table1334[[#This Row],[Open.Int8]]*$A$4,0)</f>
        <v>0</v>
      </c>
      <c r="BI66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4">
        <f ca="1">Table1334[[#This Row],[charmc]]+Table1334[[#This Row],[charmp]]</f>
        <v>0</v>
      </c>
      <c r="BL66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4" s="78">
        <f ca="1">Table1334[[#This Row],[call helper]]+Table1334[[#This Row],[put helper]]</f>
        <v>0</v>
      </c>
      <c r="BP664" t="str">
        <f>RTD("tos.rtd", , "STRIKE", "."&amp;Table1334[[#This Row],[Ticker]]&amp;Table1334[[#This Row],[Expiry]]&amp;""&amp;"C"&amp;Table1334[[#This Row],[Spot]]+Table1334[[#This Row],[step]])</f>
        <v>N/A</v>
      </c>
    </row>
    <row r="665" spans="1:68" x14ac:dyDescent="0.25">
      <c r="A665" s="14">
        <f t="shared" ca="1" si="64"/>
        <v>-126.14810350076104</v>
      </c>
      <c r="C665" s="17"/>
      <c r="D665" t="str">
        <f>RTD("tos.rtd", , "OPEN_INT", "."&amp;Table1334[[#This Row],[Ticker]]&amp;Table1334[[#This Row],[Expiry]]&amp;""&amp;"C"&amp;Table1334[[#This Row],[Spot]]+Table1334[[#This Row],[step]])</f>
        <v>N/A</v>
      </c>
      <c r="E66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5" t="b">
        <f>IF(     ISNUMBER(Table1334[[#This Row],[Strike]]),RTD("tos.rtd", , "DELTA", "."&amp;Table1334[[#This Row],[Ticker]]&amp;Table1334[[#This Row],[Expiry]]&amp;""&amp;"C"&amp;Table1334[[#This Row],[Strike]]))</f>
        <v>0</v>
      </c>
      <c r="H665" s="17" cm="1">
        <f t="array" aca="1" ref="H665" ca="1">IndividualLegIVCore($A$4, Table1334[[#This Row],[Strike]], 0.0411, Table1334[[#This Row],[T]], ((Table1334[[#This Row],[BIDC]]+Table1334[[#This Row],[ASKC]])/2), TRUE)</f>
        <v>0.01</v>
      </c>
      <c r="I665" t="b">
        <f>IF(     ISNUMBER(Table1334[[#This Row],[Strike]]),RTD("tos.rtd", , "BID", "."&amp;Table1334[[#This Row],[Ticker]]&amp;Table1334[[#This Row],[Expiry]]&amp;""&amp;"C"&amp;Table1334[[#This Row],[Strike]]))</f>
        <v>0</v>
      </c>
      <c r="J665" t="b">
        <f>IF(     ISNUMBER(Table1334[[#This Row],[Strike]]),RTD("tos.rtd", , "ASK", "."&amp;Table1334[[#This Row],[Ticker]]&amp;Table1334[[#This Row],[Expiry]]&amp;""&amp;"C"&amp;Table1334[[#This Row],[Strike]]))</f>
        <v>0</v>
      </c>
      <c r="K665" s="17"/>
      <c r="M665" s="1">
        <f t="shared" si="65"/>
        <v>0</v>
      </c>
      <c r="N665" t="b">
        <f t="shared" si="66"/>
        <v>0</v>
      </c>
      <c r="P665" s="17" cm="1">
        <f t="array" aca="1" ref="P665" ca="1">IndividualLegIVCore($A$4, Table1334[[#This Row],[Strike]], 0.0411, Table1334[[#This Row],[T]], ((Table1334[[#This Row],[BIDP]]+Table1334[[#This Row],[ASKP]])/2), FALSE)</f>
        <v>0.01</v>
      </c>
      <c r="Q665" t="b">
        <f>IF(     ISNUMBER(Table1334[[#This Row],[Strike]]),RTD("tos.rtd", , "BID", "."&amp;Table1334[[#This Row],[Ticker]]&amp;Table1334[[#This Row],[Expiry]]&amp;""&amp;"P"&amp;Table1334[[#This Row],[Strike]]))</f>
        <v>0</v>
      </c>
      <c r="R665" t="b">
        <f>IF(     ISNUMBER(Table1334[[#This Row],[Strike]]),RTD("tos.rtd", , "ASK", "."&amp;Table1334[[#This Row],[Ticker]]&amp;Table1334[[#This Row],[Expiry]]&amp;""&amp;"P"&amp;Table1334[[#This Row],[Strike]]))</f>
        <v>0</v>
      </c>
      <c r="S665" s="17"/>
      <c r="T665" t="b">
        <f>IF(     ISNUMBER(Table1334[[#This Row],[Strike]]),RTD("tos.rtd", , "OPEN_INT", "."&amp;Table1334[[#This Row],[Ticker]]&amp;Table1334[[#This Row],[Expiry]]&amp;""&amp;"P"&amp;Table1334[[#This Row],[Strike]]))</f>
        <v>0</v>
      </c>
      <c r="U66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5" t="b">
        <f>IF(     ISNUMBER(Table1334[[#This Row],[Strike]]),RTD("tos.rtd", , "DELTA", "."&amp;Table1334[[#This Row],[Ticker]]&amp;Table1334[[#This Row],[Expiry]]&amp;""&amp;"P"&amp;Table1334[[#This Row],[Strike]]))</f>
        <v>0</v>
      </c>
      <c r="Y665" s="19">
        <f>-27* IF($M$1="NDX", 10, IF(OR($M$1="SPX", $M$1="RUT"), 2, 1))</f>
        <v>-54</v>
      </c>
      <c r="Z665">
        <f ca="1">IFERROR(Table1334[[#This Row],[call gamma]]*(Table1334[[#This Row],[Open.Int]])*$A$4^2,0)</f>
        <v>0</v>
      </c>
      <c r="AA665">
        <f ca="1">IFERROR(((Table1334[[#This Row],[Open.Int8]])*Table1334[[#This Row],[Put gamma]])*-1*$A$4^2,0)</f>
        <v>0</v>
      </c>
      <c r="AB665">
        <f ca="1">(Table1334[[#This Row],[Call Gex]]+Table1334[[#This Row],[Put Gex]])</f>
        <v>0</v>
      </c>
      <c r="AC665">
        <f ca="1">Table1334[[#This Row],[put delta adj]]+Table1334[[#This Row],[call delta adj]]</f>
        <v>0</v>
      </c>
      <c r="AD665">
        <f ca="1">Table1334[[#This Row],[Put Gex]]*Table1334[[#This Row],[DeltaP]]*-1</f>
        <v>0</v>
      </c>
      <c r="AE665">
        <f ca="1">Table1334[[#This Row],[Call Gex]]*Table1334[[#This Row],[DeltaC]]</f>
        <v>0</v>
      </c>
      <c r="AF665">
        <f>IF(Table1334[[#This Row],[DeltaC]]-ABS(Table1334[[#This Row],[DeltaP]])="0","0.01",Table1334[[#This Row],[DeltaC]]-ABS(Table1334[[#This Row],[DeltaP]]))</f>
        <v>0</v>
      </c>
      <c r="AG66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5" t="e">
        <f ca="1">(EXP(-(AG665^2)/2)/SQRT(2*PI())*EXP(0*SQRT(Table1334[[#This Row],[T]]))/$A$4*18%*SQRT(SQRT(Table1334[[#This Row],[T]])))</f>
        <v>#DIV/0!</v>
      </c>
      <c r="AJ665" t="e">
        <f ca="1">(EXP(-(AH665^2)/2)/SQRT(2*PI())*EXP(0*SQRT(Table1334[[#This Row],[T]]))/$A$4*18%*SQRT(SQRT(Table1334[[#This Row],[T]])))</f>
        <v>#DIV/0!</v>
      </c>
      <c r="AK665" t="e">
        <f ca="1">Table1334[[#This Row],[Call D1]]-Table1334[[#This Row],[IV Calc C]]*SQRT(Table1334[[#This Row],[T]])</f>
        <v>#DIV/0!</v>
      </c>
      <c r="AL665" t="e">
        <f ca="1">Table1334[[#This Row],[Put D1]]-Table1334[[#This Row],[IV Calc P]]*SQRT(Table1334[[#This Row],[T]])</f>
        <v>#DIV/0!</v>
      </c>
      <c r="AM665" t="e">
        <f ca="1">EXP(-0.5*Table1334[[#This Row],[Call D1]]^2)/SQRT(2*PI())</f>
        <v>#DIV/0!</v>
      </c>
      <c r="AN665" t="e">
        <f ca="1">EXP(-0.5*Table1334[[#This Row],[Put D1]]^2)/SQRT(2*PI())</f>
        <v>#DIV/0!</v>
      </c>
      <c r="AO66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5">
        <f ca="1">((Table1334[[#This Row],[call vanna]]+Table1334[[#This Row],[put vanna]])*$A$4)</f>
        <v>0</v>
      </c>
      <c r="AR66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5" s="9" t="str" cm="1">
        <f t="array" ref="AT665">_xlfn.IFS(     $M$1="SPX","SPXW",     $M$1="RUT","RUTW",  $M$1="NDX","NDXP",   TRUE,$M$1 )</f>
        <v>SPXW</v>
      </c>
      <c r="AU665" s="2">
        <f t="shared" si="67"/>
        <v>6915</v>
      </c>
      <c r="AV665" t="str">
        <f t="shared" si="68"/>
        <v>000100</v>
      </c>
      <c r="AY66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5">
        <f>((Table1334[[#This Row],[High C]]+Table1334[[#This Row],[Low C]])/2)*Table1334[[#This Row],[gammac]]*Table1334[[#This Row],[Volume]]</f>
        <v>0</v>
      </c>
      <c r="BD665">
        <f>((Table1334[[#This Row],[High P]]+Table1334[[#This Row],[Low P]])/2)*Table1334[[#This Row],[gammap]]*Table1334[[#This Row],[Volume9]]*-1</f>
        <v>0</v>
      </c>
      <c r="BE665">
        <f>(Table1334[[#This Row],[SgammaC]]+Table1334[[#This Row],[SgammaP]])*$A$4*-100</f>
        <v>0</v>
      </c>
      <c r="BF665">
        <f>Table1334[[#This Row],[DEXc]]+Table1334[[#This Row],[DEXp]]</f>
        <v>0</v>
      </c>
      <c r="BG665">
        <f>IFERROR(Table1334[[#This Row],[DeltaC]]*Table1334[[#This Row],[Open.Int]]*$A$4,0)</f>
        <v>0</v>
      </c>
      <c r="BH665">
        <f>IFERROR(Table1334[[#This Row],[DeltaP]]*Table1334[[#This Row],[Open.Int8]]*$A$4,0)</f>
        <v>0</v>
      </c>
      <c r="BI66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5">
        <f ca="1">Table1334[[#This Row],[charmc]]+Table1334[[#This Row],[charmp]]</f>
        <v>0</v>
      </c>
      <c r="BL66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5" s="78">
        <f ca="1">Table1334[[#This Row],[call helper]]+Table1334[[#This Row],[put helper]]</f>
        <v>0</v>
      </c>
      <c r="BP665" t="str">
        <f>RTD("tos.rtd", , "STRIKE", "."&amp;Table1334[[#This Row],[Ticker]]&amp;Table1334[[#This Row],[Expiry]]&amp;""&amp;"C"&amp;Table1334[[#This Row],[Spot]]+Table1334[[#This Row],[step]])</f>
        <v>N/A</v>
      </c>
    </row>
    <row r="666" spans="1:68" x14ac:dyDescent="0.25">
      <c r="A666" s="14">
        <f t="shared" ca="1" si="64"/>
        <v>-126.14810350076104</v>
      </c>
      <c r="C666" s="17"/>
      <c r="D666" t="str">
        <f>RTD("tos.rtd", , "OPEN_INT", "."&amp;Table1334[[#This Row],[Ticker]]&amp;Table1334[[#This Row],[Expiry]]&amp;""&amp;"C"&amp;Table1334[[#This Row],[Spot]]+Table1334[[#This Row],[step]])</f>
        <v>N/A</v>
      </c>
      <c r="E66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6" t="b">
        <f>IF(     ISNUMBER(Table1334[[#This Row],[Strike]]),RTD("tos.rtd", , "DELTA", "."&amp;Table1334[[#This Row],[Ticker]]&amp;Table1334[[#This Row],[Expiry]]&amp;""&amp;"C"&amp;Table1334[[#This Row],[Strike]]))</f>
        <v>0</v>
      </c>
      <c r="H666" s="17" cm="1">
        <f t="array" aca="1" ref="H666" ca="1">IndividualLegIVCore($A$4, Table1334[[#This Row],[Strike]], 0.0411, Table1334[[#This Row],[T]], ((Table1334[[#This Row],[BIDC]]+Table1334[[#This Row],[ASKC]])/2), TRUE)</f>
        <v>0.01</v>
      </c>
      <c r="I666" t="b">
        <f>IF(     ISNUMBER(Table1334[[#This Row],[Strike]]),RTD("tos.rtd", , "BID", "."&amp;Table1334[[#This Row],[Ticker]]&amp;Table1334[[#This Row],[Expiry]]&amp;""&amp;"C"&amp;Table1334[[#This Row],[Strike]]))</f>
        <v>0</v>
      </c>
      <c r="J666" t="b">
        <f>IF(     ISNUMBER(Table1334[[#This Row],[Strike]]),RTD("tos.rtd", , "ASK", "."&amp;Table1334[[#This Row],[Ticker]]&amp;Table1334[[#This Row],[Expiry]]&amp;""&amp;"C"&amp;Table1334[[#This Row],[Strike]]))</f>
        <v>0</v>
      </c>
      <c r="K666" s="17"/>
      <c r="M666" s="1">
        <f t="shared" si="65"/>
        <v>0</v>
      </c>
      <c r="N666" t="b">
        <f t="shared" si="66"/>
        <v>0</v>
      </c>
      <c r="P666" s="17" cm="1">
        <f t="array" aca="1" ref="P666" ca="1">IndividualLegIVCore($A$4, Table1334[[#This Row],[Strike]], 0.0411, Table1334[[#This Row],[T]], ((Table1334[[#This Row],[BIDP]]+Table1334[[#This Row],[ASKP]])/2), FALSE)</f>
        <v>0.01</v>
      </c>
      <c r="Q666" t="b">
        <f>IF(     ISNUMBER(Table1334[[#This Row],[Strike]]),RTD("tos.rtd", , "BID", "."&amp;Table1334[[#This Row],[Ticker]]&amp;Table1334[[#This Row],[Expiry]]&amp;""&amp;"P"&amp;Table1334[[#This Row],[Strike]]))</f>
        <v>0</v>
      </c>
      <c r="R666" t="b">
        <f>IF(     ISNUMBER(Table1334[[#This Row],[Strike]]),RTD("tos.rtd", , "ASK", "."&amp;Table1334[[#This Row],[Ticker]]&amp;Table1334[[#This Row],[Expiry]]&amp;""&amp;"P"&amp;Table1334[[#This Row],[Strike]]))</f>
        <v>0</v>
      </c>
      <c r="S666" s="17"/>
      <c r="T666" t="b">
        <f>IF(     ISNUMBER(Table1334[[#This Row],[Strike]]),RTD("tos.rtd", , "OPEN_INT", "."&amp;Table1334[[#This Row],[Ticker]]&amp;Table1334[[#This Row],[Expiry]]&amp;""&amp;"P"&amp;Table1334[[#This Row],[Strike]]))</f>
        <v>0</v>
      </c>
      <c r="U66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6" t="b">
        <f>IF(     ISNUMBER(Table1334[[#This Row],[Strike]]),RTD("tos.rtd", , "DELTA", "."&amp;Table1334[[#This Row],[Ticker]]&amp;Table1334[[#This Row],[Expiry]]&amp;""&amp;"P"&amp;Table1334[[#This Row],[Strike]]))</f>
        <v>0</v>
      </c>
      <c r="Y666" s="19">
        <f>-26.5* IF($M$1="NDX", 10, IF(OR($M$1="SPX", $M$1="RUT"), 2, 1))</f>
        <v>-53</v>
      </c>
      <c r="Z666">
        <f ca="1">IFERROR(Table1334[[#This Row],[call gamma]]*(Table1334[[#This Row],[Open.Int]])*$A$4^2,0)</f>
        <v>0</v>
      </c>
      <c r="AA666">
        <f ca="1">IFERROR(((Table1334[[#This Row],[Open.Int8]])*Table1334[[#This Row],[Put gamma]])*-1*$A$4^2,0)</f>
        <v>0</v>
      </c>
      <c r="AB666">
        <f ca="1">(Table1334[[#This Row],[Call Gex]]+Table1334[[#This Row],[Put Gex]])</f>
        <v>0</v>
      </c>
      <c r="AC666">
        <f ca="1">Table1334[[#This Row],[put delta adj]]+Table1334[[#This Row],[call delta adj]]</f>
        <v>0</v>
      </c>
      <c r="AD666">
        <f ca="1">Table1334[[#This Row],[Put Gex]]*Table1334[[#This Row],[DeltaP]]*-1</f>
        <v>0</v>
      </c>
      <c r="AE666">
        <f ca="1">Table1334[[#This Row],[Call Gex]]*Table1334[[#This Row],[DeltaC]]</f>
        <v>0</v>
      </c>
      <c r="AF666">
        <f>IF(Table1334[[#This Row],[DeltaC]]-ABS(Table1334[[#This Row],[DeltaP]])="0","0.01",Table1334[[#This Row],[DeltaC]]-ABS(Table1334[[#This Row],[DeltaP]]))</f>
        <v>0</v>
      </c>
      <c r="AG66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6" t="e">
        <f ca="1">(EXP(-(AG666^2)/2)/SQRT(2*PI())*EXP(0*SQRT(Table1334[[#This Row],[T]]))/$A$4*18%*SQRT(SQRT(Table1334[[#This Row],[T]])))</f>
        <v>#DIV/0!</v>
      </c>
      <c r="AJ666" t="e">
        <f ca="1">(EXP(-(AH666^2)/2)/SQRT(2*PI())*EXP(0*SQRT(Table1334[[#This Row],[T]]))/$A$4*18%*SQRT(SQRT(Table1334[[#This Row],[T]])))</f>
        <v>#DIV/0!</v>
      </c>
      <c r="AK666" t="e">
        <f ca="1">Table1334[[#This Row],[Call D1]]-Table1334[[#This Row],[IV Calc C]]*SQRT(Table1334[[#This Row],[T]])</f>
        <v>#DIV/0!</v>
      </c>
      <c r="AL666" t="e">
        <f ca="1">Table1334[[#This Row],[Put D1]]-Table1334[[#This Row],[IV Calc P]]*SQRT(Table1334[[#This Row],[T]])</f>
        <v>#DIV/0!</v>
      </c>
      <c r="AM666" t="e">
        <f ca="1">EXP(-0.5*Table1334[[#This Row],[Call D1]]^2)/SQRT(2*PI())</f>
        <v>#DIV/0!</v>
      </c>
      <c r="AN666" t="e">
        <f ca="1">EXP(-0.5*Table1334[[#This Row],[Put D1]]^2)/SQRT(2*PI())</f>
        <v>#DIV/0!</v>
      </c>
      <c r="AO66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6">
        <f ca="1">((Table1334[[#This Row],[call vanna]]+Table1334[[#This Row],[put vanna]])*$A$4)</f>
        <v>0</v>
      </c>
      <c r="AR66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6" s="9" t="str" cm="1">
        <f t="array" ref="AT666">_xlfn.IFS(     $M$1="SPX","SPXW",     $M$1="RUT","RUTW",  $M$1="NDX","NDXP",   TRUE,$M$1 )</f>
        <v>SPXW</v>
      </c>
      <c r="AU666" s="2">
        <f t="shared" si="67"/>
        <v>6915</v>
      </c>
      <c r="AV666" t="str">
        <f t="shared" si="68"/>
        <v>000100</v>
      </c>
      <c r="AY66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6">
        <f>((Table1334[[#This Row],[High C]]+Table1334[[#This Row],[Low C]])/2)*Table1334[[#This Row],[gammac]]*Table1334[[#This Row],[Volume]]</f>
        <v>0</v>
      </c>
      <c r="BD666">
        <f>((Table1334[[#This Row],[High P]]+Table1334[[#This Row],[Low P]])/2)*Table1334[[#This Row],[gammap]]*Table1334[[#This Row],[Volume9]]*-1</f>
        <v>0</v>
      </c>
      <c r="BE666">
        <f>(Table1334[[#This Row],[SgammaC]]+Table1334[[#This Row],[SgammaP]])*$A$4*-100</f>
        <v>0</v>
      </c>
      <c r="BF666">
        <f>Table1334[[#This Row],[DEXc]]+Table1334[[#This Row],[DEXp]]</f>
        <v>0</v>
      </c>
      <c r="BG666">
        <f>IFERROR(Table1334[[#This Row],[DeltaC]]*Table1334[[#This Row],[Open.Int]]*$A$4,0)</f>
        <v>0</v>
      </c>
      <c r="BH666">
        <f>IFERROR(Table1334[[#This Row],[DeltaP]]*Table1334[[#This Row],[Open.Int8]]*$A$4,0)</f>
        <v>0</v>
      </c>
      <c r="BI66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6">
        <f ca="1">Table1334[[#This Row],[charmc]]+Table1334[[#This Row],[charmp]]</f>
        <v>0</v>
      </c>
      <c r="BL66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6" s="78">
        <f ca="1">Table1334[[#This Row],[call helper]]+Table1334[[#This Row],[put helper]]</f>
        <v>0</v>
      </c>
      <c r="BP666" t="str">
        <f>RTD("tos.rtd", , "STRIKE", "."&amp;Table1334[[#This Row],[Ticker]]&amp;Table1334[[#This Row],[Expiry]]&amp;""&amp;"C"&amp;Table1334[[#This Row],[Spot]]+Table1334[[#This Row],[step]])</f>
        <v>N/A</v>
      </c>
    </row>
    <row r="667" spans="1:68" x14ac:dyDescent="0.25">
      <c r="A667" s="14">
        <f t="shared" ca="1" si="64"/>
        <v>-126.14810350076104</v>
      </c>
      <c r="C667" s="17"/>
      <c r="D667" t="str">
        <f>RTD("tos.rtd", , "OPEN_INT", "."&amp;Table1334[[#This Row],[Ticker]]&amp;Table1334[[#This Row],[Expiry]]&amp;""&amp;"C"&amp;Table1334[[#This Row],[Spot]]+Table1334[[#This Row],[step]])</f>
        <v>N/A</v>
      </c>
      <c r="E66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7" t="b">
        <f>IF(     ISNUMBER(Table1334[[#This Row],[Strike]]),RTD("tos.rtd", , "DELTA", "."&amp;Table1334[[#This Row],[Ticker]]&amp;Table1334[[#This Row],[Expiry]]&amp;""&amp;"C"&amp;Table1334[[#This Row],[Strike]]))</f>
        <v>0</v>
      </c>
      <c r="H667" s="17" cm="1">
        <f t="array" aca="1" ref="H667" ca="1">IndividualLegIVCore($A$4, Table1334[[#This Row],[Strike]], 0.0411, Table1334[[#This Row],[T]], ((Table1334[[#This Row],[BIDC]]+Table1334[[#This Row],[ASKC]])/2), TRUE)</f>
        <v>0.01</v>
      </c>
      <c r="I667" t="b">
        <f>IF(     ISNUMBER(Table1334[[#This Row],[Strike]]),RTD("tos.rtd", , "BID", "."&amp;Table1334[[#This Row],[Ticker]]&amp;Table1334[[#This Row],[Expiry]]&amp;""&amp;"C"&amp;Table1334[[#This Row],[Strike]]))</f>
        <v>0</v>
      </c>
      <c r="J667" t="b">
        <f>IF(     ISNUMBER(Table1334[[#This Row],[Strike]]),RTD("tos.rtd", , "ASK", "."&amp;Table1334[[#This Row],[Ticker]]&amp;Table1334[[#This Row],[Expiry]]&amp;""&amp;"C"&amp;Table1334[[#This Row],[Strike]]))</f>
        <v>0</v>
      </c>
      <c r="K667" s="17"/>
      <c r="M667" s="1">
        <f t="shared" si="65"/>
        <v>0</v>
      </c>
      <c r="N667" t="b">
        <f t="shared" si="66"/>
        <v>0</v>
      </c>
      <c r="P667" s="17" cm="1">
        <f t="array" aca="1" ref="P667" ca="1">IndividualLegIVCore($A$4, Table1334[[#This Row],[Strike]], 0.0411, Table1334[[#This Row],[T]], ((Table1334[[#This Row],[BIDP]]+Table1334[[#This Row],[ASKP]])/2), FALSE)</f>
        <v>0.01</v>
      </c>
      <c r="Q667" t="b">
        <f>IF(     ISNUMBER(Table1334[[#This Row],[Strike]]),RTD("tos.rtd", , "BID", "."&amp;Table1334[[#This Row],[Ticker]]&amp;Table1334[[#This Row],[Expiry]]&amp;""&amp;"P"&amp;Table1334[[#This Row],[Strike]]))</f>
        <v>0</v>
      </c>
      <c r="R667" t="b">
        <f>IF(     ISNUMBER(Table1334[[#This Row],[Strike]]),RTD("tos.rtd", , "ASK", "."&amp;Table1334[[#This Row],[Ticker]]&amp;Table1334[[#This Row],[Expiry]]&amp;""&amp;"P"&amp;Table1334[[#This Row],[Strike]]))</f>
        <v>0</v>
      </c>
      <c r="S667" s="17"/>
      <c r="T667" t="b">
        <f>IF(     ISNUMBER(Table1334[[#This Row],[Strike]]),RTD("tos.rtd", , "OPEN_INT", "."&amp;Table1334[[#This Row],[Ticker]]&amp;Table1334[[#This Row],[Expiry]]&amp;""&amp;"P"&amp;Table1334[[#This Row],[Strike]]))</f>
        <v>0</v>
      </c>
      <c r="U66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7" t="b">
        <f>IF(     ISNUMBER(Table1334[[#This Row],[Strike]]),RTD("tos.rtd", , "DELTA", "."&amp;Table1334[[#This Row],[Ticker]]&amp;Table1334[[#This Row],[Expiry]]&amp;""&amp;"P"&amp;Table1334[[#This Row],[Strike]]))</f>
        <v>0</v>
      </c>
      <c r="Y667" s="19">
        <f>-26* IF($M$1="NDX", 10, IF(OR($M$1="SPX", $M$1="RUT"), 2, 1))</f>
        <v>-52</v>
      </c>
      <c r="Z667">
        <f ca="1">IFERROR(Table1334[[#This Row],[call gamma]]*(Table1334[[#This Row],[Open.Int]])*$A$4^2,0)</f>
        <v>0</v>
      </c>
      <c r="AA667">
        <f ca="1">IFERROR(((Table1334[[#This Row],[Open.Int8]])*Table1334[[#This Row],[Put gamma]])*-1*$A$4^2,0)</f>
        <v>0</v>
      </c>
      <c r="AB667">
        <f ca="1">(Table1334[[#This Row],[Call Gex]]+Table1334[[#This Row],[Put Gex]])</f>
        <v>0</v>
      </c>
      <c r="AC667">
        <f ca="1">Table1334[[#This Row],[put delta adj]]+Table1334[[#This Row],[call delta adj]]</f>
        <v>0</v>
      </c>
      <c r="AD667">
        <f ca="1">Table1334[[#This Row],[Put Gex]]*Table1334[[#This Row],[DeltaP]]*-1</f>
        <v>0</v>
      </c>
      <c r="AE667">
        <f ca="1">Table1334[[#This Row],[Call Gex]]*Table1334[[#This Row],[DeltaC]]</f>
        <v>0</v>
      </c>
      <c r="AF667">
        <f>IF(Table1334[[#This Row],[DeltaC]]-ABS(Table1334[[#This Row],[DeltaP]])="0","0.01",Table1334[[#This Row],[DeltaC]]-ABS(Table1334[[#This Row],[DeltaP]]))</f>
        <v>0</v>
      </c>
      <c r="AG66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7" t="e">
        <f ca="1">(EXP(-(AG667^2)/2)/SQRT(2*PI())*EXP(0*SQRT(Table1334[[#This Row],[T]]))/$A$4*18%*SQRT(SQRT(Table1334[[#This Row],[T]])))</f>
        <v>#DIV/0!</v>
      </c>
      <c r="AJ667" t="e">
        <f ca="1">(EXP(-(AH667^2)/2)/SQRT(2*PI())*EXP(0*SQRT(Table1334[[#This Row],[T]]))/$A$4*18%*SQRT(SQRT(Table1334[[#This Row],[T]])))</f>
        <v>#DIV/0!</v>
      </c>
      <c r="AK667" t="e">
        <f ca="1">Table1334[[#This Row],[Call D1]]-Table1334[[#This Row],[IV Calc C]]*SQRT(Table1334[[#This Row],[T]])</f>
        <v>#DIV/0!</v>
      </c>
      <c r="AL667" t="e">
        <f ca="1">Table1334[[#This Row],[Put D1]]-Table1334[[#This Row],[IV Calc P]]*SQRT(Table1334[[#This Row],[T]])</f>
        <v>#DIV/0!</v>
      </c>
      <c r="AM667" t="e">
        <f ca="1">EXP(-0.5*Table1334[[#This Row],[Call D1]]^2)/SQRT(2*PI())</f>
        <v>#DIV/0!</v>
      </c>
      <c r="AN667" t="e">
        <f ca="1">EXP(-0.5*Table1334[[#This Row],[Put D1]]^2)/SQRT(2*PI())</f>
        <v>#DIV/0!</v>
      </c>
      <c r="AO66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7">
        <f ca="1">((Table1334[[#This Row],[call vanna]]+Table1334[[#This Row],[put vanna]])*$A$4)</f>
        <v>0</v>
      </c>
      <c r="AR66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7" s="9" t="str" cm="1">
        <f t="array" ref="AT667">_xlfn.IFS(     $M$1="SPX","SPXW",     $M$1="RUT","RUTW",  $M$1="NDX","NDXP",   TRUE,$M$1 )</f>
        <v>SPXW</v>
      </c>
      <c r="AU667" s="2">
        <f t="shared" si="67"/>
        <v>6915</v>
      </c>
      <c r="AV667" t="str">
        <f t="shared" si="68"/>
        <v>000100</v>
      </c>
      <c r="AY66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7">
        <f>((Table1334[[#This Row],[High C]]+Table1334[[#This Row],[Low C]])/2)*Table1334[[#This Row],[gammac]]*Table1334[[#This Row],[Volume]]</f>
        <v>0</v>
      </c>
      <c r="BD667">
        <f>((Table1334[[#This Row],[High P]]+Table1334[[#This Row],[Low P]])/2)*Table1334[[#This Row],[gammap]]*Table1334[[#This Row],[Volume9]]*-1</f>
        <v>0</v>
      </c>
      <c r="BE667">
        <f>(Table1334[[#This Row],[SgammaC]]+Table1334[[#This Row],[SgammaP]])*$A$4*-100</f>
        <v>0</v>
      </c>
      <c r="BF667">
        <f>Table1334[[#This Row],[DEXc]]+Table1334[[#This Row],[DEXp]]</f>
        <v>0</v>
      </c>
      <c r="BG667">
        <f>IFERROR(Table1334[[#This Row],[DeltaC]]*Table1334[[#This Row],[Open.Int]]*$A$4,0)</f>
        <v>0</v>
      </c>
      <c r="BH667">
        <f>IFERROR(Table1334[[#This Row],[DeltaP]]*Table1334[[#This Row],[Open.Int8]]*$A$4,0)</f>
        <v>0</v>
      </c>
      <c r="BI66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7">
        <f ca="1">Table1334[[#This Row],[charmc]]+Table1334[[#This Row],[charmp]]</f>
        <v>0</v>
      </c>
      <c r="BL66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7" s="78">
        <f ca="1">Table1334[[#This Row],[call helper]]+Table1334[[#This Row],[put helper]]</f>
        <v>0</v>
      </c>
      <c r="BP667" t="str">
        <f>RTD("tos.rtd", , "STRIKE", "."&amp;Table1334[[#This Row],[Ticker]]&amp;Table1334[[#This Row],[Expiry]]&amp;""&amp;"C"&amp;Table1334[[#This Row],[Spot]]+Table1334[[#This Row],[step]])</f>
        <v>N/A</v>
      </c>
    </row>
    <row r="668" spans="1:68" x14ac:dyDescent="0.25">
      <c r="A668" s="14">
        <f t="shared" ca="1" si="64"/>
        <v>-126.14810350076104</v>
      </c>
      <c r="C668" s="17"/>
      <c r="D668" t="str">
        <f>RTD("tos.rtd", , "OPEN_INT", "."&amp;Table1334[[#This Row],[Ticker]]&amp;Table1334[[#This Row],[Expiry]]&amp;""&amp;"C"&amp;Table1334[[#This Row],[Spot]]+Table1334[[#This Row],[step]])</f>
        <v>N/A</v>
      </c>
      <c r="E66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8" t="b">
        <f>IF(     ISNUMBER(Table1334[[#This Row],[Strike]]),RTD("tos.rtd", , "DELTA", "."&amp;Table1334[[#This Row],[Ticker]]&amp;Table1334[[#This Row],[Expiry]]&amp;""&amp;"C"&amp;Table1334[[#This Row],[Strike]]))</f>
        <v>0</v>
      </c>
      <c r="H668" s="17" cm="1">
        <f t="array" aca="1" ref="H668" ca="1">IndividualLegIVCore($A$4, Table1334[[#This Row],[Strike]], 0.0411, Table1334[[#This Row],[T]], ((Table1334[[#This Row],[BIDC]]+Table1334[[#This Row],[ASKC]])/2), TRUE)</f>
        <v>0.01</v>
      </c>
      <c r="I668" t="b">
        <f>IF(     ISNUMBER(Table1334[[#This Row],[Strike]]),RTD("tos.rtd", , "BID", "."&amp;Table1334[[#This Row],[Ticker]]&amp;Table1334[[#This Row],[Expiry]]&amp;""&amp;"C"&amp;Table1334[[#This Row],[Strike]]))</f>
        <v>0</v>
      </c>
      <c r="J668" t="b">
        <f>IF(     ISNUMBER(Table1334[[#This Row],[Strike]]),RTD("tos.rtd", , "ASK", "."&amp;Table1334[[#This Row],[Ticker]]&amp;Table1334[[#This Row],[Expiry]]&amp;""&amp;"C"&amp;Table1334[[#This Row],[Strike]]))</f>
        <v>0</v>
      </c>
      <c r="K668" s="17"/>
      <c r="M668" s="1">
        <f t="shared" si="65"/>
        <v>0</v>
      </c>
      <c r="N668" t="b">
        <f t="shared" si="66"/>
        <v>0</v>
      </c>
      <c r="P668" s="17" cm="1">
        <f t="array" aca="1" ref="P668" ca="1">IndividualLegIVCore($A$4, Table1334[[#This Row],[Strike]], 0.0411, Table1334[[#This Row],[T]], ((Table1334[[#This Row],[BIDP]]+Table1334[[#This Row],[ASKP]])/2), FALSE)</f>
        <v>0.01</v>
      </c>
      <c r="Q668" t="b">
        <f>IF(     ISNUMBER(Table1334[[#This Row],[Strike]]),RTD("tos.rtd", , "BID", "."&amp;Table1334[[#This Row],[Ticker]]&amp;Table1334[[#This Row],[Expiry]]&amp;""&amp;"P"&amp;Table1334[[#This Row],[Strike]]))</f>
        <v>0</v>
      </c>
      <c r="R668" t="b">
        <f>IF(     ISNUMBER(Table1334[[#This Row],[Strike]]),RTD("tos.rtd", , "ASK", "."&amp;Table1334[[#This Row],[Ticker]]&amp;Table1334[[#This Row],[Expiry]]&amp;""&amp;"P"&amp;Table1334[[#This Row],[Strike]]))</f>
        <v>0</v>
      </c>
      <c r="S668" s="17"/>
      <c r="T668" t="b">
        <f>IF(     ISNUMBER(Table1334[[#This Row],[Strike]]),RTD("tos.rtd", , "OPEN_INT", "."&amp;Table1334[[#This Row],[Ticker]]&amp;Table1334[[#This Row],[Expiry]]&amp;""&amp;"P"&amp;Table1334[[#This Row],[Strike]]))</f>
        <v>0</v>
      </c>
      <c r="U66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8" t="b">
        <f>IF(     ISNUMBER(Table1334[[#This Row],[Strike]]),RTD("tos.rtd", , "DELTA", "."&amp;Table1334[[#This Row],[Ticker]]&amp;Table1334[[#This Row],[Expiry]]&amp;""&amp;"P"&amp;Table1334[[#This Row],[Strike]]))</f>
        <v>0</v>
      </c>
      <c r="Y668" s="19">
        <f>-25.5* IF($M$1="NDX", 10, IF(OR($M$1="SPX", $M$1="RUT"), 2, 1))</f>
        <v>-51</v>
      </c>
      <c r="Z668">
        <f ca="1">IFERROR(Table1334[[#This Row],[call gamma]]*(Table1334[[#This Row],[Open.Int]])*$A$4^2,0)</f>
        <v>0</v>
      </c>
      <c r="AA668">
        <f ca="1">IFERROR(((Table1334[[#This Row],[Open.Int8]])*Table1334[[#This Row],[Put gamma]])*-1*$A$4^2,0)</f>
        <v>0</v>
      </c>
      <c r="AB668">
        <f ca="1">(Table1334[[#This Row],[Call Gex]]+Table1334[[#This Row],[Put Gex]])</f>
        <v>0</v>
      </c>
      <c r="AC668">
        <f ca="1">Table1334[[#This Row],[put delta adj]]+Table1334[[#This Row],[call delta adj]]</f>
        <v>0</v>
      </c>
      <c r="AD668">
        <f ca="1">Table1334[[#This Row],[Put Gex]]*Table1334[[#This Row],[DeltaP]]*-1</f>
        <v>0</v>
      </c>
      <c r="AE668">
        <f ca="1">Table1334[[#This Row],[Call Gex]]*Table1334[[#This Row],[DeltaC]]</f>
        <v>0</v>
      </c>
      <c r="AF668">
        <f>IF(Table1334[[#This Row],[DeltaC]]-ABS(Table1334[[#This Row],[DeltaP]])="0","0.01",Table1334[[#This Row],[DeltaC]]-ABS(Table1334[[#This Row],[DeltaP]]))</f>
        <v>0</v>
      </c>
      <c r="AG66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8" t="e">
        <f ca="1">(EXP(-(AG668^2)/2)/SQRT(2*PI())*EXP(0*SQRT(Table1334[[#This Row],[T]]))/$A$4*18%*SQRT(SQRT(Table1334[[#This Row],[T]])))</f>
        <v>#DIV/0!</v>
      </c>
      <c r="AJ668" t="e">
        <f ca="1">(EXP(-(AH668^2)/2)/SQRT(2*PI())*EXP(0*SQRT(Table1334[[#This Row],[T]]))/$A$4*18%*SQRT(SQRT(Table1334[[#This Row],[T]])))</f>
        <v>#DIV/0!</v>
      </c>
      <c r="AK668" t="e">
        <f ca="1">Table1334[[#This Row],[Call D1]]-Table1334[[#This Row],[IV Calc C]]*SQRT(Table1334[[#This Row],[T]])</f>
        <v>#DIV/0!</v>
      </c>
      <c r="AL668" t="e">
        <f ca="1">Table1334[[#This Row],[Put D1]]-Table1334[[#This Row],[IV Calc P]]*SQRT(Table1334[[#This Row],[T]])</f>
        <v>#DIV/0!</v>
      </c>
      <c r="AM668" t="e">
        <f ca="1">EXP(-0.5*Table1334[[#This Row],[Call D1]]^2)/SQRT(2*PI())</f>
        <v>#DIV/0!</v>
      </c>
      <c r="AN668" t="e">
        <f ca="1">EXP(-0.5*Table1334[[#This Row],[Put D1]]^2)/SQRT(2*PI())</f>
        <v>#DIV/0!</v>
      </c>
      <c r="AO66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8">
        <f ca="1">((Table1334[[#This Row],[call vanna]]+Table1334[[#This Row],[put vanna]])*$A$4)</f>
        <v>0</v>
      </c>
      <c r="AR66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8" s="9" t="str" cm="1">
        <f t="array" ref="AT668">_xlfn.IFS(     $M$1="SPX","SPXW",     $M$1="RUT","RUTW",  $M$1="NDX","NDXP",   TRUE,$M$1 )</f>
        <v>SPXW</v>
      </c>
      <c r="AU668" s="2">
        <f t="shared" si="67"/>
        <v>6915</v>
      </c>
      <c r="AV668" t="str">
        <f t="shared" si="68"/>
        <v>000100</v>
      </c>
      <c r="AY66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8">
        <f>((Table1334[[#This Row],[High C]]+Table1334[[#This Row],[Low C]])/2)*Table1334[[#This Row],[gammac]]*Table1334[[#This Row],[Volume]]</f>
        <v>0</v>
      </c>
      <c r="BD668">
        <f>((Table1334[[#This Row],[High P]]+Table1334[[#This Row],[Low P]])/2)*Table1334[[#This Row],[gammap]]*Table1334[[#This Row],[Volume9]]*-1</f>
        <v>0</v>
      </c>
      <c r="BE668">
        <f>(Table1334[[#This Row],[SgammaC]]+Table1334[[#This Row],[SgammaP]])*$A$4*-100</f>
        <v>0</v>
      </c>
      <c r="BF668">
        <f>Table1334[[#This Row],[DEXc]]+Table1334[[#This Row],[DEXp]]</f>
        <v>0</v>
      </c>
      <c r="BG668">
        <f>IFERROR(Table1334[[#This Row],[DeltaC]]*Table1334[[#This Row],[Open.Int]]*$A$4,0)</f>
        <v>0</v>
      </c>
      <c r="BH668">
        <f>IFERROR(Table1334[[#This Row],[DeltaP]]*Table1334[[#This Row],[Open.Int8]]*$A$4,0)</f>
        <v>0</v>
      </c>
      <c r="BI66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8">
        <f ca="1">Table1334[[#This Row],[charmc]]+Table1334[[#This Row],[charmp]]</f>
        <v>0</v>
      </c>
      <c r="BL66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8" s="78">
        <f ca="1">Table1334[[#This Row],[call helper]]+Table1334[[#This Row],[put helper]]</f>
        <v>0</v>
      </c>
      <c r="BP668" t="str">
        <f>RTD("tos.rtd", , "STRIKE", "."&amp;Table1334[[#This Row],[Ticker]]&amp;Table1334[[#This Row],[Expiry]]&amp;""&amp;"C"&amp;Table1334[[#This Row],[Spot]]+Table1334[[#This Row],[step]])</f>
        <v>N/A</v>
      </c>
    </row>
    <row r="669" spans="1:68" x14ac:dyDescent="0.25">
      <c r="A669" s="14">
        <f t="shared" ca="1" si="64"/>
        <v>-126.14810350076104</v>
      </c>
      <c r="C669" s="17"/>
      <c r="D669" t="str">
        <f>RTD("tos.rtd", , "OPEN_INT", "."&amp;Table1334[[#This Row],[Ticker]]&amp;Table1334[[#This Row],[Expiry]]&amp;""&amp;"C"&amp;Table1334[[#This Row],[Spot]]+Table1334[[#This Row],[step]])</f>
        <v>N/A</v>
      </c>
      <c r="E66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9" t="b">
        <f>IF(     ISNUMBER(Table1334[[#This Row],[Strike]]),RTD("tos.rtd", , "DELTA", "."&amp;Table1334[[#This Row],[Ticker]]&amp;Table1334[[#This Row],[Expiry]]&amp;""&amp;"C"&amp;Table1334[[#This Row],[Strike]]))</f>
        <v>0</v>
      </c>
      <c r="H669" s="17" cm="1">
        <f t="array" aca="1" ref="H669" ca="1">IndividualLegIVCore($A$4, Table1334[[#This Row],[Strike]], 0.0411, Table1334[[#This Row],[T]], ((Table1334[[#This Row],[BIDC]]+Table1334[[#This Row],[ASKC]])/2), TRUE)</f>
        <v>0.01</v>
      </c>
      <c r="I669" t="b">
        <f>IF(     ISNUMBER(Table1334[[#This Row],[Strike]]),RTD("tos.rtd", , "BID", "."&amp;Table1334[[#This Row],[Ticker]]&amp;Table1334[[#This Row],[Expiry]]&amp;""&amp;"C"&amp;Table1334[[#This Row],[Strike]]))</f>
        <v>0</v>
      </c>
      <c r="J669" t="b">
        <f>IF(     ISNUMBER(Table1334[[#This Row],[Strike]]),RTD("tos.rtd", , "ASK", "."&amp;Table1334[[#This Row],[Ticker]]&amp;Table1334[[#This Row],[Expiry]]&amp;""&amp;"C"&amp;Table1334[[#This Row],[Strike]]))</f>
        <v>0</v>
      </c>
      <c r="K669" s="17"/>
      <c r="M669" s="1">
        <f t="shared" si="65"/>
        <v>0</v>
      </c>
      <c r="N669" t="b">
        <f t="shared" si="66"/>
        <v>0</v>
      </c>
      <c r="P669" s="17" cm="1">
        <f t="array" aca="1" ref="P669" ca="1">IndividualLegIVCore($A$4, Table1334[[#This Row],[Strike]], 0.0411, Table1334[[#This Row],[T]], ((Table1334[[#This Row],[BIDP]]+Table1334[[#This Row],[ASKP]])/2), FALSE)</f>
        <v>0.01</v>
      </c>
      <c r="Q669" t="b">
        <f>IF(     ISNUMBER(Table1334[[#This Row],[Strike]]),RTD("tos.rtd", , "BID", "."&amp;Table1334[[#This Row],[Ticker]]&amp;Table1334[[#This Row],[Expiry]]&amp;""&amp;"P"&amp;Table1334[[#This Row],[Strike]]))</f>
        <v>0</v>
      </c>
      <c r="R669" t="b">
        <f>IF(     ISNUMBER(Table1334[[#This Row],[Strike]]),RTD("tos.rtd", , "ASK", "."&amp;Table1334[[#This Row],[Ticker]]&amp;Table1334[[#This Row],[Expiry]]&amp;""&amp;"P"&amp;Table1334[[#This Row],[Strike]]))</f>
        <v>0</v>
      </c>
      <c r="S669" s="17"/>
      <c r="T669" t="b">
        <f>IF(     ISNUMBER(Table1334[[#This Row],[Strike]]),RTD("tos.rtd", , "OPEN_INT", "."&amp;Table1334[[#This Row],[Ticker]]&amp;Table1334[[#This Row],[Expiry]]&amp;""&amp;"P"&amp;Table1334[[#This Row],[Strike]]))</f>
        <v>0</v>
      </c>
      <c r="U66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9" t="b">
        <f>IF(     ISNUMBER(Table1334[[#This Row],[Strike]]),RTD("tos.rtd", , "DELTA", "."&amp;Table1334[[#This Row],[Ticker]]&amp;Table1334[[#This Row],[Expiry]]&amp;""&amp;"P"&amp;Table1334[[#This Row],[Strike]]))</f>
        <v>0</v>
      </c>
      <c r="Y669" s="19">
        <f>-25* IF($M$1="NDX", 10, IF(OR($M$1="SPX", $M$1="RUT"), 2, 1))</f>
        <v>-50</v>
      </c>
      <c r="Z669">
        <f ca="1">IFERROR(Table1334[[#This Row],[call gamma]]*(Table1334[[#This Row],[Open.Int]])*$A$4^2,0)</f>
        <v>0</v>
      </c>
      <c r="AA669">
        <f ca="1">IFERROR(((Table1334[[#This Row],[Open.Int8]])*Table1334[[#This Row],[Put gamma]])*-1*$A$4^2,0)</f>
        <v>0</v>
      </c>
      <c r="AB669">
        <f ca="1">(Table1334[[#This Row],[Call Gex]]+Table1334[[#This Row],[Put Gex]])</f>
        <v>0</v>
      </c>
      <c r="AC669">
        <f ca="1">Table1334[[#This Row],[put delta adj]]+Table1334[[#This Row],[call delta adj]]</f>
        <v>0</v>
      </c>
      <c r="AD669">
        <f ca="1">Table1334[[#This Row],[Put Gex]]*Table1334[[#This Row],[DeltaP]]*-1</f>
        <v>0</v>
      </c>
      <c r="AE669">
        <f ca="1">Table1334[[#This Row],[Call Gex]]*Table1334[[#This Row],[DeltaC]]</f>
        <v>0</v>
      </c>
      <c r="AF669">
        <f>IF(Table1334[[#This Row],[DeltaC]]-ABS(Table1334[[#This Row],[DeltaP]])="0","0.01",Table1334[[#This Row],[DeltaC]]-ABS(Table1334[[#This Row],[DeltaP]]))</f>
        <v>0</v>
      </c>
      <c r="AG66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9" t="e">
        <f ca="1">(EXP(-(AG669^2)/2)/SQRT(2*PI())*EXP(0*SQRT(Table1334[[#This Row],[T]]))/$A$4*18%*SQRT(SQRT(Table1334[[#This Row],[T]])))</f>
        <v>#DIV/0!</v>
      </c>
      <c r="AJ669" t="e">
        <f ca="1">(EXP(-(AH669^2)/2)/SQRT(2*PI())*EXP(0*SQRT(Table1334[[#This Row],[T]]))/$A$4*18%*SQRT(SQRT(Table1334[[#This Row],[T]])))</f>
        <v>#DIV/0!</v>
      </c>
      <c r="AK669" t="e">
        <f ca="1">Table1334[[#This Row],[Call D1]]-Table1334[[#This Row],[IV Calc C]]*SQRT(Table1334[[#This Row],[T]])</f>
        <v>#DIV/0!</v>
      </c>
      <c r="AL669" t="e">
        <f ca="1">Table1334[[#This Row],[Put D1]]-Table1334[[#This Row],[IV Calc P]]*SQRT(Table1334[[#This Row],[T]])</f>
        <v>#DIV/0!</v>
      </c>
      <c r="AM669" t="e">
        <f ca="1">EXP(-0.5*Table1334[[#This Row],[Call D1]]^2)/SQRT(2*PI())</f>
        <v>#DIV/0!</v>
      </c>
      <c r="AN669" t="e">
        <f ca="1">EXP(-0.5*Table1334[[#This Row],[Put D1]]^2)/SQRT(2*PI())</f>
        <v>#DIV/0!</v>
      </c>
      <c r="AO66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9">
        <f ca="1">((Table1334[[#This Row],[call vanna]]+Table1334[[#This Row],[put vanna]])*$A$4)</f>
        <v>0</v>
      </c>
      <c r="AR66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9" s="9" t="str" cm="1">
        <f t="array" ref="AT669">_xlfn.IFS(     $M$1="SPX","SPXW",     $M$1="RUT","RUTW",  $M$1="NDX","NDXP",   TRUE,$M$1 )</f>
        <v>SPXW</v>
      </c>
      <c r="AU669" s="2">
        <f t="shared" si="67"/>
        <v>6915</v>
      </c>
      <c r="AV669" t="str">
        <f t="shared" si="68"/>
        <v>000100</v>
      </c>
      <c r="AY66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9">
        <f>((Table1334[[#This Row],[High C]]+Table1334[[#This Row],[Low C]])/2)*Table1334[[#This Row],[gammac]]*Table1334[[#This Row],[Volume]]</f>
        <v>0</v>
      </c>
      <c r="BD669">
        <f>((Table1334[[#This Row],[High P]]+Table1334[[#This Row],[Low P]])/2)*Table1334[[#This Row],[gammap]]*Table1334[[#This Row],[Volume9]]*-1</f>
        <v>0</v>
      </c>
      <c r="BE669">
        <f>(Table1334[[#This Row],[SgammaC]]+Table1334[[#This Row],[SgammaP]])*$A$4*-100</f>
        <v>0</v>
      </c>
      <c r="BF669">
        <f>Table1334[[#This Row],[DEXc]]+Table1334[[#This Row],[DEXp]]</f>
        <v>0</v>
      </c>
      <c r="BG669">
        <f>IFERROR(Table1334[[#This Row],[DeltaC]]*Table1334[[#This Row],[Open.Int]]*$A$4,0)</f>
        <v>0</v>
      </c>
      <c r="BH669">
        <f>IFERROR(Table1334[[#This Row],[DeltaP]]*Table1334[[#This Row],[Open.Int8]]*$A$4,0)</f>
        <v>0</v>
      </c>
      <c r="BI66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9">
        <f ca="1">Table1334[[#This Row],[charmc]]+Table1334[[#This Row],[charmp]]</f>
        <v>0</v>
      </c>
      <c r="BL66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9" s="78">
        <f ca="1">Table1334[[#This Row],[call helper]]+Table1334[[#This Row],[put helper]]</f>
        <v>0</v>
      </c>
      <c r="BP669" t="str">
        <f>RTD("tos.rtd", , "STRIKE", "."&amp;Table1334[[#This Row],[Ticker]]&amp;Table1334[[#This Row],[Expiry]]&amp;""&amp;"C"&amp;Table1334[[#This Row],[Spot]]+Table1334[[#This Row],[step]])</f>
        <v>N/A</v>
      </c>
    </row>
    <row r="670" spans="1:68" x14ac:dyDescent="0.25">
      <c r="A670" s="14">
        <f t="shared" ca="1" si="64"/>
        <v>-126.14810350076104</v>
      </c>
      <c r="C670" s="17"/>
      <c r="D670" t="str">
        <f>RTD("tos.rtd", , "OPEN_INT", "."&amp;Table1334[[#This Row],[Ticker]]&amp;Table1334[[#This Row],[Expiry]]&amp;""&amp;"C"&amp;Table1334[[#This Row],[Spot]]+Table1334[[#This Row],[step]])</f>
        <v>N/A</v>
      </c>
      <c r="E67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0" t="b">
        <f>IF(     ISNUMBER(Table1334[[#This Row],[Strike]]),RTD("tos.rtd", , "DELTA", "."&amp;Table1334[[#This Row],[Ticker]]&amp;Table1334[[#This Row],[Expiry]]&amp;""&amp;"C"&amp;Table1334[[#This Row],[Strike]]))</f>
        <v>0</v>
      </c>
      <c r="H670" s="17" cm="1">
        <f t="array" aca="1" ref="H670" ca="1">IndividualLegIVCore($A$4, Table1334[[#This Row],[Strike]], 0.0411, Table1334[[#This Row],[T]], ((Table1334[[#This Row],[BIDC]]+Table1334[[#This Row],[ASKC]])/2), TRUE)</f>
        <v>0.01</v>
      </c>
      <c r="I670" t="b">
        <f>IF(     ISNUMBER(Table1334[[#This Row],[Strike]]),RTD("tos.rtd", , "BID", "."&amp;Table1334[[#This Row],[Ticker]]&amp;Table1334[[#This Row],[Expiry]]&amp;""&amp;"C"&amp;Table1334[[#This Row],[Strike]]))</f>
        <v>0</v>
      </c>
      <c r="J670" t="b">
        <f>IF(     ISNUMBER(Table1334[[#This Row],[Strike]]),RTD("tos.rtd", , "ASK", "."&amp;Table1334[[#This Row],[Ticker]]&amp;Table1334[[#This Row],[Expiry]]&amp;""&amp;"C"&amp;Table1334[[#This Row],[Strike]]))</f>
        <v>0</v>
      </c>
      <c r="K670" s="17"/>
      <c r="M670" s="1">
        <f t="shared" si="65"/>
        <v>0</v>
      </c>
      <c r="N670" t="b">
        <f t="shared" si="66"/>
        <v>0</v>
      </c>
      <c r="P670" s="17" cm="1">
        <f t="array" aca="1" ref="P670" ca="1">IndividualLegIVCore($A$4, Table1334[[#This Row],[Strike]], 0.0411, Table1334[[#This Row],[T]], ((Table1334[[#This Row],[BIDP]]+Table1334[[#This Row],[ASKP]])/2), FALSE)</f>
        <v>0.01</v>
      </c>
      <c r="Q670" t="b">
        <f>IF(     ISNUMBER(Table1334[[#This Row],[Strike]]),RTD("tos.rtd", , "BID", "."&amp;Table1334[[#This Row],[Ticker]]&amp;Table1334[[#This Row],[Expiry]]&amp;""&amp;"P"&amp;Table1334[[#This Row],[Strike]]))</f>
        <v>0</v>
      </c>
      <c r="R670" t="b">
        <f>IF(     ISNUMBER(Table1334[[#This Row],[Strike]]),RTD("tos.rtd", , "ASK", "."&amp;Table1334[[#This Row],[Ticker]]&amp;Table1334[[#This Row],[Expiry]]&amp;""&amp;"P"&amp;Table1334[[#This Row],[Strike]]))</f>
        <v>0</v>
      </c>
      <c r="S670" s="17"/>
      <c r="T670" t="b">
        <f>IF(     ISNUMBER(Table1334[[#This Row],[Strike]]),RTD("tos.rtd", , "OPEN_INT", "."&amp;Table1334[[#This Row],[Ticker]]&amp;Table1334[[#This Row],[Expiry]]&amp;""&amp;"P"&amp;Table1334[[#This Row],[Strike]]))</f>
        <v>0</v>
      </c>
      <c r="U67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0" t="b">
        <f>IF(     ISNUMBER(Table1334[[#This Row],[Strike]]),RTD("tos.rtd", , "DELTA", "."&amp;Table1334[[#This Row],[Ticker]]&amp;Table1334[[#This Row],[Expiry]]&amp;""&amp;"P"&amp;Table1334[[#This Row],[Strike]]))</f>
        <v>0</v>
      </c>
      <c r="Y670" s="19">
        <f>-24.5* IF($M$1="NDX", 10, IF(OR($M$1="SPX", $M$1="RUT"), 2, 1))</f>
        <v>-49</v>
      </c>
      <c r="Z670">
        <f ca="1">IFERROR(Table1334[[#This Row],[call gamma]]*(Table1334[[#This Row],[Open.Int]])*$A$4^2,0)</f>
        <v>0</v>
      </c>
      <c r="AA670">
        <f ca="1">IFERROR(((Table1334[[#This Row],[Open.Int8]])*Table1334[[#This Row],[Put gamma]])*-1*$A$4^2,0)</f>
        <v>0</v>
      </c>
      <c r="AB670">
        <f ca="1">(Table1334[[#This Row],[Call Gex]]+Table1334[[#This Row],[Put Gex]])</f>
        <v>0</v>
      </c>
      <c r="AC670">
        <f ca="1">Table1334[[#This Row],[put delta adj]]+Table1334[[#This Row],[call delta adj]]</f>
        <v>0</v>
      </c>
      <c r="AD670">
        <f ca="1">Table1334[[#This Row],[Put Gex]]*Table1334[[#This Row],[DeltaP]]*-1</f>
        <v>0</v>
      </c>
      <c r="AE670">
        <f ca="1">Table1334[[#This Row],[Call Gex]]*Table1334[[#This Row],[DeltaC]]</f>
        <v>0</v>
      </c>
      <c r="AF670">
        <f>IF(Table1334[[#This Row],[DeltaC]]-ABS(Table1334[[#This Row],[DeltaP]])="0","0.01",Table1334[[#This Row],[DeltaC]]-ABS(Table1334[[#This Row],[DeltaP]]))</f>
        <v>0</v>
      </c>
      <c r="AG67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0" t="e">
        <f ca="1">(EXP(-(AG670^2)/2)/SQRT(2*PI())*EXP(0*SQRT(Table1334[[#This Row],[T]]))/$A$4*18%*SQRT(SQRT(Table1334[[#This Row],[T]])))</f>
        <v>#DIV/0!</v>
      </c>
      <c r="AJ670" t="e">
        <f ca="1">(EXP(-(AH670^2)/2)/SQRT(2*PI())*EXP(0*SQRT(Table1334[[#This Row],[T]]))/$A$4*18%*SQRT(SQRT(Table1334[[#This Row],[T]])))</f>
        <v>#DIV/0!</v>
      </c>
      <c r="AK670" t="e">
        <f ca="1">Table1334[[#This Row],[Call D1]]-Table1334[[#This Row],[IV Calc C]]*SQRT(Table1334[[#This Row],[T]])</f>
        <v>#DIV/0!</v>
      </c>
      <c r="AL670" t="e">
        <f ca="1">Table1334[[#This Row],[Put D1]]-Table1334[[#This Row],[IV Calc P]]*SQRT(Table1334[[#This Row],[T]])</f>
        <v>#DIV/0!</v>
      </c>
      <c r="AM670" t="e">
        <f ca="1">EXP(-0.5*Table1334[[#This Row],[Call D1]]^2)/SQRT(2*PI())</f>
        <v>#DIV/0!</v>
      </c>
      <c r="AN670" t="e">
        <f ca="1">EXP(-0.5*Table1334[[#This Row],[Put D1]]^2)/SQRT(2*PI())</f>
        <v>#DIV/0!</v>
      </c>
      <c r="AO67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0">
        <f ca="1">((Table1334[[#This Row],[call vanna]]+Table1334[[#This Row],[put vanna]])*$A$4)</f>
        <v>0</v>
      </c>
      <c r="AR67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0" s="9" t="str" cm="1">
        <f t="array" ref="AT670">_xlfn.IFS(     $M$1="SPX","SPXW",     $M$1="RUT","RUTW",  $M$1="NDX","NDXP",   TRUE,$M$1 )</f>
        <v>SPXW</v>
      </c>
      <c r="AU670" s="2">
        <f t="shared" si="67"/>
        <v>6915</v>
      </c>
      <c r="AV670" t="str">
        <f t="shared" si="68"/>
        <v>000100</v>
      </c>
      <c r="AY67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0">
        <f>((Table1334[[#This Row],[High C]]+Table1334[[#This Row],[Low C]])/2)*Table1334[[#This Row],[gammac]]*Table1334[[#This Row],[Volume]]</f>
        <v>0</v>
      </c>
      <c r="BD670">
        <f>((Table1334[[#This Row],[High P]]+Table1334[[#This Row],[Low P]])/2)*Table1334[[#This Row],[gammap]]*Table1334[[#This Row],[Volume9]]*-1</f>
        <v>0</v>
      </c>
      <c r="BE670">
        <f>(Table1334[[#This Row],[SgammaC]]+Table1334[[#This Row],[SgammaP]])*$A$4*-100</f>
        <v>0</v>
      </c>
      <c r="BF670">
        <f>Table1334[[#This Row],[DEXc]]+Table1334[[#This Row],[DEXp]]</f>
        <v>0</v>
      </c>
      <c r="BG670">
        <f>IFERROR(Table1334[[#This Row],[DeltaC]]*Table1334[[#This Row],[Open.Int]]*$A$4,0)</f>
        <v>0</v>
      </c>
      <c r="BH670">
        <f>IFERROR(Table1334[[#This Row],[DeltaP]]*Table1334[[#This Row],[Open.Int8]]*$A$4,0)</f>
        <v>0</v>
      </c>
      <c r="BI67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0">
        <f ca="1">Table1334[[#This Row],[charmc]]+Table1334[[#This Row],[charmp]]</f>
        <v>0</v>
      </c>
      <c r="BL67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0" s="78">
        <f ca="1">Table1334[[#This Row],[call helper]]+Table1334[[#This Row],[put helper]]</f>
        <v>0</v>
      </c>
      <c r="BP670" t="str">
        <f>RTD("tos.rtd", , "STRIKE", "."&amp;Table1334[[#This Row],[Ticker]]&amp;Table1334[[#This Row],[Expiry]]&amp;""&amp;"C"&amp;Table1334[[#This Row],[Spot]]+Table1334[[#This Row],[step]])</f>
        <v>N/A</v>
      </c>
    </row>
    <row r="671" spans="1:68" x14ac:dyDescent="0.25">
      <c r="A671" s="14">
        <f t="shared" ca="1" si="64"/>
        <v>-126.14810350076104</v>
      </c>
      <c r="C671" s="17"/>
      <c r="D671" t="str">
        <f>RTD("tos.rtd", , "OPEN_INT", "."&amp;Table1334[[#This Row],[Ticker]]&amp;Table1334[[#This Row],[Expiry]]&amp;""&amp;"C"&amp;Table1334[[#This Row],[Spot]]+Table1334[[#This Row],[step]])</f>
        <v>N/A</v>
      </c>
      <c r="E67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1" t="b">
        <f>IF(     ISNUMBER(Table1334[[#This Row],[Strike]]),RTD("tos.rtd", , "DELTA", "."&amp;Table1334[[#This Row],[Ticker]]&amp;Table1334[[#This Row],[Expiry]]&amp;""&amp;"C"&amp;Table1334[[#This Row],[Strike]]))</f>
        <v>0</v>
      </c>
      <c r="H671" s="17" cm="1">
        <f t="array" aca="1" ref="H671" ca="1">IndividualLegIVCore($A$4, Table1334[[#This Row],[Strike]], 0.0411, Table1334[[#This Row],[T]], ((Table1334[[#This Row],[BIDC]]+Table1334[[#This Row],[ASKC]])/2), TRUE)</f>
        <v>0.01</v>
      </c>
      <c r="I671" t="b">
        <f>IF(     ISNUMBER(Table1334[[#This Row],[Strike]]),RTD("tos.rtd", , "BID", "."&amp;Table1334[[#This Row],[Ticker]]&amp;Table1334[[#This Row],[Expiry]]&amp;""&amp;"C"&amp;Table1334[[#This Row],[Strike]]))</f>
        <v>0</v>
      </c>
      <c r="J671" t="b">
        <f>IF(     ISNUMBER(Table1334[[#This Row],[Strike]]),RTD("tos.rtd", , "ASK", "."&amp;Table1334[[#This Row],[Ticker]]&amp;Table1334[[#This Row],[Expiry]]&amp;""&amp;"C"&amp;Table1334[[#This Row],[Strike]]))</f>
        <v>0</v>
      </c>
      <c r="K671" s="17"/>
      <c r="M671" s="1">
        <f t="shared" si="65"/>
        <v>0</v>
      </c>
      <c r="N671" t="b">
        <f t="shared" si="66"/>
        <v>0</v>
      </c>
      <c r="P671" s="17" cm="1">
        <f t="array" aca="1" ref="P671" ca="1">IndividualLegIVCore($A$4, Table1334[[#This Row],[Strike]], 0.0411, Table1334[[#This Row],[T]], ((Table1334[[#This Row],[BIDP]]+Table1334[[#This Row],[ASKP]])/2), FALSE)</f>
        <v>0.01</v>
      </c>
      <c r="Q671" t="b">
        <f>IF(     ISNUMBER(Table1334[[#This Row],[Strike]]),RTD("tos.rtd", , "BID", "."&amp;Table1334[[#This Row],[Ticker]]&amp;Table1334[[#This Row],[Expiry]]&amp;""&amp;"P"&amp;Table1334[[#This Row],[Strike]]))</f>
        <v>0</v>
      </c>
      <c r="R671" t="b">
        <f>IF(     ISNUMBER(Table1334[[#This Row],[Strike]]),RTD("tos.rtd", , "ASK", "."&amp;Table1334[[#This Row],[Ticker]]&amp;Table1334[[#This Row],[Expiry]]&amp;""&amp;"P"&amp;Table1334[[#This Row],[Strike]]))</f>
        <v>0</v>
      </c>
      <c r="S671" s="17"/>
      <c r="T671" t="b">
        <f>IF(     ISNUMBER(Table1334[[#This Row],[Strike]]),RTD("tos.rtd", , "OPEN_INT", "."&amp;Table1334[[#This Row],[Ticker]]&amp;Table1334[[#This Row],[Expiry]]&amp;""&amp;"P"&amp;Table1334[[#This Row],[Strike]]))</f>
        <v>0</v>
      </c>
      <c r="U67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1" t="b">
        <f>IF(     ISNUMBER(Table1334[[#This Row],[Strike]]),RTD("tos.rtd", , "DELTA", "."&amp;Table1334[[#This Row],[Ticker]]&amp;Table1334[[#This Row],[Expiry]]&amp;""&amp;"P"&amp;Table1334[[#This Row],[Strike]]))</f>
        <v>0</v>
      </c>
      <c r="Y671" s="19">
        <f>-24* IF($M$1="NDX", 10, IF(OR($M$1="SPX", $M$1="RUT"), 2, 1))</f>
        <v>-48</v>
      </c>
      <c r="Z671">
        <f ca="1">IFERROR(Table1334[[#This Row],[call gamma]]*(Table1334[[#This Row],[Open.Int]])*$A$4^2,0)</f>
        <v>0</v>
      </c>
      <c r="AA671">
        <f ca="1">IFERROR(((Table1334[[#This Row],[Open.Int8]])*Table1334[[#This Row],[Put gamma]])*-1*$A$4^2,0)</f>
        <v>0</v>
      </c>
      <c r="AB671">
        <f ca="1">(Table1334[[#This Row],[Call Gex]]+Table1334[[#This Row],[Put Gex]])</f>
        <v>0</v>
      </c>
      <c r="AC671">
        <f ca="1">Table1334[[#This Row],[put delta adj]]+Table1334[[#This Row],[call delta adj]]</f>
        <v>0</v>
      </c>
      <c r="AD671">
        <f ca="1">Table1334[[#This Row],[Put Gex]]*Table1334[[#This Row],[DeltaP]]*-1</f>
        <v>0</v>
      </c>
      <c r="AE671">
        <f ca="1">Table1334[[#This Row],[Call Gex]]*Table1334[[#This Row],[DeltaC]]</f>
        <v>0</v>
      </c>
      <c r="AF671">
        <f>IF(Table1334[[#This Row],[DeltaC]]-ABS(Table1334[[#This Row],[DeltaP]])="0","0.01",Table1334[[#This Row],[DeltaC]]-ABS(Table1334[[#This Row],[DeltaP]]))</f>
        <v>0</v>
      </c>
      <c r="AG67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1" t="e">
        <f ca="1">(EXP(-(AG671^2)/2)/SQRT(2*PI())*EXP(0*SQRT(Table1334[[#This Row],[T]]))/$A$4*18%*SQRT(SQRT(Table1334[[#This Row],[T]])))</f>
        <v>#DIV/0!</v>
      </c>
      <c r="AJ671" t="e">
        <f ca="1">(EXP(-(AH671^2)/2)/SQRT(2*PI())*EXP(0*SQRT(Table1334[[#This Row],[T]]))/$A$4*18%*SQRT(SQRT(Table1334[[#This Row],[T]])))</f>
        <v>#DIV/0!</v>
      </c>
      <c r="AK671" t="e">
        <f ca="1">Table1334[[#This Row],[Call D1]]-Table1334[[#This Row],[IV Calc C]]*SQRT(Table1334[[#This Row],[T]])</f>
        <v>#DIV/0!</v>
      </c>
      <c r="AL671" t="e">
        <f ca="1">Table1334[[#This Row],[Put D1]]-Table1334[[#This Row],[IV Calc P]]*SQRT(Table1334[[#This Row],[T]])</f>
        <v>#DIV/0!</v>
      </c>
      <c r="AM671" t="e">
        <f ca="1">EXP(-0.5*Table1334[[#This Row],[Call D1]]^2)/SQRT(2*PI())</f>
        <v>#DIV/0!</v>
      </c>
      <c r="AN671" t="e">
        <f ca="1">EXP(-0.5*Table1334[[#This Row],[Put D1]]^2)/SQRT(2*PI())</f>
        <v>#DIV/0!</v>
      </c>
      <c r="AO67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1">
        <f ca="1">((Table1334[[#This Row],[call vanna]]+Table1334[[#This Row],[put vanna]])*$A$4)</f>
        <v>0</v>
      </c>
      <c r="AR67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1" s="9" t="str" cm="1">
        <f t="array" ref="AT671">_xlfn.IFS(     $M$1="SPX","SPXW",     $M$1="RUT","RUTW",  $M$1="NDX","NDXP",   TRUE,$M$1 )</f>
        <v>SPXW</v>
      </c>
      <c r="AU671" s="2">
        <f t="shared" si="67"/>
        <v>6915</v>
      </c>
      <c r="AV671" t="str">
        <f t="shared" si="68"/>
        <v>000100</v>
      </c>
      <c r="AY67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1">
        <f>((Table1334[[#This Row],[High C]]+Table1334[[#This Row],[Low C]])/2)*Table1334[[#This Row],[gammac]]*Table1334[[#This Row],[Volume]]</f>
        <v>0</v>
      </c>
      <c r="BD671">
        <f>((Table1334[[#This Row],[High P]]+Table1334[[#This Row],[Low P]])/2)*Table1334[[#This Row],[gammap]]*Table1334[[#This Row],[Volume9]]*-1</f>
        <v>0</v>
      </c>
      <c r="BE671">
        <f>(Table1334[[#This Row],[SgammaC]]+Table1334[[#This Row],[SgammaP]])*$A$4*-100</f>
        <v>0</v>
      </c>
      <c r="BF671">
        <f>Table1334[[#This Row],[DEXc]]+Table1334[[#This Row],[DEXp]]</f>
        <v>0</v>
      </c>
      <c r="BG671">
        <f>IFERROR(Table1334[[#This Row],[DeltaC]]*Table1334[[#This Row],[Open.Int]]*$A$4,0)</f>
        <v>0</v>
      </c>
      <c r="BH671">
        <f>IFERROR(Table1334[[#This Row],[DeltaP]]*Table1334[[#This Row],[Open.Int8]]*$A$4,0)</f>
        <v>0</v>
      </c>
      <c r="BI67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1">
        <f ca="1">Table1334[[#This Row],[charmc]]+Table1334[[#This Row],[charmp]]</f>
        <v>0</v>
      </c>
      <c r="BL67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1" s="78">
        <f ca="1">Table1334[[#This Row],[call helper]]+Table1334[[#This Row],[put helper]]</f>
        <v>0</v>
      </c>
      <c r="BP671" t="str">
        <f>RTD("tos.rtd", , "STRIKE", "."&amp;Table1334[[#This Row],[Ticker]]&amp;Table1334[[#This Row],[Expiry]]&amp;""&amp;"C"&amp;Table1334[[#This Row],[Spot]]+Table1334[[#This Row],[step]])</f>
        <v>N/A</v>
      </c>
    </row>
    <row r="672" spans="1:68" x14ac:dyDescent="0.25">
      <c r="A672" s="14">
        <f t="shared" ca="1" si="64"/>
        <v>-126.14810350076104</v>
      </c>
      <c r="C672" s="17"/>
      <c r="D672" t="str">
        <f>RTD("tos.rtd", , "OPEN_INT", "."&amp;Table1334[[#This Row],[Ticker]]&amp;Table1334[[#This Row],[Expiry]]&amp;""&amp;"C"&amp;Table1334[[#This Row],[Spot]]+Table1334[[#This Row],[step]])</f>
        <v>N/A</v>
      </c>
      <c r="E67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2" t="b">
        <f>IF(     ISNUMBER(Table1334[[#This Row],[Strike]]),RTD("tos.rtd", , "DELTA", "."&amp;Table1334[[#This Row],[Ticker]]&amp;Table1334[[#This Row],[Expiry]]&amp;""&amp;"C"&amp;Table1334[[#This Row],[Strike]]))</f>
        <v>0</v>
      </c>
      <c r="H672" s="17" cm="1">
        <f t="array" aca="1" ref="H672" ca="1">IndividualLegIVCore($A$4, Table1334[[#This Row],[Strike]], 0.0411, Table1334[[#This Row],[T]], ((Table1334[[#This Row],[BIDC]]+Table1334[[#This Row],[ASKC]])/2), TRUE)</f>
        <v>0.01</v>
      </c>
      <c r="I672" t="b">
        <f>IF(     ISNUMBER(Table1334[[#This Row],[Strike]]),RTD("tos.rtd", , "BID", "."&amp;Table1334[[#This Row],[Ticker]]&amp;Table1334[[#This Row],[Expiry]]&amp;""&amp;"C"&amp;Table1334[[#This Row],[Strike]]))</f>
        <v>0</v>
      </c>
      <c r="J672" t="b">
        <f>IF(     ISNUMBER(Table1334[[#This Row],[Strike]]),RTD("tos.rtd", , "ASK", "."&amp;Table1334[[#This Row],[Ticker]]&amp;Table1334[[#This Row],[Expiry]]&amp;""&amp;"C"&amp;Table1334[[#This Row],[Strike]]))</f>
        <v>0</v>
      </c>
      <c r="K672" s="17"/>
      <c r="M672" s="1">
        <f t="shared" si="65"/>
        <v>0</v>
      </c>
      <c r="N672" t="b">
        <f t="shared" si="66"/>
        <v>0</v>
      </c>
      <c r="P672" s="17" cm="1">
        <f t="array" aca="1" ref="P672" ca="1">IndividualLegIVCore($A$4, Table1334[[#This Row],[Strike]], 0.0411, Table1334[[#This Row],[T]], ((Table1334[[#This Row],[BIDP]]+Table1334[[#This Row],[ASKP]])/2), FALSE)</f>
        <v>0.01</v>
      </c>
      <c r="Q672" t="b">
        <f>IF(     ISNUMBER(Table1334[[#This Row],[Strike]]),RTD("tos.rtd", , "BID", "."&amp;Table1334[[#This Row],[Ticker]]&amp;Table1334[[#This Row],[Expiry]]&amp;""&amp;"P"&amp;Table1334[[#This Row],[Strike]]))</f>
        <v>0</v>
      </c>
      <c r="R672" t="b">
        <f>IF(     ISNUMBER(Table1334[[#This Row],[Strike]]),RTD("tos.rtd", , "ASK", "."&amp;Table1334[[#This Row],[Ticker]]&amp;Table1334[[#This Row],[Expiry]]&amp;""&amp;"P"&amp;Table1334[[#This Row],[Strike]]))</f>
        <v>0</v>
      </c>
      <c r="S672" s="17"/>
      <c r="T672" t="b">
        <f>IF(     ISNUMBER(Table1334[[#This Row],[Strike]]),RTD("tos.rtd", , "OPEN_INT", "."&amp;Table1334[[#This Row],[Ticker]]&amp;Table1334[[#This Row],[Expiry]]&amp;""&amp;"P"&amp;Table1334[[#This Row],[Strike]]))</f>
        <v>0</v>
      </c>
      <c r="U67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2" t="b">
        <f>IF(     ISNUMBER(Table1334[[#This Row],[Strike]]),RTD("tos.rtd", , "DELTA", "."&amp;Table1334[[#This Row],[Ticker]]&amp;Table1334[[#This Row],[Expiry]]&amp;""&amp;"P"&amp;Table1334[[#This Row],[Strike]]))</f>
        <v>0</v>
      </c>
      <c r="Y672" s="19">
        <f>-23.5* IF($M$1="NDX", 10, IF(OR($M$1="SPX", $M$1="RUT"), 2, 1))</f>
        <v>-47</v>
      </c>
      <c r="Z672">
        <f ca="1">IFERROR(Table1334[[#This Row],[call gamma]]*(Table1334[[#This Row],[Open.Int]])*$A$4^2,0)</f>
        <v>0</v>
      </c>
      <c r="AA672">
        <f ca="1">IFERROR(((Table1334[[#This Row],[Open.Int8]])*Table1334[[#This Row],[Put gamma]])*-1*$A$4^2,0)</f>
        <v>0</v>
      </c>
      <c r="AB672">
        <f ca="1">(Table1334[[#This Row],[Call Gex]]+Table1334[[#This Row],[Put Gex]])</f>
        <v>0</v>
      </c>
      <c r="AC672">
        <f ca="1">Table1334[[#This Row],[put delta adj]]+Table1334[[#This Row],[call delta adj]]</f>
        <v>0</v>
      </c>
      <c r="AD672">
        <f ca="1">Table1334[[#This Row],[Put Gex]]*Table1334[[#This Row],[DeltaP]]*-1</f>
        <v>0</v>
      </c>
      <c r="AE672">
        <f ca="1">Table1334[[#This Row],[Call Gex]]*Table1334[[#This Row],[DeltaC]]</f>
        <v>0</v>
      </c>
      <c r="AF672">
        <f>IF(Table1334[[#This Row],[DeltaC]]-ABS(Table1334[[#This Row],[DeltaP]])="0","0.01",Table1334[[#This Row],[DeltaC]]-ABS(Table1334[[#This Row],[DeltaP]]))</f>
        <v>0</v>
      </c>
      <c r="AG67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2" t="e">
        <f ca="1">(EXP(-(AG672^2)/2)/SQRT(2*PI())*EXP(0*SQRT(Table1334[[#This Row],[T]]))/$A$4*18%*SQRT(SQRT(Table1334[[#This Row],[T]])))</f>
        <v>#DIV/0!</v>
      </c>
      <c r="AJ672" t="e">
        <f ca="1">(EXP(-(AH672^2)/2)/SQRT(2*PI())*EXP(0*SQRT(Table1334[[#This Row],[T]]))/$A$4*18%*SQRT(SQRT(Table1334[[#This Row],[T]])))</f>
        <v>#DIV/0!</v>
      </c>
      <c r="AK672" t="e">
        <f ca="1">Table1334[[#This Row],[Call D1]]-Table1334[[#This Row],[IV Calc C]]*SQRT(Table1334[[#This Row],[T]])</f>
        <v>#DIV/0!</v>
      </c>
      <c r="AL672" t="e">
        <f ca="1">Table1334[[#This Row],[Put D1]]-Table1334[[#This Row],[IV Calc P]]*SQRT(Table1334[[#This Row],[T]])</f>
        <v>#DIV/0!</v>
      </c>
      <c r="AM672" t="e">
        <f ca="1">EXP(-0.5*Table1334[[#This Row],[Call D1]]^2)/SQRT(2*PI())</f>
        <v>#DIV/0!</v>
      </c>
      <c r="AN672" t="e">
        <f ca="1">EXP(-0.5*Table1334[[#This Row],[Put D1]]^2)/SQRT(2*PI())</f>
        <v>#DIV/0!</v>
      </c>
      <c r="AO67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2">
        <f ca="1">((Table1334[[#This Row],[call vanna]]+Table1334[[#This Row],[put vanna]])*$A$4)</f>
        <v>0</v>
      </c>
      <c r="AR67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2" s="9" t="str" cm="1">
        <f t="array" ref="AT672">_xlfn.IFS(     $M$1="SPX","SPXW",     $M$1="RUT","RUTW",  $M$1="NDX","NDXP",   TRUE,$M$1 )</f>
        <v>SPXW</v>
      </c>
      <c r="AU672" s="2">
        <f t="shared" si="67"/>
        <v>6915</v>
      </c>
      <c r="AV672" t="str">
        <f t="shared" si="68"/>
        <v>000100</v>
      </c>
      <c r="AY67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2">
        <f>((Table1334[[#This Row],[High C]]+Table1334[[#This Row],[Low C]])/2)*Table1334[[#This Row],[gammac]]*Table1334[[#This Row],[Volume]]</f>
        <v>0</v>
      </c>
      <c r="BD672">
        <f>((Table1334[[#This Row],[High P]]+Table1334[[#This Row],[Low P]])/2)*Table1334[[#This Row],[gammap]]*Table1334[[#This Row],[Volume9]]*-1</f>
        <v>0</v>
      </c>
      <c r="BE672">
        <f>(Table1334[[#This Row],[SgammaC]]+Table1334[[#This Row],[SgammaP]])*$A$4*-100</f>
        <v>0</v>
      </c>
      <c r="BF672">
        <f>Table1334[[#This Row],[DEXc]]+Table1334[[#This Row],[DEXp]]</f>
        <v>0</v>
      </c>
      <c r="BG672">
        <f>IFERROR(Table1334[[#This Row],[DeltaC]]*Table1334[[#This Row],[Open.Int]]*$A$4,0)</f>
        <v>0</v>
      </c>
      <c r="BH672">
        <f>IFERROR(Table1334[[#This Row],[DeltaP]]*Table1334[[#This Row],[Open.Int8]]*$A$4,0)</f>
        <v>0</v>
      </c>
      <c r="BI67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2">
        <f ca="1">Table1334[[#This Row],[charmc]]+Table1334[[#This Row],[charmp]]</f>
        <v>0</v>
      </c>
      <c r="BL67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2" s="78">
        <f ca="1">Table1334[[#This Row],[call helper]]+Table1334[[#This Row],[put helper]]</f>
        <v>0</v>
      </c>
      <c r="BP672" t="str">
        <f>RTD("tos.rtd", , "STRIKE", "."&amp;Table1334[[#This Row],[Ticker]]&amp;Table1334[[#This Row],[Expiry]]&amp;""&amp;"C"&amp;Table1334[[#This Row],[Spot]]+Table1334[[#This Row],[step]])</f>
        <v>N/A</v>
      </c>
    </row>
    <row r="673" spans="1:68" x14ac:dyDescent="0.25">
      <c r="A673" s="14">
        <f t="shared" ca="1" si="64"/>
        <v>-126.14810350076104</v>
      </c>
      <c r="C673" s="17"/>
      <c r="D673" t="str">
        <f>RTD("tos.rtd", , "OPEN_INT", "."&amp;Table1334[[#This Row],[Ticker]]&amp;Table1334[[#This Row],[Expiry]]&amp;""&amp;"C"&amp;Table1334[[#This Row],[Spot]]+Table1334[[#This Row],[step]])</f>
        <v>N/A</v>
      </c>
      <c r="E67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3" t="b">
        <f>IF(     ISNUMBER(Table1334[[#This Row],[Strike]]),RTD("tos.rtd", , "DELTA", "."&amp;Table1334[[#This Row],[Ticker]]&amp;Table1334[[#This Row],[Expiry]]&amp;""&amp;"C"&amp;Table1334[[#This Row],[Strike]]))</f>
        <v>0</v>
      </c>
      <c r="H673" s="17" cm="1">
        <f t="array" aca="1" ref="H673" ca="1">IndividualLegIVCore($A$4, Table1334[[#This Row],[Strike]], 0.0411, Table1334[[#This Row],[T]], ((Table1334[[#This Row],[BIDC]]+Table1334[[#This Row],[ASKC]])/2), TRUE)</f>
        <v>0.01</v>
      </c>
      <c r="I673" t="b">
        <f>IF(     ISNUMBER(Table1334[[#This Row],[Strike]]),RTD("tos.rtd", , "BID", "."&amp;Table1334[[#This Row],[Ticker]]&amp;Table1334[[#This Row],[Expiry]]&amp;""&amp;"C"&amp;Table1334[[#This Row],[Strike]]))</f>
        <v>0</v>
      </c>
      <c r="J673" t="b">
        <f>IF(     ISNUMBER(Table1334[[#This Row],[Strike]]),RTD("tos.rtd", , "ASK", "."&amp;Table1334[[#This Row],[Ticker]]&amp;Table1334[[#This Row],[Expiry]]&amp;""&amp;"C"&amp;Table1334[[#This Row],[Strike]]))</f>
        <v>0</v>
      </c>
      <c r="K673" s="17"/>
      <c r="M673" s="1">
        <f t="shared" si="65"/>
        <v>0</v>
      </c>
      <c r="N673" t="b">
        <f t="shared" si="66"/>
        <v>0</v>
      </c>
      <c r="P673" s="17" cm="1">
        <f t="array" aca="1" ref="P673" ca="1">IndividualLegIVCore($A$4, Table1334[[#This Row],[Strike]], 0.0411, Table1334[[#This Row],[T]], ((Table1334[[#This Row],[BIDP]]+Table1334[[#This Row],[ASKP]])/2), FALSE)</f>
        <v>0.01</v>
      </c>
      <c r="Q673" t="b">
        <f>IF(     ISNUMBER(Table1334[[#This Row],[Strike]]),RTD("tos.rtd", , "BID", "."&amp;Table1334[[#This Row],[Ticker]]&amp;Table1334[[#This Row],[Expiry]]&amp;""&amp;"P"&amp;Table1334[[#This Row],[Strike]]))</f>
        <v>0</v>
      </c>
      <c r="R673" t="b">
        <f>IF(     ISNUMBER(Table1334[[#This Row],[Strike]]),RTD("tos.rtd", , "ASK", "."&amp;Table1334[[#This Row],[Ticker]]&amp;Table1334[[#This Row],[Expiry]]&amp;""&amp;"P"&amp;Table1334[[#This Row],[Strike]]))</f>
        <v>0</v>
      </c>
      <c r="S673" s="17"/>
      <c r="T673" t="b">
        <f>IF(     ISNUMBER(Table1334[[#This Row],[Strike]]),RTD("tos.rtd", , "OPEN_INT", "."&amp;Table1334[[#This Row],[Ticker]]&amp;Table1334[[#This Row],[Expiry]]&amp;""&amp;"P"&amp;Table1334[[#This Row],[Strike]]))</f>
        <v>0</v>
      </c>
      <c r="U67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3" t="b">
        <f>IF(     ISNUMBER(Table1334[[#This Row],[Strike]]),RTD("tos.rtd", , "DELTA", "."&amp;Table1334[[#This Row],[Ticker]]&amp;Table1334[[#This Row],[Expiry]]&amp;""&amp;"P"&amp;Table1334[[#This Row],[Strike]]))</f>
        <v>0</v>
      </c>
      <c r="Y673" s="19">
        <f>-23* IF($M$1="NDX", 10, IF(OR($M$1="SPX", $M$1="RUT"), 2, 1))</f>
        <v>-46</v>
      </c>
      <c r="Z673">
        <f ca="1">IFERROR(Table1334[[#This Row],[call gamma]]*(Table1334[[#This Row],[Open.Int]])*$A$4^2,0)</f>
        <v>0</v>
      </c>
      <c r="AA673">
        <f ca="1">IFERROR(((Table1334[[#This Row],[Open.Int8]])*Table1334[[#This Row],[Put gamma]])*-1*$A$4^2,0)</f>
        <v>0</v>
      </c>
      <c r="AB673">
        <f ca="1">(Table1334[[#This Row],[Call Gex]]+Table1334[[#This Row],[Put Gex]])</f>
        <v>0</v>
      </c>
      <c r="AC673">
        <f ca="1">Table1334[[#This Row],[put delta adj]]+Table1334[[#This Row],[call delta adj]]</f>
        <v>0</v>
      </c>
      <c r="AD673">
        <f ca="1">Table1334[[#This Row],[Put Gex]]*Table1334[[#This Row],[DeltaP]]*-1</f>
        <v>0</v>
      </c>
      <c r="AE673">
        <f ca="1">Table1334[[#This Row],[Call Gex]]*Table1334[[#This Row],[DeltaC]]</f>
        <v>0</v>
      </c>
      <c r="AF673">
        <f>IF(Table1334[[#This Row],[DeltaC]]-ABS(Table1334[[#This Row],[DeltaP]])="0","0.01",Table1334[[#This Row],[DeltaC]]-ABS(Table1334[[#This Row],[DeltaP]]))</f>
        <v>0</v>
      </c>
      <c r="AG67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3" t="e">
        <f ca="1">(EXP(-(AG673^2)/2)/SQRT(2*PI())*EXP(0*SQRT(Table1334[[#This Row],[T]]))/$A$4*18%*SQRT(SQRT(Table1334[[#This Row],[T]])))</f>
        <v>#DIV/0!</v>
      </c>
      <c r="AJ673" t="e">
        <f ca="1">(EXP(-(AH673^2)/2)/SQRT(2*PI())*EXP(0*SQRT(Table1334[[#This Row],[T]]))/$A$4*18%*SQRT(SQRT(Table1334[[#This Row],[T]])))</f>
        <v>#DIV/0!</v>
      </c>
      <c r="AK673" t="e">
        <f ca="1">Table1334[[#This Row],[Call D1]]-Table1334[[#This Row],[IV Calc C]]*SQRT(Table1334[[#This Row],[T]])</f>
        <v>#DIV/0!</v>
      </c>
      <c r="AL673" t="e">
        <f ca="1">Table1334[[#This Row],[Put D1]]-Table1334[[#This Row],[IV Calc P]]*SQRT(Table1334[[#This Row],[T]])</f>
        <v>#DIV/0!</v>
      </c>
      <c r="AM673" t="e">
        <f ca="1">EXP(-0.5*Table1334[[#This Row],[Call D1]]^2)/SQRT(2*PI())</f>
        <v>#DIV/0!</v>
      </c>
      <c r="AN673" t="e">
        <f ca="1">EXP(-0.5*Table1334[[#This Row],[Put D1]]^2)/SQRT(2*PI())</f>
        <v>#DIV/0!</v>
      </c>
      <c r="AO67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3">
        <f ca="1">((Table1334[[#This Row],[call vanna]]+Table1334[[#This Row],[put vanna]])*$A$4)</f>
        <v>0</v>
      </c>
      <c r="AR67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3" s="9" t="str" cm="1">
        <f t="array" ref="AT673">_xlfn.IFS(     $M$1="SPX","SPXW",     $M$1="RUT","RUTW",  $M$1="NDX","NDXP",   TRUE,$M$1 )</f>
        <v>SPXW</v>
      </c>
      <c r="AU673" s="2">
        <f t="shared" si="67"/>
        <v>6915</v>
      </c>
      <c r="AV673" t="str">
        <f t="shared" si="68"/>
        <v>000100</v>
      </c>
      <c r="AY67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3">
        <f>((Table1334[[#This Row],[High C]]+Table1334[[#This Row],[Low C]])/2)*Table1334[[#This Row],[gammac]]*Table1334[[#This Row],[Volume]]</f>
        <v>0</v>
      </c>
      <c r="BD673">
        <f>((Table1334[[#This Row],[High P]]+Table1334[[#This Row],[Low P]])/2)*Table1334[[#This Row],[gammap]]*Table1334[[#This Row],[Volume9]]*-1</f>
        <v>0</v>
      </c>
      <c r="BE673">
        <f>(Table1334[[#This Row],[SgammaC]]+Table1334[[#This Row],[SgammaP]])*$A$4*-100</f>
        <v>0</v>
      </c>
      <c r="BF673">
        <f>Table1334[[#This Row],[DEXc]]+Table1334[[#This Row],[DEXp]]</f>
        <v>0</v>
      </c>
      <c r="BG673">
        <f>IFERROR(Table1334[[#This Row],[DeltaC]]*Table1334[[#This Row],[Open.Int]]*$A$4,0)</f>
        <v>0</v>
      </c>
      <c r="BH673">
        <f>IFERROR(Table1334[[#This Row],[DeltaP]]*Table1334[[#This Row],[Open.Int8]]*$A$4,0)</f>
        <v>0</v>
      </c>
      <c r="BI67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3">
        <f ca="1">Table1334[[#This Row],[charmc]]+Table1334[[#This Row],[charmp]]</f>
        <v>0</v>
      </c>
      <c r="BL67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3" s="78">
        <f ca="1">Table1334[[#This Row],[call helper]]+Table1334[[#This Row],[put helper]]</f>
        <v>0</v>
      </c>
      <c r="BP673" t="str">
        <f>RTD("tos.rtd", , "STRIKE", "."&amp;Table1334[[#This Row],[Ticker]]&amp;Table1334[[#This Row],[Expiry]]&amp;""&amp;"C"&amp;Table1334[[#This Row],[Spot]]+Table1334[[#This Row],[step]])</f>
        <v>N/A</v>
      </c>
    </row>
    <row r="674" spans="1:68" x14ac:dyDescent="0.25">
      <c r="A674" s="14">
        <f t="shared" ca="1" si="64"/>
        <v>-126.14810350076104</v>
      </c>
      <c r="C674" s="17"/>
      <c r="D674" t="str">
        <f>RTD("tos.rtd", , "OPEN_INT", "."&amp;Table1334[[#This Row],[Ticker]]&amp;Table1334[[#This Row],[Expiry]]&amp;""&amp;"C"&amp;Table1334[[#This Row],[Spot]]+Table1334[[#This Row],[step]])</f>
        <v>N/A</v>
      </c>
      <c r="E67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4" t="b">
        <f>IF(     ISNUMBER(Table1334[[#This Row],[Strike]]),RTD("tos.rtd", , "DELTA", "."&amp;Table1334[[#This Row],[Ticker]]&amp;Table1334[[#This Row],[Expiry]]&amp;""&amp;"C"&amp;Table1334[[#This Row],[Strike]]))</f>
        <v>0</v>
      </c>
      <c r="H674" s="17" cm="1">
        <f t="array" aca="1" ref="H674" ca="1">IndividualLegIVCore($A$4, Table1334[[#This Row],[Strike]], 0.0411, Table1334[[#This Row],[T]], ((Table1334[[#This Row],[BIDC]]+Table1334[[#This Row],[ASKC]])/2), TRUE)</f>
        <v>0.01</v>
      </c>
      <c r="I674" t="b">
        <f>IF(     ISNUMBER(Table1334[[#This Row],[Strike]]),RTD("tos.rtd", , "BID", "."&amp;Table1334[[#This Row],[Ticker]]&amp;Table1334[[#This Row],[Expiry]]&amp;""&amp;"C"&amp;Table1334[[#This Row],[Strike]]))</f>
        <v>0</v>
      </c>
      <c r="J674" t="b">
        <f>IF(     ISNUMBER(Table1334[[#This Row],[Strike]]),RTD("tos.rtd", , "ASK", "."&amp;Table1334[[#This Row],[Ticker]]&amp;Table1334[[#This Row],[Expiry]]&amp;""&amp;"C"&amp;Table1334[[#This Row],[Strike]]))</f>
        <v>0</v>
      </c>
      <c r="K674" s="17"/>
      <c r="M674" s="1">
        <f t="shared" si="65"/>
        <v>0</v>
      </c>
      <c r="N674" t="b">
        <f t="shared" si="66"/>
        <v>0</v>
      </c>
      <c r="P674" s="17" cm="1">
        <f t="array" aca="1" ref="P674" ca="1">IndividualLegIVCore($A$4, Table1334[[#This Row],[Strike]], 0.0411, Table1334[[#This Row],[T]], ((Table1334[[#This Row],[BIDP]]+Table1334[[#This Row],[ASKP]])/2), FALSE)</f>
        <v>0.01</v>
      </c>
      <c r="Q674" t="b">
        <f>IF(     ISNUMBER(Table1334[[#This Row],[Strike]]),RTD("tos.rtd", , "BID", "."&amp;Table1334[[#This Row],[Ticker]]&amp;Table1334[[#This Row],[Expiry]]&amp;""&amp;"P"&amp;Table1334[[#This Row],[Strike]]))</f>
        <v>0</v>
      </c>
      <c r="R674" t="b">
        <f>IF(     ISNUMBER(Table1334[[#This Row],[Strike]]),RTD("tos.rtd", , "ASK", "."&amp;Table1334[[#This Row],[Ticker]]&amp;Table1334[[#This Row],[Expiry]]&amp;""&amp;"P"&amp;Table1334[[#This Row],[Strike]]))</f>
        <v>0</v>
      </c>
      <c r="S674" s="17"/>
      <c r="T674" t="b">
        <f>IF(     ISNUMBER(Table1334[[#This Row],[Strike]]),RTD("tos.rtd", , "OPEN_INT", "."&amp;Table1334[[#This Row],[Ticker]]&amp;Table1334[[#This Row],[Expiry]]&amp;""&amp;"P"&amp;Table1334[[#This Row],[Strike]]))</f>
        <v>0</v>
      </c>
      <c r="U67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4" t="b">
        <f>IF(     ISNUMBER(Table1334[[#This Row],[Strike]]),RTD("tos.rtd", , "DELTA", "."&amp;Table1334[[#This Row],[Ticker]]&amp;Table1334[[#This Row],[Expiry]]&amp;""&amp;"P"&amp;Table1334[[#This Row],[Strike]]))</f>
        <v>0</v>
      </c>
      <c r="Y674" s="19">
        <f>-22.5* IF($M$1="NDX", 10, IF(OR($M$1="SPX", $M$1="RUT"), 2, 1))</f>
        <v>-45</v>
      </c>
      <c r="Z674">
        <f ca="1">IFERROR(Table1334[[#This Row],[call gamma]]*(Table1334[[#This Row],[Open.Int]])*$A$4^2,0)</f>
        <v>0</v>
      </c>
      <c r="AA674">
        <f ca="1">IFERROR(((Table1334[[#This Row],[Open.Int8]])*Table1334[[#This Row],[Put gamma]])*-1*$A$4^2,0)</f>
        <v>0</v>
      </c>
      <c r="AB674">
        <f ca="1">(Table1334[[#This Row],[Call Gex]]+Table1334[[#This Row],[Put Gex]])</f>
        <v>0</v>
      </c>
      <c r="AC674">
        <f ca="1">Table1334[[#This Row],[put delta adj]]+Table1334[[#This Row],[call delta adj]]</f>
        <v>0</v>
      </c>
      <c r="AD674">
        <f ca="1">Table1334[[#This Row],[Put Gex]]*Table1334[[#This Row],[DeltaP]]*-1</f>
        <v>0</v>
      </c>
      <c r="AE674">
        <f ca="1">Table1334[[#This Row],[Call Gex]]*Table1334[[#This Row],[DeltaC]]</f>
        <v>0</v>
      </c>
      <c r="AF674">
        <f>IF(Table1334[[#This Row],[DeltaC]]-ABS(Table1334[[#This Row],[DeltaP]])="0","0.01",Table1334[[#This Row],[DeltaC]]-ABS(Table1334[[#This Row],[DeltaP]]))</f>
        <v>0</v>
      </c>
      <c r="AG67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4" t="e">
        <f ca="1">(EXP(-(AG674^2)/2)/SQRT(2*PI())*EXP(0*SQRT(Table1334[[#This Row],[T]]))/$A$4*18%*SQRT(SQRT(Table1334[[#This Row],[T]])))</f>
        <v>#DIV/0!</v>
      </c>
      <c r="AJ674" t="e">
        <f ca="1">(EXP(-(AH674^2)/2)/SQRT(2*PI())*EXP(0*SQRT(Table1334[[#This Row],[T]]))/$A$4*18%*SQRT(SQRT(Table1334[[#This Row],[T]])))</f>
        <v>#DIV/0!</v>
      </c>
      <c r="AK674" t="e">
        <f ca="1">Table1334[[#This Row],[Call D1]]-Table1334[[#This Row],[IV Calc C]]*SQRT(Table1334[[#This Row],[T]])</f>
        <v>#DIV/0!</v>
      </c>
      <c r="AL674" t="e">
        <f ca="1">Table1334[[#This Row],[Put D1]]-Table1334[[#This Row],[IV Calc P]]*SQRT(Table1334[[#This Row],[T]])</f>
        <v>#DIV/0!</v>
      </c>
      <c r="AM674" t="e">
        <f ca="1">EXP(-0.5*Table1334[[#This Row],[Call D1]]^2)/SQRT(2*PI())</f>
        <v>#DIV/0!</v>
      </c>
      <c r="AN674" t="e">
        <f ca="1">EXP(-0.5*Table1334[[#This Row],[Put D1]]^2)/SQRT(2*PI())</f>
        <v>#DIV/0!</v>
      </c>
      <c r="AO67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4">
        <f ca="1">((Table1334[[#This Row],[call vanna]]+Table1334[[#This Row],[put vanna]])*$A$4)</f>
        <v>0</v>
      </c>
      <c r="AR67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4" s="9" t="str" cm="1">
        <f t="array" ref="AT674">_xlfn.IFS(     $M$1="SPX","SPXW",     $M$1="RUT","RUTW",  $M$1="NDX","NDXP",   TRUE,$M$1 )</f>
        <v>SPXW</v>
      </c>
      <c r="AU674" s="2">
        <f t="shared" si="67"/>
        <v>6915</v>
      </c>
      <c r="AV674" t="str">
        <f t="shared" si="68"/>
        <v>000100</v>
      </c>
      <c r="AY67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4">
        <f>((Table1334[[#This Row],[High C]]+Table1334[[#This Row],[Low C]])/2)*Table1334[[#This Row],[gammac]]*Table1334[[#This Row],[Volume]]</f>
        <v>0</v>
      </c>
      <c r="BD674">
        <f>((Table1334[[#This Row],[High P]]+Table1334[[#This Row],[Low P]])/2)*Table1334[[#This Row],[gammap]]*Table1334[[#This Row],[Volume9]]*-1</f>
        <v>0</v>
      </c>
      <c r="BE674">
        <f>(Table1334[[#This Row],[SgammaC]]+Table1334[[#This Row],[SgammaP]])*$A$4*-100</f>
        <v>0</v>
      </c>
      <c r="BF674">
        <f>Table1334[[#This Row],[DEXc]]+Table1334[[#This Row],[DEXp]]</f>
        <v>0</v>
      </c>
      <c r="BG674">
        <f>IFERROR(Table1334[[#This Row],[DeltaC]]*Table1334[[#This Row],[Open.Int]]*$A$4,0)</f>
        <v>0</v>
      </c>
      <c r="BH674">
        <f>IFERROR(Table1334[[#This Row],[DeltaP]]*Table1334[[#This Row],[Open.Int8]]*$A$4,0)</f>
        <v>0</v>
      </c>
      <c r="BI67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4">
        <f ca="1">Table1334[[#This Row],[charmc]]+Table1334[[#This Row],[charmp]]</f>
        <v>0</v>
      </c>
      <c r="BL67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4" s="78">
        <f ca="1">Table1334[[#This Row],[call helper]]+Table1334[[#This Row],[put helper]]</f>
        <v>0</v>
      </c>
      <c r="BP674" t="str">
        <f>RTD("tos.rtd", , "STRIKE", "."&amp;Table1334[[#This Row],[Ticker]]&amp;Table1334[[#This Row],[Expiry]]&amp;""&amp;"C"&amp;Table1334[[#This Row],[Spot]]+Table1334[[#This Row],[step]])</f>
        <v>N/A</v>
      </c>
    </row>
    <row r="675" spans="1:68" x14ac:dyDescent="0.25">
      <c r="A675" s="14">
        <f t="shared" ca="1" si="64"/>
        <v>-126.14810350076104</v>
      </c>
      <c r="C675" s="17"/>
      <c r="D675" t="str">
        <f>RTD("tos.rtd", , "OPEN_INT", "."&amp;Table1334[[#This Row],[Ticker]]&amp;Table1334[[#This Row],[Expiry]]&amp;""&amp;"C"&amp;Table1334[[#This Row],[Spot]]+Table1334[[#This Row],[step]])</f>
        <v>N/A</v>
      </c>
      <c r="E67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5" t="b">
        <f>IF(     ISNUMBER(Table1334[[#This Row],[Strike]]),RTD("tos.rtd", , "DELTA", "."&amp;Table1334[[#This Row],[Ticker]]&amp;Table1334[[#This Row],[Expiry]]&amp;""&amp;"C"&amp;Table1334[[#This Row],[Strike]]))</f>
        <v>0</v>
      </c>
      <c r="H675" s="17" cm="1">
        <f t="array" aca="1" ref="H675" ca="1">IndividualLegIVCore($A$4, Table1334[[#This Row],[Strike]], 0.0411, Table1334[[#This Row],[T]], ((Table1334[[#This Row],[BIDC]]+Table1334[[#This Row],[ASKC]])/2), TRUE)</f>
        <v>0.01</v>
      </c>
      <c r="I675" t="b">
        <f>IF(     ISNUMBER(Table1334[[#This Row],[Strike]]),RTD("tos.rtd", , "BID", "."&amp;Table1334[[#This Row],[Ticker]]&amp;Table1334[[#This Row],[Expiry]]&amp;""&amp;"C"&amp;Table1334[[#This Row],[Strike]]))</f>
        <v>0</v>
      </c>
      <c r="J675" t="b">
        <f>IF(     ISNUMBER(Table1334[[#This Row],[Strike]]),RTD("tos.rtd", , "ASK", "."&amp;Table1334[[#This Row],[Ticker]]&amp;Table1334[[#This Row],[Expiry]]&amp;""&amp;"C"&amp;Table1334[[#This Row],[Strike]]))</f>
        <v>0</v>
      </c>
      <c r="K675" s="17"/>
      <c r="M675" s="1">
        <f t="shared" si="65"/>
        <v>0</v>
      </c>
      <c r="N675" t="b">
        <f t="shared" si="66"/>
        <v>0</v>
      </c>
      <c r="P675" s="17" cm="1">
        <f t="array" aca="1" ref="P675" ca="1">IndividualLegIVCore($A$4, Table1334[[#This Row],[Strike]], 0.0411, Table1334[[#This Row],[T]], ((Table1334[[#This Row],[BIDP]]+Table1334[[#This Row],[ASKP]])/2), FALSE)</f>
        <v>0.01</v>
      </c>
      <c r="Q675" t="b">
        <f>IF(     ISNUMBER(Table1334[[#This Row],[Strike]]),RTD("tos.rtd", , "BID", "."&amp;Table1334[[#This Row],[Ticker]]&amp;Table1334[[#This Row],[Expiry]]&amp;""&amp;"P"&amp;Table1334[[#This Row],[Strike]]))</f>
        <v>0</v>
      </c>
      <c r="R675" t="b">
        <f>IF(     ISNUMBER(Table1334[[#This Row],[Strike]]),RTD("tos.rtd", , "ASK", "."&amp;Table1334[[#This Row],[Ticker]]&amp;Table1334[[#This Row],[Expiry]]&amp;""&amp;"P"&amp;Table1334[[#This Row],[Strike]]))</f>
        <v>0</v>
      </c>
      <c r="S675" s="17"/>
      <c r="T675" t="b">
        <f>IF(     ISNUMBER(Table1334[[#This Row],[Strike]]),RTD("tos.rtd", , "OPEN_INT", "."&amp;Table1334[[#This Row],[Ticker]]&amp;Table1334[[#This Row],[Expiry]]&amp;""&amp;"P"&amp;Table1334[[#This Row],[Strike]]))</f>
        <v>0</v>
      </c>
      <c r="U67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5" t="b">
        <f>IF(     ISNUMBER(Table1334[[#This Row],[Strike]]),RTD("tos.rtd", , "DELTA", "."&amp;Table1334[[#This Row],[Ticker]]&amp;Table1334[[#This Row],[Expiry]]&amp;""&amp;"P"&amp;Table1334[[#This Row],[Strike]]))</f>
        <v>0</v>
      </c>
      <c r="Y675" s="19">
        <f>-22* IF($M$1="NDX", 10, IF(OR($M$1="SPX", $M$1="RUT"), 2, 1))</f>
        <v>-44</v>
      </c>
      <c r="Z675">
        <f ca="1">IFERROR(Table1334[[#This Row],[call gamma]]*(Table1334[[#This Row],[Open.Int]])*$A$4^2,0)</f>
        <v>0</v>
      </c>
      <c r="AA675">
        <f ca="1">IFERROR(((Table1334[[#This Row],[Open.Int8]])*Table1334[[#This Row],[Put gamma]])*-1*$A$4^2,0)</f>
        <v>0</v>
      </c>
      <c r="AB675">
        <f ca="1">(Table1334[[#This Row],[Call Gex]]+Table1334[[#This Row],[Put Gex]])</f>
        <v>0</v>
      </c>
      <c r="AC675">
        <f ca="1">Table1334[[#This Row],[put delta adj]]+Table1334[[#This Row],[call delta adj]]</f>
        <v>0</v>
      </c>
      <c r="AD675">
        <f ca="1">Table1334[[#This Row],[Put Gex]]*Table1334[[#This Row],[DeltaP]]*-1</f>
        <v>0</v>
      </c>
      <c r="AE675">
        <f ca="1">Table1334[[#This Row],[Call Gex]]*Table1334[[#This Row],[DeltaC]]</f>
        <v>0</v>
      </c>
      <c r="AF675">
        <f>IF(Table1334[[#This Row],[DeltaC]]-ABS(Table1334[[#This Row],[DeltaP]])="0","0.01",Table1334[[#This Row],[DeltaC]]-ABS(Table1334[[#This Row],[DeltaP]]))</f>
        <v>0</v>
      </c>
      <c r="AG67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5" t="e">
        <f ca="1">(EXP(-(AG675^2)/2)/SQRT(2*PI())*EXP(0*SQRT(Table1334[[#This Row],[T]]))/$A$4*18%*SQRT(SQRT(Table1334[[#This Row],[T]])))</f>
        <v>#DIV/0!</v>
      </c>
      <c r="AJ675" t="e">
        <f ca="1">(EXP(-(AH675^2)/2)/SQRT(2*PI())*EXP(0*SQRT(Table1334[[#This Row],[T]]))/$A$4*18%*SQRT(SQRT(Table1334[[#This Row],[T]])))</f>
        <v>#DIV/0!</v>
      </c>
      <c r="AK675" t="e">
        <f ca="1">Table1334[[#This Row],[Call D1]]-Table1334[[#This Row],[IV Calc C]]*SQRT(Table1334[[#This Row],[T]])</f>
        <v>#DIV/0!</v>
      </c>
      <c r="AL675" t="e">
        <f ca="1">Table1334[[#This Row],[Put D1]]-Table1334[[#This Row],[IV Calc P]]*SQRT(Table1334[[#This Row],[T]])</f>
        <v>#DIV/0!</v>
      </c>
      <c r="AM675" t="e">
        <f ca="1">EXP(-0.5*Table1334[[#This Row],[Call D1]]^2)/SQRT(2*PI())</f>
        <v>#DIV/0!</v>
      </c>
      <c r="AN675" t="e">
        <f ca="1">EXP(-0.5*Table1334[[#This Row],[Put D1]]^2)/SQRT(2*PI())</f>
        <v>#DIV/0!</v>
      </c>
      <c r="AO67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5">
        <f ca="1">((Table1334[[#This Row],[call vanna]]+Table1334[[#This Row],[put vanna]])*$A$4)</f>
        <v>0</v>
      </c>
      <c r="AR67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5" s="9" t="str" cm="1">
        <f t="array" ref="AT675">_xlfn.IFS(     $M$1="SPX","SPXW",     $M$1="RUT","RUTW",  $M$1="NDX","NDXP",   TRUE,$M$1 )</f>
        <v>SPXW</v>
      </c>
      <c r="AU675" s="2">
        <f t="shared" si="67"/>
        <v>6915</v>
      </c>
      <c r="AV675" t="str">
        <f t="shared" si="68"/>
        <v>000100</v>
      </c>
      <c r="AY67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5">
        <f>((Table1334[[#This Row],[High C]]+Table1334[[#This Row],[Low C]])/2)*Table1334[[#This Row],[gammac]]*Table1334[[#This Row],[Volume]]</f>
        <v>0</v>
      </c>
      <c r="BD675">
        <f>((Table1334[[#This Row],[High P]]+Table1334[[#This Row],[Low P]])/2)*Table1334[[#This Row],[gammap]]*Table1334[[#This Row],[Volume9]]*-1</f>
        <v>0</v>
      </c>
      <c r="BE675">
        <f>(Table1334[[#This Row],[SgammaC]]+Table1334[[#This Row],[SgammaP]])*$A$4*-100</f>
        <v>0</v>
      </c>
      <c r="BF675">
        <f>Table1334[[#This Row],[DEXc]]+Table1334[[#This Row],[DEXp]]</f>
        <v>0</v>
      </c>
      <c r="BG675">
        <f>IFERROR(Table1334[[#This Row],[DeltaC]]*Table1334[[#This Row],[Open.Int]]*$A$4,0)</f>
        <v>0</v>
      </c>
      <c r="BH675">
        <f>IFERROR(Table1334[[#This Row],[DeltaP]]*Table1334[[#This Row],[Open.Int8]]*$A$4,0)</f>
        <v>0</v>
      </c>
      <c r="BI67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5">
        <f ca="1">Table1334[[#This Row],[charmc]]+Table1334[[#This Row],[charmp]]</f>
        <v>0</v>
      </c>
      <c r="BL67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5" s="78">
        <f ca="1">Table1334[[#This Row],[call helper]]+Table1334[[#This Row],[put helper]]</f>
        <v>0</v>
      </c>
      <c r="BP675" t="str">
        <f>RTD("tos.rtd", , "STRIKE", "."&amp;Table1334[[#This Row],[Ticker]]&amp;Table1334[[#This Row],[Expiry]]&amp;""&amp;"C"&amp;Table1334[[#This Row],[Spot]]+Table1334[[#This Row],[step]])</f>
        <v>N/A</v>
      </c>
    </row>
    <row r="676" spans="1:68" x14ac:dyDescent="0.25">
      <c r="A676" s="14">
        <f t="shared" ca="1" si="64"/>
        <v>-126.14810350076104</v>
      </c>
      <c r="C676" s="17"/>
      <c r="D676" t="str">
        <f>RTD("tos.rtd", , "OPEN_INT", "."&amp;Table1334[[#This Row],[Ticker]]&amp;Table1334[[#This Row],[Expiry]]&amp;""&amp;"C"&amp;Table1334[[#This Row],[Spot]]+Table1334[[#This Row],[step]])</f>
        <v>N/A</v>
      </c>
      <c r="E67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6" t="b">
        <f>IF(     ISNUMBER(Table1334[[#This Row],[Strike]]),RTD("tos.rtd", , "DELTA", "."&amp;Table1334[[#This Row],[Ticker]]&amp;Table1334[[#This Row],[Expiry]]&amp;""&amp;"C"&amp;Table1334[[#This Row],[Strike]]))</f>
        <v>0</v>
      </c>
      <c r="H676" s="17" cm="1">
        <f t="array" aca="1" ref="H676" ca="1">IndividualLegIVCore($A$4, Table1334[[#This Row],[Strike]], 0.0411, Table1334[[#This Row],[T]], ((Table1334[[#This Row],[BIDC]]+Table1334[[#This Row],[ASKC]])/2), TRUE)</f>
        <v>0.01</v>
      </c>
      <c r="I676" t="b">
        <f>IF(     ISNUMBER(Table1334[[#This Row],[Strike]]),RTD("tos.rtd", , "BID", "."&amp;Table1334[[#This Row],[Ticker]]&amp;Table1334[[#This Row],[Expiry]]&amp;""&amp;"C"&amp;Table1334[[#This Row],[Strike]]))</f>
        <v>0</v>
      </c>
      <c r="J676" t="b">
        <f>IF(     ISNUMBER(Table1334[[#This Row],[Strike]]),RTD("tos.rtd", , "ASK", "."&amp;Table1334[[#This Row],[Ticker]]&amp;Table1334[[#This Row],[Expiry]]&amp;""&amp;"C"&amp;Table1334[[#This Row],[Strike]]))</f>
        <v>0</v>
      </c>
      <c r="K676" s="17"/>
      <c r="M676" s="1">
        <f t="shared" si="65"/>
        <v>0</v>
      </c>
      <c r="N676" t="b">
        <f t="shared" si="66"/>
        <v>0</v>
      </c>
      <c r="P676" s="17" cm="1">
        <f t="array" aca="1" ref="P676" ca="1">IndividualLegIVCore($A$4, Table1334[[#This Row],[Strike]], 0.0411, Table1334[[#This Row],[T]], ((Table1334[[#This Row],[BIDP]]+Table1334[[#This Row],[ASKP]])/2), FALSE)</f>
        <v>0.01</v>
      </c>
      <c r="Q676" t="b">
        <f>IF(     ISNUMBER(Table1334[[#This Row],[Strike]]),RTD("tos.rtd", , "BID", "."&amp;Table1334[[#This Row],[Ticker]]&amp;Table1334[[#This Row],[Expiry]]&amp;""&amp;"P"&amp;Table1334[[#This Row],[Strike]]))</f>
        <v>0</v>
      </c>
      <c r="R676" t="b">
        <f>IF(     ISNUMBER(Table1334[[#This Row],[Strike]]),RTD("tos.rtd", , "ASK", "."&amp;Table1334[[#This Row],[Ticker]]&amp;Table1334[[#This Row],[Expiry]]&amp;""&amp;"P"&amp;Table1334[[#This Row],[Strike]]))</f>
        <v>0</v>
      </c>
      <c r="S676" s="17"/>
      <c r="T676" t="b">
        <f>IF(     ISNUMBER(Table1334[[#This Row],[Strike]]),RTD("tos.rtd", , "OPEN_INT", "."&amp;Table1334[[#This Row],[Ticker]]&amp;Table1334[[#This Row],[Expiry]]&amp;""&amp;"P"&amp;Table1334[[#This Row],[Strike]]))</f>
        <v>0</v>
      </c>
      <c r="U67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6" t="b">
        <f>IF(     ISNUMBER(Table1334[[#This Row],[Strike]]),RTD("tos.rtd", , "DELTA", "."&amp;Table1334[[#This Row],[Ticker]]&amp;Table1334[[#This Row],[Expiry]]&amp;""&amp;"P"&amp;Table1334[[#This Row],[Strike]]))</f>
        <v>0</v>
      </c>
      <c r="Y676" s="19">
        <f>-21.5* IF($M$1="NDX", 10, IF(OR($M$1="SPX", $M$1="RUT"), 2, 1))</f>
        <v>-43</v>
      </c>
      <c r="Z676">
        <f ca="1">IFERROR(Table1334[[#This Row],[call gamma]]*(Table1334[[#This Row],[Open.Int]])*$A$4^2,0)</f>
        <v>0</v>
      </c>
      <c r="AA676">
        <f ca="1">IFERROR(((Table1334[[#This Row],[Open.Int8]])*Table1334[[#This Row],[Put gamma]])*-1*$A$4^2,0)</f>
        <v>0</v>
      </c>
      <c r="AB676">
        <f ca="1">(Table1334[[#This Row],[Call Gex]]+Table1334[[#This Row],[Put Gex]])</f>
        <v>0</v>
      </c>
      <c r="AC676">
        <f ca="1">Table1334[[#This Row],[put delta adj]]+Table1334[[#This Row],[call delta adj]]</f>
        <v>0</v>
      </c>
      <c r="AD676">
        <f ca="1">Table1334[[#This Row],[Put Gex]]*Table1334[[#This Row],[DeltaP]]*-1</f>
        <v>0</v>
      </c>
      <c r="AE676">
        <f ca="1">Table1334[[#This Row],[Call Gex]]*Table1334[[#This Row],[DeltaC]]</f>
        <v>0</v>
      </c>
      <c r="AF676">
        <f>IF(Table1334[[#This Row],[DeltaC]]-ABS(Table1334[[#This Row],[DeltaP]])="0","0.01",Table1334[[#This Row],[DeltaC]]-ABS(Table1334[[#This Row],[DeltaP]]))</f>
        <v>0</v>
      </c>
      <c r="AG67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6" t="e">
        <f ca="1">(EXP(-(AG676^2)/2)/SQRT(2*PI())*EXP(0*SQRT(Table1334[[#This Row],[T]]))/$A$4*18%*SQRT(SQRT(Table1334[[#This Row],[T]])))</f>
        <v>#DIV/0!</v>
      </c>
      <c r="AJ676" t="e">
        <f ca="1">(EXP(-(AH676^2)/2)/SQRT(2*PI())*EXP(0*SQRT(Table1334[[#This Row],[T]]))/$A$4*18%*SQRT(SQRT(Table1334[[#This Row],[T]])))</f>
        <v>#DIV/0!</v>
      </c>
      <c r="AK676" t="e">
        <f ca="1">Table1334[[#This Row],[Call D1]]-Table1334[[#This Row],[IV Calc C]]*SQRT(Table1334[[#This Row],[T]])</f>
        <v>#DIV/0!</v>
      </c>
      <c r="AL676" t="e">
        <f ca="1">Table1334[[#This Row],[Put D1]]-Table1334[[#This Row],[IV Calc P]]*SQRT(Table1334[[#This Row],[T]])</f>
        <v>#DIV/0!</v>
      </c>
      <c r="AM676" t="e">
        <f ca="1">EXP(-0.5*Table1334[[#This Row],[Call D1]]^2)/SQRT(2*PI())</f>
        <v>#DIV/0!</v>
      </c>
      <c r="AN676" t="e">
        <f ca="1">EXP(-0.5*Table1334[[#This Row],[Put D1]]^2)/SQRT(2*PI())</f>
        <v>#DIV/0!</v>
      </c>
      <c r="AO67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6">
        <f ca="1">((Table1334[[#This Row],[call vanna]]+Table1334[[#This Row],[put vanna]])*$A$4)</f>
        <v>0</v>
      </c>
      <c r="AR67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6" s="9" t="str" cm="1">
        <f t="array" ref="AT676">_xlfn.IFS(     $M$1="SPX","SPXW",     $M$1="RUT","RUTW",  $M$1="NDX","NDXP",   TRUE,$M$1 )</f>
        <v>SPXW</v>
      </c>
      <c r="AU676" s="2">
        <f t="shared" si="67"/>
        <v>6915</v>
      </c>
      <c r="AV676" t="str">
        <f t="shared" si="68"/>
        <v>000100</v>
      </c>
      <c r="AY67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6">
        <f>((Table1334[[#This Row],[High C]]+Table1334[[#This Row],[Low C]])/2)*Table1334[[#This Row],[gammac]]*Table1334[[#This Row],[Volume]]</f>
        <v>0</v>
      </c>
      <c r="BD676">
        <f>((Table1334[[#This Row],[High P]]+Table1334[[#This Row],[Low P]])/2)*Table1334[[#This Row],[gammap]]*Table1334[[#This Row],[Volume9]]*-1</f>
        <v>0</v>
      </c>
      <c r="BE676">
        <f>(Table1334[[#This Row],[SgammaC]]+Table1334[[#This Row],[SgammaP]])*$A$4*-100</f>
        <v>0</v>
      </c>
      <c r="BF676">
        <f>Table1334[[#This Row],[DEXc]]+Table1334[[#This Row],[DEXp]]</f>
        <v>0</v>
      </c>
      <c r="BG676">
        <f>IFERROR(Table1334[[#This Row],[DeltaC]]*Table1334[[#This Row],[Open.Int]]*$A$4,0)</f>
        <v>0</v>
      </c>
      <c r="BH676">
        <f>IFERROR(Table1334[[#This Row],[DeltaP]]*Table1334[[#This Row],[Open.Int8]]*$A$4,0)</f>
        <v>0</v>
      </c>
      <c r="BI67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6">
        <f ca="1">Table1334[[#This Row],[charmc]]+Table1334[[#This Row],[charmp]]</f>
        <v>0</v>
      </c>
      <c r="BL67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6" s="78">
        <f ca="1">Table1334[[#This Row],[call helper]]+Table1334[[#This Row],[put helper]]</f>
        <v>0</v>
      </c>
      <c r="BP676" t="str">
        <f>RTD("tos.rtd", , "STRIKE", "."&amp;Table1334[[#This Row],[Ticker]]&amp;Table1334[[#This Row],[Expiry]]&amp;""&amp;"C"&amp;Table1334[[#This Row],[Spot]]+Table1334[[#This Row],[step]])</f>
        <v>N/A</v>
      </c>
    </row>
    <row r="677" spans="1:68" x14ac:dyDescent="0.25">
      <c r="A677" s="14">
        <f t="shared" ca="1" si="64"/>
        <v>-126.14810350076104</v>
      </c>
      <c r="C677" s="17"/>
      <c r="D677" t="str">
        <f>RTD("tos.rtd", , "OPEN_INT", "."&amp;Table1334[[#This Row],[Ticker]]&amp;Table1334[[#This Row],[Expiry]]&amp;""&amp;"C"&amp;Table1334[[#This Row],[Spot]]+Table1334[[#This Row],[step]])</f>
        <v>N/A</v>
      </c>
      <c r="E67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7" t="b">
        <f>IF(     ISNUMBER(Table1334[[#This Row],[Strike]]),RTD("tos.rtd", , "DELTA", "."&amp;Table1334[[#This Row],[Ticker]]&amp;Table1334[[#This Row],[Expiry]]&amp;""&amp;"C"&amp;Table1334[[#This Row],[Strike]]))</f>
        <v>0</v>
      </c>
      <c r="H677" s="17" cm="1">
        <f t="array" aca="1" ref="H677" ca="1">IndividualLegIVCore($A$4, Table1334[[#This Row],[Strike]], 0.0411, Table1334[[#This Row],[T]], ((Table1334[[#This Row],[BIDC]]+Table1334[[#This Row],[ASKC]])/2), TRUE)</f>
        <v>0.01</v>
      </c>
      <c r="I677" t="b">
        <f>IF(     ISNUMBER(Table1334[[#This Row],[Strike]]),RTD("tos.rtd", , "BID", "."&amp;Table1334[[#This Row],[Ticker]]&amp;Table1334[[#This Row],[Expiry]]&amp;""&amp;"C"&amp;Table1334[[#This Row],[Strike]]))</f>
        <v>0</v>
      </c>
      <c r="J677" t="b">
        <f>IF(     ISNUMBER(Table1334[[#This Row],[Strike]]),RTD("tos.rtd", , "ASK", "."&amp;Table1334[[#This Row],[Ticker]]&amp;Table1334[[#This Row],[Expiry]]&amp;""&amp;"C"&amp;Table1334[[#This Row],[Strike]]))</f>
        <v>0</v>
      </c>
      <c r="K677" s="17"/>
      <c r="M677" s="1">
        <f t="shared" si="65"/>
        <v>0</v>
      </c>
      <c r="N677" t="b">
        <f t="shared" si="66"/>
        <v>0</v>
      </c>
      <c r="P677" s="17" cm="1">
        <f t="array" aca="1" ref="P677" ca="1">IndividualLegIVCore($A$4, Table1334[[#This Row],[Strike]], 0.0411, Table1334[[#This Row],[T]], ((Table1334[[#This Row],[BIDP]]+Table1334[[#This Row],[ASKP]])/2), FALSE)</f>
        <v>0.01</v>
      </c>
      <c r="Q677" t="b">
        <f>IF(     ISNUMBER(Table1334[[#This Row],[Strike]]),RTD("tos.rtd", , "BID", "."&amp;Table1334[[#This Row],[Ticker]]&amp;Table1334[[#This Row],[Expiry]]&amp;""&amp;"P"&amp;Table1334[[#This Row],[Strike]]))</f>
        <v>0</v>
      </c>
      <c r="R677" t="b">
        <f>IF(     ISNUMBER(Table1334[[#This Row],[Strike]]),RTD("tos.rtd", , "ASK", "."&amp;Table1334[[#This Row],[Ticker]]&amp;Table1334[[#This Row],[Expiry]]&amp;""&amp;"P"&amp;Table1334[[#This Row],[Strike]]))</f>
        <v>0</v>
      </c>
      <c r="S677" s="17"/>
      <c r="T677" t="b">
        <f>IF(     ISNUMBER(Table1334[[#This Row],[Strike]]),RTD("tos.rtd", , "OPEN_INT", "."&amp;Table1334[[#This Row],[Ticker]]&amp;Table1334[[#This Row],[Expiry]]&amp;""&amp;"P"&amp;Table1334[[#This Row],[Strike]]))</f>
        <v>0</v>
      </c>
      <c r="U67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7" t="b">
        <f>IF(     ISNUMBER(Table1334[[#This Row],[Strike]]),RTD("tos.rtd", , "DELTA", "."&amp;Table1334[[#This Row],[Ticker]]&amp;Table1334[[#This Row],[Expiry]]&amp;""&amp;"P"&amp;Table1334[[#This Row],[Strike]]))</f>
        <v>0</v>
      </c>
      <c r="Y677" s="19">
        <f>-21* IF($M$1="NDX", 10, IF(OR($M$1="SPX", $M$1="RUT"), 2, 1))</f>
        <v>-42</v>
      </c>
      <c r="Z677">
        <f ca="1">IFERROR(Table1334[[#This Row],[call gamma]]*(Table1334[[#This Row],[Open.Int]])*$A$4^2,0)</f>
        <v>0</v>
      </c>
      <c r="AA677">
        <f ca="1">IFERROR(((Table1334[[#This Row],[Open.Int8]])*Table1334[[#This Row],[Put gamma]])*-1*$A$4^2,0)</f>
        <v>0</v>
      </c>
      <c r="AB677">
        <f ca="1">(Table1334[[#This Row],[Call Gex]]+Table1334[[#This Row],[Put Gex]])</f>
        <v>0</v>
      </c>
      <c r="AC677">
        <f ca="1">Table1334[[#This Row],[put delta adj]]+Table1334[[#This Row],[call delta adj]]</f>
        <v>0</v>
      </c>
      <c r="AD677">
        <f ca="1">Table1334[[#This Row],[Put Gex]]*Table1334[[#This Row],[DeltaP]]*-1</f>
        <v>0</v>
      </c>
      <c r="AE677">
        <f ca="1">Table1334[[#This Row],[Call Gex]]*Table1334[[#This Row],[DeltaC]]</f>
        <v>0</v>
      </c>
      <c r="AF677">
        <f>IF(Table1334[[#This Row],[DeltaC]]-ABS(Table1334[[#This Row],[DeltaP]])="0","0.01",Table1334[[#This Row],[DeltaC]]-ABS(Table1334[[#This Row],[DeltaP]]))</f>
        <v>0</v>
      </c>
      <c r="AG67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7" t="e">
        <f ca="1">(EXP(-(AG677^2)/2)/SQRT(2*PI())*EXP(0*SQRT(Table1334[[#This Row],[T]]))/$A$4*18%*SQRT(SQRT(Table1334[[#This Row],[T]])))</f>
        <v>#DIV/0!</v>
      </c>
      <c r="AJ677" t="e">
        <f ca="1">(EXP(-(AH677^2)/2)/SQRT(2*PI())*EXP(0*SQRT(Table1334[[#This Row],[T]]))/$A$4*18%*SQRT(SQRT(Table1334[[#This Row],[T]])))</f>
        <v>#DIV/0!</v>
      </c>
      <c r="AK677" t="e">
        <f ca="1">Table1334[[#This Row],[Call D1]]-Table1334[[#This Row],[IV Calc C]]*SQRT(Table1334[[#This Row],[T]])</f>
        <v>#DIV/0!</v>
      </c>
      <c r="AL677" t="e">
        <f ca="1">Table1334[[#This Row],[Put D1]]-Table1334[[#This Row],[IV Calc P]]*SQRT(Table1334[[#This Row],[T]])</f>
        <v>#DIV/0!</v>
      </c>
      <c r="AM677" t="e">
        <f ca="1">EXP(-0.5*Table1334[[#This Row],[Call D1]]^2)/SQRT(2*PI())</f>
        <v>#DIV/0!</v>
      </c>
      <c r="AN677" t="e">
        <f ca="1">EXP(-0.5*Table1334[[#This Row],[Put D1]]^2)/SQRT(2*PI())</f>
        <v>#DIV/0!</v>
      </c>
      <c r="AO67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7">
        <f ca="1">((Table1334[[#This Row],[call vanna]]+Table1334[[#This Row],[put vanna]])*$A$4)</f>
        <v>0</v>
      </c>
      <c r="AR67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7" s="9" t="str" cm="1">
        <f t="array" ref="AT677">_xlfn.IFS(     $M$1="SPX","SPXW",     $M$1="RUT","RUTW",  $M$1="NDX","NDXP",   TRUE,$M$1 )</f>
        <v>SPXW</v>
      </c>
      <c r="AU677" s="2">
        <f t="shared" si="67"/>
        <v>6915</v>
      </c>
      <c r="AV677" t="str">
        <f t="shared" si="68"/>
        <v>000100</v>
      </c>
      <c r="AY67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7">
        <f>((Table1334[[#This Row],[High C]]+Table1334[[#This Row],[Low C]])/2)*Table1334[[#This Row],[gammac]]*Table1334[[#This Row],[Volume]]</f>
        <v>0</v>
      </c>
      <c r="BD677">
        <f>((Table1334[[#This Row],[High P]]+Table1334[[#This Row],[Low P]])/2)*Table1334[[#This Row],[gammap]]*Table1334[[#This Row],[Volume9]]*-1</f>
        <v>0</v>
      </c>
      <c r="BE677">
        <f>(Table1334[[#This Row],[SgammaC]]+Table1334[[#This Row],[SgammaP]])*$A$4*-100</f>
        <v>0</v>
      </c>
      <c r="BF677">
        <f>Table1334[[#This Row],[DEXc]]+Table1334[[#This Row],[DEXp]]</f>
        <v>0</v>
      </c>
      <c r="BG677">
        <f>IFERROR(Table1334[[#This Row],[DeltaC]]*Table1334[[#This Row],[Open.Int]]*$A$4,0)</f>
        <v>0</v>
      </c>
      <c r="BH677">
        <f>IFERROR(Table1334[[#This Row],[DeltaP]]*Table1334[[#This Row],[Open.Int8]]*$A$4,0)</f>
        <v>0</v>
      </c>
      <c r="BI67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7">
        <f ca="1">Table1334[[#This Row],[charmc]]+Table1334[[#This Row],[charmp]]</f>
        <v>0</v>
      </c>
      <c r="BL67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7" s="78">
        <f ca="1">Table1334[[#This Row],[call helper]]+Table1334[[#This Row],[put helper]]</f>
        <v>0</v>
      </c>
      <c r="BP677" t="str">
        <f>RTD("tos.rtd", , "STRIKE", "."&amp;Table1334[[#This Row],[Ticker]]&amp;Table1334[[#This Row],[Expiry]]&amp;""&amp;"C"&amp;Table1334[[#This Row],[Spot]]+Table1334[[#This Row],[step]])</f>
        <v>N/A</v>
      </c>
    </row>
    <row r="678" spans="1:68" x14ac:dyDescent="0.25">
      <c r="A678" s="24">
        <f t="shared" ca="1" si="64"/>
        <v>-126.14810350076104</v>
      </c>
      <c r="B678" s="13"/>
      <c r="C678" s="17"/>
      <c r="D678" t="str">
        <f>RTD("tos.rtd", , "OPEN_INT", "."&amp;Table1334[[#This Row],[Ticker]]&amp;Table1334[[#This Row],[Expiry]]&amp;""&amp;"C"&amp;Table1334[[#This Row],[Spot]]+Table1334[[#This Row],[step]])</f>
        <v>N/A</v>
      </c>
      <c r="E67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8" t="b">
        <f>IF(     ISNUMBER(Table1334[[#This Row],[Strike]]),RTD("tos.rtd", , "DELTA", "."&amp;Table1334[[#This Row],[Ticker]]&amp;Table1334[[#This Row],[Expiry]]&amp;""&amp;"C"&amp;Table1334[[#This Row],[Strike]]))</f>
        <v>0</v>
      </c>
      <c r="H678" s="17" cm="1">
        <f t="array" aca="1" ref="H678" ca="1">IndividualLegIVCore($A$4, Table1334[[#This Row],[Strike]], 0.0411, Table1334[[#This Row],[T]], ((Table1334[[#This Row],[BIDC]]+Table1334[[#This Row],[ASKC]])/2), TRUE)</f>
        <v>0.01</v>
      </c>
      <c r="I678" t="b">
        <f>IF(     ISNUMBER(Table1334[[#This Row],[Strike]]),RTD("tos.rtd", , "BID", "."&amp;Table1334[[#This Row],[Ticker]]&amp;Table1334[[#This Row],[Expiry]]&amp;""&amp;"C"&amp;Table1334[[#This Row],[Strike]]))</f>
        <v>0</v>
      </c>
      <c r="J678" t="b">
        <f>IF(     ISNUMBER(Table1334[[#This Row],[Strike]]),RTD("tos.rtd", , "ASK", "."&amp;Table1334[[#This Row],[Ticker]]&amp;Table1334[[#This Row],[Expiry]]&amp;""&amp;"C"&amp;Table1334[[#This Row],[Strike]]))</f>
        <v>0</v>
      </c>
      <c r="K678" s="17"/>
      <c r="M678" s="1">
        <f t="shared" si="65"/>
        <v>0</v>
      </c>
      <c r="N678" t="b">
        <f t="shared" si="66"/>
        <v>0</v>
      </c>
      <c r="P678" s="17" cm="1">
        <f t="array" aca="1" ref="P678" ca="1">IndividualLegIVCore($A$4, Table1334[[#This Row],[Strike]], 0.0411, Table1334[[#This Row],[T]], ((Table1334[[#This Row],[BIDP]]+Table1334[[#This Row],[ASKP]])/2), FALSE)</f>
        <v>0.01</v>
      </c>
      <c r="Q678" t="b">
        <f>IF(     ISNUMBER(Table1334[[#This Row],[Strike]]),RTD("tos.rtd", , "BID", "."&amp;Table1334[[#This Row],[Ticker]]&amp;Table1334[[#This Row],[Expiry]]&amp;""&amp;"P"&amp;Table1334[[#This Row],[Strike]]))</f>
        <v>0</v>
      </c>
      <c r="R678" t="b">
        <f>IF(     ISNUMBER(Table1334[[#This Row],[Strike]]),RTD("tos.rtd", , "ASK", "."&amp;Table1334[[#This Row],[Ticker]]&amp;Table1334[[#This Row],[Expiry]]&amp;""&amp;"P"&amp;Table1334[[#This Row],[Strike]]))</f>
        <v>0</v>
      </c>
      <c r="S678" s="17"/>
      <c r="T678" t="b">
        <f>IF(     ISNUMBER(Table1334[[#This Row],[Strike]]),RTD("tos.rtd", , "OPEN_INT", "."&amp;Table1334[[#This Row],[Ticker]]&amp;Table1334[[#This Row],[Expiry]]&amp;""&amp;"P"&amp;Table1334[[#This Row],[Strike]]))</f>
        <v>0</v>
      </c>
      <c r="U67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8" t="b">
        <f>IF(     ISNUMBER(Table1334[[#This Row],[Strike]]),RTD("tos.rtd", , "DELTA", "."&amp;Table1334[[#This Row],[Ticker]]&amp;Table1334[[#This Row],[Expiry]]&amp;""&amp;"P"&amp;Table1334[[#This Row],[Strike]]))</f>
        <v>0</v>
      </c>
      <c r="X678" s="13"/>
      <c r="Y678" s="19">
        <f>-20.5* IF($M$1="NDX", 10, IF(OR($M$1="SPX", $M$1="RUT"), 2, 1))</f>
        <v>-41</v>
      </c>
      <c r="Z678">
        <f ca="1">IFERROR(Table1334[[#This Row],[call gamma]]*(Table1334[[#This Row],[Open.Int]])*$A$4^2,0)</f>
        <v>0</v>
      </c>
      <c r="AA678">
        <f ca="1">IFERROR(((Table1334[[#This Row],[Open.Int8]])*Table1334[[#This Row],[Put gamma]])*-1*$A$4^2,0)</f>
        <v>0</v>
      </c>
      <c r="AB678">
        <f ca="1">(Table1334[[#This Row],[Call Gex]]+Table1334[[#This Row],[Put Gex]])</f>
        <v>0</v>
      </c>
      <c r="AC678">
        <f ca="1">Table1334[[#This Row],[put delta adj]]+Table1334[[#This Row],[call delta adj]]</f>
        <v>0</v>
      </c>
      <c r="AD678">
        <f ca="1">Table1334[[#This Row],[Put Gex]]*Table1334[[#This Row],[DeltaP]]*-1</f>
        <v>0</v>
      </c>
      <c r="AE678">
        <f ca="1">Table1334[[#This Row],[Call Gex]]*Table1334[[#This Row],[DeltaC]]</f>
        <v>0</v>
      </c>
      <c r="AF678">
        <f>IF(Table1334[[#This Row],[DeltaC]]-ABS(Table1334[[#This Row],[DeltaP]])="0","0.01",Table1334[[#This Row],[DeltaC]]-ABS(Table1334[[#This Row],[DeltaP]]))</f>
        <v>0</v>
      </c>
      <c r="AG67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8" t="e">
        <f ca="1">(EXP(-(AG678^2)/2)/SQRT(2*PI())*EXP(0*SQRT(Table1334[[#This Row],[T]]))/$A$4*18%*SQRT(SQRT(Table1334[[#This Row],[T]])))</f>
        <v>#DIV/0!</v>
      </c>
      <c r="AJ678" t="e">
        <f ca="1">(EXP(-(AH678^2)/2)/SQRT(2*PI())*EXP(0*SQRT(Table1334[[#This Row],[T]]))/$A$4*18%*SQRT(SQRT(Table1334[[#This Row],[T]])))</f>
        <v>#DIV/0!</v>
      </c>
      <c r="AK678" t="e">
        <f ca="1">Table1334[[#This Row],[Call D1]]-Table1334[[#This Row],[IV Calc C]]*SQRT(Table1334[[#This Row],[T]])</f>
        <v>#DIV/0!</v>
      </c>
      <c r="AL678" t="e">
        <f ca="1">Table1334[[#This Row],[Put D1]]-Table1334[[#This Row],[IV Calc P]]*SQRT(Table1334[[#This Row],[T]])</f>
        <v>#DIV/0!</v>
      </c>
      <c r="AM678" t="e">
        <f ca="1">EXP(-0.5*Table1334[[#This Row],[Call D1]]^2)/SQRT(2*PI())</f>
        <v>#DIV/0!</v>
      </c>
      <c r="AN678" t="e">
        <f ca="1">EXP(-0.5*Table1334[[#This Row],[Put D1]]^2)/SQRT(2*PI())</f>
        <v>#DIV/0!</v>
      </c>
      <c r="AO67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8">
        <f ca="1">((Table1334[[#This Row],[call vanna]]+Table1334[[#This Row],[put vanna]])*$A$4)</f>
        <v>0</v>
      </c>
      <c r="AR67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8" s="22" t="str" cm="1">
        <f t="array" ref="AT678">_xlfn.IFS(     $M$1="SPX","SPXW",     $M$1="RUT","RUTW",  $M$1="NDX","NDXP",   TRUE,$M$1 )</f>
        <v>SPXW</v>
      </c>
      <c r="AU678" s="2">
        <f t="shared" si="67"/>
        <v>6915</v>
      </c>
      <c r="AV678" t="str">
        <f t="shared" si="68"/>
        <v>000100</v>
      </c>
      <c r="AY67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8">
        <f>((Table1334[[#This Row],[High C]]+Table1334[[#This Row],[Low C]])/2)*Table1334[[#This Row],[gammac]]*Table1334[[#This Row],[Volume]]</f>
        <v>0</v>
      </c>
      <c r="BD678">
        <f>((Table1334[[#This Row],[High P]]+Table1334[[#This Row],[Low P]])/2)*Table1334[[#This Row],[gammap]]*Table1334[[#This Row],[Volume9]]*-1</f>
        <v>0</v>
      </c>
      <c r="BE678">
        <f>(Table1334[[#This Row],[SgammaC]]+Table1334[[#This Row],[SgammaP]])*$A$4*-100</f>
        <v>0</v>
      </c>
      <c r="BF678">
        <f>Table1334[[#This Row],[DEXc]]+Table1334[[#This Row],[DEXp]]</f>
        <v>0</v>
      </c>
      <c r="BG678">
        <f>IFERROR(Table1334[[#This Row],[DeltaC]]*Table1334[[#This Row],[Open.Int]]*$A$4,0)</f>
        <v>0</v>
      </c>
      <c r="BH678">
        <f>IFERROR(Table1334[[#This Row],[DeltaP]]*Table1334[[#This Row],[Open.Int8]]*$A$4,0)</f>
        <v>0</v>
      </c>
      <c r="BI67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8">
        <f ca="1">Table1334[[#This Row],[charmc]]+Table1334[[#This Row],[charmp]]</f>
        <v>0</v>
      </c>
      <c r="BL67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8" s="78">
        <f ca="1">Table1334[[#This Row],[call helper]]+Table1334[[#This Row],[put helper]]</f>
        <v>0</v>
      </c>
      <c r="BP678" t="str">
        <f>RTD("tos.rtd", , "STRIKE", "."&amp;Table1334[[#This Row],[Ticker]]&amp;Table1334[[#This Row],[Expiry]]&amp;""&amp;"C"&amp;Table1334[[#This Row],[Spot]]+Table1334[[#This Row],[step]])</f>
        <v>N/A</v>
      </c>
    </row>
    <row r="679" spans="1:68" x14ac:dyDescent="0.25">
      <c r="A679" s="14">
        <f t="shared" ca="1" si="64"/>
        <v>-126.14810350076104</v>
      </c>
      <c r="C679" s="17"/>
      <c r="D679" t="str">
        <f>RTD("tos.rtd", , "OPEN_INT", "."&amp;Table1334[[#This Row],[Ticker]]&amp;Table1334[[#This Row],[Expiry]]&amp;""&amp;"C"&amp;Table1334[[#This Row],[Spot]]+Table1334[[#This Row],[step]])</f>
        <v>N/A</v>
      </c>
      <c r="E67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9" t="b">
        <f>IF(     ISNUMBER(Table1334[[#This Row],[Strike]]),RTD("tos.rtd", , "DELTA", "."&amp;Table1334[[#This Row],[Ticker]]&amp;Table1334[[#This Row],[Expiry]]&amp;""&amp;"C"&amp;Table1334[[#This Row],[Strike]]))</f>
        <v>0</v>
      </c>
      <c r="H679" s="17" cm="1">
        <f t="array" aca="1" ref="H679" ca="1">IndividualLegIVCore($A$4, Table1334[[#This Row],[Strike]], 0.0411, Table1334[[#This Row],[T]], ((Table1334[[#This Row],[BIDC]]+Table1334[[#This Row],[ASKC]])/2), TRUE)</f>
        <v>0.01</v>
      </c>
      <c r="I679" t="b">
        <f>IF(     ISNUMBER(Table1334[[#This Row],[Strike]]),RTD("tos.rtd", , "BID", "."&amp;Table1334[[#This Row],[Ticker]]&amp;Table1334[[#This Row],[Expiry]]&amp;""&amp;"C"&amp;Table1334[[#This Row],[Strike]]))</f>
        <v>0</v>
      </c>
      <c r="J679" t="b">
        <f>IF(     ISNUMBER(Table1334[[#This Row],[Strike]]),RTD("tos.rtd", , "ASK", "."&amp;Table1334[[#This Row],[Ticker]]&amp;Table1334[[#This Row],[Expiry]]&amp;""&amp;"C"&amp;Table1334[[#This Row],[Strike]]))</f>
        <v>0</v>
      </c>
      <c r="K679" s="17"/>
      <c r="M679" s="1">
        <f t="shared" si="65"/>
        <v>0</v>
      </c>
      <c r="N679" t="b">
        <f t="shared" si="66"/>
        <v>0</v>
      </c>
      <c r="P679" s="17" cm="1">
        <f t="array" aca="1" ref="P679" ca="1">IndividualLegIVCore($A$4, Table1334[[#This Row],[Strike]], 0.0411, Table1334[[#This Row],[T]], ((Table1334[[#This Row],[BIDP]]+Table1334[[#This Row],[ASKP]])/2), FALSE)</f>
        <v>0.01</v>
      </c>
      <c r="Q679" t="b">
        <f>IF(     ISNUMBER(Table1334[[#This Row],[Strike]]),RTD("tos.rtd", , "BID", "."&amp;Table1334[[#This Row],[Ticker]]&amp;Table1334[[#This Row],[Expiry]]&amp;""&amp;"P"&amp;Table1334[[#This Row],[Strike]]))</f>
        <v>0</v>
      </c>
      <c r="R679" t="b">
        <f>IF(     ISNUMBER(Table1334[[#This Row],[Strike]]),RTD("tos.rtd", , "ASK", "."&amp;Table1334[[#This Row],[Ticker]]&amp;Table1334[[#This Row],[Expiry]]&amp;""&amp;"P"&amp;Table1334[[#This Row],[Strike]]))</f>
        <v>0</v>
      </c>
      <c r="S679" s="17"/>
      <c r="T679" t="b">
        <f>IF(     ISNUMBER(Table1334[[#This Row],[Strike]]),RTD("tos.rtd", , "OPEN_INT", "."&amp;Table1334[[#This Row],[Ticker]]&amp;Table1334[[#This Row],[Expiry]]&amp;""&amp;"P"&amp;Table1334[[#This Row],[Strike]]))</f>
        <v>0</v>
      </c>
      <c r="U67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9" t="b">
        <f>IF(     ISNUMBER(Table1334[[#This Row],[Strike]]),RTD("tos.rtd", , "DELTA", "."&amp;Table1334[[#This Row],[Ticker]]&amp;Table1334[[#This Row],[Expiry]]&amp;""&amp;"P"&amp;Table1334[[#This Row],[Strike]]))</f>
        <v>0</v>
      </c>
      <c r="Y679" s="19">
        <f>-20* IF($M$1="NDX", 10, IF(OR($M$1="SPX", $M$1="RUT"), 2, 1))</f>
        <v>-40</v>
      </c>
      <c r="Z679">
        <f ca="1">IFERROR(Table1334[[#This Row],[call gamma]]*(Table1334[[#This Row],[Open.Int]])*$A$4^2,0)</f>
        <v>0</v>
      </c>
      <c r="AA679">
        <f ca="1">IFERROR(((Table1334[[#This Row],[Open.Int8]])*Table1334[[#This Row],[Put gamma]])*-1*$A$4^2,0)</f>
        <v>0</v>
      </c>
      <c r="AB679">
        <f ca="1">(Table1334[[#This Row],[Call Gex]]+Table1334[[#This Row],[Put Gex]])</f>
        <v>0</v>
      </c>
      <c r="AC679">
        <f ca="1">Table1334[[#This Row],[put delta adj]]+Table1334[[#This Row],[call delta adj]]</f>
        <v>0</v>
      </c>
      <c r="AD679">
        <f ca="1">Table1334[[#This Row],[Put Gex]]*Table1334[[#This Row],[DeltaP]]*-1</f>
        <v>0</v>
      </c>
      <c r="AE679">
        <f ca="1">Table1334[[#This Row],[Call Gex]]*Table1334[[#This Row],[DeltaC]]</f>
        <v>0</v>
      </c>
      <c r="AF679">
        <f>IF(Table1334[[#This Row],[DeltaC]]-ABS(Table1334[[#This Row],[DeltaP]])="0","0.01",Table1334[[#This Row],[DeltaC]]-ABS(Table1334[[#This Row],[DeltaP]]))</f>
        <v>0</v>
      </c>
      <c r="AG67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9" t="e">
        <f ca="1">(EXP(-(AG679^2)/2)/SQRT(2*PI())*EXP(0*SQRT(Table1334[[#This Row],[T]]))/$A$4*18%*SQRT(SQRT(Table1334[[#This Row],[T]])))</f>
        <v>#DIV/0!</v>
      </c>
      <c r="AJ679" t="e">
        <f ca="1">(EXP(-(AH679^2)/2)/SQRT(2*PI())*EXP(0*SQRT(Table1334[[#This Row],[T]]))/$A$4*18%*SQRT(SQRT(Table1334[[#This Row],[T]])))</f>
        <v>#DIV/0!</v>
      </c>
      <c r="AK679" t="e">
        <f ca="1">Table1334[[#This Row],[Call D1]]-Table1334[[#This Row],[IV Calc C]]*SQRT(Table1334[[#This Row],[T]])</f>
        <v>#DIV/0!</v>
      </c>
      <c r="AL679" t="e">
        <f ca="1">Table1334[[#This Row],[Put D1]]-Table1334[[#This Row],[IV Calc P]]*SQRT(Table1334[[#This Row],[T]])</f>
        <v>#DIV/0!</v>
      </c>
      <c r="AM679" t="e">
        <f ca="1">EXP(-0.5*Table1334[[#This Row],[Call D1]]^2)/SQRT(2*PI())</f>
        <v>#DIV/0!</v>
      </c>
      <c r="AN679" t="e">
        <f ca="1">EXP(-0.5*Table1334[[#This Row],[Put D1]]^2)/SQRT(2*PI())</f>
        <v>#DIV/0!</v>
      </c>
      <c r="AO67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9">
        <f ca="1">((Table1334[[#This Row],[call vanna]]+Table1334[[#This Row],[put vanna]])*$A$4)</f>
        <v>0</v>
      </c>
      <c r="AR67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9" s="9" t="str" cm="1">
        <f t="array" ref="AT679">_xlfn.IFS(     $M$1="SPX","SPXW",     $M$1="RUT","RUTW",  $M$1="NDX","NDXP",   TRUE,$M$1 )</f>
        <v>SPXW</v>
      </c>
      <c r="AU679" s="2">
        <f t="shared" si="67"/>
        <v>6915</v>
      </c>
      <c r="AV679" t="str">
        <f t="shared" si="68"/>
        <v>000100</v>
      </c>
      <c r="AY67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9">
        <f>((Table1334[[#This Row],[High C]]+Table1334[[#This Row],[Low C]])/2)*Table1334[[#This Row],[gammac]]*Table1334[[#This Row],[Volume]]</f>
        <v>0</v>
      </c>
      <c r="BD679">
        <f>((Table1334[[#This Row],[High P]]+Table1334[[#This Row],[Low P]])/2)*Table1334[[#This Row],[gammap]]*Table1334[[#This Row],[Volume9]]*-1</f>
        <v>0</v>
      </c>
      <c r="BE679">
        <f>(Table1334[[#This Row],[SgammaC]]+Table1334[[#This Row],[SgammaP]])*$A$4*-100</f>
        <v>0</v>
      </c>
      <c r="BF679">
        <f>Table1334[[#This Row],[DEXc]]+Table1334[[#This Row],[DEXp]]</f>
        <v>0</v>
      </c>
      <c r="BG679">
        <f>IFERROR(Table1334[[#This Row],[DeltaC]]*Table1334[[#This Row],[Open.Int]]*$A$4,0)</f>
        <v>0</v>
      </c>
      <c r="BH679">
        <f>IFERROR(Table1334[[#This Row],[DeltaP]]*Table1334[[#This Row],[Open.Int8]]*$A$4,0)</f>
        <v>0</v>
      </c>
      <c r="BI67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9">
        <f ca="1">Table1334[[#This Row],[charmc]]+Table1334[[#This Row],[charmp]]</f>
        <v>0</v>
      </c>
      <c r="BL67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9" s="78">
        <f ca="1">Table1334[[#This Row],[call helper]]+Table1334[[#This Row],[put helper]]</f>
        <v>0</v>
      </c>
      <c r="BP679" t="str">
        <f>RTD("tos.rtd", , "STRIKE", "."&amp;Table1334[[#This Row],[Ticker]]&amp;Table1334[[#This Row],[Expiry]]&amp;""&amp;"C"&amp;Table1334[[#This Row],[Spot]]+Table1334[[#This Row],[step]])</f>
        <v>N/A</v>
      </c>
    </row>
    <row r="680" spans="1:68" x14ac:dyDescent="0.25">
      <c r="A680" s="14">
        <f t="shared" ca="1" si="64"/>
        <v>-126.14810350076104</v>
      </c>
      <c r="C680" s="17"/>
      <c r="D680" t="str">
        <f>RTD("tos.rtd", , "OPEN_INT", "."&amp;Table1334[[#This Row],[Ticker]]&amp;Table1334[[#This Row],[Expiry]]&amp;""&amp;"C"&amp;Table1334[[#This Row],[Spot]]+Table1334[[#This Row],[step]])</f>
        <v>N/A</v>
      </c>
      <c r="E68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0" t="b">
        <f>IF(     ISNUMBER(Table1334[[#This Row],[Strike]]),RTD("tos.rtd", , "DELTA", "."&amp;Table1334[[#This Row],[Ticker]]&amp;Table1334[[#This Row],[Expiry]]&amp;""&amp;"C"&amp;Table1334[[#This Row],[Strike]]))</f>
        <v>0</v>
      </c>
      <c r="H680" s="17" cm="1">
        <f t="array" aca="1" ref="H680" ca="1">IndividualLegIVCore($A$4, Table1334[[#This Row],[Strike]], 0.0411, Table1334[[#This Row],[T]], ((Table1334[[#This Row],[BIDC]]+Table1334[[#This Row],[ASKC]])/2), TRUE)</f>
        <v>0.01</v>
      </c>
      <c r="I680" t="b">
        <f>IF(     ISNUMBER(Table1334[[#This Row],[Strike]]),RTD("tos.rtd", , "BID", "."&amp;Table1334[[#This Row],[Ticker]]&amp;Table1334[[#This Row],[Expiry]]&amp;""&amp;"C"&amp;Table1334[[#This Row],[Strike]]))</f>
        <v>0</v>
      </c>
      <c r="J680" t="b">
        <f>IF(     ISNUMBER(Table1334[[#This Row],[Strike]]),RTD("tos.rtd", , "ASK", "."&amp;Table1334[[#This Row],[Ticker]]&amp;Table1334[[#This Row],[Expiry]]&amp;""&amp;"C"&amp;Table1334[[#This Row],[Strike]]))</f>
        <v>0</v>
      </c>
      <c r="K680" s="17"/>
      <c r="M680" s="1">
        <f t="shared" si="65"/>
        <v>0</v>
      </c>
      <c r="N680" t="b">
        <f t="shared" si="66"/>
        <v>0</v>
      </c>
      <c r="P680" s="17" cm="1">
        <f t="array" aca="1" ref="P680" ca="1">IndividualLegIVCore($A$4, Table1334[[#This Row],[Strike]], 0.0411, Table1334[[#This Row],[T]], ((Table1334[[#This Row],[BIDP]]+Table1334[[#This Row],[ASKP]])/2), FALSE)</f>
        <v>0.01</v>
      </c>
      <c r="Q680" t="b">
        <f>IF(     ISNUMBER(Table1334[[#This Row],[Strike]]),RTD("tos.rtd", , "BID", "."&amp;Table1334[[#This Row],[Ticker]]&amp;Table1334[[#This Row],[Expiry]]&amp;""&amp;"P"&amp;Table1334[[#This Row],[Strike]]))</f>
        <v>0</v>
      </c>
      <c r="R680" t="b">
        <f>IF(     ISNUMBER(Table1334[[#This Row],[Strike]]),RTD("tos.rtd", , "ASK", "."&amp;Table1334[[#This Row],[Ticker]]&amp;Table1334[[#This Row],[Expiry]]&amp;""&amp;"P"&amp;Table1334[[#This Row],[Strike]]))</f>
        <v>0</v>
      </c>
      <c r="S680" s="17"/>
      <c r="T680" t="b">
        <f>IF(     ISNUMBER(Table1334[[#This Row],[Strike]]),RTD("tos.rtd", , "OPEN_INT", "."&amp;Table1334[[#This Row],[Ticker]]&amp;Table1334[[#This Row],[Expiry]]&amp;""&amp;"P"&amp;Table1334[[#This Row],[Strike]]))</f>
        <v>0</v>
      </c>
      <c r="U68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0" t="b">
        <f>IF(     ISNUMBER(Table1334[[#This Row],[Strike]]),RTD("tos.rtd", , "DELTA", "."&amp;Table1334[[#This Row],[Ticker]]&amp;Table1334[[#This Row],[Expiry]]&amp;""&amp;"P"&amp;Table1334[[#This Row],[Strike]]))</f>
        <v>0</v>
      </c>
      <c r="Y680" s="19">
        <f>-19.5* IF($M$1="NDX", 10, IF(OR($M$1="SPX", $M$1="RUT"), 2, 1))</f>
        <v>-39</v>
      </c>
      <c r="Z680">
        <f ca="1">IFERROR(Table1334[[#This Row],[call gamma]]*(Table1334[[#This Row],[Open.Int]])*$A$4^2,0)</f>
        <v>0</v>
      </c>
      <c r="AA680">
        <f ca="1">IFERROR(((Table1334[[#This Row],[Open.Int8]])*Table1334[[#This Row],[Put gamma]])*-1*$A$4^2,0)</f>
        <v>0</v>
      </c>
      <c r="AB680">
        <f ca="1">(Table1334[[#This Row],[Call Gex]]+Table1334[[#This Row],[Put Gex]])</f>
        <v>0</v>
      </c>
      <c r="AC680">
        <f ca="1">Table1334[[#This Row],[put delta adj]]+Table1334[[#This Row],[call delta adj]]</f>
        <v>0</v>
      </c>
      <c r="AD680">
        <f ca="1">Table1334[[#This Row],[Put Gex]]*Table1334[[#This Row],[DeltaP]]*-1</f>
        <v>0</v>
      </c>
      <c r="AE680">
        <f ca="1">Table1334[[#This Row],[Call Gex]]*Table1334[[#This Row],[DeltaC]]</f>
        <v>0</v>
      </c>
      <c r="AF680">
        <f>IF(Table1334[[#This Row],[DeltaC]]-ABS(Table1334[[#This Row],[DeltaP]])="0","0.01",Table1334[[#This Row],[DeltaC]]-ABS(Table1334[[#This Row],[DeltaP]]))</f>
        <v>0</v>
      </c>
      <c r="AG68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0" t="e">
        <f ca="1">(EXP(-(AG680^2)/2)/SQRT(2*PI())*EXP(0*SQRT(Table1334[[#This Row],[T]]))/$A$4*18%*SQRT(SQRT(Table1334[[#This Row],[T]])))</f>
        <v>#DIV/0!</v>
      </c>
      <c r="AJ680" t="e">
        <f ca="1">(EXP(-(AH680^2)/2)/SQRT(2*PI())*EXP(0*SQRT(Table1334[[#This Row],[T]]))/$A$4*18%*SQRT(SQRT(Table1334[[#This Row],[T]])))</f>
        <v>#DIV/0!</v>
      </c>
      <c r="AK680" t="e">
        <f ca="1">Table1334[[#This Row],[Call D1]]-Table1334[[#This Row],[IV Calc C]]*SQRT(Table1334[[#This Row],[T]])</f>
        <v>#DIV/0!</v>
      </c>
      <c r="AL680" t="e">
        <f ca="1">Table1334[[#This Row],[Put D1]]-Table1334[[#This Row],[IV Calc P]]*SQRT(Table1334[[#This Row],[T]])</f>
        <v>#DIV/0!</v>
      </c>
      <c r="AM680" t="e">
        <f ca="1">EXP(-0.5*Table1334[[#This Row],[Call D1]]^2)/SQRT(2*PI())</f>
        <v>#DIV/0!</v>
      </c>
      <c r="AN680" t="e">
        <f ca="1">EXP(-0.5*Table1334[[#This Row],[Put D1]]^2)/SQRT(2*PI())</f>
        <v>#DIV/0!</v>
      </c>
      <c r="AO68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0">
        <f ca="1">((Table1334[[#This Row],[call vanna]]+Table1334[[#This Row],[put vanna]])*$A$4)</f>
        <v>0</v>
      </c>
      <c r="AR68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0" s="9" t="str" cm="1">
        <f t="array" ref="AT680">_xlfn.IFS(     $M$1="SPX","SPXW",     $M$1="RUT","RUTW",  $M$1="NDX","NDXP",   TRUE,$M$1 )</f>
        <v>SPXW</v>
      </c>
      <c r="AU680" s="2">
        <f t="shared" si="67"/>
        <v>6915</v>
      </c>
      <c r="AV680" t="str">
        <f t="shared" si="68"/>
        <v>000100</v>
      </c>
      <c r="AY68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0">
        <f>((Table1334[[#This Row],[High C]]+Table1334[[#This Row],[Low C]])/2)*Table1334[[#This Row],[gammac]]*Table1334[[#This Row],[Volume]]</f>
        <v>0</v>
      </c>
      <c r="BD680">
        <f>((Table1334[[#This Row],[High P]]+Table1334[[#This Row],[Low P]])/2)*Table1334[[#This Row],[gammap]]*Table1334[[#This Row],[Volume9]]*-1</f>
        <v>0</v>
      </c>
      <c r="BE680">
        <f>(Table1334[[#This Row],[SgammaC]]+Table1334[[#This Row],[SgammaP]])*$A$4*-100</f>
        <v>0</v>
      </c>
      <c r="BF680">
        <f>Table1334[[#This Row],[DEXc]]+Table1334[[#This Row],[DEXp]]</f>
        <v>0</v>
      </c>
      <c r="BG680">
        <f>IFERROR(Table1334[[#This Row],[DeltaC]]*Table1334[[#This Row],[Open.Int]]*$A$4,0)</f>
        <v>0</v>
      </c>
      <c r="BH680">
        <f>IFERROR(Table1334[[#This Row],[DeltaP]]*Table1334[[#This Row],[Open.Int8]]*$A$4,0)</f>
        <v>0</v>
      </c>
      <c r="BI68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0">
        <f ca="1">Table1334[[#This Row],[charmc]]+Table1334[[#This Row],[charmp]]</f>
        <v>0</v>
      </c>
      <c r="BL68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0" s="78">
        <f ca="1">Table1334[[#This Row],[call helper]]+Table1334[[#This Row],[put helper]]</f>
        <v>0</v>
      </c>
      <c r="BP680" t="str">
        <f>RTD("tos.rtd", , "STRIKE", "."&amp;Table1334[[#This Row],[Ticker]]&amp;Table1334[[#This Row],[Expiry]]&amp;""&amp;"C"&amp;Table1334[[#This Row],[Spot]]+Table1334[[#This Row],[step]])</f>
        <v>N/A</v>
      </c>
    </row>
    <row r="681" spans="1:68" x14ac:dyDescent="0.25">
      <c r="A681" s="14">
        <f t="shared" ca="1" si="64"/>
        <v>-126.14810350076104</v>
      </c>
      <c r="C681" s="17"/>
      <c r="D681" t="str">
        <f>RTD("tos.rtd", , "OPEN_INT", "."&amp;Table1334[[#This Row],[Ticker]]&amp;Table1334[[#This Row],[Expiry]]&amp;""&amp;"C"&amp;Table1334[[#This Row],[Spot]]+Table1334[[#This Row],[step]])</f>
        <v>N/A</v>
      </c>
      <c r="E68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1" t="b">
        <f>IF(     ISNUMBER(Table1334[[#This Row],[Strike]]),RTD("tos.rtd", , "DELTA", "."&amp;Table1334[[#This Row],[Ticker]]&amp;Table1334[[#This Row],[Expiry]]&amp;""&amp;"C"&amp;Table1334[[#This Row],[Strike]]))</f>
        <v>0</v>
      </c>
      <c r="H681" s="17" cm="1">
        <f t="array" aca="1" ref="H681" ca="1">IndividualLegIVCore($A$4, Table1334[[#This Row],[Strike]], 0.0411, Table1334[[#This Row],[T]], ((Table1334[[#This Row],[BIDC]]+Table1334[[#This Row],[ASKC]])/2), TRUE)</f>
        <v>0.01</v>
      </c>
      <c r="I681" t="b">
        <f>IF(     ISNUMBER(Table1334[[#This Row],[Strike]]),RTD("tos.rtd", , "BID", "."&amp;Table1334[[#This Row],[Ticker]]&amp;Table1334[[#This Row],[Expiry]]&amp;""&amp;"C"&amp;Table1334[[#This Row],[Strike]]))</f>
        <v>0</v>
      </c>
      <c r="J681" t="b">
        <f>IF(     ISNUMBER(Table1334[[#This Row],[Strike]]),RTD("tos.rtd", , "ASK", "."&amp;Table1334[[#This Row],[Ticker]]&amp;Table1334[[#This Row],[Expiry]]&amp;""&amp;"C"&amp;Table1334[[#This Row],[Strike]]))</f>
        <v>0</v>
      </c>
      <c r="K681" s="17"/>
      <c r="M681" s="1">
        <f t="shared" si="65"/>
        <v>0</v>
      </c>
      <c r="N681" t="b">
        <f t="shared" si="66"/>
        <v>0</v>
      </c>
      <c r="P681" s="17" cm="1">
        <f t="array" aca="1" ref="P681" ca="1">IndividualLegIVCore($A$4, Table1334[[#This Row],[Strike]], 0.0411, Table1334[[#This Row],[T]], ((Table1334[[#This Row],[BIDP]]+Table1334[[#This Row],[ASKP]])/2), FALSE)</f>
        <v>0.01</v>
      </c>
      <c r="Q681" t="b">
        <f>IF(     ISNUMBER(Table1334[[#This Row],[Strike]]),RTD("tos.rtd", , "BID", "."&amp;Table1334[[#This Row],[Ticker]]&amp;Table1334[[#This Row],[Expiry]]&amp;""&amp;"P"&amp;Table1334[[#This Row],[Strike]]))</f>
        <v>0</v>
      </c>
      <c r="R681" t="b">
        <f>IF(     ISNUMBER(Table1334[[#This Row],[Strike]]),RTD("tos.rtd", , "ASK", "."&amp;Table1334[[#This Row],[Ticker]]&amp;Table1334[[#This Row],[Expiry]]&amp;""&amp;"P"&amp;Table1334[[#This Row],[Strike]]))</f>
        <v>0</v>
      </c>
      <c r="S681" s="17"/>
      <c r="T681" t="b">
        <f>IF(     ISNUMBER(Table1334[[#This Row],[Strike]]),RTD("tos.rtd", , "OPEN_INT", "."&amp;Table1334[[#This Row],[Ticker]]&amp;Table1334[[#This Row],[Expiry]]&amp;""&amp;"P"&amp;Table1334[[#This Row],[Strike]]))</f>
        <v>0</v>
      </c>
      <c r="U68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1" t="b">
        <f>IF(     ISNUMBER(Table1334[[#This Row],[Strike]]),RTD("tos.rtd", , "DELTA", "."&amp;Table1334[[#This Row],[Ticker]]&amp;Table1334[[#This Row],[Expiry]]&amp;""&amp;"P"&amp;Table1334[[#This Row],[Strike]]))</f>
        <v>0</v>
      </c>
      <c r="Y681" s="19">
        <f>-19* IF($M$1="NDX", 10, IF(OR($M$1="SPX", $M$1="RUT"), 2, 1))</f>
        <v>-38</v>
      </c>
      <c r="Z681">
        <f ca="1">IFERROR(Table1334[[#This Row],[call gamma]]*(Table1334[[#This Row],[Open.Int]])*$A$4^2,0)</f>
        <v>0</v>
      </c>
      <c r="AA681">
        <f ca="1">IFERROR(((Table1334[[#This Row],[Open.Int8]])*Table1334[[#This Row],[Put gamma]])*-1*$A$4^2,0)</f>
        <v>0</v>
      </c>
      <c r="AB681">
        <f ca="1">(Table1334[[#This Row],[Call Gex]]+Table1334[[#This Row],[Put Gex]])</f>
        <v>0</v>
      </c>
      <c r="AC681">
        <f ca="1">Table1334[[#This Row],[put delta adj]]+Table1334[[#This Row],[call delta adj]]</f>
        <v>0</v>
      </c>
      <c r="AD681">
        <f ca="1">Table1334[[#This Row],[Put Gex]]*Table1334[[#This Row],[DeltaP]]*-1</f>
        <v>0</v>
      </c>
      <c r="AE681">
        <f ca="1">Table1334[[#This Row],[Call Gex]]*Table1334[[#This Row],[DeltaC]]</f>
        <v>0</v>
      </c>
      <c r="AF681">
        <f>IF(Table1334[[#This Row],[DeltaC]]-ABS(Table1334[[#This Row],[DeltaP]])="0","0.01",Table1334[[#This Row],[DeltaC]]-ABS(Table1334[[#This Row],[DeltaP]]))</f>
        <v>0</v>
      </c>
      <c r="AG68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1" t="e">
        <f ca="1">(EXP(-(AG681^2)/2)/SQRT(2*PI())*EXP(0*SQRT(Table1334[[#This Row],[T]]))/$A$4*18%*SQRT(SQRT(Table1334[[#This Row],[T]])))</f>
        <v>#DIV/0!</v>
      </c>
      <c r="AJ681" t="e">
        <f ca="1">(EXP(-(AH681^2)/2)/SQRT(2*PI())*EXP(0*SQRT(Table1334[[#This Row],[T]]))/$A$4*18%*SQRT(SQRT(Table1334[[#This Row],[T]])))</f>
        <v>#DIV/0!</v>
      </c>
      <c r="AK681" t="e">
        <f ca="1">Table1334[[#This Row],[Call D1]]-Table1334[[#This Row],[IV Calc C]]*SQRT(Table1334[[#This Row],[T]])</f>
        <v>#DIV/0!</v>
      </c>
      <c r="AL681" t="e">
        <f ca="1">Table1334[[#This Row],[Put D1]]-Table1334[[#This Row],[IV Calc P]]*SQRT(Table1334[[#This Row],[T]])</f>
        <v>#DIV/0!</v>
      </c>
      <c r="AM681" t="e">
        <f ca="1">EXP(-0.5*Table1334[[#This Row],[Call D1]]^2)/SQRT(2*PI())</f>
        <v>#DIV/0!</v>
      </c>
      <c r="AN681" t="e">
        <f ca="1">EXP(-0.5*Table1334[[#This Row],[Put D1]]^2)/SQRT(2*PI())</f>
        <v>#DIV/0!</v>
      </c>
      <c r="AO68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1">
        <f ca="1">((Table1334[[#This Row],[call vanna]]+Table1334[[#This Row],[put vanna]])*$A$4)</f>
        <v>0</v>
      </c>
      <c r="AR68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1" s="9" t="str" cm="1">
        <f t="array" ref="AT681">_xlfn.IFS(     $M$1="SPX","SPXW",     $M$1="RUT","RUTW",  $M$1="NDX","NDXP",   TRUE,$M$1 )</f>
        <v>SPXW</v>
      </c>
      <c r="AU681" s="2">
        <f t="shared" si="67"/>
        <v>6915</v>
      </c>
      <c r="AV681" t="str">
        <f t="shared" si="68"/>
        <v>000100</v>
      </c>
      <c r="AY68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1">
        <f>((Table1334[[#This Row],[High C]]+Table1334[[#This Row],[Low C]])/2)*Table1334[[#This Row],[gammac]]*Table1334[[#This Row],[Volume]]</f>
        <v>0</v>
      </c>
      <c r="BD681">
        <f>((Table1334[[#This Row],[High P]]+Table1334[[#This Row],[Low P]])/2)*Table1334[[#This Row],[gammap]]*Table1334[[#This Row],[Volume9]]*-1</f>
        <v>0</v>
      </c>
      <c r="BE681">
        <f>(Table1334[[#This Row],[SgammaC]]+Table1334[[#This Row],[SgammaP]])*$A$4*-100</f>
        <v>0</v>
      </c>
      <c r="BF681">
        <f>Table1334[[#This Row],[DEXc]]+Table1334[[#This Row],[DEXp]]</f>
        <v>0</v>
      </c>
      <c r="BG681">
        <f>IFERROR(Table1334[[#This Row],[DeltaC]]*Table1334[[#This Row],[Open.Int]]*$A$4,0)</f>
        <v>0</v>
      </c>
      <c r="BH681">
        <f>IFERROR(Table1334[[#This Row],[DeltaP]]*Table1334[[#This Row],[Open.Int8]]*$A$4,0)</f>
        <v>0</v>
      </c>
      <c r="BI68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1">
        <f ca="1">Table1334[[#This Row],[charmc]]+Table1334[[#This Row],[charmp]]</f>
        <v>0</v>
      </c>
      <c r="BL68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1" s="78">
        <f ca="1">Table1334[[#This Row],[call helper]]+Table1334[[#This Row],[put helper]]</f>
        <v>0</v>
      </c>
      <c r="BP681" t="str">
        <f>RTD("tos.rtd", , "STRIKE", "."&amp;Table1334[[#This Row],[Ticker]]&amp;Table1334[[#This Row],[Expiry]]&amp;""&amp;"C"&amp;Table1334[[#This Row],[Spot]]+Table1334[[#This Row],[step]])</f>
        <v>N/A</v>
      </c>
    </row>
    <row r="682" spans="1:68" x14ac:dyDescent="0.25">
      <c r="A682" s="14">
        <f t="shared" ca="1" si="64"/>
        <v>-126.14810350076104</v>
      </c>
      <c r="C682" s="17"/>
      <c r="D682" t="str">
        <f>RTD("tos.rtd", , "OPEN_INT", "."&amp;Table1334[[#This Row],[Ticker]]&amp;Table1334[[#This Row],[Expiry]]&amp;""&amp;"C"&amp;Table1334[[#This Row],[Spot]]+Table1334[[#This Row],[step]])</f>
        <v>N/A</v>
      </c>
      <c r="E68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2" t="b">
        <f>IF(     ISNUMBER(Table1334[[#This Row],[Strike]]),RTD("tos.rtd", , "DELTA", "."&amp;Table1334[[#This Row],[Ticker]]&amp;Table1334[[#This Row],[Expiry]]&amp;""&amp;"C"&amp;Table1334[[#This Row],[Strike]]))</f>
        <v>0</v>
      </c>
      <c r="H682" s="17" cm="1">
        <f t="array" aca="1" ref="H682" ca="1">IndividualLegIVCore($A$4, Table1334[[#This Row],[Strike]], 0.0411, Table1334[[#This Row],[T]], ((Table1334[[#This Row],[BIDC]]+Table1334[[#This Row],[ASKC]])/2), TRUE)</f>
        <v>0.01</v>
      </c>
      <c r="I682" t="b">
        <f>IF(     ISNUMBER(Table1334[[#This Row],[Strike]]),RTD("tos.rtd", , "BID", "."&amp;Table1334[[#This Row],[Ticker]]&amp;Table1334[[#This Row],[Expiry]]&amp;""&amp;"C"&amp;Table1334[[#This Row],[Strike]]))</f>
        <v>0</v>
      </c>
      <c r="J682" t="b">
        <f>IF(     ISNUMBER(Table1334[[#This Row],[Strike]]),RTD("tos.rtd", , "ASK", "."&amp;Table1334[[#This Row],[Ticker]]&amp;Table1334[[#This Row],[Expiry]]&amp;""&amp;"C"&amp;Table1334[[#This Row],[Strike]]))</f>
        <v>0</v>
      </c>
      <c r="K682" s="17"/>
      <c r="M682" s="1">
        <f t="shared" si="65"/>
        <v>0</v>
      </c>
      <c r="N682" t="b">
        <f t="shared" si="66"/>
        <v>0</v>
      </c>
      <c r="P682" s="17" cm="1">
        <f t="array" aca="1" ref="P682" ca="1">IndividualLegIVCore($A$4, Table1334[[#This Row],[Strike]], 0.0411, Table1334[[#This Row],[T]], ((Table1334[[#This Row],[BIDP]]+Table1334[[#This Row],[ASKP]])/2), FALSE)</f>
        <v>0.01</v>
      </c>
      <c r="Q682" t="b">
        <f>IF(     ISNUMBER(Table1334[[#This Row],[Strike]]),RTD("tos.rtd", , "BID", "."&amp;Table1334[[#This Row],[Ticker]]&amp;Table1334[[#This Row],[Expiry]]&amp;""&amp;"P"&amp;Table1334[[#This Row],[Strike]]))</f>
        <v>0</v>
      </c>
      <c r="R682" t="b">
        <f>IF(     ISNUMBER(Table1334[[#This Row],[Strike]]),RTD("tos.rtd", , "ASK", "."&amp;Table1334[[#This Row],[Ticker]]&amp;Table1334[[#This Row],[Expiry]]&amp;""&amp;"P"&amp;Table1334[[#This Row],[Strike]]))</f>
        <v>0</v>
      </c>
      <c r="S682" s="17"/>
      <c r="T682" t="b">
        <f>IF(     ISNUMBER(Table1334[[#This Row],[Strike]]),RTD("tos.rtd", , "OPEN_INT", "."&amp;Table1334[[#This Row],[Ticker]]&amp;Table1334[[#This Row],[Expiry]]&amp;""&amp;"P"&amp;Table1334[[#This Row],[Strike]]))</f>
        <v>0</v>
      </c>
      <c r="U68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2" t="b">
        <f>IF(     ISNUMBER(Table1334[[#This Row],[Strike]]),RTD("tos.rtd", , "DELTA", "."&amp;Table1334[[#This Row],[Ticker]]&amp;Table1334[[#This Row],[Expiry]]&amp;""&amp;"P"&amp;Table1334[[#This Row],[Strike]]))</f>
        <v>0</v>
      </c>
      <c r="Y682" s="19">
        <f>-18.5* IF($M$1="NDX", 10, IF(OR($M$1="SPX", $M$1="RUT"), 2, 1))</f>
        <v>-37</v>
      </c>
      <c r="Z682">
        <f ca="1">IFERROR(Table1334[[#This Row],[call gamma]]*(Table1334[[#This Row],[Open.Int]])*$A$4^2,0)</f>
        <v>0</v>
      </c>
      <c r="AA682">
        <f ca="1">IFERROR(((Table1334[[#This Row],[Open.Int8]])*Table1334[[#This Row],[Put gamma]])*-1*$A$4^2,0)</f>
        <v>0</v>
      </c>
      <c r="AB682">
        <f ca="1">(Table1334[[#This Row],[Call Gex]]+Table1334[[#This Row],[Put Gex]])</f>
        <v>0</v>
      </c>
      <c r="AC682">
        <f ca="1">Table1334[[#This Row],[put delta adj]]+Table1334[[#This Row],[call delta adj]]</f>
        <v>0</v>
      </c>
      <c r="AD682">
        <f ca="1">Table1334[[#This Row],[Put Gex]]*Table1334[[#This Row],[DeltaP]]*-1</f>
        <v>0</v>
      </c>
      <c r="AE682">
        <f ca="1">Table1334[[#This Row],[Call Gex]]*Table1334[[#This Row],[DeltaC]]</f>
        <v>0</v>
      </c>
      <c r="AF682">
        <f>IF(Table1334[[#This Row],[DeltaC]]-ABS(Table1334[[#This Row],[DeltaP]])="0","0.01",Table1334[[#This Row],[DeltaC]]-ABS(Table1334[[#This Row],[DeltaP]]))</f>
        <v>0</v>
      </c>
      <c r="AG68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2" t="e">
        <f ca="1">(EXP(-(AG682^2)/2)/SQRT(2*PI())*EXP(0*SQRT(Table1334[[#This Row],[T]]))/$A$4*18%*SQRT(SQRT(Table1334[[#This Row],[T]])))</f>
        <v>#DIV/0!</v>
      </c>
      <c r="AJ682" t="e">
        <f ca="1">(EXP(-(AH682^2)/2)/SQRT(2*PI())*EXP(0*SQRT(Table1334[[#This Row],[T]]))/$A$4*18%*SQRT(SQRT(Table1334[[#This Row],[T]])))</f>
        <v>#DIV/0!</v>
      </c>
      <c r="AK682" t="e">
        <f ca="1">Table1334[[#This Row],[Call D1]]-Table1334[[#This Row],[IV Calc C]]*SQRT(Table1334[[#This Row],[T]])</f>
        <v>#DIV/0!</v>
      </c>
      <c r="AL682" t="e">
        <f ca="1">Table1334[[#This Row],[Put D1]]-Table1334[[#This Row],[IV Calc P]]*SQRT(Table1334[[#This Row],[T]])</f>
        <v>#DIV/0!</v>
      </c>
      <c r="AM682" t="e">
        <f ca="1">EXP(-0.5*Table1334[[#This Row],[Call D1]]^2)/SQRT(2*PI())</f>
        <v>#DIV/0!</v>
      </c>
      <c r="AN682" t="e">
        <f ca="1">EXP(-0.5*Table1334[[#This Row],[Put D1]]^2)/SQRT(2*PI())</f>
        <v>#DIV/0!</v>
      </c>
      <c r="AO68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2">
        <f ca="1">((Table1334[[#This Row],[call vanna]]+Table1334[[#This Row],[put vanna]])*$A$4)</f>
        <v>0</v>
      </c>
      <c r="AR68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2" s="9" t="str" cm="1">
        <f t="array" ref="AT682">_xlfn.IFS(     $M$1="SPX","SPXW",     $M$1="RUT","RUTW",  $M$1="NDX","NDXP",   TRUE,$M$1 )</f>
        <v>SPXW</v>
      </c>
      <c r="AU682" s="2">
        <f t="shared" si="67"/>
        <v>6915</v>
      </c>
      <c r="AV682" t="str">
        <f t="shared" si="68"/>
        <v>000100</v>
      </c>
      <c r="AY68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2">
        <f>((Table1334[[#This Row],[High C]]+Table1334[[#This Row],[Low C]])/2)*Table1334[[#This Row],[gammac]]*Table1334[[#This Row],[Volume]]</f>
        <v>0</v>
      </c>
      <c r="BD682">
        <f>((Table1334[[#This Row],[High P]]+Table1334[[#This Row],[Low P]])/2)*Table1334[[#This Row],[gammap]]*Table1334[[#This Row],[Volume9]]*-1</f>
        <v>0</v>
      </c>
      <c r="BE682">
        <f>(Table1334[[#This Row],[SgammaC]]+Table1334[[#This Row],[SgammaP]])*$A$4*-100</f>
        <v>0</v>
      </c>
      <c r="BF682">
        <f>Table1334[[#This Row],[DEXc]]+Table1334[[#This Row],[DEXp]]</f>
        <v>0</v>
      </c>
      <c r="BG682">
        <f>IFERROR(Table1334[[#This Row],[DeltaC]]*Table1334[[#This Row],[Open.Int]]*$A$4,0)</f>
        <v>0</v>
      </c>
      <c r="BH682">
        <f>IFERROR(Table1334[[#This Row],[DeltaP]]*Table1334[[#This Row],[Open.Int8]]*$A$4,0)</f>
        <v>0</v>
      </c>
      <c r="BI68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2">
        <f ca="1">Table1334[[#This Row],[charmc]]+Table1334[[#This Row],[charmp]]</f>
        <v>0</v>
      </c>
      <c r="BL68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2" s="78">
        <f ca="1">Table1334[[#This Row],[call helper]]+Table1334[[#This Row],[put helper]]</f>
        <v>0</v>
      </c>
      <c r="BP682" t="str">
        <f>RTD("tos.rtd", , "STRIKE", "."&amp;Table1334[[#This Row],[Ticker]]&amp;Table1334[[#This Row],[Expiry]]&amp;""&amp;"C"&amp;Table1334[[#This Row],[Spot]]+Table1334[[#This Row],[step]])</f>
        <v>N/A</v>
      </c>
    </row>
    <row r="683" spans="1:68" x14ac:dyDescent="0.25">
      <c r="A683" s="14">
        <f t="shared" ref="A683:A746" ca="1" si="69">$R$3</f>
        <v>-126.14810350076104</v>
      </c>
      <c r="C683" s="17"/>
      <c r="D683" t="str">
        <f>RTD("tos.rtd", , "OPEN_INT", "."&amp;Table1334[[#This Row],[Ticker]]&amp;Table1334[[#This Row],[Expiry]]&amp;""&amp;"C"&amp;Table1334[[#This Row],[Spot]]+Table1334[[#This Row],[step]])</f>
        <v>N/A</v>
      </c>
      <c r="E68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3" t="b">
        <f>IF(     ISNUMBER(Table1334[[#This Row],[Strike]]),RTD("tos.rtd", , "DELTA", "."&amp;Table1334[[#This Row],[Ticker]]&amp;Table1334[[#This Row],[Expiry]]&amp;""&amp;"C"&amp;Table1334[[#This Row],[Strike]]))</f>
        <v>0</v>
      </c>
      <c r="H683" s="17" cm="1">
        <f t="array" aca="1" ref="H683" ca="1">IndividualLegIVCore($A$4, Table1334[[#This Row],[Strike]], 0.0411, Table1334[[#This Row],[T]], ((Table1334[[#This Row],[BIDC]]+Table1334[[#This Row],[ASKC]])/2), TRUE)</f>
        <v>0.01</v>
      </c>
      <c r="I683" t="b">
        <f>IF(     ISNUMBER(Table1334[[#This Row],[Strike]]),RTD("tos.rtd", , "BID", "."&amp;Table1334[[#This Row],[Ticker]]&amp;Table1334[[#This Row],[Expiry]]&amp;""&amp;"C"&amp;Table1334[[#This Row],[Strike]]))</f>
        <v>0</v>
      </c>
      <c r="J683" t="b">
        <f>IF(     ISNUMBER(Table1334[[#This Row],[Strike]]),RTD("tos.rtd", , "ASK", "."&amp;Table1334[[#This Row],[Ticker]]&amp;Table1334[[#This Row],[Expiry]]&amp;""&amp;"C"&amp;Table1334[[#This Row],[Strike]]))</f>
        <v>0</v>
      </c>
      <c r="K683" s="17"/>
      <c r="M683" s="1">
        <f t="shared" ref="M683:M746" si="70">$R$1</f>
        <v>0</v>
      </c>
      <c r="N683" t="b">
        <f t="shared" ref="N683:N746" si="71">IF(ISNUMBER($BP683), $BP683, FALSE)</f>
        <v>0</v>
      </c>
      <c r="P683" s="17" cm="1">
        <f t="array" aca="1" ref="P683" ca="1">IndividualLegIVCore($A$4, Table1334[[#This Row],[Strike]], 0.0411, Table1334[[#This Row],[T]], ((Table1334[[#This Row],[BIDP]]+Table1334[[#This Row],[ASKP]])/2), FALSE)</f>
        <v>0.01</v>
      </c>
      <c r="Q683" t="b">
        <f>IF(     ISNUMBER(Table1334[[#This Row],[Strike]]),RTD("tos.rtd", , "BID", "."&amp;Table1334[[#This Row],[Ticker]]&amp;Table1334[[#This Row],[Expiry]]&amp;""&amp;"P"&amp;Table1334[[#This Row],[Strike]]))</f>
        <v>0</v>
      </c>
      <c r="R683" t="b">
        <f>IF(     ISNUMBER(Table1334[[#This Row],[Strike]]),RTD("tos.rtd", , "ASK", "."&amp;Table1334[[#This Row],[Ticker]]&amp;Table1334[[#This Row],[Expiry]]&amp;""&amp;"P"&amp;Table1334[[#This Row],[Strike]]))</f>
        <v>0</v>
      </c>
      <c r="S683" s="17"/>
      <c r="T683" t="b">
        <f>IF(     ISNUMBER(Table1334[[#This Row],[Strike]]),RTD("tos.rtd", , "OPEN_INT", "."&amp;Table1334[[#This Row],[Ticker]]&amp;Table1334[[#This Row],[Expiry]]&amp;""&amp;"P"&amp;Table1334[[#This Row],[Strike]]))</f>
        <v>0</v>
      </c>
      <c r="U68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3" t="b">
        <f>IF(     ISNUMBER(Table1334[[#This Row],[Strike]]),RTD("tos.rtd", , "DELTA", "."&amp;Table1334[[#This Row],[Ticker]]&amp;Table1334[[#This Row],[Expiry]]&amp;""&amp;"P"&amp;Table1334[[#This Row],[Strike]]))</f>
        <v>0</v>
      </c>
      <c r="Y683" s="19">
        <f>-18* IF($M$1="NDX", 10, IF(OR($M$1="SPX", $M$1="RUT"), 2, 1))</f>
        <v>-36</v>
      </c>
      <c r="Z683">
        <f ca="1">IFERROR(Table1334[[#This Row],[call gamma]]*(Table1334[[#This Row],[Open.Int]])*$A$4^2,0)</f>
        <v>0</v>
      </c>
      <c r="AA683">
        <f ca="1">IFERROR(((Table1334[[#This Row],[Open.Int8]])*Table1334[[#This Row],[Put gamma]])*-1*$A$4^2,0)</f>
        <v>0</v>
      </c>
      <c r="AB683">
        <f ca="1">(Table1334[[#This Row],[Call Gex]]+Table1334[[#This Row],[Put Gex]])</f>
        <v>0</v>
      </c>
      <c r="AC683">
        <f ca="1">Table1334[[#This Row],[put delta adj]]+Table1334[[#This Row],[call delta adj]]</f>
        <v>0</v>
      </c>
      <c r="AD683">
        <f ca="1">Table1334[[#This Row],[Put Gex]]*Table1334[[#This Row],[DeltaP]]*-1</f>
        <v>0</v>
      </c>
      <c r="AE683">
        <f ca="1">Table1334[[#This Row],[Call Gex]]*Table1334[[#This Row],[DeltaC]]</f>
        <v>0</v>
      </c>
      <c r="AF683">
        <f>IF(Table1334[[#This Row],[DeltaC]]-ABS(Table1334[[#This Row],[DeltaP]])="0","0.01",Table1334[[#This Row],[DeltaC]]-ABS(Table1334[[#This Row],[DeltaP]]))</f>
        <v>0</v>
      </c>
      <c r="AG68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3" t="e">
        <f ca="1">(EXP(-(AG683^2)/2)/SQRT(2*PI())*EXP(0*SQRT(Table1334[[#This Row],[T]]))/$A$4*18%*SQRT(SQRT(Table1334[[#This Row],[T]])))</f>
        <v>#DIV/0!</v>
      </c>
      <c r="AJ683" t="e">
        <f ca="1">(EXP(-(AH683^2)/2)/SQRT(2*PI())*EXP(0*SQRT(Table1334[[#This Row],[T]]))/$A$4*18%*SQRT(SQRT(Table1334[[#This Row],[T]])))</f>
        <v>#DIV/0!</v>
      </c>
      <c r="AK683" t="e">
        <f ca="1">Table1334[[#This Row],[Call D1]]-Table1334[[#This Row],[IV Calc C]]*SQRT(Table1334[[#This Row],[T]])</f>
        <v>#DIV/0!</v>
      </c>
      <c r="AL683" t="e">
        <f ca="1">Table1334[[#This Row],[Put D1]]-Table1334[[#This Row],[IV Calc P]]*SQRT(Table1334[[#This Row],[T]])</f>
        <v>#DIV/0!</v>
      </c>
      <c r="AM683" t="e">
        <f ca="1">EXP(-0.5*Table1334[[#This Row],[Call D1]]^2)/SQRT(2*PI())</f>
        <v>#DIV/0!</v>
      </c>
      <c r="AN683" t="e">
        <f ca="1">EXP(-0.5*Table1334[[#This Row],[Put D1]]^2)/SQRT(2*PI())</f>
        <v>#DIV/0!</v>
      </c>
      <c r="AO68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3">
        <f ca="1">((Table1334[[#This Row],[call vanna]]+Table1334[[#This Row],[put vanna]])*$A$4)</f>
        <v>0</v>
      </c>
      <c r="AR68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3" s="9" t="str" cm="1">
        <f t="array" ref="AT683">_xlfn.IFS(     $M$1="SPX","SPXW",     $M$1="RUT","RUTW",  $M$1="NDX","NDXP",   TRUE,$M$1 )</f>
        <v>SPXW</v>
      </c>
      <c r="AU683" s="2">
        <f t="shared" ref="AU683:AU746" si="72">$N$1</f>
        <v>6915</v>
      </c>
      <c r="AV683" t="str">
        <f t="shared" ref="AV683:AV746" si="73">$R$2</f>
        <v>000100</v>
      </c>
      <c r="AY68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3">
        <f>((Table1334[[#This Row],[High C]]+Table1334[[#This Row],[Low C]])/2)*Table1334[[#This Row],[gammac]]*Table1334[[#This Row],[Volume]]</f>
        <v>0</v>
      </c>
      <c r="BD683">
        <f>((Table1334[[#This Row],[High P]]+Table1334[[#This Row],[Low P]])/2)*Table1334[[#This Row],[gammap]]*Table1334[[#This Row],[Volume9]]*-1</f>
        <v>0</v>
      </c>
      <c r="BE683">
        <f>(Table1334[[#This Row],[SgammaC]]+Table1334[[#This Row],[SgammaP]])*$A$4*-100</f>
        <v>0</v>
      </c>
      <c r="BF683">
        <f>Table1334[[#This Row],[DEXc]]+Table1334[[#This Row],[DEXp]]</f>
        <v>0</v>
      </c>
      <c r="BG683">
        <f>IFERROR(Table1334[[#This Row],[DeltaC]]*Table1334[[#This Row],[Open.Int]]*$A$4,0)</f>
        <v>0</v>
      </c>
      <c r="BH683">
        <f>IFERROR(Table1334[[#This Row],[DeltaP]]*Table1334[[#This Row],[Open.Int8]]*$A$4,0)</f>
        <v>0</v>
      </c>
      <c r="BI68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3">
        <f ca="1">Table1334[[#This Row],[charmc]]+Table1334[[#This Row],[charmp]]</f>
        <v>0</v>
      </c>
      <c r="BL68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3" s="78">
        <f ca="1">Table1334[[#This Row],[call helper]]+Table1334[[#This Row],[put helper]]</f>
        <v>0</v>
      </c>
      <c r="BP683" t="str">
        <f>RTD("tos.rtd", , "STRIKE", "."&amp;Table1334[[#This Row],[Ticker]]&amp;Table1334[[#This Row],[Expiry]]&amp;""&amp;"C"&amp;Table1334[[#This Row],[Spot]]+Table1334[[#This Row],[step]])</f>
        <v>N/A</v>
      </c>
    </row>
    <row r="684" spans="1:68" x14ac:dyDescent="0.25">
      <c r="A684" s="14">
        <f t="shared" ca="1" si="69"/>
        <v>-126.14810350076104</v>
      </c>
      <c r="C684" s="17"/>
      <c r="D684" t="str">
        <f>RTD("tos.rtd", , "OPEN_INT", "."&amp;Table1334[[#This Row],[Ticker]]&amp;Table1334[[#This Row],[Expiry]]&amp;""&amp;"C"&amp;Table1334[[#This Row],[Spot]]+Table1334[[#This Row],[step]])</f>
        <v>N/A</v>
      </c>
      <c r="E68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4" t="b">
        <f>IF(     ISNUMBER(Table1334[[#This Row],[Strike]]),RTD("tos.rtd", , "DELTA", "."&amp;Table1334[[#This Row],[Ticker]]&amp;Table1334[[#This Row],[Expiry]]&amp;""&amp;"C"&amp;Table1334[[#This Row],[Strike]]))</f>
        <v>0</v>
      </c>
      <c r="H684" s="17" cm="1">
        <f t="array" aca="1" ref="H684" ca="1">IndividualLegIVCore($A$4, Table1334[[#This Row],[Strike]], 0.0411, Table1334[[#This Row],[T]], ((Table1334[[#This Row],[BIDC]]+Table1334[[#This Row],[ASKC]])/2), TRUE)</f>
        <v>0.01</v>
      </c>
      <c r="I684" t="b">
        <f>IF(     ISNUMBER(Table1334[[#This Row],[Strike]]),RTD("tos.rtd", , "BID", "."&amp;Table1334[[#This Row],[Ticker]]&amp;Table1334[[#This Row],[Expiry]]&amp;""&amp;"C"&amp;Table1334[[#This Row],[Strike]]))</f>
        <v>0</v>
      </c>
      <c r="J684" t="b">
        <f>IF(     ISNUMBER(Table1334[[#This Row],[Strike]]),RTD("tos.rtd", , "ASK", "."&amp;Table1334[[#This Row],[Ticker]]&amp;Table1334[[#This Row],[Expiry]]&amp;""&amp;"C"&amp;Table1334[[#This Row],[Strike]]))</f>
        <v>0</v>
      </c>
      <c r="K684" s="17"/>
      <c r="M684" s="1">
        <f t="shared" si="70"/>
        <v>0</v>
      </c>
      <c r="N684" t="b">
        <f t="shared" si="71"/>
        <v>0</v>
      </c>
      <c r="P684" s="17" cm="1">
        <f t="array" aca="1" ref="P684" ca="1">IndividualLegIVCore($A$4, Table1334[[#This Row],[Strike]], 0.0411, Table1334[[#This Row],[T]], ((Table1334[[#This Row],[BIDP]]+Table1334[[#This Row],[ASKP]])/2), FALSE)</f>
        <v>0.01</v>
      </c>
      <c r="Q684" t="b">
        <f>IF(     ISNUMBER(Table1334[[#This Row],[Strike]]),RTD("tos.rtd", , "BID", "."&amp;Table1334[[#This Row],[Ticker]]&amp;Table1334[[#This Row],[Expiry]]&amp;""&amp;"P"&amp;Table1334[[#This Row],[Strike]]))</f>
        <v>0</v>
      </c>
      <c r="R684" t="b">
        <f>IF(     ISNUMBER(Table1334[[#This Row],[Strike]]),RTD("tos.rtd", , "ASK", "."&amp;Table1334[[#This Row],[Ticker]]&amp;Table1334[[#This Row],[Expiry]]&amp;""&amp;"P"&amp;Table1334[[#This Row],[Strike]]))</f>
        <v>0</v>
      </c>
      <c r="S684" s="17"/>
      <c r="T684" t="b">
        <f>IF(     ISNUMBER(Table1334[[#This Row],[Strike]]),RTD("tos.rtd", , "OPEN_INT", "."&amp;Table1334[[#This Row],[Ticker]]&amp;Table1334[[#This Row],[Expiry]]&amp;""&amp;"P"&amp;Table1334[[#This Row],[Strike]]))</f>
        <v>0</v>
      </c>
      <c r="U68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4" t="b">
        <f>IF(     ISNUMBER(Table1334[[#This Row],[Strike]]),RTD("tos.rtd", , "DELTA", "."&amp;Table1334[[#This Row],[Ticker]]&amp;Table1334[[#This Row],[Expiry]]&amp;""&amp;"P"&amp;Table1334[[#This Row],[Strike]]))</f>
        <v>0</v>
      </c>
      <c r="Y684" s="19">
        <f>-17.5* IF($M$1="NDX", 10, IF(OR($M$1="SPX", $M$1="RUT"), 2, 1))</f>
        <v>-35</v>
      </c>
      <c r="Z684">
        <f ca="1">IFERROR(Table1334[[#This Row],[call gamma]]*(Table1334[[#This Row],[Open.Int]])*$A$4^2,0)</f>
        <v>0</v>
      </c>
      <c r="AA684">
        <f ca="1">IFERROR(((Table1334[[#This Row],[Open.Int8]])*Table1334[[#This Row],[Put gamma]])*-1*$A$4^2,0)</f>
        <v>0</v>
      </c>
      <c r="AB684">
        <f ca="1">(Table1334[[#This Row],[Call Gex]]+Table1334[[#This Row],[Put Gex]])</f>
        <v>0</v>
      </c>
      <c r="AC684">
        <f ca="1">Table1334[[#This Row],[put delta adj]]+Table1334[[#This Row],[call delta adj]]</f>
        <v>0</v>
      </c>
      <c r="AD684">
        <f ca="1">Table1334[[#This Row],[Put Gex]]*Table1334[[#This Row],[DeltaP]]*-1</f>
        <v>0</v>
      </c>
      <c r="AE684">
        <f ca="1">Table1334[[#This Row],[Call Gex]]*Table1334[[#This Row],[DeltaC]]</f>
        <v>0</v>
      </c>
      <c r="AF684">
        <f>IF(Table1334[[#This Row],[DeltaC]]-ABS(Table1334[[#This Row],[DeltaP]])="0","0.01",Table1334[[#This Row],[DeltaC]]-ABS(Table1334[[#This Row],[DeltaP]]))</f>
        <v>0</v>
      </c>
      <c r="AG68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4" t="e">
        <f ca="1">(EXP(-(AG684^2)/2)/SQRT(2*PI())*EXP(0*SQRT(Table1334[[#This Row],[T]]))/$A$4*18%*SQRT(SQRT(Table1334[[#This Row],[T]])))</f>
        <v>#DIV/0!</v>
      </c>
      <c r="AJ684" t="e">
        <f ca="1">(EXP(-(AH684^2)/2)/SQRT(2*PI())*EXP(0*SQRT(Table1334[[#This Row],[T]]))/$A$4*18%*SQRT(SQRT(Table1334[[#This Row],[T]])))</f>
        <v>#DIV/0!</v>
      </c>
      <c r="AK684" t="e">
        <f ca="1">Table1334[[#This Row],[Call D1]]-Table1334[[#This Row],[IV Calc C]]*SQRT(Table1334[[#This Row],[T]])</f>
        <v>#DIV/0!</v>
      </c>
      <c r="AL684" t="e">
        <f ca="1">Table1334[[#This Row],[Put D1]]-Table1334[[#This Row],[IV Calc P]]*SQRT(Table1334[[#This Row],[T]])</f>
        <v>#DIV/0!</v>
      </c>
      <c r="AM684" t="e">
        <f ca="1">EXP(-0.5*Table1334[[#This Row],[Call D1]]^2)/SQRT(2*PI())</f>
        <v>#DIV/0!</v>
      </c>
      <c r="AN684" t="e">
        <f ca="1">EXP(-0.5*Table1334[[#This Row],[Put D1]]^2)/SQRT(2*PI())</f>
        <v>#DIV/0!</v>
      </c>
      <c r="AO68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4">
        <f ca="1">((Table1334[[#This Row],[call vanna]]+Table1334[[#This Row],[put vanna]])*$A$4)</f>
        <v>0</v>
      </c>
      <c r="AR68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4" s="9" t="str" cm="1">
        <f t="array" ref="AT684">_xlfn.IFS(     $M$1="SPX","SPXW",     $M$1="RUT","RUTW",  $M$1="NDX","NDXP",   TRUE,$M$1 )</f>
        <v>SPXW</v>
      </c>
      <c r="AU684" s="2">
        <f t="shared" si="72"/>
        <v>6915</v>
      </c>
      <c r="AV684" t="str">
        <f t="shared" si="73"/>
        <v>000100</v>
      </c>
      <c r="AY68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4">
        <f>((Table1334[[#This Row],[High C]]+Table1334[[#This Row],[Low C]])/2)*Table1334[[#This Row],[gammac]]*Table1334[[#This Row],[Volume]]</f>
        <v>0</v>
      </c>
      <c r="BD684">
        <f>((Table1334[[#This Row],[High P]]+Table1334[[#This Row],[Low P]])/2)*Table1334[[#This Row],[gammap]]*Table1334[[#This Row],[Volume9]]*-1</f>
        <v>0</v>
      </c>
      <c r="BE684">
        <f>(Table1334[[#This Row],[SgammaC]]+Table1334[[#This Row],[SgammaP]])*$A$4*-100</f>
        <v>0</v>
      </c>
      <c r="BF684">
        <f>Table1334[[#This Row],[DEXc]]+Table1334[[#This Row],[DEXp]]</f>
        <v>0</v>
      </c>
      <c r="BG684">
        <f>IFERROR(Table1334[[#This Row],[DeltaC]]*Table1334[[#This Row],[Open.Int]]*$A$4,0)</f>
        <v>0</v>
      </c>
      <c r="BH684">
        <f>IFERROR(Table1334[[#This Row],[DeltaP]]*Table1334[[#This Row],[Open.Int8]]*$A$4,0)</f>
        <v>0</v>
      </c>
      <c r="BI68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4">
        <f ca="1">Table1334[[#This Row],[charmc]]+Table1334[[#This Row],[charmp]]</f>
        <v>0</v>
      </c>
      <c r="BL68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4" s="78">
        <f ca="1">Table1334[[#This Row],[call helper]]+Table1334[[#This Row],[put helper]]</f>
        <v>0</v>
      </c>
      <c r="BP684" t="str">
        <f>RTD("tos.rtd", , "STRIKE", "."&amp;Table1334[[#This Row],[Ticker]]&amp;Table1334[[#This Row],[Expiry]]&amp;""&amp;"C"&amp;Table1334[[#This Row],[Spot]]+Table1334[[#This Row],[step]])</f>
        <v>N/A</v>
      </c>
    </row>
    <row r="685" spans="1:68" x14ac:dyDescent="0.25">
      <c r="A685" s="14">
        <f t="shared" ca="1" si="69"/>
        <v>-126.14810350076104</v>
      </c>
      <c r="C685" s="17"/>
      <c r="D685" t="str">
        <f>RTD("tos.rtd", , "OPEN_INT", "."&amp;Table1334[[#This Row],[Ticker]]&amp;Table1334[[#This Row],[Expiry]]&amp;""&amp;"C"&amp;Table1334[[#This Row],[Spot]]+Table1334[[#This Row],[step]])</f>
        <v>N/A</v>
      </c>
      <c r="E68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5" t="b">
        <f>IF(     ISNUMBER(Table1334[[#This Row],[Strike]]),RTD("tos.rtd", , "DELTA", "."&amp;Table1334[[#This Row],[Ticker]]&amp;Table1334[[#This Row],[Expiry]]&amp;""&amp;"C"&amp;Table1334[[#This Row],[Strike]]))</f>
        <v>0</v>
      </c>
      <c r="H685" s="17" cm="1">
        <f t="array" aca="1" ref="H685" ca="1">IndividualLegIVCore($A$4, Table1334[[#This Row],[Strike]], 0.0411, Table1334[[#This Row],[T]], ((Table1334[[#This Row],[BIDC]]+Table1334[[#This Row],[ASKC]])/2), TRUE)</f>
        <v>0.01</v>
      </c>
      <c r="I685" t="b">
        <f>IF(     ISNUMBER(Table1334[[#This Row],[Strike]]),RTD("tos.rtd", , "BID", "."&amp;Table1334[[#This Row],[Ticker]]&amp;Table1334[[#This Row],[Expiry]]&amp;""&amp;"C"&amp;Table1334[[#This Row],[Strike]]))</f>
        <v>0</v>
      </c>
      <c r="J685" t="b">
        <f>IF(     ISNUMBER(Table1334[[#This Row],[Strike]]),RTD("tos.rtd", , "ASK", "."&amp;Table1334[[#This Row],[Ticker]]&amp;Table1334[[#This Row],[Expiry]]&amp;""&amp;"C"&amp;Table1334[[#This Row],[Strike]]))</f>
        <v>0</v>
      </c>
      <c r="K685" s="17"/>
      <c r="M685" s="1">
        <f t="shared" si="70"/>
        <v>0</v>
      </c>
      <c r="N685" t="b">
        <f t="shared" si="71"/>
        <v>0</v>
      </c>
      <c r="P685" s="17" cm="1">
        <f t="array" aca="1" ref="P685" ca="1">IndividualLegIVCore($A$4, Table1334[[#This Row],[Strike]], 0.0411, Table1334[[#This Row],[T]], ((Table1334[[#This Row],[BIDP]]+Table1334[[#This Row],[ASKP]])/2), FALSE)</f>
        <v>0.01</v>
      </c>
      <c r="Q685" t="b">
        <f>IF(     ISNUMBER(Table1334[[#This Row],[Strike]]),RTD("tos.rtd", , "BID", "."&amp;Table1334[[#This Row],[Ticker]]&amp;Table1334[[#This Row],[Expiry]]&amp;""&amp;"P"&amp;Table1334[[#This Row],[Strike]]))</f>
        <v>0</v>
      </c>
      <c r="R685" t="b">
        <f>IF(     ISNUMBER(Table1334[[#This Row],[Strike]]),RTD("tos.rtd", , "ASK", "."&amp;Table1334[[#This Row],[Ticker]]&amp;Table1334[[#This Row],[Expiry]]&amp;""&amp;"P"&amp;Table1334[[#This Row],[Strike]]))</f>
        <v>0</v>
      </c>
      <c r="S685" s="17"/>
      <c r="T685" t="b">
        <f>IF(     ISNUMBER(Table1334[[#This Row],[Strike]]),RTD("tos.rtd", , "OPEN_INT", "."&amp;Table1334[[#This Row],[Ticker]]&amp;Table1334[[#This Row],[Expiry]]&amp;""&amp;"P"&amp;Table1334[[#This Row],[Strike]]))</f>
        <v>0</v>
      </c>
      <c r="U68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5" t="b">
        <f>IF(     ISNUMBER(Table1334[[#This Row],[Strike]]),RTD("tos.rtd", , "DELTA", "."&amp;Table1334[[#This Row],[Ticker]]&amp;Table1334[[#This Row],[Expiry]]&amp;""&amp;"P"&amp;Table1334[[#This Row],[Strike]]))</f>
        <v>0</v>
      </c>
      <c r="Y685" s="19">
        <f>-17* IF($M$1="NDX", 10, IF(OR($M$1="SPX", $M$1="RUT"), 2, 1))</f>
        <v>-34</v>
      </c>
      <c r="Z685">
        <f ca="1">IFERROR(Table1334[[#This Row],[call gamma]]*(Table1334[[#This Row],[Open.Int]])*$A$4^2,0)</f>
        <v>0</v>
      </c>
      <c r="AA685">
        <f ca="1">IFERROR(((Table1334[[#This Row],[Open.Int8]])*Table1334[[#This Row],[Put gamma]])*-1*$A$4^2,0)</f>
        <v>0</v>
      </c>
      <c r="AB685">
        <f ca="1">(Table1334[[#This Row],[Call Gex]]+Table1334[[#This Row],[Put Gex]])</f>
        <v>0</v>
      </c>
      <c r="AC685">
        <f ca="1">Table1334[[#This Row],[put delta adj]]+Table1334[[#This Row],[call delta adj]]</f>
        <v>0</v>
      </c>
      <c r="AD685">
        <f ca="1">Table1334[[#This Row],[Put Gex]]*Table1334[[#This Row],[DeltaP]]*-1</f>
        <v>0</v>
      </c>
      <c r="AE685">
        <f ca="1">Table1334[[#This Row],[Call Gex]]*Table1334[[#This Row],[DeltaC]]</f>
        <v>0</v>
      </c>
      <c r="AF685">
        <f>IF(Table1334[[#This Row],[DeltaC]]-ABS(Table1334[[#This Row],[DeltaP]])="0","0.01",Table1334[[#This Row],[DeltaC]]-ABS(Table1334[[#This Row],[DeltaP]]))</f>
        <v>0</v>
      </c>
      <c r="AG68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5" t="e">
        <f ca="1">(EXP(-(AG685^2)/2)/SQRT(2*PI())*EXP(0*SQRT(Table1334[[#This Row],[T]]))/$A$4*18%*SQRT(SQRT(Table1334[[#This Row],[T]])))</f>
        <v>#DIV/0!</v>
      </c>
      <c r="AJ685" t="e">
        <f ca="1">(EXP(-(AH685^2)/2)/SQRT(2*PI())*EXP(0*SQRT(Table1334[[#This Row],[T]]))/$A$4*18%*SQRT(SQRT(Table1334[[#This Row],[T]])))</f>
        <v>#DIV/0!</v>
      </c>
      <c r="AK685" t="e">
        <f ca="1">Table1334[[#This Row],[Call D1]]-Table1334[[#This Row],[IV Calc C]]*SQRT(Table1334[[#This Row],[T]])</f>
        <v>#DIV/0!</v>
      </c>
      <c r="AL685" t="e">
        <f ca="1">Table1334[[#This Row],[Put D1]]-Table1334[[#This Row],[IV Calc P]]*SQRT(Table1334[[#This Row],[T]])</f>
        <v>#DIV/0!</v>
      </c>
      <c r="AM685" t="e">
        <f ca="1">EXP(-0.5*Table1334[[#This Row],[Call D1]]^2)/SQRT(2*PI())</f>
        <v>#DIV/0!</v>
      </c>
      <c r="AN685" t="e">
        <f ca="1">EXP(-0.5*Table1334[[#This Row],[Put D1]]^2)/SQRT(2*PI())</f>
        <v>#DIV/0!</v>
      </c>
      <c r="AO68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5">
        <f ca="1">((Table1334[[#This Row],[call vanna]]+Table1334[[#This Row],[put vanna]])*$A$4)</f>
        <v>0</v>
      </c>
      <c r="AR68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5" s="9" t="str" cm="1">
        <f t="array" ref="AT685">_xlfn.IFS(     $M$1="SPX","SPXW",     $M$1="RUT","RUTW",  $M$1="NDX","NDXP",   TRUE,$M$1 )</f>
        <v>SPXW</v>
      </c>
      <c r="AU685" s="2">
        <f t="shared" si="72"/>
        <v>6915</v>
      </c>
      <c r="AV685" t="str">
        <f t="shared" si="73"/>
        <v>000100</v>
      </c>
      <c r="AY68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5">
        <f>((Table1334[[#This Row],[High C]]+Table1334[[#This Row],[Low C]])/2)*Table1334[[#This Row],[gammac]]*Table1334[[#This Row],[Volume]]</f>
        <v>0</v>
      </c>
      <c r="BD685">
        <f>((Table1334[[#This Row],[High P]]+Table1334[[#This Row],[Low P]])/2)*Table1334[[#This Row],[gammap]]*Table1334[[#This Row],[Volume9]]*-1</f>
        <v>0</v>
      </c>
      <c r="BE685">
        <f>(Table1334[[#This Row],[SgammaC]]+Table1334[[#This Row],[SgammaP]])*$A$4*-100</f>
        <v>0</v>
      </c>
      <c r="BF685">
        <f>Table1334[[#This Row],[DEXc]]+Table1334[[#This Row],[DEXp]]</f>
        <v>0</v>
      </c>
      <c r="BG685">
        <f>IFERROR(Table1334[[#This Row],[DeltaC]]*Table1334[[#This Row],[Open.Int]]*$A$4,0)</f>
        <v>0</v>
      </c>
      <c r="BH685">
        <f>IFERROR(Table1334[[#This Row],[DeltaP]]*Table1334[[#This Row],[Open.Int8]]*$A$4,0)</f>
        <v>0</v>
      </c>
      <c r="BI68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5">
        <f ca="1">Table1334[[#This Row],[charmc]]+Table1334[[#This Row],[charmp]]</f>
        <v>0</v>
      </c>
      <c r="BL68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5" s="78">
        <f ca="1">Table1334[[#This Row],[call helper]]+Table1334[[#This Row],[put helper]]</f>
        <v>0</v>
      </c>
      <c r="BP685" t="str">
        <f>RTD("tos.rtd", , "STRIKE", "."&amp;Table1334[[#This Row],[Ticker]]&amp;Table1334[[#This Row],[Expiry]]&amp;""&amp;"C"&amp;Table1334[[#This Row],[Spot]]+Table1334[[#This Row],[step]])</f>
        <v>N/A</v>
      </c>
    </row>
    <row r="686" spans="1:68" x14ac:dyDescent="0.25">
      <c r="A686" s="14">
        <f t="shared" ca="1" si="69"/>
        <v>-126.14810350076104</v>
      </c>
      <c r="C686" s="17"/>
      <c r="D686" t="str">
        <f>RTD("tos.rtd", , "OPEN_INT", "."&amp;Table1334[[#This Row],[Ticker]]&amp;Table1334[[#This Row],[Expiry]]&amp;""&amp;"C"&amp;Table1334[[#This Row],[Spot]]+Table1334[[#This Row],[step]])</f>
        <v>N/A</v>
      </c>
      <c r="E68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6" t="b">
        <f>IF(     ISNUMBER(Table1334[[#This Row],[Strike]]),RTD("tos.rtd", , "DELTA", "."&amp;Table1334[[#This Row],[Ticker]]&amp;Table1334[[#This Row],[Expiry]]&amp;""&amp;"C"&amp;Table1334[[#This Row],[Strike]]))</f>
        <v>0</v>
      </c>
      <c r="H686" s="17" cm="1">
        <f t="array" aca="1" ref="H686" ca="1">IndividualLegIVCore($A$4, Table1334[[#This Row],[Strike]], 0.0411, Table1334[[#This Row],[T]], ((Table1334[[#This Row],[BIDC]]+Table1334[[#This Row],[ASKC]])/2), TRUE)</f>
        <v>0.01</v>
      </c>
      <c r="I686" t="b">
        <f>IF(     ISNUMBER(Table1334[[#This Row],[Strike]]),RTD("tos.rtd", , "BID", "."&amp;Table1334[[#This Row],[Ticker]]&amp;Table1334[[#This Row],[Expiry]]&amp;""&amp;"C"&amp;Table1334[[#This Row],[Strike]]))</f>
        <v>0</v>
      </c>
      <c r="J686" t="b">
        <f>IF(     ISNUMBER(Table1334[[#This Row],[Strike]]),RTD("tos.rtd", , "ASK", "."&amp;Table1334[[#This Row],[Ticker]]&amp;Table1334[[#This Row],[Expiry]]&amp;""&amp;"C"&amp;Table1334[[#This Row],[Strike]]))</f>
        <v>0</v>
      </c>
      <c r="K686" s="17"/>
      <c r="M686" s="1">
        <f t="shared" si="70"/>
        <v>0</v>
      </c>
      <c r="N686" t="b">
        <f t="shared" si="71"/>
        <v>0</v>
      </c>
      <c r="P686" s="17" cm="1">
        <f t="array" aca="1" ref="P686" ca="1">IndividualLegIVCore($A$4, Table1334[[#This Row],[Strike]], 0.0411, Table1334[[#This Row],[T]], ((Table1334[[#This Row],[BIDP]]+Table1334[[#This Row],[ASKP]])/2), FALSE)</f>
        <v>0.01</v>
      </c>
      <c r="Q686" t="b">
        <f>IF(     ISNUMBER(Table1334[[#This Row],[Strike]]),RTD("tos.rtd", , "BID", "."&amp;Table1334[[#This Row],[Ticker]]&amp;Table1334[[#This Row],[Expiry]]&amp;""&amp;"P"&amp;Table1334[[#This Row],[Strike]]))</f>
        <v>0</v>
      </c>
      <c r="R686" t="b">
        <f>IF(     ISNUMBER(Table1334[[#This Row],[Strike]]),RTD("tos.rtd", , "ASK", "."&amp;Table1334[[#This Row],[Ticker]]&amp;Table1334[[#This Row],[Expiry]]&amp;""&amp;"P"&amp;Table1334[[#This Row],[Strike]]))</f>
        <v>0</v>
      </c>
      <c r="S686" s="17"/>
      <c r="T686" t="b">
        <f>IF(     ISNUMBER(Table1334[[#This Row],[Strike]]),RTD("tos.rtd", , "OPEN_INT", "."&amp;Table1334[[#This Row],[Ticker]]&amp;Table1334[[#This Row],[Expiry]]&amp;""&amp;"P"&amp;Table1334[[#This Row],[Strike]]))</f>
        <v>0</v>
      </c>
      <c r="U68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6" t="b">
        <f>IF(     ISNUMBER(Table1334[[#This Row],[Strike]]),RTD("tos.rtd", , "DELTA", "."&amp;Table1334[[#This Row],[Ticker]]&amp;Table1334[[#This Row],[Expiry]]&amp;""&amp;"P"&amp;Table1334[[#This Row],[Strike]]))</f>
        <v>0</v>
      </c>
      <c r="Y686" s="19">
        <f>-16.5* IF($M$1="NDX", 10, IF(OR($M$1="SPX", $M$1="RUT"), 2, 1))</f>
        <v>-33</v>
      </c>
      <c r="Z686">
        <f ca="1">IFERROR(Table1334[[#This Row],[call gamma]]*(Table1334[[#This Row],[Open.Int]])*$A$4^2,0)</f>
        <v>0</v>
      </c>
      <c r="AA686">
        <f ca="1">IFERROR(((Table1334[[#This Row],[Open.Int8]])*Table1334[[#This Row],[Put gamma]])*-1*$A$4^2,0)</f>
        <v>0</v>
      </c>
      <c r="AB686">
        <f ca="1">(Table1334[[#This Row],[Call Gex]]+Table1334[[#This Row],[Put Gex]])</f>
        <v>0</v>
      </c>
      <c r="AC686">
        <f ca="1">Table1334[[#This Row],[put delta adj]]+Table1334[[#This Row],[call delta adj]]</f>
        <v>0</v>
      </c>
      <c r="AD686">
        <f ca="1">Table1334[[#This Row],[Put Gex]]*Table1334[[#This Row],[DeltaP]]*-1</f>
        <v>0</v>
      </c>
      <c r="AE686">
        <f ca="1">Table1334[[#This Row],[Call Gex]]*Table1334[[#This Row],[DeltaC]]</f>
        <v>0</v>
      </c>
      <c r="AF686">
        <f>IF(Table1334[[#This Row],[DeltaC]]-ABS(Table1334[[#This Row],[DeltaP]])="0","0.01",Table1334[[#This Row],[DeltaC]]-ABS(Table1334[[#This Row],[DeltaP]]))</f>
        <v>0</v>
      </c>
      <c r="AG68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6" t="e">
        <f ca="1">(EXP(-(AG686^2)/2)/SQRT(2*PI())*EXP(0*SQRT(Table1334[[#This Row],[T]]))/$A$4*18%*SQRT(SQRT(Table1334[[#This Row],[T]])))</f>
        <v>#DIV/0!</v>
      </c>
      <c r="AJ686" t="e">
        <f ca="1">(EXP(-(AH686^2)/2)/SQRT(2*PI())*EXP(0*SQRT(Table1334[[#This Row],[T]]))/$A$4*18%*SQRT(SQRT(Table1334[[#This Row],[T]])))</f>
        <v>#DIV/0!</v>
      </c>
      <c r="AK686" t="e">
        <f ca="1">Table1334[[#This Row],[Call D1]]-Table1334[[#This Row],[IV Calc C]]*SQRT(Table1334[[#This Row],[T]])</f>
        <v>#DIV/0!</v>
      </c>
      <c r="AL686" t="e">
        <f ca="1">Table1334[[#This Row],[Put D1]]-Table1334[[#This Row],[IV Calc P]]*SQRT(Table1334[[#This Row],[T]])</f>
        <v>#DIV/0!</v>
      </c>
      <c r="AM686" t="e">
        <f ca="1">EXP(-0.5*Table1334[[#This Row],[Call D1]]^2)/SQRT(2*PI())</f>
        <v>#DIV/0!</v>
      </c>
      <c r="AN686" t="e">
        <f ca="1">EXP(-0.5*Table1334[[#This Row],[Put D1]]^2)/SQRT(2*PI())</f>
        <v>#DIV/0!</v>
      </c>
      <c r="AO68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6">
        <f ca="1">((Table1334[[#This Row],[call vanna]]+Table1334[[#This Row],[put vanna]])*$A$4)</f>
        <v>0</v>
      </c>
      <c r="AR68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6" s="9" t="str" cm="1">
        <f t="array" ref="AT686">_xlfn.IFS(     $M$1="SPX","SPXW",     $M$1="RUT","RUTW",  $M$1="NDX","NDXP",   TRUE,$M$1 )</f>
        <v>SPXW</v>
      </c>
      <c r="AU686" s="2">
        <f t="shared" si="72"/>
        <v>6915</v>
      </c>
      <c r="AV686" t="str">
        <f t="shared" si="73"/>
        <v>000100</v>
      </c>
      <c r="AY68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6">
        <f>((Table1334[[#This Row],[High C]]+Table1334[[#This Row],[Low C]])/2)*Table1334[[#This Row],[gammac]]*Table1334[[#This Row],[Volume]]</f>
        <v>0</v>
      </c>
      <c r="BD686">
        <f>((Table1334[[#This Row],[High P]]+Table1334[[#This Row],[Low P]])/2)*Table1334[[#This Row],[gammap]]*Table1334[[#This Row],[Volume9]]*-1</f>
        <v>0</v>
      </c>
      <c r="BE686">
        <f>(Table1334[[#This Row],[SgammaC]]+Table1334[[#This Row],[SgammaP]])*$A$4*-100</f>
        <v>0</v>
      </c>
      <c r="BF686">
        <f>Table1334[[#This Row],[DEXc]]+Table1334[[#This Row],[DEXp]]</f>
        <v>0</v>
      </c>
      <c r="BG686">
        <f>IFERROR(Table1334[[#This Row],[DeltaC]]*Table1334[[#This Row],[Open.Int]]*$A$4,0)</f>
        <v>0</v>
      </c>
      <c r="BH686">
        <f>IFERROR(Table1334[[#This Row],[DeltaP]]*Table1334[[#This Row],[Open.Int8]]*$A$4,0)</f>
        <v>0</v>
      </c>
      <c r="BI68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6">
        <f ca="1">Table1334[[#This Row],[charmc]]+Table1334[[#This Row],[charmp]]</f>
        <v>0</v>
      </c>
      <c r="BL68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6" s="78">
        <f ca="1">Table1334[[#This Row],[call helper]]+Table1334[[#This Row],[put helper]]</f>
        <v>0</v>
      </c>
      <c r="BP686" t="str">
        <f>RTD("tos.rtd", , "STRIKE", "."&amp;Table1334[[#This Row],[Ticker]]&amp;Table1334[[#This Row],[Expiry]]&amp;""&amp;"C"&amp;Table1334[[#This Row],[Spot]]+Table1334[[#This Row],[step]])</f>
        <v>N/A</v>
      </c>
    </row>
    <row r="687" spans="1:68" x14ac:dyDescent="0.25">
      <c r="A687" s="14">
        <f t="shared" ca="1" si="69"/>
        <v>-126.14810350076104</v>
      </c>
      <c r="C687" s="17"/>
      <c r="D687" t="str">
        <f>RTD("tos.rtd", , "OPEN_INT", "."&amp;Table1334[[#This Row],[Ticker]]&amp;Table1334[[#This Row],[Expiry]]&amp;""&amp;"C"&amp;Table1334[[#This Row],[Spot]]+Table1334[[#This Row],[step]])</f>
        <v>N/A</v>
      </c>
      <c r="E68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7" t="b">
        <f>IF(     ISNUMBER(Table1334[[#This Row],[Strike]]),RTD("tos.rtd", , "DELTA", "."&amp;Table1334[[#This Row],[Ticker]]&amp;Table1334[[#This Row],[Expiry]]&amp;""&amp;"C"&amp;Table1334[[#This Row],[Strike]]))</f>
        <v>0</v>
      </c>
      <c r="H687" s="17" cm="1">
        <f t="array" aca="1" ref="H687" ca="1">IndividualLegIVCore($A$4, Table1334[[#This Row],[Strike]], 0.0411, Table1334[[#This Row],[T]], ((Table1334[[#This Row],[BIDC]]+Table1334[[#This Row],[ASKC]])/2), TRUE)</f>
        <v>0.01</v>
      </c>
      <c r="I687" t="b">
        <f>IF(     ISNUMBER(Table1334[[#This Row],[Strike]]),RTD("tos.rtd", , "BID", "."&amp;Table1334[[#This Row],[Ticker]]&amp;Table1334[[#This Row],[Expiry]]&amp;""&amp;"C"&amp;Table1334[[#This Row],[Strike]]))</f>
        <v>0</v>
      </c>
      <c r="J687" t="b">
        <f>IF(     ISNUMBER(Table1334[[#This Row],[Strike]]),RTD("tos.rtd", , "ASK", "."&amp;Table1334[[#This Row],[Ticker]]&amp;Table1334[[#This Row],[Expiry]]&amp;""&amp;"C"&amp;Table1334[[#This Row],[Strike]]))</f>
        <v>0</v>
      </c>
      <c r="K687" s="17"/>
      <c r="M687" s="1">
        <f t="shared" si="70"/>
        <v>0</v>
      </c>
      <c r="N687" t="b">
        <f t="shared" si="71"/>
        <v>0</v>
      </c>
      <c r="P687" s="17" cm="1">
        <f t="array" aca="1" ref="P687" ca="1">IndividualLegIVCore($A$4, Table1334[[#This Row],[Strike]], 0.0411, Table1334[[#This Row],[T]], ((Table1334[[#This Row],[BIDP]]+Table1334[[#This Row],[ASKP]])/2), FALSE)</f>
        <v>0.01</v>
      </c>
      <c r="Q687" t="b">
        <f>IF(     ISNUMBER(Table1334[[#This Row],[Strike]]),RTD("tos.rtd", , "BID", "."&amp;Table1334[[#This Row],[Ticker]]&amp;Table1334[[#This Row],[Expiry]]&amp;""&amp;"P"&amp;Table1334[[#This Row],[Strike]]))</f>
        <v>0</v>
      </c>
      <c r="R687" t="b">
        <f>IF(     ISNUMBER(Table1334[[#This Row],[Strike]]),RTD("tos.rtd", , "ASK", "."&amp;Table1334[[#This Row],[Ticker]]&amp;Table1334[[#This Row],[Expiry]]&amp;""&amp;"P"&amp;Table1334[[#This Row],[Strike]]))</f>
        <v>0</v>
      </c>
      <c r="S687" s="17"/>
      <c r="T687" t="b">
        <f>IF(     ISNUMBER(Table1334[[#This Row],[Strike]]),RTD("tos.rtd", , "OPEN_INT", "."&amp;Table1334[[#This Row],[Ticker]]&amp;Table1334[[#This Row],[Expiry]]&amp;""&amp;"P"&amp;Table1334[[#This Row],[Strike]]))</f>
        <v>0</v>
      </c>
      <c r="U68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7" t="b">
        <f>IF(     ISNUMBER(Table1334[[#This Row],[Strike]]),RTD("tos.rtd", , "DELTA", "."&amp;Table1334[[#This Row],[Ticker]]&amp;Table1334[[#This Row],[Expiry]]&amp;""&amp;"P"&amp;Table1334[[#This Row],[Strike]]))</f>
        <v>0</v>
      </c>
      <c r="Y687" s="19">
        <f>-16* IF($M$1="NDX", 10, IF(OR($M$1="SPX", $M$1="RUT"), 2, 1))</f>
        <v>-32</v>
      </c>
      <c r="Z687">
        <f ca="1">IFERROR(Table1334[[#This Row],[call gamma]]*(Table1334[[#This Row],[Open.Int]])*$A$4^2,0)</f>
        <v>0</v>
      </c>
      <c r="AA687">
        <f ca="1">IFERROR(((Table1334[[#This Row],[Open.Int8]])*Table1334[[#This Row],[Put gamma]])*-1*$A$4^2,0)</f>
        <v>0</v>
      </c>
      <c r="AB687">
        <f ca="1">(Table1334[[#This Row],[Call Gex]]+Table1334[[#This Row],[Put Gex]])</f>
        <v>0</v>
      </c>
      <c r="AC687">
        <f ca="1">Table1334[[#This Row],[put delta adj]]+Table1334[[#This Row],[call delta adj]]</f>
        <v>0</v>
      </c>
      <c r="AD687">
        <f ca="1">Table1334[[#This Row],[Put Gex]]*Table1334[[#This Row],[DeltaP]]*-1</f>
        <v>0</v>
      </c>
      <c r="AE687">
        <f ca="1">Table1334[[#This Row],[Call Gex]]*Table1334[[#This Row],[DeltaC]]</f>
        <v>0</v>
      </c>
      <c r="AF687">
        <f>IF(Table1334[[#This Row],[DeltaC]]-ABS(Table1334[[#This Row],[DeltaP]])="0","0.01",Table1334[[#This Row],[DeltaC]]-ABS(Table1334[[#This Row],[DeltaP]]))</f>
        <v>0</v>
      </c>
      <c r="AG68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7" t="e">
        <f ca="1">(EXP(-(AG687^2)/2)/SQRT(2*PI())*EXP(0*SQRT(Table1334[[#This Row],[T]]))/$A$4*18%*SQRT(SQRT(Table1334[[#This Row],[T]])))</f>
        <v>#DIV/0!</v>
      </c>
      <c r="AJ687" t="e">
        <f ca="1">(EXP(-(AH687^2)/2)/SQRT(2*PI())*EXP(0*SQRT(Table1334[[#This Row],[T]]))/$A$4*18%*SQRT(SQRT(Table1334[[#This Row],[T]])))</f>
        <v>#DIV/0!</v>
      </c>
      <c r="AK687" t="e">
        <f ca="1">Table1334[[#This Row],[Call D1]]-Table1334[[#This Row],[IV Calc C]]*SQRT(Table1334[[#This Row],[T]])</f>
        <v>#DIV/0!</v>
      </c>
      <c r="AL687" t="e">
        <f ca="1">Table1334[[#This Row],[Put D1]]-Table1334[[#This Row],[IV Calc P]]*SQRT(Table1334[[#This Row],[T]])</f>
        <v>#DIV/0!</v>
      </c>
      <c r="AM687" t="e">
        <f ca="1">EXP(-0.5*Table1334[[#This Row],[Call D1]]^2)/SQRT(2*PI())</f>
        <v>#DIV/0!</v>
      </c>
      <c r="AN687" t="e">
        <f ca="1">EXP(-0.5*Table1334[[#This Row],[Put D1]]^2)/SQRT(2*PI())</f>
        <v>#DIV/0!</v>
      </c>
      <c r="AO68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7">
        <f ca="1">((Table1334[[#This Row],[call vanna]]+Table1334[[#This Row],[put vanna]])*$A$4)</f>
        <v>0</v>
      </c>
      <c r="AR68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7" s="9" t="str" cm="1">
        <f t="array" ref="AT687">_xlfn.IFS(     $M$1="SPX","SPXW",     $M$1="RUT","RUTW",  $M$1="NDX","NDXP",   TRUE,$M$1 )</f>
        <v>SPXW</v>
      </c>
      <c r="AU687" s="2">
        <f t="shared" si="72"/>
        <v>6915</v>
      </c>
      <c r="AV687" t="str">
        <f t="shared" si="73"/>
        <v>000100</v>
      </c>
      <c r="AY68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7">
        <f>((Table1334[[#This Row],[High C]]+Table1334[[#This Row],[Low C]])/2)*Table1334[[#This Row],[gammac]]*Table1334[[#This Row],[Volume]]</f>
        <v>0</v>
      </c>
      <c r="BD687">
        <f>((Table1334[[#This Row],[High P]]+Table1334[[#This Row],[Low P]])/2)*Table1334[[#This Row],[gammap]]*Table1334[[#This Row],[Volume9]]*-1</f>
        <v>0</v>
      </c>
      <c r="BE687">
        <f>(Table1334[[#This Row],[SgammaC]]+Table1334[[#This Row],[SgammaP]])*$A$4*-100</f>
        <v>0</v>
      </c>
      <c r="BF687">
        <f>Table1334[[#This Row],[DEXc]]+Table1334[[#This Row],[DEXp]]</f>
        <v>0</v>
      </c>
      <c r="BG687">
        <f>IFERROR(Table1334[[#This Row],[DeltaC]]*Table1334[[#This Row],[Open.Int]]*$A$4,0)</f>
        <v>0</v>
      </c>
      <c r="BH687">
        <f>IFERROR(Table1334[[#This Row],[DeltaP]]*Table1334[[#This Row],[Open.Int8]]*$A$4,0)</f>
        <v>0</v>
      </c>
      <c r="BI68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7">
        <f ca="1">Table1334[[#This Row],[charmc]]+Table1334[[#This Row],[charmp]]</f>
        <v>0</v>
      </c>
      <c r="BL68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7" s="78">
        <f ca="1">Table1334[[#This Row],[call helper]]+Table1334[[#This Row],[put helper]]</f>
        <v>0</v>
      </c>
      <c r="BP687" t="str">
        <f>RTD("tos.rtd", , "STRIKE", "."&amp;Table1334[[#This Row],[Ticker]]&amp;Table1334[[#This Row],[Expiry]]&amp;""&amp;"C"&amp;Table1334[[#This Row],[Spot]]+Table1334[[#This Row],[step]])</f>
        <v>N/A</v>
      </c>
    </row>
    <row r="688" spans="1:68" x14ac:dyDescent="0.25">
      <c r="A688" s="14">
        <f t="shared" ca="1" si="69"/>
        <v>-126.14810350076104</v>
      </c>
      <c r="C688" s="17"/>
      <c r="D688" t="str">
        <f>RTD("tos.rtd", , "OPEN_INT", "."&amp;Table1334[[#This Row],[Ticker]]&amp;Table1334[[#This Row],[Expiry]]&amp;""&amp;"C"&amp;Table1334[[#This Row],[Spot]]+Table1334[[#This Row],[step]])</f>
        <v>N/A</v>
      </c>
      <c r="E68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8" t="b">
        <f>IF(     ISNUMBER(Table1334[[#This Row],[Strike]]),RTD("tos.rtd", , "DELTA", "."&amp;Table1334[[#This Row],[Ticker]]&amp;Table1334[[#This Row],[Expiry]]&amp;""&amp;"C"&amp;Table1334[[#This Row],[Strike]]))</f>
        <v>0</v>
      </c>
      <c r="H688" s="17" cm="1">
        <f t="array" aca="1" ref="H688" ca="1">IndividualLegIVCore($A$4, Table1334[[#This Row],[Strike]], 0.0411, Table1334[[#This Row],[T]], ((Table1334[[#This Row],[BIDC]]+Table1334[[#This Row],[ASKC]])/2), TRUE)</f>
        <v>0.01</v>
      </c>
      <c r="I688" t="b">
        <f>IF(     ISNUMBER(Table1334[[#This Row],[Strike]]),RTD("tos.rtd", , "BID", "."&amp;Table1334[[#This Row],[Ticker]]&amp;Table1334[[#This Row],[Expiry]]&amp;""&amp;"C"&amp;Table1334[[#This Row],[Strike]]))</f>
        <v>0</v>
      </c>
      <c r="J688" t="b">
        <f>IF(     ISNUMBER(Table1334[[#This Row],[Strike]]),RTD("tos.rtd", , "ASK", "."&amp;Table1334[[#This Row],[Ticker]]&amp;Table1334[[#This Row],[Expiry]]&amp;""&amp;"C"&amp;Table1334[[#This Row],[Strike]]))</f>
        <v>0</v>
      </c>
      <c r="K688" s="17"/>
      <c r="M688" s="1">
        <f t="shared" si="70"/>
        <v>0</v>
      </c>
      <c r="N688" t="b">
        <f t="shared" si="71"/>
        <v>0</v>
      </c>
      <c r="P688" s="17" cm="1">
        <f t="array" aca="1" ref="P688" ca="1">IndividualLegIVCore($A$4, Table1334[[#This Row],[Strike]], 0.0411, Table1334[[#This Row],[T]], ((Table1334[[#This Row],[BIDP]]+Table1334[[#This Row],[ASKP]])/2), FALSE)</f>
        <v>0.01</v>
      </c>
      <c r="Q688" t="b">
        <f>IF(     ISNUMBER(Table1334[[#This Row],[Strike]]),RTD("tos.rtd", , "BID", "."&amp;Table1334[[#This Row],[Ticker]]&amp;Table1334[[#This Row],[Expiry]]&amp;""&amp;"P"&amp;Table1334[[#This Row],[Strike]]))</f>
        <v>0</v>
      </c>
      <c r="R688" t="b">
        <f>IF(     ISNUMBER(Table1334[[#This Row],[Strike]]),RTD("tos.rtd", , "ASK", "."&amp;Table1334[[#This Row],[Ticker]]&amp;Table1334[[#This Row],[Expiry]]&amp;""&amp;"P"&amp;Table1334[[#This Row],[Strike]]))</f>
        <v>0</v>
      </c>
      <c r="S688" s="17"/>
      <c r="T688" t="b">
        <f>IF(     ISNUMBER(Table1334[[#This Row],[Strike]]),RTD("tos.rtd", , "OPEN_INT", "."&amp;Table1334[[#This Row],[Ticker]]&amp;Table1334[[#This Row],[Expiry]]&amp;""&amp;"P"&amp;Table1334[[#This Row],[Strike]]))</f>
        <v>0</v>
      </c>
      <c r="U68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8" t="b">
        <f>IF(     ISNUMBER(Table1334[[#This Row],[Strike]]),RTD("tos.rtd", , "DELTA", "."&amp;Table1334[[#This Row],[Ticker]]&amp;Table1334[[#This Row],[Expiry]]&amp;""&amp;"P"&amp;Table1334[[#This Row],[Strike]]))</f>
        <v>0</v>
      </c>
      <c r="Y688" s="21">
        <f>-15.5* IF($M$1="NDX", 10, IF(OR($M$1="SPX", $M$1="RUT"), 2, 1))</f>
        <v>-31</v>
      </c>
      <c r="Z688">
        <f ca="1">IFERROR(Table1334[[#This Row],[call gamma]]*(Table1334[[#This Row],[Open.Int]])*$A$4^2,0)</f>
        <v>0</v>
      </c>
      <c r="AA688">
        <f ca="1">IFERROR(((Table1334[[#This Row],[Open.Int8]])*Table1334[[#This Row],[Put gamma]])*-1*$A$4^2,0)</f>
        <v>0</v>
      </c>
      <c r="AB688">
        <f ca="1">(Table1334[[#This Row],[Call Gex]]+Table1334[[#This Row],[Put Gex]])</f>
        <v>0</v>
      </c>
      <c r="AC688">
        <f ca="1">Table1334[[#This Row],[put delta adj]]+Table1334[[#This Row],[call delta adj]]</f>
        <v>0</v>
      </c>
      <c r="AD688">
        <f ca="1">Table1334[[#This Row],[Put Gex]]*Table1334[[#This Row],[DeltaP]]*-1</f>
        <v>0</v>
      </c>
      <c r="AE688">
        <f ca="1">Table1334[[#This Row],[Call Gex]]*Table1334[[#This Row],[DeltaC]]</f>
        <v>0</v>
      </c>
      <c r="AF688">
        <f>IF(Table1334[[#This Row],[DeltaC]]-ABS(Table1334[[#This Row],[DeltaP]])="0","0.01",Table1334[[#This Row],[DeltaC]]-ABS(Table1334[[#This Row],[DeltaP]]))</f>
        <v>0</v>
      </c>
      <c r="AG68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8" t="e">
        <f ca="1">(EXP(-(AG688^2)/2)/SQRT(2*PI())*EXP(0*SQRT(Table1334[[#This Row],[T]]))/$A$4*18%*SQRT(SQRT(Table1334[[#This Row],[T]])))</f>
        <v>#DIV/0!</v>
      </c>
      <c r="AJ688" t="e">
        <f ca="1">(EXP(-(AH688^2)/2)/SQRT(2*PI())*EXP(0*SQRT(Table1334[[#This Row],[T]]))/$A$4*18%*SQRT(SQRT(Table1334[[#This Row],[T]])))</f>
        <v>#DIV/0!</v>
      </c>
      <c r="AK688" t="e">
        <f ca="1">Table1334[[#This Row],[Call D1]]-Table1334[[#This Row],[IV Calc C]]*SQRT(Table1334[[#This Row],[T]])</f>
        <v>#DIV/0!</v>
      </c>
      <c r="AL688" t="e">
        <f ca="1">Table1334[[#This Row],[Put D1]]-Table1334[[#This Row],[IV Calc P]]*SQRT(Table1334[[#This Row],[T]])</f>
        <v>#DIV/0!</v>
      </c>
      <c r="AM688" t="e">
        <f ca="1">EXP(-0.5*Table1334[[#This Row],[Call D1]]^2)/SQRT(2*PI())</f>
        <v>#DIV/0!</v>
      </c>
      <c r="AN688" t="e">
        <f ca="1">EXP(-0.5*Table1334[[#This Row],[Put D1]]^2)/SQRT(2*PI())</f>
        <v>#DIV/0!</v>
      </c>
      <c r="AO68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8">
        <f ca="1">((Table1334[[#This Row],[call vanna]]+Table1334[[#This Row],[put vanna]])*$A$4)</f>
        <v>0</v>
      </c>
      <c r="AR68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8" s="9" t="str" cm="1">
        <f t="array" ref="AT688">_xlfn.IFS(     $M$1="SPX","SPXW",     $M$1="RUT","RUTW",  $M$1="NDX","NDXP",   TRUE,$M$1 )</f>
        <v>SPXW</v>
      </c>
      <c r="AU688" s="2">
        <f t="shared" si="72"/>
        <v>6915</v>
      </c>
      <c r="AV688" t="str">
        <f t="shared" si="73"/>
        <v>000100</v>
      </c>
      <c r="AY68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8">
        <f>((Table1334[[#This Row],[High C]]+Table1334[[#This Row],[Low C]])/2)*Table1334[[#This Row],[gammac]]*Table1334[[#This Row],[Volume]]</f>
        <v>0</v>
      </c>
      <c r="BD688">
        <f>((Table1334[[#This Row],[High P]]+Table1334[[#This Row],[Low P]])/2)*Table1334[[#This Row],[gammap]]*Table1334[[#This Row],[Volume9]]*-1</f>
        <v>0</v>
      </c>
      <c r="BE688">
        <f>(Table1334[[#This Row],[SgammaC]]+Table1334[[#This Row],[SgammaP]])*$A$4*-100</f>
        <v>0</v>
      </c>
      <c r="BF688">
        <f>Table1334[[#This Row],[DEXc]]+Table1334[[#This Row],[DEXp]]</f>
        <v>0</v>
      </c>
      <c r="BG688">
        <f>IFERROR(Table1334[[#This Row],[DeltaC]]*Table1334[[#This Row],[Open.Int]]*$A$4,0)</f>
        <v>0</v>
      </c>
      <c r="BH688">
        <f>IFERROR(Table1334[[#This Row],[DeltaP]]*Table1334[[#This Row],[Open.Int8]]*$A$4,0)</f>
        <v>0</v>
      </c>
      <c r="BI68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8">
        <f ca="1">Table1334[[#This Row],[charmc]]+Table1334[[#This Row],[charmp]]</f>
        <v>0</v>
      </c>
      <c r="BL68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8" s="78">
        <f ca="1">Table1334[[#This Row],[call helper]]+Table1334[[#This Row],[put helper]]</f>
        <v>0</v>
      </c>
      <c r="BP688" t="str">
        <f>RTD("tos.rtd", , "STRIKE", "."&amp;Table1334[[#This Row],[Ticker]]&amp;Table1334[[#This Row],[Expiry]]&amp;""&amp;"C"&amp;Table1334[[#This Row],[Spot]]+Table1334[[#This Row],[step]])</f>
        <v>N/A</v>
      </c>
    </row>
    <row r="689" spans="1:68" x14ac:dyDescent="0.25">
      <c r="A689" s="14">
        <f t="shared" ca="1" si="69"/>
        <v>-126.14810350076104</v>
      </c>
      <c r="C689" s="17"/>
      <c r="D689" t="str">
        <f>RTD("tos.rtd", , "OPEN_INT", "."&amp;Table1334[[#This Row],[Ticker]]&amp;Table1334[[#This Row],[Expiry]]&amp;""&amp;"C"&amp;Table1334[[#This Row],[Spot]]+Table1334[[#This Row],[step]])</f>
        <v>N/A</v>
      </c>
      <c r="E68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9" t="b">
        <f>IF(     ISNUMBER(Table1334[[#This Row],[Strike]]),RTD("tos.rtd", , "DELTA", "."&amp;Table1334[[#This Row],[Ticker]]&amp;Table1334[[#This Row],[Expiry]]&amp;""&amp;"C"&amp;Table1334[[#This Row],[Strike]]))</f>
        <v>0</v>
      </c>
      <c r="H689" s="17" cm="1">
        <f t="array" aca="1" ref="H689" ca="1">IndividualLegIVCore($A$4, Table1334[[#This Row],[Strike]], 0.0411, Table1334[[#This Row],[T]], ((Table1334[[#This Row],[BIDC]]+Table1334[[#This Row],[ASKC]])/2), TRUE)</f>
        <v>0.01</v>
      </c>
      <c r="I689" t="b">
        <f>IF(     ISNUMBER(Table1334[[#This Row],[Strike]]),RTD("tos.rtd", , "BID", "."&amp;Table1334[[#This Row],[Ticker]]&amp;Table1334[[#This Row],[Expiry]]&amp;""&amp;"C"&amp;Table1334[[#This Row],[Strike]]))</f>
        <v>0</v>
      </c>
      <c r="J689" t="b">
        <f>IF(     ISNUMBER(Table1334[[#This Row],[Strike]]),RTD("tos.rtd", , "ASK", "."&amp;Table1334[[#This Row],[Ticker]]&amp;Table1334[[#This Row],[Expiry]]&amp;""&amp;"C"&amp;Table1334[[#This Row],[Strike]]))</f>
        <v>0</v>
      </c>
      <c r="K689" s="17"/>
      <c r="M689" s="1">
        <f t="shared" si="70"/>
        <v>0</v>
      </c>
      <c r="N689" t="b">
        <f t="shared" si="71"/>
        <v>0</v>
      </c>
      <c r="P689" s="17" cm="1">
        <f t="array" aca="1" ref="P689" ca="1">IndividualLegIVCore($A$4, Table1334[[#This Row],[Strike]], 0.0411, Table1334[[#This Row],[T]], ((Table1334[[#This Row],[BIDP]]+Table1334[[#This Row],[ASKP]])/2), FALSE)</f>
        <v>0.01</v>
      </c>
      <c r="Q689" t="b">
        <f>IF(     ISNUMBER(Table1334[[#This Row],[Strike]]),RTD("tos.rtd", , "BID", "."&amp;Table1334[[#This Row],[Ticker]]&amp;Table1334[[#This Row],[Expiry]]&amp;""&amp;"P"&amp;Table1334[[#This Row],[Strike]]))</f>
        <v>0</v>
      </c>
      <c r="R689" t="b">
        <f>IF(     ISNUMBER(Table1334[[#This Row],[Strike]]),RTD("tos.rtd", , "ASK", "."&amp;Table1334[[#This Row],[Ticker]]&amp;Table1334[[#This Row],[Expiry]]&amp;""&amp;"P"&amp;Table1334[[#This Row],[Strike]]))</f>
        <v>0</v>
      </c>
      <c r="S689" s="17"/>
      <c r="T689" t="b">
        <f>IF(     ISNUMBER(Table1334[[#This Row],[Strike]]),RTD("tos.rtd", , "OPEN_INT", "."&amp;Table1334[[#This Row],[Ticker]]&amp;Table1334[[#This Row],[Expiry]]&amp;""&amp;"P"&amp;Table1334[[#This Row],[Strike]]))</f>
        <v>0</v>
      </c>
      <c r="U68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9" t="b">
        <f>IF(     ISNUMBER(Table1334[[#This Row],[Strike]]),RTD("tos.rtd", , "DELTA", "."&amp;Table1334[[#This Row],[Ticker]]&amp;Table1334[[#This Row],[Expiry]]&amp;""&amp;"P"&amp;Table1334[[#This Row],[Strike]]))</f>
        <v>0</v>
      </c>
      <c r="Y689" s="19">
        <f>-15* IF($M$1="NDX", 10, IF(OR($M$1="SPX", $M$1="RUT"), 2, 1))</f>
        <v>-30</v>
      </c>
      <c r="Z689">
        <f ca="1">IFERROR(Table1334[[#This Row],[call gamma]]*(Table1334[[#This Row],[Open.Int]])*$A$4^2,0)</f>
        <v>0</v>
      </c>
      <c r="AA689">
        <f ca="1">IFERROR(((Table1334[[#This Row],[Open.Int8]])*Table1334[[#This Row],[Put gamma]])*-1*$A$4^2,0)</f>
        <v>0</v>
      </c>
      <c r="AB689">
        <f ca="1">(Table1334[[#This Row],[Call Gex]]+Table1334[[#This Row],[Put Gex]])</f>
        <v>0</v>
      </c>
      <c r="AC689">
        <f ca="1">Table1334[[#This Row],[put delta adj]]+Table1334[[#This Row],[call delta adj]]</f>
        <v>0</v>
      </c>
      <c r="AD689">
        <f ca="1">Table1334[[#This Row],[Put Gex]]*Table1334[[#This Row],[DeltaP]]*-1</f>
        <v>0</v>
      </c>
      <c r="AE689">
        <f ca="1">Table1334[[#This Row],[Call Gex]]*Table1334[[#This Row],[DeltaC]]</f>
        <v>0</v>
      </c>
      <c r="AF689">
        <f>IF(Table1334[[#This Row],[DeltaC]]-ABS(Table1334[[#This Row],[DeltaP]])="0","0.01",Table1334[[#This Row],[DeltaC]]-ABS(Table1334[[#This Row],[DeltaP]]))</f>
        <v>0</v>
      </c>
      <c r="AG68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9" t="e">
        <f ca="1">(EXP(-(AG689^2)/2)/SQRT(2*PI())*EXP(0*SQRT(Table1334[[#This Row],[T]]))/$A$4*18%*SQRT(SQRT(Table1334[[#This Row],[T]])))</f>
        <v>#DIV/0!</v>
      </c>
      <c r="AJ689" t="e">
        <f ca="1">(EXP(-(AH689^2)/2)/SQRT(2*PI())*EXP(0*SQRT(Table1334[[#This Row],[T]]))/$A$4*18%*SQRT(SQRT(Table1334[[#This Row],[T]])))</f>
        <v>#DIV/0!</v>
      </c>
      <c r="AK689" t="e">
        <f ca="1">Table1334[[#This Row],[Call D1]]-Table1334[[#This Row],[IV Calc C]]*SQRT(Table1334[[#This Row],[T]])</f>
        <v>#DIV/0!</v>
      </c>
      <c r="AL689" t="e">
        <f ca="1">Table1334[[#This Row],[Put D1]]-Table1334[[#This Row],[IV Calc P]]*SQRT(Table1334[[#This Row],[T]])</f>
        <v>#DIV/0!</v>
      </c>
      <c r="AM689" t="e">
        <f ca="1">EXP(-0.5*Table1334[[#This Row],[Call D1]]^2)/SQRT(2*PI())</f>
        <v>#DIV/0!</v>
      </c>
      <c r="AN689" t="e">
        <f ca="1">EXP(-0.5*Table1334[[#This Row],[Put D1]]^2)/SQRT(2*PI())</f>
        <v>#DIV/0!</v>
      </c>
      <c r="AO68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9">
        <f ca="1">((Table1334[[#This Row],[call vanna]]+Table1334[[#This Row],[put vanna]])*$A$4)</f>
        <v>0</v>
      </c>
      <c r="AR68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9" s="9" t="str" cm="1">
        <f t="array" ref="AT689">_xlfn.IFS(     $M$1="SPX","SPXW",     $M$1="RUT","RUTW",  $M$1="NDX","NDXP",   TRUE,$M$1 )</f>
        <v>SPXW</v>
      </c>
      <c r="AU689" s="2">
        <f t="shared" si="72"/>
        <v>6915</v>
      </c>
      <c r="AV689" t="str">
        <f t="shared" si="73"/>
        <v>000100</v>
      </c>
      <c r="AY68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9">
        <f>((Table1334[[#This Row],[High C]]+Table1334[[#This Row],[Low C]])/2)*Table1334[[#This Row],[gammac]]*Table1334[[#This Row],[Volume]]</f>
        <v>0</v>
      </c>
      <c r="BD689">
        <f>((Table1334[[#This Row],[High P]]+Table1334[[#This Row],[Low P]])/2)*Table1334[[#This Row],[gammap]]*Table1334[[#This Row],[Volume9]]*-1</f>
        <v>0</v>
      </c>
      <c r="BE689">
        <f>(Table1334[[#This Row],[SgammaC]]+Table1334[[#This Row],[SgammaP]])*$A$4*-100</f>
        <v>0</v>
      </c>
      <c r="BF689">
        <f>Table1334[[#This Row],[DEXc]]+Table1334[[#This Row],[DEXp]]</f>
        <v>0</v>
      </c>
      <c r="BG689">
        <f>IFERROR(Table1334[[#This Row],[DeltaC]]*Table1334[[#This Row],[Open.Int]]*$A$4,0)</f>
        <v>0</v>
      </c>
      <c r="BH689">
        <f>IFERROR(Table1334[[#This Row],[DeltaP]]*Table1334[[#This Row],[Open.Int8]]*$A$4,0)</f>
        <v>0</v>
      </c>
      <c r="BI68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9">
        <f ca="1">Table1334[[#This Row],[charmc]]+Table1334[[#This Row],[charmp]]</f>
        <v>0</v>
      </c>
      <c r="BL68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9" s="78">
        <f ca="1">Table1334[[#This Row],[call helper]]+Table1334[[#This Row],[put helper]]</f>
        <v>0</v>
      </c>
      <c r="BP689" t="str">
        <f>RTD("tos.rtd", , "STRIKE", "."&amp;Table1334[[#This Row],[Ticker]]&amp;Table1334[[#This Row],[Expiry]]&amp;""&amp;"C"&amp;Table1334[[#This Row],[Spot]]+Table1334[[#This Row],[step]])</f>
        <v>N/A</v>
      </c>
    </row>
    <row r="690" spans="1:68" x14ac:dyDescent="0.25">
      <c r="A690" s="24">
        <f t="shared" ca="1" si="69"/>
        <v>-126.14810350076104</v>
      </c>
      <c r="B690" s="13"/>
      <c r="C690" s="17"/>
      <c r="D690" t="str">
        <f>RTD("tos.rtd", , "OPEN_INT", "."&amp;Table1334[[#This Row],[Ticker]]&amp;Table1334[[#This Row],[Expiry]]&amp;""&amp;"C"&amp;Table1334[[#This Row],[Spot]]+Table1334[[#This Row],[step]])</f>
        <v>N/A</v>
      </c>
      <c r="E69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0" t="b">
        <f>IF(     ISNUMBER(Table1334[[#This Row],[Strike]]),RTD("tos.rtd", , "DELTA", "."&amp;Table1334[[#This Row],[Ticker]]&amp;Table1334[[#This Row],[Expiry]]&amp;""&amp;"C"&amp;Table1334[[#This Row],[Strike]]))</f>
        <v>0</v>
      </c>
      <c r="H690" s="17" cm="1">
        <f t="array" aca="1" ref="H690" ca="1">IndividualLegIVCore($A$4, Table1334[[#This Row],[Strike]], 0.0411, Table1334[[#This Row],[T]], ((Table1334[[#This Row],[BIDC]]+Table1334[[#This Row],[ASKC]])/2), TRUE)</f>
        <v>0.01</v>
      </c>
      <c r="I690" t="b">
        <f>IF(     ISNUMBER(Table1334[[#This Row],[Strike]]),RTD("tos.rtd", , "BID", "."&amp;Table1334[[#This Row],[Ticker]]&amp;Table1334[[#This Row],[Expiry]]&amp;""&amp;"C"&amp;Table1334[[#This Row],[Strike]]))</f>
        <v>0</v>
      </c>
      <c r="J690" t="b">
        <f>IF(     ISNUMBER(Table1334[[#This Row],[Strike]]),RTD("tos.rtd", , "ASK", "."&amp;Table1334[[#This Row],[Ticker]]&amp;Table1334[[#This Row],[Expiry]]&amp;""&amp;"C"&amp;Table1334[[#This Row],[Strike]]))</f>
        <v>0</v>
      </c>
      <c r="K690" s="17"/>
      <c r="M690" s="1">
        <f t="shared" si="70"/>
        <v>0</v>
      </c>
      <c r="N690" t="b">
        <f t="shared" si="71"/>
        <v>0</v>
      </c>
      <c r="P690" s="17" cm="1">
        <f t="array" aca="1" ref="P690" ca="1">IndividualLegIVCore($A$4, Table1334[[#This Row],[Strike]], 0.0411, Table1334[[#This Row],[T]], ((Table1334[[#This Row],[BIDP]]+Table1334[[#This Row],[ASKP]])/2), FALSE)</f>
        <v>0.01</v>
      </c>
      <c r="Q690" t="b">
        <f>IF(     ISNUMBER(Table1334[[#This Row],[Strike]]),RTD("tos.rtd", , "BID", "."&amp;Table1334[[#This Row],[Ticker]]&amp;Table1334[[#This Row],[Expiry]]&amp;""&amp;"P"&amp;Table1334[[#This Row],[Strike]]))</f>
        <v>0</v>
      </c>
      <c r="R690" t="b">
        <f>IF(     ISNUMBER(Table1334[[#This Row],[Strike]]),RTD("tos.rtd", , "ASK", "."&amp;Table1334[[#This Row],[Ticker]]&amp;Table1334[[#This Row],[Expiry]]&amp;""&amp;"P"&amp;Table1334[[#This Row],[Strike]]))</f>
        <v>0</v>
      </c>
      <c r="S690" s="17"/>
      <c r="T690" t="b">
        <f>IF(     ISNUMBER(Table1334[[#This Row],[Strike]]),RTD("tos.rtd", , "OPEN_INT", "."&amp;Table1334[[#This Row],[Ticker]]&amp;Table1334[[#This Row],[Expiry]]&amp;""&amp;"P"&amp;Table1334[[#This Row],[Strike]]))</f>
        <v>0</v>
      </c>
      <c r="U69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0" t="b">
        <f>IF(     ISNUMBER(Table1334[[#This Row],[Strike]]),RTD("tos.rtd", , "DELTA", "."&amp;Table1334[[#This Row],[Ticker]]&amp;Table1334[[#This Row],[Expiry]]&amp;""&amp;"P"&amp;Table1334[[#This Row],[Strike]]))</f>
        <v>0</v>
      </c>
      <c r="X690" s="13"/>
      <c r="Y690" s="19">
        <f>-14.5* IF($M$1="NDX", 10, IF(OR($M$1="SPX", $M$1="RUT"), 2, 1))</f>
        <v>-29</v>
      </c>
      <c r="Z690">
        <f ca="1">IFERROR(Table1334[[#This Row],[call gamma]]*(Table1334[[#This Row],[Open.Int]])*$A$4^2,0)</f>
        <v>0</v>
      </c>
      <c r="AA690">
        <f ca="1">IFERROR(((Table1334[[#This Row],[Open.Int8]])*Table1334[[#This Row],[Put gamma]])*-1*$A$4^2,0)</f>
        <v>0</v>
      </c>
      <c r="AB690">
        <f ca="1">(Table1334[[#This Row],[Call Gex]]+Table1334[[#This Row],[Put Gex]])</f>
        <v>0</v>
      </c>
      <c r="AC690">
        <f ca="1">Table1334[[#This Row],[put delta adj]]+Table1334[[#This Row],[call delta adj]]</f>
        <v>0</v>
      </c>
      <c r="AD690">
        <f ca="1">Table1334[[#This Row],[Put Gex]]*Table1334[[#This Row],[DeltaP]]*-1</f>
        <v>0</v>
      </c>
      <c r="AE690">
        <f ca="1">Table1334[[#This Row],[Call Gex]]*Table1334[[#This Row],[DeltaC]]</f>
        <v>0</v>
      </c>
      <c r="AF690">
        <f>IF(Table1334[[#This Row],[DeltaC]]-ABS(Table1334[[#This Row],[DeltaP]])="0","0.01",Table1334[[#This Row],[DeltaC]]-ABS(Table1334[[#This Row],[DeltaP]]))</f>
        <v>0</v>
      </c>
      <c r="AG69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0" t="e">
        <f ca="1">(EXP(-(AG690^2)/2)/SQRT(2*PI())*EXP(0*SQRT(Table1334[[#This Row],[T]]))/$A$4*18%*SQRT(SQRT(Table1334[[#This Row],[T]])))</f>
        <v>#DIV/0!</v>
      </c>
      <c r="AJ690" t="e">
        <f ca="1">(EXP(-(AH690^2)/2)/SQRT(2*PI())*EXP(0*SQRT(Table1334[[#This Row],[T]]))/$A$4*18%*SQRT(SQRT(Table1334[[#This Row],[T]])))</f>
        <v>#DIV/0!</v>
      </c>
      <c r="AK690" t="e">
        <f ca="1">Table1334[[#This Row],[Call D1]]-Table1334[[#This Row],[IV Calc C]]*SQRT(Table1334[[#This Row],[T]])</f>
        <v>#DIV/0!</v>
      </c>
      <c r="AL690" t="e">
        <f ca="1">Table1334[[#This Row],[Put D1]]-Table1334[[#This Row],[IV Calc P]]*SQRT(Table1334[[#This Row],[T]])</f>
        <v>#DIV/0!</v>
      </c>
      <c r="AM690" t="e">
        <f ca="1">EXP(-0.5*Table1334[[#This Row],[Call D1]]^2)/SQRT(2*PI())</f>
        <v>#DIV/0!</v>
      </c>
      <c r="AN690" t="e">
        <f ca="1">EXP(-0.5*Table1334[[#This Row],[Put D1]]^2)/SQRT(2*PI())</f>
        <v>#DIV/0!</v>
      </c>
      <c r="AO69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0">
        <f ca="1">((Table1334[[#This Row],[call vanna]]+Table1334[[#This Row],[put vanna]])*$A$4)</f>
        <v>0</v>
      </c>
      <c r="AR69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0" s="22" t="str" cm="1">
        <f t="array" ref="AT690">_xlfn.IFS(     $M$1="SPX","SPXW",     $M$1="RUT","RUTW",  $M$1="NDX","NDXP",   TRUE,$M$1 )</f>
        <v>SPXW</v>
      </c>
      <c r="AU690" s="2">
        <f t="shared" si="72"/>
        <v>6915</v>
      </c>
      <c r="AV690" t="str">
        <f t="shared" si="73"/>
        <v>000100</v>
      </c>
      <c r="AY69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0">
        <f>((Table1334[[#This Row],[High C]]+Table1334[[#This Row],[Low C]])/2)*Table1334[[#This Row],[gammac]]*Table1334[[#This Row],[Volume]]</f>
        <v>0</v>
      </c>
      <c r="BD690">
        <f>((Table1334[[#This Row],[High P]]+Table1334[[#This Row],[Low P]])/2)*Table1334[[#This Row],[gammap]]*Table1334[[#This Row],[Volume9]]*-1</f>
        <v>0</v>
      </c>
      <c r="BE690">
        <f>(Table1334[[#This Row],[SgammaC]]+Table1334[[#This Row],[SgammaP]])*$A$4*-100</f>
        <v>0</v>
      </c>
      <c r="BF690">
        <f>Table1334[[#This Row],[DEXc]]+Table1334[[#This Row],[DEXp]]</f>
        <v>0</v>
      </c>
      <c r="BG690">
        <f>IFERROR(Table1334[[#This Row],[DeltaC]]*Table1334[[#This Row],[Open.Int]]*$A$4,0)</f>
        <v>0</v>
      </c>
      <c r="BH690">
        <f>IFERROR(Table1334[[#This Row],[DeltaP]]*Table1334[[#This Row],[Open.Int8]]*$A$4,0)</f>
        <v>0</v>
      </c>
      <c r="BI69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0">
        <f ca="1">Table1334[[#This Row],[charmc]]+Table1334[[#This Row],[charmp]]</f>
        <v>0</v>
      </c>
      <c r="BL69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0" s="78">
        <f ca="1">Table1334[[#This Row],[call helper]]+Table1334[[#This Row],[put helper]]</f>
        <v>0</v>
      </c>
      <c r="BP690" t="str">
        <f>RTD("tos.rtd", , "STRIKE", "."&amp;Table1334[[#This Row],[Ticker]]&amp;Table1334[[#This Row],[Expiry]]&amp;""&amp;"C"&amp;Table1334[[#This Row],[Spot]]+Table1334[[#This Row],[step]])</f>
        <v>N/A</v>
      </c>
    </row>
    <row r="691" spans="1:68" x14ac:dyDescent="0.25">
      <c r="A691" s="14">
        <f t="shared" ca="1" si="69"/>
        <v>-126.14810350076104</v>
      </c>
      <c r="C691" s="17"/>
      <c r="D691" t="str">
        <f>RTD("tos.rtd", , "OPEN_INT", "."&amp;Table1334[[#This Row],[Ticker]]&amp;Table1334[[#This Row],[Expiry]]&amp;""&amp;"C"&amp;Table1334[[#This Row],[Spot]]+Table1334[[#This Row],[step]])</f>
        <v>N/A</v>
      </c>
      <c r="E69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1" t="b">
        <f>IF(     ISNUMBER(Table1334[[#This Row],[Strike]]),RTD("tos.rtd", , "DELTA", "."&amp;Table1334[[#This Row],[Ticker]]&amp;Table1334[[#This Row],[Expiry]]&amp;""&amp;"C"&amp;Table1334[[#This Row],[Strike]]))</f>
        <v>0</v>
      </c>
      <c r="H691" s="17" cm="1">
        <f t="array" aca="1" ref="H691" ca="1">IndividualLegIVCore($A$4, Table1334[[#This Row],[Strike]], 0.0411, Table1334[[#This Row],[T]], ((Table1334[[#This Row],[BIDC]]+Table1334[[#This Row],[ASKC]])/2), TRUE)</f>
        <v>0.01</v>
      </c>
      <c r="I691" t="b">
        <f>IF(     ISNUMBER(Table1334[[#This Row],[Strike]]),RTD("tos.rtd", , "BID", "."&amp;Table1334[[#This Row],[Ticker]]&amp;Table1334[[#This Row],[Expiry]]&amp;""&amp;"C"&amp;Table1334[[#This Row],[Strike]]))</f>
        <v>0</v>
      </c>
      <c r="J691" t="b">
        <f>IF(     ISNUMBER(Table1334[[#This Row],[Strike]]),RTD("tos.rtd", , "ASK", "."&amp;Table1334[[#This Row],[Ticker]]&amp;Table1334[[#This Row],[Expiry]]&amp;""&amp;"C"&amp;Table1334[[#This Row],[Strike]]))</f>
        <v>0</v>
      </c>
      <c r="K691" s="17"/>
      <c r="M691" s="1">
        <f t="shared" si="70"/>
        <v>0</v>
      </c>
      <c r="N691" t="b">
        <f t="shared" si="71"/>
        <v>0</v>
      </c>
      <c r="P691" s="17" cm="1">
        <f t="array" aca="1" ref="P691" ca="1">IndividualLegIVCore($A$4, Table1334[[#This Row],[Strike]], 0.0411, Table1334[[#This Row],[T]], ((Table1334[[#This Row],[BIDP]]+Table1334[[#This Row],[ASKP]])/2), FALSE)</f>
        <v>0.01</v>
      </c>
      <c r="Q691" t="b">
        <f>IF(     ISNUMBER(Table1334[[#This Row],[Strike]]),RTD("tos.rtd", , "BID", "."&amp;Table1334[[#This Row],[Ticker]]&amp;Table1334[[#This Row],[Expiry]]&amp;""&amp;"P"&amp;Table1334[[#This Row],[Strike]]))</f>
        <v>0</v>
      </c>
      <c r="R691" t="b">
        <f>IF(     ISNUMBER(Table1334[[#This Row],[Strike]]),RTD("tos.rtd", , "ASK", "."&amp;Table1334[[#This Row],[Ticker]]&amp;Table1334[[#This Row],[Expiry]]&amp;""&amp;"P"&amp;Table1334[[#This Row],[Strike]]))</f>
        <v>0</v>
      </c>
      <c r="S691" s="17"/>
      <c r="T691" t="b">
        <f>IF(     ISNUMBER(Table1334[[#This Row],[Strike]]),RTD("tos.rtd", , "OPEN_INT", "."&amp;Table1334[[#This Row],[Ticker]]&amp;Table1334[[#This Row],[Expiry]]&amp;""&amp;"P"&amp;Table1334[[#This Row],[Strike]]))</f>
        <v>0</v>
      </c>
      <c r="U69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1" t="b">
        <f>IF(     ISNUMBER(Table1334[[#This Row],[Strike]]),RTD("tos.rtd", , "DELTA", "."&amp;Table1334[[#This Row],[Ticker]]&amp;Table1334[[#This Row],[Expiry]]&amp;""&amp;"P"&amp;Table1334[[#This Row],[Strike]]))</f>
        <v>0</v>
      </c>
      <c r="Y691" s="19">
        <f>-14* IF($M$1="NDX", 10, IF(OR($M$1="SPX", $M$1="RUT"), 2, 1))</f>
        <v>-28</v>
      </c>
      <c r="Z691">
        <f ca="1">IFERROR(Table1334[[#This Row],[call gamma]]*(Table1334[[#This Row],[Open.Int]])*$A$4^2,0)</f>
        <v>0</v>
      </c>
      <c r="AA691">
        <f ca="1">IFERROR(((Table1334[[#This Row],[Open.Int8]])*Table1334[[#This Row],[Put gamma]])*-1*$A$4^2,0)</f>
        <v>0</v>
      </c>
      <c r="AB691">
        <f ca="1">(Table1334[[#This Row],[Call Gex]]+Table1334[[#This Row],[Put Gex]])</f>
        <v>0</v>
      </c>
      <c r="AC691">
        <f ca="1">Table1334[[#This Row],[put delta adj]]+Table1334[[#This Row],[call delta adj]]</f>
        <v>0</v>
      </c>
      <c r="AD691">
        <f ca="1">Table1334[[#This Row],[Put Gex]]*Table1334[[#This Row],[DeltaP]]*-1</f>
        <v>0</v>
      </c>
      <c r="AE691">
        <f ca="1">Table1334[[#This Row],[Call Gex]]*Table1334[[#This Row],[DeltaC]]</f>
        <v>0</v>
      </c>
      <c r="AF691">
        <f>IF(Table1334[[#This Row],[DeltaC]]-ABS(Table1334[[#This Row],[DeltaP]])="0","0.01",Table1334[[#This Row],[DeltaC]]-ABS(Table1334[[#This Row],[DeltaP]]))</f>
        <v>0</v>
      </c>
      <c r="AG69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1" t="e">
        <f ca="1">(EXP(-(AG691^2)/2)/SQRT(2*PI())*EXP(0*SQRT(Table1334[[#This Row],[T]]))/$A$4*18%*SQRT(SQRT(Table1334[[#This Row],[T]])))</f>
        <v>#DIV/0!</v>
      </c>
      <c r="AJ691" t="e">
        <f ca="1">(EXP(-(AH691^2)/2)/SQRT(2*PI())*EXP(0*SQRT(Table1334[[#This Row],[T]]))/$A$4*18%*SQRT(SQRT(Table1334[[#This Row],[T]])))</f>
        <v>#DIV/0!</v>
      </c>
      <c r="AK691" t="e">
        <f ca="1">Table1334[[#This Row],[Call D1]]-Table1334[[#This Row],[IV Calc C]]*SQRT(Table1334[[#This Row],[T]])</f>
        <v>#DIV/0!</v>
      </c>
      <c r="AL691" t="e">
        <f ca="1">Table1334[[#This Row],[Put D1]]-Table1334[[#This Row],[IV Calc P]]*SQRT(Table1334[[#This Row],[T]])</f>
        <v>#DIV/0!</v>
      </c>
      <c r="AM691" t="e">
        <f ca="1">EXP(-0.5*Table1334[[#This Row],[Call D1]]^2)/SQRT(2*PI())</f>
        <v>#DIV/0!</v>
      </c>
      <c r="AN691" t="e">
        <f ca="1">EXP(-0.5*Table1334[[#This Row],[Put D1]]^2)/SQRT(2*PI())</f>
        <v>#DIV/0!</v>
      </c>
      <c r="AO69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1">
        <f ca="1">((Table1334[[#This Row],[call vanna]]+Table1334[[#This Row],[put vanna]])*$A$4)</f>
        <v>0</v>
      </c>
      <c r="AR69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1" s="9" t="str" cm="1">
        <f t="array" ref="AT691">_xlfn.IFS(     $M$1="SPX","SPXW",     $M$1="RUT","RUTW",  $M$1="NDX","NDXP",   TRUE,$M$1 )</f>
        <v>SPXW</v>
      </c>
      <c r="AU691" s="2">
        <f t="shared" si="72"/>
        <v>6915</v>
      </c>
      <c r="AV691" t="str">
        <f t="shared" si="73"/>
        <v>000100</v>
      </c>
      <c r="AY69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1">
        <f>((Table1334[[#This Row],[High C]]+Table1334[[#This Row],[Low C]])/2)*Table1334[[#This Row],[gammac]]*Table1334[[#This Row],[Volume]]</f>
        <v>0</v>
      </c>
      <c r="BD691">
        <f>((Table1334[[#This Row],[High P]]+Table1334[[#This Row],[Low P]])/2)*Table1334[[#This Row],[gammap]]*Table1334[[#This Row],[Volume9]]*-1</f>
        <v>0</v>
      </c>
      <c r="BE691">
        <f>(Table1334[[#This Row],[SgammaC]]+Table1334[[#This Row],[SgammaP]])*$A$4*-100</f>
        <v>0</v>
      </c>
      <c r="BF691">
        <f>Table1334[[#This Row],[DEXc]]+Table1334[[#This Row],[DEXp]]</f>
        <v>0</v>
      </c>
      <c r="BG691">
        <f>IFERROR(Table1334[[#This Row],[DeltaC]]*Table1334[[#This Row],[Open.Int]]*$A$4,0)</f>
        <v>0</v>
      </c>
      <c r="BH691">
        <f>IFERROR(Table1334[[#This Row],[DeltaP]]*Table1334[[#This Row],[Open.Int8]]*$A$4,0)</f>
        <v>0</v>
      </c>
      <c r="BI69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1">
        <f ca="1">Table1334[[#This Row],[charmc]]+Table1334[[#This Row],[charmp]]</f>
        <v>0</v>
      </c>
      <c r="BL69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1" s="78">
        <f ca="1">Table1334[[#This Row],[call helper]]+Table1334[[#This Row],[put helper]]</f>
        <v>0</v>
      </c>
      <c r="BP691" t="str">
        <f>RTD("tos.rtd", , "STRIKE", "."&amp;Table1334[[#This Row],[Ticker]]&amp;Table1334[[#This Row],[Expiry]]&amp;""&amp;"C"&amp;Table1334[[#This Row],[Spot]]+Table1334[[#This Row],[step]])</f>
        <v>N/A</v>
      </c>
    </row>
    <row r="692" spans="1:68" x14ac:dyDescent="0.25">
      <c r="A692" s="14">
        <f t="shared" ca="1" si="69"/>
        <v>-126.14810350076104</v>
      </c>
      <c r="C692" s="17"/>
      <c r="D692" t="str">
        <f>RTD("tos.rtd", , "OPEN_INT", "."&amp;Table1334[[#This Row],[Ticker]]&amp;Table1334[[#This Row],[Expiry]]&amp;""&amp;"C"&amp;Table1334[[#This Row],[Spot]]+Table1334[[#This Row],[step]])</f>
        <v>N/A</v>
      </c>
      <c r="E69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2" t="b">
        <f>IF(     ISNUMBER(Table1334[[#This Row],[Strike]]),RTD("tos.rtd", , "DELTA", "."&amp;Table1334[[#This Row],[Ticker]]&amp;Table1334[[#This Row],[Expiry]]&amp;""&amp;"C"&amp;Table1334[[#This Row],[Strike]]))</f>
        <v>0</v>
      </c>
      <c r="H692" s="17" cm="1">
        <f t="array" aca="1" ref="H692" ca="1">IndividualLegIVCore($A$4, Table1334[[#This Row],[Strike]], 0.0411, Table1334[[#This Row],[T]], ((Table1334[[#This Row],[BIDC]]+Table1334[[#This Row],[ASKC]])/2), TRUE)</f>
        <v>0.01</v>
      </c>
      <c r="I692" t="b">
        <f>IF(     ISNUMBER(Table1334[[#This Row],[Strike]]),RTD("tos.rtd", , "BID", "."&amp;Table1334[[#This Row],[Ticker]]&amp;Table1334[[#This Row],[Expiry]]&amp;""&amp;"C"&amp;Table1334[[#This Row],[Strike]]))</f>
        <v>0</v>
      </c>
      <c r="J692" t="b">
        <f>IF(     ISNUMBER(Table1334[[#This Row],[Strike]]),RTD("tos.rtd", , "ASK", "."&amp;Table1334[[#This Row],[Ticker]]&amp;Table1334[[#This Row],[Expiry]]&amp;""&amp;"C"&amp;Table1334[[#This Row],[Strike]]))</f>
        <v>0</v>
      </c>
      <c r="K692" s="17"/>
      <c r="M692" s="1">
        <f t="shared" si="70"/>
        <v>0</v>
      </c>
      <c r="N692" t="b">
        <f t="shared" si="71"/>
        <v>0</v>
      </c>
      <c r="P692" s="17" cm="1">
        <f t="array" aca="1" ref="P692" ca="1">IndividualLegIVCore($A$4, Table1334[[#This Row],[Strike]], 0.0411, Table1334[[#This Row],[T]], ((Table1334[[#This Row],[BIDP]]+Table1334[[#This Row],[ASKP]])/2), FALSE)</f>
        <v>0.01</v>
      </c>
      <c r="Q692" t="b">
        <f>IF(     ISNUMBER(Table1334[[#This Row],[Strike]]),RTD("tos.rtd", , "BID", "."&amp;Table1334[[#This Row],[Ticker]]&amp;Table1334[[#This Row],[Expiry]]&amp;""&amp;"P"&amp;Table1334[[#This Row],[Strike]]))</f>
        <v>0</v>
      </c>
      <c r="R692" t="b">
        <f>IF(     ISNUMBER(Table1334[[#This Row],[Strike]]),RTD("tos.rtd", , "ASK", "."&amp;Table1334[[#This Row],[Ticker]]&amp;Table1334[[#This Row],[Expiry]]&amp;""&amp;"P"&amp;Table1334[[#This Row],[Strike]]))</f>
        <v>0</v>
      </c>
      <c r="S692" s="17"/>
      <c r="T692" t="b">
        <f>IF(     ISNUMBER(Table1334[[#This Row],[Strike]]),RTD("tos.rtd", , "OPEN_INT", "."&amp;Table1334[[#This Row],[Ticker]]&amp;Table1334[[#This Row],[Expiry]]&amp;""&amp;"P"&amp;Table1334[[#This Row],[Strike]]))</f>
        <v>0</v>
      </c>
      <c r="U69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2" t="b">
        <f>IF(     ISNUMBER(Table1334[[#This Row],[Strike]]),RTD("tos.rtd", , "DELTA", "."&amp;Table1334[[#This Row],[Ticker]]&amp;Table1334[[#This Row],[Expiry]]&amp;""&amp;"P"&amp;Table1334[[#This Row],[Strike]]))</f>
        <v>0</v>
      </c>
      <c r="Y692" s="19">
        <f>-13.5* IF($M$1="NDX", 10, IF(OR($M$1="SPX", $M$1="RUT"), 2, 1))</f>
        <v>-27</v>
      </c>
      <c r="Z692">
        <f ca="1">IFERROR(Table1334[[#This Row],[call gamma]]*(Table1334[[#This Row],[Open.Int]])*$A$4^2,0)</f>
        <v>0</v>
      </c>
      <c r="AA692">
        <f ca="1">IFERROR(((Table1334[[#This Row],[Open.Int8]])*Table1334[[#This Row],[Put gamma]])*-1*$A$4^2,0)</f>
        <v>0</v>
      </c>
      <c r="AB692">
        <f ca="1">(Table1334[[#This Row],[Call Gex]]+Table1334[[#This Row],[Put Gex]])</f>
        <v>0</v>
      </c>
      <c r="AC692">
        <f ca="1">Table1334[[#This Row],[put delta adj]]+Table1334[[#This Row],[call delta adj]]</f>
        <v>0</v>
      </c>
      <c r="AD692">
        <f ca="1">Table1334[[#This Row],[Put Gex]]*Table1334[[#This Row],[DeltaP]]*-1</f>
        <v>0</v>
      </c>
      <c r="AE692">
        <f ca="1">Table1334[[#This Row],[Call Gex]]*Table1334[[#This Row],[DeltaC]]</f>
        <v>0</v>
      </c>
      <c r="AF692">
        <f>IF(Table1334[[#This Row],[DeltaC]]-ABS(Table1334[[#This Row],[DeltaP]])="0","0.01",Table1334[[#This Row],[DeltaC]]-ABS(Table1334[[#This Row],[DeltaP]]))</f>
        <v>0</v>
      </c>
      <c r="AG69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2" t="e">
        <f ca="1">(EXP(-(AG692^2)/2)/SQRT(2*PI())*EXP(0*SQRT(Table1334[[#This Row],[T]]))/$A$4*18%*SQRT(SQRT(Table1334[[#This Row],[T]])))</f>
        <v>#DIV/0!</v>
      </c>
      <c r="AJ692" t="e">
        <f ca="1">(EXP(-(AH692^2)/2)/SQRT(2*PI())*EXP(0*SQRT(Table1334[[#This Row],[T]]))/$A$4*18%*SQRT(SQRT(Table1334[[#This Row],[T]])))</f>
        <v>#DIV/0!</v>
      </c>
      <c r="AK692" t="e">
        <f ca="1">Table1334[[#This Row],[Call D1]]-Table1334[[#This Row],[IV Calc C]]*SQRT(Table1334[[#This Row],[T]])</f>
        <v>#DIV/0!</v>
      </c>
      <c r="AL692" t="e">
        <f ca="1">Table1334[[#This Row],[Put D1]]-Table1334[[#This Row],[IV Calc P]]*SQRT(Table1334[[#This Row],[T]])</f>
        <v>#DIV/0!</v>
      </c>
      <c r="AM692" t="e">
        <f ca="1">EXP(-0.5*Table1334[[#This Row],[Call D1]]^2)/SQRT(2*PI())</f>
        <v>#DIV/0!</v>
      </c>
      <c r="AN692" t="e">
        <f ca="1">EXP(-0.5*Table1334[[#This Row],[Put D1]]^2)/SQRT(2*PI())</f>
        <v>#DIV/0!</v>
      </c>
      <c r="AO69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2">
        <f ca="1">((Table1334[[#This Row],[call vanna]]+Table1334[[#This Row],[put vanna]])*$A$4)</f>
        <v>0</v>
      </c>
      <c r="AR69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2" s="9" t="str" cm="1">
        <f t="array" ref="AT692">_xlfn.IFS(     $M$1="SPX","SPXW",     $M$1="RUT","RUTW",  $M$1="NDX","NDXP",   TRUE,$M$1 )</f>
        <v>SPXW</v>
      </c>
      <c r="AU692" s="2">
        <f t="shared" si="72"/>
        <v>6915</v>
      </c>
      <c r="AV692" t="str">
        <f t="shared" si="73"/>
        <v>000100</v>
      </c>
      <c r="AY69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2">
        <f>((Table1334[[#This Row],[High C]]+Table1334[[#This Row],[Low C]])/2)*Table1334[[#This Row],[gammac]]*Table1334[[#This Row],[Volume]]</f>
        <v>0</v>
      </c>
      <c r="BD692">
        <f>((Table1334[[#This Row],[High P]]+Table1334[[#This Row],[Low P]])/2)*Table1334[[#This Row],[gammap]]*Table1334[[#This Row],[Volume9]]*-1</f>
        <v>0</v>
      </c>
      <c r="BE692">
        <f>(Table1334[[#This Row],[SgammaC]]+Table1334[[#This Row],[SgammaP]])*$A$4*-100</f>
        <v>0</v>
      </c>
      <c r="BF692">
        <f>Table1334[[#This Row],[DEXc]]+Table1334[[#This Row],[DEXp]]</f>
        <v>0</v>
      </c>
      <c r="BG692">
        <f>IFERROR(Table1334[[#This Row],[DeltaC]]*Table1334[[#This Row],[Open.Int]]*$A$4,0)</f>
        <v>0</v>
      </c>
      <c r="BH692">
        <f>IFERROR(Table1334[[#This Row],[DeltaP]]*Table1334[[#This Row],[Open.Int8]]*$A$4,0)</f>
        <v>0</v>
      </c>
      <c r="BI69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2">
        <f ca="1">Table1334[[#This Row],[charmc]]+Table1334[[#This Row],[charmp]]</f>
        <v>0</v>
      </c>
      <c r="BL69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2" s="78">
        <f ca="1">Table1334[[#This Row],[call helper]]+Table1334[[#This Row],[put helper]]</f>
        <v>0</v>
      </c>
      <c r="BP692" t="str">
        <f>RTD("tos.rtd", , "STRIKE", "."&amp;Table1334[[#This Row],[Ticker]]&amp;Table1334[[#This Row],[Expiry]]&amp;""&amp;"C"&amp;Table1334[[#This Row],[Spot]]+Table1334[[#This Row],[step]])</f>
        <v>N/A</v>
      </c>
    </row>
    <row r="693" spans="1:68" x14ac:dyDescent="0.25">
      <c r="A693" s="14">
        <f t="shared" ca="1" si="69"/>
        <v>-126.14810350076104</v>
      </c>
      <c r="C693" s="17"/>
      <c r="D693" t="str">
        <f>RTD("tos.rtd", , "OPEN_INT", "."&amp;Table1334[[#This Row],[Ticker]]&amp;Table1334[[#This Row],[Expiry]]&amp;""&amp;"C"&amp;Table1334[[#This Row],[Spot]]+Table1334[[#This Row],[step]])</f>
        <v>N/A</v>
      </c>
      <c r="E69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3" t="b">
        <f>IF(     ISNUMBER(Table1334[[#This Row],[Strike]]),RTD("tos.rtd", , "DELTA", "."&amp;Table1334[[#This Row],[Ticker]]&amp;Table1334[[#This Row],[Expiry]]&amp;""&amp;"C"&amp;Table1334[[#This Row],[Strike]]))</f>
        <v>0</v>
      </c>
      <c r="H693" s="17" cm="1">
        <f t="array" aca="1" ref="H693" ca="1">IndividualLegIVCore($A$4, Table1334[[#This Row],[Strike]], 0.0411, Table1334[[#This Row],[T]], ((Table1334[[#This Row],[BIDC]]+Table1334[[#This Row],[ASKC]])/2), TRUE)</f>
        <v>0.01</v>
      </c>
      <c r="I693" t="b">
        <f>IF(     ISNUMBER(Table1334[[#This Row],[Strike]]),RTD("tos.rtd", , "BID", "."&amp;Table1334[[#This Row],[Ticker]]&amp;Table1334[[#This Row],[Expiry]]&amp;""&amp;"C"&amp;Table1334[[#This Row],[Strike]]))</f>
        <v>0</v>
      </c>
      <c r="J693" t="b">
        <f>IF(     ISNUMBER(Table1334[[#This Row],[Strike]]),RTD("tos.rtd", , "ASK", "."&amp;Table1334[[#This Row],[Ticker]]&amp;Table1334[[#This Row],[Expiry]]&amp;""&amp;"C"&amp;Table1334[[#This Row],[Strike]]))</f>
        <v>0</v>
      </c>
      <c r="K693" s="17"/>
      <c r="M693" s="1">
        <f t="shared" si="70"/>
        <v>0</v>
      </c>
      <c r="N693" t="b">
        <f t="shared" si="71"/>
        <v>0</v>
      </c>
      <c r="P693" s="17" cm="1">
        <f t="array" aca="1" ref="P693" ca="1">IndividualLegIVCore($A$4, Table1334[[#This Row],[Strike]], 0.0411, Table1334[[#This Row],[T]], ((Table1334[[#This Row],[BIDP]]+Table1334[[#This Row],[ASKP]])/2), FALSE)</f>
        <v>0.01</v>
      </c>
      <c r="Q693" t="b">
        <f>IF(     ISNUMBER(Table1334[[#This Row],[Strike]]),RTD("tos.rtd", , "BID", "."&amp;Table1334[[#This Row],[Ticker]]&amp;Table1334[[#This Row],[Expiry]]&amp;""&amp;"P"&amp;Table1334[[#This Row],[Strike]]))</f>
        <v>0</v>
      </c>
      <c r="R693" t="b">
        <f>IF(     ISNUMBER(Table1334[[#This Row],[Strike]]),RTD("tos.rtd", , "ASK", "."&amp;Table1334[[#This Row],[Ticker]]&amp;Table1334[[#This Row],[Expiry]]&amp;""&amp;"P"&amp;Table1334[[#This Row],[Strike]]))</f>
        <v>0</v>
      </c>
      <c r="S693" s="17"/>
      <c r="T693" t="b">
        <f>IF(     ISNUMBER(Table1334[[#This Row],[Strike]]),RTD("tos.rtd", , "OPEN_INT", "."&amp;Table1334[[#This Row],[Ticker]]&amp;Table1334[[#This Row],[Expiry]]&amp;""&amp;"P"&amp;Table1334[[#This Row],[Strike]]))</f>
        <v>0</v>
      </c>
      <c r="U69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3" t="b">
        <f>IF(     ISNUMBER(Table1334[[#This Row],[Strike]]),RTD("tos.rtd", , "DELTA", "."&amp;Table1334[[#This Row],[Ticker]]&amp;Table1334[[#This Row],[Expiry]]&amp;""&amp;"P"&amp;Table1334[[#This Row],[Strike]]))</f>
        <v>0</v>
      </c>
      <c r="Y693" s="19">
        <f>-13* IF($M$1="NDX", 10, IF(OR($M$1="SPX", $M$1="RUT"), 2, 1))</f>
        <v>-26</v>
      </c>
      <c r="Z693">
        <f ca="1">IFERROR(Table1334[[#This Row],[call gamma]]*(Table1334[[#This Row],[Open.Int]])*$A$4^2,0)</f>
        <v>0</v>
      </c>
      <c r="AA693">
        <f ca="1">IFERROR(((Table1334[[#This Row],[Open.Int8]])*Table1334[[#This Row],[Put gamma]])*-1*$A$4^2,0)</f>
        <v>0</v>
      </c>
      <c r="AB693">
        <f ca="1">(Table1334[[#This Row],[Call Gex]]+Table1334[[#This Row],[Put Gex]])</f>
        <v>0</v>
      </c>
      <c r="AC693">
        <f ca="1">Table1334[[#This Row],[put delta adj]]+Table1334[[#This Row],[call delta adj]]</f>
        <v>0</v>
      </c>
      <c r="AD693">
        <f ca="1">Table1334[[#This Row],[Put Gex]]*Table1334[[#This Row],[DeltaP]]*-1</f>
        <v>0</v>
      </c>
      <c r="AE693">
        <f ca="1">Table1334[[#This Row],[Call Gex]]*Table1334[[#This Row],[DeltaC]]</f>
        <v>0</v>
      </c>
      <c r="AF693">
        <f>IF(Table1334[[#This Row],[DeltaC]]-ABS(Table1334[[#This Row],[DeltaP]])="0","0.01",Table1334[[#This Row],[DeltaC]]-ABS(Table1334[[#This Row],[DeltaP]]))</f>
        <v>0</v>
      </c>
      <c r="AG69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3" t="e">
        <f ca="1">(EXP(-(AG693^2)/2)/SQRT(2*PI())*EXP(0*SQRT(Table1334[[#This Row],[T]]))/$A$4*18%*SQRT(SQRT(Table1334[[#This Row],[T]])))</f>
        <v>#DIV/0!</v>
      </c>
      <c r="AJ693" t="e">
        <f ca="1">(EXP(-(AH693^2)/2)/SQRT(2*PI())*EXP(0*SQRT(Table1334[[#This Row],[T]]))/$A$4*18%*SQRT(SQRT(Table1334[[#This Row],[T]])))</f>
        <v>#DIV/0!</v>
      </c>
      <c r="AK693" t="e">
        <f ca="1">Table1334[[#This Row],[Call D1]]-Table1334[[#This Row],[IV Calc C]]*SQRT(Table1334[[#This Row],[T]])</f>
        <v>#DIV/0!</v>
      </c>
      <c r="AL693" t="e">
        <f ca="1">Table1334[[#This Row],[Put D1]]-Table1334[[#This Row],[IV Calc P]]*SQRT(Table1334[[#This Row],[T]])</f>
        <v>#DIV/0!</v>
      </c>
      <c r="AM693" t="e">
        <f ca="1">EXP(-0.5*Table1334[[#This Row],[Call D1]]^2)/SQRT(2*PI())</f>
        <v>#DIV/0!</v>
      </c>
      <c r="AN693" t="e">
        <f ca="1">EXP(-0.5*Table1334[[#This Row],[Put D1]]^2)/SQRT(2*PI())</f>
        <v>#DIV/0!</v>
      </c>
      <c r="AO69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3">
        <f ca="1">((Table1334[[#This Row],[call vanna]]+Table1334[[#This Row],[put vanna]])*$A$4)</f>
        <v>0</v>
      </c>
      <c r="AR69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3" s="9" t="str" cm="1">
        <f t="array" ref="AT693">_xlfn.IFS(     $M$1="SPX","SPXW",     $M$1="RUT","RUTW",  $M$1="NDX","NDXP",   TRUE,$M$1 )</f>
        <v>SPXW</v>
      </c>
      <c r="AU693" s="2">
        <f t="shared" si="72"/>
        <v>6915</v>
      </c>
      <c r="AV693" t="str">
        <f t="shared" si="73"/>
        <v>000100</v>
      </c>
      <c r="AY69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3">
        <f>((Table1334[[#This Row],[High C]]+Table1334[[#This Row],[Low C]])/2)*Table1334[[#This Row],[gammac]]*Table1334[[#This Row],[Volume]]</f>
        <v>0</v>
      </c>
      <c r="BD693">
        <f>((Table1334[[#This Row],[High P]]+Table1334[[#This Row],[Low P]])/2)*Table1334[[#This Row],[gammap]]*Table1334[[#This Row],[Volume9]]*-1</f>
        <v>0</v>
      </c>
      <c r="BE693">
        <f>(Table1334[[#This Row],[SgammaC]]+Table1334[[#This Row],[SgammaP]])*$A$4*-100</f>
        <v>0</v>
      </c>
      <c r="BF693">
        <f>Table1334[[#This Row],[DEXc]]+Table1334[[#This Row],[DEXp]]</f>
        <v>0</v>
      </c>
      <c r="BG693">
        <f>IFERROR(Table1334[[#This Row],[DeltaC]]*Table1334[[#This Row],[Open.Int]]*$A$4,0)</f>
        <v>0</v>
      </c>
      <c r="BH693">
        <f>IFERROR(Table1334[[#This Row],[DeltaP]]*Table1334[[#This Row],[Open.Int8]]*$A$4,0)</f>
        <v>0</v>
      </c>
      <c r="BI69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3">
        <f ca="1">Table1334[[#This Row],[charmc]]+Table1334[[#This Row],[charmp]]</f>
        <v>0</v>
      </c>
      <c r="BL69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3" s="78">
        <f ca="1">Table1334[[#This Row],[call helper]]+Table1334[[#This Row],[put helper]]</f>
        <v>0</v>
      </c>
      <c r="BP693" t="str">
        <f>RTD("tos.rtd", , "STRIKE", "."&amp;Table1334[[#This Row],[Ticker]]&amp;Table1334[[#This Row],[Expiry]]&amp;""&amp;"C"&amp;Table1334[[#This Row],[Spot]]+Table1334[[#This Row],[step]])</f>
        <v>N/A</v>
      </c>
    </row>
    <row r="694" spans="1:68" x14ac:dyDescent="0.25">
      <c r="A694" s="14">
        <f t="shared" ca="1" si="69"/>
        <v>-126.14810350076104</v>
      </c>
      <c r="C694" s="17"/>
      <c r="D694" t="str">
        <f>RTD("tos.rtd", , "OPEN_INT", "."&amp;Table1334[[#This Row],[Ticker]]&amp;Table1334[[#This Row],[Expiry]]&amp;""&amp;"C"&amp;Table1334[[#This Row],[Spot]]+Table1334[[#This Row],[step]])</f>
        <v>N/A</v>
      </c>
      <c r="E69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4" t="b">
        <f>IF(     ISNUMBER(Table1334[[#This Row],[Strike]]),RTD("tos.rtd", , "DELTA", "."&amp;Table1334[[#This Row],[Ticker]]&amp;Table1334[[#This Row],[Expiry]]&amp;""&amp;"C"&amp;Table1334[[#This Row],[Strike]]))</f>
        <v>0</v>
      </c>
      <c r="H694" s="17" cm="1">
        <f t="array" aca="1" ref="H694" ca="1">IndividualLegIVCore($A$4, Table1334[[#This Row],[Strike]], 0.0411, Table1334[[#This Row],[T]], ((Table1334[[#This Row],[BIDC]]+Table1334[[#This Row],[ASKC]])/2), TRUE)</f>
        <v>0.01</v>
      </c>
      <c r="I694" t="b">
        <f>IF(     ISNUMBER(Table1334[[#This Row],[Strike]]),RTD("tos.rtd", , "BID", "."&amp;Table1334[[#This Row],[Ticker]]&amp;Table1334[[#This Row],[Expiry]]&amp;""&amp;"C"&amp;Table1334[[#This Row],[Strike]]))</f>
        <v>0</v>
      </c>
      <c r="J694" t="b">
        <f>IF(     ISNUMBER(Table1334[[#This Row],[Strike]]),RTD("tos.rtd", , "ASK", "."&amp;Table1334[[#This Row],[Ticker]]&amp;Table1334[[#This Row],[Expiry]]&amp;""&amp;"C"&amp;Table1334[[#This Row],[Strike]]))</f>
        <v>0</v>
      </c>
      <c r="K694" s="17"/>
      <c r="M694" s="1">
        <f t="shared" si="70"/>
        <v>0</v>
      </c>
      <c r="N694" t="b">
        <f t="shared" si="71"/>
        <v>0</v>
      </c>
      <c r="P694" s="17" cm="1">
        <f t="array" aca="1" ref="P694" ca="1">IndividualLegIVCore($A$4, Table1334[[#This Row],[Strike]], 0.0411, Table1334[[#This Row],[T]], ((Table1334[[#This Row],[BIDP]]+Table1334[[#This Row],[ASKP]])/2), FALSE)</f>
        <v>0.01</v>
      </c>
      <c r="Q694" t="b">
        <f>IF(     ISNUMBER(Table1334[[#This Row],[Strike]]),RTD("tos.rtd", , "BID", "."&amp;Table1334[[#This Row],[Ticker]]&amp;Table1334[[#This Row],[Expiry]]&amp;""&amp;"P"&amp;Table1334[[#This Row],[Strike]]))</f>
        <v>0</v>
      </c>
      <c r="R694" t="b">
        <f>IF(     ISNUMBER(Table1334[[#This Row],[Strike]]),RTD("tos.rtd", , "ASK", "."&amp;Table1334[[#This Row],[Ticker]]&amp;Table1334[[#This Row],[Expiry]]&amp;""&amp;"P"&amp;Table1334[[#This Row],[Strike]]))</f>
        <v>0</v>
      </c>
      <c r="S694" s="17"/>
      <c r="T694" t="b">
        <f>IF(     ISNUMBER(Table1334[[#This Row],[Strike]]),RTD("tos.rtd", , "OPEN_INT", "."&amp;Table1334[[#This Row],[Ticker]]&amp;Table1334[[#This Row],[Expiry]]&amp;""&amp;"P"&amp;Table1334[[#This Row],[Strike]]))</f>
        <v>0</v>
      </c>
      <c r="U69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4" t="b">
        <f>IF(     ISNUMBER(Table1334[[#This Row],[Strike]]),RTD("tos.rtd", , "DELTA", "."&amp;Table1334[[#This Row],[Ticker]]&amp;Table1334[[#This Row],[Expiry]]&amp;""&amp;"P"&amp;Table1334[[#This Row],[Strike]]))</f>
        <v>0</v>
      </c>
      <c r="Y694" s="19">
        <f>-12.5* IF($M$1="NDX", 10, IF(OR($M$1="SPX", $M$1="RUT"), 2, 1))</f>
        <v>-25</v>
      </c>
      <c r="Z694">
        <f ca="1">IFERROR(Table1334[[#This Row],[call gamma]]*(Table1334[[#This Row],[Open.Int]])*$A$4^2,0)</f>
        <v>0</v>
      </c>
      <c r="AA694">
        <f ca="1">IFERROR(((Table1334[[#This Row],[Open.Int8]])*Table1334[[#This Row],[Put gamma]])*-1*$A$4^2,0)</f>
        <v>0</v>
      </c>
      <c r="AB694">
        <f ca="1">(Table1334[[#This Row],[Call Gex]]+Table1334[[#This Row],[Put Gex]])</f>
        <v>0</v>
      </c>
      <c r="AC694">
        <f ca="1">Table1334[[#This Row],[put delta adj]]+Table1334[[#This Row],[call delta adj]]</f>
        <v>0</v>
      </c>
      <c r="AD694">
        <f ca="1">Table1334[[#This Row],[Put Gex]]*Table1334[[#This Row],[DeltaP]]*-1</f>
        <v>0</v>
      </c>
      <c r="AE694">
        <f ca="1">Table1334[[#This Row],[Call Gex]]*Table1334[[#This Row],[DeltaC]]</f>
        <v>0</v>
      </c>
      <c r="AF694">
        <f>IF(Table1334[[#This Row],[DeltaC]]-ABS(Table1334[[#This Row],[DeltaP]])="0","0.01",Table1334[[#This Row],[DeltaC]]-ABS(Table1334[[#This Row],[DeltaP]]))</f>
        <v>0</v>
      </c>
      <c r="AG69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4" t="e">
        <f ca="1">(EXP(-(AG694^2)/2)/SQRT(2*PI())*EXP(0*SQRT(Table1334[[#This Row],[T]]))/$A$4*18%*SQRT(SQRT(Table1334[[#This Row],[T]])))</f>
        <v>#DIV/0!</v>
      </c>
      <c r="AJ694" t="e">
        <f ca="1">(EXP(-(AH694^2)/2)/SQRT(2*PI())*EXP(0*SQRT(Table1334[[#This Row],[T]]))/$A$4*18%*SQRT(SQRT(Table1334[[#This Row],[T]])))</f>
        <v>#DIV/0!</v>
      </c>
      <c r="AK694" t="e">
        <f ca="1">Table1334[[#This Row],[Call D1]]-Table1334[[#This Row],[IV Calc C]]*SQRT(Table1334[[#This Row],[T]])</f>
        <v>#DIV/0!</v>
      </c>
      <c r="AL694" t="e">
        <f ca="1">Table1334[[#This Row],[Put D1]]-Table1334[[#This Row],[IV Calc P]]*SQRT(Table1334[[#This Row],[T]])</f>
        <v>#DIV/0!</v>
      </c>
      <c r="AM694" t="e">
        <f ca="1">EXP(-0.5*Table1334[[#This Row],[Call D1]]^2)/SQRT(2*PI())</f>
        <v>#DIV/0!</v>
      </c>
      <c r="AN694" t="e">
        <f ca="1">EXP(-0.5*Table1334[[#This Row],[Put D1]]^2)/SQRT(2*PI())</f>
        <v>#DIV/0!</v>
      </c>
      <c r="AO69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4">
        <f ca="1">((Table1334[[#This Row],[call vanna]]+Table1334[[#This Row],[put vanna]])*$A$4)</f>
        <v>0</v>
      </c>
      <c r="AR69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4" s="9" t="str" cm="1">
        <f t="array" ref="AT694">_xlfn.IFS(     $M$1="SPX","SPXW",     $M$1="RUT","RUTW",  $M$1="NDX","NDXP",   TRUE,$M$1 )</f>
        <v>SPXW</v>
      </c>
      <c r="AU694" s="2">
        <f t="shared" si="72"/>
        <v>6915</v>
      </c>
      <c r="AV694" t="str">
        <f t="shared" si="73"/>
        <v>000100</v>
      </c>
      <c r="AY69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4">
        <f>((Table1334[[#This Row],[High C]]+Table1334[[#This Row],[Low C]])/2)*Table1334[[#This Row],[gammac]]*Table1334[[#This Row],[Volume]]</f>
        <v>0</v>
      </c>
      <c r="BD694">
        <f>((Table1334[[#This Row],[High P]]+Table1334[[#This Row],[Low P]])/2)*Table1334[[#This Row],[gammap]]*Table1334[[#This Row],[Volume9]]*-1</f>
        <v>0</v>
      </c>
      <c r="BE694">
        <f>(Table1334[[#This Row],[SgammaC]]+Table1334[[#This Row],[SgammaP]])*$A$4*-100</f>
        <v>0</v>
      </c>
      <c r="BF694">
        <f>Table1334[[#This Row],[DEXc]]+Table1334[[#This Row],[DEXp]]</f>
        <v>0</v>
      </c>
      <c r="BG694">
        <f>IFERROR(Table1334[[#This Row],[DeltaC]]*Table1334[[#This Row],[Open.Int]]*$A$4,0)</f>
        <v>0</v>
      </c>
      <c r="BH694">
        <f>IFERROR(Table1334[[#This Row],[DeltaP]]*Table1334[[#This Row],[Open.Int8]]*$A$4,0)</f>
        <v>0</v>
      </c>
      <c r="BI69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4">
        <f ca="1">Table1334[[#This Row],[charmc]]+Table1334[[#This Row],[charmp]]</f>
        <v>0</v>
      </c>
      <c r="BL69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4" s="78">
        <f ca="1">Table1334[[#This Row],[call helper]]+Table1334[[#This Row],[put helper]]</f>
        <v>0</v>
      </c>
      <c r="BP694" t="str">
        <f>RTD("tos.rtd", , "STRIKE", "."&amp;Table1334[[#This Row],[Ticker]]&amp;Table1334[[#This Row],[Expiry]]&amp;""&amp;"C"&amp;Table1334[[#This Row],[Spot]]+Table1334[[#This Row],[step]])</f>
        <v>N/A</v>
      </c>
    </row>
    <row r="695" spans="1:68" x14ac:dyDescent="0.25">
      <c r="A695" s="14">
        <f t="shared" ca="1" si="69"/>
        <v>-126.14810350076104</v>
      </c>
      <c r="C695" s="17"/>
      <c r="D695" t="str">
        <f>RTD("tos.rtd", , "OPEN_INT", "."&amp;Table1334[[#This Row],[Ticker]]&amp;Table1334[[#This Row],[Expiry]]&amp;""&amp;"C"&amp;Table1334[[#This Row],[Spot]]+Table1334[[#This Row],[step]])</f>
        <v>N/A</v>
      </c>
      <c r="E69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5" t="b">
        <f>IF(     ISNUMBER(Table1334[[#This Row],[Strike]]),RTD("tos.rtd", , "DELTA", "."&amp;Table1334[[#This Row],[Ticker]]&amp;Table1334[[#This Row],[Expiry]]&amp;""&amp;"C"&amp;Table1334[[#This Row],[Strike]]))</f>
        <v>0</v>
      </c>
      <c r="H695" s="17" cm="1">
        <f t="array" aca="1" ref="H695" ca="1">IndividualLegIVCore($A$4, Table1334[[#This Row],[Strike]], 0.0411, Table1334[[#This Row],[T]], ((Table1334[[#This Row],[BIDC]]+Table1334[[#This Row],[ASKC]])/2), TRUE)</f>
        <v>0.01</v>
      </c>
      <c r="I695" t="b">
        <f>IF(     ISNUMBER(Table1334[[#This Row],[Strike]]),RTD("tos.rtd", , "BID", "."&amp;Table1334[[#This Row],[Ticker]]&amp;Table1334[[#This Row],[Expiry]]&amp;""&amp;"C"&amp;Table1334[[#This Row],[Strike]]))</f>
        <v>0</v>
      </c>
      <c r="J695" t="b">
        <f>IF(     ISNUMBER(Table1334[[#This Row],[Strike]]),RTD("tos.rtd", , "ASK", "."&amp;Table1334[[#This Row],[Ticker]]&amp;Table1334[[#This Row],[Expiry]]&amp;""&amp;"C"&amp;Table1334[[#This Row],[Strike]]))</f>
        <v>0</v>
      </c>
      <c r="K695" s="17"/>
      <c r="M695" s="1">
        <f t="shared" si="70"/>
        <v>0</v>
      </c>
      <c r="N695" t="b">
        <f t="shared" si="71"/>
        <v>0</v>
      </c>
      <c r="P695" s="17" cm="1">
        <f t="array" aca="1" ref="P695" ca="1">IndividualLegIVCore($A$4, Table1334[[#This Row],[Strike]], 0.0411, Table1334[[#This Row],[T]], ((Table1334[[#This Row],[BIDP]]+Table1334[[#This Row],[ASKP]])/2), FALSE)</f>
        <v>0.01</v>
      </c>
      <c r="Q695" t="b">
        <f>IF(     ISNUMBER(Table1334[[#This Row],[Strike]]),RTD("tos.rtd", , "BID", "."&amp;Table1334[[#This Row],[Ticker]]&amp;Table1334[[#This Row],[Expiry]]&amp;""&amp;"P"&amp;Table1334[[#This Row],[Strike]]))</f>
        <v>0</v>
      </c>
      <c r="R695" t="b">
        <f>IF(     ISNUMBER(Table1334[[#This Row],[Strike]]),RTD("tos.rtd", , "ASK", "."&amp;Table1334[[#This Row],[Ticker]]&amp;Table1334[[#This Row],[Expiry]]&amp;""&amp;"P"&amp;Table1334[[#This Row],[Strike]]))</f>
        <v>0</v>
      </c>
      <c r="S695" s="17"/>
      <c r="T695" t="b">
        <f>IF(     ISNUMBER(Table1334[[#This Row],[Strike]]),RTD("tos.rtd", , "OPEN_INT", "."&amp;Table1334[[#This Row],[Ticker]]&amp;Table1334[[#This Row],[Expiry]]&amp;""&amp;"P"&amp;Table1334[[#This Row],[Strike]]))</f>
        <v>0</v>
      </c>
      <c r="U69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5" t="b">
        <f>IF(     ISNUMBER(Table1334[[#This Row],[Strike]]),RTD("tos.rtd", , "DELTA", "."&amp;Table1334[[#This Row],[Ticker]]&amp;Table1334[[#This Row],[Expiry]]&amp;""&amp;"P"&amp;Table1334[[#This Row],[Strike]]))</f>
        <v>0</v>
      </c>
      <c r="Y695" s="19">
        <f>-12* IF($M$1="NDX", 10, IF(OR($M$1="SPX", $M$1="RUT"), 2, 1))</f>
        <v>-24</v>
      </c>
      <c r="Z695">
        <f ca="1">IFERROR(Table1334[[#This Row],[call gamma]]*(Table1334[[#This Row],[Open.Int]])*$A$4^2,0)</f>
        <v>0</v>
      </c>
      <c r="AA695">
        <f ca="1">IFERROR(((Table1334[[#This Row],[Open.Int8]])*Table1334[[#This Row],[Put gamma]])*-1*$A$4^2,0)</f>
        <v>0</v>
      </c>
      <c r="AB695">
        <f ca="1">(Table1334[[#This Row],[Call Gex]]+Table1334[[#This Row],[Put Gex]])</f>
        <v>0</v>
      </c>
      <c r="AC695">
        <f ca="1">Table1334[[#This Row],[put delta adj]]+Table1334[[#This Row],[call delta adj]]</f>
        <v>0</v>
      </c>
      <c r="AD695">
        <f ca="1">Table1334[[#This Row],[Put Gex]]*Table1334[[#This Row],[DeltaP]]*-1</f>
        <v>0</v>
      </c>
      <c r="AE695">
        <f ca="1">Table1334[[#This Row],[Call Gex]]*Table1334[[#This Row],[DeltaC]]</f>
        <v>0</v>
      </c>
      <c r="AF695">
        <f>IF(Table1334[[#This Row],[DeltaC]]-ABS(Table1334[[#This Row],[DeltaP]])="0","0.01",Table1334[[#This Row],[DeltaC]]-ABS(Table1334[[#This Row],[DeltaP]]))</f>
        <v>0</v>
      </c>
      <c r="AG69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5" t="e">
        <f ca="1">(EXP(-(AG695^2)/2)/SQRT(2*PI())*EXP(0*SQRT(Table1334[[#This Row],[T]]))/$A$4*18%*SQRT(SQRT(Table1334[[#This Row],[T]])))</f>
        <v>#DIV/0!</v>
      </c>
      <c r="AJ695" t="e">
        <f ca="1">(EXP(-(AH695^2)/2)/SQRT(2*PI())*EXP(0*SQRT(Table1334[[#This Row],[T]]))/$A$4*18%*SQRT(SQRT(Table1334[[#This Row],[T]])))</f>
        <v>#DIV/0!</v>
      </c>
      <c r="AK695" t="e">
        <f ca="1">Table1334[[#This Row],[Call D1]]-Table1334[[#This Row],[IV Calc C]]*SQRT(Table1334[[#This Row],[T]])</f>
        <v>#DIV/0!</v>
      </c>
      <c r="AL695" t="e">
        <f ca="1">Table1334[[#This Row],[Put D1]]-Table1334[[#This Row],[IV Calc P]]*SQRT(Table1334[[#This Row],[T]])</f>
        <v>#DIV/0!</v>
      </c>
      <c r="AM695" t="e">
        <f ca="1">EXP(-0.5*Table1334[[#This Row],[Call D1]]^2)/SQRT(2*PI())</f>
        <v>#DIV/0!</v>
      </c>
      <c r="AN695" t="e">
        <f ca="1">EXP(-0.5*Table1334[[#This Row],[Put D1]]^2)/SQRT(2*PI())</f>
        <v>#DIV/0!</v>
      </c>
      <c r="AO69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5">
        <f ca="1">((Table1334[[#This Row],[call vanna]]+Table1334[[#This Row],[put vanna]])*$A$4)</f>
        <v>0</v>
      </c>
      <c r="AR69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5" s="9" t="str" cm="1">
        <f t="array" ref="AT695">_xlfn.IFS(     $M$1="SPX","SPXW",     $M$1="RUT","RUTW",  $M$1="NDX","NDXP",   TRUE,$M$1 )</f>
        <v>SPXW</v>
      </c>
      <c r="AU695" s="2">
        <f t="shared" si="72"/>
        <v>6915</v>
      </c>
      <c r="AV695" t="str">
        <f t="shared" si="73"/>
        <v>000100</v>
      </c>
      <c r="AY69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5">
        <f>((Table1334[[#This Row],[High C]]+Table1334[[#This Row],[Low C]])/2)*Table1334[[#This Row],[gammac]]*Table1334[[#This Row],[Volume]]</f>
        <v>0</v>
      </c>
      <c r="BD695">
        <f>((Table1334[[#This Row],[High P]]+Table1334[[#This Row],[Low P]])/2)*Table1334[[#This Row],[gammap]]*Table1334[[#This Row],[Volume9]]*-1</f>
        <v>0</v>
      </c>
      <c r="BE695">
        <f>(Table1334[[#This Row],[SgammaC]]+Table1334[[#This Row],[SgammaP]])*$A$4*-100</f>
        <v>0</v>
      </c>
      <c r="BF695">
        <f>Table1334[[#This Row],[DEXc]]+Table1334[[#This Row],[DEXp]]</f>
        <v>0</v>
      </c>
      <c r="BG695">
        <f>IFERROR(Table1334[[#This Row],[DeltaC]]*Table1334[[#This Row],[Open.Int]]*$A$4,0)</f>
        <v>0</v>
      </c>
      <c r="BH695">
        <f>IFERROR(Table1334[[#This Row],[DeltaP]]*Table1334[[#This Row],[Open.Int8]]*$A$4,0)</f>
        <v>0</v>
      </c>
      <c r="BI69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5">
        <f ca="1">Table1334[[#This Row],[charmc]]+Table1334[[#This Row],[charmp]]</f>
        <v>0</v>
      </c>
      <c r="BL69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5" s="78">
        <f ca="1">Table1334[[#This Row],[call helper]]+Table1334[[#This Row],[put helper]]</f>
        <v>0</v>
      </c>
      <c r="BP695" t="str">
        <f>RTD("tos.rtd", , "STRIKE", "."&amp;Table1334[[#This Row],[Ticker]]&amp;Table1334[[#This Row],[Expiry]]&amp;""&amp;"C"&amp;Table1334[[#This Row],[Spot]]+Table1334[[#This Row],[step]])</f>
        <v>N/A</v>
      </c>
    </row>
    <row r="696" spans="1:68" x14ac:dyDescent="0.25">
      <c r="A696" s="14">
        <f t="shared" ca="1" si="69"/>
        <v>-126.14810350076104</v>
      </c>
      <c r="C696" s="17"/>
      <c r="D696" t="str">
        <f>RTD("tos.rtd", , "OPEN_INT", "."&amp;Table1334[[#This Row],[Ticker]]&amp;Table1334[[#This Row],[Expiry]]&amp;""&amp;"C"&amp;Table1334[[#This Row],[Spot]]+Table1334[[#This Row],[step]])</f>
        <v>N/A</v>
      </c>
      <c r="E69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6" t="b">
        <f>IF(     ISNUMBER(Table1334[[#This Row],[Strike]]),RTD("tos.rtd", , "DELTA", "."&amp;Table1334[[#This Row],[Ticker]]&amp;Table1334[[#This Row],[Expiry]]&amp;""&amp;"C"&amp;Table1334[[#This Row],[Strike]]))</f>
        <v>0</v>
      </c>
      <c r="H696" s="17" cm="1">
        <f t="array" aca="1" ref="H696" ca="1">IndividualLegIVCore($A$4, Table1334[[#This Row],[Strike]], 0.0411, Table1334[[#This Row],[T]], ((Table1334[[#This Row],[BIDC]]+Table1334[[#This Row],[ASKC]])/2), TRUE)</f>
        <v>0.01</v>
      </c>
      <c r="I696" t="b">
        <f>IF(     ISNUMBER(Table1334[[#This Row],[Strike]]),RTD("tos.rtd", , "BID", "."&amp;Table1334[[#This Row],[Ticker]]&amp;Table1334[[#This Row],[Expiry]]&amp;""&amp;"C"&amp;Table1334[[#This Row],[Strike]]))</f>
        <v>0</v>
      </c>
      <c r="J696" t="b">
        <f>IF(     ISNUMBER(Table1334[[#This Row],[Strike]]),RTD("tos.rtd", , "ASK", "."&amp;Table1334[[#This Row],[Ticker]]&amp;Table1334[[#This Row],[Expiry]]&amp;""&amp;"C"&amp;Table1334[[#This Row],[Strike]]))</f>
        <v>0</v>
      </c>
      <c r="K696" s="17"/>
      <c r="M696" s="1">
        <f t="shared" si="70"/>
        <v>0</v>
      </c>
      <c r="N696" t="b">
        <f t="shared" si="71"/>
        <v>0</v>
      </c>
      <c r="P696" s="17" cm="1">
        <f t="array" aca="1" ref="P696" ca="1">IndividualLegIVCore($A$4, Table1334[[#This Row],[Strike]], 0.0411, Table1334[[#This Row],[T]], ((Table1334[[#This Row],[BIDP]]+Table1334[[#This Row],[ASKP]])/2), FALSE)</f>
        <v>0.01</v>
      </c>
      <c r="Q696" t="b">
        <f>IF(     ISNUMBER(Table1334[[#This Row],[Strike]]),RTD("tos.rtd", , "BID", "."&amp;Table1334[[#This Row],[Ticker]]&amp;Table1334[[#This Row],[Expiry]]&amp;""&amp;"P"&amp;Table1334[[#This Row],[Strike]]))</f>
        <v>0</v>
      </c>
      <c r="R696" t="b">
        <f>IF(     ISNUMBER(Table1334[[#This Row],[Strike]]),RTD("tos.rtd", , "ASK", "."&amp;Table1334[[#This Row],[Ticker]]&amp;Table1334[[#This Row],[Expiry]]&amp;""&amp;"P"&amp;Table1334[[#This Row],[Strike]]))</f>
        <v>0</v>
      </c>
      <c r="S696" s="17"/>
      <c r="T696" t="b">
        <f>IF(     ISNUMBER(Table1334[[#This Row],[Strike]]),RTD("tos.rtd", , "OPEN_INT", "."&amp;Table1334[[#This Row],[Ticker]]&amp;Table1334[[#This Row],[Expiry]]&amp;""&amp;"P"&amp;Table1334[[#This Row],[Strike]]))</f>
        <v>0</v>
      </c>
      <c r="U69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6" t="b">
        <f>IF(     ISNUMBER(Table1334[[#This Row],[Strike]]),RTD("tos.rtd", , "DELTA", "."&amp;Table1334[[#This Row],[Ticker]]&amp;Table1334[[#This Row],[Expiry]]&amp;""&amp;"P"&amp;Table1334[[#This Row],[Strike]]))</f>
        <v>0</v>
      </c>
      <c r="Y696" s="19">
        <f>-11.5* IF($M$1="NDX", 10, IF(OR($M$1="SPX", $M$1="RUT"), 2, 1))</f>
        <v>-23</v>
      </c>
      <c r="Z696">
        <f ca="1">IFERROR(Table1334[[#This Row],[call gamma]]*(Table1334[[#This Row],[Open.Int]])*$A$4^2,0)</f>
        <v>0</v>
      </c>
      <c r="AA696">
        <f ca="1">IFERROR(((Table1334[[#This Row],[Open.Int8]])*Table1334[[#This Row],[Put gamma]])*-1*$A$4^2,0)</f>
        <v>0</v>
      </c>
      <c r="AB696">
        <f ca="1">(Table1334[[#This Row],[Call Gex]]+Table1334[[#This Row],[Put Gex]])</f>
        <v>0</v>
      </c>
      <c r="AC696">
        <f ca="1">Table1334[[#This Row],[put delta adj]]+Table1334[[#This Row],[call delta adj]]</f>
        <v>0</v>
      </c>
      <c r="AD696">
        <f ca="1">Table1334[[#This Row],[Put Gex]]*Table1334[[#This Row],[DeltaP]]*-1</f>
        <v>0</v>
      </c>
      <c r="AE696">
        <f ca="1">Table1334[[#This Row],[Call Gex]]*Table1334[[#This Row],[DeltaC]]</f>
        <v>0</v>
      </c>
      <c r="AF696">
        <f>IF(Table1334[[#This Row],[DeltaC]]-ABS(Table1334[[#This Row],[DeltaP]])="0","0.01",Table1334[[#This Row],[DeltaC]]-ABS(Table1334[[#This Row],[DeltaP]]))</f>
        <v>0</v>
      </c>
      <c r="AG69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6" t="e">
        <f ca="1">(EXP(-(AG696^2)/2)/SQRT(2*PI())*EXP(0*SQRT(Table1334[[#This Row],[T]]))/$A$4*18%*SQRT(SQRT(Table1334[[#This Row],[T]])))</f>
        <v>#DIV/0!</v>
      </c>
      <c r="AJ696" t="e">
        <f ca="1">(EXP(-(AH696^2)/2)/SQRT(2*PI())*EXP(0*SQRT(Table1334[[#This Row],[T]]))/$A$4*18%*SQRT(SQRT(Table1334[[#This Row],[T]])))</f>
        <v>#DIV/0!</v>
      </c>
      <c r="AK696" t="e">
        <f ca="1">Table1334[[#This Row],[Call D1]]-Table1334[[#This Row],[IV Calc C]]*SQRT(Table1334[[#This Row],[T]])</f>
        <v>#DIV/0!</v>
      </c>
      <c r="AL696" t="e">
        <f ca="1">Table1334[[#This Row],[Put D1]]-Table1334[[#This Row],[IV Calc P]]*SQRT(Table1334[[#This Row],[T]])</f>
        <v>#DIV/0!</v>
      </c>
      <c r="AM696" t="e">
        <f ca="1">EXP(-0.5*Table1334[[#This Row],[Call D1]]^2)/SQRT(2*PI())</f>
        <v>#DIV/0!</v>
      </c>
      <c r="AN696" t="e">
        <f ca="1">EXP(-0.5*Table1334[[#This Row],[Put D1]]^2)/SQRT(2*PI())</f>
        <v>#DIV/0!</v>
      </c>
      <c r="AO69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6">
        <f ca="1">((Table1334[[#This Row],[call vanna]]+Table1334[[#This Row],[put vanna]])*$A$4)</f>
        <v>0</v>
      </c>
      <c r="AR69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6" s="9" t="str" cm="1">
        <f t="array" ref="AT696">_xlfn.IFS(     $M$1="SPX","SPXW",     $M$1="RUT","RUTW",  $M$1="NDX","NDXP",   TRUE,$M$1 )</f>
        <v>SPXW</v>
      </c>
      <c r="AU696" s="2">
        <f t="shared" si="72"/>
        <v>6915</v>
      </c>
      <c r="AV696" t="str">
        <f t="shared" si="73"/>
        <v>000100</v>
      </c>
      <c r="AY69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6">
        <f>((Table1334[[#This Row],[High C]]+Table1334[[#This Row],[Low C]])/2)*Table1334[[#This Row],[gammac]]*Table1334[[#This Row],[Volume]]</f>
        <v>0</v>
      </c>
      <c r="BD696">
        <f>((Table1334[[#This Row],[High P]]+Table1334[[#This Row],[Low P]])/2)*Table1334[[#This Row],[gammap]]*Table1334[[#This Row],[Volume9]]*-1</f>
        <v>0</v>
      </c>
      <c r="BE696">
        <f>(Table1334[[#This Row],[SgammaC]]+Table1334[[#This Row],[SgammaP]])*$A$4*-100</f>
        <v>0</v>
      </c>
      <c r="BF696">
        <f>Table1334[[#This Row],[DEXc]]+Table1334[[#This Row],[DEXp]]</f>
        <v>0</v>
      </c>
      <c r="BG696">
        <f>IFERROR(Table1334[[#This Row],[DeltaC]]*Table1334[[#This Row],[Open.Int]]*$A$4,0)</f>
        <v>0</v>
      </c>
      <c r="BH696">
        <f>IFERROR(Table1334[[#This Row],[DeltaP]]*Table1334[[#This Row],[Open.Int8]]*$A$4,0)</f>
        <v>0</v>
      </c>
      <c r="BI69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6">
        <f ca="1">Table1334[[#This Row],[charmc]]+Table1334[[#This Row],[charmp]]</f>
        <v>0</v>
      </c>
      <c r="BL69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6" s="78">
        <f ca="1">Table1334[[#This Row],[call helper]]+Table1334[[#This Row],[put helper]]</f>
        <v>0</v>
      </c>
      <c r="BP696" t="str">
        <f>RTD("tos.rtd", , "STRIKE", "."&amp;Table1334[[#This Row],[Ticker]]&amp;Table1334[[#This Row],[Expiry]]&amp;""&amp;"C"&amp;Table1334[[#This Row],[Spot]]+Table1334[[#This Row],[step]])</f>
        <v>N/A</v>
      </c>
    </row>
    <row r="697" spans="1:68" x14ac:dyDescent="0.25">
      <c r="A697" s="14">
        <f t="shared" ca="1" si="69"/>
        <v>-126.14810350076104</v>
      </c>
      <c r="C697" s="17"/>
      <c r="D697" t="str">
        <f>RTD("tos.rtd", , "OPEN_INT", "."&amp;Table1334[[#This Row],[Ticker]]&amp;Table1334[[#This Row],[Expiry]]&amp;""&amp;"C"&amp;Table1334[[#This Row],[Spot]]+Table1334[[#This Row],[step]])</f>
        <v>N/A</v>
      </c>
      <c r="E69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7" t="b">
        <f>IF(     ISNUMBER(Table1334[[#This Row],[Strike]]),RTD("tos.rtd", , "DELTA", "."&amp;Table1334[[#This Row],[Ticker]]&amp;Table1334[[#This Row],[Expiry]]&amp;""&amp;"C"&amp;Table1334[[#This Row],[Strike]]))</f>
        <v>0</v>
      </c>
      <c r="H697" s="17" cm="1">
        <f t="array" aca="1" ref="H697" ca="1">IndividualLegIVCore($A$4, Table1334[[#This Row],[Strike]], 0.0411, Table1334[[#This Row],[T]], ((Table1334[[#This Row],[BIDC]]+Table1334[[#This Row],[ASKC]])/2), TRUE)</f>
        <v>0.01</v>
      </c>
      <c r="I697" t="b">
        <f>IF(     ISNUMBER(Table1334[[#This Row],[Strike]]),RTD("tos.rtd", , "BID", "."&amp;Table1334[[#This Row],[Ticker]]&amp;Table1334[[#This Row],[Expiry]]&amp;""&amp;"C"&amp;Table1334[[#This Row],[Strike]]))</f>
        <v>0</v>
      </c>
      <c r="J697" t="b">
        <f>IF(     ISNUMBER(Table1334[[#This Row],[Strike]]),RTD("tos.rtd", , "ASK", "."&amp;Table1334[[#This Row],[Ticker]]&amp;Table1334[[#This Row],[Expiry]]&amp;""&amp;"C"&amp;Table1334[[#This Row],[Strike]]))</f>
        <v>0</v>
      </c>
      <c r="K697" s="17"/>
      <c r="M697" s="1">
        <f t="shared" si="70"/>
        <v>0</v>
      </c>
      <c r="N697" t="b">
        <f t="shared" si="71"/>
        <v>0</v>
      </c>
      <c r="P697" s="17" cm="1">
        <f t="array" aca="1" ref="P697" ca="1">IndividualLegIVCore($A$4, Table1334[[#This Row],[Strike]], 0.0411, Table1334[[#This Row],[T]], ((Table1334[[#This Row],[BIDP]]+Table1334[[#This Row],[ASKP]])/2), FALSE)</f>
        <v>0.01</v>
      </c>
      <c r="Q697" t="b">
        <f>IF(     ISNUMBER(Table1334[[#This Row],[Strike]]),RTD("tos.rtd", , "BID", "."&amp;Table1334[[#This Row],[Ticker]]&amp;Table1334[[#This Row],[Expiry]]&amp;""&amp;"P"&amp;Table1334[[#This Row],[Strike]]))</f>
        <v>0</v>
      </c>
      <c r="R697" t="b">
        <f>IF(     ISNUMBER(Table1334[[#This Row],[Strike]]),RTD("tos.rtd", , "ASK", "."&amp;Table1334[[#This Row],[Ticker]]&amp;Table1334[[#This Row],[Expiry]]&amp;""&amp;"P"&amp;Table1334[[#This Row],[Strike]]))</f>
        <v>0</v>
      </c>
      <c r="S697" s="17"/>
      <c r="T697" t="b">
        <f>IF(     ISNUMBER(Table1334[[#This Row],[Strike]]),RTD("tos.rtd", , "OPEN_INT", "."&amp;Table1334[[#This Row],[Ticker]]&amp;Table1334[[#This Row],[Expiry]]&amp;""&amp;"P"&amp;Table1334[[#This Row],[Strike]]))</f>
        <v>0</v>
      </c>
      <c r="U69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7" t="b">
        <f>IF(     ISNUMBER(Table1334[[#This Row],[Strike]]),RTD("tos.rtd", , "DELTA", "."&amp;Table1334[[#This Row],[Ticker]]&amp;Table1334[[#This Row],[Expiry]]&amp;""&amp;"P"&amp;Table1334[[#This Row],[Strike]]))</f>
        <v>0</v>
      </c>
      <c r="Y697" s="19">
        <f>-11* IF($M$1="NDX", 10, IF(OR($M$1="SPX", $M$1="RUT"), 2, 1))</f>
        <v>-22</v>
      </c>
      <c r="Z697">
        <f ca="1">IFERROR(Table1334[[#This Row],[call gamma]]*(Table1334[[#This Row],[Open.Int]])*$A$4^2,0)</f>
        <v>0</v>
      </c>
      <c r="AA697">
        <f ca="1">IFERROR(((Table1334[[#This Row],[Open.Int8]])*Table1334[[#This Row],[Put gamma]])*-1*$A$4^2,0)</f>
        <v>0</v>
      </c>
      <c r="AB697">
        <f ca="1">(Table1334[[#This Row],[Call Gex]]+Table1334[[#This Row],[Put Gex]])</f>
        <v>0</v>
      </c>
      <c r="AC697">
        <f ca="1">Table1334[[#This Row],[put delta adj]]+Table1334[[#This Row],[call delta adj]]</f>
        <v>0</v>
      </c>
      <c r="AD697">
        <f ca="1">Table1334[[#This Row],[Put Gex]]*Table1334[[#This Row],[DeltaP]]*-1</f>
        <v>0</v>
      </c>
      <c r="AE697">
        <f ca="1">Table1334[[#This Row],[Call Gex]]*Table1334[[#This Row],[DeltaC]]</f>
        <v>0</v>
      </c>
      <c r="AF697">
        <f>IF(Table1334[[#This Row],[DeltaC]]-ABS(Table1334[[#This Row],[DeltaP]])="0","0.01",Table1334[[#This Row],[DeltaC]]-ABS(Table1334[[#This Row],[DeltaP]]))</f>
        <v>0</v>
      </c>
      <c r="AG69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7" t="e">
        <f ca="1">(EXP(-(AG697^2)/2)/SQRT(2*PI())*EXP(0*SQRT(Table1334[[#This Row],[T]]))/$A$4*18%*SQRT(SQRT(Table1334[[#This Row],[T]])))</f>
        <v>#DIV/0!</v>
      </c>
      <c r="AJ697" t="e">
        <f ca="1">(EXP(-(AH697^2)/2)/SQRT(2*PI())*EXP(0*SQRT(Table1334[[#This Row],[T]]))/$A$4*18%*SQRT(SQRT(Table1334[[#This Row],[T]])))</f>
        <v>#DIV/0!</v>
      </c>
      <c r="AK697" t="e">
        <f ca="1">Table1334[[#This Row],[Call D1]]-Table1334[[#This Row],[IV Calc C]]*SQRT(Table1334[[#This Row],[T]])</f>
        <v>#DIV/0!</v>
      </c>
      <c r="AL697" t="e">
        <f ca="1">Table1334[[#This Row],[Put D1]]-Table1334[[#This Row],[IV Calc P]]*SQRT(Table1334[[#This Row],[T]])</f>
        <v>#DIV/0!</v>
      </c>
      <c r="AM697" t="e">
        <f ca="1">EXP(-0.5*Table1334[[#This Row],[Call D1]]^2)/SQRT(2*PI())</f>
        <v>#DIV/0!</v>
      </c>
      <c r="AN697" t="e">
        <f ca="1">EXP(-0.5*Table1334[[#This Row],[Put D1]]^2)/SQRT(2*PI())</f>
        <v>#DIV/0!</v>
      </c>
      <c r="AO69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7">
        <f ca="1">((Table1334[[#This Row],[call vanna]]+Table1334[[#This Row],[put vanna]])*$A$4)</f>
        <v>0</v>
      </c>
      <c r="AR69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7" s="9" t="str" cm="1">
        <f t="array" ref="AT697">_xlfn.IFS(     $M$1="SPX","SPXW",     $M$1="RUT","RUTW",  $M$1="NDX","NDXP",   TRUE,$M$1 )</f>
        <v>SPXW</v>
      </c>
      <c r="AU697" s="2">
        <f t="shared" si="72"/>
        <v>6915</v>
      </c>
      <c r="AV697" t="str">
        <f t="shared" si="73"/>
        <v>000100</v>
      </c>
      <c r="AY69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7">
        <f>((Table1334[[#This Row],[High C]]+Table1334[[#This Row],[Low C]])/2)*Table1334[[#This Row],[gammac]]*Table1334[[#This Row],[Volume]]</f>
        <v>0</v>
      </c>
      <c r="BD697">
        <f>((Table1334[[#This Row],[High P]]+Table1334[[#This Row],[Low P]])/2)*Table1334[[#This Row],[gammap]]*Table1334[[#This Row],[Volume9]]*-1</f>
        <v>0</v>
      </c>
      <c r="BE697">
        <f>(Table1334[[#This Row],[SgammaC]]+Table1334[[#This Row],[SgammaP]])*$A$4*-100</f>
        <v>0</v>
      </c>
      <c r="BF697">
        <f>Table1334[[#This Row],[DEXc]]+Table1334[[#This Row],[DEXp]]</f>
        <v>0</v>
      </c>
      <c r="BG697">
        <f>IFERROR(Table1334[[#This Row],[DeltaC]]*Table1334[[#This Row],[Open.Int]]*$A$4,0)</f>
        <v>0</v>
      </c>
      <c r="BH697">
        <f>IFERROR(Table1334[[#This Row],[DeltaP]]*Table1334[[#This Row],[Open.Int8]]*$A$4,0)</f>
        <v>0</v>
      </c>
      <c r="BI69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7">
        <f ca="1">Table1334[[#This Row],[charmc]]+Table1334[[#This Row],[charmp]]</f>
        <v>0</v>
      </c>
      <c r="BL69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7" s="78">
        <f ca="1">Table1334[[#This Row],[call helper]]+Table1334[[#This Row],[put helper]]</f>
        <v>0</v>
      </c>
      <c r="BP697" t="str">
        <f>RTD("tos.rtd", , "STRIKE", "."&amp;Table1334[[#This Row],[Ticker]]&amp;Table1334[[#This Row],[Expiry]]&amp;""&amp;"C"&amp;Table1334[[#This Row],[Spot]]+Table1334[[#This Row],[step]])</f>
        <v>N/A</v>
      </c>
    </row>
    <row r="698" spans="1:68" x14ac:dyDescent="0.25">
      <c r="A698" s="14">
        <f t="shared" ca="1" si="69"/>
        <v>-126.14810350076104</v>
      </c>
      <c r="C698" s="17"/>
      <c r="D698" t="str">
        <f>RTD("tos.rtd", , "OPEN_INT", "."&amp;Table1334[[#This Row],[Ticker]]&amp;Table1334[[#This Row],[Expiry]]&amp;""&amp;"C"&amp;Table1334[[#This Row],[Spot]]+Table1334[[#This Row],[step]])</f>
        <v>N/A</v>
      </c>
      <c r="E69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8" t="b">
        <f>IF(     ISNUMBER(Table1334[[#This Row],[Strike]]),RTD("tos.rtd", , "DELTA", "."&amp;Table1334[[#This Row],[Ticker]]&amp;Table1334[[#This Row],[Expiry]]&amp;""&amp;"C"&amp;Table1334[[#This Row],[Strike]]))</f>
        <v>0</v>
      </c>
      <c r="H698" s="17" cm="1">
        <f t="array" aca="1" ref="H698" ca="1">IndividualLegIVCore($A$4, Table1334[[#This Row],[Strike]], 0.0411, Table1334[[#This Row],[T]], ((Table1334[[#This Row],[BIDC]]+Table1334[[#This Row],[ASKC]])/2), TRUE)</f>
        <v>0.01</v>
      </c>
      <c r="I698" t="b">
        <f>IF(     ISNUMBER(Table1334[[#This Row],[Strike]]),RTD("tos.rtd", , "BID", "."&amp;Table1334[[#This Row],[Ticker]]&amp;Table1334[[#This Row],[Expiry]]&amp;""&amp;"C"&amp;Table1334[[#This Row],[Strike]]))</f>
        <v>0</v>
      </c>
      <c r="J698" t="b">
        <f>IF(     ISNUMBER(Table1334[[#This Row],[Strike]]),RTD("tos.rtd", , "ASK", "."&amp;Table1334[[#This Row],[Ticker]]&amp;Table1334[[#This Row],[Expiry]]&amp;""&amp;"C"&amp;Table1334[[#This Row],[Strike]]))</f>
        <v>0</v>
      </c>
      <c r="K698" s="17"/>
      <c r="M698" s="1">
        <f t="shared" si="70"/>
        <v>0</v>
      </c>
      <c r="N698" t="b">
        <f t="shared" si="71"/>
        <v>0</v>
      </c>
      <c r="P698" s="17" cm="1">
        <f t="array" aca="1" ref="P698" ca="1">IndividualLegIVCore($A$4, Table1334[[#This Row],[Strike]], 0.0411, Table1334[[#This Row],[T]], ((Table1334[[#This Row],[BIDP]]+Table1334[[#This Row],[ASKP]])/2), FALSE)</f>
        <v>0.01</v>
      </c>
      <c r="Q698" t="b">
        <f>IF(     ISNUMBER(Table1334[[#This Row],[Strike]]),RTD("tos.rtd", , "BID", "."&amp;Table1334[[#This Row],[Ticker]]&amp;Table1334[[#This Row],[Expiry]]&amp;""&amp;"P"&amp;Table1334[[#This Row],[Strike]]))</f>
        <v>0</v>
      </c>
      <c r="R698" t="b">
        <f>IF(     ISNUMBER(Table1334[[#This Row],[Strike]]),RTD("tos.rtd", , "ASK", "."&amp;Table1334[[#This Row],[Ticker]]&amp;Table1334[[#This Row],[Expiry]]&amp;""&amp;"P"&amp;Table1334[[#This Row],[Strike]]))</f>
        <v>0</v>
      </c>
      <c r="S698" s="17"/>
      <c r="T698" t="b">
        <f>IF(     ISNUMBER(Table1334[[#This Row],[Strike]]),RTD("tos.rtd", , "OPEN_INT", "."&amp;Table1334[[#This Row],[Ticker]]&amp;Table1334[[#This Row],[Expiry]]&amp;""&amp;"P"&amp;Table1334[[#This Row],[Strike]]))</f>
        <v>0</v>
      </c>
      <c r="U69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8" t="b">
        <f>IF(     ISNUMBER(Table1334[[#This Row],[Strike]]),RTD("tos.rtd", , "DELTA", "."&amp;Table1334[[#This Row],[Ticker]]&amp;Table1334[[#This Row],[Expiry]]&amp;""&amp;"P"&amp;Table1334[[#This Row],[Strike]]))</f>
        <v>0</v>
      </c>
      <c r="Y698" s="19">
        <f>-10.5* IF($M$1="NDX", 10, IF(OR($M$1="SPX", $M$1="RUT"), 2, 1))</f>
        <v>-21</v>
      </c>
      <c r="Z698">
        <f ca="1">IFERROR(Table1334[[#This Row],[call gamma]]*(Table1334[[#This Row],[Open.Int]])*$A$4^2,0)</f>
        <v>0</v>
      </c>
      <c r="AA698">
        <f ca="1">IFERROR(((Table1334[[#This Row],[Open.Int8]])*Table1334[[#This Row],[Put gamma]])*-1*$A$4^2,0)</f>
        <v>0</v>
      </c>
      <c r="AB698">
        <f ca="1">(Table1334[[#This Row],[Call Gex]]+Table1334[[#This Row],[Put Gex]])</f>
        <v>0</v>
      </c>
      <c r="AC698">
        <f ca="1">Table1334[[#This Row],[put delta adj]]+Table1334[[#This Row],[call delta adj]]</f>
        <v>0</v>
      </c>
      <c r="AD698">
        <f ca="1">Table1334[[#This Row],[Put Gex]]*Table1334[[#This Row],[DeltaP]]*-1</f>
        <v>0</v>
      </c>
      <c r="AE698">
        <f ca="1">Table1334[[#This Row],[Call Gex]]*Table1334[[#This Row],[DeltaC]]</f>
        <v>0</v>
      </c>
      <c r="AF698">
        <f>IF(Table1334[[#This Row],[DeltaC]]-ABS(Table1334[[#This Row],[DeltaP]])="0","0.01",Table1334[[#This Row],[DeltaC]]-ABS(Table1334[[#This Row],[DeltaP]]))</f>
        <v>0</v>
      </c>
      <c r="AG69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8" t="e">
        <f ca="1">(EXP(-(AG698^2)/2)/SQRT(2*PI())*EXP(0*SQRT(Table1334[[#This Row],[T]]))/$A$4*18%*SQRT(SQRT(Table1334[[#This Row],[T]])))</f>
        <v>#DIV/0!</v>
      </c>
      <c r="AJ698" t="e">
        <f ca="1">(EXP(-(AH698^2)/2)/SQRT(2*PI())*EXP(0*SQRT(Table1334[[#This Row],[T]]))/$A$4*18%*SQRT(SQRT(Table1334[[#This Row],[T]])))</f>
        <v>#DIV/0!</v>
      </c>
      <c r="AK698" t="e">
        <f ca="1">Table1334[[#This Row],[Call D1]]-Table1334[[#This Row],[IV Calc C]]*SQRT(Table1334[[#This Row],[T]])</f>
        <v>#DIV/0!</v>
      </c>
      <c r="AL698" t="e">
        <f ca="1">Table1334[[#This Row],[Put D1]]-Table1334[[#This Row],[IV Calc P]]*SQRT(Table1334[[#This Row],[T]])</f>
        <v>#DIV/0!</v>
      </c>
      <c r="AM698" t="e">
        <f ca="1">EXP(-0.5*Table1334[[#This Row],[Call D1]]^2)/SQRT(2*PI())</f>
        <v>#DIV/0!</v>
      </c>
      <c r="AN698" t="e">
        <f ca="1">EXP(-0.5*Table1334[[#This Row],[Put D1]]^2)/SQRT(2*PI())</f>
        <v>#DIV/0!</v>
      </c>
      <c r="AO69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8">
        <f ca="1">((Table1334[[#This Row],[call vanna]]+Table1334[[#This Row],[put vanna]])*$A$4)</f>
        <v>0</v>
      </c>
      <c r="AR69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8" s="9" t="str" cm="1">
        <f t="array" ref="AT698">_xlfn.IFS(     $M$1="SPX","SPXW",     $M$1="RUT","RUTW",  $M$1="NDX","NDXP",   TRUE,$M$1 )</f>
        <v>SPXW</v>
      </c>
      <c r="AU698" s="2">
        <f t="shared" si="72"/>
        <v>6915</v>
      </c>
      <c r="AV698" t="str">
        <f t="shared" si="73"/>
        <v>000100</v>
      </c>
      <c r="AY69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8">
        <f>((Table1334[[#This Row],[High C]]+Table1334[[#This Row],[Low C]])/2)*Table1334[[#This Row],[gammac]]*Table1334[[#This Row],[Volume]]</f>
        <v>0</v>
      </c>
      <c r="BD698">
        <f>((Table1334[[#This Row],[High P]]+Table1334[[#This Row],[Low P]])/2)*Table1334[[#This Row],[gammap]]*Table1334[[#This Row],[Volume9]]*-1</f>
        <v>0</v>
      </c>
      <c r="BE698">
        <f>(Table1334[[#This Row],[SgammaC]]+Table1334[[#This Row],[SgammaP]])*$A$4*-100</f>
        <v>0</v>
      </c>
      <c r="BF698">
        <f>Table1334[[#This Row],[DEXc]]+Table1334[[#This Row],[DEXp]]</f>
        <v>0</v>
      </c>
      <c r="BG698">
        <f>IFERROR(Table1334[[#This Row],[DeltaC]]*Table1334[[#This Row],[Open.Int]]*$A$4,0)</f>
        <v>0</v>
      </c>
      <c r="BH698">
        <f>IFERROR(Table1334[[#This Row],[DeltaP]]*Table1334[[#This Row],[Open.Int8]]*$A$4,0)</f>
        <v>0</v>
      </c>
      <c r="BI69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8">
        <f ca="1">Table1334[[#This Row],[charmc]]+Table1334[[#This Row],[charmp]]</f>
        <v>0</v>
      </c>
      <c r="BL69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8" s="78">
        <f ca="1">Table1334[[#This Row],[call helper]]+Table1334[[#This Row],[put helper]]</f>
        <v>0</v>
      </c>
      <c r="BP698" t="str">
        <f>RTD("tos.rtd", , "STRIKE", "."&amp;Table1334[[#This Row],[Ticker]]&amp;Table1334[[#This Row],[Expiry]]&amp;""&amp;"C"&amp;Table1334[[#This Row],[Spot]]+Table1334[[#This Row],[step]])</f>
        <v>N/A</v>
      </c>
    </row>
    <row r="699" spans="1:68" x14ac:dyDescent="0.25">
      <c r="A699" s="14">
        <f t="shared" ca="1" si="69"/>
        <v>-126.14810350076104</v>
      </c>
      <c r="C699" s="17"/>
      <c r="D699" t="str">
        <f>RTD("tos.rtd", , "OPEN_INT", "."&amp;Table1334[[#This Row],[Ticker]]&amp;Table1334[[#This Row],[Expiry]]&amp;""&amp;"C"&amp;Table1334[[#This Row],[Spot]]+Table1334[[#This Row],[step]])</f>
        <v>N/A</v>
      </c>
      <c r="E69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9" t="b">
        <f>IF(     ISNUMBER(Table1334[[#This Row],[Strike]]),RTD("tos.rtd", , "DELTA", "."&amp;Table1334[[#This Row],[Ticker]]&amp;Table1334[[#This Row],[Expiry]]&amp;""&amp;"C"&amp;Table1334[[#This Row],[Strike]]))</f>
        <v>0</v>
      </c>
      <c r="H699" s="17" cm="1">
        <f t="array" aca="1" ref="H699" ca="1">IndividualLegIVCore($A$4, Table1334[[#This Row],[Strike]], 0.0411, Table1334[[#This Row],[T]], ((Table1334[[#This Row],[BIDC]]+Table1334[[#This Row],[ASKC]])/2), TRUE)</f>
        <v>0.01</v>
      </c>
      <c r="I699" t="b">
        <f>IF(     ISNUMBER(Table1334[[#This Row],[Strike]]),RTD("tos.rtd", , "BID", "."&amp;Table1334[[#This Row],[Ticker]]&amp;Table1334[[#This Row],[Expiry]]&amp;""&amp;"C"&amp;Table1334[[#This Row],[Strike]]))</f>
        <v>0</v>
      </c>
      <c r="J699" t="b">
        <f>IF(     ISNUMBER(Table1334[[#This Row],[Strike]]),RTD("tos.rtd", , "ASK", "."&amp;Table1334[[#This Row],[Ticker]]&amp;Table1334[[#This Row],[Expiry]]&amp;""&amp;"C"&amp;Table1334[[#This Row],[Strike]]))</f>
        <v>0</v>
      </c>
      <c r="K699" s="17"/>
      <c r="M699" s="1">
        <f t="shared" si="70"/>
        <v>0</v>
      </c>
      <c r="N699" t="b">
        <f t="shared" si="71"/>
        <v>0</v>
      </c>
      <c r="P699" s="17" cm="1">
        <f t="array" aca="1" ref="P699" ca="1">IndividualLegIVCore($A$4, Table1334[[#This Row],[Strike]], 0.0411, Table1334[[#This Row],[T]], ((Table1334[[#This Row],[BIDP]]+Table1334[[#This Row],[ASKP]])/2), FALSE)</f>
        <v>0.01</v>
      </c>
      <c r="Q699" t="b">
        <f>IF(     ISNUMBER(Table1334[[#This Row],[Strike]]),RTD("tos.rtd", , "BID", "."&amp;Table1334[[#This Row],[Ticker]]&amp;Table1334[[#This Row],[Expiry]]&amp;""&amp;"P"&amp;Table1334[[#This Row],[Strike]]))</f>
        <v>0</v>
      </c>
      <c r="R699" t="b">
        <f>IF(     ISNUMBER(Table1334[[#This Row],[Strike]]),RTD("tos.rtd", , "ASK", "."&amp;Table1334[[#This Row],[Ticker]]&amp;Table1334[[#This Row],[Expiry]]&amp;""&amp;"P"&amp;Table1334[[#This Row],[Strike]]))</f>
        <v>0</v>
      </c>
      <c r="S699" s="17"/>
      <c r="T699" t="b">
        <f>IF(     ISNUMBER(Table1334[[#This Row],[Strike]]),RTD("tos.rtd", , "OPEN_INT", "."&amp;Table1334[[#This Row],[Ticker]]&amp;Table1334[[#This Row],[Expiry]]&amp;""&amp;"P"&amp;Table1334[[#This Row],[Strike]]))</f>
        <v>0</v>
      </c>
      <c r="U69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9" t="b">
        <f>IF(     ISNUMBER(Table1334[[#This Row],[Strike]]),RTD("tos.rtd", , "DELTA", "."&amp;Table1334[[#This Row],[Ticker]]&amp;Table1334[[#This Row],[Expiry]]&amp;""&amp;"P"&amp;Table1334[[#This Row],[Strike]]))</f>
        <v>0</v>
      </c>
      <c r="Y699" s="19">
        <f>-10* IF($M$1="NDX", 10, IF(OR($M$1="SPX", $M$1="RUT"), 2, 1))</f>
        <v>-20</v>
      </c>
      <c r="Z699">
        <f ca="1">IFERROR(Table1334[[#This Row],[call gamma]]*(Table1334[[#This Row],[Open.Int]])*$A$4^2,0)</f>
        <v>0</v>
      </c>
      <c r="AA699">
        <f ca="1">IFERROR(((Table1334[[#This Row],[Open.Int8]])*Table1334[[#This Row],[Put gamma]])*-1*$A$4^2,0)</f>
        <v>0</v>
      </c>
      <c r="AB699">
        <f ca="1">(Table1334[[#This Row],[Call Gex]]+Table1334[[#This Row],[Put Gex]])</f>
        <v>0</v>
      </c>
      <c r="AC699">
        <f ca="1">Table1334[[#This Row],[put delta adj]]+Table1334[[#This Row],[call delta adj]]</f>
        <v>0</v>
      </c>
      <c r="AD699">
        <f ca="1">Table1334[[#This Row],[Put Gex]]*Table1334[[#This Row],[DeltaP]]*-1</f>
        <v>0</v>
      </c>
      <c r="AE699">
        <f ca="1">Table1334[[#This Row],[Call Gex]]*Table1334[[#This Row],[DeltaC]]</f>
        <v>0</v>
      </c>
      <c r="AF699">
        <f>IF(Table1334[[#This Row],[DeltaC]]-ABS(Table1334[[#This Row],[DeltaP]])="0","0.01",Table1334[[#This Row],[DeltaC]]-ABS(Table1334[[#This Row],[DeltaP]]))</f>
        <v>0</v>
      </c>
      <c r="AG69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9" t="e">
        <f ca="1">(EXP(-(AG699^2)/2)/SQRT(2*PI())*EXP(0*SQRT(Table1334[[#This Row],[T]]))/$A$4*18%*SQRT(SQRT(Table1334[[#This Row],[T]])))</f>
        <v>#DIV/0!</v>
      </c>
      <c r="AJ699" t="e">
        <f ca="1">(EXP(-(AH699^2)/2)/SQRT(2*PI())*EXP(0*SQRT(Table1334[[#This Row],[T]]))/$A$4*18%*SQRT(SQRT(Table1334[[#This Row],[T]])))</f>
        <v>#DIV/0!</v>
      </c>
      <c r="AK699" t="e">
        <f ca="1">Table1334[[#This Row],[Call D1]]-Table1334[[#This Row],[IV Calc C]]*SQRT(Table1334[[#This Row],[T]])</f>
        <v>#DIV/0!</v>
      </c>
      <c r="AL699" t="e">
        <f ca="1">Table1334[[#This Row],[Put D1]]-Table1334[[#This Row],[IV Calc P]]*SQRT(Table1334[[#This Row],[T]])</f>
        <v>#DIV/0!</v>
      </c>
      <c r="AM699" t="e">
        <f ca="1">EXP(-0.5*Table1334[[#This Row],[Call D1]]^2)/SQRT(2*PI())</f>
        <v>#DIV/0!</v>
      </c>
      <c r="AN699" t="e">
        <f ca="1">EXP(-0.5*Table1334[[#This Row],[Put D1]]^2)/SQRT(2*PI())</f>
        <v>#DIV/0!</v>
      </c>
      <c r="AO69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9">
        <f ca="1">((Table1334[[#This Row],[call vanna]]+Table1334[[#This Row],[put vanna]])*$A$4)</f>
        <v>0</v>
      </c>
      <c r="AR69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9" s="9" t="str" cm="1">
        <f t="array" ref="AT699">_xlfn.IFS(     $M$1="SPX","SPXW",     $M$1="RUT","RUTW",  $M$1="NDX","NDXP",   TRUE,$M$1 )</f>
        <v>SPXW</v>
      </c>
      <c r="AU699" s="2">
        <f t="shared" si="72"/>
        <v>6915</v>
      </c>
      <c r="AV699" t="str">
        <f t="shared" si="73"/>
        <v>000100</v>
      </c>
      <c r="AY69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9">
        <f>((Table1334[[#This Row],[High C]]+Table1334[[#This Row],[Low C]])/2)*Table1334[[#This Row],[gammac]]*Table1334[[#This Row],[Volume]]</f>
        <v>0</v>
      </c>
      <c r="BD699">
        <f>((Table1334[[#This Row],[High P]]+Table1334[[#This Row],[Low P]])/2)*Table1334[[#This Row],[gammap]]*Table1334[[#This Row],[Volume9]]*-1</f>
        <v>0</v>
      </c>
      <c r="BE699">
        <f>(Table1334[[#This Row],[SgammaC]]+Table1334[[#This Row],[SgammaP]])*$A$4*-100</f>
        <v>0</v>
      </c>
      <c r="BF699">
        <f>Table1334[[#This Row],[DEXc]]+Table1334[[#This Row],[DEXp]]</f>
        <v>0</v>
      </c>
      <c r="BG699">
        <f>IFERROR(Table1334[[#This Row],[DeltaC]]*Table1334[[#This Row],[Open.Int]]*$A$4,0)</f>
        <v>0</v>
      </c>
      <c r="BH699">
        <f>IFERROR(Table1334[[#This Row],[DeltaP]]*Table1334[[#This Row],[Open.Int8]]*$A$4,0)</f>
        <v>0</v>
      </c>
      <c r="BI69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9">
        <f ca="1">Table1334[[#This Row],[charmc]]+Table1334[[#This Row],[charmp]]</f>
        <v>0</v>
      </c>
      <c r="BL69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9" s="78">
        <f ca="1">Table1334[[#This Row],[call helper]]+Table1334[[#This Row],[put helper]]</f>
        <v>0</v>
      </c>
      <c r="BP699" t="str">
        <f>RTD("tos.rtd", , "STRIKE", "."&amp;Table1334[[#This Row],[Ticker]]&amp;Table1334[[#This Row],[Expiry]]&amp;""&amp;"C"&amp;Table1334[[#This Row],[Spot]]+Table1334[[#This Row],[step]])</f>
        <v>N/A</v>
      </c>
    </row>
    <row r="700" spans="1:68" x14ac:dyDescent="0.25">
      <c r="A700" s="14">
        <f t="shared" ca="1" si="69"/>
        <v>-126.14810350076104</v>
      </c>
      <c r="C700" s="17"/>
      <c r="D700" t="str">
        <f>RTD("tos.rtd", , "OPEN_INT", "."&amp;Table1334[[#This Row],[Ticker]]&amp;Table1334[[#This Row],[Expiry]]&amp;""&amp;"C"&amp;Table1334[[#This Row],[Spot]]+Table1334[[#This Row],[step]])</f>
        <v>N/A</v>
      </c>
      <c r="E70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0" t="b">
        <f>IF(     ISNUMBER(Table1334[[#This Row],[Strike]]),RTD("tos.rtd", , "DELTA", "."&amp;Table1334[[#This Row],[Ticker]]&amp;Table1334[[#This Row],[Expiry]]&amp;""&amp;"C"&amp;Table1334[[#This Row],[Strike]]))</f>
        <v>0</v>
      </c>
      <c r="H700" s="17" cm="1">
        <f t="array" aca="1" ref="H700" ca="1">IndividualLegIVCore($A$4, Table1334[[#This Row],[Strike]], 0.0411, Table1334[[#This Row],[T]], ((Table1334[[#This Row],[BIDC]]+Table1334[[#This Row],[ASKC]])/2), TRUE)</f>
        <v>0.01</v>
      </c>
      <c r="I700" t="b">
        <f>IF(     ISNUMBER(Table1334[[#This Row],[Strike]]),RTD("tos.rtd", , "BID", "."&amp;Table1334[[#This Row],[Ticker]]&amp;Table1334[[#This Row],[Expiry]]&amp;""&amp;"C"&amp;Table1334[[#This Row],[Strike]]))</f>
        <v>0</v>
      </c>
      <c r="J700" t="b">
        <f>IF(     ISNUMBER(Table1334[[#This Row],[Strike]]),RTD("tos.rtd", , "ASK", "."&amp;Table1334[[#This Row],[Ticker]]&amp;Table1334[[#This Row],[Expiry]]&amp;""&amp;"C"&amp;Table1334[[#This Row],[Strike]]))</f>
        <v>0</v>
      </c>
      <c r="K700" s="17"/>
      <c r="M700" s="1">
        <f t="shared" si="70"/>
        <v>0</v>
      </c>
      <c r="N700" t="b">
        <f t="shared" si="71"/>
        <v>0</v>
      </c>
      <c r="P700" s="17" cm="1">
        <f t="array" aca="1" ref="P700" ca="1">IndividualLegIVCore($A$4, Table1334[[#This Row],[Strike]], 0.0411, Table1334[[#This Row],[T]], ((Table1334[[#This Row],[BIDP]]+Table1334[[#This Row],[ASKP]])/2), FALSE)</f>
        <v>0.01</v>
      </c>
      <c r="Q700" t="b">
        <f>IF(     ISNUMBER(Table1334[[#This Row],[Strike]]),RTD("tos.rtd", , "BID", "."&amp;Table1334[[#This Row],[Ticker]]&amp;Table1334[[#This Row],[Expiry]]&amp;""&amp;"P"&amp;Table1334[[#This Row],[Strike]]))</f>
        <v>0</v>
      </c>
      <c r="R700" t="b">
        <f>IF(     ISNUMBER(Table1334[[#This Row],[Strike]]),RTD("tos.rtd", , "ASK", "."&amp;Table1334[[#This Row],[Ticker]]&amp;Table1334[[#This Row],[Expiry]]&amp;""&amp;"P"&amp;Table1334[[#This Row],[Strike]]))</f>
        <v>0</v>
      </c>
      <c r="S700" s="17"/>
      <c r="T700" t="b">
        <f>IF(     ISNUMBER(Table1334[[#This Row],[Strike]]),RTD("tos.rtd", , "OPEN_INT", "."&amp;Table1334[[#This Row],[Ticker]]&amp;Table1334[[#This Row],[Expiry]]&amp;""&amp;"P"&amp;Table1334[[#This Row],[Strike]]))</f>
        <v>0</v>
      </c>
      <c r="U70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0" t="b">
        <f>IF(     ISNUMBER(Table1334[[#This Row],[Strike]]),RTD("tos.rtd", , "DELTA", "."&amp;Table1334[[#This Row],[Ticker]]&amp;Table1334[[#This Row],[Expiry]]&amp;""&amp;"P"&amp;Table1334[[#This Row],[Strike]]))</f>
        <v>0</v>
      </c>
      <c r="Y700" s="21">
        <f>-9.5* IF($M$1="NDX", 10, IF(OR($M$1="SPX", $M$1="RUT"), 2, 1))</f>
        <v>-19</v>
      </c>
      <c r="Z700">
        <f ca="1">IFERROR(Table1334[[#This Row],[call gamma]]*(Table1334[[#This Row],[Open.Int]])*$A$4^2,0)</f>
        <v>0</v>
      </c>
      <c r="AA700">
        <f ca="1">IFERROR(((Table1334[[#This Row],[Open.Int8]])*Table1334[[#This Row],[Put gamma]])*-1*$A$4^2,0)</f>
        <v>0</v>
      </c>
      <c r="AB700">
        <f ca="1">(Table1334[[#This Row],[Call Gex]]+Table1334[[#This Row],[Put Gex]])</f>
        <v>0</v>
      </c>
      <c r="AC700">
        <f ca="1">Table1334[[#This Row],[put delta adj]]+Table1334[[#This Row],[call delta adj]]</f>
        <v>0</v>
      </c>
      <c r="AD700">
        <f ca="1">Table1334[[#This Row],[Put Gex]]*Table1334[[#This Row],[DeltaP]]*-1</f>
        <v>0</v>
      </c>
      <c r="AE700">
        <f ca="1">Table1334[[#This Row],[Call Gex]]*Table1334[[#This Row],[DeltaC]]</f>
        <v>0</v>
      </c>
      <c r="AF700">
        <f>IF(Table1334[[#This Row],[DeltaC]]-ABS(Table1334[[#This Row],[DeltaP]])="0","0.01",Table1334[[#This Row],[DeltaC]]-ABS(Table1334[[#This Row],[DeltaP]]))</f>
        <v>0</v>
      </c>
      <c r="AG70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0" t="e">
        <f ca="1">(EXP(-(AG700^2)/2)/SQRT(2*PI())*EXP(0*SQRT(Table1334[[#This Row],[T]]))/$A$4*18%*SQRT(SQRT(Table1334[[#This Row],[T]])))</f>
        <v>#DIV/0!</v>
      </c>
      <c r="AJ700" t="e">
        <f ca="1">(EXP(-(AH700^2)/2)/SQRT(2*PI())*EXP(0*SQRT(Table1334[[#This Row],[T]]))/$A$4*18%*SQRT(SQRT(Table1334[[#This Row],[T]])))</f>
        <v>#DIV/0!</v>
      </c>
      <c r="AK700" t="e">
        <f ca="1">Table1334[[#This Row],[Call D1]]-Table1334[[#This Row],[IV Calc C]]*SQRT(Table1334[[#This Row],[T]])</f>
        <v>#DIV/0!</v>
      </c>
      <c r="AL700" t="e">
        <f ca="1">Table1334[[#This Row],[Put D1]]-Table1334[[#This Row],[IV Calc P]]*SQRT(Table1334[[#This Row],[T]])</f>
        <v>#DIV/0!</v>
      </c>
      <c r="AM700" t="e">
        <f ca="1">EXP(-0.5*Table1334[[#This Row],[Call D1]]^2)/SQRT(2*PI())</f>
        <v>#DIV/0!</v>
      </c>
      <c r="AN700" t="e">
        <f ca="1">EXP(-0.5*Table1334[[#This Row],[Put D1]]^2)/SQRT(2*PI())</f>
        <v>#DIV/0!</v>
      </c>
      <c r="AO70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0">
        <f ca="1">((Table1334[[#This Row],[call vanna]]+Table1334[[#This Row],[put vanna]])*$A$4)</f>
        <v>0</v>
      </c>
      <c r="AR70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0" s="9" t="str" cm="1">
        <f t="array" ref="AT700">_xlfn.IFS(     $M$1="SPX","SPXW",     $M$1="RUT","RUTW",  $M$1="NDX","NDXP",   TRUE,$M$1 )</f>
        <v>SPXW</v>
      </c>
      <c r="AU700" s="2">
        <f t="shared" si="72"/>
        <v>6915</v>
      </c>
      <c r="AV700" t="str">
        <f t="shared" si="73"/>
        <v>000100</v>
      </c>
      <c r="AY70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0">
        <f>((Table1334[[#This Row],[High C]]+Table1334[[#This Row],[Low C]])/2)*Table1334[[#This Row],[gammac]]*Table1334[[#This Row],[Volume]]</f>
        <v>0</v>
      </c>
      <c r="BD700">
        <f>((Table1334[[#This Row],[High P]]+Table1334[[#This Row],[Low P]])/2)*Table1334[[#This Row],[gammap]]*Table1334[[#This Row],[Volume9]]*-1</f>
        <v>0</v>
      </c>
      <c r="BE700">
        <f>(Table1334[[#This Row],[SgammaC]]+Table1334[[#This Row],[SgammaP]])*$A$4*-100</f>
        <v>0</v>
      </c>
      <c r="BF700">
        <f>Table1334[[#This Row],[DEXc]]+Table1334[[#This Row],[DEXp]]</f>
        <v>0</v>
      </c>
      <c r="BG700">
        <f>IFERROR(Table1334[[#This Row],[DeltaC]]*Table1334[[#This Row],[Open.Int]]*$A$4,0)</f>
        <v>0</v>
      </c>
      <c r="BH700">
        <f>IFERROR(Table1334[[#This Row],[DeltaP]]*Table1334[[#This Row],[Open.Int8]]*$A$4,0)</f>
        <v>0</v>
      </c>
      <c r="BI70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0">
        <f ca="1">Table1334[[#This Row],[charmc]]+Table1334[[#This Row],[charmp]]</f>
        <v>0</v>
      </c>
      <c r="BL70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0" s="78">
        <f ca="1">Table1334[[#This Row],[call helper]]+Table1334[[#This Row],[put helper]]</f>
        <v>0</v>
      </c>
      <c r="BP700" t="str">
        <f>RTD("tos.rtd", , "STRIKE", "."&amp;Table1334[[#This Row],[Ticker]]&amp;Table1334[[#This Row],[Expiry]]&amp;""&amp;"C"&amp;Table1334[[#This Row],[Spot]]+Table1334[[#This Row],[step]])</f>
        <v>N/A</v>
      </c>
    </row>
    <row r="701" spans="1:68" x14ac:dyDescent="0.25">
      <c r="A701" s="14">
        <f t="shared" ca="1" si="69"/>
        <v>-126.14810350076104</v>
      </c>
      <c r="C701" s="17"/>
      <c r="D701" t="str">
        <f>RTD("tos.rtd", , "OPEN_INT", "."&amp;Table1334[[#This Row],[Ticker]]&amp;Table1334[[#This Row],[Expiry]]&amp;""&amp;"C"&amp;Table1334[[#This Row],[Spot]]+Table1334[[#This Row],[step]])</f>
        <v>N/A</v>
      </c>
      <c r="E70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1" t="b">
        <f>IF(     ISNUMBER(Table1334[[#This Row],[Strike]]),RTD("tos.rtd", , "DELTA", "."&amp;Table1334[[#This Row],[Ticker]]&amp;Table1334[[#This Row],[Expiry]]&amp;""&amp;"C"&amp;Table1334[[#This Row],[Strike]]))</f>
        <v>0</v>
      </c>
      <c r="H701" s="17" cm="1">
        <f t="array" aca="1" ref="H701" ca="1">IndividualLegIVCore($A$4, Table1334[[#This Row],[Strike]], 0.0411, Table1334[[#This Row],[T]], ((Table1334[[#This Row],[BIDC]]+Table1334[[#This Row],[ASKC]])/2), TRUE)</f>
        <v>0.01</v>
      </c>
      <c r="I701" t="b">
        <f>IF(     ISNUMBER(Table1334[[#This Row],[Strike]]),RTD("tos.rtd", , "BID", "."&amp;Table1334[[#This Row],[Ticker]]&amp;Table1334[[#This Row],[Expiry]]&amp;""&amp;"C"&amp;Table1334[[#This Row],[Strike]]))</f>
        <v>0</v>
      </c>
      <c r="J701" t="b">
        <f>IF(     ISNUMBER(Table1334[[#This Row],[Strike]]),RTD("tos.rtd", , "ASK", "."&amp;Table1334[[#This Row],[Ticker]]&amp;Table1334[[#This Row],[Expiry]]&amp;""&amp;"C"&amp;Table1334[[#This Row],[Strike]]))</f>
        <v>0</v>
      </c>
      <c r="K701" s="17"/>
      <c r="M701" s="1">
        <f t="shared" si="70"/>
        <v>0</v>
      </c>
      <c r="N701" t="b">
        <f t="shared" si="71"/>
        <v>0</v>
      </c>
      <c r="P701" s="17" cm="1">
        <f t="array" aca="1" ref="P701" ca="1">IndividualLegIVCore($A$4, Table1334[[#This Row],[Strike]], 0.0411, Table1334[[#This Row],[T]], ((Table1334[[#This Row],[BIDP]]+Table1334[[#This Row],[ASKP]])/2), FALSE)</f>
        <v>0.01</v>
      </c>
      <c r="Q701" t="b">
        <f>IF(     ISNUMBER(Table1334[[#This Row],[Strike]]),RTD("tos.rtd", , "BID", "."&amp;Table1334[[#This Row],[Ticker]]&amp;Table1334[[#This Row],[Expiry]]&amp;""&amp;"P"&amp;Table1334[[#This Row],[Strike]]))</f>
        <v>0</v>
      </c>
      <c r="R701" t="b">
        <f>IF(     ISNUMBER(Table1334[[#This Row],[Strike]]),RTD("tos.rtd", , "ASK", "."&amp;Table1334[[#This Row],[Ticker]]&amp;Table1334[[#This Row],[Expiry]]&amp;""&amp;"P"&amp;Table1334[[#This Row],[Strike]]))</f>
        <v>0</v>
      </c>
      <c r="S701" s="17"/>
      <c r="T701" t="b">
        <f>IF(     ISNUMBER(Table1334[[#This Row],[Strike]]),RTD("tos.rtd", , "OPEN_INT", "."&amp;Table1334[[#This Row],[Ticker]]&amp;Table1334[[#This Row],[Expiry]]&amp;""&amp;"P"&amp;Table1334[[#This Row],[Strike]]))</f>
        <v>0</v>
      </c>
      <c r="U70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1" t="b">
        <f>IF(     ISNUMBER(Table1334[[#This Row],[Strike]]),RTD("tos.rtd", , "DELTA", "."&amp;Table1334[[#This Row],[Ticker]]&amp;Table1334[[#This Row],[Expiry]]&amp;""&amp;"P"&amp;Table1334[[#This Row],[Strike]]))</f>
        <v>0</v>
      </c>
      <c r="Y701" s="19">
        <f>-9* IF($M$1="NDX", 10, IF(OR($M$1="SPX", $M$1="RUT"), 2, 1))</f>
        <v>-18</v>
      </c>
      <c r="Z701">
        <f ca="1">IFERROR(Table1334[[#This Row],[call gamma]]*(Table1334[[#This Row],[Open.Int]])*$A$4^2,0)</f>
        <v>0</v>
      </c>
      <c r="AA701">
        <f ca="1">IFERROR(((Table1334[[#This Row],[Open.Int8]])*Table1334[[#This Row],[Put gamma]])*-1*$A$4^2,0)</f>
        <v>0</v>
      </c>
      <c r="AB701">
        <f ca="1">(Table1334[[#This Row],[Call Gex]]+Table1334[[#This Row],[Put Gex]])</f>
        <v>0</v>
      </c>
      <c r="AC701">
        <f ca="1">Table1334[[#This Row],[put delta adj]]+Table1334[[#This Row],[call delta adj]]</f>
        <v>0</v>
      </c>
      <c r="AD701">
        <f ca="1">Table1334[[#This Row],[Put Gex]]*Table1334[[#This Row],[DeltaP]]*-1</f>
        <v>0</v>
      </c>
      <c r="AE701">
        <f ca="1">Table1334[[#This Row],[Call Gex]]*Table1334[[#This Row],[DeltaC]]</f>
        <v>0</v>
      </c>
      <c r="AF701">
        <f>IF(Table1334[[#This Row],[DeltaC]]-ABS(Table1334[[#This Row],[DeltaP]])="0","0.01",Table1334[[#This Row],[DeltaC]]-ABS(Table1334[[#This Row],[DeltaP]]))</f>
        <v>0</v>
      </c>
      <c r="AG70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1" t="e">
        <f ca="1">(EXP(-(AG701^2)/2)/SQRT(2*PI())*EXP(0*SQRT(Table1334[[#This Row],[T]]))/$A$4*18%*SQRT(SQRT(Table1334[[#This Row],[T]])))</f>
        <v>#DIV/0!</v>
      </c>
      <c r="AJ701" t="e">
        <f ca="1">(EXP(-(AH701^2)/2)/SQRT(2*PI())*EXP(0*SQRT(Table1334[[#This Row],[T]]))/$A$4*18%*SQRT(SQRT(Table1334[[#This Row],[T]])))</f>
        <v>#DIV/0!</v>
      </c>
      <c r="AK701" t="e">
        <f ca="1">Table1334[[#This Row],[Call D1]]-Table1334[[#This Row],[IV Calc C]]*SQRT(Table1334[[#This Row],[T]])</f>
        <v>#DIV/0!</v>
      </c>
      <c r="AL701" t="e">
        <f ca="1">Table1334[[#This Row],[Put D1]]-Table1334[[#This Row],[IV Calc P]]*SQRT(Table1334[[#This Row],[T]])</f>
        <v>#DIV/0!</v>
      </c>
      <c r="AM701" t="e">
        <f ca="1">EXP(-0.5*Table1334[[#This Row],[Call D1]]^2)/SQRT(2*PI())</f>
        <v>#DIV/0!</v>
      </c>
      <c r="AN701" t="e">
        <f ca="1">EXP(-0.5*Table1334[[#This Row],[Put D1]]^2)/SQRT(2*PI())</f>
        <v>#DIV/0!</v>
      </c>
      <c r="AO70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1">
        <f ca="1">((Table1334[[#This Row],[call vanna]]+Table1334[[#This Row],[put vanna]])*$A$4)</f>
        <v>0</v>
      </c>
      <c r="AR70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1" s="9" t="str" cm="1">
        <f t="array" ref="AT701">_xlfn.IFS(     $M$1="SPX","SPXW",     $M$1="RUT","RUTW",  $M$1="NDX","NDXP",   TRUE,$M$1 )</f>
        <v>SPXW</v>
      </c>
      <c r="AU701" s="2">
        <f t="shared" si="72"/>
        <v>6915</v>
      </c>
      <c r="AV701" t="str">
        <f t="shared" si="73"/>
        <v>000100</v>
      </c>
      <c r="AY70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1">
        <f>((Table1334[[#This Row],[High C]]+Table1334[[#This Row],[Low C]])/2)*Table1334[[#This Row],[gammac]]*Table1334[[#This Row],[Volume]]</f>
        <v>0</v>
      </c>
      <c r="BD701">
        <f>((Table1334[[#This Row],[High P]]+Table1334[[#This Row],[Low P]])/2)*Table1334[[#This Row],[gammap]]*Table1334[[#This Row],[Volume9]]*-1</f>
        <v>0</v>
      </c>
      <c r="BE701">
        <f>(Table1334[[#This Row],[SgammaC]]+Table1334[[#This Row],[SgammaP]])*$A$4*-100</f>
        <v>0</v>
      </c>
      <c r="BF701">
        <f>Table1334[[#This Row],[DEXc]]+Table1334[[#This Row],[DEXp]]</f>
        <v>0</v>
      </c>
      <c r="BG701">
        <f>IFERROR(Table1334[[#This Row],[DeltaC]]*Table1334[[#This Row],[Open.Int]]*$A$4,0)</f>
        <v>0</v>
      </c>
      <c r="BH701">
        <f>IFERROR(Table1334[[#This Row],[DeltaP]]*Table1334[[#This Row],[Open.Int8]]*$A$4,0)</f>
        <v>0</v>
      </c>
      <c r="BI70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1">
        <f ca="1">Table1334[[#This Row],[charmc]]+Table1334[[#This Row],[charmp]]</f>
        <v>0</v>
      </c>
      <c r="BL70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1" s="78">
        <f ca="1">Table1334[[#This Row],[call helper]]+Table1334[[#This Row],[put helper]]</f>
        <v>0</v>
      </c>
      <c r="BP701" t="str">
        <f>RTD("tos.rtd", , "STRIKE", "."&amp;Table1334[[#This Row],[Ticker]]&amp;Table1334[[#This Row],[Expiry]]&amp;""&amp;"C"&amp;Table1334[[#This Row],[Spot]]+Table1334[[#This Row],[step]])</f>
        <v>N/A</v>
      </c>
    </row>
    <row r="702" spans="1:68" x14ac:dyDescent="0.25">
      <c r="A702" s="14">
        <f t="shared" ca="1" si="69"/>
        <v>-126.14810350076104</v>
      </c>
      <c r="C702" s="17"/>
      <c r="D702" t="str">
        <f>RTD("tos.rtd", , "OPEN_INT", "."&amp;Table1334[[#This Row],[Ticker]]&amp;Table1334[[#This Row],[Expiry]]&amp;""&amp;"C"&amp;Table1334[[#This Row],[Spot]]+Table1334[[#This Row],[step]])</f>
        <v>N/A</v>
      </c>
      <c r="E70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2" t="b">
        <f>IF(     ISNUMBER(Table1334[[#This Row],[Strike]]),RTD("tos.rtd", , "DELTA", "."&amp;Table1334[[#This Row],[Ticker]]&amp;Table1334[[#This Row],[Expiry]]&amp;""&amp;"C"&amp;Table1334[[#This Row],[Strike]]))</f>
        <v>0</v>
      </c>
      <c r="H702" s="17" cm="1">
        <f t="array" aca="1" ref="H702" ca="1">IndividualLegIVCore($A$4, Table1334[[#This Row],[Strike]], 0.0411, Table1334[[#This Row],[T]], ((Table1334[[#This Row],[BIDC]]+Table1334[[#This Row],[ASKC]])/2), TRUE)</f>
        <v>0.01</v>
      </c>
      <c r="I702" t="b">
        <f>IF(     ISNUMBER(Table1334[[#This Row],[Strike]]),RTD("tos.rtd", , "BID", "."&amp;Table1334[[#This Row],[Ticker]]&amp;Table1334[[#This Row],[Expiry]]&amp;""&amp;"C"&amp;Table1334[[#This Row],[Strike]]))</f>
        <v>0</v>
      </c>
      <c r="J702" t="b">
        <f>IF(     ISNUMBER(Table1334[[#This Row],[Strike]]),RTD("tos.rtd", , "ASK", "."&amp;Table1334[[#This Row],[Ticker]]&amp;Table1334[[#This Row],[Expiry]]&amp;""&amp;"C"&amp;Table1334[[#This Row],[Strike]]))</f>
        <v>0</v>
      </c>
      <c r="K702" s="17"/>
      <c r="M702" s="1">
        <f t="shared" si="70"/>
        <v>0</v>
      </c>
      <c r="N702" t="b">
        <f t="shared" si="71"/>
        <v>0</v>
      </c>
      <c r="P702" s="17" cm="1">
        <f t="array" aca="1" ref="P702" ca="1">IndividualLegIVCore($A$4, Table1334[[#This Row],[Strike]], 0.0411, Table1334[[#This Row],[T]], ((Table1334[[#This Row],[BIDP]]+Table1334[[#This Row],[ASKP]])/2), FALSE)</f>
        <v>0.01</v>
      </c>
      <c r="Q702" t="b">
        <f>IF(     ISNUMBER(Table1334[[#This Row],[Strike]]),RTD("tos.rtd", , "BID", "."&amp;Table1334[[#This Row],[Ticker]]&amp;Table1334[[#This Row],[Expiry]]&amp;""&amp;"P"&amp;Table1334[[#This Row],[Strike]]))</f>
        <v>0</v>
      </c>
      <c r="R702" t="b">
        <f>IF(     ISNUMBER(Table1334[[#This Row],[Strike]]),RTD("tos.rtd", , "ASK", "."&amp;Table1334[[#This Row],[Ticker]]&amp;Table1334[[#This Row],[Expiry]]&amp;""&amp;"P"&amp;Table1334[[#This Row],[Strike]]))</f>
        <v>0</v>
      </c>
      <c r="S702" s="17"/>
      <c r="T702" t="b">
        <f>IF(     ISNUMBER(Table1334[[#This Row],[Strike]]),RTD("tos.rtd", , "OPEN_INT", "."&amp;Table1334[[#This Row],[Ticker]]&amp;Table1334[[#This Row],[Expiry]]&amp;""&amp;"P"&amp;Table1334[[#This Row],[Strike]]))</f>
        <v>0</v>
      </c>
      <c r="U70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2" t="b">
        <f>IF(     ISNUMBER(Table1334[[#This Row],[Strike]]),RTD("tos.rtd", , "DELTA", "."&amp;Table1334[[#This Row],[Ticker]]&amp;Table1334[[#This Row],[Expiry]]&amp;""&amp;"P"&amp;Table1334[[#This Row],[Strike]]))</f>
        <v>0</v>
      </c>
      <c r="Y702" s="19">
        <f>-8.5* IF($M$1="NDX", 10, IF(OR($M$1="SPX", $M$1="RUT"), 2, 1))</f>
        <v>-17</v>
      </c>
      <c r="Z702">
        <f ca="1">IFERROR(Table1334[[#This Row],[call gamma]]*(Table1334[[#This Row],[Open.Int]])*$A$4^2,0)</f>
        <v>0</v>
      </c>
      <c r="AA702">
        <f ca="1">IFERROR(((Table1334[[#This Row],[Open.Int8]])*Table1334[[#This Row],[Put gamma]])*-1*$A$4^2,0)</f>
        <v>0</v>
      </c>
      <c r="AB702">
        <f ca="1">(Table1334[[#This Row],[Call Gex]]+Table1334[[#This Row],[Put Gex]])</f>
        <v>0</v>
      </c>
      <c r="AC702">
        <f ca="1">Table1334[[#This Row],[put delta adj]]+Table1334[[#This Row],[call delta adj]]</f>
        <v>0</v>
      </c>
      <c r="AD702">
        <f ca="1">Table1334[[#This Row],[Put Gex]]*Table1334[[#This Row],[DeltaP]]*-1</f>
        <v>0</v>
      </c>
      <c r="AE702">
        <f ca="1">Table1334[[#This Row],[Call Gex]]*Table1334[[#This Row],[DeltaC]]</f>
        <v>0</v>
      </c>
      <c r="AF702">
        <f>IF(Table1334[[#This Row],[DeltaC]]-ABS(Table1334[[#This Row],[DeltaP]])="0","0.01",Table1334[[#This Row],[DeltaC]]-ABS(Table1334[[#This Row],[DeltaP]]))</f>
        <v>0</v>
      </c>
      <c r="AG70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2" t="e">
        <f ca="1">(EXP(-(AG702^2)/2)/SQRT(2*PI())*EXP(0*SQRT(Table1334[[#This Row],[T]]))/$A$4*18%*SQRT(SQRT(Table1334[[#This Row],[T]])))</f>
        <v>#DIV/0!</v>
      </c>
      <c r="AJ702" t="e">
        <f ca="1">(EXP(-(AH702^2)/2)/SQRT(2*PI())*EXP(0*SQRT(Table1334[[#This Row],[T]]))/$A$4*18%*SQRT(SQRT(Table1334[[#This Row],[T]])))</f>
        <v>#DIV/0!</v>
      </c>
      <c r="AK702" t="e">
        <f ca="1">Table1334[[#This Row],[Call D1]]-Table1334[[#This Row],[IV Calc C]]*SQRT(Table1334[[#This Row],[T]])</f>
        <v>#DIV/0!</v>
      </c>
      <c r="AL702" t="e">
        <f ca="1">Table1334[[#This Row],[Put D1]]-Table1334[[#This Row],[IV Calc P]]*SQRT(Table1334[[#This Row],[T]])</f>
        <v>#DIV/0!</v>
      </c>
      <c r="AM702" t="e">
        <f ca="1">EXP(-0.5*Table1334[[#This Row],[Call D1]]^2)/SQRT(2*PI())</f>
        <v>#DIV/0!</v>
      </c>
      <c r="AN702" t="e">
        <f ca="1">EXP(-0.5*Table1334[[#This Row],[Put D1]]^2)/SQRT(2*PI())</f>
        <v>#DIV/0!</v>
      </c>
      <c r="AO70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2">
        <f ca="1">((Table1334[[#This Row],[call vanna]]+Table1334[[#This Row],[put vanna]])*$A$4)</f>
        <v>0</v>
      </c>
      <c r="AR70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2" s="9" t="str" cm="1">
        <f t="array" ref="AT702">_xlfn.IFS(     $M$1="SPX","SPXW",     $M$1="RUT","RUTW",  $M$1="NDX","NDXP",   TRUE,$M$1 )</f>
        <v>SPXW</v>
      </c>
      <c r="AU702" s="2">
        <f t="shared" si="72"/>
        <v>6915</v>
      </c>
      <c r="AV702" t="str">
        <f t="shared" si="73"/>
        <v>000100</v>
      </c>
      <c r="AY70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2">
        <f>((Table1334[[#This Row],[High C]]+Table1334[[#This Row],[Low C]])/2)*Table1334[[#This Row],[gammac]]*Table1334[[#This Row],[Volume]]</f>
        <v>0</v>
      </c>
      <c r="BD702">
        <f>((Table1334[[#This Row],[High P]]+Table1334[[#This Row],[Low P]])/2)*Table1334[[#This Row],[gammap]]*Table1334[[#This Row],[Volume9]]*-1</f>
        <v>0</v>
      </c>
      <c r="BE702">
        <f>(Table1334[[#This Row],[SgammaC]]+Table1334[[#This Row],[SgammaP]])*$A$4*-100</f>
        <v>0</v>
      </c>
      <c r="BF702">
        <f>Table1334[[#This Row],[DEXc]]+Table1334[[#This Row],[DEXp]]</f>
        <v>0</v>
      </c>
      <c r="BG702">
        <f>IFERROR(Table1334[[#This Row],[DeltaC]]*Table1334[[#This Row],[Open.Int]]*$A$4,0)</f>
        <v>0</v>
      </c>
      <c r="BH702">
        <f>IFERROR(Table1334[[#This Row],[DeltaP]]*Table1334[[#This Row],[Open.Int8]]*$A$4,0)</f>
        <v>0</v>
      </c>
      <c r="BI70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2">
        <f ca="1">Table1334[[#This Row],[charmc]]+Table1334[[#This Row],[charmp]]</f>
        <v>0</v>
      </c>
      <c r="BL70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2" s="78">
        <f ca="1">Table1334[[#This Row],[call helper]]+Table1334[[#This Row],[put helper]]</f>
        <v>0</v>
      </c>
      <c r="BP702" t="str">
        <f>RTD("tos.rtd", , "STRIKE", "."&amp;Table1334[[#This Row],[Ticker]]&amp;Table1334[[#This Row],[Expiry]]&amp;""&amp;"C"&amp;Table1334[[#This Row],[Spot]]+Table1334[[#This Row],[step]])</f>
        <v>N/A</v>
      </c>
    </row>
    <row r="703" spans="1:68" x14ac:dyDescent="0.25">
      <c r="A703" s="14">
        <f t="shared" ca="1" si="69"/>
        <v>-126.14810350076104</v>
      </c>
      <c r="C703" s="17"/>
      <c r="D703" t="str">
        <f>RTD("tos.rtd", , "OPEN_INT", "."&amp;Table1334[[#This Row],[Ticker]]&amp;Table1334[[#This Row],[Expiry]]&amp;""&amp;"C"&amp;Table1334[[#This Row],[Spot]]+Table1334[[#This Row],[step]])</f>
        <v>N/A</v>
      </c>
      <c r="E70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3" t="b">
        <f>IF(     ISNUMBER(Table1334[[#This Row],[Strike]]),RTD("tos.rtd", , "DELTA", "."&amp;Table1334[[#This Row],[Ticker]]&amp;Table1334[[#This Row],[Expiry]]&amp;""&amp;"C"&amp;Table1334[[#This Row],[Strike]]))</f>
        <v>0</v>
      </c>
      <c r="H703" s="17" cm="1">
        <f t="array" aca="1" ref="H703" ca="1">IndividualLegIVCore($A$4, Table1334[[#This Row],[Strike]], 0.0411, Table1334[[#This Row],[T]], ((Table1334[[#This Row],[BIDC]]+Table1334[[#This Row],[ASKC]])/2), TRUE)</f>
        <v>0.01</v>
      </c>
      <c r="I703" t="b">
        <f>IF(     ISNUMBER(Table1334[[#This Row],[Strike]]),RTD("tos.rtd", , "BID", "."&amp;Table1334[[#This Row],[Ticker]]&amp;Table1334[[#This Row],[Expiry]]&amp;""&amp;"C"&amp;Table1334[[#This Row],[Strike]]))</f>
        <v>0</v>
      </c>
      <c r="J703" t="b">
        <f>IF(     ISNUMBER(Table1334[[#This Row],[Strike]]),RTD("tos.rtd", , "ASK", "."&amp;Table1334[[#This Row],[Ticker]]&amp;Table1334[[#This Row],[Expiry]]&amp;""&amp;"C"&amp;Table1334[[#This Row],[Strike]]))</f>
        <v>0</v>
      </c>
      <c r="K703" s="17"/>
      <c r="M703" s="1">
        <f t="shared" si="70"/>
        <v>0</v>
      </c>
      <c r="N703" t="b">
        <f t="shared" si="71"/>
        <v>0</v>
      </c>
      <c r="P703" s="17" cm="1">
        <f t="array" aca="1" ref="P703" ca="1">IndividualLegIVCore($A$4, Table1334[[#This Row],[Strike]], 0.0411, Table1334[[#This Row],[T]], ((Table1334[[#This Row],[BIDP]]+Table1334[[#This Row],[ASKP]])/2), FALSE)</f>
        <v>0.01</v>
      </c>
      <c r="Q703" t="b">
        <f>IF(     ISNUMBER(Table1334[[#This Row],[Strike]]),RTD("tos.rtd", , "BID", "."&amp;Table1334[[#This Row],[Ticker]]&amp;Table1334[[#This Row],[Expiry]]&amp;""&amp;"P"&amp;Table1334[[#This Row],[Strike]]))</f>
        <v>0</v>
      </c>
      <c r="R703" t="b">
        <f>IF(     ISNUMBER(Table1334[[#This Row],[Strike]]),RTD("tos.rtd", , "ASK", "."&amp;Table1334[[#This Row],[Ticker]]&amp;Table1334[[#This Row],[Expiry]]&amp;""&amp;"P"&amp;Table1334[[#This Row],[Strike]]))</f>
        <v>0</v>
      </c>
      <c r="S703" s="17"/>
      <c r="T703" t="b">
        <f>IF(     ISNUMBER(Table1334[[#This Row],[Strike]]),RTD("tos.rtd", , "OPEN_INT", "."&amp;Table1334[[#This Row],[Ticker]]&amp;Table1334[[#This Row],[Expiry]]&amp;""&amp;"P"&amp;Table1334[[#This Row],[Strike]]))</f>
        <v>0</v>
      </c>
      <c r="U70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3" t="b">
        <f>IF(     ISNUMBER(Table1334[[#This Row],[Strike]]),RTD("tos.rtd", , "DELTA", "."&amp;Table1334[[#This Row],[Ticker]]&amp;Table1334[[#This Row],[Expiry]]&amp;""&amp;"P"&amp;Table1334[[#This Row],[Strike]]))</f>
        <v>0</v>
      </c>
      <c r="Y703" s="19">
        <f>-8* IF($M$1="NDX", 10, IF(OR($M$1="SPX", $M$1="RUT"), 2, 1))</f>
        <v>-16</v>
      </c>
      <c r="Z703">
        <f ca="1">IFERROR(Table1334[[#This Row],[call gamma]]*(Table1334[[#This Row],[Open.Int]])*$A$4^2,0)</f>
        <v>0</v>
      </c>
      <c r="AA703">
        <f ca="1">IFERROR(((Table1334[[#This Row],[Open.Int8]])*Table1334[[#This Row],[Put gamma]])*-1*$A$4^2,0)</f>
        <v>0</v>
      </c>
      <c r="AB703">
        <f ca="1">(Table1334[[#This Row],[Call Gex]]+Table1334[[#This Row],[Put Gex]])</f>
        <v>0</v>
      </c>
      <c r="AC703">
        <f ca="1">Table1334[[#This Row],[put delta adj]]+Table1334[[#This Row],[call delta adj]]</f>
        <v>0</v>
      </c>
      <c r="AD703">
        <f ca="1">Table1334[[#This Row],[Put Gex]]*Table1334[[#This Row],[DeltaP]]*-1</f>
        <v>0</v>
      </c>
      <c r="AE703">
        <f ca="1">Table1334[[#This Row],[Call Gex]]*Table1334[[#This Row],[DeltaC]]</f>
        <v>0</v>
      </c>
      <c r="AF703">
        <f>IF(Table1334[[#This Row],[DeltaC]]-ABS(Table1334[[#This Row],[DeltaP]])="0","0.01",Table1334[[#This Row],[DeltaC]]-ABS(Table1334[[#This Row],[DeltaP]]))</f>
        <v>0</v>
      </c>
      <c r="AG70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3" t="e">
        <f ca="1">(EXP(-(AG703^2)/2)/SQRT(2*PI())*EXP(0*SQRT(Table1334[[#This Row],[T]]))/$A$4*18%*SQRT(SQRT(Table1334[[#This Row],[T]])))</f>
        <v>#DIV/0!</v>
      </c>
      <c r="AJ703" t="e">
        <f ca="1">(EXP(-(AH703^2)/2)/SQRT(2*PI())*EXP(0*SQRT(Table1334[[#This Row],[T]]))/$A$4*18%*SQRT(SQRT(Table1334[[#This Row],[T]])))</f>
        <v>#DIV/0!</v>
      </c>
      <c r="AK703" t="e">
        <f ca="1">Table1334[[#This Row],[Call D1]]-Table1334[[#This Row],[IV Calc C]]*SQRT(Table1334[[#This Row],[T]])</f>
        <v>#DIV/0!</v>
      </c>
      <c r="AL703" t="e">
        <f ca="1">Table1334[[#This Row],[Put D1]]-Table1334[[#This Row],[IV Calc P]]*SQRT(Table1334[[#This Row],[T]])</f>
        <v>#DIV/0!</v>
      </c>
      <c r="AM703" t="e">
        <f ca="1">EXP(-0.5*Table1334[[#This Row],[Call D1]]^2)/SQRT(2*PI())</f>
        <v>#DIV/0!</v>
      </c>
      <c r="AN703" t="e">
        <f ca="1">EXP(-0.5*Table1334[[#This Row],[Put D1]]^2)/SQRT(2*PI())</f>
        <v>#DIV/0!</v>
      </c>
      <c r="AO70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3">
        <f ca="1">((Table1334[[#This Row],[call vanna]]+Table1334[[#This Row],[put vanna]])*$A$4)</f>
        <v>0</v>
      </c>
      <c r="AR70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3" s="9" t="str" cm="1">
        <f t="array" ref="AT703">_xlfn.IFS(     $M$1="SPX","SPXW",     $M$1="RUT","RUTW",  $M$1="NDX","NDXP",   TRUE,$M$1 )</f>
        <v>SPXW</v>
      </c>
      <c r="AU703" s="2">
        <f t="shared" si="72"/>
        <v>6915</v>
      </c>
      <c r="AV703" t="str">
        <f t="shared" si="73"/>
        <v>000100</v>
      </c>
      <c r="AY70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3">
        <f>((Table1334[[#This Row],[High C]]+Table1334[[#This Row],[Low C]])/2)*Table1334[[#This Row],[gammac]]*Table1334[[#This Row],[Volume]]</f>
        <v>0</v>
      </c>
      <c r="BD703">
        <f>((Table1334[[#This Row],[High P]]+Table1334[[#This Row],[Low P]])/2)*Table1334[[#This Row],[gammap]]*Table1334[[#This Row],[Volume9]]*-1</f>
        <v>0</v>
      </c>
      <c r="BE703">
        <f>(Table1334[[#This Row],[SgammaC]]+Table1334[[#This Row],[SgammaP]])*$A$4*-100</f>
        <v>0</v>
      </c>
      <c r="BF703">
        <f>Table1334[[#This Row],[DEXc]]+Table1334[[#This Row],[DEXp]]</f>
        <v>0</v>
      </c>
      <c r="BG703">
        <f>IFERROR(Table1334[[#This Row],[DeltaC]]*Table1334[[#This Row],[Open.Int]]*$A$4,0)</f>
        <v>0</v>
      </c>
      <c r="BH703">
        <f>IFERROR(Table1334[[#This Row],[DeltaP]]*Table1334[[#This Row],[Open.Int8]]*$A$4,0)</f>
        <v>0</v>
      </c>
      <c r="BI70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3">
        <f ca="1">Table1334[[#This Row],[charmc]]+Table1334[[#This Row],[charmp]]</f>
        <v>0</v>
      </c>
      <c r="BL70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3" s="78">
        <f ca="1">Table1334[[#This Row],[call helper]]+Table1334[[#This Row],[put helper]]</f>
        <v>0</v>
      </c>
      <c r="BP703" t="str">
        <f>RTD("tos.rtd", , "STRIKE", "."&amp;Table1334[[#This Row],[Ticker]]&amp;Table1334[[#This Row],[Expiry]]&amp;""&amp;"C"&amp;Table1334[[#This Row],[Spot]]+Table1334[[#This Row],[step]])</f>
        <v>N/A</v>
      </c>
    </row>
    <row r="704" spans="1:68" x14ac:dyDescent="0.25">
      <c r="A704" s="14">
        <f t="shared" ca="1" si="69"/>
        <v>-126.14810350076104</v>
      </c>
      <c r="C704" s="17"/>
      <c r="D704" t="str">
        <f>RTD("tos.rtd", , "OPEN_INT", "."&amp;Table1334[[#This Row],[Ticker]]&amp;Table1334[[#This Row],[Expiry]]&amp;""&amp;"C"&amp;Table1334[[#This Row],[Spot]]+Table1334[[#This Row],[step]])</f>
        <v>N/A</v>
      </c>
      <c r="E70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4" t="b">
        <f>IF(     ISNUMBER(Table1334[[#This Row],[Strike]]),RTD("tos.rtd", , "DELTA", "."&amp;Table1334[[#This Row],[Ticker]]&amp;Table1334[[#This Row],[Expiry]]&amp;""&amp;"C"&amp;Table1334[[#This Row],[Strike]]))</f>
        <v>0</v>
      </c>
      <c r="H704" s="17" cm="1">
        <f t="array" aca="1" ref="H704" ca="1">IndividualLegIVCore($A$4, Table1334[[#This Row],[Strike]], 0.0411, Table1334[[#This Row],[T]], ((Table1334[[#This Row],[BIDC]]+Table1334[[#This Row],[ASKC]])/2), TRUE)</f>
        <v>0.01</v>
      </c>
      <c r="I704" t="b">
        <f>IF(     ISNUMBER(Table1334[[#This Row],[Strike]]),RTD("tos.rtd", , "BID", "."&amp;Table1334[[#This Row],[Ticker]]&amp;Table1334[[#This Row],[Expiry]]&amp;""&amp;"C"&amp;Table1334[[#This Row],[Strike]]))</f>
        <v>0</v>
      </c>
      <c r="J704" t="b">
        <f>IF(     ISNUMBER(Table1334[[#This Row],[Strike]]),RTD("tos.rtd", , "ASK", "."&amp;Table1334[[#This Row],[Ticker]]&amp;Table1334[[#This Row],[Expiry]]&amp;""&amp;"C"&amp;Table1334[[#This Row],[Strike]]))</f>
        <v>0</v>
      </c>
      <c r="K704" s="17"/>
      <c r="M704" s="1">
        <f t="shared" si="70"/>
        <v>0</v>
      </c>
      <c r="N704" t="b">
        <f t="shared" si="71"/>
        <v>0</v>
      </c>
      <c r="P704" s="17" cm="1">
        <f t="array" aca="1" ref="P704" ca="1">IndividualLegIVCore($A$4, Table1334[[#This Row],[Strike]], 0.0411, Table1334[[#This Row],[T]], ((Table1334[[#This Row],[BIDP]]+Table1334[[#This Row],[ASKP]])/2), FALSE)</f>
        <v>0.01</v>
      </c>
      <c r="Q704" t="b">
        <f>IF(     ISNUMBER(Table1334[[#This Row],[Strike]]),RTD("tos.rtd", , "BID", "."&amp;Table1334[[#This Row],[Ticker]]&amp;Table1334[[#This Row],[Expiry]]&amp;""&amp;"P"&amp;Table1334[[#This Row],[Strike]]))</f>
        <v>0</v>
      </c>
      <c r="R704" t="b">
        <f>IF(     ISNUMBER(Table1334[[#This Row],[Strike]]),RTD("tos.rtd", , "ASK", "."&amp;Table1334[[#This Row],[Ticker]]&amp;Table1334[[#This Row],[Expiry]]&amp;""&amp;"P"&amp;Table1334[[#This Row],[Strike]]))</f>
        <v>0</v>
      </c>
      <c r="S704" s="17"/>
      <c r="T704" t="b">
        <f>IF(     ISNUMBER(Table1334[[#This Row],[Strike]]),RTD("tos.rtd", , "OPEN_INT", "."&amp;Table1334[[#This Row],[Ticker]]&amp;Table1334[[#This Row],[Expiry]]&amp;""&amp;"P"&amp;Table1334[[#This Row],[Strike]]))</f>
        <v>0</v>
      </c>
      <c r="U70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4" t="b">
        <f>IF(     ISNUMBER(Table1334[[#This Row],[Strike]]),RTD("tos.rtd", , "DELTA", "."&amp;Table1334[[#This Row],[Ticker]]&amp;Table1334[[#This Row],[Expiry]]&amp;""&amp;"P"&amp;Table1334[[#This Row],[Strike]]))</f>
        <v>0</v>
      </c>
      <c r="Y704" s="19">
        <f>-7.5* IF($M$1="NDX", 10, IF(OR($M$1="SPX", $M$1="RUT"), 2, 1))</f>
        <v>-15</v>
      </c>
      <c r="Z704">
        <f ca="1">IFERROR(Table1334[[#This Row],[call gamma]]*(Table1334[[#This Row],[Open.Int]])*$A$4^2,0)</f>
        <v>0</v>
      </c>
      <c r="AA704">
        <f ca="1">IFERROR(((Table1334[[#This Row],[Open.Int8]])*Table1334[[#This Row],[Put gamma]])*-1*$A$4^2,0)</f>
        <v>0</v>
      </c>
      <c r="AB704">
        <f ca="1">(Table1334[[#This Row],[Call Gex]]+Table1334[[#This Row],[Put Gex]])</f>
        <v>0</v>
      </c>
      <c r="AC704">
        <f ca="1">Table1334[[#This Row],[put delta adj]]+Table1334[[#This Row],[call delta adj]]</f>
        <v>0</v>
      </c>
      <c r="AD704">
        <f ca="1">Table1334[[#This Row],[Put Gex]]*Table1334[[#This Row],[DeltaP]]*-1</f>
        <v>0</v>
      </c>
      <c r="AE704">
        <f ca="1">Table1334[[#This Row],[Call Gex]]*Table1334[[#This Row],[DeltaC]]</f>
        <v>0</v>
      </c>
      <c r="AF704">
        <f>IF(Table1334[[#This Row],[DeltaC]]-ABS(Table1334[[#This Row],[DeltaP]])="0","0.01",Table1334[[#This Row],[DeltaC]]-ABS(Table1334[[#This Row],[DeltaP]]))</f>
        <v>0</v>
      </c>
      <c r="AG70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4" t="e">
        <f ca="1">(EXP(-(AG704^2)/2)/SQRT(2*PI())*EXP(0*SQRT(Table1334[[#This Row],[T]]))/$A$4*18%*SQRT(SQRT(Table1334[[#This Row],[T]])))</f>
        <v>#DIV/0!</v>
      </c>
      <c r="AJ704" t="e">
        <f ca="1">(EXP(-(AH704^2)/2)/SQRT(2*PI())*EXP(0*SQRT(Table1334[[#This Row],[T]]))/$A$4*18%*SQRT(SQRT(Table1334[[#This Row],[T]])))</f>
        <v>#DIV/0!</v>
      </c>
      <c r="AK704" t="e">
        <f ca="1">Table1334[[#This Row],[Call D1]]-Table1334[[#This Row],[IV Calc C]]*SQRT(Table1334[[#This Row],[T]])</f>
        <v>#DIV/0!</v>
      </c>
      <c r="AL704" t="e">
        <f ca="1">Table1334[[#This Row],[Put D1]]-Table1334[[#This Row],[IV Calc P]]*SQRT(Table1334[[#This Row],[T]])</f>
        <v>#DIV/0!</v>
      </c>
      <c r="AM704" t="e">
        <f ca="1">EXP(-0.5*Table1334[[#This Row],[Call D1]]^2)/SQRT(2*PI())</f>
        <v>#DIV/0!</v>
      </c>
      <c r="AN704" t="e">
        <f ca="1">EXP(-0.5*Table1334[[#This Row],[Put D1]]^2)/SQRT(2*PI())</f>
        <v>#DIV/0!</v>
      </c>
      <c r="AO70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4">
        <f ca="1">((Table1334[[#This Row],[call vanna]]+Table1334[[#This Row],[put vanna]])*$A$4)</f>
        <v>0</v>
      </c>
      <c r="AR70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4" s="9" t="str" cm="1">
        <f t="array" ref="AT704">_xlfn.IFS(     $M$1="SPX","SPXW",     $M$1="RUT","RUTW",  $M$1="NDX","NDXP",   TRUE,$M$1 )</f>
        <v>SPXW</v>
      </c>
      <c r="AU704" s="2">
        <f t="shared" si="72"/>
        <v>6915</v>
      </c>
      <c r="AV704" t="str">
        <f t="shared" si="73"/>
        <v>000100</v>
      </c>
      <c r="AY70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4">
        <f>((Table1334[[#This Row],[High C]]+Table1334[[#This Row],[Low C]])/2)*Table1334[[#This Row],[gammac]]*Table1334[[#This Row],[Volume]]</f>
        <v>0</v>
      </c>
      <c r="BD704">
        <f>((Table1334[[#This Row],[High P]]+Table1334[[#This Row],[Low P]])/2)*Table1334[[#This Row],[gammap]]*Table1334[[#This Row],[Volume9]]*-1</f>
        <v>0</v>
      </c>
      <c r="BE704">
        <f>(Table1334[[#This Row],[SgammaC]]+Table1334[[#This Row],[SgammaP]])*$A$4*-100</f>
        <v>0</v>
      </c>
      <c r="BF704">
        <f>Table1334[[#This Row],[DEXc]]+Table1334[[#This Row],[DEXp]]</f>
        <v>0</v>
      </c>
      <c r="BG704">
        <f>IFERROR(Table1334[[#This Row],[DeltaC]]*Table1334[[#This Row],[Open.Int]]*$A$4,0)</f>
        <v>0</v>
      </c>
      <c r="BH704">
        <f>IFERROR(Table1334[[#This Row],[DeltaP]]*Table1334[[#This Row],[Open.Int8]]*$A$4,0)</f>
        <v>0</v>
      </c>
      <c r="BI70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4">
        <f ca="1">Table1334[[#This Row],[charmc]]+Table1334[[#This Row],[charmp]]</f>
        <v>0</v>
      </c>
      <c r="BL70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4" s="78">
        <f ca="1">Table1334[[#This Row],[call helper]]+Table1334[[#This Row],[put helper]]</f>
        <v>0</v>
      </c>
      <c r="BP704" t="str">
        <f>RTD("tos.rtd", , "STRIKE", "."&amp;Table1334[[#This Row],[Ticker]]&amp;Table1334[[#This Row],[Expiry]]&amp;""&amp;"C"&amp;Table1334[[#This Row],[Spot]]+Table1334[[#This Row],[step]])</f>
        <v>N/A</v>
      </c>
    </row>
    <row r="705" spans="1:68" x14ac:dyDescent="0.25">
      <c r="A705" s="14">
        <f t="shared" ca="1" si="69"/>
        <v>-126.14810350076104</v>
      </c>
      <c r="C705" s="17"/>
      <c r="D705" t="str">
        <f>RTD("tos.rtd", , "OPEN_INT", "."&amp;Table1334[[#This Row],[Ticker]]&amp;Table1334[[#This Row],[Expiry]]&amp;""&amp;"C"&amp;Table1334[[#This Row],[Spot]]+Table1334[[#This Row],[step]])</f>
        <v>N/A</v>
      </c>
      <c r="E70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5" t="b">
        <f>IF(     ISNUMBER(Table1334[[#This Row],[Strike]]),RTD("tos.rtd", , "DELTA", "."&amp;Table1334[[#This Row],[Ticker]]&amp;Table1334[[#This Row],[Expiry]]&amp;""&amp;"C"&amp;Table1334[[#This Row],[Strike]]))</f>
        <v>0</v>
      </c>
      <c r="H705" s="17" cm="1">
        <f t="array" aca="1" ref="H705" ca="1">IndividualLegIVCore($A$4, Table1334[[#This Row],[Strike]], 0.0411, Table1334[[#This Row],[T]], ((Table1334[[#This Row],[BIDC]]+Table1334[[#This Row],[ASKC]])/2), TRUE)</f>
        <v>0.01</v>
      </c>
      <c r="I705" t="b">
        <f>IF(     ISNUMBER(Table1334[[#This Row],[Strike]]),RTD("tos.rtd", , "BID", "."&amp;Table1334[[#This Row],[Ticker]]&amp;Table1334[[#This Row],[Expiry]]&amp;""&amp;"C"&amp;Table1334[[#This Row],[Strike]]))</f>
        <v>0</v>
      </c>
      <c r="J705" t="b">
        <f>IF(     ISNUMBER(Table1334[[#This Row],[Strike]]),RTD("tos.rtd", , "ASK", "."&amp;Table1334[[#This Row],[Ticker]]&amp;Table1334[[#This Row],[Expiry]]&amp;""&amp;"C"&amp;Table1334[[#This Row],[Strike]]))</f>
        <v>0</v>
      </c>
      <c r="K705" s="17"/>
      <c r="M705" s="1">
        <f t="shared" si="70"/>
        <v>0</v>
      </c>
      <c r="N705" t="b">
        <f t="shared" si="71"/>
        <v>0</v>
      </c>
      <c r="P705" s="17" cm="1">
        <f t="array" aca="1" ref="P705" ca="1">IndividualLegIVCore($A$4, Table1334[[#This Row],[Strike]], 0.0411, Table1334[[#This Row],[T]], ((Table1334[[#This Row],[BIDP]]+Table1334[[#This Row],[ASKP]])/2), FALSE)</f>
        <v>0.01</v>
      </c>
      <c r="Q705" t="b">
        <f>IF(     ISNUMBER(Table1334[[#This Row],[Strike]]),RTD("tos.rtd", , "BID", "."&amp;Table1334[[#This Row],[Ticker]]&amp;Table1334[[#This Row],[Expiry]]&amp;""&amp;"P"&amp;Table1334[[#This Row],[Strike]]))</f>
        <v>0</v>
      </c>
      <c r="R705" t="b">
        <f>IF(     ISNUMBER(Table1334[[#This Row],[Strike]]),RTD("tos.rtd", , "ASK", "."&amp;Table1334[[#This Row],[Ticker]]&amp;Table1334[[#This Row],[Expiry]]&amp;""&amp;"P"&amp;Table1334[[#This Row],[Strike]]))</f>
        <v>0</v>
      </c>
      <c r="S705" s="17"/>
      <c r="T705" t="b">
        <f>IF(     ISNUMBER(Table1334[[#This Row],[Strike]]),RTD("tos.rtd", , "OPEN_INT", "."&amp;Table1334[[#This Row],[Ticker]]&amp;Table1334[[#This Row],[Expiry]]&amp;""&amp;"P"&amp;Table1334[[#This Row],[Strike]]))</f>
        <v>0</v>
      </c>
      <c r="U70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5" t="b">
        <f>IF(     ISNUMBER(Table1334[[#This Row],[Strike]]),RTD("tos.rtd", , "DELTA", "."&amp;Table1334[[#This Row],[Ticker]]&amp;Table1334[[#This Row],[Expiry]]&amp;""&amp;"P"&amp;Table1334[[#This Row],[Strike]]))</f>
        <v>0</v>
      </c>
      <c r="Y705" s="19">
        <f>-7* IF($M$1="NDX", 10, IF(OR($M$1="SPX", $M$1="RUT"), 2, 1))</f>
        <v>-14</v>
      </c>
      <c r="Z705">
        <f ca="1">IFERROR(Table1334[[#This Row],[call gamma]]*(Table1334[[#This Row],[Open.Int]])*$A$4^2,0)</f>
        <v>0</v>
      </c>
      <c r="AA705">
        <f ca="1">IFERROR(((Table1334[[#This Row],[Open.Int8]])*Table1334[[#This Row],[Put gamma]])*-1*$A$4^2,0)</f>
        <v>0</v>
      </c>
      <c r="AB705">
        <f ca="1">(Table1334[[#This Row],[Call Gex]]+Table1334[[#This Row],[Put Gex]])</f>
        <v>0</v>
      </c>
      <c r="AC705">
        <f ca="1">Table1334[[#This Row],[put delta adj]]+Table1334[[#This Row],[call delta adj]]</f>
        <v>0</v>
      </c>
      <c r="AD705">
        <f ca="1">Table1334[[#This Row],[Put Gex]]*Table1334[[#This Row],[DeltaP]]*-1</f>
        <v>0</v>
      </c>
      <c r="AE705">
        <f ca="1">Table1334[[#This Row],[Call Gex]]*Table1334[[#This Row],[DeltaC]]</f>
        <v>0</v>
      </c>
      <c r="AF705">
        <f>IF(Table1334[[#This Row],[DeltaC]]-ABS(Table1334[[#This Row],[DeltaP]])="0","0.01",Table1334[[#This Row],[DeltaC]]-ABS(Table1334[[#This Row],[DeltaP]]))</f>
        <v>0</v>
      </c>
      <c r="AG70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5" t="e">
        <f ca="1">(EXP(-(AG705^2)/2)/SQRT(2*PI())*EXP(0*SQRT(Table1334[[#This Row],[T]]))/$A$4*18%*SQRT(SQRT(Table1334[[#This Row],[T]])))</f>
        <v>#DIV/0!</v>
      </c>
      <c r="AJ705" t="e">
        <f ca="1">(EXP(-(AH705^2)/2)/SQRT(2*PI())*EXP(0*SQRT(Table1334[[#This Row],[T]]))/$A$4*18%*SQRT(SQRT(Table1334[[#This Row],[T]])))</f>
        <v>#DIV/0!</v>
      </c>
      <c r="AK705" t="e">
        <f ca="1">Table1334[[#This Row],[Call D1]]-Table1334[[#This Row],[IV Calc C]]*SQRT(Table1334[[#This Row],[T]])</f>
        <v>#DIV/0!</v>
      </c>
      <c r="AL705" t="e">
        <f ca="1">Table1334[[#This Row],[Put D1]]-Table1334[[#This Row],[IV Calc P]]*SQRT(Table1334[[#This Row],[T]])</f>
        <v>#DIV/0!</v>
      </c>
      <c r="AM705" t="e">
        <f ca="1">EXP(-0.5*Table1334[[#This Row],[Call D1]]^2)/SQRT(2*PI())</f>
        <v>#DIV/0!</v>
      </c>
      <c r="AN705" t="e">
        <f ca="1">EXP(-0.5*Table1334[[#This Row],[Put D1]]^2)/SQRT(2*PI())</f>
        <v>#DIV/0!</v>
      </c>
      <c r="AO70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5">
        <f ca="1">((Table1334[[#This Row],[call vanna]]+Table1334[[#This Row],[put vanna]])*$A$4)</f>
        <v>0</v>
      </c>
      <c r="AR70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5" s="9" t="str" cm="1">
        <f t="array" ref="AT705">_xlfn.IFS(     $M$1="SPX","SPXW",     $M$1="RUT","RUTW",  $M$1="NDX","NDXP",   TRUE,$M$1 )</f>
        <v>SPXW</v>
      </c>
      <c r="AU705" s="2">
        <f t="shared" si="72"/>
        <v>6915</v>
      </c>
      <c r="AV705" t="str">
        <f t="shared" si="73"/>
        <v>000100</v>
      </c>
      <c r="AY70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5">
        <f>((Table1334[[#This Row],[High C]]+Table1334[[#This Row],[Low C]])/2)*Table1334[[#This Row],[gammac]]*Table1334[[#This Row],[Volume]]</f>
        <v>0</v>
      </c>
      <c r="BD705">
        <f>((Table1334[[#This Row],[High P]]+Table1334[[#This Row],[Low P]])/2)*Table1334[[#This Row],[gammap]]*Table1334[[#This Row],[Volume9]]*-1</f>
        <v>0</v>
      </c>
      <c r="BE705">
        <f>(Table1334[[#This Row],[SgammaC]]+Table1334[[#This Row],[SgammaP]])*$A$4*-100</f>
        <v>0</v>
      </c>
      <c r="BF705">
        <f>Table1334[[#This Row],[DEXc]]+Table1334[[#This Row],[DEXp]]</f>
        <v>0</v>
      </c>
      <c r="BG705">
        <f>IFERROR(Table1334[[#This Row],[DeltaC]]*Table1334[[#This Row],[Open.Int]]*$A$4,0)</f>
        <v>0</v>
      </c>
      <c r="BH705">
        <f>IFERROR(Table1334[[#This Row],[DeltaP]]*Table1334[[#This Row],[Open.Int8]]*$A$4,0)</f>
        <v>0</v>
      </c>
      <c r="BI70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5">
        <f ca="1">Table1334[[#This Row],[charmc]]+Table1334[[#This Row],[charmp]]</f>
        <v>0</v>
      </c>
      <c r="BL70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5" s="78">
        <f ca="1">Table1334[[#This Row],[call helper]]+Table1334[[#This Row],[put helper]]</f>
        <v>0</v>
      </c>
      <c r="BP705" t="str">
        <f>RTD("tos.rtd", , "STRIKE", "."&amp;Table1334[[#This Row],[Ticker]]&amp;Table1334[[#This Row],[Expiry]]&amp;""&amp;"C"&amp;Table1334[[#This Row],[Spot]]+Table1334[[#This Row],[step]])</f>
        <v>N/A</v>
      </c>
    </row>
    <row r="706" spans="1:68" x14ac:dyDescent="0.25">
      <c r="A706" s="14">
        <f t="shared" ca="1" si="69"/>
        <v>-126.14810350076104</v>
      </c>
      <c r="C706" s="17"/>
      <c r="D706" t="str">
        <f>RTD("tos.rtd", , "OPEN_INT", "."&amp;Table1334[[#This Row],[Ticker]]&amp;Table1334[[#This Row],[Expiry]]&amp;""&amp;"C"&amp;Table1334[[#This Row],[Spot]]+Table1334[[#This Row],[step]])</f>
        <v>N/A</v>
      </c>
      <c r="E70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6" t="b">
        <f>IF(     ISNUMBER(Table1334[[#This Row],[Strike]]),RTD("tos.rtd", , "DELTA", "."&amp;Table1334[[#This Row],[Ticker]]&amp;Table1334[[#This Row],[Expiry]]&amp;""&amp;"C"&amp;Table1334[[#This Row],[Strike]]))</f>
        <v>0</v>
      </c>
      <c r="H706" s="17" cm="1">
        <f t="array" aca="1" ref="H706" ca="1">IndividualLegIVCore($A$4, Table1334[[#This Row],[Strike]], 0.0411, Table1334[[#This Row],[T]], ((Table1334[[#This Row],[BIDC]]+Table1334[[#This Row],[ASKC]])/2), TRUE)</f>
        <v>0.01</v>
      </c>
      <c r="I706" t="b">
        <f>IF(     ISNUMBER(Table1334[[#This Row],[Strike]]),RTD("tos.rtd", , "BID", "."&amp;Table1334[[#This Row],[Ticker]]&amp;Table1334[[#This Row],[Expiry]]&amp;""&amp;"C"&amp;Table1334[[#This Row],[Strike]]))</f>
        <v>0</v>
      </c>
      <c r="J706" t="b">
        <f>IF(     ISNUMBER(Table1334[[#This Row],[Strike]]),RTD("tos.rtd", , "ASK", "."&amp;Table1334[[#This Row],[Ticker]]&amp;Table1334[[#This Row],[Expiry]]&amp;""&amp;"C"&amp;Table1334[[#This Row],[Strike]]))</f>
        <v>0</v>
      </c>
      <c r="K706" s="17"/>
      <c r="M706" s="1">
        <f t="shared" si="70"/>
        <v>0</v>
      </c>
      <c r="N706" t="b">
        <f t="shared" si="71"/>
        <v>0</v>
      </c>
      <c r="P706" s="17" cm="1">
        <f t="array" aca="1" ref="P706" ca="1">IndividualLegIVCore($A$4, Table1334[[#This Row],[Strike]], 0.0411, Table1334[[#This Row],[T]], ((Table1334[[#This Row],[BIDP]]+Table1334[[#This Row],[ASKP]])/2), FALSE)</f>
        <v>0.01</v>
      </c>
      <c r="Q706" t="b">
        <f>IF(     ISNUMBER(Table1334[[#This Row],[Strike]]),RTD("tos.rtd", , "BID", "."&amp;Table1334[[#This Row],[Ticker]]&amp;Table1334[[#This Row],[Expiry]]&amp;""&amp;"P"&amp;Table1334[[#This Row],[Strike]]))</f>
        <v>0</v>
      </c>
      <c r="R706" t="b">
        <f>IF(     ISNUMBER(Table1334[[#This Row],[Strike]]),RTD("tos.rtd", , "ASK", "."&amp;Table1334[[#This Row],[Ticker]]&amp;Table1334[[#This Row],[Expiry]]&amp;""&amp;"P"&amp;Table1334[[#This Row],[Strike]]))</f>
        <v>0</v>
      </c>
      <c r="S706" s="17"/>
      <c r="T706" t="b">
        <f>IF(     ISNUMBER(Table1334[[#This Row],[Strike]]),RTD("tos.rtd", , "OPEN_INT", "."&amp;Table1334[[#This Row],[Ticker]]&amp;Table1334[[#This Row],[Expiry]]&amp;""&amp;"P"&amp;Table1334[[#This Row],[Strike]]))</f>
        <v>0</v>
      </c>
      <c r="U70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6" t="b">
        <f>IF(     ISNUMBER(Table1334[[#This Row],[Strike]]),RTD("tos.rtd", , "DELTA", "."&amp;Table1334[[#This Row],[Ticker]]&amp;Table1334[[#This Row],[Expiry]]&amp;""&amp;"P"&amp;Table1334[[#This Row],[Strike]]))</f>
        <v>0</v>
      </c>
      <c r="Y706" s="19">
        <f>-6.5* IF($M$1="NDX", 10, IF(OR($M$1="SPX", $M$1="RUT"), 2, 1))</f>
        <v>-13</v>
      </c>
      <c r="Z706">
        <f ca="1">IFERROR(Table1334[[#This Row],[call gamma]]*(Table1334[[#This Row],[Open.Int]])*$A$4^2,0)</f>
        <v>0</v>
      </c>
      <c r="AA706">
        <f ca="1">IFERROR(((Table1334[[#This Row],[Open.Int8]])*Table1334[[#This Row],[Put gamma]])*-1*$A$4^2,0)</f>
        <v>0</v>
      </c>
      <c r="AB706">
        <f ca="1">(Table1334[[#This Row],[Call Gex]]+Table1334[[#This Row],[Put Gex]])</f>
        <v>0</v>
      </c>
      <c r="AC706">
        <f ca="1">Table1334[[#This Row],[put delta adj]]+Table1334[[#This Row],[call delta adj]]</f>
        <v>0</v>
      </c>
      <c r="AD706">
        <f ca="1">Table1334[[#This Row],[Put Gex]]*Table1334[[#This Row],[DeltaP]]*-1</f>
        <v>0</v>
      </c>
      <c r="AE706">
        <f ca="1">Table1334[[#This Row],[Call Gex]]*Table1334[[#This Row],[DeltaC]]</f>
        <v>0</v>
      </c>
      <c r="AF706">
        <f>IF(Table1334[[#This Row],[DeltaC]]-ABS(Table1334[[#This Row],[DeltaP]])="0","0.01",Table1334[[#This Row],[DeltaC]]-ABS(Table1334[[#This Row],[DeltaP]]))</f>
        <v>0</v>
      </c>
      <c r="AG70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6" t="e">
        <f ca="1">(EXP(-(AG706^2)/2)/SQRT(2*PI())*EXP(0*SQRT(Table1334[[#This Row],[T]]))/$A$4*18%*SQRT(SQRT(Table1334[[#This Row],[T]])))</f>
        <v>#DIV/0!</v>
      </c>
      <c r="AJ706" t="e">
        <f ca="1">(EXP(-(AH706^2)/2)/SQRT(2*PI())*EXP(0*SQRT(Table1334[[#This Row],[T]]))/$A$4*18%*SQRT(SQRT(Table1334[[#This Row],[T]])))</f>
        <v>#DIV/0!</v>
      </c>
      <c r="AK706" t="e">
        <f ca="1">Table1334[[#This Row],[Call D1]]-Table1334[[#This Row],[IV Calc C]]*SQRT(Table1334[[#This Row],[T]])</f>
        <v>#DIV/0!</v>
      </c>
      <c r="AL706" t="e">
        <f ca="1">Table1334[[#This Row],[Put D1]]-Table1334[[#This Row],[IV Calc P]]*SQRT(Table1334[[#This Row],[T]])</f>
        <v>#DIV/0!</v>
      </c>
      <c r="AM706" t="e">
        <f ca="1">EXP(-0.5*Table1334[[#This Row],[Call D1]]^2)/SQRT(2*PI())</f>
        <v>#DIV/0!</v>
      </c>
      <c r="AN706" t="e">
        <f ca="1">EXP(-0.5*Table1334[[#This Row],[Put D1]]^2)/SQRT(2*PI())</f>
        <v>#DIV/0!</v>
      </c>
      <c r="AO70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6">
        <f ca="1">((Table1334[[#This Row],[call vanna]]+Table1334[[#This Row],[put vanna]])*$A$4)</f>
        <v>0</v>
      </c>
      <c r="AR70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6" s="9" t="str" cm="1">
        <f t="array" ref="AT706">_xlfn.IFS(     $M$1="SPX","SPXW",     $M$1="RUT","RUTW",  $M$1="NDX","NDXP",   TRUE,$M$1 )</f>
        <v>SPXW</v>
      </c>
      <c r="AU706" s="2">
        <f t="shared" si="72"/>
        <v>6915</v>
      </c>
      <c r="AV706" t="str">
        <f t="shared" si="73"/>
        <v>000100</v>
      </c>
      <c r="AY70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6">
        <f>((Table1334[[#This Row],[High C]]+Table1334[[#This Row],[Low C]])/2)*Table1334[[#This Row],[gammac]]*Table1334[[#This Row],[Volume]]</f>
        <v>0</v>
      </c>
      <c r="BD706">
        <f>((Table1334[[#This Row],[High P]]+Table1334[[#This Row],[Low P]])/2)*Table1334[[#This Row],[gammap]]*Table1334[[#This Row],[Volume9]]*-1</f>
        <v>0</v>
      </c>
      <c r="BE706">
        <f>(Table1334[[#This Row],[SgammaC]]+Table1334[[#This Row],[SgammaP]])*$A$4*-100</f>
        <v>0</v>
      </c>
      <c r="BF706">
        <f>Table1334[[#This Row],[DEXc]]+Table1334[[#This Row],[DEXp]]</f>
        <v>0</v>
      </c>
      <c r="BG706">
        <f>IFERROR(Table1334[[#This Row],[DeltaC]]*Table1334[[#This Row],[Open.Int]]*$A$4,0)</f>
        <v>0</v>
      </c>
      <c r="BH706">
        <f>IFERROR(Table1334[[#This Row],[DeltaP]]*Table1334[[#This Row],[Open.Int8]]*$A$4,0)</f>
        <v>0</v>
      </c>
      <c r="BI70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6">
        <f ca="1">Table1334[[#This Row],[charmc]]+Table1334[[#This Row],[charmp]]</f>
        <v>0</v>
      </c>
      <c r="BL70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6" s="78">
        <f ca="1">Table1334[[#This Row],[call helper]]+Table1334[[#This Row],[put helper]]</f>
        <v>0</v>
      </c>
      <c r="BP706" t="str">
        <f>RTD("tos.rtd", , "STRIKE", "."&amp;Table1334[[#This Row],[Ticker]]&amp;Table1334[[#This Row],[Expiry]]&amp;""&amp;"C"&amp;Table1334[[#This Row],[Spot]]+Table1334[[#This Row],[step]])</f>
        <v>N/A</v>
      </c>
    </row>
    <row r="707" spans="1:68" x14ac:dyDescent="0.25">
      <c r="A707" s="14">
        <f t="shared" ca="1" si="69"/>
        <v>-126.14810350076104</v>
      </c>
      <c r="C707" s="17"/>
      <c r="D707" t="str">
        <f>RTD("tos.rtd", , "OPEN_INT", "."&amp;Table1334[[#This Row],[Ticker]]&amp;Table1334[[#This Row],[Expiry]]&amp;""&amp;"C"&amp;Table1334[[#This Row],[Spot]]+Table1334[[#This Row],[step]])</f>
        <v>N/A</v>
      </c>
      <c r="E70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7" t="b">
        <f>IF(     ISNUMBER(Table1334[[#This Row],[Strike]]),RTD("tos.rtd", , "DELTA", "."&amp;Table1334[[#This Row],[Ticker]]&amp;Table1334[[#This Row],[Expiry]]&amp;""&amp;"C"&amp;Table1334[[#This Row],[Strike]]))</f>
        <v>0</v>
      </c>
      <c r="H707" s="17" cm="1">
        <f t="array" aca="1" ref="H707" ca="1">IndividualLegIVCore($A$4, Table1334[[#This Row],[Strike]], 0.0411, Table1334[[#This Row],[T]], ((Table1334[[#This Row],[BIDC]]+Table1334[[#This Row],[ASKC]])/2), TRUE)</f>
        <v>0.01</v>
      </c>
      <c r="I707" t="b">
        <f>IF(     ISNUMBER(Table1334[[#This Row],[Strike]]),RTD("tos.rtd", , "BID", "."&amp;Table1334[[#This Row],[Ticker]]&amp;Table1334[[#This Row],[Expiry]]&amp;""&amp;"C"&amp;Table1334[[#This Row],[Strike]]))</f>
        <v>0</v>
      </c>
      <c r="J707" t="b">
        <f>IF(     ISNUMBER(Table1334[[#This Row],[Strike]]),RTD("tos.rtd", , "ASK", "."&amp;Table1334[[#This Row],[Ticker]]&amp;Table1334[[#This Row],[Expiry]]&amp;""&amp;"C"&amp;Table1334[[#This Row],[Strike]]))</f>
        <v>0</v>
      </c>
      <c r="K707" s="17"/>
      <c r="M707" s="1">
        <f t="shared" si="70"/>
        <v>0</v>
      </c>
      <c r="N707" t="b">
        <f t="shared" si="71"/>
        <v>0</v>
      </c>
      <c r="P707" s="17" cm="1">
        <f t="array" aca="1" ref="P707" ca="1">IndividualLegIVCore($A$4, Table1334[[#This Row],[Strike]], 0.0411, Table1334[[#This Row],[T]], ((Table1334[[#This Row],[BIDP]]+Table1334[[#This Row],[ASKP]])/2), FALSE)</f>
        <v>0.01</v>
      </c>
      <c r="Q707" t="b">
        <f>IF(     ISNUMBER(Table1334[[#This Row],[Strike]]),RTD("tos.rtd", , "BID", "."&amp;Table1334[[#This Row],[Ticker]]&amp;Table1334[[#This Row],[Expiry]]&amp;""&amp;"P"&amp;Table1334[[#This Row],[Strike]]))</f>
        <v>0</v>
      </c>
      <c r="R707" t="b">
        <f>IF(     ISNUMBER(Table1334[[#This Row],[Strike]]),RTD("tos.rtd", , "ASK", "."&amp;Table1334[[#This Row],[Ticker]]&amp;Table1334[[#This Row],[Expiry]]&amp;""&amp;"P"&amp;Table1334[[#This Row],[Strike]]))</f>
        <v>0</v>
      </c>
      <c r="S707" s="17"/>
      <c r="T707" t="b">
        <f>IF(     ISNUMBER(Table1334[[#This Row],[Strike]]),RTD("tos.rtd", , "OPEN_INT", "."&amp;Table1334[[#This Row],[Ticker]]&amp;Table1334[[#This Row],[Expiry]]&amp;""&amp;"P"&amp;Table1334[[#This Row],[Strike]]))</f>
        <v>0</v>
      </c>
      <c r="U70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7" t="b">
        <f>IF(     ISNUMBER(Table1334[[#This Row],[Strike]]),RTD("tos.rtd", , "DELTA", "."&amp;Table1334[[#This Row],[Ticker]]&amp;Table1334[[#This Row],[Expiry]]&amp;""&amp;"P"&amp;Table1334[[#This Row],[Strike]]))</f>
        <v>0</v>
      </c>
      <c r="Y707" s="19">
        <f>-6* IF($M$1="NDX", 10, IF(OR($M$1="SPX", $M$1="RUT"), 2, 1))</f>
        <v>-12</v>
      </c>
      <c r="Z707">
        <f ca="1">IFERROR(Table1334[[#This Row],[call gamma]]*(Table1334[[#This Row],[Open.Int]])*$A$4^2,0)</f>
        <v>0</v>
      </c>
      <c r="AA707">
        <f ca="1">IFERROR(((Table1334[[#This Row],[Open.Int8]])*Table1334[[#This Row],[Put gamma]])*-1*$A$4^2,0)</f>
        <v>0</v>
      </c>
      <c r="AB707">
        <f ca="1">(Table1334[[#This Row],[Call Gex]]+Table1334[[#This Row],[Put Gex]])</f>
        <v>0</v>
      </c>
      <c r="AC707">
        <f ca="1">Table1334[[#This Row],[put delta adj]]+Table1334[[#This Row],[call delta adj]]</f>
        <v>0</v>
      </c>
      <c r="AD707">
        <f ca="1">Table1334[[#This Row],[Put Gex]]*Table1334[[#This Row],[DeltaP]]*-1</f>
        <v>0</v>
      </c>
      <c r="AE707">
        <f ca="1">Table1334[[#This Row],[Call Gex]]*Table1334[[#This Row],[DeltaC]]</f>
        <v>0</v>
      </c>
      <c r="AF707">
        <f>IF(Table1334[[#This Row],[DeltaC]]-ABS(Table1334[[#This Row],[DeltaP]])="0","0.01",Table1334[[#This Row],[DeltaC]]-ABS(Table1334[[#This Row],[DeltaP]]))</f>
        <v>0</v>
      </c>
      <c r="AG70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7" t="e">
        <f ca="1">(EXP(-(AG707^2)/2)/SQRT(2*PI())*EXP(0*SQRT(Table1334[[#This Row],[T]]))/$A$4*18%*SQRT(SQRT(Table1334[[#This Row],[T]])))</f>
        <v>#DIV/0!</v>
      </c>
      <c r="AJ707" t="e">
        <f ca="1">(EXP(-(AH707^2)/2)/SQRT(2*PI())*EXP(0*SQRT(Table1334[[#This Row],[T]]))/$A$4*18%*SQRT(SQRT(Table1334[[#This Row],[T]])))</f>
        <v>#DIV/0!</v>
      </c>
      <c r="AK707" t="e">
        <f ca="1">Table1334[[#This Row],[Call D1]]-Table1334[[#This Row],[IV Calc C]]*SQRT(Table1334[[#This Row],[T]])</f>
        <v>#DIV/0!</v>
      </c>
      <c r="AL707" t="e">
        <f ca="1">Table1334[[#This Row],[Put D1]]-Table1334[[#This Row],[IV Calc P]]*SQRT(Table1334[[#This Row],[T]])</f>
        <v>#DIV/0!</v>
      </c>
      <c r="AM707" t="e">
        <f ca="1">EXP(-0.5*Table1334[[#This Row],[Call D1]]^2)/SQRT(2*PI())</f>
        <v>#DIV/0!</v>
      </c>
      <c r="AN707" t="e">
        <f ca="1">EXP(-0.5*Table1334[[#This Row],[Put D1]]^2)/SQRT(2*PI())</f>
        <v>#DIV/0!</v>
      </c>
      <c r="AO70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7">
        <f ca="1">((Table1334[[#This Row],[call vanna]]+Table1334[[#This Row],[put vanna]])*$A$4)</f>
        <v>0</v>
      </c>
      <c r="AR70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7" s="9" t="str" cm="1">
        <f t="array" ref="AT707">_xlfn.IFS(     $M$1="SPX","SPXW",     $M$1="RUT","RUTW",  $M$1="NDX","NDXP",   TRUE,$M$1 )</f>
        <v>SPXW</v>
      </c>
      <c r="AU707" s="2">
        <f t="shared" si="72"/>
        <v>6915</v>
      </c>
      <c r="AV707" t="str">
        <f t="shared" si="73"/>
        <v>000100</v>
      </c>
      <c r="AY70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7">
        <f>((Table1334[[#This Row],[High C]]+Table1334[[#This Row],[Low C]])/2)*Table1334[[#This Row],[gammac]]*Table1334[[#This Row],[Volume]]</f>
        <v>0</v>
      </c>
      <c r="BD707">
        <f>((Table1334[[#This Row],[High P]]+Table1334[[#This Row],[Low P]])/2)*Table1334[[#This Row],[gammap]]*Table1334[[#This Row],[Volume9]]*-1</f>
        <v>0</v>
      </c>
      <c r="BE707">
        <f>(Table1334[[#This Row],[SgammaC]]+Table1334[[#This Row],[SgammaP]])*$A$4*-100</f>
        <v>0</v>
      </c>
      <c r="BF707">
        <f>Table1334[[#This Row],[DEXc]]+Table1334[[#This Row],[DEXp]]</f>
        <v>0</v>
      </c>
      <c r="BG707">
        <f>IFERROR(Table1334[[#This Row],[DeltaC]]*Table1334[[#This Row],[Open.Int]]*$A$4,0)</f>
        <v>0</v>
      </c>
      <c r="BH707">
        <f>IFERROR(Table1334[[#This Row],[DeltaP]]*Table1334[[#This Row],[Open.Int8]]*$A$4,0)</f>
        <v>0</v>
      </c>
      <c r="BI70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7">
        <f ca="1">Table1334[[#This Row],[charmc]]+Table1334[[#This Row],[charmp]]</f>
        <v>0</v>
      </c>
      <c r="BL70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7" s="78">
        <f ca="1">Table1334[[#This Row],[call helper]]+Table1334[[#This Row],[put helper]]</f>
        <v>0</v>
      </c>
      <c r="BP707" t="str">
        <f>RTD("tos.rtd", , "STRIKE", "."&amp;Table1334[[#This Row],[Ticker]]&amp;Table1334[[#This Row],[Expiry]]&amp;""&amp;"C"&amp;Table1334[[#This Row],[Spot]]+Table1334[[#This Row],[step]])</f>
        <v>N/A</v>
      </c>
    </row>
    <row r="708" spans="1:68" x14ac:dyDescent="0.25">
      <c r="A708" s="14">
        <f t="shared" ca="1" si="69"/>
        <v>-126.14810350076104</v>
      </c>
      <c r="C708" s="17"/>
      <c r="D708" t="str">
        <f>RTD("tos.rtd", , "OPEN_INT", "."&amp;Table1334[[#This Row],[Ticker]]&amp;Table1334[[#This Row],[Expiry]]&amp;""&amp;"C"&amp;Table1334[[#This Row],[Spot]]+Table1334[[#This Row],[step]])</f>
        <v>N/A</v>
      </c>
      <c r="E70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8" t="b">
        <f>IF(     ISNUMBER(Table1334[[#This Row],[Strike]]),RTD("tos.rtd", , "DELTA", "."&amp;Table1334[[#This Row],[Ticker]]&amp;Table1334[[#This Row],[Expiry]]&amp;""&amp;"C"&amp;Table1334[[#This Row],[Strike]]))</f>
        <v>0</v>
      </c>
      <c r="H708" s="17" cm="1">
        <f t="array" aca="1" ref="H708" ca="1">IndividualLegIVCore($A$4, Table1334[[#This Row],[Strike]], 0.0411, Table1334[[#This Row],[T]], ((Table1334[[#This Row],[BIDC]]+Table1334[[#This Row],[ASKC]])/2), TRUE)</f>
        <v>0.01</v>
      </c>
      <c r="I708" t="b">
        <f>IF(     ISNUMBER(Table1334[[#This Row],[Strike]]),RTD("tos.rtd", , "BID", "."&amp;Table1334[[#This Row],[Ticker]]&amp;Table1334[[#This Row],[Expiry]]&amp;""&amp;"C"&amp;Table1334[[#This Row],[Strike]]))</f>
        <v>0</v>
      </c>
      <c r="J708" t="b">
        <f>IF(     ISNUMBER(Table1334[[#This Row],[Strike]]),RTD("tos.rtd", , "ASK", "."&amp;Table1334[[#This Row],[Ticker]]&amp;Table1334[[#This Row],[Expiry]]&amp;""&amp;"C"&amp;Table1334[[#This Row],[Strike]]))</f>
        <v>0</v>
      </c>
      <c r="K708" s="17"/>
      <c r="M708" s="1">
        <f t="shared" si="70"/>
        <v>0</v>
      </c>
      <c r="N708" t="b">
        <f t="shared" si="71"/>
        <v>0</v>
      </c>
      <c r="P708" s="17" cm="1">
        <f t="array" aca="1" ref="P708" ca="1">IndividualLegIVCore($A$4, Table1334[[#This Row],[Strike]], 0.0411, Table1334[[#This Row],[T]], ((Table1334[[#This Row],[BIDP]]+Table1334[[#This Row],[ASKP]])/2), FALSE)</f>
        <v>0.01</v>
      </c>
      <c r="Q708" t="b">
        <f>IF(     ISNUMBER(Table1334[[#This Row],[Strike]]),RTD("tos.rtd", , "BID", "."&amp;Table1334[[#This Row],[Ticker]]&amp;Table1334[[#This Row],[Expiry]]&amp;""&amp;"P"&amp;Table1334[[#This Row],[Strike]]))</f>
        <v>0</v>
      </c>
      <c r="R708" t="b">
        <f>IF(     ISNUMBER(Table1334[[#This Row],[Strike]]),RTD("tos.rtd", , "ASK", "."&amp;Table1334[[#This Row],[Ticker]]&amp;Table1334[[#This Row],[Expiry]]&amp;""&amp;"P"&amp;Table1334[[#This Row],[Strike]]))</f>
        <v>0</v>
      </c>
      <c r="S708" s="17"/>
      <c r="T708" t="b">
        <f>IF(     ISNUMBER(Table1334[[#This Row],[Strike]]),RTD("tos.rtd", , "OPEN_INT", "."&amp;Table1334[[#This Row],[Ticker]]&amp;Table1334[[#This Row],[Expiry]]&amp;""&amp;"P"&amp;Table1334[[#This Row],[Strike]]))</f>
        <v>0</v>
      </c>
      <c r="U70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8" t="b">
        <f>IF(     ISNUMBER(Table1334[[#This Row],[Strike]]),RTD("tos.rtd", , "DELTA", "."&amp;Table1334[[#This Row],[Ticker]]&amp;Table1334[[#This Row],[Expiry]]&amp;""&amp;"P"&amp;Table1334[[#This Row],[Strike]]))</f>
        <v>0</v>
      </c>
      <c r="Y708" s="19">
        <f>-5.5* IF($M$1="NDX", 10, IF(OR($M$1="SPX", $M$1="RUT"), 2, 1))</f>
        <v>-11</v>
      </c>
      <c r="Z708">
        <f ca="1">IFERROR(Table1334[[#This Row],[call gamma]]*(Table1334[[#This Row],[Open.Int]])*$A$4^2,0)</f>
        <v>0</v>
      </c>
      <c r="AA708">
        <f ca="1">IFERROR(((Table1334[[#This Row],[Open.Int8]])*Table1334[[#This Row],[Put gamma]])*-1*$A$4^2,0)</f>
        <v>0</v>
      </c>
      <c r="AB708">
        <f ca="1">(Table1334[[#This Row],[Call Gex]]+Table1334[[#This Row],[Put Gex]])</f>
        <v>0</v>
      </c>
      <c r="AC708">
        <f ca="1">Table1334[[#This Row],[put delta adj]]+Table1334[[#This Row],[call delta adj]]</f>
        <v>0</v>
      </c>
      <c r="AD708">
        <f ca="1">Table1334[[#This Row],[Put Gex]]*Table1334[[#This Row],[DeltaP]]*-1</f>
        <v>0</v>
      </c>
      <c r="AE708">
        <f ca="1">Table1334[[#This Row],[Call Gex]]*Table1334[[#This Row],[DeltaC]]</f>
        <v>0</v>
      </c>
      <c r="AF708">
        <f>IF(Table1334[[#This Row],[DeltaC]]-ABS(Table1334[[#This Row],[DeltaP]])="0","0.01",Table1334[[#This Row],[DeltaC]]-ABS(Table1334[[#This Row],[DeltaP]]))</f>
        <v>0</v>
      </c>
      <c r="AG70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8" t="e">
        <f ca="1">(EXP(-(AG708^2)/2)/SQRT(2*PI())*EXP(0*SQRT(Table1334[[#This Row],[T]]))/$A$4*18%*SQRT(SQRT(Table1334[[#This Row],[T]])))</f>
        <v>#DIV/0!</v>
      </c>
      <c r="AJ708" t="e">
        <f ca="1">(EXP(-(AH708^2)/2)/SQRT(2*PI())*EXP(0*SQRT(Table1334[[#This Row],[T]]))/$A$4*18%*SQRT(SQRT(Table1334[[#This Row],[T]])))</f>
        <v>#DIV/0!</v>
      </c>
      <c r="AK708" t="e">
        <f ca="1">Table1334[[#This Row],[Call D1]]-Table1334[[#This Row],[IV Calc C]]*SQRT(Table1334[[#This Row],[T]])</f>
        <v>#DIV/0!</v>
      </c>
      <c r="AL708" t="e">
        <f ca="1">Table1334[[#This Row],[Put D1]]-Table1334[[#This Row],[IV Calc P]]*SQRT(Table1334[[#This Row],[T]])</f>
        <v>#DIV/0!</v>
      </c>
      <c r="AM708" t="e">
        <f ca="1">EXP(-0.5*Table1334[[#This Row],[Call D1]]^2)/SQRT(2*PI())</f>
        <v>#DIV/0!</v>
      </c>
      <c r="AN708" t="e">
        <f ca="1">EXP(-0.5*Table1334[[#This Row],[Put D1]]^2)/SQRT(2*PI())</f>
        <v>#DIV/0!</v>
      </c>
      <c r="AO70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8">
        <f ca="1">((Table1334[[#This Row],[call vanna]]+Table1334[[#This Row],[put vanna]])*$A$4)</f>
        <v>0</v>
      </c>
      <c r="AR70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8" s="9" t="str" cm="1">
        <f t="array" ref="AT708">_xlfn.IFS(     $M$1="SPX","SPXW",     $M$1="RUT","RUTW",  $M$1="NDX","NDXP",   TRUE,$M$1 )</f>
        <v>SPXW</v>
      </c>
      <c r="AU708" s="2">
        <f t="shared" si="72"/>
        <v>6915</v>
      </c>
      <c r="AV708" t="str">
        <f t="shared" si="73"/>
        <v>000100</v>
      </c>
      <c r="AY70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8">
        <f>((Table1334[[#This Row],[High C]]+Table1334[[#This Row],[Low C]])/2)*Table1334[[#This Row],[gammac]]*Table1334[[#This Row],[Volume]]</f>
        <v>0</v>
      </c>
      <c r="BD708">
        <f>((Table1334[[#This Row],[High P]]+Table1334[[#This Row],[Low P]])/2)*Table1334[[#This Row],[gammap]]*Table1334[[#This Row],[Volume9]]*-1</f>
        <v>0</v>
      </c>
      <c r="BE708">
        <f>(Table1334[[#This Row],[SgammaC]]+Table1334[[#This Row],[SgammaP]])*$A$4*-100</f>
        <v>0</v>
      </c>
      <c r="BF708">
        <f>Table1334[[#This Row],[DEXc]]+Table1334[[#This Row],[DEXp]]</f>
        <v>0</v>
      </c>
      <c r="BG708">
        <f>IFERROR(Table1334[[#This Row],[DeltaC]]*Table1334[[#This Row],[Open.Int]]*$A$4,0)</f>
        <v>0</v>
      </c>
      <c r="BH708">
        <f>IFERROR(Table1334[[#This Row],[DeltaP]]*Table1334[[#This Row],[Open.Int8]]*$A$4,0)</f>
        <v>0</v>
      </c>
      <c r="BI70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8">
        <f ca="1">Table1334[[#This Row],[charmc]]+Table1334[[#This Row],[charmp]]</f>
        <v>0</v>
      </c>
      <c r="BL70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8" s="78">
        <f ca="1">Table1334[[#This Row],[call helper]]+Table1334[[#This Row],[put helper]]</f>
        <v>0</v>
      </c>
      <c r="BP708" t="str">
        <f>RTD("tos.rtd", , "STRIKE", "."&amp;Table1334[[#This Row],[Ticker]]&amp;Table1334[[#This Row],[Expiry]]&amp;""&amp;"C"&amp;Table1334[[#This Row],[Spot]]+Table1334[[#This Row],[step]])</f>
        <v>N/A</v>
      </c>
    </row>
    <row r="709" spans="1:68" x14ac:dyDescent="0.25">
      <c r="A709" s="14">
        <f t="shared" ca="1" si="69"/>
        <v>-126.14810350076104</v>
      </c>
      <c r="C709" s="17"/>
      <c r="D709" t="str">
        <f>RTD("tos.rtd", , "OPEN_INT", "."&amp;Table1334[[#This Row],[Ticker]]&amp;Table1334[[#This Row],[Expiry]]&amp;""&amp;"C"&amp;Table1334[[#This Row],[Spot]]+Table1334[[#This Row],[step]])</f>
        <v>N/A</v>
      </c>
      <c r="E70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9" t="b">
        <f>IF(     ISNUMBER(Table1334[[#This Row],[Strike]]),RTD("tos.rtd", , "DELTA", "."&amp;Table1334[[#This Row],[Ticker]]&amp;Table1334[[#This Row],[Expiry]]&amp;""&amp;"C"&amp;Table1334[[#This Row],[Strike]]))</f>
        <v>0</v>
      </c>
      <c r="H709" s="17" cm="1">
        <f t="array" aca="1" ref="H709" ca="1">IndividualLegIVCore($A$4, Table1334[[#This Row],[Strike]], 0.0411, Table1334[[#This Row],[T]], ((Table1334[[#This Row],[BIDC]]+Table1334[[#This Row],[ASKC]])/2), TRUE)</f>
        <v>0.01</v>
      </c>
      <c r="I709" t="b">
        <f>IF(     ISNUMBER(Table1334[[#This Row],[Strike]]),RTD("tos.rtd", , "BID", "."&amp;Table1334[[#This Row],[Ticker]]&amp;Table1334[[#This Row],[Expiry]]&amp;""&amp;"C"&amp;Table1334[[#This Row],[Strike]]))</f>
        <v>0</v>
      </c>
      <c r="J709" t="b">
        <f>IF(     ISNUMBER(Table1334[[#This Row],[Strike]]),RTD("tos.rtd", , "ASK", "."&amp;Table1334[[#This Row],[Ticker]]&amp;Table1334[[#This Row],[Expiry]]&amp;""&amp;"C"&amp;Table1334[[#This Row],[Strike]]))</f>
        <v>0</v>
      </c>
      <c r="K709" s="17"/>
      <c r="M709" s="1">
        <f t="shared" si="70"/>
        <v>0</v>
      </c>
      <c r="N709" t="b">
        <f t="shared" si="71"/>
        <v>0</v>
      </c>
      <c r="P709" s="17" cm="1">
        <f t="array" aca="1" ref="P709" ca="1">IndividualLegIVCore($A$4, Table1334[[#This Row],[Strike]], 0.0411, Table1334[[#This Row],[T]], ((Table1334[[#This Row],[BIDP]]+Table1334[[#This Row],[ASKP]])/2), FALSE)</f>
        <v>0.01</v>
      </c>
      <c r="Q709" t="b">
        <f>IF(     ISNUMBER(Table1334[[#This Row],[Strike]]),RTD("tos.rtd", , "BID", "."&amp;Table1334[[#This Row],[Ticker]]&amp;Table1334[[#This Row],[Expiry]]&amp;""&amp;"P"&amp;Table1334[[#This Row],[Strike]]))</f>
        <v>0</v>
      </c>
      <c r="R709" t="b">
        <f>IF(     ISNUMBER(Table1334[[#This Row],[Strike]]),RTD("tos.rtd", , "ASK", "."&amp;Table1334[[#This Row],[Ticker]]&amp;Table1334[[#This Row],[Expiry]]&amp;""&amp;"P"&amp;Table1334[[#This Row],[Strike]]))</f>
        <v>0</v>
      </c>
      <c r="S709" s="17"/>
      <c r="T709" t="b">
        <f>IF(     ISNUMBER(Table1334[[#This Row],[Strike]]),RTD("tos.rtd", , "OPEN_INT", "."&amp;Table1334[[#This Row],[Ticker]]&amp;Table1334[[#This Row],[Expiry]]&amp;""&amp;"P"&amp;Table1334[[#This Row],[Strike]]))</f>
        <v>0</v>
      </c>
      <c r="U70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9" t="b">
        <f>IF(     ISNUMBER(Table1334[[#This Row],[Strike]]),RTD("tos.rtd", , "DELTA", "."&amp;Table1334[[#This Row],[Ticker]]&amp;Table1334[[#This Row],[Expiry]]&amp;""&amp;"P"&amp;Table1334[[#This Row],[Strike]]))</f>
        <v>0</v>
      </c>
      <c r="Y709" s="19">
        <f>-5* IF($M$1="NDX", 10, IF(OR($M$1="SPX", $M$1="RUT"), 2, 1))</f>
        <v>-10</v>
      </c>
      <c r="Z709">
        <f ca="1">IFERROR(Table1334[[#This Row],[call gamma]]*(Table1334[[#This Row],[Open.Int]])*$A$4^2,0)</f>
        <v>0</v>
      </c>
      <c r="AA709">
        <f ca="1">IFERROR(((Table1334[[#This Row],[Open.Int8]])*Table1334[[#This Row],[Put gamma]])*-1*$A$4^2,0)</f>
        <v>0</v>
      </c>
      <c r="AB709">
        <f ca="1">(Table1334[[#This Row],[Call Gex]]+Table1334[[#This Row],[Put Gex]])</f>
        <v>0</v>
      </c>
      <c r="AC709">
        <f ca="1">Table1334[[#This Row],[put delta adj]]+Table1334[[#This Row],[call delta adj]]</f>
        <v>0</v>
      </c>
      <c r="AD709">
        <f ca="1">Table1334[[#This Row],[Put Gex]]*Table1334[[#This Row],[DeltaP]]*-1</f>
        <v>0</v>
      </c>
      <c r="AE709">
        <f ca="1">Table1334[[#This Row],[Call Gex]]*Table1334[[#This Row],[DeltaC]]</f>
        <v>0</v>
      </c>
      <c r="AF709">
        <f>IF(Table1334[[#This Row],[DeltaC]]-ABS(Table1334[[#This Row],[DeltaP]])="0","0.01",Table1334[[#This Row],[DeltaC]]-ABS(Table1334[[#This Row],[DeltaP]]))</f>
        <v>0</v>
      </c>
      <c r="AG70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9" t="e">
        <f ca="1">(EXP(-(AG709^2)/2)/SQRT(2*PI())*EXP(0*SQRT(Table1334[[#This Row],[T]]))/$A$4*18%*SQRT(SQRT(Table1334[[#This Row],[T]])))</f>
        <v>#DIV/0!</v>
      </c>
      <c r="AJ709" t="e">
        <f ca="1">(EXP(-(AH709^2)/2)/SQRT(2*PI())*EXP(0*SQRT(Table1334[[#This Row],[T]]))/$A$4*18%*SQRT(SQRT(Table1334[[#This Row],[T]])))</f>
        <v>#DIV/0!</v>
      </c>
      <c r="AK709" t="e">
        <f ca="1">Table1334[[#This Row],[Call D1]]-Table1334[[#This Row],[IV Calc C]]*SQRT(Table1334[[#This Row],[T]])</f>
        <v>#DIV/0!</v>
      </c>
      <c r="AL709" t="e">
        <f ca="1">Table1334[[#This Row],[Put D1]]-Table1334[[#This Row],[IV Calc P]]*SQRT(Table1334[[#This Row],[T]])</f>
        <v>#DIV/0!</v>
      </c>
      <c r="AM709" t="e">
        <f ca="1">EXP(-0.5*Table1334[[#This Row],[Call D1]]^2)/SQRT(2*PI())</f>
        <v>#DIV/0!</v>
      </c>
      <c r="AN709" t="e">
        <f ca="1">EXP(-0.5*Table1334[[#This Row],[Put D1]]^2)/SQRT(2*PI())</f>
        <v>#DIV/0!</v>
      </c>
      <c r="AO70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9">
        <f ca="1">((Table1334[[#This Row],[call vanna]]+Table1334[[#This Row],[put vanna]])*$A$4)</f>
        <v>0</v>
      </c>
      <c r="AR70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9" s="9" t="str" cm="1">
        <f t="array" ref="AT709">_xlfn.IFS(     $M$1="SPX","SPXW",     $M$1="RUT","RUTW",  $M$1="NDX","NDXP",   TRUE,$M$1 )</f>
        <v>SPXW</v>
      </c>
      <c r="AU709" s="2">
        <f t="shared" si="72"/>
        <v>6915</v>
      </c>
      <c r="AV709" t="str">
        <f t="shared" si="73"/>
        <v>000100</v>
      </c>
      <c r="AY70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9">
        <f>((Table1334[[#This Row],[High C]]+Table1334[[#This Row],[Low C]])/2)*Table1334[[#This Row],[gammac]]*Table1334[[#This Row],[Volume]]</f>
        <v>0</v>
      </c>
      <c r="BD709">
        <f>((Table1334[[#This Row],[High P]]+Table1334[[#This Row],[Low P]])/2)*Table1334[[#This Row],[gammap]]*Table1334[[#This Row],[Volume9]]*-1</f>
        <v>0</v>
      </c>
      <c r="BE709">
        <f>(Table1334[[#This Row],[SgammaC]]+Table1334[[#This Row],[SgammaP]])*$A$4*-100</f>
        <v>0</v>
      </c>
      <c r="BF709">
        <f>Table1334[[#This Row],[DEXc]]+Table1334[[#This Row],[DEXp]]</f>
        <v>0</v>
      </c>
      <c r="BG709">
        <f>IFERROR(Table1334[[#This Row],[DeltaC]]*Table1334[[#This Row],[Open.Int]]*$A$4,0)</f>
        <v>0</v>
      </c>
      <c r="BH709">
        <f>IFERROR(Table1334[[#This Row],[DeltaP]]*Table1334[[#This Row],[Open.Int8]]*$A$4,0)</f>
        <v>0</v>
      </c>
      <c r="BI70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9">
        <f ca="1">Table1334[[#This Row],[charmc]]+Table1334[[#This Row],[charmp]]</f>
        <v>0</v>
      </c>
      <c r="BL70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9" s="78">
        <f ca="1">Table1334[[#This Row],[call helper]]+Table1334[[#This Row],[put helper]]</f>
        <v>0</v>
      </c>
      <c r="BP709" t="str">
        <f>RTD("tos.rtd", , "STRIKE", "."&amp;Table1334[[#This Row],[Ticker]]&amp;Table1334[[#This Row],[Expiry]]&amp;""&amp;"C"&amp;Table1334[[#This Row],[Spot]]+Table1334[[#This Row],[step]])</f>
        <v>N/A</v>
      </c>
    </row>
    <row r="710" spans="1:68" x14ac:dyDescent="0.25">
      <c r="A710" s="14">
        <f t="shared" ca="1" si="69"/>
        <v>-126.14810350076104</v>
      </c>
      <c r="C710" s="17"/>
      <c r="D710" t="str">
        <f>RTD("tos.rtd", , "OPEN_INT", "."&amp;Table1334[[#This Row],[Ticker]]&amp;Table1334[[#This Row],[Expiry]]&amp;""&amp;"C"&amp;Table1334[[#This Row],[Spot]]+Table1334[[#This Row],[step]])</f>
        <v>N/A</v>
      </c>
      <c r="E71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0" t="b">
        <f>IF(     ISNUMBER(Table1334[[#This Row],[Strike]]),RTD("tos.rtd", , "DELTA", "."&amp;Table1334[[#This Row],[Ticker]]&amp;Table1334[[#This Row],[Expiry]]&amp;""&amp;"C"&amp;Table1334[[#This Row],[Strike]]))</f>
        <v>0</v>
      </c>
      <c r="H710" s="17" cm="1">
        <f t="array" aca="1" ref="H710" ca="1">IndividualLegIVCore($A$4, Table1334[[#This Row],[Strike]], 0.0411, Table1334[[#This Row],[T]], ((Table1334[[#This Row],[BIDC]]+Table1334[[#This Row],[ASKC]])/2), TRUE)</f>
        <v>0.01</v>
      </c>
      <c r="I710" t="b">
        <f>IF(     ISNUMBER(Table1334[[#This Row],[Strike]]),RTD("tos.rtd", , "BID", "."&amp;Table1334[[#This Row],[Ticker]]&amp;Table1334[[#This Row],[Expiry]]&amp;""&amp;"C"&amp;Table1334[[#This Row],[Strike]]))</f>
        <v>0</v>
      </c>
      <c r="J710" t="b">
        <f>IF(     ISNUMBER(Table1334[[#This Row],[Strike]]),RTD("tos.rtd", , "ASK", "."&amp;Table1334[[#This Row],[Ticker]]&amp;Table1334[[#This Row],[Expiry]]&amp;""&amp;"C"&amp;Table1334[[#This Row],[Strike]]))</f>
        <v>0</v>
      </c>
      <c r="K710" s="17"/>
      <c r="M710" s="1">
        <f t="shared" si="70"/>
        <v>0</v>
      </c>
      <c r="N710" t="b">
        <f t="shared" si="71"/>
        <v>0</v>
      </c>
      <c r="P710" s="17" cm="1">
        <f t="array" aca="1" ref="P710" ca="1">IndividualLegIVCore($A$4, Table1334[[#This Row],[Strike]], 0.0411, Table1334[[#This Row],[T]], ((Table1334[[#This Row],[BIDP]]+Table1334[[#This Row],[ASKP]])/2), FALSE)</f>
        <v>0.01</v>
      </c>
      <c r="Q710" t="b">
        <f>IF(     ISNUMBER(Table1334[[#This Row],[Strike]]),RTD("tos.rtd", , "BID", "."&amp;Table1334[[#This Row],[Ticker]]&amp;Table1334[[#This Row],[Expiry]]&amp;""&amp;"P"&amp;Table1334[[#This Row],[Strike]]))</f>
        <v>0</v>
      </c>
      <c r="R710" t="b">
        <f>IF(     ISNUMBER(Table1334[[#This Row],[Strike]]),RTD("tos.rtd", , "ASK", "."&amp;Table1334[[#This Row],[Ticker]]&amp;Table1334[[#This Row],[Expiry]]&amp;""&amp;"P"&amp;Table1334[[#This Row],[Strike]]))</f>
        <v>0</v>
      </c>
      <c r="S710" s="17"/>
      <c r="T710" t="b">
        <f>IF(     ISNUMBER(Table1334[[#This Row],[Strike]]),RTD("tos.rtd", , "OPEN_INT", "."&amp;Table1334[[#This Row],[Ticker]]&amp;Table1334[[#This Row],[Expiry]]&amp;""&amp;"P"&amp;Table1334[[#This Row],[Strike]]))</f>
        <v>0</v>
      </c>
      <c r="U71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0" t="b">
        <f>IF(     ISNUMBER(Table1334[[#This Row],[Strike]]),RTD("tos.rtd", , "DELTA", "."&amp;Table1334[[#This Row],[Ticker]]&amp;Table1334[[#This Row],[Expiry]]&amp;""&amp;"P"&amp;Table1334[[#This Row],[Strike]]))</f>
        <v>0</v>
      </c>
      <c r="Y710" s="19">
        <f>-4.5* IF($M$1="NDX", 10, IF(OR($M$1="SPX", $M$1="RUT"), 2, 1))</f>
        <v>-9</v>
      </c>
      <c r="Z710">
        <f ca="1">IFERROR(Table1334[[#This Row],[call gamma]]*(Table1334[[#This Row],[Open.Int]])*$A$4^2,0)</f>
        <v>0</v>
      </c>
      <c r="AA710">
        <f ca="1">IFERROR(((Table1334[[#This Row],[Open.Int8]])*Table1334[[#This Row],[Put gamma]])*-1*$A$4^2,0)</f>
        <v>0</v>
      </c>
      <c r="AB710">
        <f ca="1">(Table1334[[#This Row],[Call Gex]]+Table1334[[#This Row],[Put Gex]])</f>
        <v>0</v>
      </c>
      <c r="AC710">
        <f ca="1">Table1334[[#This Row],[put delta adj]]+Table1334[[#This Row],[call delta adj]]</f>
        <v>0</v>
      </c>
      <c r="AD710">
        <f ca="1">Table1334[[#This Row],[Put Gex]]*Table1334[[#This Row],[DeltaP]]*-1</f>
        <v>0</v>
      </c>
      <c r="AE710">
        <f ca="1">Table1334[[#This Row],[Call Gex]]*Table1334[[#This Row],[DeltaC]]</f>
        <v>0</v>
      </c>
      <c r="AF710">
        <f>IF(Table1334[[#This Row],[DeltaC]]-ABS(Table1334[[#This Row],[DeltaP]])="0","0.01",Table1334[[#This Row],[DeltaC]]-ABS(Table1334[[#This Row],[DeltaP]]))</f>
        <v>0</v>
      </c>
      <c r="AG71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0" t="e">
        <f ca="1">(EXP(-(AG710^2)/2)/SQRT(2*PI())*EXP(0*SQRT(Table1334[[#This Row],[T]]))/$A$4*18%*SQRT(SQRT(Table1334[[#This Row],[T]])))</f>
        <v>#DIV/0!</v>
      </c>
      <c r="AJ710" t="e">
        <f ca="1">(EXP(-(AH710^2)/2)/SQRT(2*PI())*EXP(0*SQRT(Table1334[[#This Row],[T]]))/$A$4*18%*SQRT(SQRT(Table1334[[#This Row],[T]])))</f>
        <v>#DIV/0!</v>
      </c>
      <c r="AK710" t="e">
        <f ca="1">Table1334[[#This Row],[Call D1]]-Table1334[[#This Row],[IV Calc C]]*SQRT(Table1334[[#This Row],[T]])</f>
        <v>#DIV/0!</v>
      </c>
      <c r="AL710" t="e">
        <f ca="1">Table1334[[#This Row],[Put D1]]-Table1334[[#This Row],[IV Calc P]]*SQRT(Table1334[[#This Row],[T]])</f>
        <v>#DIV/0!</v>
      </c>
      <c r="AM710" t="e">
        <f ca="1">EXP(-0.5*Table1334[[#This Row],[Call D1]]^2)/SQRT(2*PI())</f>
        <v>#DIV/0!</v>
      </c>
      <c r="AN710" t="e">
        <f ca="1">EXP(-0.5*Table1334[[#This Row],[Put D1]]^2)/SQRT(2*PI())</f>
        <v>#DIV/0!</v>
      </c>
      <c r="AO71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0">
        <f ca="1">((Table1334[[#This Row],[call vanna]]+Table1334[[#This Row],[put vanna]])*$A$4)</f>
        <v>0</v>
      </c>
      <c r="AR71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0" s="9" t="str" cm="1">
        <f t="array" ref="AT710">_xlfn.IFS(     $M$1="SPX","SPXW",     $M$1="RUT","RUTW",  $M$1="NDX","NDXP",   TRUE,$M$1 )</f>
        <v>SPXW</v>
      </c>
      <c r="AU710" s="2">
        <f t="shared" si="72"/>
        <v>6915</v>
      </c>
      <c r="AV710" t="str">
        <f t="shared" si="73"/>
        <v>000100</v>
      </c>
      <c r="AY71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0">
        <f>((Table1334[[#This Row],[High C]]+Table1334[[#This Row],[Low C]])/2)*Table1334[[#This Row],[gammac]]*Table1334[[#This Row],[Volume]]</f>
        <v>0</v>
      </c>
      <c r="BD710">
        <f>((Table1334[[#This Row],[High P]]+Table1334[[#This Row],[Low P]])/2)*Table1334[[#This Row],[gammap]]*Table1334[[#This Row],[Volume9]]*-1</f>
        <v>0</v>
      </c>
      <c r="BE710">
        <f>(Table1334[[#This Row],[SgammaC]]+Table1334[[#This Row],[SgammaP]])*$A$4*-100</f>
        <v>0</v>
      </c>
      <c r="BF710">
        <f>Table1334[[#This Row],[DEXc]]+Table1334[[#This Row],[DEXp]]</f>
        <v>0</v>
      </c>
      <c r="BG710">
        <f>IFERROR(Table1334[[#This Row],[DeltaC]]*Table1334[[#This Row],[Open.Int]]*$A$4,0)</f>
        <v>0</v>
      </c>
      <c r="BH710">
        <f>IFERROR(Table1334[[#This Row],[DeltaP]]*Table1334[[#This Row],[Open.Int8]]*$A$4,0)</f>
        <v>0</v>
      </c>
      <c r="BI71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0">
        <f ca="1">Table1334[[#This Row],[charmc]]+Table1334[[#This Row],[charmp]]</f>
        <v>0</v>
      </c>
      <c r="BL71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0" s="78">
        <f ca="1">Table1334[[#This Row],[call helper]]+Table1334[[#This Row],[put helper]]</f>
        <v>0</v>
      </c>
      <c r="BP710" t="str">
        <f>RTD("tos.rtd", , "STRIKE", "."&amp;Table1334[[#This Row],[Ticker]]&amp;Table1334[[#This Row],[Expiry]]&amp;""&amp;"C"&amp;Table1334[[#This Row],[Spot]]+Table1334[[#This Row],[step]])</f>
        <v>N/A</v>
      </c>
    </row>
    <row r="711" spans="1:68" x14ac:dyDescent="0.25">
      <c r="A711" s="14">
        <f t="shared" ca="1" si="69"/>
        <v>-126.14810350076104</v>
      </c>
      <c r="C711" s="17"/>
      <c r="D711" t="str">
        <f>RTD("tos.rtd", , "OPEN_INT", "."&amp;Table1334[[#This Row],[Ticker]]&amp;Table1334[[#This Row],[Expiry]]&amp;""&amp;"C"&amp;Table1334[[#This Row],[Spot]]+Table1334[[#This Row],[step]])</f>
        <v>N/A</v>
      </c>
      <c r="E71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1" t="b">
        <f>IF(     ISNUMBER(Table1334[[#This Row],[Strike]]),RTD("tos.rtd", , "DELTA", "."&amp;Table1334[[#This Row],[Ticker]]&amp;Table1334[[#This Row],[Expiry]]&amp;""&amp;"C"&amp;Table1334[[#This Row],[Strike]]))</f>
        <v>0</v>
      </c>
      <c r="H711" s="17" cm="1">
        <f t="array" aca="1" ref="H711" ca="1">IndividualLegIVCore($A$4, Table1334[[#This Row],[Strike]], 0.0411, Table1334[[#This Row],[T]], ((Table1334[[#This Row],[BIDC]]+Table1334[[#This Row],[ASKC]])/2), TRUE)</f>
        <v>0.01</v>
      </c>
      <c r="I711" t="b">
        <f>IF(     ISNUMBER(Table1334[[#This Row],[Strike]]),RTD("tos.rtd", , "BID", "."&amp;Table1334[[#This Row],[Ticker]]&amp;Table1334[[#This Row],[Expiry]]&amp;""&amp;"C"&amp;Table1334[[#This Row],[Strike]]))</f>
        <v>0</v>
      </c>
      <c r="J711" t="b">
        <f>IF(     ISNUMBER(Table1334[[#This Row],[Strike]]),RTD("tos.rtd", , "ASK", "."&amp;Table1334[[#This Row],[Ticker]]&amp;Table1334[[#This Row],[Expiry]]&amp;""&amp;"C"&amp;Table1334[[#This Row],[Strike]]))</f>
        <v>0</v>
      </c>
      <c r="K711" s="17"/>
      <c r="M711" s="1">
        <f t="shared" si="70"/>
        <v>0</v>
      </c>
      <c r="N711" t="b">
        <f t="shared" si="71"/>
        <v>0</v>
      </c>
      <c r="P711" s="17" cm="1">
        <f t="array" aca="1" ref="P711" ca="1">IndividualLegIVCore($A$4, Table1334[[#This Row],[Strike]], 0.0411, Table1334[[#This Row],[T]], ((Table1334[[#This Row],[BIDP]]+Table1334[[#This Row],[ASKP]])/2), FALSE)</f>
        <v>0.01</v>
      </c>
      <c r="Q711" t="b">
        <f>IF(     ISNUMBER(Table1334[[#This Row],[Strike]]),RTD("tos.rtd", , "BID", "."&amp;Table1334[[#This Row],[Ticker]]&amp;Table1334[[#This Row],[Expiry]]&amp;""&amp;"P"&amp;Table1334[[#This Row],[Strike]]))</f>
        <v>0</v>
      </c>
      <c r="R711" t="b">
        <f>IF(     ISNUMBER(Table1334[[#This Row],[Strike]]),RTD("tos.rtd", , "ASK", "."&amp;Table1334[[#This Row],[Ticker]]&amp;Table1334[[#This Row],[Expiry]]&amp;""&amp;"P"&amp;Table1334[[#This Row],[Strike]]))</f>
        <v>0</v>
      </c>
      <c r="S711" s="17"/>
      <c r="T711" t="b">
        <f>IF(     ISNUMBER(Table1334[[#This Row],[Strike]]),RTD("tos.rtd", , "OPEN_INT", "."&amp;Table1334[[#This Row],[Ticker]]&amp;Table1334[[#This Row],[Expiry]]&amp;""&amp;"P"&amp;Table1334[[#This Row],[Strike]]))</f>
        <v>0</v>
      </c>
      <c r="U71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1" t="b">
        <f>IF(     ISNUMBER(Table1334[[#This Row],[Strike]]),RTD("tos.rtd", , "DELTA", "."&amp;Table1334[[#This Row],[Ticker]]&amp;Table1334[[#This Row],[Expiry]]&amp;""&amp;"P"&amp;Table1334[[#This Row],[Strike]]))</f>
        <v>0</v>
      </c>
      <c r="Y711" s="19">
        <f>-4* IF($M$1="NDX", 10, IF(OR($M$1="SPX", $M$1="RUT"), 2, 1))</f>
        <v>-8</v>
      </c>
      <c r="Z711">
        <f ca="1">IFERROR(Table1334[[#This Row],[call gamma]]*(Table1334[[#This Row],[Open.Int]])*$A$4^2,0)</f>
        <v>0</v>
      </c>
      <c r="AA711">
        <f ca="1">IFERROR(((Table1334[[#This Row],[Open.Int8]])*Table1334[[#This Row],[Put gamma]])*-1*$A$4^2,0)</f>
        <v>0</v>
      </c>
      <c r="AB711">
        <f ca="1">(Table1334[[#This Row],[Call Gex]]+Table1334[[#This Row],[Put Gex]])</f>
        <v>0</v>
      </c>
      <c r="AC711">
        <f ca="1">Table1334[[#This Row],[put delta adj]]+Table1334[[#This Row],[call delta adj]]</f>
        <v>0</v>
      </c>
      <c r="AD711">
        <f ca="1">Table1334[[#This Row],[Put Gex]]*Table1334[[#This Row],[DeltaP]]*-1</f>
        <v>0</v>
      </c>
      <c r="AE711">
        <f ca="1">Table1334[[#This Row],[Call Gex]]*Table1334[[#This Row],[DeltaC]]</f>
        <v>0</v>
      </c>
      <c r="AF711">
        <f>IF(Table1334[[#This Row],[DeltaC]]-ABS(Table1334[[#This Row],[DeltaP]])="0","0.01",Table1334[[#This Row],[DeltaC]]-ABS(Table1334[[#This Row],[DeltaP]]))</f>
        <v>0</v>
      </c>
      <c r="AG71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1" t="e">
        <f ca="1">(EXP(-(AG711^2)/2)/SQRT(2*PI())*EXP(0*SQRT(Table1334[[#This Row],[T]]))/$A$4*18%*SQRT(SQRT(Table1334[[#This Row],[T]])))</f>
        <v>#DIV/0!</v>
      </c>
      <c r="AJ711" t="e">
        <f ca="1">(EXP(-(AH711^2)/2)/SQRT(2*PI())*EXP(0*SQRT(Table1334[[#This Row],[T]]))/$A$4*18%*SQRT(SQRT(Table1334[[#This Row],[T]])))</f>
        <v>#DIV/0!</v>
      </c>
      <c r="AK711" t="e">
        <f ca="1">Table1334[[#This Row],[Call D1]]-Table1334[[#This Row],[IV Calc C]]*SQRT(Table1334[[#This Row],[T]])</f>
        <v>#DIV/0!</v>
      </c>
      <c r="AL711" t="e">
        <f ca="1">Table1334[[#This Row],[Put D1]]-Table1334[[#This Row],[IV Calc P]]*SQRT(Table1334[[#This Row],[T]])</f>
        <v>#DIV/0!</v>
      </c>
      <c r="AM711" t="e">
        <f ca="1">EXP(-0.5*Table1334[[#This Row],[Call D1]]^2)/SQRT(2*PI())</f>
        <v>#DIV/0!</v>
      </c>
      <c r="AN711" t="e">
        <f ca="1">EXP(-0.5*Table1334[[#This Row],[Put D1]]^2)/SQRT(2*PI())</f>
        <v>#DIV/0!</v>
      </c>
      <c r="AO71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1">
        <f ca="1">((Table1334[[#This Row],[call vanna]]+Table1334[[#This Row],[put vanna]])*$A$4)</f>
        <v>0</v>
      </c>
      <c r="AR71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1" s="9" t="str" cm="1">
        <f t="array" ref="AT711">_xlfn.IFS(     $M$1="SPX","SPXW",     $M$1="RUT","RUTW",  $M$1="NDX","NDXP",   TRUE,$M$1 )</f>
        <v>SPXW</v>
      </c>
      <c r="AU711" s="2">
        <f t="shared" si="72"/>
        <v>6915</v>
      </c>
      <c r="AV711" t="str">
        <f t="shared" si="73"/>
        <v>000100</v>
      </c>
      <c r="AY71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1">
        <f>((Table1334[[#This Row],[High C]]+Table1334[[#This Row],[Low C]])/2)*Table1334[[#This Row],[gammac]]*Table1334[[#This Row],[Volume]]</f>
        <v>0</v>
      </c>
      <c r="BD711">
        <f>((Table1334[[#This Row],[High P]]+Table1334[[#This Row],[Low P]])/2)*Table1334[[#This Row],[gammap]]*Table1334[[#This Row],[Volume9]]*-1</f>
        <v>0</v>
      </c>
      <c r="BE711">
        <f>(Table1334[[#This Row],[SgammaC]]+Table1334[[#This Row],[SgammaP]])*$A$4*-100</f>
        <v>0</v>
      </c>
      <c r="BF711">
        <f>Table1334[[#This Row],[DEXc]]+Table1334[[#This Row],[DEXp]]</f>
        <v>0</v>
      </c>
      <c r="BG711">
        <f>IFERROR(Table1334[[#This Row],[DeltaC]]*Table1334[[#This Row],[Open.Int]]*$A$4,0)</f>
        <v>0</v>
      </c>
      <c r="BH711">
        <f>IFERROR(Table1334[[#This Row],[DeltaP]]*Table1334[[#This Row],[Open.Int8]]*$A$4,0)</f>
        <v>0</v>
      </c>
      <c r="BI71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1">
        <f ca="1">Table1334[[#This Row],[charmc]]+Table1334[[#This Row],[charmp]]</f>
        <v>0</v>
      </c>
      <c r="BL71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1" s="78">
        <f ca="1">Table1334[[#This Row],[call helper]]+Table1334[[#This Row],[put helper]]</f>
        <v>0</v>
      </c>
      <c r="BP711" t="str">
        <f>RTD("tos.rtd", , "STRIKE", "."&amp;Table1334[[#This Row],[Ticker]]&amp;Table1334[[#This Row],[Expiry]]&amp;""&amp;"C"&amp;Table1334[[#This Row],[Spot]]+Table1334[[#This Row],[step]])</f>
        <v>N/A</v>
      </c>
    </row>
    <row r="712" spans="1:68" x14ac:dyDescent="0.25">
      <c r="A712" s="14">
        <f t="shared" ca="1" si="69"/>
        <v>-126.14810350076104</v>
      </c>
      <c r="C712" s="17"/>
      <c r="D712" t="str">
        <f>RTD("tos.rtd", , "OPEN_INT", "."&amp;Table1334[[#This Row],[Ticker]]&amp;Table1334[[#This Row],[Expiry]]&amp;""&amp;"C"&amp;Table1334[[#This Row],[Spot]]+Table1334[[#This Row],[step]])</f>
        <v>N/A</v>
      </c>
      <c r="E71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2" t="b">
        <f>IF(     ISNUMBER(Table1334[[#This Row],[Strike]]),RTD("tos.rtd", , "DELTA", "."&amp;Table1334[[#This Row],[Ticker]]&amp;Table1334[[#This Row],[Expiry]]&amp;""&amp;"C"&amp;Table1334[[#This Row],[Strike]]))</f>
        <v>0</v>
      </c>
      <c r="H712" s="17" cm="1">
        <f t="array" aca="1" ref="H712" ca="1">IndividualLegIVCore($A$4, Table1334[[#This Row],[Strike]], 0.0411, Table1334[[#This Row],[T]], ((Table1334[[#This Row],[BIDC]]+Table1334[[#This Row],[ASKC]])/2), TRUE)</f>
        <v>0.01</v>
      </c>
      <c r="I712" t="b">
        <f>IF(     ISNUMBER(Table1334[[#This Row],[Strike]]),RTD("tos.rtd", , "BID", "."&amp;Table1334[[#This Row],[Ticker]]&amp;Table1334[[#This Row],[Expiry]]&amp;""&amp;"C"&amp;Table1334[[#This Row],[Strike]]))</f>
        <v>0</v>
      </c>
      <c r="J712" t="b">
        <f>IF(     ISNUMBER(Table1334[[#This Row],[Strike]]),RTD("tos.rtd", , "ASK", "."&amp;Table1334[[#This Row],[Ticker]]&amp;Table1334[[#This Row],[Expiry]]&amp;""&amp;"C"&amp;Table1334[[#This Row],[Strike]]))</f>
        <v>0</v>
      </c>
      <c r="K712" s="17"/>
      <c r="M712" s="1">
        <f t="shared" si="70"/>
        <v>0</v>
      </c>
      <c r="N712" t="b">
        <f t="shared" si="71"/>
        <v>0</v>
      </c>
      <c r="P712" s="17" cm="1">
        <f t="array" aca="1" ref="P712" ca="1">IndividualLegIVCore($A$4, Table1334[[#This Row],[Strike]], 0.0411, Table1334[[#This Row],[T]], ((Table1334[[#This Row],[BIDP]]+Table1334[[#This Row],[ASKP]])/2), FALSE)</f>
        <v>0.01</v>
      </c>
      <c r="Q712" t="b">
        <f>IF(     ISNUMBER(Table1334[[#This Row],[Strike]]),RTD("tos.rtd", , "BID", "."&amp;Table1334[[#This Row],[Ticker]]&amp;Table1334[[#This Row],[Expiry]]&amp;""&amp;"P"&amp;Table1334[[#This Row],[Strike]]))</f>
        <v>0</v>
      </c>
      <c r="R712" t="b">
        <f>IF(     ISNUMBER(Table1334[[#This Row],[Strike]]),RTD("tos.rtd", , "ASK", "."&amp;Table1334[[#This Row],[Ticker]]&amp;Table1334[[#This Row],[Expiry]]&amp;""&amp;"P"&amp;Table1334[[#This Row],[Strike]]))</f>
        <v>0</v>
      </c>
      <c r="S712" s="17"/>
      <c r="T712" t="b">
        <f>IF(     ISNUMBER(Table1334[[#This Row],[Strike]]),RTD("tos.rtd", , "OPEN_INT", "."&amp;Table1334[[#This Row],[Ticker]]&amp;Table1334[[#This Row],[Expiry]]&amp;""&amp;"P"&amp;Table1334[[#This Row],[Strike]]))</f>
        <v>0</v>
      </c>
      <c r="U71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2" t="b">
        <f>IF(     ISNUMBER(Table1334[[#This Row],[Strike]]),RTD("tos.rtd", , "DELTA", "."&amp;Table1334[[#This Row],[Ticker]]&amp;Table1334[[#This Row],[Expiry]]&amp;""&amp;"P"&amp;Table1334[[#This Row],[Strike]]))</f>
        <v>0</v>
      </c>
      <c r="Y712" s="19">
        <f>-3.5* IF($M$1="NDX", 10, IF(OR($M$1="SPX", $M$1="RUT"), 2, 1))</f>
        <v>-7</v>
      </c>
      <c r="Z712">
        <f ca="1">IFERROR(Table1334[[#This Row],[call gamma]]*(Table1334[[#This Row],[Open.Int]])*$A$4^2,0)</f>
        <v>0</v>
      </c>
      <c r="AA712">
        <f ca="1">IFERROR(((Table1334[[#This Row],[Open.Int8]])*Table1334[[#This Row],[Put gamma]])*-1*$A$4^2,0)</f>
        <v>0</v>
      </c>
      <c r="AB712">
        <f ca="1">(Table1334[[#This Row],[Call Gex]]+Table1334[[#This Row],[Put Gex]])</f>
        <v>0</v>
      </c>
      <c r="AC712">
        <f ca="1">Table1334[[#This Row],[put delta adj]]+Table1334[[#This Row],[call delta adj]]</f>
        <v>0</v>
      </c>
      <c r="AD712">
        <f ca="1">Table1334[[#This Row],[Put Gex]]*Table1334[[#This Row],[DeltaP]]*-1</f>
        <v>0</v>
      </c>
      <c r="AE712">
        <f ca="1">Table1334[[#This Row],[Call Gex]]*Table1334[[#This Row],[DeltaC]]</f>
        <v>0</v>
      </c>
      <c r="AF712">
        <f>IF(Table1334[[#This Row],[DeltaC]]-ABS(Table1334[[#This Row],[DeltaP]])="0","0.01",Table1334[[#This Row],[DeltaC]]-ABS(Table1334[[#This Row],[DeltaP]]))</f>
        <v>0</v>
      </c>
      <c r="AG71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2" t="e">
        <f ca="1">(EXP(-(AG712^2)/2)/SQRT(2*PI())*EXP(0*SQRT(Table1334[[#This Row],[T]]))/$A$4*18%*SQRT(SQRT(Table1334[[#This Row],[T]])))</f>
        <v>#DIV/0!</v>
      </c>
      <c r="AJ712" t="e">
        <f ca="1">(EXP(-(AH712^2)/2)/SQRT(2*PI())*EXP(0*SQRT(Table1334[[#This Row],[T]]))/$A$4*18%*SQRT(SQRT(Table1334[[#This Row],[T]])))</f>
        <v>#DIV/0!</v>
      </c>
      <c r="AK712" t="e">
        <f ca="1">Table1334[[#This Row],[Call D1]]-Table1334[[#This Row],[IV Calc C]]*SQRT(Table1334[[#This Row],[T]])</f>
        <v>#DIV/0!</v>
      </c>
      <c r="AL712" t="e">
        <f ca="1">Table1334[[#This Row],[Put D1]]-Table1334[[#This Row],[IV Calc P]]*SQRT(Table1334[[#This Row],[T]])</f>
        <v>#DIV/0!</v>
      </c>
      <c r="AM712" t="e">
        <f ca="1">EXP(-0.5*Table1334[[#This Row],[Call D1]]^2)/SQRT(2*PI())</f>
        <v>#DIV/0!</v>
      </c>
      <c r="AN712" t="e">
        <f ca="1">EXP(-0.5*Table1334[[#This Row],[Put D1]]^2)/SQRT(2*PI())</f>
        <v>#DIV/0!</v>
      </c>
      <c r="AO71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2">
        <f ca="1">((Table1334[[#This Row],[call vanna]]+Table1334[[#This Row],[put vanna]])*$A$4)</f>
        <v>0</v>
      </c>
      <c r="AR71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2" s="9" t="str" cm="1">
        <f t="array" ref="AT712">_xlfn.IFS(     $M$1="SPX","SPXW",     $M$1="RUT","RUTW",  $M$1="NDX","NDXP",   TRUE,$M$1 )</f>
        <v>SPXW</v>
      </c>
      <c r="AU712" s="2">
        <f t="shared" si="72"/>
        <v>6915</v>
      </c>
      <c r="AV712" t="str">
        <f t="shared" si="73"/>
        <v>000100</v>
      </c>
      <c r="AY71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2">
        <f>((Table1334[[#This Row],[High C]]+Table1334[[#This Row],[Low C]])/2)*Table1334[[#This Row],[gammac]]*Table1334[[#This Row],[Volume]]</f>
        <v>0</v>
      </c>
      <c r="BD712">
        <f>((Table1334[[#This Row],[High P]]+Table1334[[#This Row],[Low P]])/2)*Table1334[[#This Row],[gammap]]*Table1334[[#This Row],[Volume9]]*-1</f>
        <v>0</v>
      </c>
      <c r="BE712">
        <f>(Table1334[[#This Row],[SgammaC]]+Table1334[[#This Row],[SgammaP]])*$A$4*-100</f>
        <v>0</v>
      </c>
      <c r="BF712">
        <f>Table1334[[#This Row],[DEXc]]+Table1334[[#This Row],[DEXp]]</f>
        <v>0</v>
      </c>
      <c r="BG712">
        <f>IFERROR(Table1334[[#This Row],[DeltaC]]*Table1334[[#This Row],[Open.Int]]*$A$4,0)</f>
        <v>0</v>
      </c>
      <c r="BH712">
        <f>IFERROR(Table1334[[#This Row],[DeltaP]]*Table1334[[#This Row],[Open.Int8]]*$A$4,0)</f>
        <v>0</v>
      </c>
      <c r="BI71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2">
        <f ca="1">Table1334[[#This Row],[charmc]]+Table1334[[#This Row],[charmp]]</f>
        <v>0</v>
      </c>
      <c r="BL71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2" s="78">
        <f ca="1">Table1334[[#This Row],[call helper]]+Table1334[[#This Row],[put helper]]</f>
        <v>0</v>
      </c>
      <c r="BP712" t="str">
        <f>RTD("tos.rtd", , "STRIKE", "."&amp;Table1334[[#This Row],[Ticker]]&amp;Table1334[[#This Row],[Expiry]]&amp;""&amp;"C"&amp;Table1334[[#This Row],[Spot]]+Table1334[[#This Row],[step]])</f>
        <v>N/A</v>
      </c>
    </row>
    <row r="713" spans="1:68" x14ac:dyDescent="0.25">
      <c r="A713" s="14">
        <f t="shared" ca="1" si="69"/>
        <v>-126.14810350076104</v>
      </c>
      <c r="C713" s="17"/>
      <c r="D713" t="str">
        <f>RTD("tos.rtd", , "OPEN_INT", "."&amp;Table1334[[#This Row],[Ticker]]&amp;Table1334[[#This Row],[Expiry]]&amp;""&amp;"C"&amp;Table1334[[#This Row],[Spot]]+Table1334[[#This Row],[step]])</f>
        <v>N/A</v>
      </c>
      <c r="E71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3" t="b">
        <f>IF(     ISNUMBER(Table1334[[#This Row],[Strike]]),RTD("tos.rtd", , "DELTA", "."&amp;Table1334[[#This Row],[Ticker]]&amp;Table1334[[#This Row],[Expiry]]&amp;""&amp;"C"&amp;Table1334[[#This Row],[Strike]]))</f>
        <v>0</v>
      </c>
      <c r="H713" s="17" cm="1">
        <f t="array" aca="1" ref="H713" ca="1">IndividualLegIVCore($A$4, Table1334[[#This Row],[Strike]], 0.0411, Table1334[[#This Row],[T]], ((Table1334[[#This Row],[BIDC]]+Table1334[[#This Row],[ASKC]])/2), TRUE)</f>
        <v>0.01</v>
      </c>
      <c r="I713" t="b">
        <f>IF(     ISNUMBER(Table1334[[#This Row],[Strike]]),RTD("tos.rtd", , "BID", "."&amp;Table1334[[#This Row],[Ticker]]&amp;Table1334[[#This Row],[Expiry]]&amp;""&amp;"C"&amp;Table1334[[#This Row],[Strike]]))</f>
        <v>0</v>
      </c>
      <c r="J713" t="b">
        <f>IF(     ISNUMBER(Table1334[[#This Row],[Strike]]),RTD("tos.rtd", , "ASK", "."&amp;Table1334[[#This Row],[Ticker]]&amp;Table1334[[#This Row],[Expiry]]&amp;""&amp;"C"&amp;Table1334[[#This Row],[Strike]]))</f>
        <v>0</v>
      </c>
      <c r="K713" s="17"/>
      <c r="M713" s="1">
        <f t="shared" si="70"/>
        <v>0</v>
      </c>
      <c r="N713" t="b">
        <f t="shared" si="71"/>
        <v>0</v>
      </c>
      <c r="P713" s="17" cm="1">
        <f t="array" aca="1" ref="P713" ca="1">IndividualLegIVCore($A$4, Table1334[[#This Row],[Strike]], 0.0411, Table1334[[#This Row],[T]], ((Table1334[[#This Row],[BIDP]]+Table1334[[#This Row],[ASKP]])/2), FALSE)</f>
        <v>0.01</v>
      </c>
      <c r="Q713" t="b">
        <f>IF(     ISNUMBER(Table1334[[#This Row],[Strike]]),RTD("tos.rtd", , "BID", "."&amp;Table1334[[#This Row],[Ticker]]&amp;Table1334[[#This Row],[Expiry]]&amp;""&amp;"P"&amp;Table1334[[#This Row],[Strike]]))</f>
        <v>0</v>
      </c>
      <c r="R713" t="b">
        <f>IF(     ISNUMBER(Table1334[[#This Row],[Strike]]),RTD("tos.rtd", , "ASK", "."&amp;Table1334[[#This Row],[Ticker]]&amp;Table1334[[#This Row],[Expiry]]&amp;""&amp;"P"&amp;Table1334[[#This Row],[Strike]]))</f>
        <v>0</v>
      </c>
      <c r="S713" s="17"/>
      <c r="T713" t="b">
        <f>IF(     ISNUMBER(Table1334[[#This Row],[Strike]]),RTD("tos.rtd", , "OPEN_INT", "."&amp;Table1334[[#This Row],[Ticker]]&amp;Table1334[[#This Row],[Expiry]]&amp;""&amp;"P"&amp;Table1334[[#This Row],[Strike]]))</f>
        <v>0</v>
      </c>
      <c r="U71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3" t="b">
        <f>IF(     ISNUMBER(Table1334[[#This Row],[Strike]]),RTD("tos.rtd", , "DELTA", "."&amp;Table1334[[#This Row],[Ticker]]&amp;Table1334[[#This Row],[Expiry]]&amp;""&amp;"P"&amp;Table1334[[#This Row],[Strike]]))</f>
        <v>0</v>
      </c>
      <c r="Y713" s="19">
        <f>-3* IF($M$1="NDX", 10, IF(OR($M$1="SPX", $M$1="RUT"), 2, 1))</f>
        <v>-6</v>
      </c>
      <c r="Z713">
        <f ca="1">IFERROR(Table1334[[#This Row],[call gamma]]*(Table1334[[#This Row],[Open.Int]])*$A$4^2,0)</f>
        <v>0</v>
      </c>
      <c r="AA713">
        <f ca="1">IFERROR(((Table1334[[#This Row],[Open.Int8]])*Table1334[[#This Row],[Put gamma]])*-1*$A$4^2,0)</f>
        <v>0</v>
      </c>
      <c r="AB713">
        <f ca="1">(Table1334[[#This Row],[Call Gex]]+Table1334[[#This Row],[Put Gex]])</f>
        <v>0</v>
      </c>
      <c r="AC713">
        <f ca="1">Table1334[[#This Row],[put delta adj]]+Table1334[[#This Row],[call delta adj]]</f>
        <v>0</v>
      </c>
      <c r="AD713">
        <f ca="1">Table1334[[#This Row],[Put Gex]]*Table1334[[#This Row],[DeltaP]]*-1</f>
        <v>0</v>
      </c>
      <c r="AE713">
        <f ca="1">Table1334[[#This Row],[Call Gex]]*Table1334[[#This Row],[DeltaC]]</f>
        <v>0</v>
      </c>
      <c r="AF713">
        <f>IF(Table1334[[#This Row],[DeltaC]]-ABS(Table1334[[#This Row],[DeltaP]])="0","0.01",Table1334[[#This Row],[DeltaC]]-ABS(Table1334[[#This Row],[DeltaP]]))</f>
        <v>0</v>
      </c>
      <c r="AG71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3" t="e">
        <f ca="1">(EXP(-(AG713^2)/2)/SQRT(2*PI())*EXP(0*SQRT(Table1334[[#This Row],[T]]))/$A$4*18%*SQRT(SQRT(Table1334[[#This Row],[T]])))</f>
        <v>#DIV/0!</v>
      </c>
      <c r="AJ713" t="e">
        <f ca="1">(EXP(-(AH713^2)/2)/SQRT(2*PI())*EXP(0*SQRT(Table1334[[#This Row],[T]]))/$A$4*18%*SQRT(SQRT(Table1334[[#This Row],[T]])))</f>
        <v>#DIV/0!</v>
      </c>
      <c r="AK713" t="e">
        <f ca="1">Table1334[[#This Row],[Call D1]]-Table1334[[#This Row],[IV Calc C]]*SQRT(Table1334[[#This Row],[T]])</f>
        <v>#DIV/0!</v>
      </c>
      <c r="AL713" t="e">
        <f ca="1">Table1334[[#This Row],[Put D1]]-Table1334[[#This Row],[IV Calc P]]*SQRT(Table1334[[#This Row],[T]])</f>
        <v>#DIV/0!</v>
      </c>
      <c r="AM713" t="e">
        <f ca="1">EXP(-0.5*Table1334[[#This Row],[Call D1]]^2)/SQRT(2*PI())</f>
        <v>#DIV/0!</v>
      </c>
      <c r="AN713" t="e">
        <f ca="1">EXP(-0.5*Table1334[[#This Row],[Put D1]]^2)/SQRT(2*PI())</f>
        <v>#DIV/0!</v>
      </c>
      <c r="AO71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3">
        <f ca="1">((Table1334[[#This Row],[call vanna]]+Table1334[[#This Row],[put vanna]])*$A$4)</f>
        <v>0</v>
      </c>
      <c r="AR71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3" s="9" t="str" cm="1">
        <f t="array" ref="AT713">_xlfn.IFS(     $M$1="SPX","SPXW",     $M$1="RUT","RUTW",  $M$1="NDX","NDXP",   TRUE,$M$1 )</f>
        <v>SPXW</v>
      </c>
      <c r="AU713" s="2">
        <f t="shared" si="72"/>
        <v>6915</v>
      </c>
      <c r="AV713" t="str">
        <f t="shared" si="73"/>
        <v>000100</v>
      </c>
      <c r="AY71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3">
        <f>((Table1334[[#This Row],[High C]]+Table1334[[#This Row],[Low C]])/2)*Table1334[[#This Row],[gammac]]*Table1334[[#This Row],[Volume]]</f>
        <v>0</v>
      </c>
      <c r="BD713">
        <f>((Table1334[[#This Row],[High P]]+Table1334[[#This Row],[Low P]])/2)*Table1334[[#This Row],[gammap]]*Table1334[[#This Row],[Volume9]]*-1</f>
        <v>0</v>
      </c>
      <c r="BE713">
        <f>(Table1334[[#This Row],[SgammaC]]+Table1334[[#This Row],[SgammaP]])*$A$4*-100</f>
        <v>0</v>
      </c>
      <c r="BF713">
        <f>Table1334[[#This Row],[DEXc]]+Table1334[[#This Row],[DEXp]]</f>
        <v>0</v>
      </c>
      <c r="BG713">
        <f>IFERROR(Table1334[[#This Row],[DeltaC]]*Table1334[[#This Row],[Open.Int]]*$A$4,0)</f>
        <v>0</v>
      </c>
      <c r="BH713">
        <f>IFERROR(Table1334[[#This Row],[DeltaP]]*Table1334[[#This Row],[Open.Int8]]*$A$4,0)</f>
        <v>0</v>
      </c>
      <c r="BI71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3">
        <f ca="1">Table1334[[#This Row],[charmc]]+Table1334[[#This Row],[charmp]]</f>
        <v>0</v>
      </c>
      <c r="BL71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3" s="78">
        <f ca="1">Table1334[[#This Row],[call helper]]+Table1334[[#This Row],[put helper]]</f>
        <v>0</v>
      </c>
      <c r="BP713" t="str">
        <f>RTD("tos.rtd", , "STRIKE", "."&amp;Table1334[[#This Row],[Ticker]]&amp;Table1334[[#This Row],[Expiry]]&amp;""&amp;"C"&amp;Table1334[[#This Row],[Spot]]+Table1334[[#This Row],[step]])</f>
        <v>N/A</v>
      </c>
    </row>
    <row r="714" spans="1:68" x14ac:dyDescent="0.25">
      <c r="A714" s="14">
        <f t="shared" ca="1" si="69"/>
        <v>-126.14810350076104</v>
      </c>
      <c r="C714" s="17"/>
      <c r="D714" t="str">
        <f>RTD("tos.rtd", , "OPEN_INT", "."&amp;Table1334[[#This Row],[Ticker]]&amp;Table1334[[#This Row],[Expiry]]&amp;""&amp;"C"&amp;Table1334[[#This Row],[Spot]]+Table1334[[#This Row],[step]])</f>
        <v>N/A</v>
      </c>
      <c r="E71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4" t="b">
        <f>IF(     ISNUMBER(Table1334[[#This Row],[Strike]]),RTD("tos.rtd", , "DELTA", "."&amp;Table1334[[#This Row],[Ticker]]&amp;Table1334[[#This Row],[Expiry]]&amp;""&amp;"C"&amp;Table1334[[#This Row],[Strike]]))</f>
        <v>0</v>
      </c>
      <c r="H714" s="17" cm="1">
        <f t="array" aca="1" ref="H714" ca="1">IndividualLegIVCore($A$4, Table1334[[#This Row],[Strike]], 0.0411, Table1334[[#This Row],[T]], ((Table1334[[#This Row],[BIDC]]+Table1334[[#This Row],[ASKC]])/2), TRUE)</f>
        <v>0.01</v>
      </c>
      <c r="I714" t="b">
        <f>IF(     ISNUMBER(Table1334[[#This Row],[Strike]]),RTD("tos.rtd", , "BID", "."&amp;Table1334[[#This Row],[Ticker]]&amp;Table1334[[#This Row],[Expiry]]&amp;""&amp;"C"&amp;Table1334[[#This Row],[Strike]]))</f>
        <v>0</v>
      </c>
      <c r="J714" t="b">
        <f>IF(     ISNUMBER(Table1334[[#This Row],[Strike]]),RTD("tos.rtd", , "ASK", "."&amp;Table1334[[#This Row],[Ticker]]&amp;Table1334[[#This Row],[Expiry]]&amp;""&amp;"C"&amp;Table1334[[#This Row],[Strike]]))</f>
        <v>0</v>
      </c>
      <c r="K714" s="17"/>
      <c r="M714" s="1">
        <f t="shared" si="70"/>
        <v>0</v>
      </c>
      <c r="N714" t="b">
        <f t="shared" si="71"/>
        <v>0</v>
      </c>
      <c r="P714" s="17" cm="1">
        <f t="array" aca="1" ref="P714" ca="1">IndividualLegIVCore($A$4, Table1334[[#This Row],[Strike]], 0.0411, Table1334[[#This Row],[T]], ((Table1334[[#This Row],[BIDP]]+Table1334[[#This Row],[ASKP]])/2), FALSE)</f>
        <v>0.01</v>
      </c>
      <c r="Q714" t="b">
        <f>IF(     ISNUMBER(Table1334[[#This Row],[Strike]]),RTD("tos.rtd", , "BID", "."&amp;Table1334[[#This Row],[Ticker]]&amp;Table1334[[#This Row],[Expiry]]&amp;""&amp;"P"&amp;Table1334[[#This Row],[Strike]]))</f>
        <v>0</v>
      </c>
      <c r="R714" t="b">
        <f>IF(     ISNUMBER(Table1334[[#This Row],[Strike]]),RTD("tos.rtd", , "ASK", "."&amp;Table1334[[#This Row],[Ticker]]&amp;Table1334[[#This Row],[Expiry]]&amp;""&amp;"P"&amp;Table1334[[#This Row],[Strike]]))</f>
        <v>0</v>
      </c>
      <c r="S714" s="17"/>
      <c r="T714" t="b">
        <f>IF(     ISNUMBER(Table1334[[#This Row],[Strike]]),RTD("tos.rtd", , "OPEN_INT", "."&amp;Table1334[[#This Row],[Ticker]]&amp;Table1334[[#This Row],[Expiry]]&amp;""&amp;"P"&amp;Table1334[[#This Row],[Strike]]))</f>
        <v>0</v>
      </c>
      <c r="U71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4" t="b">
        <f>IF(     ISNUMBER(Table1334[[#This Row],[Strike]]),RTD("tos.rtd", , "DELTA", "."&amp;Table1334[[#This Row],[Ticker]]&amp;Table1334[[#This Row],[Expiry]]&amp;""&amp;"P"&amp;Table1334[[#This Row],[Strike]]))</f>
        <v>0</v>
      </c>
      <c r="Y714" s="19">
        <f>-2.5* IF($M$1="NDX", 10, IF(OR($M$1="SPX", $M$1="RUT"), 2, 1))</f>
        <v>-5</v>
      </c>
      <c r="Z714">
        <f ca="1">IFERROR(Table1334[[#This Row],[call gamma]]*(Table1334[[#This Row],[Open.Int]])*$A$4^2,0)</f>
        <v>0</v>
      </c>
      <c r="AA714">
        <f ca="1">IFERROR(((Table1334[[#This Row],[Open.Int8]])*Table1334[[#This Row],[Put gamma]])*-1*$A$4^2,0)</f>
        <v>0</v>
      </c>
      <c r="AB714">
        <f ca="1">(Table1334[[#This Row],[Call Gex]]+Table1334[[#This Row],[Put Gex]])</f>
        <v>0</v>
      </c>
      <c r="AC714">
        <f ca="1">Table1334[[#This Row],[put delta adj]]+Table1334[[#This Row],[call delta adj]]</f>
        <v>0</v>
      </c>
      <c r="AD714">
        <f ca="1">Table1334[[#This Row],[Put Gex]]*Table1334[[#This Row],[DeltaP]]*-1</f>
        <v>0</v>
      </c>
      <c r="AE714">
        <f ca="1">Table1334[[#This Row],[Call Gex]]*Table1334[[#This Row],[DeltaC]]</f>
        <v>0</v>
      </c>
      <c r="AF714">
        <f>IF(Table1334[[#This Row],[DeltaC]]-ABS(Table1334[[#This Row],[DeltaP]])="0","0.01",Table1334[[#This Row],[DeltaC]]-ABS(Table1334[[#This Row],[DeltaP]]))</f>
        <v>0</v>
      </c>
      <c r="AG71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4" t="e">
        <f ca="1">(EXP(-(AG714^2)/2)/SQRT(2*PI())*EXP(0*SQRT(Table1334[[#This Row],[T]]))/$A$4*18%*SQRT(SQRT(Table1334[[#This Row],[T]])))</f>
        <v>#DIV/0!</v>
      </c>
      <c r="AJ714" t="e">
        <f ca="1">(EXP(-(AH714^2)/2)/SQRT(2*PI())*EXP(0*SQRT(Table1334[[#This Row],[T]]))/$A$4*18%*SQRT(SQRT(Table1334[[#This Row],[T]])))</f>
        <v>#DIV/0!</v>
      </c>
      <c r="AK714" t="e">
        <f ca="1">Table1334[[#This Row],[Call D1]]-Table1334[[#This Row],[IV Calc C]]*SQRT(Table1334[[#This Row],[T]])</f>
        <v>#DIV/0!</v>
      </c>
      <c r="AL714" t="e">
        <f ca="1">Table1334[[#This Row],[Put D1]]-Table1334[[#This Row],[IV Calc P]]*SQRT(Table1334[[#This Row],[T]])</f>
        <v>#DIV/0!</v>
      </c>
      <c r="AM714" t="e">
        <f ca="1">EXP(-0.5*Table1334[[#This Row],[Call D1]]^2)/SQRT(2*PI())</f>
        <v>#DIV/0!</v>
      </c>
      <c r="AN714" t="e">
        <f ca="1">EXP(-0.5*Table1334[[#This Row],[Put D1]]^2)/SQRT(2*PI())</f>
        <v>#DIV/0!</v>
      </c>
      <c r="AO71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4">
        <f ca="1">((Table1334[[#This Row],[call vanna]]+Table1334[[#This Row],[put vanna]])*$A$4)</f>
        <v>0</v>
      </c>
      <c r="AR71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4" s="9" t="str" cm="1">
        <f t="array" ref="AT714">_xlfn.IFS(     $M$1="SPX","SPXW",     $M$1="RUT","RUTW",  $M$1="NDX","NDXP",   TRUE,$M$1 )</f>
        <v>SPXW</v>
      </c>
      <c r="AU714" s="2">
        <f t="shared" si="72"/>
        <v>6915</v>
      </c>
      <c r="AV714" t="str">
        <f t="shared" si="73"/>
        <v>000100</v>
      </c>
      <c r="AY71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4">
        <f>((Table1334[[#This Row],[High C]]+Table1334[[#This Row],[Low C]])/2)*Table1334[[#This Row],[gammac]]*Table1334[[#This Row],[Volume]]</f>
        <v>0</v>
      </c>
      <c r="BD714">
        <f>((Table1334[[#This Row],[High P]]+Table1334[[#This Row],[Low P]])/2)*Table1334[[#This Row],[gammap]]*Table1334[[#This Row],[Volume9]]*-1</f>
        <v>0</v>
      </c>
      <c r="BE714">
        <f>(Table1334[[#This Row],[SgammaC]]+Table1334[[#This Row],[SgammaP]])*$A$4*-100</f>
        <v>0</v>
      </c>
      <c r="BF714">
        <f>Table1334[[#This Row],[DEXc]]+Table1334[[#This Row],[DEXp]]</f>
        <v>0</v>
      </c>
      <c r="BG714">
        <f>IFERROR(Table1334[[#This Row],[DeltaC]]*Table1334[[#This Row],[Open.Int]]*$A$4,0)</f>
        <v>0</v>
      </c>
      <c r="BH714">
        <f>IFERROR(Table1334[[#This Row],[DeltaP]]*Table1334[[#This Row],[Open.Int8]]*$A$4,0)</f>
        <v>0</v>
      </c>
      <c r="BI71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4">
        <f ca="1">Table1334[[#This Row],[charmc]]+Table1334[[#This Row],[charmp]]</f>
        <v>0</v>
      </c>
      <c r="BL71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4" s="78">
        <f ca="1">Table1334[[#This Row],[call helper]]+Table1334[[#This Row],[put helper]]</f>
        <v>0</v>
      </c>
      <c r="BP714" t="str">
        <f>RTD("tos.rtd", , "STRIKE", "."&amp;Table1334[[#This Row],[Ticker]]&amp;Table1334[[#This Row],[Expiry]]&amp;""&amp;"C"&amp;Table1334[[#This Row],[Spot]]+Table1334[[#This Row],[step]])</f>
        <v>N/A</v>
      </c>
    </row>
    <row r="715" spans="1:68" x14ac:dyDescent="0.25">
      <c r="A715" s="14">
        <f t="shared" ca="1" si="69"/>
        <v>-126.14810350076104</v>
      </c>
      <c r="C715" s="17"/>
      <c r="D715" t="str">
        <f>RTD("tos.rtd", , "OPEN_INT", "."&amp;Table1334[[#This Row],[Ticker]]&amp;Table1334[[#This Row],[Expiry]]&amp;""&amp;"C"&amp;Table1334[[#This Row],[Spot]]+Table1334[[#This Row],[step]])</f>
        <v>N/A</v>
      </c>
      <c r="E71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5" t="b">
        <f>IF(     ISNUMBER(Table1334[[#This Row],[Strike]]),RTD("tos.rtd", , "DELTA", "."&amp;Table1334[[#This Row],[Ticker]]&amp;Table1334[[#This Row],[Expiry]]&amp;""&amp;"C"&amp;Table1334[[#This Row],[Strike]]))</f>
        <v>0</v>
      </c>
      <c r="H715" s="17" cm="1">
        <f t="array" aca="1" ref="H715" ca="1">IndividualLegIVCore($A$4, Table1334[[#This Row],[Strike]], 0.0411, Table1334[[#This Row],[T]], ((Table1334[[#This Row],[BIDC]]+Table1334[[#This Row],[ASKC]])/2), TRUE)</f>
        <v>0.01</v>
      </c>
      <c r="I715" t="b">
        <f>IF(     ISNUMBER(Table1334[[#This Row],[Strike]]),RTD("tos.rtd", , "BID", "."&amp;Table1334[[#This Row],[Ticker]]&amp;Table1334[[#This Row],[Expiry]]&amp;""&amp;"C"&amp;Table1334[[#This Row],[Strike]]))</f>
        <v>0</v>
      </c>
      <c r="J715" t="b">
        <f>IF(     ISNUMBER(Table1334[[#This Row],[Strike]]),RTD("tos.rtd", , "ASK", "."&amp;Table1334[[#This Row],[Ticker]]&amp;Table1334[[#This Row],[Expiry]]&amp;""&amp;"C"&amp;Table1334[[#This Row],[Strike]]))</f>
        <v>0</v>
      </c>
      <c r="K715" s="17"/>
      <c r="M715" s="1">
        <f t="shared" si="70"/>
        <v>0</v>
      </c>
      <c r="N715" t="b">
        <f t="shared" si="71"/>
        <v>0</v>
      </c>
      <c r="P715" s="17" cm="1">
        <f t="array" aca="1" ref="P715" ca="1">IndividualLegIVCore($A$4, Table1334[[#This Row],[Strike]], 0.0411, Table1334[[#This Row],[T]], ((Table1334[[#This Row],[BIDP]]+Table1334[[#This Row],[ASKP]])/2), FALSE)</f>
        <v>0.01</v>
      </c>
      <c r="Q715" t="b">
        <f>IF(     ISNUMBER(Table1334[[#This Row],[Strike]]),RTD("tos.rtd", , "BID", "."&amp;Table1334[[#This Row],[Ticker]]&amp;Table1334[[#This Row],[Expiry]]&amp;""&amp;"P"&amp;Table1334[[#This Row],[Strike]]))</f>
        <v>0</v>
      </c>
      <c r="R715" t="b">
        <f>IF(     ISNUMBER(Table1334[[#This Row],[Strike]]),RTD("tos.rtd", , "ASK", "."&amp;Table1334[[#This Row],[Ticker]]&amp;Table1334[[#This Row],[Expiry]]&amp;""&amp;"P"&amp;Table1334[[#This Row],[Strike]]))</f>
        <v>0</v>
      </c>
      <c r="S715" s="17"/>
      <c r="T715" t="b">
        <f>IF(     ISNUMBER(Table1334[[#This Row],[Strike]]),RTD("tos.rtd", , "OPEN_INT", "."&amp;Table1334[[#This Row],[Ticker]]&amp;Table1334[[#This Row],[Expiry]]&amp;""&amp;"P"&amp;Table1334[[#This Row],[Strike]]))</f>
        <v>0</v>
      </c>
      <c r="U71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5" t="b">
        <f>IF(     ISNUMBER(Table1334[[#This Row],[Strike]]),RTD("tos.rtd", , "DELTA", "."&amp;Table1334[[#This Row],[Ticker]]&amp;Table1334[[#This Row],[Expiry]]&amp;""&amp;"P"&amp;Table1334[[#This Row],[Strike]]))</f>
        <v>0</v>
      </c>
      <c r="Y715" s="19">
        <f>-2* IF($M$1="NDX", 10, IF(OR($M$1="SPX", $M$1="RUT"), 2, 1))</f>
        <v>-4</v>
      </c>
      <c r="Z715">
        <f ca="1">IFERROR(Table1334[[#This Row],[call gamma]]*(Table1334[[#This Row],[Open.Int]])*$A$4^2,0)</f>
        <v>0</v>
      </c>
      <c r="AA715">
        <f ca="1">IFERROR(((Table1334[[#This Row],[Open.Int8]])*Table1334[[#This Row],[Put gamma]])*-1*$A$4^2,0)</f>
        <v>0</v>
      </c>
      <c r="AB715">
        <f ca="1">(Table1334[[#This Row],[Call Gex]]+Table1334[[#This Row],[Put Gex]])</f>
        <v>0</v>
      </c>
      <c r="AC715">
        <f ca="1">Table1334[[#This Row],[put delta adj]]+Table1334[[#This Row],[call delta adj]]</f>
        <v>0</v>
      </c>
      <c r="AD715">
        <f ca="1">Table1334[[#This Row],[Put Gex]]*Table1334[[#This Row],[DeltaP]]*-1</f>
        <v>0</v>
      </c>
      <c r="AE715">
        <f ca="1">Table1334[[#This Row],[Call Gex]]*Table1334[[#This Row],[DeltaC]]</f>
        <v>0</v>
      </c>
      <c r="AF715">
        <f>IF(Table1334[[#This Row],[DeltaC]]-ABS(Table1334[[#This Row],[DeltaP]])="0","0.01",Table1334[[#This Row],[DeltaC]]-ABS(Table1334[[#This Row],[DeltaP]]))</f>
        <v>0</v>
      </c>
      <c r="AG71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5" t="e">
        <f ca="1">(EXP(-(AG715^2)/2)/SQRT(2*PI())*EXP(0*SQRT(Table1334[[#This Row],[T]]))/$A$4*18%*SQRT(SQRT(Table1334[[#This Row],[T]])))</f>
        <v>#DIV/0!</v>
      </c>
      <c r="AJ715" t="e">
        <f ca="1">(EXP(-(AH715^2)/2)/SQRT(2*PI())*EXP(0*SQRT(Table1334[[#This Row],[T]]))/$A$4*18%*SQRT(SQRT(Table1334[[#This Row],[T]])))</f>
        <v>#DIV/0!</v>
      </c>
      <c r="AK715" t="e">
        <f ca="1">Table1334[[#This Row],[Call D1]]-Table1334[[#This Row],[IV Calc C]]*SQRT(Table1334[[#This Row],[T]])</f>
        <v>#DIV/0!</v>
      </c>
      <c r="AL715" t="e">
        <f ca="1">Table1334[[#This Row],[Put D1]]-Table1334[[#This Row],[IV Calc P]]*SQRT(Table1334[[#This Row],[T]])</f>
        <v>#DIV/0!</v>
      </c>
      <c r="AM715" t="e">
        <f ca="1">EXP(-0.5*Table1334[[#This Row],[Call D1]]^2)/SQRT(2*PI())</f>
        <v>#DIV/0!</v>
      </c>
      <c r="AN715" t="e">
        <f ca="1">EXP(-0.5*Table1334[[#This Row],[Put D1]]^2)/SQRT(2*PI())</f>
        <v>#DIV/0!</v>
      </c>
      <c r="AO71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5">
        <f ca="1">((Table1334[[#This Row],[call vanna]]+Table1334[[#This Row],[put vanna]])*$A$4)</f>
        <v>0</v>
      </c>
      <c r="AR71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5" s="9" t="str" cm="1">
        <f t="array" ref="AT715">_xlfn.IFS(     $M$1="SPX","SPXW",     $M$1="RUT","RUTW",  $M$1="NDX","NDXP",   TRUE,$M$1 )</f>
        <v>SPXW</v>
      </c>
      <c r="AU715" s="2">
        <f t="shared" si="72"/>
        <v>6915</v>
      </c>
      <c r="AV715" t="str">
        <f t="shared" si="73"/>
        <v>000100</v>
      </c>
      <c r="AY71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5">
        <f>((Table1334[[#This Row],[High C]]+Table1334[[#This Row],[Low C]])/2)*Table1334[[#This Row],[gammac]]*Table1334[[#This Row],[Volume]]</f>
        <v>0</v>
      </c>
      <c r="BD715">
        <f>((Table1334[[#This Row],[High P]]+Table1334[[#This Row],[Low P]])/2)*Table1334[[#This Row],[gammap]]*Table1334[[#This Row],[Volume9]]*-1</f>
        <v>0</v>
      </c>
      <c r="BE715">
        <f>(Table1334[[#This Row],[SgammaC]]+Table1334[[#This Row],[SgammaP]])*$A$4*-100</f>
        <v>0</v>
      </c>
      <c r="BF715">
        <f>Table1334[[#This Row],[DEXc]]+Table1334[[#This Row],[DEXp]]</f>
        <v>0</v>
      </c>
      <c r="BG715">
        <f>IFERROR(Table1334[[#This Row],[DeltaC]]*Table1334[[#This Row],[Open.Int]]*$A$4,0)</f>
        <v>0</v>
      </c>
      <c r="BH715">
        <f>IFERROR(Table1334[[#This Row],[DeltaP]]*Table1334[[#This Row],[Open.Int8]]*$A$4,0)</f>
        <v>0</v>
      </c>
      <c r="BI71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5">
        <f ca="1">Table1334[[#This Row],[charmc]]+Table1334[[#This Row],[charmp]]</f>
        <v>0</v>
      </c>
      <c r="BL71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5" s="78">
        <f ca="1">Table1334[[#This Row],[call helper]]+Table1334[[#This Row],[put helper]]</f>
        <v>0</v>
      </c>
      <c r="BP715" t="str">
        <f>RTD("tos.rtd", , "STRIKE", "."&amp;Table1334[[#This Row],[Ticker]]&amp;Table1334[[#This Row],[Expiry]]&amp;""&amp;"C"&amp;Table1334[[#This Row],[Spot]]+Table1334[[#This Row],[step]])</f>
        <v>N/A</v>
      </c>
    </row>
    <row r="716" spans="1:68" x14ac:dyDescent="0.25">
      <c r="A716" s="14">
        <f t="shared" ca="1" si="69"/>
        <v>-126.14810350076104</v>
      </c>
      <c r="C716" s="17"/>
      <c r="D716" t="str">
        <f>RTD("tos.rtd", , "OPEN_INT", "."&amp;Table1334[[#This Row],[Ticker]]&amp;Table1334[[#This Row],[Expiry]]&amp;""&amp;"C"&amp;Table1334[[#This Row],[Spot]]+Table1334[[#This Row],[step]])</f>
        <v>N/A</v>
      </c>
      <c r="E71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6" t="b">
        <f>IF(     ISNUMBER(Table1334[[#This Row],[Strike]]),RTD("tos.rtd", , "DELTA", "."&amp;Table1334[[#This Row],[Ticker]]&amp;Table1334[[#This Row],[Expiry]]&amp;""&amp;"C"&amp;Table1334[[#This Row],[Strike]]))</f>
        <v>0</v>
      </c>
      <c r="H716" s="17" cm="1">
        <f t="array" aca="1" ref="H716" ca="1">IndividualLegIVCore($A$4, Table1334[[#This Row],[Strike]], 0.0411, Table1334[[#This Row],[T]], ((Table1334[[#This Row],[BIDC]]+Table1334[[#This Row],[ASKC]])/2), TRUE)</f>
        <v>0.01</v>
      </c>
      <c r="I716" t="b">
        <f>IF(     ISNUMBER(Table1334[[#This Row],[Strike]]),RTD("tos.rtd", , "BID", "."&amp;Table1334[[#This Row],[Ticker]]&amp;Table1334[[#This Row],[Expiry]]&amp;""&amp;"C"&amp;Table1334[[#This Row],[Strike]]))</f>
        <v>0</v>
      </c>
      <c r="J716" t="b">
        <f>IF(     ISNUMBER(Table1334[[#This Row],[Strike]]),RTD("tos.rtd", , "ASK", "."&amp;Table1334[[#This Row],[Ticker]]&amp;Table1334[[#This Row],[Expiry]]&amp;""&amp;"C"&amp;Table1334[[#This Row],[Strike]]))</f>
        <v>0</v>
      </c>
      <c r="K716" s="17"/>
      <c r="M716" s="1">
        <f t="shared" si="70"/>
        <v>0</v>
      </c>
      <c r="N716" t="b">
        <f t="shared" si="71"/>
        <v>0</v>
      </c>
      <c r="P716" s="17" cm="1">
        <f t="array" aca="1" ref="P716" ca="1">IndividualLegIVCore($A$4, Table1334[[#This Row],[Strike]], 0.0411, Table1334[[#This Row],[T]], ((Table1334[[#This Row],[BIDP]]+Table1334[[#This Row],[ASKP]])/2), FALSE)</f>
        <v>0.01</v>
      </c>
      <c r="Q716" t="b">
        <f>IF(     ISNUMBER(Table1334[[#This Row],[Strike]]),RTD("tos.rtd", , "BID", "."&amp;Table1334[[#This Row],[Ticker]]&amp;Table1334[[#This Row],[Expiry]]&amp;""&amp;"P"&amp;Table1334[[#This Row],[Strike]]))</f>
        <v>0</v>
      </c>
      <c r="R716" t="b">
        <f>IF(     ISNUMBER(Table1334[[#This Row],[Strike]]),RTD("tos.rtd", , "ASK", "."&amp;Table1334[[#This Row],[Ticker]]&amp;Table1334[[#This Row],[Expiry]]&amp;""&amp;"P"&amp;Table1334[[#This Row],[Strike]]))</f>
        <v>0</v>
      </c>
      <c r="S716" s="17"/>
      <c r="T716" t="b">
        <f>IF(     ISNUMBER(Table1334[[#This Row],[Strike]]),RTD("tos.rtd", , "OPEN_INT", "."&amp;Table1334[[#This Row],[Ticker]]&amp;Table1334[[#This Row],[Expiry]]&amp;""&amp;"P"&amp;Table1334[[#This Row],[Strike]]))</f>
        <v>0</v>
      </c>
      <c r="U71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6" t="b">
        <f>IF(     ISNUMBER(Table1334[[#This Row],[Strike]]),RTD("tos.rtd", , "DELTA", "."&amp;Table1334[[#This Row],[Ticker]]&amp;Table1334[[#This Row],[Expiry]]&amp;""&amp;"P"&amp;Table1334[[#This Row],[Strike]]))</f>
        <v>0</v>
      </c>
      <c r="Y716" s="19">
        <f>-1.5* IF($M$1="NDX", 10, IF(OR($M$1="SPX", $M$1="RUT"), 2, 1))</f>
        <v>-3</v>
      </c>
      <c r="Z716">
        <f ca="1">IFERROR(Table1334[[#This Row],[call gamma]]*(Table1334[[#This Row],[Open.Int]])*$A$4^2,0)</f>
        <v>0</v>
      </c>
      <c r="AA716">
        <f ca="1">IFERROR(((Table1334[[#This Row],[Open.Int8]])*Table1334[[#This Row],[Put gamma]])*-1*$A$4^2,0)</f>
        <v>0</v>
      </c>
      <c r="AB716">
        <f ca="1">(Table1334[[#This Row],[Call Gex]]+Table1334[[#This Row],[Put Gex]])</f>
        <v>0</v>
      </c>
      <c r="AC716">
        <f ca="1">Table1334[[#This Row],[put delta adj]]+Table1334[[#This Row],[call delta adj]]</f>
        <v>0</v>
      </c>
      <c r="AD716">
        <f ca="1">Table1334[[#This Row],[Put Gex]]*Table1334[[#This Row],[DeltaP]]*-1</f>
        <v>0</v>
      </c>
      <c r="AE716">
        <f ca="1">Table1334[[#This Row],[Call Gex]]*Table1334[[#This Row],[DeltaC]]</f>
        <v>0</v>
      </c>
      <c r="AF716">
        <f>IF(Table1334[[#This Row],[DeltaC]]-ABS(Table1334[[#This Row],[DeltaP]])="0","0.01",Table1334[[#This Row],[DeltaC]]-ABS(Table1334[[#This Row],[DeltaP]]))</f>
        <v>0</v>
      </c>
      <c r="AG71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6" t="e">
        <f ca="1">(EXP(-(AG716^2)/2)/SQRT(2*PI())*EXP(0*SQRT(Table1334[[#This Row],[T]]))/$A$4*18%*SQRT(SQRT(Table1334[[#This Row],[T]])))</f>
        <v>#DIV/0!</v>
      </c>
      <c r="AJ716" t="e">
        <f ca="1">(EXP(-(AH716^2)/2)/SQRT(2*PI())*EXP(0*SQRT(Table1334[[#This Row],[T]]))/$A$4*18%*SQRT(SQRT(Table1334[[#This Row],[T]])))</f>
        <v>#DIV/0!</v>
      </c>
      <c r="AK716" t="e">
        <f ca="1">Table1334[[#This Row],[Call D1]]-Table1334[[#This Row],[IV Calc C]]*SQRT(Table1334[[#This Row],[T]])</f>
        <v>#DIV/0!</v>
      </c>
      <c r="AL716" t="e">
        <f ca="1">Table1334[[#This Row],[Put D1]]-Table1334[[#This Row],[IV Calc P]]*SQRT(Table1334[[#This Row],[T]])</f>
        <v>#DIV/0!</v>
      </c>
      <c r="AM716" t="e">
        <f ca="1">EXP(-0.5*Table1334[[#This Row],[Call D1]]^2)/SQRT(2*PI())</f>
        <v>#DIV/0!</v>
      </c>
      <c r="AN716" t="e">
        <f ca="1">EXP(-0.5*Table1334[[#This Row],[Put D1]]^2)/SQRT(2*PI())</f>
        <v>#DIV/0!</v>
      </c>
      <c r="AO71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6">
        <f ca="1">((Table1334[[#This Row],[call vanna]]+Table1334[[#This Row],[put vanna]])*$A$4)</f>
        <v>0</v>
      </c>
      <c r="AR71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6" s="9" t="str" cm="1">
        <f t="array" ref="AT716">_xlfn.IFS(     $M$1="SPX","SPXW",     $M$1="RUT","RUTW",  $M$1="NDX","NDXP",   TRUE,$M$1 )</f>
        <v>SPXW</v>
      </c>
      <c r="AU716" s="2">
        <f t="shared" si="72"/>
        <v>6915</v>
      </c>
      <c r="AV716" t="str">
        <f t="shared" si="73"/>
        <v>000100</v>
      </c>
      <c r="AY71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6">
        <f>((Table1334[[#This Row],[High C]]+Table1334[[#This Row],[Low C]])/2)*Table1334[[#This Row],[gammac]]*Table1334[[#This Row],[Volume]]</f>
        <v>0</v>
      </c>
      <c r="BD716">
        <f>((Table1334[[#This Row],[High P]]+Table1334[[#This Row],[Low P]])/2)*Table1334[[#This Row],[gammap]]*Table1334[[#This Row],[Volume9]]*-1</f>
        <v>0</v>
      </c>
      <c r="BE716">
        <f>(Table1334[[#This Row],[SgammaC]]+Table1334[[#This Row],[SgammaP]])*$A$4*-100</f>
        <v>0</v>
      </c>
      <c r="BF716">
        <f>Table1334[[#This Row],[DEXc]]+Table1334[[#This Row],[DEXp]]</f>
        <v>0</v>
      </c>
      <c r="BG716">
        <f>IFERROR(Table1334[[#This Row],[DeltaC]]*Table1334[[#This Row],[Open.Int]]*$A$4,0)</f>
        <v>0</v>
      </c>
      <c r="BH716">
        <f>IFERROR(Table1334[[#This Row],[DeltaP]]*Table1334[[#This Row],[Open.Int8]]*$A$4,0)</f>
        <v>0</v>
      </c>
      <c r="BI71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6">
        <f ca="1">Table1334[[#This Row],[charmc]]+Table1334[[#This Row],[charmp]]</f>
        <v>0</v>
      </c>
      <c r="BL71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6" s="78">
        <f ca="1">Table1334[[#This Row],[call helper]]+Table1334[[#This Row],[put helper]]</f>
        <v>0</v>
      </c>
      <c r="BP716" t="str">
        <f>RTD("tos.rtd", , "STRIKE", "."&amp;Table1334[[#This Row],[Ticker]]&amp;Table1334[[#This Row],[Expiry]]&amp;""&amp;"C"&amp;Table1334[[#This Row],[Spot]]+Table1334[[#This Row],[step]])</f>
        <v>N/A</v>
      </c>
    </row>
    <row r="717" spans="1:68" x14ac:dyDescent="0.25">
      <c r="A717" s="14">
        <f t="shared" ca="1" si="69"/>
        <v>-126.14810350076104</v>
      </c>
      <c r="C717" s="17"/>
      <c r="D717" t="str">
        <f>RTD("tos.rtd", , "OPEN_INT", "."&amp;Table1334[[#This Row],[Ticker]]&amp;Table1334[[#This Row],[Expiry]]&amp;""&amp;"C"&amp;Table1334[[#This Row],[Spot]]+Table1334[[#This Row],[step]])</f>
        <v>N/A</v>
      </c>
      <c r="E71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7" t="b">
        <f>IF(     ISNUMBER(Table1334[[#This Row],[Strike]]),RTD("tos.rtd", , "DELTA", "."&amp;Table1334[[#This Row],[Ticker]]&amp;Table1334[[#This Row],[Expiry]]&amp;""&amp;"C"&amp;Table1334[[#This Row],[Strike]]))</f>
        <v>0</v>
      </c>
      <c r="H717" s="17" cm="1">
        <f t="array" aca="1" ref="H717" ca="1">IndividualLegIVCore($A$4, Table1334[[#This Row],[Strike]], 0.0411, Table1334[[#This Row],[T]], ((Table1334[[#This Row],[BIDC]]+Table1334[[#This Row],[ASKC]])/2), TRUE)</f>
        <v>0.01</v>
      </c>
      <c r="I717" t="b">
        <f>IF(     ISNUMBER(Table1334[[#This Row],[Strike]]),RTD("tos.rtd", , "BID", "."&amp;Table1334[[#This Row],[Ticker]]&amp;Table1334[[#This Row],[Expiry]]&amp;""&amp;"C"&amp;Table1334[[#This Row],[Strike]]))</f>
        <v>0</v>
      </c>
      <c r="J717" t="b">
        <f>IF(     ISNUMBER(Table1334[[#This Row],[Strike]]),RTD("tos.rtd", , "ASK", "."&amp;Table1334[[#This Row],[Ticker]]&amp;Table1334[[#This Row],[Expiry]]&amp;""&amp;"C"&amp;Table1334[[#This Row],[Strike]]))</f>
        <v>0</v>
      </c>
      <c r="K717" s="17"/>
      <c r="M717" s="1">
        <f t="shared" si="70"/>
        <v>0</v>
      </c>
      <c r="N717" t="b">
        <f t="shared" si="71"/>
        <v>0</v>
      </c>
      <c r="P717" s="17" cm="1">
        <f t="array" aca="1" ref="P717" ca="1">IndividualLegIVCore($A$4, Table1334[[#This Row],[Strike]], 0.0411, Table1334[[#This Row],[T]], ((Table1334[[#This Row],[BIDP]]+Table1334[[#This Row],[ASKP]])/2), FALSE)</f>
        <v>0.01</v>
      </c>
      <c r="Q717" t="b">
        <f>IF(     ISNUMBER(Table1334[[#This Row],[Strike]]),RTD("tos.rtd", , "BID", "."&amp;Table1334[[#This Row],[Ticker]]&amp;Table1334[[#This Row],[Expiry]]&amp;""&amp;"P"&amp;Table1334[[#This Row],[Strike]]))</f>
        <v>0</v>
      </c>
      <c r="R717" t="b">
        <f>IF(     ISNUMBER(Table1334[[#This Row],[Strike]]),RTD("tos.rtd", , "ASK", "."&amp;Table1334[[#This Row],[Ticker]]&amp;Table1334[[#This Row],[Expiry]]&amp;""&amp;"P"&amp;Table1334[[#This Row],[Strike]]))</f>
        <v>0</v>
      </c>
      <c r="S717" s="17"/>
      <c r="T717" t="b">
        <f>IF(     ISNUMBER(Table1334[[#This Row],[Strike]]),RTD("tos.rtd", , "OPEN_INT", "."&amp;Table1334[[#This Row],[Ticker]]&amp;Table1334[[#This Row],[Expiry]]&amp;""&amp;"P"&amp;Table1334[[#This Row],[Strike]]))</f>
        <v>0</v>
      </c>
      <c r="U71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7" t="b">
        <f>IF(     ISNUMBER(Table1334[[#This Row],[Strike]]),RTD("tos.rtd", , "DELTA", "."&amp;Table1334[[#This Row],[Ticker]]&amp;Table1334[[#This Row],[Expiry]]&amp;""&amp;"P"&amp;Table1334[[#This Row],[Strike]]))</f>
        <v>0</v>
      </c>
      <c r="Y717" s="19">
        <f>-1* IF($M$1="NDX", 10, IF(OR($M$1="SPX", $M$1="RUT"), 2, 1))</f>
        <v>-2</v>
      </c>
      <c r="Z717">
        <f ca="1">IFERROR(Table1334[[#This Row],[call gamma]]*(Table1334[[#This Row],[Open.Int]])*$A$4^2,0)</f>
        <v>0</v>
      </c>
      <c r="AA717">
        <f ca="1">IFERROR(((Table1334[[#This Row],[Open.Int8]])*Table1334[[#This Row],[Put gamma]])*-1*$A$4^2,0)</f>
        <v>0</v>
      </c>
      <c r="AB717">
        <f ca="1">(Table1334[[#This Row],[Call Gex]]+Table1334[[#This Row],[Put Gex]])</f>
        <v>0</v>
      </c>
      <c r="AC717">
        <f ca="1">Table1334[[#This Row],[put delta adj]]+Table1334[[#This Row],[call delta adj]]</f>
        <v>0</v>
      </c>
      <c r="AD717">
        <f ca="1">Table1334[[#This Row],[Put Gex]]*Table1334[[#This Row],[DeltaP]]*-1</f>
        <v>0</v>
      </c>
      <c r="AE717">
        <f ca="1">Table1334[[#This Row],[Call Gex]]*Table1334[[#This Row],[DeltaC]]</f>
        <v>0</v>
      </c>
      <c r="AF717">
        <f>IF(Table1334[[#This Row],[DeltaC]]-ABS(Table1334[[#This Row],[DeltaP]])="0","0.01",Table1334[[#This Row],[DeltaC]]-ABS(Table1334[[#This Row],[DeltaP]]))</f>
        <v>0</v>
      </c>
      <c r="AG71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7" t="e">
        <f ca="1">(EXP(-(AG717^2)/2)/SQRT(2*PI())*EXP(0*SQRT(Table1334[[#This Row],[T]]))/$A$4*18%*SQRT(SQRT(Table1334[[#This Row],[T]])))</f>
        <v>#DIV/0!</v>
      </c>
      <c r="AJ717" t="e">
        <f ca="1">(EXP(-(AH717^2)/2)/SQRT(2*PI())*EXP(0*SQRT(Table1334[[#This Row],[T]]))/$A$4*18%*SQRT(SQRT(Table1334[[#This Row],[T]])))</f>
        <v>#DIV/0!</v>
      </c>
      <c r="AK717" t="e">
        <f ca="1">Table1334[[#This Row],[Call D1]]-Table1334[[#This Row],[IV Calc C]]*SQRT(Table1334[[#This Row],[T]])</f>
        <v>#DIV/0!</v>
      </c>
      <c r="AL717" t="e">
        <f ca="1">Table1334[[#This Row],[Put D1]]-Table1334[[#This Row],[IV Calc P]]*SQRT(Table1334[[#This Row],[T]])</f>
        <v>#DIV/0!</v>
      </c>
      <c r="AM717" t="e">
        <f ca="1">EXP(-0.5*Table1334[[#This Row],[Call D1]]^2)/SQRT(2*PI())</f>
        <v>#DIV/0!</v>
      </c>
      <c r="AN717" t="e">
        <f ca="1">EXP(-0.5*Table1334[[#This Row],[Put D1]]^2)/SQRT(2*PI())</f>
        <v>#DIV/0!</v>
      </c>
      <c r="AO71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7">
        <f ca="1">((Table1334[[#This Row],[call vanna]]+Table1334[[#This Row],[put vanna]])*$A$4)</f>
        <v>0</v>
      </c>
      <c r="AR71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7" s="9" t="str" cm="1">
        <f t="array" ref="AT717">_xlfn.IFS(     $M$1="SPX","SPXW",     $M$1="RUT","RUTW",  $M$1="NDX","NDXP",   TRUE,$M$1 )</f>
        <v>SPXW</v>
      </c>
      <c r="AU717" s="2">
        <f t="shared" si="72"/>
        <v>6915</v>
      </c>
      <c r="AV717" t="str">
        <f t="shared" si="73"/>
        <v>000100</v>
      </c>
      <c r="AY71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7">
        <f>((Table1334[[#This Row],[High C]]+Table1334[[#This Row],[Low C]])/2)*Table1334[[#This Row],[gammac]]*Table1334[[#This Row],[Volume]]</f>
        <v>0</v>
      </c>
      <c r="BD717">
        <f>((Table1334[[#This Row],[High P]]+Table1334[[#This Row],[Low P]])/2)*Table1334[[#This Row],[gammap]]*Table1334[[#This Row],[Volume9]]*-1</f>
        <v>0</v>
      </c>
      <c r="BE717">
        <f>(Table1334[[#This Row],[SgammaC]]+Table1334[[#This Row],[SgammaP]])*$A$4*-100</f>
        <v>0</v>
      </c>
      <c r="BF717">
        <f>Table1334[[#This Row],[DEXc]]+Table1334[[#This Row],[DEXp]]</f>
        <v>0</v>
      </c>
      <c r="BG717">
        <f>IFERROR(Table1334[[#This Row],[DeltaC]]*Table1334[[#This Row],[Open.Int]]*$A$4,0)</f>
        <v>0</v>
      </c>
      <c r="BH717">
        <f>IFERROR(Table1334[[#This Row],[DeltaP]]*Table1334[[#This Row],[Open.Int8]]*$A$4,0)</f>
        <v>0</v>
      </c>
      <c r="BI71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7">
        <f ca="1">Table1334[[#This Row],[charmc]]+Table1334[[#This Row],[charmp]]</f>
        <v>0</v>
      </c>
      <c r="BL71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7" s="78">
        <f ca="1">Table1334[[#This Row],[call helper]]+Table1334[[#This Row],[put helper]]</f>
        <v>0</v>
      </c>
      <c r="BP717" t="str">
        <f>RTD("tos.rtd", , "STRIKE", "."&amp;Table1334[[#This Row],[Ticker]]&amp;Table1334[[#This Row],[Expiry]]&amp;""&amp;"C"&amp;Table1334[[#This Row],[Spot]]+Table1334[[#This Row],[step]])</f>
        <v>N/A</v>
      </c>
    </row>
    <row r="718" spans="1:68" ht="15.75" thickBot="1" x14ac:dyDescent="0.3">
      <c r="A718" s="14">
        <f t="shared" ca="1" si="69"/>
        <v>-126.14810350076104</v>
      </c>
      <c r="C718" s="17"/>
      <c r="D718" t="str">
        <f>RTD("tos.rtd", , "OPEN_INT", "."&amp;Table1334[[#This Row],[Ticker]]&amp;Table1334[[#This Row],[Expiry]]&amp;""&amp;"C"&amp;Table1334[[#This Row],[Spot]]+Table1334[[#This Row],[step]])</f>
        <v>N/A</v>
      </c>
      <c r="E71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8" t="b">
        <f>IF(     ISNUMBER(Table1334[[#This Row],[Strike]]),RTD("tos.rtd", , "DELTA", "."&amp;Table1334[[#This Row],[Ticker]]&amp;Table1334[[#This Row],[Expiry]]&amp;""&amp;"C"&amp;Table1334[[#This Row],[Strike]]))</f>
        <v>0</v>
      </c>
      <c r="H718" s="17" cm="1">
        <f t="array" aca="1" ref="H718" ca="1">IndividualLegIVCore($A$4, Table1334[[#This Row],[Strike]], 0.0411, Table1334[[#This Row],[T]], ((Table1334[[#This Row],[BIDC]]+Table1334[[#This Row],[ASKC]])/2), TRUE)</f>
        <v>0.01</v>
      </c>
      <c r="I718" t="b">
        <f>IF(     ISNUMBER(Table1334[[#This Row],[Strike]]),RTD("tos.rtd", , "BID", "."&amp;Table1334[[#This Row],[Ticker]]&amp;Table1334[[#This Row],[Expiry]]&amp;""&amp;"C"&amp;Table1334[[#This Row],[Strike]]))</f>
        <v>0</v>
      </c>
      <c r="J718" t="b">
        <f>IF(     ISNUMBER(Table1334[[#This Row],[Strike]]),RTD("tos.rtd", , "ASK", "."&amp;Table1334[[#This Row],[Ticker]]&amp;Table1334[[#This Row],[Expiry]]&amp;""&amp;"C"&amp;Table1334[[#This Row],[Strike]]))</f>
        <v>0</v>
      </c>
      <c r="K718" s="17"/>
      <c r="M718" s="1">
        <f t="shared" si="70"/>
        <v>0</v>
      </c>
      <c r="N718" t="b">
        <f t="shared" si="71"/>
        <v>0</v>
      </c>
      <c r="P718" s="17" cm="1">
        <f t="array" aca="1" ref="P718" ca="1">IndividualLegIVCore($A$4, Table1334[[#This Row],[Strike]], 0.0411, Table1334[[#This Row],[T]], ((Table1334[[#This Row],[BIDP]]+Table1334[[#This Row],[ASKP]])/2), FALSE)</f>
        <v>0.01</v>
      </c>
      <c r="Q718" t="b">
        <f>IF(     ISNUMBER(Table1334[[#This Row],[Strike]]),RTD("tos.rtd", , "BID", "."&amp;Table1334[[#This Row],[Ticker]]&amp;Table1334[[#This Row],[Expiry]]&amp;""&amp;"P"&amp;Table1334[[#This Row],[Strike]]))</f>
        <v>0</v>
      </c>
      <c r="R718" t="b">
        <f>IF(     ISNUMBER(Table1334[[#This Row],[Strike]]),RTD("tos.rtd", , "ASK", "."&amp;Table1334[[#This Row],[Ticker]]&amp;Table1334[[#This Row],[Expiry]]&amp;""&amp;"P"&amp;Table1334[[#This Row],[Strike]]))</f>
        <v>0</v>
      </c>
      <c r="S718" s="17"/>
      <c r="T718" t="b">
        <f>IF(     ISNUMBER(Table1334[[#This Row],[Strike]]),RTD("tos.rtd", , "OPEN_INT", "."&amp;Table1334[[#This Row],[Ticker]]&amp;Table1334[[#This Row],[Expiry]]&amp;""&amp;"P"&amp;Table1334[[#This Row],[Strike]]))</f>
        <v>0</v>
      </c>
      <c r="U71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8" t="b">
        <f>IF(     ISNUMBER(Table1334[[#This Row],[Strike]]),RTD("tos.rtd", , "DELTA", "."&amp;Table1334[[#This Row],[Ticker]]&amp;Table1334[[#This Row],[Expiry]]&amp;""&amp;"P"&amp;Table1334[[#This Row],[Strike]]))</f>
        <v>0</v>
      </c>
      <c r="Y718" s="19">
        <f>-0.5* IF($M$1="NDX", 10, IF(OR($M$1="SPX", $M$1="RUT"), 2, 1))</f>
        <v>-1</v>
      </c>
      <c r="Z718">
        <f ca="1">IFERROR(Table1334[[#This Row],[call gamma]]*(Table1334[[#This Row],[Open.Int]])*$A$4^2,0)</f>
        <v>0</v>
      </c>
      <c r="AA718">
        <f ca="1">IFERROR(((Table1334[[#This Row],[Open.Int8]])*Table1334[[#This Row],[Put gamma]])*-1*$A$4^2,0)</f>
        <v>0</v>
      </c>
      <c r="AB718">
        <f ca="1">(Table1334[[#This Row],[Call Gex]]+Table1334[[#This Row],[Put Gex]])</f>
        <v>0</v>
      </c>
      <c r="AC718">
        <f ca="1">Table1334[[#This Row],[put delta adj]]+Table1334[[#This Row],[call delta adj]]</f>
        <v>0</v>
      </c>
      <c r="AD718">
        <f ca="1">Table1334[[#This Row],[Put Gex]]*Table1334[[#This Row],[DeltaP]]*-1</f>
        <v>0</v>
      </c>
      <c r="AE718">
        <f ca="1">Table1334[[#This Row],[Call Gex]]*Table1334[[#This Row],[DeltaC]]</f>
        <v>0</v>
      </c>
      <c r="AF718">
        <f>IF(Table1334[[#This Row],[DeltaC]]-ABS(Table1334[[#This Row],[DeltaP]])="0","0.01",Table1334[[#This Row],[DeltaC]]-ABS(Table1334[[#This Row],[DeltaP]]))</f>
        <v>0</v>
      </c>
      <c r="AG71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8" t="e">
        <f ca="1">(EXP(-(AG718^2)/2)/SQRT(2*PI())*EXP(0*SQRT(Table1334[[#This Row],[T]]))/$A$4*18%*SQRT(SQRT(Table1334[[#This Row],[T]])))</f>
        <v>#DIV/0!</v>
      </c>
      <c r="AJ718" t="e">
        <f ca="1">(EXP(-(AH718^2)/2)/SQRT(2*PI())*EXP(0*SQRT(Table1334[[#This Row],[T]]))/$A$4*18%*SQRT(SQRT(Table1334[[#This Row],[T]])))</f>
        <v>#DIV/0!</v>
      </c>
      <c r="AK718" t="e">
        <f ca="1">Table1334[[#This Row],[Call D1]]-Table1334[[#This Row],[IV Calc C]]*SQRT(Table1334[[#This Row],[T]])</f>
        <v>#DIV/0!</v>
      </c>
      <c r="AL718" t="e">
        <f ca="1">Table1334[[#This Row],[Put D1]]-Table1334[[#This Row],[IV Calc P]]*SQRT(Table1334[[#This Row],[T]])</f>
        <v>#DIV/0!</v>
      </c>
      <c r="AM718" t="e">
        <f ca="1">EXP(-0.5*Table1334[[#This Row],[Call D1]]^2)/SQRT(2*PI())</f>
        <v>#DIV/0!</v>
      </c>
      <c r="AN718" t="e">
        <f ca="1">EXP(-0.5*Table1334[[#This Row],[Put D1]]^2)/SQRT(2*PI())</f>
        <v>#DIV/0!</v>
      </c>
      <c r="AO71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8">
        <f ca="1">((Table1334[[#This Row],[call vanna]]+Table1334[[#This Row],[put vanna]])*$A$4)</f>
        <v>0</v>
      </c>
      <c r="AR71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8" s="9" t="str" cm="1">
        <f t="array" ref="AT718">_xlfn.IFS(     $M$1="SPX","SPXW",     $M$1="RUT","RUTW",  $M$1="NDX","NDXP",   TRUE,$M$1 )</f>
        <v>SPXW</v>
      </c>
      <c r="AU718" s="2">
        <f t="shared" si="72"/>
        <v>6915</v>
      </c>
      <c r="AV718" t="str">
        <f t="shared" si="73"/>
        <v>000100</v>
      </c>
      <c r="AY71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8">
        <f>((Table1334[[#This Row],[High C]]+Table1334[[#This Row],[Low C]])/2)*Table1334[[#This Row],[gammac]]*Table1334[[#This Row],[Volume]]</f>
        <v>0</v>
      </c>
      <c r="BD718">
        <f>((Table1334[[#This Row],[High P]]+Table1334[[#This Row],[Low P]])/2)*Table1334[[#This Row],[gammap]]*Table1334[[#This Row],[Volume9]]*-1</f>
        <v>0</v>
      </c>
      <c r="BE718">
        <f>(Table1334[[#This Row],[SgammaC]]+Table1334[[#This Row],[SgammaP]])*$A$4*-100</f>
        <v>0</v>
      </c>
      <c r="BF718">
        <f>Table1334[[#This Row],[DEXc]]+Table1334[[#This Row],[DEXp]]</f>
        <v>0</v>
      </c>
      <c r="BG718">
        <f>IFERROR(Table1334[[#This Row],[DeltaC]]*Table1334[[#This Row],[Open.Int]]*$A$4,0)</f>
        <v>0</v>
      </c>
      <c r="BH718">
        <f>IFERROR(Table1334[[#This Row],[DeltaP]]*Table1334[[#This Row],[Open.Int8]]*$A$4,0)</f>
        <v>0</v>
      </c>
      <c r="BI71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8">
        <f ca="1">Table1334[[#This Row],[charmc]]+Table1334[[#This Row],[charmp]]</f>
        <v>0</v>
      </c>
      <c r="BL71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8" s="78">
        <f ca="1">Table1334[[#This Row],[call helper]]+Table1334[[#This Row],[put helper]]</f>
        <v>0</v>
      </c>
      <c r="BP718" t="str">
        <f>RTD("tos.rtd", , "STRIKE", "."&amp;Table1334[[#This Row],[Ticker]]&amp;Table1334[[#This Row],[Expiry]]&amp;""&amp;"C"&amp;Table1334[[#This Row],[Spot]]+Table1334[[#This Row],[step]])</f>
        <v>N/A</v>
      </c>
    </row>
    <row r="719" spans="1:68" ht="15.75" thickBot="1" x14ac:dyDescent="0.3">
      <c r="A719" s="14">
        <f t="shared" ca="1" si="69"/>
        <v>-126.14810350076104</v>
      </c>
      <c r="C719" s="17"/>
      <c r="D719" t="str">
        <f>RTD("tos.rtd", , "OPEN_INT", "."&amp;Table1334[[#This Row],[Ticker]]&amp;Table1334[[#This Row],[Expiry]]&amp;""&amp;"C"&amp;Table1334[[#This Row],[Spot]]+Table1334[[#This Row],[step]])</f>
        <v>N/A</v>
      </c>
      <c r="E7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9" t="b">
        <f>IF(     ISNUMBER(Table1334[[#This Row],[Strike]]),RTD("tos.rtd", , "DELTA", "."&amp;Table1334[[#This Row],[Ticker]]&amp;Table1334[[#This Row],[Expiry]]&amp;""&amp;"C"&amp;Table1334[[#This Row],[Strike]]))</f>
        <v>0</v>
      </c>
      <c r="H719" s="17" cm="1">
        <f t="array" aca="1" ref="H719" ca="1">IndividualLegIVCore($A$4, Table1334[[#This Row],[Strike]], 0.0411, Table1334[[#This Row],[T]], ((Table1334[[#This Row],[BIDC]]+Table1334[[#This Row],[ASKC]])/2), TRUE)</f>
        <v>0.01</v>
      </c>
      <c r="I719" t="b">
        <f>IF(     ISNUMBER(Table1334[[#This Row],[Strike]]),RTD("tos.rtd", , "BID", "."&amp;Table1334[[#This Row],[Ticker]]&amp;Table1334[[#This Row],[Expiry]]&amp;""&amp;"C"&amp;Table1334[[#This Row],[Strike]]))</f>
        <v>0</v>
      </c>
      <c r="J719" t="b">
        <f>IF(     ISNUMBER(Table1334[[#This Row],[Strike]]),RTD("tos.rtd", , "ASK", "."&amp;Table1334[[#This Row],[Ticker]]&amp;Table1334[[#This Row],[Expiry]]&amp;""&amp;"C"&amp;Table1334[[#This Row],[Strike]]))</f>
        <v>0</v>
      </c>
      <c r="K719" s="17"/>
      <c r="M719" s="1">
        <f t="shared" si="70"/>
        <v>0</v>
      </c>
      <c r="N719" t="b">
        <f t="shared" si="71"/>
        <v>0</v>
      </c>
      <c r="P719" s="17" cm="1">
        <f t="array" aca="1" ref="P719" ca="1">IndividualLegIVCore($A$4, Table1334[[#This Row],[Strike]], 0.0411, Table1334[[#This Row],[T]], ((Table1334[[#This Row],[BIDP]]+Table1334[[#This Row],[ASKP]])/2), FALSE)</f>
        <v>0.01</v>
      </c>
      <c r="Q719" t="b">
        <f>IF(     ISNUMBER(Table1334[[#This Row],[Strike]]),RTD("tos.rtd", , "BID", "."&amp;Table1334[[#This Row],[Ticker]]&amp;Table1334[[#This Row],[Expiry]]&amp;""&amp;"P"&amp;Table1334[[#This Row],[Strike]]))</f>
        <v>0</v>
      </c>
      <c r="R719" t="b">
        <f>IF(     ISNUMBER(Table1334[[#This Row],[Strike]]),RTD("tos.rtd", , "ASK", "."&amp;Table1334[[#This Row],[Ticker]]&amp;Table1334[[#This Row],[Expiry]]&amp;""&amp;"P"&amp;Table1334[[#This Row],[Strike]]))</f>
        <v>0</v>
      </c>
      <c r="S719" s="17"/>
      <c r="T719" t="b">
        <f>IF(     ISNUMBER(Table1334[[#This Row],[Strike]]),RTD("tos.rtd", , "OPEN_INT", "."&amp;Table1334[[#This Row],[Ticker]]&amp;Table1334[[#This Row],[Expiry]]&amp;""&amp;"P"&amp;Table1334[[#This Row],[Strike]]))</f>
        <v>0</v>
      </c>
      <c r="U7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9" t="b">
        <f>IF(     ISNUMBER(Table1334[[#This Row],[Strike]]),RTD("tos.rtd", , "DELTA", "."&amp;Table1334[[#This Row],[Ticker]]&amp;Table1334[[#This Row],[Expiry]]&amp;""&amp;"P"&amp;Table1334[[#This Row],[Strike]]))</f>
        <v>0</v>
      </c>
      <c r="Y719" s="55">
        <v>0</v>
      </c>
      <c r="Z719">
        <f ca="1">IFERROR(Table1334[[#This Row],[call gamma]]*(Table1334[[#This Row],[Open.Int]])*$A$4^2,0)</f>
        <v>0</v>
      </c>
      <c r="AA719">
        <f ca="1">IFERROR(((Table1334[[#This Row],[Open.Int8]])*Table1334[[#This Row],[Put gamma]])*-1*$A$4^2,0)</f>
        <v>0</v>
      </c>
      <c r="AB719">
        <f ca="1">(Table1334[[#This Row],[Call Gex]]+Table1334[[#This Row],[Put Gex]])</f>
        <v>0</v>
      </c>
      <c r="AC719">
        <f ca="1">Table1334[[#This Row],[put delta adj]]+Table1334[[#This Row],[call delta adj]]</f>
        <v>0</v>
      </c>
      <c r="AD719">
        <f ca="1">Table1334[[#This Row],[Put Gex]]*Table1334[[#This Row],[DeltaP]]*-1</f>
        <v>0</v>
      </c>
      <c r="AE719">
        <f ca="1">Table1334[[#This Row],[Call Gex]]*Table1334[[#This Row],[DeltaC]]</f>
        <v>0</v>
      </c>
      <c r="AF719">
        <f>IF(Table1334[[#This Row],[DeltaC]]-ABS(Table1334[[#This Row],[DeltaP]])="0","0.01",Table1334[[#This Row],[DeltaC]]-ABS(Table1334[[#This Row],[DeltaP]]))</f>
        <v>0</v>
      </c>
      <c r="AG7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9" t="e">
        <f ca="1">(EXP(-(AG719^2)/2)/SQRT(2*PI())*EXP(0*SQRT(Table1334[[#This Row],[T]]))/$A$4*18%*SQRT(SQRT(Table1334[[#This Row],[T]])))</f>
        <v>#DIV/0!</v>
      </c>
      <c r="AJ719" t="e">
        <f ca="1">(EXP(-(AH719^2)/2)/SQRT(2*PI())*EXP(0*SQRT(Table1334[[#This Row],[T]]))/$A$4*18%*SQRT(SQRT(Table1334[[#This Row],[T]])))</f>
        <v>#DIV/0!</v>
      </c>
      <c r="AK719" t="e">
        <f ca="1">Table1334[[#This Row],[Call D1]]-Table1334[[#This Row],[IV Calc C]]*SQRT(Table1334[[#This Row],[T]])</f>
        <v>#DIV/0!</v>
      </c>
      <c r="AL719" t="e">
        <f ca="1">Table1334[[#This Row],[Put D1]]-Table1334[[#This Row],[IV Calc P]]*SQRT(Table1334[[#This Row],[T]])</f>
        <v>#DIV/0!</v>
      </c>
      <c r="AM719" t="e">
        <f ca="1">EXP(-0.5*Table1334[[#This Row],[Call D1]]^2)/SQRT(2*PI())</f>
        <v>#DIV/0!</v>
      </c>
      <c r="AN719" t="e">
        <f ca="1">EXP(-0.5*Table1334[[#This Row],[Put D1]]^2)/SQRT(2*PI())</f>
        <v>#DIV/0!</v>
      </c>
      <c r="AO7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9">
        <f ca="1">((Table1334[[#This Row],[call vanna]]+Table1334[[#This Row],[put vanna]])*$A$4)</f>
        <v>0</v>
      </c>
      <c r="AR7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9" s="9" t="str" cm="1">
        <f t="array" ref="AT719">_xlfn.IFS(     $M$1="SPX","SPXW",     $M$1="RUT","RUTW",  $M$1="NDX","NDXP",   TRUE,$M$1 )</f>
        <v>SPXW</v>
      </c>
      <c r="AU719" s="2">
        <f t="shared" si="72"/>
        <v>6915</v>
      </c>
      <c r="AV719" t="str">
        <f t="shared" si="73"/>
        <v>000100</v>
      </c>
      <c r="AY7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9">
        <f>((Table1334[[#This Row],[High C]]+Table1334[[#This Row],[Low C]])/2)*Table1334[[#This Row],[gammac]]*Table1334[[#This Row],[Volume]]</f>
        <v>0</v>
      </c>
      <c r="BD719">
        <f>((Table1334[[#This Row],[High P]]+Table1334[[#This Row],[Low P]])/2)*Table1334[[#This Row],[gammap]]*Table1334[[#This Row],[Volume9]]*-1</f>
        <v>0</v>
      </c>
      <c r="BE719">
        <f>(Table1334[[#This Row],[SgammaC]]+Table1334[[#This Row],[SgammaP]])*$A$4*-100</f>
        <v>0</v>
      </c>
      <c r="BF719">
        <f>Table1334[[#This Row],[DEXc]]+Table1334[[#This Row],[DEXp]]</f>
        <v>0</v>
      </c>
      <c r="BG719">
        <f>IFERROR(Table1334[[#This Row],[DeltaC]]*Table1334[[#This Row],[Open.Int]]*$A$4,0)</f>
        <v>0</v>
      </c>
      <c r="BH719">
        <f>IFERROR(Table1334[[#This Row],[DeltaP]]*Table1334[[#This Row],[Open.Int8]]*$A$4,0)</f>
        <v>0</v>
      </c>
      <c r="BI71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9">
        <f ca="1">Table1334[[#This Row],[charmc]]+Table1334[[#This Row],[charmp]]</f>
        <v>0</v>
      </c>
      <c r="BL71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9" s="78">
        <f ca="1">Table1334[[#This Row],[call helper]]+Table1334[[#This Row],[put helper]]</f>
        <v>0</v>
      </c>
      <c r="BP719" t="str">
        <f>RTD("tos.rtd", , "STRIKE", "."&amp;Table1334[[#This Row],[Ticker]]&amp;Table1334[[#This Row],[Expiry]]&amp;""&amp;"C"&amp;Table1334[[#This Row],[Spot]]+Table1334[[#This Row],[step]])</f>
        <v>N/A</v>
      </c>
    </row>
    <row r="720" spans="1:68" x14ac:dyDescent="0.25">
      <c r="A720" s="14">
        <f t="shared" ca="1" si="69"/>
        <v>-126.14810350076104</v>
      </c>
      <c r="C720" s="17"/>
      <c r="D720" t="str">
        <f>RTD("tos.rtd", , "OPEN_INT", "."&amp;Table1334[[#This Row],[Ticker]]&amp;Table1334[[#This Row],[Expiry]]&amp;""&amp;"C"&amp;Table1334[[#This Row],[Spot]]+Table1334[[#This Row],[step]])</f>
        <v>N/A</v>
      </c>
      <c r="E72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0" t="b">
        <f>IF(     ISNUMBER(Table1334[[#This Row],[Strike]]),RTD("tos.rtd", , "DELTA", "."&amp;Table1334[[#This Row],[Ticker]]&amp;Table1334[[#This Row],[Expiry]]&amp;""&amp;"C"&amp;Table1334[[#This Row],[Strike]]))</f>
        <v>0</v>
      </c>
      <c r="H720" s="17" cm="1">
        <f t="array" aca="1" ref="H720" ca="1">IndividualLegIVCore($A$4, Table1334[[#This Row],[Strike]], 0.0411, Table1334[[#This Row],[T]], ((Table1334[[#This Row],[BIDC]]+Table1334[[#This Row],[ASKC]])/2), TRUE)</f>
        <v>0.01</v>
      </c>
      <c r="I720" t="b">
        <f>IF(     ISNUMBER(Table1334[[#This Row],[Strike]]),RTD("tos.rtd", , "BID", "."&amp;Table1334[[#This Row],[Ticker]]&amp;Table1334[[#This Row],[Expiry]]&amp;""&amp;"C"&amp;Table1334[[#This Row],[Strike]]))</f>
        <v>0</v>
      </c>
      <c r="J720" t="b">
        <f>IF(     ISNUMBER(Table1334[[#This Row],[Strike]]),RTD("tos.rtd", , "ASK", "."&amp;Table1334[[#This Row],[Ticker]]&amp;Table1334[[#This Row],[Expiry]]&amp;""&amp;"C"&amp;Table1334[[#This Row],[Strike]]))</f>
        <v>0</v>
      </c>
      <c r="K720" s="17"/>
      <c r="M720" s="1">
        <f t="shared" si="70"/>
        <v>0</v>
      </c>
      <c r="N720" t="b">
        <f t="shared" si="71"/>
        <v>0</v>
      </c>
      <c r="P720" s="17" cm="1">
        <f t="array" aca="1" ref="P720" ca="1">IndividualLegIVCore($A$4, Table1334[[#This Row],[Strike]], 0.0411, Table1334[[#This Row],[T]], ((Table1334[[#This Row],[BIDP]]+Table1334[[#This Row],[ASKP]])/2), FALSE)</f>
        <v>0.01</v>
      </c>
      <c r="Q720" t="b">
        <f>IF(     ISNUMBER(Table1334[[#This Row],[Strike]]),RTD("tos.rtd", , "BID", "."&amp;Table1334[[#This Row],[Ticker]]&amp;Table1334[[#This Row],[Expiry]]&amp;""&amp;"P"&amp;Table1334[[#This Row],[Strike]]))</f>
        <v>0</v>
      </c>
      <c r="R720" t="b">
        <f>IF(     ISNUMBER(Table1334[[#This Row],[Strike]]),RTD("tos.rtd", , "ASK", "."&amp;Table1334[[#This Row],[Ticker]]&amp;Table1334[[#This Row],[Expiry]]&amp;""&amp;"P"&amp;Table1334[[#This Row],[Strike]]))</f>
        <v>0</v>
      </c>
      <c r="S720" s="17"/>
      <c r="T720" t="b">
        <f>IF(     ISNUMBER(Table1334[[#This Row],[Strike]]),RTD("tos.rtd", , "OPEN_INT", "."&amp;Table1334[[#This Row],[Ticker]]&amp;Table1334[[#This Row],[Expiry]]&amp;""&amp;"P"&amp;Table1334[[#This Row],[Strike]]))</f>
        <v>0</v>
      </c>
      <c r="U72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0" t="b">
        <f>IF(     ISNUMBER(Table1334[[#This Row],[Strike]]),RTD("tos.rtd", , "DELTA", "."&amp;Table1334[[#This Row],[Ticker]]&amp;Table1334[[#This Row],[Expiry]]&amp;""&amp;"P"&amp;Table1334[[#This Row],[Strike]]))</f>
        <v>0</v>
      </c>
      <c r="Y720">
        <f>0.5* IF($M$1="NDX", 10, IF(OR($M$1="SPX", $M$1="RUT"), 2, 1))</f>
        <v>1</v>
      </c>
      <c r="Z720">
        <f ca="1">IFERROR(Table1334[[#This Row],[call gamma]]*(Table1334[[#This Row],[Open.Int]])*$A$4^2,0)</f>
        <v>0</v>
      </c>
      <c r="AA720">
        <f ca="1">IFERROR(((Table1334[[#This Row],[Open.Int8]])*Table1334[[#This Row],[Put gamma]])*-1*$A$4^2,0)</f>
        <v>0</v>
      </c>
      <c r="AB720">
        <f ca="1">(Table1334[[#This Row],[Call Gex]]+Table1334[[#This Row],[Put Gex]])</f>
        <v>0</v>
      </c>
      <c r="AC720">
        <f ca="1">Table1334[[#This Row],[put delta adj]]+Table1334[[#This Row],[call delta adj]]</f>
        <v>0</v>
      </c>
      <c r="AD720">
        <f ca="1">Table1334[[#This Row],[Put Gex]]*Table1334[[#This Row],[DeltaP]]*-1</f>
        <v>0</v>
      </c>
      <c r="AE720">
        <f ca="1">Table1334[[#This Row],[Call Gex]]*Table1334[[#This Row],[DeltaC]]</f>
        <v>0</v>
      </c>
      <c r="AF720">
        <f>IF(Table1334[[#This Row],[DeltaC]]-ABS(Table1334[[#This Row],[DeltaP]])="0","0.01",Table1334[[#This Row],[DeltaC]]-ABS(Table1334[[#This Row],[DeltaP]]))</f>
        <v>0</v>
      </c>
      <c r="AG72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0" t="e">
        <f ca="1">(EXP(-(AG720^2)/2)/SQRT(2*PI())*EXP(0*SQRT(Table1334[[#This Row],[T]]))/$A$4*18%*SQRT(SQRT(Table1334[[#This Row],[T]])))</f>
        <v>#DIV/0!</v>
      </c>
      <c r="AJ720" t="e">
        <f ca="1">(EXP(-(AH720^2)/2)/SQRT(2*PI())*EXP(0*SQRT(Table1334[[#This Row],[T]]))/$A$4*18%*SQRT(SQRT(Table1334[[#This Row],[T]])))</f>
        <v>#DIV/0!</v>
      </c>
      <c r="AK720" t="e">
        <f ca="1">Table1334[[#This Row],[Call D1]]-Table1334[[#This Row],[IV Calc C]]*SQRT(Table1334[[#This Row],[T]])</f>
        <v>#DIV/0!</v>
      </c>
      <c r="AL720" t="e">
        <f ca="1">Table1334[[#This Row],[Put D1]]-Table1334[[#This Row],[IV Calc P]]*SQRT(Table1334[[#This Row],[T]])</f>
        <v>#DIV/0!</v>
      </c>
      <c r="AM720" t="e">
        <f ca="1">EXP(-0.5*Table1334[[#This Row],[Call D1]]^2)/SQRT(2*PI())</f>
        <v>#DIV/0!</v>
      </c>
      <c r="AN720" t="e">
        <f ca="1">EXP(-0.5*Table1334[[#This Row],[Put D1]]^2)/SQRT(2*PI())</f>
        <v>#DIV/0!</v>
      </c>
      <c r="AO72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0">
        <f ca="1">((Table1334[[#This Row],[call vanna]]+Table1334[[#This Row],[put vanna]])*$A$4)</f>
        <v>0</v>
      </c>
      <c r="AR72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0" s="9" t="str" cm="1">
        <f t="array" ref="AT720">_xlfn.IFS(     $M$1="SPX","SPXW",     $M$1="RUT","RUTW",  $M$1="NDX","NDXP",   TRUE,$M$1 )</f>
        <v>SPXW</v>
      </c>
      <c r="AU720" s="2">
        <f t="shared" si="72"/>
        <v>6915</v>
      </c>
      <c r="AV720" t="str">
        <f t="shared" si="73"/>
        <v>000100</v>
      </c>
      <c r="AY72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0">
        <f>((Table1334[[#This Row],[High C]]+Table1334[[#This Row],[Low C]])/2)*Table1334[[#This Row],[gammac]]*Table1334[[#This Row],[Volume]]</f>
        <v>0</v>
      </c>
      <c r="BD720">
        <f>((Table1334[[#This Row],[High P]]+Table1334[[#This Row],[Low P]])/2)*Table1334[[#This Row],[gammap]]*Table1334[[#This Row],[Volume9]]*-1</f>
        <v>0</v>
      </c>
      <c r="BE720">
        <f>(Table1334[[#This Row],[SgammaC]]+Table1334[[#This Row],[SgammaP]])*$A$4*-100</f>
        <v>0</v>
      </c>
      <c r="BF720">
        <f>Table1334[[#This Row],[DEXc]]+Table1334[[#This Row],[DEXp]]</f>
        <v>0</v>
      </c>
      <c r="BG720">
        <f>IFERROR(Table1334[[#This Row],[DeltaC]]*Table1334[[#This Row],[Open.Int]]*$A$4,0)</f>
        <v>0</v>
      </c>
      <c r="BH720">
        <f>IFERROR(Table1334[[#This Row],[DeltaP]]*Table1334[[#This Row],[Open.Int8]]*$A$4,0)</f>
        <v>0</v>
      </c>
      <c r="BI72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0">
        <f ca="1">Table1334[[#This Row],[charmc]]+Table1334[[#This Row],[charmp]]</f>
        <v>0</v>
      </c>
      <c r="BL72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0" s="78">
        <f ca="1">Table1334[[#This Row],[call helper]]+Table1334[[#This Row],[put helper]]</f>
        <v>0</v>
      </c>
      <c r="BP720" t="str">
        <f>RTD("tos.rtd", , "STRIKE", "."&amp;Table1334[[#This Row],[Ticker]]&amp;Table1334[[#This Row],[Expiry]]&amp;""&amp;"C"&amp;Table1334[[#This Row],[Spot]]+Table1334[[#This Row],[step]])</f>
        <v>N/A</v>
      </c>
    </row>
    <row r="721" spans="1:68" x14ac:dyDescent="0.25">
      <c r="A721" s="14">
        <f t="shared" ca="1" si="69"/>
        <v>-126.14810350076104</v>
      </c>
      <c r="C721" s="17"/>
      <c r="D721" t="str">
        <f>RTD("tos.rtd", , "OPEN_INT", "."&amp;Table1334[[#This Row],[Ticker]]&amp;Table1334[[#This Row],[Expiry]]&amp;""&amp;"C"&amp;Table1334[[#This Row],[Spot]]+Table1334[[#This Row],[step]])</f>
        <v>N/A</v>
      </c>
      <c r="E72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1" t="b">
        <f>IF(     ISNUMBER(Table1334[[#This Row],[Strike]]),RTD("tos.rtd", , "DELTA", "."&amp;Table1334[[#This Row],[Ticker]]&amp;Table1334[[#This Row],[Expiry]]&amp;""&amp;"C"&amp;Table1334[[#This Row],[Strike]]))</f>
        <v>0</v>
      </c>
      <c r="H721" s="17" cm="1">
        <f t="array" aca="1" ref="H721" ca="1">IndividualLegIVCore($A$4, Table1334[[#This Row],[Strike]], 0.0411, Table1334[[#This Row],[T]], ((Table1334[[#This Row],[BIDC]]+Table1334[[#This Row],[ASKC]])/2), TRUE)</f>
        <v>0.01</v>
      </c>
      <c r="I721" t="b">
        <f>IF(     ISNUMBER(Table1334[[#This Row],[Strike]]),RTD("tos.rtd", , "BID", "."&amp;Table1334[[#This Row],[Ticker]]&amp;Table1334[[#This Row],[Expiry]]&amp;""&amp;"C"&amp;Table1334[[#This Row],[Strike]]))</f>
        <v>0</v>
      </c>
      <c r="J721" t="b">
        <f>IF(     ISNUMBER(Table1334[[#This Row],[Strike]]),RTD("tos.rtd", , "ASK", "."&amp;Table1334[[#This Row],[Ticker]]&amp;Table1334[[#This Row],[Expiry]]&amp;""&amp;"C"&amp;Table1334[[#This Row],[Strike]]))</f>
        <v>0</v>
      </c>
      <c r="K721" s="17"/>
      <c r="M721" s="1">
        <f t="shared" si="70"/>
        <v>0</v>
      </c>
      <c r="N721" t="b">
        <f t="shared" si="71"/>
        <v>0</v>
      </c>
      <c r="P721" s="17" cm="1">
        <f t="array" aca="1" ref="P721" ca="1">IndividualLegIVCore($A$4, Table1334[[#This Row],[Strike]], 0.0411, Table1334[[#This Row],[T]], ((Table1334[[#This Row],[BIDP]]+Table1334[[#This Row],[ASKP]])/2), FALSE)</f>
        <v>0.01</v>
      </c>
      <c r="Q721" t="b">
        <f>IF(     ISNUMBER(Table1334[[#This Row],[Strike]]),RTD("tos.rtd", , "BID", "."&amp;Table1334[[#This Row],[Ticker]]&amp;Table1334[[#This Row],[Expiry]]&amp;""&amp;"P"&amp;Table1334[[#This Row],[Strike]]))</f>
        <v>0</v>
      </c>
      <c r="R721" t="b">
        <f>IF(     ISNUMBER(Table1334[[#This Row],[Strike]]),RTD("tos.rtd", , "ASK", "."&amp;Table1334[[#This Row],[Ticker]]&amp;Table1334[[#This Row],[Expiry]]&amp;""&amp;"P"&amp;Table1334[[#This Row],[Strike]]))</f>
        <v>0</v>
      </c>
      <c r="S721" s="17"/>
      <c r="T721" t="b">
        <f>IF(     ISNUMBER(Table1334[[#This Row],[Strike]]),RTD("tos.rtd", , "OPEN_INT", "."&amp;Table1334[[#This Row],[Ticker]]&amp;Table1334[[#This Row],[Expiry]]&amp;""&amp;"P"&amp;Table1334[[#This Row],[Strike]]))</f>
        <v>0</v>
      </c>
      <c r="U72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1" t="b">
        <f>IF(     ISNUMBER(Table1334[[#This Row],[Strike]]),RTD("tos.rtd", , "DELTA", "."&amp;Table1334[[#This Row],[Ticker]]&amp;Table1334[[#This Row],[Expiry]]&amp;""&amp;"P"&amp;Table1334[[#This Row],[Strike]]))</f>
        <v>0</v>
      </c>
      <c r="Y721" s="19">
        <f>1* IF($M$1="NDX", 10, IF(OR($M$1="SPX", $M$1="RUT"), 2, 1))</f>
        <v>2</v>
      </c>
      <c r="Z721">
        <f ca="1">IFERROR(Table1334[[#This Row],[call gamma]]*(Table1334[[#This Row],[Open.Int]])*$A$4^2,0)</f>
        <v>0</v>
      </c>
      <c r="AA721">
        <f ca="1">IFERROR(((Table1334[[#This Row],[Open.Int8]])*Table1334[[#This Row],[Put gamma]])*-1*$A$4^2,0)</f>
        <v>0</v>
      </c>
      <c r="AB721">
        <f ca="1">(Table1334[[#This Row],[Call Gex]]+Table1334[[#This Row],[Put Gex]])</f>
        <v>0</v>
      </c>
      <c r="AC721">
        <f ca="1">Table1334[[#This Row],[put delta adj]]+Table1334[[#This Row],[call delta adj]]</f>
        <v>0</v>
      </c>
      <c r="AD721">
        <f ca="1">Table1334[[#This Row],[Put Gex]]*Table1334[[#This Row],[DeltaP]]*-1</f>
        <v>0</v>
      </c>
      <c r="AE721">
        <f ca="1">Table1334[[#This Row],[Call Gex]]*Table1334[[#This Row],[DeltaC]]</f>
        <v>0</v>
      </c>
      <c r="AF721">
        <f>IF(Table1334[[#This Row],[DeltaC]]-ABS(Table1334[[#This Row],[DeltaP]])="0","0.01",Table1334[[#This Row],[DeltaC]]-ABS(Table1334[[#This Row],[DeltaP]]))</f>
        <v>0</v>
      </c>
      <c r="AG72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1" t="e">
        <f ca="1">(EXP(-(AG721^2)/2)/SQRT(2*PI())*EXP(0*SQRT(Table1334[[#This Row],[T]]))/$A$4*18%*SQRT(SQRT(Table1334[[#This Row],[T]])))</f>
        <v>#DIV/0!</v>
      </c>
      <c r="AJ721" t="e">
        <f ca="1">(EXP(-(AH721^2)/2)/SQRT(2*PI())*EXP(0*SQRT(Table1334[[#This Row],[T]]))/$A$4*18%*SQRT(SQRT(Table1334[[#This Row],[T]])))</f>
        <v>#DIV/0!</v>
      </c>
      <c r="AK721" t="e">
        <f ca="1">Table1334[[#This Row],[Call D1]]-Table1334[[#This Row],[IV Calc C]]*SQRT(Table1334[[#This Row],[T]])</f>
        <v>#DIV/0!</v>
      </c>
      <c r="AL721" t="e">
        <f ca="1">Table1334[[#This Row],[Put D1]]-Table1334[[#This Row],[IV Calc P]]*SQRT(Table1334[[#This Row],[T]])</f>
        <v>#DIV/0!</v>
      </c>
      <c r="AM721" t="e">
        <f ca="1">EXP(-0.5*Table1334[[#This Row],[Call D1]]^2)/SQRT(2*PI())</f>
        <v>#DIV/0!</v>
      </c>
      <c r="AN721" t="e">
        <f ca="1">EXP(-0.5*Table1334[[#This Row],[Put D1]]^2)/SQRT(2*PI())</f>
        <v>#DIV/0!</v>
      </c>
      <c r="AO72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1">
        <f ca="1">((Table1334[[#This Row],[call vanna]]+Table1334[[#This Row],[put vanna]])*$A$4)</f>
        <v>0</v>
      </c>
      <c r="AR72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1" s="9" t="str" cm="1">
        <f t="array" ref="AT721">_xlfn.IFS(     $M$1="SPX","SPXW",     $M$1="RUT","RUTW",  $M$1="NDX","NDXP",   TRUE,$M$1 )</f>
        <v>SPXW</v>
      </c>
      <c r="AU721" s="2">
        <f t="shared" si="72"/>
        <v>6915</v>
      </c>
      <c r="AV721" t="str">
        <f t="shared" si="73"/>
        <v>000100</v>
      </c>
      <c r="AY72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1">
        <f>((Table1334[[#This Row],[High C]]+Table1334[[#This Row],[Low C]])/2)*Table1334[[#This Row],[gammac]]*Table1334[[#This Row],[Volume]]</f>
        <v>0</v>
      </c>
      <c r="BD721">
        <f>((Table1334[[#This Row],[High P]]+Table1334[[#This Row],[Low P]])/2)*Table1334[[#This Row],[gammap]]*Table1334[[#This Row],[Volume9]]*-1</f>
        <v>0</v>
      </c>
      <c r="BE721">
        <f>(Table1334[[#This Row],[SgammaC]]+Table1334[[#This Row],[SgammaP]])*$A$4*-100</f>
        <v>0</v>
      </c>
      <c r="BF721">
        <f>Table1334[[#This Row],[DEXc]]+Table1334[[#This Row],[DEXp]]</f>
        <v>0</v>
      </c>
      <c r="BG721">
        <f>IFERROR(Table1334[[#This Row],[DeltaC]]*Table1334[[#This Row],[Open.Int]]*$A$4,0)</f>
        <v>0</v>
      </c>
      <c r="BH721">
        <f>IFERROR(Table1334[[#This Row],[DeltaP]]*Table1334[[#This Row],[Open.Int8]]*$A$4,0)</f>
        <v>0</v>
      </c>
      <c r="BI72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1">
        <f ca="1">Table1334[[#This Row],[charmc]]+Table1334[[#This Row],[charmp]]</f>
        <v>0</v>
      </c>
      <c r="BL72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1" s="78">
        <f ca="1">Table1334[[#This Row],[call helper]]+Table1334[[#This Row],[put helper]]</f>
        <v>0</v>
      </c>
      <c r="BP721" t="str">
        <f>RTD("tos.rtd", , "STRIKE", "."&amp;Table1334[[#This Row],[Ticker]]&amp;Table1334[[#This Row],[Expiry]]&amp;""&amp;"C"&amp;Table1334[[#This Row],[Spot]]+Table1334[[#This Row],[step]])</f>
        <v>N/A</v>
      </c>
    </row>
    <row r="722" spans="1:68" x14ac:dyDescent="0.25">
      <c r="A722" s="14">
        <f t="shared" ca="1" si="69"/>
        <v>-126.14810350076104</v>
      </c>
      <c r="C722" s="17"/>
      <c r="D722" t="str">
        <f>RTD("tos.rtd", , "OPEN_INT", "."&amp;Table1334[[#This Row],[Ticker]]&amp;Table1334[[#This Row],[Expiry]]&amp;""&amp;"C"&amp;Table1334[[#This Row],[Spot]]+Table1334[[#This Row],[step]])</f>
        <v>N/A</v>
      </c>
      <c r="E72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2" t="b">
        <f>IF(     ISNUMBER(Table1334[[#This Row],[Strike]]),RTD("tos.rtd", , "DELTA", "."&amp;Table1334[[#This Row],[Ticker]]&amp;Table1334[[#This Row],[Expiry]]&amp;""&amp;"C"&amp;Table1334[[#This Row],[Strike]]))</f>
        <v>0</v>
      </c>
      <c r="H722" s="17" cm="1">
        <f t="array" aca="1" ref="H722" ca="1">IndividualLegIVCore($A$4, Table1334[[#This Row],[Strike]], 0.0411, Table1334[[#This Row],[T]], ((Table1334[[#This Row],[BIDC]]+Table1334[[#This Row],[ASKC]])/2), TRUE)</f>
        <v>0.01</v>
      </c>
      <c r="I722" t="b">
        <f>IF(     ISNUMBER(Table1334[[#This Row],[Strike]]),RTD("tos.rtd", , "BID", "."&amp;Table1334[[#This Row],[Ticker]]&amp;Table1334[[#This Row],[Expiry]]&amp;""&amp;"C"&amp;Table1334[[#This Row],[Strike]]))</f>
        <v>0</v>
      </c>
      <c r="J722" t="b">
        <f>IF(     ISNUMBER(Table1334[[#This Row],[Strike]]),RTD("tos.rtd", , "ASK", "."&amp;Table1334[[#This Row],[Ticker]]&amp;Table1334[[#This Row],[Expiry]]&amp;""&amp;"C"&amp;Table1334[[#This Row],[Strike]]))</f>
        <v>0</v>
      </c>
      <c r="K722" s="17"/>
      <c r="M722" s="1">
        <f t="shared" si="70"/>
        <v>0</v>
      </c>
      <c r="N722" t="b">
        <f t="shared" si="71"/>
        <v>0</v>
      </c>
      <c r="P722" s="17" cm="1">
        <f t="array" aca="1" ref="P722" ca="1">IndividualLegIVCore($A$4, Table1334[[#This Row],[Strike]], 0.0411, Table1334[[#This Row],[T]], ((Table1334[[#This Row],[BIDP]]+Table1334[[#This Row],[ASKP]])/2), FALSE)</f>
        <v>0.01</v>
      </c>
      <c r="Q722" t="b">
        <f>IF(     ISNUMBER(Table1334[[#This Row],[Strike]]),RTD("tos.rtd", , "BID", "."&amp;Table1334[[#This Row],[Ticker]]&amp;Table1334[[#This Row],[Expiry]]&amp;""&amp;"P"&amp;Table1334[[#This Row],[Strike]]))</f>
        <v>0</v>
      </c>
      <c r="R722" t="b">
        <f>IF(     ISNUMBER(Table1334[[#This Row],[Strike]]),RTD("tos.rtd", , "ASK", "."&amp;Table1334[[#This Row],[Ticker]]&amp;Table1334[[#This Row],[Expiry]]&amp;""&amp;"P"&amp;Table1334[[#This Row],[Strike]]))</f>
        <v>0</v>
      </c>
      <c r="S722" s="17"/>
      <c r="T722" t="b">
        <f>IF(     ISNUMBER(Table1334[[#This Row],[Strike]]),RTD("tos.rtd", , "OPEN_INT", "."&amp;Table1334[[#This Row],[Ticker]]&amp;Table1334[[#This Row],[Expiry]]&amp;""&amp;"P"&amp;Table1334[[#This Row],[Strike]]))</f>
        <v>0</v>
      </c>
      <c r="U72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2" t="b">
        <f>IF(     ISNUMBER(Table1334[[#This Row],[Strike]]),RTD("tos.rtd", , "DELTA", "."&amp;Table1334[[#This Row],[Ticker]]&amp;Table1334[[#This Row],[Expiry]]&amp;""&amp;"P"&amp;Table1334[[#This Row],[Strike]]))</f>
        <v>0</v>
      </c>
      <c r="Y722" s="19">
        <f>1.5* IF($M$1="NDX", 10, IF(OR($M$1="SPX", $M$1="RUT"), 2, 1))</f>
        <v>3</v>
      </c>
      <c r="Z722">
        <f ca="1">IFERROR(Table1334[[#This Row],[call gamma]]*(Table1334[[#This Row],[Open.Int]])*$A$4^2,0)</f>
        <v>0</v>
      </c>
      <c r="AA722">
        <f ca="1">IFERROR(((Table1334[[#This Row],[Open.Int8]])*Table1334[[#This Row],[Put gamma]])*-1*$A$4^2,0)</f>
        <v>0</v>
      </c>
      <c r="AB722">
        <f ca="1">(Table1334[[#This Row],[Call Gex]]+Table1334[[#This Row],[Put Gex]])</f>
        <v>0</v>
      </c>
      <c r="AC722">
        <f ca="1">Table1334[[#This Row],[put delta adj]]+Table1334[[#This Row],[call delta adj]]</f>
        <v>0</v>
      </c>
      <c r="AD722">
        <f ca="1">Table1334[[#This Row],[Put Gex]]*Table1334[[#This Row],[DeltaP]]*-1</f>
        <v>0</v>
      </c>
      <c r="AE722">
        <f ca="1">Table1334[[#This Row],[Call Gex]]*Table1334[[#This Row],[DeltaC]]</f>
        <v>0</v>
      </c>
      <c r="AF722">
        <f>IF(Table1334[[#This Row],[DeltaC]]-ABS(Table1334[[#This Row],[DeltaP]])="0","0.01",Table1334[[#This Row],[DeltaC]]-ABS(Table1334[[#This Row],[DeltaP]]))</f>
        <v>0</v>
      </c>
      <c r="AG72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2" t="e">
        <f ca="1">(EXP(-(AG722^2)/2)/SQRT(2*PI())*EXP(0*SQRT(Table1334[[#This Row],[T]]))/$A$4*18%*SQRT(SQRT(Table1334[[#This Row],[T]])))</f>
        <v>#DIV/0!</v>
      </c>
      <c r="AJ722" t="e">
        <f ca="1">(EXP(-(AH722^2)/2)/SQRT(2*PI())*EXP(0*SQRT(Table1334[[#This Row],[T]]))/$A$4*18%*SQRT(SQRT(Table1334[[#This Row],[T]])))</f>
        <v>#DIV/0!</v>
      </c>
      <c r="AK722" t="e">
        <f ca="1">Table1334[[#This Row],[Call D1]]-Table1334[[#This Row],[IV Calc C]]*SQRT(Table1334[[#This Row],[T]])</f>
        <v>#DIV/0!</v>
      </c>
      <c r="AL722" t="e">
        <f ca="1">Table1334[[#This Row],[Put D1]]-Table1334[[#This Row],[IV Calc P]]*SQRT(Table1334[[#This Row],[T]])</f>
        <v>#DIV/0!</v>
      </c>
      <c r="AM722" t="e">
        <f ca="1">EXP(-0.5*Table1334[[#This Row],[Call D1]]^2)/SQRT(2*PI())</f>
        <v>#DIV/0!</v>
      </c>
      <c r="AN722" t="e">
        <f ca="1">EXP(-0.5*Table1334[[#This Row],[Put D1]]^2)/SQRT(2*PI())</f>
        <v>#DIV/0!</v>
      </c>
      <c r="AO72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2">
        <f ca="1">((Table1334[[#This Row],[call vanna]]+Table1334[[#This Row],[put vanna]])*$A$4)</f>
        <v>0</v>
      </c>
      <c r="AR72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2" s="9" t="str" cm="1">
        <f t="array" ref="AT722">_xlfn.IFS(     $M$1="SPX","SPXW",     $M$1="RUT","RUTW",  $M$1="NDX","NDXP",   TRUE,$M$1 )</f>
        <v>SPXW</v>
      </c>
      <c r="AU722" s="2">
        <f t="shared" si="72"/>
        <v>6915</v>
      </c>
      <c r="AV722" t="str">
        <f t="shared" si="73"/>
        <v>000100</v>
      </c>
      <c r="AY72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2">
        <f>((Table1334[[#This Row],[High C]]+Table1334[[#This Row],[Low C]])/2)*Table1334[[#This Row],[gammac]]*Table1334[[#This Row],[Volume]]</f>
        <v>0</v>
      </c>
      <c r="BD722">
        <f>((Table1334[[#This Row],[High P]]+Table1334[[#This Row],[Low P]])/2)*Table1334[[#This Row],[gammap]]*Table1334[[#This Row],[Volume9]]*-1</f>
        <v>0</v>
      </c>
      <c r="BE722">
        <f>(Table1334[[#This Row],[SgammaC]]+Table1334[[#This Row],[SgammaP]])*$A$4*-100</f>
        <v>0</v>
      </c>
      <c r="BF722">
        <f>Table1334[[#This Row],[DEXc]]+Table1334[[#This Row],[DEXp]]</f>
        <v>0</v>
      </c>
      <c r="BG722">
        <f>IFERROR(Table1334[[#This Row],[DeltaC]]*Table1334[[#This Row],[Open.Int]]*$A$4,0)</f>
        <v>0</v>
      </c>
      <c r="BH722">
        <f>IFERROR(Table1334[[#This Row],[DeltaP]]*Table1334[[#This Row],[Open.Int8]]*$A$4,0)</f>
        <v>0</v>
      </c>
      <c r="BI72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2">
        <f ca="1">Table1334[[#This Row],[charmc]]+Table1334[[#This Row],[charmp]]</f>
        <v>0</v>
      </c>
      <c r="BL72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2" s="78">
        <f ca="1">Table1334[[#This Row],[call helper]]+Table1334[[#This Row],[put helper]]</f>
        <v>0</v>
      </c>
      <c r="BP722" t="str">
        <f>RTD("tos.rtd", , "STRIKE", "."&amp;Table1334[[#This Row],[Ticker]]&amp;Table1334[[#This Row],[Expiry]]&amp;""&amp;"C"&amp;Table1334[[#This Row],[Spot]]+Table1334[[#This Row],[step]])</f>
        <v>N/A</v>
      </c>
    </row>
    <row r="723" spans="1:68" x14ac:dyDescent="0.25">
      <c r="A723" s="14">
        <f t="shared" ca="1" si="69"/>
        <v>-126.14810350076104</v>
      </c>
      <c r="C723" s="17"/>
      <c r="D723" t="str">
        <f>RTD("tos.rtd", , "OPEN_INT", "."&amp;Table1334[[#This Row],[Ticker]]&amp;Table1334[[#This Row],[Expiry]]&amp;""&amp;"C"&amp;Table1334[[#This Row],[Spot]]+Table1334[[#This Row],[step]])</f>
        <v>N/A</v>
      </c>
      <c r="E72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3" t="b">
        <f>IF(     ISNUMBER(Table1334[[#This Row],[Strike]]),RTD("tos.rtd", , "DELTA", "."&amp;Table1334[[#This Row],[Ticker]]&amp;Table1334[[#This Row],[Expiry]]&amp;""&amp;"C"&amp;Table1334[[#This Row],[Strike]]))</f>
        <v>0</v>
      </c>
      <c r="H723" s="17" cm="1">
        <f t="array" aca="1" ref="H723" ca="1">IndividualLegIVCore($A$4, Table1334[[#This Row],[Strike]], 0.0411, Table1334[[#This Row],[T]], ((Table1334[[#This Row],[BIDC]]+Table1334[[#This Row],[ASKC]])/2), TRUE)</f>
        <v>0.01</v>
      </c>
      <c r="I723" t="b">
        <f>IF(     ISNUMBER(Table1334[[#This Row],[Strike]]),RTD("tos.rtd", , "BID", "."&amp;Table1334[[#This Row],[Ticker]]&amp;Table1334[[#This Row],[Expiry]]&amp;""&amp;"C"&amp;Table1334[[#This Row],[Strike]]))</f>
        <v>0</v>
      </c>
      <c r="J723" t="b">
        <f>IF(     ISNUMBER(Table1334[[#This Row],[Strike]]),RTD("tos.rtd", , "ASK", "."&amp;Table1334[[#This Row],[Ticker]]&amp;Table1334[[#This Row],[Expiry]]&amp;""&amp;"C"&amp;Table1334[[#This Row],[Strike]]))</f>
        <v>0</v>
      </c>
      <c r="K723" s="17"/>
      <c r="M723" s="1">
        <f t="shared" si="70"/>
        <v>0</v>
      </c>
      <c r="N723" t="b">
        <f t="shared" si="71"/>
        <v>0</v>
      </c>
      <c r="P723" s="17" cm="1">
        <f t="array" aca="1" ref="P723" ca="1">IndividualLegIVCore($A$4, Table1334[[#This Row],[Strike]], 0.0411, Table1334[[#This Row],[T]], ((Table1334[[#This Row],[BIDP]]+Table1334[[#This Row],[ASKP]])/2), FALSE)</f>
        <v>0.01</v>
      </c>
      <c r="Q723" t="b">
        <f>IF(     ISNUMBER(Table1334[[#This Row],[Strike]]),RTD("tos.rtd", , "BID", "."&amp;Table1334[[#This Row],[Ticker]]&amp;Table1334[[#This Row],[Expiry]]&amp;""&amp;"P"&amp;Table1334[[#This Row],[Strike]]))</f>
        <v>0</v>
      </c>
      <c r="R723" t="b">
        <f>IF(     ISNUMBER(Table1334[[#This Row],[Strike]]),RTD("tos.rtd", , "ASK", "."&amp;Table1334[[#This Row],[Ticker]]&amp;Table1334[[#This Row],[Expiry]]&amp;""&amp;"P"&amp;Table1334[[#This Row],[Strike]]))</f>
        <v>0</v>
      </c>
      <c r="S723" s="17"/>
      <c r="T723" t="b">
        <f>IF(     ISNUMBER(Table1334[[#This Row],[Strike]]),RTD("tos.rtd", , "OPEN_INT", "."&amp;Table1334[[#This Row],[Ticker]]&amp;Table1334[[#This Row],[Expiry]]&amp;""&amp;"P"&amp;Table1334[[#This Row],[Strike]]))</f>
        <v>0</v>
      </c>
      <c r="U72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3" t="b">
        <f>IF(     ISNUMBER(Table1334[[#This Row],[Strike]]),RTD("tos.rtd", , "DELTA", "."&amp;Table1334[[#This Row],[Ticker]]&amp;Table1334[[#This Row],[Expiry]]&amp;""&amp;"P"&amp;Table1334[[#This Row],[Strike]]))</f>
        <v>0</v>
      </c>
      <c r="Y723" s="19">
        <f>2 * IF($M$1="NDX", 10, IF(OR($M$1="SPX", $M$1="RUT"), 2, 1))</f>
        <v>4</v>
      </c>
      <c r="Z723">
        <f ca="1">IFERROR(Table1334[[#This Row],[call gamma]]*(Table1334[[#This Row],[Open.Int]])*$A$4^2,0)</f>
        <v>0</v>
      </c>
      <c r="AA723">
        <f ca="1">IFERROR(((Table1334[[#This Row],[Open.Int8]])*Table1334[[#This Row],[Put gamma]])*-1*$A$4^2,0)</f>
        <v>0</v>
      </c>
      <c r="AB723">
        <f ca="1">(Table1334[[#This Row],[Call Gex]]+Table1334[[#This Row],[Put Gex]])</f>
        <v>0</v>
      </c>
      <c r="AC723">
        <f ca="1">Table1334[[#This Row],[put delta adj]]+Table1334[[#This Row],[call delta adj]]</f>
        <v>0</v>
      </c>
      <c r="AD723">
        <f ca="1">Table1334[[#This Row],[Put Gex]]*Table1334[[#This Row],[DeltaP]]*-1</f>
        <v>0</v>
      </c>
      <c r="AE723">
        <f ca="1">Table1334[[#This Row],[Call Gex]]*Table1334[[#This Row],[DeltaC]]</f>
        <v>0</v>
      </c>
      <c r="AF723">
        <f>IF(Table1334[[#This Row],[DeltaC]]-ABS(Table1334[[#This Row],[DeltaP]])="0","0.01",Table1334[[#This Row],[DeltaC]]-ABS(Table1334[[#This Row],[DeltaP]]))</f>
        <v>0</v>
      </c>
      <c r="AG72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3" t="e">
        <f ca="1">(EXP(-(AG723^2)/2)/SQRT(2*PI())*EXP(0*SQRT(Table1334[[#This Row],[T]]))/$A$4*18%*SQRT(SQRT(Table1334[[#This Row],[T]])))</f>
        <v>#DIV/0!</v>
      </c>
      <c r="AJ723" t="e">
        <f ca="1">(EXP(-(AH723^2)/2)/SQRT(2*PI())*EXP(0*SQRT(Table1334[[#This Row],[T]]))/$A$4*18%*SQRT(SQRT(Table1334[[#This Row],[T]])))</f>
        <v>#DIV/0!</v>
      </c>
      <c r="AK723" t="e">
        <f ca="1">Table1334[[#This Row],[Call D1]]-Table1334[[#This Row],[IV Calc C]]*SQRT(Table1334[[#This Row],[T]])</f>
        <v>#DIV/0!</v>
      </c>
      <c r="AL723" t="e">
        <f ca="1">Table1334[[#This Row],[Put D1]]-Table1334[[#This Row],[IV Calc P]]*SQRT(Table1334[[#This Row],[T]])</f>
        <v>#DIV/0!</v>
      </c>
      <c r="AM723" t="e">
        <f ca="1">EXP(-0.5*Table1334[[#This Row],[Call D1]]^2)/SQRT(2*PI())</f>
        <v>#DIV/0!</v>
      </c>
      <c r="AN723" t="e">
        <f ca="1">EXP(-0.5*Table1334[[#This Row],[Put D1]]^2)/SQRT(2*PI())</f>
        <v>#DIV/0!</v>
      </c>
      <c r="AO72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3">
        <f ca="1">((Table1334[[#This Row],[call vanna]]+Table1334[[#This Row],[put vanna]])*$A$4)</f>
        <v>0</v>
      </c>
      <c r="AR72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3" s="9" t="str" cm="1">
        <f t="array" ref="AT723">_xlfn.IFS(     $M$1="SPX","SPXW",     $M$1="RUT","RUTW",  $M$1="NDX","NDXP",   TRUE,$M$1 )</f>
        <v>SPXW</v>
      </c>
      <c r="AU723" s="2">
        <f t="shared" si="72"/>
        <v>6915</v>
      </c>
      <c r="AV723" t="str">
        <f t="shared" si="73"/>
        <v>000100</v>
      </c>
      <c r="AY72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3">
        <f>((Table1334[[#This Row],[High C]]+Table1334[[#This Row],[Low C]])/2)*Table1334[[#This Row],[gammac]]*Table1334[[#This Row],[Volume]]</f>
        <v>0</v>
      </c>
      <c r="BD723">
        <f>((Table1334[[#This Row],[High P]]+Table1334[[#This Row],[Low P]])/2)*Table1334[[#This Row],[gammap]]*Table1334[[#This Row],[Volume9]]*-1</f>
        <v>0</v>
      </c>
      <c r="BE723">
        <f>(Table1334[[#This Row],[SgammaC]]+Table1334[[#This Row],[SgammaP]])*$A$4*-100</f>
        <v>0</v>
      </c>
      <c r="BF723">
        <f>Table1334[[#This Row],[DEXc]]+Table1334[[#This Row],[DEXp]]</f>
        <v>0</v>
      </c>
      <c r="BG723">
        <f>IFERROR(Table1334[[#This Row],[DeltaC]]*Table1334[[#This Row],[Open.Int]]*$A$4,0)</f>
        <v>0</v>
      </c>
      <c r="BH723">
        <f>IFERROR(Table1334[[#This Row],[DeltaP]]*Table1334[[#This Row],[Open.Int8]]*$A$4,0)</f>
        <v>0</v>
      </c>
      <c r="BI72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3">
        <f ca="1">Table1334[[#This Row],[charmc]]+Table1334[[#This Row],[charmp]]</f>
        <v>0</v>
      </c>
      <c r="BL72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3" s="78">
        <f ca="1">Table1334[[#This Row],[call helper]]+Table1334[[#This Row],[put helper]]</f>
        <v>0</v>
      </c>
      <c r="BP723" t="str">
        <f>RTD("tos.rtd", , "STRIKE", "."&amp;Table1334[[#This Row],[Ticker]]&amp;Table1334[[#This Row],[Expiry]]&amp;""&amp;"C"&amp;Table1334[[#This Row],[Spot]]+Table1334[[#This Row],[step]])</f>
        <v>N/A</v>
      </c>
    </row>
    <row r="724" spans="1:68" x14ac:dyDescent="0.25">
      <c r="A724" s="14">
        <f t="shared" ca="1" si="69"/>
        <v>-126.14810350076104</v>
      </c>
      <c r="C724" s="17"/>
      <c r="D724" t="str">
        <f>RTD("tos.rtd", , "OPEN_INT", "."&amp;Table1334[[#This Row],[Ticker]]&amp;Table1334[[#This Row],[Expiry]]&amp;""&amp;"C"&amp;Table1334[[#This Row],[Spot]]+Table1334[[#This Row],[step]])</f>
        <v>N/A</v>
      </c>
      <c r="E72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4" t="b">
        <f>IF(     ISNUMBER(Table1334[[#This Row],[Strike]]),RTD("tos.rtd", , "DELTA", "."&amp;Table1334[[#This Row],[Ticker]]&amp;Table1334[[#This Row],[Expiry]]&amp;""&amp;"C"&amp;Table1334[[#This Row],[Strike]]))</f>
        <v>0</v>
      </c>
      <c r="H724" s="17" cm="1">
        <f t="array" aca="1" ref="H724" ca="1">IndividualLegIVCore($A$4, Table1334[[#This Row],[Strike]], 0.0411, Table1334[[#This Row],[T]], ((Table1334[[#This Row],[BIDC]]+Table1334[[#This Row],[ASKC]])/2), TRUE)</f>
        <v>0.01</v>
      </c>
      <c r="I724" t="b">
        <f>IF(     ISNUMBER(Table1334[[#This Row],[Strike]]),RTD("tos.rtd", , "BID", "."&amp;Table1334[[#This Row],[Ticker]]&amp;Table1334[[#This Row],[Expiry]]&amp;""&amp;"C"&amp;Table1334[[#This Row],[Strike]]))</f>
        <v>0</v>
      </c>
      <c r="J724" t="b">
        <f>IF(     ISNUMBER(Table1334[[#This Row],[Strike]]),RTD("tos.rtd", , "ASK", "."&amp;Table1334[[#This Row],[Ticker]]&amp;Table1334[[#This Row],[Expiry]]&amp;""&amp;"C"&amp;Table1334[[#This Row],[Strike]]))</f>
        <v>0</v>
      </c>
      <c r="K724" s="17"/>
      <c r="M724" s="1">
        <f t="shared" si="70"/>
        <v>0</v>
      </c>
      <c r="N724" t="b">
        <f t="shared" si="71"/>
        <v>0</v>
      </c>
      <c r="P724" s="17" cm="1">
        <f t="array" aca="1" ref="P724" ca="1">IndividualLegIVCore($A$4, Table1334[[#This Row],[Strike]], 0.0411, Table1334[[#This Row],[T]], ((Table1334[[#This Row],[BIDP]]+Table1334[[#This Row],[ASKP]])/2), FALSE)</f>
        <v>0.01</v>
      </c>
      <c r="Q724" t="b">
        <f>IF(     ISNUMBER(Table1334[[#This Row],[Strike]]),RTD("tos.rtd", , "BID", "."&amp;Table1334[[#This Row],[Ticker]]&amp;Table1334[[#This Row],[Expiry]]&amp;""&amp;"P"&amp;Table1334[[#This Row],[Strike]]))</f>
        <v>0</v>
      </c>
      <c r="R724" t="b">
        <f>IF(     ISNUMBER(Table1334[[#This Row],[Strike]]),RTD("tos.rtd", , "ASK", "."&amp;Table1334[[#This Row],[Ticker]]&amp;Table1334[[#This Row],[Expiry]]&amp;""&amp;"P"&amp;Table1334[[#This Row],[Strike]]))</f>
        <v>0</v>
      </c>
      <c r="S724" s="17"/>
      <c r="T724" t="b">
        <f>IF(     ISNUMBER(Table1334[[#This Row],[Strike]]),RTD("tos.rtd", , "OPEN_INT", "."&amp;Table1334[[#This Row],[Ticker]]&amp;Table1334[[#This Row],[Expiry]]&amp;""&amp;"P"&amp;Table1334[[#This Row],[Strike]]))</f>
        <v>0</v>
      </c>
      <c r="U72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4" t="b">
        <f>IF(     ISNUMBER(Table1334[[#This Row],[Strike]]),RTD("tos.rtd", , "DELTA", "."&amp;Table1334[[#This Row],[Ticker]]&amp;Table1334[[#This Row],[Expiry]]&amp;""&amp;"P"&amp;Table1334[[#This Row],[Strike]]))</f>
        <v>0</v>
      </c>
      <c r="Y724" s="19">
        <f>2.5* IF($M$1="NDX", 10, IF(OR($M$1="SPX", $M$1="RUT"), 2, 1))</f>
        <v>5</v>
      </c>
      <c r="Z724">
        <f ca="1">IFERROR(Table1334[[#This Row],[call gamma]]*(Table1334[[#This Row],[Open.Int]])*$A$4^2,0)</f>
        <v>0</v>
      </c>
      <c r="AA724">
        <f ca="1">IFERROR(((Table1334[[#This Row],[Open.Int8]])*Table1334[[#This Row],[Put gamma]])*-1*$A$4^2,0)</f>
        <v>0</v>
      </c>
      <c r="AB724">
        <f ca="1">(Table1334[[#This Row],[Call Gex]]+Table1334[[#This Row],[Put Gex]])</f>
        <v>0</v>
      </c>
      <c r="AC724">
        <f ca="1">Table1334[[#This Row],[put delta adj]]+Table1334[[#This Row],[call delta adj]]</f>
        <v>0</v>
      </c>
      <c r="AD724">
        <f ca="1">Table1334[[#This Row],[Put Gex]]*Table1334[[#This Row],[DeltaP]]*-1</f>
        <v>0</v>
      </c>
      <c r="AE724">
        <f ca="1">Table1334[[#This Row],[Call Gex]]*Table1334[[#This Row],[DeltaC]]</f>
        <v>0</v>
      </c>
      <c r="AF724">
        <f>IF(Table1334[[#This Row],[DeltaC]]-ABS(Table1334[[#This Row],[DeltaP]])="0","0.01",Table1334[[#This Row],[DeltaC]]-ABS(Table1334[[#This Row],[DeltaP]]))</f>
        <v>0</v>
      </c>
      <c r="AG72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4" t="e">
        <f ca="1">(EXP(-(AG724^2)/2)/SQRT(2*PI())*EXP(0*SQRT(Table1334[[#This Row],[T]]))/$A$4*18%*SQRT(SQRT(Table1334[[#This Row],[T]])))</f>
        <v>#DIV/0!</v>
      </c>
      <c r="AJ724" t="e">
        <f ca="1">(EXP(-(AH724^2)/2)/SQRT(2*PI())*EXP(0*SQRT(Table1334[[#This Row],[T]]))/$A$4*18%*SQRT(SQRT(Table1334[[#This Row],[T]])))</f>
        <v>#DIV/0!</v>
      </c>
      <c r="AK724" t="e">
        <f ca="1">Table1334[[#This Row],[Call D1]]-Table1334[[#This Row],[IV Calc C]]*SQRT(Table1334[[#This Row],[T]])</f>
        <v>#DIV/0!</v>
      </c>
      <c r="AL724" t="e">
        <f ca="1">Table1334[[#This Row],[Put D1]]-Table1334[[#This Row],[IV Calc P]]*SQRT(Table1334[[#This Row],[T]])</f>
        <v>#DIV/0!</v>
      </c>
      <c r="AM724" t="e">
        <f ca="1">EXP(-0.5*Table1334[[#This Row],[Call D1]]^2)/SQRT(2*PI())</f>
        <v>#DIV/0!</v>
      </c>
      <c r="AN724" t="e">
        <f ca="1">EXP(-0.5*Table1334[[#This Row],[Put D1]]^2)/SQRT(2*PI())</f>
        <v>#DIV/0!</v>
      </c>
      <c r="AO72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4">
        <f ca="1">((Table1334[[#This Row],[call vanna]]+Table1334[[#This Row],[put vanna]])*$A$4)</f>
        <v>0</v>
      </c>
      <c r="AR72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4" s="9" t="str" cm="1">
        <f t="array" ref="AT724">_xlfn.IFS(     $M$1="SPX","SPXW",     $M$1="RUT","RUTW",  $M$1="NDX","NDXP",   TRUE,$M$1 )</f>
        <v>SPXW</v>
      </c>
      <c r="AU724" s="2">
        <f t="shared" si="72"/>
        <v>6915</v>
      </c>
      <c r="AV724" t="str">
        <f t="shared" si="73"/>
        <v>000100</v>
      </c>
      <c r="AY72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4">
        <f>((Table1334[[#This Row],[High C]]+Table1334[[#This Row],[Low C]])/2)*Table1334[[#This Row],[gammac]]*Table1334[[#This Row],[Volume]]</f>
        <v>0</v>
      </c>
      <c r="BD724">
        <f>((Table1334[[#This Row],[High P]]+Table1334[[#This Row],[Low P]])/2)*Table1334[[#This Row],[gammap]]*Table1334[[#This Row],[Volume9]]*-1</f>
        <v>0</v>
      </c>
      <c r="BE724">
        <f>(Table1334[[#This Row],[SgammaC]]+Table1334[[#This Row],[SgammaP]])*$A$4*-100</f>
        <v>0</v>
      </c>
      <c r="BF724">
        <f>Table1334[[#This Row],[DEXc]]+Table1334[[#This Row],[DEXp]]</f>
        <v>0</v>
      </c>
      <c r="BG724">
        <f>IFERROR(Table1334[[#This Row],[DeltaC]]*Table1334[[#This Row],[Open.Int]]*$A$4,0)</f>
        <v>0</v>
      </c>
      <c r="BH724">
        <f>IFERROR(Table1334[[#This Row],[DeltaP]]*Table1334[[#This Row],[Open.Int8]]*$A$4,0)</f>
        <v>0</v>
      </c>
      <c r="BI72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4">
        <f ca="1">Table1334[[#This Row],[charmc]]+Table1334[[#This Row],[charmp]]</f>
        <v>0</v>
      </c>
      <c r="BL72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4" s="78">
        <f ca="1">Table1334[[#This Row],[call helper]]+Table1334[[#This Row],[put helper]]</f>
        <v>0</v>
      </c>
      <c r="BP724" t="str">
        <f>RTD("tos.rtd", , "STRIKE", "."&amp;Table1334[[#This Row],[Ticker]]&amp;Table1334[[#This Row],[Expiry]]&amp;""&amp;"C"&amp;Table1334[[#This Row],[Spot]]+Table1334[[#This Row],[step]])</f>
        <v>N/A</v>
      </c>
    </row>
    <row r="725" spans="1:68" x14ac:dyDescent="0.25">
      <c r="A725" s="14">
        <f t="shared" ca="1" si="69"/>
        <v>-126.14810350076104</v>
      </c>
      <c r="C725" s="17"/>
      <c r="D725" t="str">
        <f>RTD("tos.rtd", , "OPEN_INT", "."&amp;Table1334[[#This Row],[Ticker]]&amp;Table1334[[#This Row],[Expiry]]&amp;""&amp;"C"&amp;Table1334[[#This Row],[Spot]]+Table1334[[#This Row],[step]])</f>
        <v>N/A</v>
      </c>
      <c r="E72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5" t="b">
        <f>IF(     ISNUMBER(Table1334[[#This Row],[Strike]]),RTD("tos.rtd", , "DELTA", "."&amp;Table1334[[#This Row],[Ticker]]&amp;Table1334[[#This Row],[Expiry]]&amp;""&amp;"C"&amp;Table1334[[#This Row],[Strike]]))</f>
        <v>0</v>
      </c>
      <c r="H725" s="17" cm="1">
        <f t="array" aca="1" ref="H725" ca="1">IndividualLegIVCore($A$4, Table1334[[#This Row],[Strike]], 0.0411, Table1334[[#This Row],[T]], ((Table1334[[#This Row],[BIDC]]+Table1334[[#This Row],[ASKC]])/2), TRUE)</f>
        <v>0.01</v>
      </c>
      <c r="I725" t="b">
        <f>IF(     ISNUMBER(Table1334[[#This Row],[Strike]]),RTD("tos.rtd", , "BID", "."&amp;Table1334[[#This Row],[Ticker]]&amp;Table1334[[#This Row],[Expiry]]&amp;""&amp;"C"&amp;Table1334[[#This Row],[Strike]]))</f>
        <v>0</v>
      </c>
      <c r="J725" t="b">
        <f>IF(     ISNUMBER(Table1334[[#This Row],[Strike]]),RTD("tos.rtd", , "ASK", "."&amp;Table1334[[#This Row],[Ticker]]&amp;Table1334[[#This Row],[Expiry]]&amp;""&amp;"C"&amp;Table1334[[#This Row],[Strike]]))</f>
        <v>0</v>
      </c>
      <c r="K725" s="17"/>
      <c r="M725" s="1">
        <f t="shared" si="70"/>
        <v>0</v>
      </c>
      <c r="N725" t="b">
        <f t="shared" si="71"/>
        <v>0</v>
      </c>
      <c r="P725" s="17" cm="1">
        <f t="array" aca="1" ref="P725" ca="1">IndividualLegIVCore($A$4, Table1334[[#This Row],[Strike]], 0.0411, Table1334[[#This Row],[T]], ((Table1334[[#This Row],[BIDP]]+Table1334[[#This Row],[ASKP]])/2), FALSE)</f>
        <v>0.01</v>
      </c>
      <c r="Q725" t="b">
        <f>IF(     ISNUMBER(Table1334[[#This Row],[Strike]]),RTD("tos.rtd", , "BID", "."&amp;Table1334[[#This Row],[Ticker]]&amp;Table1334[[#This Row],[Expiry]]&amp;""&amp;"P"&amp;Table1334[[#This Row],[Strike]]))</f>
        <v>0</v>
      </c>
      <c r="R725" t="b">
        <f>IF(     ISNUMBER(Table1334[[#This Row],[Strike]]),RTD("tos.rtd", , "ASK", "."&amp;Table1334[[#This Row],[Ticker]]&amp;Table1334[[#This Row],[Expiry]]&amp;""&amp;"P"&amp;Table1334[[#This Row],[Strike]]))</f>
        <v>0</v>
      </c>
      <c r="S725" s="17"/>
      <c r="T725" t="b">
        <f>IF(     ISNUMBER(Table1334[[#This Row],[Strike]]),RTD("tos.rtd", , "OPEN_INT", "."&amp;Table1334[[#This Row],[Ticker]]&amp;Table1334[[#This Row],[Expiry]]&amp;""&amp;"P"&amp;Table1334[[#This Row],[Strike]]))</f>
        <v>0</v>
      </c>
      <c r="U72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5" t="b">
        <f>IF(     ISNUMBER(Table1334[[#This Row],[Strike]]),RTD("tos.rtd", , "DELTA", "."&amp;Table1334[[#This Row],[Ticker]]&amp;Table1334[[#This Row],[Expiry]]&amp;""&amp;"P"&amp;Table1334[[#This Row],[Strike]]))</f>
        <v>0</v>
      </c>
      <c r="Y725" s="19">
        <f>3* IF($M$1="NDX", 10, IF(OR($M$1="SPX", $M$1="RUT"), 2, 1))</f>
        <v>6</v>
      </c>
      <c r="Z725">
        <f ca="1">IFERROR(Table1334[[#This Row],[call gamma]]*(Table1334[[#This Row],[Open.Int]])*$A$4^2,0)</f>
        <v>0</v>
      </c>
      <c r="AA725">
        <f ca="1">IFERROR(((Table1334[[#This Row],[Open.Int8]])*Table1334[[#This Row],[Put gamma]])*-1*$A$4^2,0)</f>
        <v>0</v>
      </c>
      <c r="AB725">
        <f ca="1">(Table1334[[#This Row],[Call Gex]]+Table1334[[#This Row],[Put Gex]])</f>
        <v>0</v>
      </c>
      <c r="AC725">
        <f ca="1">Table1334[[#This Row],[put delta adj]]+Table1334[[#This Row],[call delta adj]]</f>
        <v>0</v>
      </c>
      <c r="AD725">
        <f ca="1">Table1334[[#This Row],[Put Gex]]*Table1334[[#This Row],[DeltaP]]*-1</f>
        <v>0</v>
      </c>
      <c r="AE725">
        <f ca="1">Table1334[[#This Row],[Call Gex]]*Table1334[[#This Row],[DeltaC]]</f>
        <v>0</v>
      </c>
      <c r="AF725">
        <f>IF(Table1334[[#This Row],[DeltaC]]-ABS(Table1334[[#This Row],[DeltaP]])="0","0.01",Table1334[[#This Row],[DeltaC]]-ABS(Table1334[[#This Row],[DeltaP]]))</f>
        <v>0</v>
      </c>
      <c r="AG72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5" t="e">
        <f ca="1">(EXP(-(AG725^2)/2)/SQRT(2*PI())*EXP(0*SQRT(Table1334[[#This Row],[T]]))/$A$4*18%*SQRT(SQRT(Table1334[[#This Row],[T]])))</f>
        <v>#DIV/0!</v>
      </c>
      <c r="AJ725" t="e">
        <f ca="1">(EXP(-(AH725^2)/2)/SQRT(2*PI())*EXP(0*SQRT(Table1334[[#This Row],[T]]))/$A$4*18%*SQRT(SQRT(Table1334[[#This Row],[T]])))</f>
        <v>#DIV/0!</v>
      </c>
      <c r="AK725" t="e">
        <f ca="1">Table1334[[#This Row],[Call D1]]-Table1334[[#This Row],[IV Calc C]]*SQRT(Table1334[[#This Row],[T]])</f>
        <v>#DIV/0!</v>
      </c>
      <c r="AL725" t="e">
        <f ca="1">Table1334[[#This Row],[Put D1]]-Table1334[[#This Row],[IV Calc P]]*SQRT(Table1334[[#This Row],[T]])</f>
        <v>#DIV/0!</v>
      </c>
      <c r="AM725" t="e">
        <f ca="1">EXP(-0.5*Table1334[[#This Row],[Call D1]]^2)/SQRT(2*PI())</f>
        <v>#DIV/0!</v>
      </c>
      <c r="AN725" t="e">
        <f ca="1">EXP(-0.5*Table1334[[#This Row],[Put D1]]^2)/SQRT(2*PI())</f>
        <v>#DIV/0!</v>
      </c>
      <c r="AO72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5">
        <f ca="1">((Table1334[[#This Row],[call vanna]]+Table1334[[#This Row],[put vanna]])*$A$4)</f>
        <v>0</v>
      </c>
      <c r="AR72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5" s="9" t="str" cm="1">
        <f t="array" ref="AT725">_xlfn.IFS(     $M$1="SPX","SPXW",     $M$1="RUT","RUTW",  $M$1="NDX","NDXP",   TRUE,$M$1 )</f>
        <v>SPXW</v>
      </c>
      <c r="AU725" s="2">
        <f t="shared" si="72"/>
        <v>6915</v>
      </c>
      <c r="AV725" t="str">
        <f t="shared" si="73"/>
        <v>000100</v>
      </c>
      <c r="AY72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5">
        <f>((Table1334[[#This Row],[High C]]+Table1334[[#This Row],[Low C]])/2)*Table1334[[#This Row],[gammac]]*Table1334[[#This Row],[Volume]]</f>
        <v>0</v>
      </c>
      <c r="BD725">
        <f>((Table1334[[#This Row],[High P]]+Table1334[[#This Row],[Low P]])/2)*Table1334[[#This Row],[gammap]]*Table1334[[#This Row],[Volume9]]*-1</f>
        <v>0</v>
      </c>
      <c r="BE725">
        <f>(Table1334[[#This Row],[SgammaC]]+Table1334[[#This Row],[SgammaP]])*$A$4*-100</f>
        <v>0</v>
      </c>
      <c r="BF725">
        <f>Table1334[[#This Row],[DEXc]]+Table1334[[#This Row],[DEXp]]</f>
        <v>0</v>
      </c>
      <c r="BG725">
        <f>IFERROR(Table1334[[#This Row],[DeltaC]]*Table1334[[#This Row],[Open.Int]]*$A$4,0)</f>
        <v>0</v>
      </c>
      <c r="BH725">
        <f>IFERROR(Table1334[[#This Row],[DeltaP]]*Table1334[[#This Row],[Open.Int8]]*$A$4,0)</f>
        <v>0</v>
      </c>
      <c r="BI72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5">
        <f ca="1">Table1334[[#This Row],[charmc]]+Table1334[[#This Row],[charmp]]</f>
        <v>0</v>
      </c>
      <c r="BL72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5" s="78">
        <f ca="1">Table1334[[#This Row],[call helper]]+Table1334[[#This Row],[put helper]]</f>
        <v>0</v>
      </c>
      <c r="BP725" t="str">
        <f>RTD("tos.rtd", , "STRIKE", "."&amp;Table1334[[#This Row],[Ticker]]&amp;Table1334[[#This Row],[Expiry]]&amp;""&amp;"C"&amp;Table1334[[#This Row],[Spot]]+Table1334[[#This Row],[step]])</f>
        <v>N/A</v>
      </c>
    </row>
    <row r="726" spans="1:68" x14ac:dyDescent="0.25">
      <c r="A726" s="14">
        <f t="shared" ca="1" si="69"/>
        <v>-126.14810350076104</v>
      </c>
      <c r="C726" s="17"/>
      <c r="D726" t="str">
        <f>RTD("tos.rtd", , "OPEN_INT", "."&amp;Table1334[[#This Row],[Ticker]]&amp;Table1334[[#This Row],[Expiry]]&amp;""&amp;"C"&amp;Table1334[[#This Row],[Spot]]+Table1334[[#This Row],[step]])</f>
        <v>N/A</v>
      </c>
      <c r="E72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6" t="b">
        <f>IF(     ISNUMBER(Table1334[[#This Row],[Strike]]),RTD("tos.rtd", , "DELTA", "."&amp;Table1334[[#This Row],[Ticker]]&amp;Table1334[[#This Row],[Expiry]]&amp;""&amp;"C"&amp;Table1334[[#This Row],[Strike]]))</f>
        <v>0</v>
      </c>
      <c r="H726" s="17" cm="1">
        <f t="array" aca="1" ref="H726" ca="1">IndividualLegIVCore($A$4, Table1334[[#This Row],[Strike]], 0.0411, Table1334[[#This Row],[T]], ((Table1334[[#This Row],[BIDC]]+Table1334[[#This Row],[ASKC]])/2), TRUE)</f>
        <v>0.01</v>
      </c>
      <c r="I726" t="b">
        <f>IF(     ISNUMBER(Table1334[[#This Row],[Strike]]),RTD("tos.rtd", , "BID", "."&amp;Table1334[[#This Row],[Ticker]]&amp;Table1334[[#This Row],[Expiry]]&amp;""&amp;"C"&amp;Table1334[[#This Row],[Strike]]))</f>
        <v>0</v>
      </c>
      <c r="J726" t="b">
        <f>IF(     ISNUMBER(Table1334[[#This Row],[Strike]]),RTD("tos.rtd", , "ASK", "."&amp;Table1334[[#This Row],[Ticker]]&amp;Table1334[[#This Row],[Expiry]]&amp;""&amp;"C"&amp;Table1334[[#This Row],[Strike]]))</f>
        <v>0</v>
      </c>
      <c r="K726" s="17"/>
      <c r="M726" s="1">
        <f t="shared" si="70"/>
        <v>0</v>
      </c>
      <c r="N726" t="b">
        <f t="shared" si="71"/>
        <v>0</v>
      </c>
      <c r="P726" s="17" cm="1">
        <f t="array" aca="1" ref="P726" ca="1">IndividualLegIVCore($A$4, Table1334[[#This Row],[Strike]], 0.0411, Table1334[[#This Row],[T]], ((Table1334[[#This Row],[BIDP]]+Table1334[[#This Row],[ASKP]])/2), FALSE)</f>
        <v>0.01</v>
      </c>
      <c r="Q726" t="b">
        <f>IF(     ISNUMBER(Table1334[[#This Row],[Strike]]),RTD("tos.rtd", , "BID", "."&amp;Table1334[[#This Row],[Ticker]]&amp;Table1334[[#This Row],[Expiry]]&amp;""&amp;"P"&amp;Table1334[[#This Row],[Strike]]))</f>
        <v>0</v>
      </c>
      <c r="R726" t="b">
        <f>IF(     ISNUMBER(Table1334[[#This Row],[Strike]]),RTD("tos.rtd", , "ASK", "."&amp;Table1334[[#This Row],[Ticker]]&amp;Table1334[[#This Row],[Expiry]]&amp;""&amp;"P"&amp;Table1334[[#This Row],[Strike]]))</f>
        <v>0</v>
      </c>
      <c r="S726" s="17"/>
      <c r="T726" t="b">
        <f>IF(     ISNUMBER(Table1334[[#This Row],[Strike]]),RTD("tos.rtd", , "OPEN_INT", "."&amp;Table1334[[#This Row],[Ticker]]&amp;Table1334[[#This Row],[Expiry]]&amp;""&amp;"P"&amp;Table1334[[#This Row],[Strike]]))</f>
        <v>0</v>
      </c>
      <c r="U72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6" t="b">
        <f>IF(     ISNUMBER(Table1334[[#This Row],[Strike]]),RTD("tos.rtd", , "DELTA", "."&amp;Table1334[[#This Row],[Ticker]]&amp;Table1334[[#This Row],[Expiry]]&amp;""&amp;"P"&amp;Table1334[[#This Row],[Strike]]))</f>
        <v>0</v>
      </c>
      <c r="Y726" s="19">
        <f>3.5* IF($M$1="NDX", 10, IF(OR($M$1="SPX", $M$1="RUT"), 2, 1))</f>
        <v>7</v>
      </c>
      <c r="Z726">
        <f ca="1">IFERROR(Table1334[[#This Row],[call gamma]]*(Table1334[[#This Row],[Open.Int]])*$A$4^2,0)</f>
        <v>0</v>
      </c>
      <c r="AA726">
        <f ca="1">IFERROR(((Table1334[[#This Row],[Open.Int8]])*Table1334[[#This Row],[Put gamma]])*-1*$A$4^2,0)</f>
        <v>0</v>
      </c>
      <c r="AB726">
        <f ca="1">(Table1334[[#This Row],[Call Gex]]+Table1334[[#This Row],[Put Gex]])</f>
        <v>0</v>
      </c>
      <c r="AC726">
        <f ca="1">Table1334[[#This Row],[put delta adj]]+Table1334[[#This Row],[call delta adj]]</f>
        <v>0</v>
      </c>
      <c r="AD726">
        <f ca="1">Table1334[[#This Row],[Put Gex]]*Table1334[[#This Row],[DeltaP]]*-1</f>
        <v>0</v>
      </c>
      <c r="AE726">
        <f ca="1">Table1334[[#This Row],[Call Gex]]*Table1334[[#This Row],[DeltaC]]</f>
        <v>0</v>
      </c>
      <c r="AF726">
        <f>IF(Table1334[[#This Row],[DeltaC]]-ABS(Table1334[[#This Row],[DeltaP]])="0","0.01",Table1334[[#This Row],[DeltaC]]-ABS(Table1334[[#This Row],[DeltaP]]))</f>
        <v>0</v>
      </c>
      <c r="AG72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6" t="e">
        <f ca="1">(EXP(-(AG726^2)/2)/SQRT(2*PI())*EXP(0*SQRT(Table1334[[#This Row],[T]]))/$A$4*18%*SQRT(SQRT(Table1334[[#This Row],[T]])))</f>
        <v>#DIV/0!</v>
      </c>
      <c r="AJ726" t="e">
        <f ca="1">(EXP(-(AH726^2)/2)/SQRT(2*PI())*EXP(0*SQRT(Table1334[[#This Row],[T]]))/$A$4*18%*SQRT(SQRT(Table1334[[#This Row],[T]])))</f>
        <v>#DIV/0!</v>
      </c>
      <c r="AK726" t="e">
        <f ca="1">Table1334[[#This Row],[Call D1]]-Table1334[[#This Row],[IV Calc C]]*SQRT(Table1334[[#This Row],[T]])</f>
        <v>#DIV/0!</v>
      </c>
      <c r="AL726" t="e">
        <f ca="1">Table1334[[#This Row],[Put D1]]-Table1334[[#This Row],[IV Calc P]]*SQRT(Table1334[[#This Row],[T]])</f>
        <v>#DIV/0!</v>
      </c>
      <c r="AM726" t="e">
        <f ca="1">EXP(-0.5*Table1334[[#This Row],[Call D1]]^2)/SQRT(2*PI())</f>
        <v>#DIV/0!</v>
      </c>
      <c r="AN726" t="e">
        <f ca="1">EXP(-0.5*Table1334[[#This Row],[Put D1]]^2)/SQRT(2*PI())</f>
        <v>#DIV/0!</v>
      </c>
      <c r="AO72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6">
        <f ca="1">((Table1334[[#This Row],[call vanna]]+Table1334[[#This Row],[put vanna]])*$A$4)</f>
        <v>0</v>
      </c>
      <c r="AR72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6" s="9" t="str" cm="1">
        <f t="array" ref="AT726">_xlfn.IFS(     $M$1="SPX","SPXW",     $M$1="RUT","RUTW",  $M$1="NDX","NDXP",   TRUE,$M$1 )</f>
        <v>SPXW</v>
      </c>
      <c r="AU726" s="2">
        <f t="shared" si="72"/>
        <v>6915</v>
      </c>
      <c r="AV726" t="str">
        <f t="shared" si="73"/>
        <v>000100</v>
      </c>
      <c r="AY72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6">
        <f>((Table1334[[#This Row],[High C]]+Table1334[[#This Row],[Low C]])/2)*Table1334[[#This Row],[gammac]]*Table1334[[#This Row],[Volume]]</f>
        <v>0</v>
      </c>
      <c r="BD726">
        <f>((Table1334[[#This Row],[High P]]+Table1334[[#This Row],[Low P]])/2)*Table1334[[#This Row],[gammap]]*Table1334[[#This Row],[Volume9]]*-1</f>
        <v>0</v>
      </c>
      <c r="BE726">
        <f>(Table1334[[#This Row],[SgammaC]]+Table1334[[#This Row],[SgammaP]])*$A$4*-100</f>
        <v>0</v>
      </c>
      <c r="BF726">
        <f>Table1334[[#This Row],[DEXc]]+Table1334[[#This Row],[DEXp]]</f>
        <v>0</v>
      </c>
      <c r="BG726">
        <f>IFERROR(Table1334[[#This Row],[DeltaC]]*Table1334[[#This Row],[Open.Int]]*$A$4,0)</f>
        <v>0</v>
      </c>
      <c r="BH726">
        <f>IFERROR(Table1334[[#This Row],[DeltaP]]*Table1334[[#This Row],[Open.Int8]]*$A$4,0)</f>
        <v>0</v>
      </c>
      <c r="BI72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6">
        <f ca="1">Table1334[[#This Row],[charmc]]+Table1334[[#This Row],[charmp]]</f>
        <v>0</v>
      </c>
      <c r="BL72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6" s="78">
        <f ca="1">Table1334[[#This Row],[call helper]]+Table1334[[#This Row],[put helper]]</f>
        <v>0</v>
      </c>
      <c r="BP726" t="str">
        <f>RTD("tos.rtd", , "STRIKE", "."&amp;Table1334[[#This Row],[Ticker]]&amp;Table1334[[#This Row],[Expiry]]&amp;""&amp;"C"&amp;Table1334[[#This Row],[Spot]]+Table1334[[#This Row],[step]])</f>
        <v>N/A</v>
      </c>
    </row>
    <row r="727" spans="1:68" x14ac:dyDescent="0.25">
      <c r="A727" s="14">
        <f t="shared" ca="1" si="69"/>
        <v>-126.14810350076104</v>
      </c>
      <c r="C727" s="17"/>
      <c r="D727" t="str">
        <f>RTD("tos.rtd", , "OPEN_INT", "."&amp;Table1334[[#This Row],[Ticker]]&amp;Table1334[[#This Row],[Expiry]]&amp;""&amp;"C"&amp;Table1334[[#This Row],[Spot]]+Table1334[[#This Row],[step]])</f>
        <v>N/A</v>
      </c>
      <c r="E72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7" t="b">
        <f>IF(     ISNUMBER(Table1334[[#This Row],[Strike]]),RTD("tos.rtd", , "DELTA", "."&amp;Table1334[[#This Row],[Ticker]]&amp;Table1334[[#This Row],[Expiry]]&amp;""&amp;"C"&amp;Table1334[[#This Row],[Strike]]))</f>
        <v>0</v>
      </c>
      <c r="H727" s="17" cm="1">
        <f t="array" aca="1" ref="H727" ca="1">IndividualLegIVCore($A$4, Table1334[[#This Row],[Strike]], 0.0411, Table1334[[#This Row],[T]], ((Table1334[[#This Row],[BIDC]]+Table1334[[#This Row],[ASKC]])/2), TRUE)</f>
        <v>0.01</v>
      </c>
      <c r="I727" t="b">
        <f>IF(     ISNUMBER(Table1334[[#This Row],[Strike]]),RTD("tos.rtd", , "BID", "."&amp;Table1334[[#This Row],[Ticker]]&amp;Table1334[[#This Row],[Expiry]]&amp;""&amp;"C"&amp;Table1334[[#This Row],[Strike]]))</f>
        <v>0</v>
      </c>
      <c r="J727" t="b">
        <f>IF(     ISNUMBER(Table1334[[#This Row],[Strike]]),RTD("tos.rtd", , "ASK", "."&amp;Table1334[[#This Row],[Ticker]]&amp;Table1334[[#This Row],[Expiry]]&amp;""&amp;"C"&amp;Table1334[[#This Row],[Strike]]))</f>
        <v>0</v>
      </c>
      <c r="K727" s="17"/>
      <c r="M727" s="1">
        <f t="shared" si="70"/>
        <v>0</v>
      </c>
      <c r="N727" t="b">
        <f t="shared" si="71"/>
        <v>0</v>
      </c>
      <c r="P727" s="17" cm="1">
        <f t="array" aca="1" ref="P727" ca="1">IndividualLegIVCore($A$4, Table1334[[#This Row],[Strike]], 0.0411, Table1334[[#This Row],[T]], ((Table1334[[#This Row],[BIDP]]+Table1334[[#This Row],[ASKP]])/2), FALSE)</f>
        <v>0.01</v>
      </c>
      <c r="Q727" t="b">
        <f>IF(     ISNUMBER(Table1334[[#This Row],[Strike]]),RTD("tos.rtd", , "BID", "."&amp;Table1334[[#This Row],[Ticker]]&amp;Table1334[[#This Row],[Expiry]]&amp;""&amp;"P"&amp;Table1334[[#This Row],[Strike]]))</f>
        <v>0</v>
      </c>
      <c r="R727" t="b">
        <f>IF(     ISNUMBER(Table1334[[#This Row],[Strike]]),RTD("tos.rtd", , "ASK", "."&amp;Table1334[[#This Row],[Ticker]]&amp;Table1334[[#This Row],[Expiry]]&amp;""&amp;"P"&amp;Table1334[[#This Row],[Strike]]))</f>
        <v>0</v>
      </c>
      <c r="S727" s="17"/>
      <c r="T727" t="b">
        <f>IF(     ISNUMBER(Table1334[[#This Row],[Strike]]),RTD("tos.rtd", , "OPEN_INT", "."&amp;Table1334[[#This Row],[Ticker]]&amp;Table1334[[#This Row],[Expiry]]&amp;""&amp;"P"&amp;Table1334[[#This Row],[Strike]]))</f>
        <v>0</v>
      </c>
      <c r="U72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7" t="b">
        <f>IF(     ISNUMBER(Table1334[[#This Row],[Strike]]),RTD("tos.rtd", , "DELTA", "."&amp;Table1334[[#This Row],[Ticker]]&amp;Table1334[[#This Row],[Expiry]]&amp;""&amp;"P"&amp;Table1334[[#This Row],[Strike]]))</f>
        <v>0</v>
      </c>
      <c r="Y727" s="19">
        <f>4* IF($M$1="NDX", 10, IF(OR($M$1="SPX", $M$1="RUT"), 2, 1))</f>
        <v>8</v>
      </c>
      <c r="Z727">
        <f ca="1">IFERROR(Table1334[[#This Row],[call gamma]]*(Table1334[[#This Row],[Open.Int]])*$A$4^2,0)</f>
        <v>0</v>
      </c>
      <c r="AA727">
        <f ca="1">IFERROR(((Table1334[[#This Row],[Open.Int8]])*Table1334[[#This Row],[Put gamma]])*-1*$A$4^2,0)</f>
        <v>0</v>
      </c>
      <c r="AB727">
        <f ca="1">(Table1334[[#This Row],[Call Gex]]+Table1334[[#This Row],[Put Gex]])</f>
        <v>0</v>
      </c>
      <c r="AC727">
        <f ca="1">Table1334[[#This Row],[put delta adj]]+Table1334[[#This Row],[call delta adj]]</f>
        <v>0</v>
      </c>
      <c r="AD727">
        <f ca="1">Table1334[[#This Row],[Put Gex]]*Table1334[[#This Row],[DeltaP]]*-1</f>
        <v>0</v>
      </c>
      <c r="AE727">
        <f ca="1">Table1334[[#This Row],[Call Gex]]*Table1334[[#This Row],[DeltaC]]</f>
        <v>0</v>
      </c>
      <c r="AF727">
        <f>IF(Table1334[[#This Row],[DeltaC]]-ABS(Table1334[[#This Row],[DeltaP]])="0","0.01",Table1334[[#This Row],[DeltaC]]-ABS(Table1334[[#This Row],[DeltaP]]))</f>
        <v>0</v>
      </c>
      <c r="AG72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7" t="e">
        <f ca="1">(EXP(-(AG727^2)/2)/SQRT(2*PI())*EXP(0*SQRT(Table1334[[#This Row],[T]]))/$A$4*18%*SQRT(SQRT(Table1334[[#This Row],[T]])))</f>
        <v>#DIV/0!</v>
      </c>
      <c r="AJ727" t="e">
        <f ca="1">(EXP(-(AH727^2)/2)/SQRT(2*PI())*EXP(0*SQRT(Table1334[[#This Row],[T]]))/$A$4*18%*SQRT(SQRT(Table1334[[#This Row],[T]])))</f>
        <v>#DIV/0!</v>
      </c>
      <c r="AK727" t="e">
        <f ca="1">Table1334[[#This Row],[Call D1]]-Table1334[[#This Row],[IV Calc C]]*SQRT(Table1334[[#This Row],[T]])</f>
        <v>#DIV/0!</v>
      </c>
      <c r="AL727" t="e">
        <f ca="1">Table1334[[#This Row],[Put D1]]-Table1334[[#This Row],[IV Calc P]]*SQRT(Table1334[[#This Row],[T]])</f>
        <v>#DIV/0!</v>
      </c>
      <c r="AM727" t="e">
        <f ca="1">EXP(-0.5*Table1334[[#This Row],[Call D1]]^2)/SQRT(2*PI())</f>
        <v>#DIV/0!</v>
      </c>
      <c r="AN727" t="e">
        <f ca="1">EXP(-0.5*Table1334[[#This Row],[Put D1]]^2)/SQRT(2*PI())</f>
        <v>#DIV/0!</v>
      </c>
      <c r="AO72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7">
        <f ca="1">((Table1334[[#This Row],[call vanna]]+Table1334[[#This Row],[put vanna]])*$A$4)</f>
        <v>0</v>
      </c>
      <c r="AR72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7" s="9" t="str" cm="1">
        <f t="array" ref="AT727">_xlfn.IFS(     $M$1="SPX","SPXW",     $M$1="RUT","RUTW",  $M$1="NDX","NDXP",   TRUE,$M$1 )</f>
        <v>SPXW</v>
      </c>
      <c r="AU727" s="2">
        <f t="shared" si="72"/>
        <v>6915</v>
      </c>
      <c r="AV727" t="str">
        <f t="shared" si="73"/>
        <v>000100</v>
      </c>
      <c r="AY72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7">
        <f>((Table1334[[#This Row],[High C]]+Table1334[[#This Row],[Low C]])/2)*Table1334[[#This Row],[gammac]]*Table1334[[#This Row],[Volume]]</f>
        <v>0</v>
      </c>
      <c r="BD727">
        <f>((Table1334[[#This Row],[High P]]+Table1334[[#This Row],[Low P]])/2)*Table1334[[#This Row],[gammap]]*Table1334[[#This Row],[Volume9]]*-1</f>
        <v>0</v>
      </c>
      <c r="BE727">
        <f>(Table1334[[#This Row],[SgammaC]]+Table1334[[#This Row],[SgammaP]])*$A$4*-100</f>
        <v>0</v>
      </c>
      <c r="BF727">
        <f>Table1334[[#This Row],[DEXc]]+Table1334[[#This Row],[DEXp]]</f>
        <v>0</v>
      </c>
      <c r="BG727">
        <f>IFERROR(Table1334[[#This Row],[DeltaC]]*Table1334[[#This Row],[Open.Int]]*$A$4,0)</f>
        <v>0</v>
      </c>
      <c r="BH727">
        <f>IFERROR(Table1334[[#This Row],[DeltaP]]*Table1334[[#This Row],[Open.Int8]]*$A$4,0)</f>
        <v>0</v>
      </c>
      <c r="BI72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7">
        <f ca="1">Table1334[[#This Row],[charmc]]+Table1334[[#This Row],[charmp]]</f>
        <v>0</v>
      </c>
      <c r="BL72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7" s="78">
        <f ca="1">Table1334[[#This Row],[call helper]]+Table1334[[#This Row],[put helper]]</f>
        <v>0</v>
      </c>
      <c r="BP727" t="str">
        <f>RTD("tos.rtd", , "STRIKE", "."&amp;Table1334[[#This Row],[Ticker]]&amp;Table1334[[#This Row],[Expiry]]&amp;""&amp;"C"&amp;Table1334[[#This Row],[Spot]]+Table1334[[#This Row],[step]])</f>
        <v>N/A</v>
      </c>
    </row>
    <row r="728" spans="1:68" x14ac:dyDescent="0.25">
      <c r="A728" s="14">
        <f t="shared" ca="1" si="69"/>
        <v>-126.14810350076104</v>
      </c>
      <c r="C728" s="17"/>
      <c r="D728" t="str">
        <f>RTD("tos.rtd", , "OPEN_INT", "."&amp;Table1334[[#This Row],[Ticker]]&amp;Table1334[[#This Row],[Expiry]]&amp;""&amp;"C"&amp;Table1334[[#This Row],[Spot]]+Table1334[[#This Row],[step]])</f>
        <v>N/A</v>
      </c>
      <c r="E72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8" t="b">
        <f>IF(     ISNUMBER(Table1334[[#This Row],[Strike]]),RTD("tos.rtd", , "DELTA", "."&amp;Table1334[[#This Row],[Ticker]]&amp;Table1334[[#This Row],[Expiry]]&amp;""&amp;"C"&amp;Table1334[[#This Row],[Strike]]))</f>
        <v>0</v>
      </c>
      <c r="H728" s="17" cm="1">
        <f t="array" aca="1" ref="H728" ca="1">IndividualLegIVCore($A$4, Table1334[[#This Row],[Strike]], 0.0411, Table1334[[#This Row],[T]], ((Table1334[[#This Row],[BIDC]]+Table1334[[#This Row],[ASKC]])/2), TRUE)</f>
        <v>0.01</v>
      </c>
      <c r="I728" t="b">
        <f>IF(     ISNUMBER(Table1334[[#This Row],[Strike]]),RTD("tos.rtd", , "BID", "."&amp;Table1334[[#This Row],[Ticker]]&amp;Table1334[[#This Row],[Expiry]]&amp;""&amp;"C"&amp;Table1334[[#This Row],[Strike]]))</f>
        <v>0</v>
      </c>
      <c r="J728" t="b">
        <f>IF(     ISNUMBER(Table1334[[#This Row],[Strike]]),RTD("tos.rtd", , "ASK", "."&amp;Table1334[[#This Row],[Ticker]]&amp;Table1334[[#This Row],[Expiry]]&amp;""&amp;"C"&amp;Table1334[[#This Row],[Strike]]))</f>
        <v>0</v>
      </c>
      <c r="K728" s="17"/>
      <c r="M728" s="1">
        <f t="shared" si="70"/>
        <v>0</v>
      </c>
      <c r="N728" t="b">
        <f t="shared" si="71"/>
        <v>0</v>
      </c>
      <c r="P728" s="17" cm="1">
        <f t="array" aca="1" ref="P728" ca="1">IndividualLegIVCore($A$4, Table1334[[#This Row],[Strike]], 0.0411, Table1334[[#This Row],[T]], ((Table1334[[#This Row],[BIDP]]+Table1334[[#This Row],[ASKP]])/2), FALSE)</f>
        <v>0.01</v>
      </c>
      <c r="Q728" t="b">
        <f>IF(     ISNUMBER(Table1334[[#This Row],[Strike]]),RTD("tos.rtd", , "BID", "."&amp;Table1334[[#This Row],[Ticker]]&amp;Table1334[[#This Row],[Expiry]]&amp;""&amp;"P"&amp;Table1334[[#This Row],[Strike]]))</f>
        <v>0</v>
      </c>
      <c r="R728" t="b">
        <f>IF(     ISNUMBER(Table1334[[#This Row],[Strike]]),RTD("tos.rtd", , "ASK", "."&amp;Table1334[[#This Row],[Ticker]]&amp;Table1334[[#This Row],[Expiry]]&amp;""&amp;"P"&amp;Table1334[[#This Row],[Strike]]))</f>
        <v>0</v>
      </c>
      <c r="S728" s="17"/>
      <c r="T728" t="b">
        <f>IF(     ISNUMBER(Table1334[[#This Row],[Strike]]),RTD("tos.rtd", , "OPEN_INT", "."&amp;Table1334[[#This Row],[Ticker]]&amp;Table1334[[#This Row],[Expiry]]&amp;""&amp;"P"&amp;Table1334[[#This Row],[Strike]]))</f>
        <v>0</v>
      </c>
      <c r="U72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8" t="b">
        <f>IF(     ISNUMBER(Table1334[[#This Row],[Strike]]),RTD("tos.rtd", , "DELTA", "."&amp;Table1334[[#This Row],[Ticker]]&amp;Table1334[[#This Row],[Expiry]]&amp;""&amp;"P"&amp;Table1334[[#This Row],[Strike]]))</f>
        <v>0</v>
      </c>
      <c r="Y728" s="19">
        <f>4.5* IF($M$1="NDX", 10, IF(OR($M$1="SPX", $M$1="RUT"), 2, 1))</f>
        <v>9</v>
      </c>
      <c r="Z728">
        <f ca="1">IFERROR(Table1334[[#This Row],[call gamma]]*(Table1334[[#This Row],[Open.Int]])*$A$4^2,0)</f>
        <v>0</v>
      </c>
      <c r="AA728">
        <f ca="1">IFERROR(((Table1334[[#This Row],[Open.Int8]])*Table1334[[#This Row],[Put gamma]])*-1*$A$4^2,0)</f>
        <v>0</v>
      </c>
      <c r="AB728">
        <f ca="1">(Table1334[[#This Row],[Call Gex]]+Table1334[[#This Row],[Put Gex]])</f>
        <v>0</v>
      </c>
      <c r="AC728">
        <f ca="1">Table1334[[#This Row],[put delta adj]]+Table1334[[#This Row],[call delta adj]]</f>
        <v>0</v>
      </c>
      <c r="AD728">
        <f ca="1">Table1334[[#This Row],[Put Gex]]*Table1334[[#This Row],[DeltaP]]*-1</f>
        <v>0</v>
      </c>
      <c r="AE728">
        <f ca="1">Table1334[[#This Row],[Call Gex]]*Table1334[[#This Row],[DeltaC]]</f>
        <v>0</v>
      </c>
      <c r="AF728">
        <f>IF(Table1334[[#This Row],[DeltaC]]-ABS(Table1334[[#This Row],[DeltaP]])="0","0.01",Table1334[[#This Row],[DeltaC]]-ABS(Table1334[[#This Row],[DeltaP]]))</f>
        <v>0</v>
      </c>
      <c r="AG72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8" t="e">
        <f ca="1">(EXP(-(AG728^2)/2)/SQRT(2*PI())*EXP(0*SQRT(Table1334[[#This Row],[T]]))/$A$4*18%*SQRT(SQRT(Table1334[[#This Row],[T]])))</f>
        <v>#DIV/0!</v>
      </c>
      <c r="AJ728" t="e">
        <f ca="1">(EXP(-(AH728^2)/2)/SQRT(2*PI())*EXP(0*SQRT(Table1334[[#This Row],[T]]))/$A$4*18%*SQRT(SQRT(Table1334[[#This Row],[T]])))</f>
        <v>#DIV/0!</v>
      </c>
      <c r="AK728" t="e">
        <f ca="1">Table1334[[#This Row],[Call D1]]-Table1334[[#This Row],[IV Calc C]]*SQRT(Table1334[[#This Row],[T]])</f>
        <v>#DIV/0!</v>
      </c>
      <c r="AL728" t="e">
        <f ca="1">Table1334[[#This Row],[Put D1]]-Table1334[[#This Row],[IV Calc P]]*SQRT(Table1334[[#This Row],[T]])</f>
        <v>#DIV/0!</v>
      </c>
      <c r="AM728" t="e">
        <f ca="1">EXP(-0.5*Table1334[[#This Row],[Call D1]]^2)/SQRT(2*PI())</f>
        <v>#DIV/0!</v>
      </c>
      <c r="AN728" t="e">
        <f ca="1">EXP(-0.5*Table1334[[#This Row],[Put D1]]^2)/SQRT(2*PI())</f>
        <v>#DIV/0!</v>
      </c>
      <c r="AO72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8">
        <f ca="1">((Table1334[[#This Row],[call vanna]]+Table1334[[#This Row],[put vanna]])*$A$4)</f>
        <v>0</v>
      </c>
      <c r="AR72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8" s="9" t="str" cm="1">
        <f t="array" ref="AT728">_xlfn.IFS(     $M$1="SPX","SPXW",     $M$1="RUT","RUTW",  $M$1="NDX","NDXP",   TRUE,$M$1 )</f>
        <v>SPXW</v>
      </c>
      <c r="AU728" s="2">
        <f t="shared" si="72"/>
        <v>6915</v>
      </c>
      <c r="AV728" t="str">
        <f t="shared" si="73"/>
        <v>000100</v>
      </c>
      <c r="AY72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8">
        <f>((Table1334[[#This Row],[High C]]+Table1334[[#This Row],[Low C]])/2)*Table1334[[#This Row],[gammac]]*Table1334[[#This Row],[Volume]]</f>
        <v>0</v>
      </c>
      <c r="BD728">
        <f>((Table1334[[#This Row],[High P]]+Table1334[[#This Row],[Low P]])/2)*Table1334[[#This Row],[gammap]]*Table1334[[#This Row],[Volume9]]*-1</f>
        <v>0</v>
      </c>
      <c r="BE728">
        <f>(Table1334[[#This Row],[SgammaC]]+Table1334[[#This Row],[SgammaP]])*$A$4*-100</f>
        <v>0</v>
      </c>
      <c r="BF728">
        <f>Table1334[[#This Row],[DEXc]]+Table1334[[#This Row],[DEXp]]</f>
        <v>0</v>
      </c>
      <c r="BG728">
        <f>IFERROR(Table1334[[#This Row],[DeltaC]]*Table1334[[#This Row],[Open.Int]]*$A$4,0)</f>
        <v>0</v>
      </c>
      <c r="BH728">
        <f>IFERROR(Table1334[[#This Row],[DeltaP]]*Table1334[[#This Row],[Open.Int8]]*$A$4,0)</f>
        <v>0</v>
      </c>
      <c r="BI72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8">
        <f ca="1">Table1334[[#This Row],[charmc]]+Table1334[[#This Row],[charmp]]</f>
        <v>0</v>
      </c>
      <c r="BL72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8" s="78">
        <f ca="1">Table1334[[#This Row],[call helper]]+Table1334[[#This Row],[put helper]]</f>
        <v>0</v>
      </c>
      <c r="BP728" t="str">
        <f>RTD("tos.rtd", , "STRIKE", "."&amp;Table1334[[#This Row],[Ticker]]&amp;Table1334[[#This Row],[Expiry]]&amp;""&amp;"C"&amp;Table1334[[#This Row],[Spot]]+Table1334[[#This Row],[step]])</f>
        <v>N/A</v>
      </c>
    </row>
    <row r="729" spans="1:68" x14ac:dyDescent="0.25">
      <c r="A729" s="14">
        <f t="shared" ca="1" si="69"/>
        <v>-126.14810350076104</v>
      </c>
      <c r="C729" s="17"/>
      <c r="D729" t="str">
        <f>RTD("tos.rtd", , "OPEN_INT", "."&amp;Table1334[[#This Row],[Ticker]]&amp;Table1334[[#This Row],[Expiry]]&amp;""&amp;"C"&amp;Table1334[[#This Row],[Spot]]+Table1334[[#This Row],[step]])</f>
        <v>N/A</v>
      </c>
      <c r="E72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9" t="b">
        <f>IF(     ISNUMBER(Table1334[[#This Row],[Strike]]),RTD("tos.rtd", , "DELTA", "."&amp;Table1334[[#This Row],[Ticker]]&amp;Table1334[[#This Row],[Expiry]]&amp;""&amp;"C"&amp;Table1334[[#This Row],[Strike]]))</f>
        <v>0</v>
      </c>
      <c r="H729" s="17" cm="1">
        <f t="array" aca="1" ref="H729" ca="1">IndividualLegIVCore($A$4, Table1334[[#This Row],[Strike]], 0.0411, Table1334[[#This Row],[T]], ((Table1334[[#This Row],[BIDC]]+Table1334[[#This Row],[ASKC]])/2), TRUE)</f>
        <v>0.01</v>
      </c>
      <c r="I729" t="b">
        <f>IF(     ISNUMBER(Table1334[[#This Row],[Strike]]),RTD("tos.rtd", , "BID", "."&amp;Table1334[[#This Row],[Ticker]]&amp;Table1334[[#This Row],[Expiry]]&amp;""&amp;"C"&amp;Table1334[[#This Row],[Strike]]))</f>
        <v>0</v>
      </c>
      <c r="J729" t="b">
        <f>IF(     ISNUMBER(Table1334[[#This Row],[Strike]]),RTD("tos.rtd", , "ASK", "."&amp;Table1334[[#This Row],[Ticker]]&amp;Table1334[[#This Row],[Expiry]]&amp;""&amp;"C"&amp;Table1334[[#This Row],[Strike]]))</f>
        <v>0</v>
      </c>
      <c r="K729" s="17"/>
      <c r="M729" s="1">
        <f t="shared" si="70"/>
        <v>0</v>
      </c>
      <c r="N729" t="b">
        <f t="shared" si="71"/>
        <v>0</v>
      </c>
      <c r="P729" s="17" cm="1">
        <f t="array" aca="1" ref="P729" ca="1">IndividualLegIVCore($A$4, Table1334[[#This Row],[Strike]], 0.0411, Table1334[[#This Row],[T]], ((Table1334[[#This Row],[BIDP]]+Table1334[[#This Row],[ASKP]])/2), FALSE)</f>
        <v>0.01</v>
      </c>
      <c r="Q729" t="b">
        <f>IF(     ISNUMBER(Table1334[[#This Row],[Strike]]),RTD("tos.rtd", , "BID", "."&amp;Table1334[[#This Row],[Ticker]]&amp;Table1334[[#This Row],[Expiry]]&amp;""&amp;"P"&amp;Table1334[[#This Row],[Strike]]))</f>
        <v>0</v>
      </c>
      <c r="R729" t="b">
        <f>IF(     ISNUMBER(Table1334[[#This Row],[Strike]]),RTD("tos.rtd", , "ASK", "."&amp;Table1334[[#This Row],[Ticker]]&amp;Table1334[[#This Row],[Expiry]]&amp;""&amp;"P"&amp;Table1334[[#This Row],[Strike]]))</f>
        <v>0</v>
      </c>
      <c r="S729" s="17"/>
      <c r="T729" t="b">
        <f>IF(     ISNUMBER(Table1334[[#This Row],[Strike]]),RTD("tos.rtd", , "OPEN_INT", "."&amp;Table1334[[#This Row],[Ticker]]&amp;Table1334[[#This Row],[Expiry]]&amp;""&amp;"P"&amp;Table1334[[#This Row],[Strike]]))</f>
        <v>0</v>
      </c>
      <c r="U72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9" t="b">
        <f>IF(     ISNUMBER(Table1334[[#This Row],[Strike]]),RTD("tos.rtd", , "DELTA", "."&amp;Table1334[[#This Row],[Ticker]]&amp;Table1334[[#This Row],[Expiry]]&amp;""&amp;"P"&amp;Table1334[[#This Row],[Strike]]))</f>
        <v>0</v>
      </c>
      <c r="Y729" s="19">
        <f>5* IF($M$1="NDX", 10, IF(OR($M$1="SPX", $M$1="RUT"), 2, 1))</f>
        <v>10</v>
      </c>
      <c r="Z729">
        <f ca="1">IFERROR(Table1334[[#This Row],[call gamma]]*(Table1334[[#This Row],[Open.Int]])*$A$4^2,0)</f>
        <v>0</v>
      </c>
      <c r="AA729">
        <f ca="1">IFERROR(((Table1334[[#This Row],[Open.Int8]])*Table1334[[#This Row],[Put gamma]])*-1*$A$4^2,0)</f>
        <v>0</v>
      </c>
      <c r="AB729">
        <f ca="1">(Table1334[[#This Row],[Call Gex]]+Table1334[[#This Row],[Put Gex]])</f>
        <v>0</v>
      </c>
      <c r="AC729">
        <f ca="1">Table1334[[#This Row],[put delta adj]]+Table1334[[#This Row],[call delta adj]]</f>
        <v>0</v>
      </c>
      <c r="AD729">
        <f ca="1">Table1334[[#This Row],[Put Gex]]*Table1334[[#This Row],[DeltaP]]*-1</f>
        <v>0</v>
      </c>
      <c r="AE729">
        <f ca="1">Table1334[[#This Row],[Call Gex]]*Table1334[[#This Row],[DeltaC]]</f>
        <v>0</v>
      </c>
      <c r="AF729">
        <f>IF(Table1334[[#This Row],[DeltaC]]-ABS(Table1334[[#This Row],[DeltaP]])="0","0.01",Table1334[[#This Row],[DeltaC]]-ABS(Table1334[[#This Row],[DeltaP]]))</f>
        <v>0</v>
      </c>
      <c r="AG72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9" t="e">
        <f ca="1">(EXP(-(AG729^2)/2)/SQRT(2*PI())*EXP(0*SQRT(Table1334[[#This Row],[T]]))/$A$4*18%*SQRT(SQRT(Table1334[[#This Row],[T]])))</f>
        <v>#DIV/0!</v>
      </c>
      <c r="AJ729" t="e">
        <f ca="1">(EXP(-(AH729^2)/2)/SQRT(2*PI())*EXP(0*SQRT(Table1334[[#This Row],[T]]))/$A$4*18%*SQRT(SQRT(Table1334[[#This Row],[T]])))</f>
        <v>#DIV/0!</v>
      </c>
      <c r="AK729" t="e">
        <f ca="1">Table1334[[#This Row],[Call D1]]-Table1334[[#This Row],[IV Calc C]]*SQRT(Table1334[[#This Row],[T]])</f>
        <v>#DIV/0!</v>
      </c>
      <c r="AL729" t="e">
        <f ca="1">Table1334[[#This Row],[Put D1]]-Table1334[[#This Row],[IV Calc P]]*SQRT(Table1334[[#This Row],[T]])</f>
        <v>#DIV/0!</v>
      </c>
      <c r="AM729" t="e">
        <f ca="1">EXP(-0.5*Table1334[[#This Row],[Call D1]]^2)/SQRT(2*PI())</f>
        <v>#DIV/0!</v>
      </c>
      <c r="AN729" t="e">
        <f ca="1">EXP(-0.5*Table1334[[#This Row],[Put D1]]^2)/SQRT(2*PI())</f>
        <v>#DIV/0!</v>
      </c>
      <c r="AO72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9">
        <f ca="1">((Table1334[[#This Row],[call vanna]]+Table1334[[#This Row],[put vanna]])*$A$4)</f>
        <v>0</v>
      </c>
      <c r="AR72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9" s="9" t="str" cm="1">
        <f t="array" ref="AT729">_xlfn.IFS(     $M$1="SPX","SPXW",     $M$1="RUT","RUTW",  $M$1="NDX","NDXP",   TRUE,$M$1 )</f>
        <v>SPXW</v>
      </c>
      <c r="AU729" s="2">
        <f t="shared" si="72"/>
        <v>6915</v>
      </c>
      <c r="AV729" t="str">
        <f t="shared" si="73"/>
        <v>000100</v>
      </c>
      <c r="AY72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9">
        <f>((Table1334[[#This Row],[High C]]+Table1334[[#This Row],[Low C]])/2)*Table1334[[#This Row],[gammac]]*Table1334[[#This Row],[Volume]]</f>
        <v>0</v>
      </c>
      <c r="BD729">
        <f>((Table1334[[#This Row],[High P]]+Table1334[[#This Row],[Low P]])/2)*Table1334[[#This Row],[gammap]]*Table1334[[#This Row],[Volume9]]*-1</f>
        <v>0</v>
      </c>
      <c r="BE729">
        <f>(Table1334[[#This Row],[SgammaC]]+Table1334[[#This Row],[SgammaP]])*$A$4*-100</f>
        <v>0</v>
      </c>
      <c r="BF729">
        <f>Table1334[[#This Row],[DEXc]]+Table1334[[#This Row],[DEXp]]</f>
        <v>0</v>
      </c>
      <c r="BG729">
        <f>IFERROR(Table1334[[#This Row],[DeltaC]]*Table1334[[#This Row],[Open.Int]]*$A$4,0)</f>
        <v>0</v>
      </c>
      <c r="BH729">
        <f>IFERROR(Table1334[[#This Row],[DeltaP]]*Table1334[[#This Row],[Open.Int8]]*$A$4,0)</f>
        <v>0</v>
      </c>
      <c r="BI72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9">
        <f ca="1">Table1334[[#This Row],[charmc]]+Table1334[[#This Row],[charmp]]</f>
        <v>0</v>
      </c>
      <c r="BL72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9" s="78">
        <f ca="1">Table1334[[#This Row],[call helper]]+Table1334[[#This Row],[put helper]]</f>
        <v>0</v>
      </c>
      <c r="BP729" t="str">
        <f>RTD("tos.rtd", , "STRIKE", "."&amp;Table1334[[#This Row],[Ticker]]&amp;Table1334[[#This Row],[Expiry]]&amp;""&amp;"C"&amp;Table1334[[#This Row],[Spot]]+Table1334[[#This Row],[step]])</f>
        <v>N/A</v>
      </c>
    </row>
    <row r="730" spans="1:68" x14ac:dyDescent="0.25">
      <c r="A730" s="14">
        <f t="shared" ca="1" si="69"/>
        <v>-126.14810350076104</v>
      </c>
      <c r="C730" s="17"/>
      <c r="D730" t="str">
        <f>RTD("tos.rtd", , "OPEN_INT", "."&amp;Table1334[[#This Row],[Ticker]]&amp;Table1334[[#This Row],[Expiry]]&amp;""&amp;"C"&amp;Table1334[[#This Row],[Spot]]+Table1334[[#This Row],[step]])</f>
        <v>N/A</v>
      </c>
      <c r="E73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0" t="b">
        <f>IF(     ISNUMBER(Table1334[[#This Row],[Strike]]),RTD("tos.rtd", , "DELTA", "."&amp;Table1334[[#This Row],[Ticker]]&amp;Table1334[[#This Row],[Expiry]]&amp;""&amp;"C"&amp;Table1334[[#This Row],[Strike]]))</f>
        <v>0</v>
      </c>
      <c r="H730" s="17" cm="1">
        <f t="array" aca="1" ref="H730" ca="1">IndividualLegIVCore($A$4, Table1334[[#This Row],[Strike]], 0.0411, Table1334[[#This Row],[T]], ((Table1334[[#This Row],[BIDC]]+Table1334[[#This Row],[ASKC]])/2), TRUE)</f>
        <v>0.01</v>
      </c>
      <c r="I730" t="b">
        <f>IF(     ISNUMBER(Table1334[[#This Row],[Strike]]),RTD("tos.rtd", , "BID", "."&amp;Table1334[[#This Row],[Ticker]]&amp;Table1334[[#This Row],[Expiry]]&amp;""&amp;"C"&amp;Table1334[[#This Row],[Strike]]))</f>
        <v>0</v>
      </c>
      <c r="J730" t="b">
        <f>IF(     ISNUMBER(Table1334[[#This Row],[Strike]]),RTD("tos.rtd", , "ASK", "."&amp;Table1334[[#This Row],[Ticker]]&amp;Table1334[[#This Row],[Expiry]]&amp;""&amp;"C"&amp;Table1334[[#This Row],[Strike]]))</f>
        <v>0</v>
      </c>
      <c r="K730" s="17"/>
      <c r="M730" s="1">
        <f t="shared" si="70"/>
        <v>0</v>
      </c>
      <c r="N730" t="b">
        <f t="shared" si="71"/>
        <v>0</v>
      </c>
      <c r="P730" s="17" cm="1">
        <f t="array" aca="1" ref="P730" ca="1">IndividualLegIVCore($A$4, Table1334[[#This Row],[Strike]], 0.0411, Table1334[[#This Row],[T]], ((Table1334[[#This Row],[BIDP]]+Table1334[[#This Row],[ASKP]])/2), FALSE)</f>
        <v>0.01</v>
      </c>
      <c r="Q730" t="b">
        <f>IF(     ISNUMBER(Table1334[[#This Row],[Strike]]),RTD("tos.rtd", , "BID", "."&amp;Table1334[[#This Row],[Ticker]]&amp;Table1334[[#This Row],[Expiry]]&amp;""&amp;"P"&amp;Table1334[[#This Row],[Strike]]))</f>
        <v>0</v>
      </c>
      <c r="R730" t="b">
        <f>IF(     ISNUMBER(Table1334[[#This Row],[Strike]]),RTD("tos.rtd", , "ASK", "."&amp;Table1334[[#This Row],[Ticker]]&amp;Table1334[[#This Row],[Expiry]]&amp;""&amp;"P"&amp;Table1334[[#This Row],[Strike]]))</f>
        <v>0</v>
      </c>
      <c r="S730" s="17"/>
      <c r="T730" t="b">
        <f>IF(     ISNUMBER(Table1334[[#This Row],[Strike]]),RTD("tos.rtd", , "OPEN_INT", "."&amp;Table1334[[#This Row],[Ticker]]&amp;Table1334[[#This Row],[Expiry]]&amp;""&amp;"P"&amp;Table1334[[#This Row],[Strike]]))</f>
        <v>0</v>
      </c>
      <c r="U73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0" t="b">
        <f>IF(     ISNUMBER(Table1334[[#This Row],[Strike]]),RTD("tos.rtd", , "DELTA", "."&amp;Table1334[[#This Row],[Ticker]]&amp;Table1334[[#This Row],[Expiry]]&amp;""&amp;"P"&amp;Table1334[[#This Row],[Strike]]))</f>
        <v>0</v>
      </c>
      <c r="Y730" s="19">
        <f>5.5* IF($M$1="NDX", 10, IF(OR($M$1="SPX", $M$1="RUT"), 2, 1))</f>
        <v>11</v>
      </c>
      <c r="Z730">
        <f ca="1">IFERROR(Table1334[[#This Row],[call gamma]]*(Table1334[[#This Row],[Open.Int]])*$A$4^2,0)</f>
        <v>0</v>
      </c>
      <c r="AA730">
        <f ca="1">IFERROR(((Table1334[[#This Row],[Open.Int8]])*Table1334[[#This Row],[Put gamma]])*-1*$A$4^2,0)</f>
        <v>0</v>
      </c>
      <c r="AB730">
        <f ca="1">(Table1334[[#This Row],[Call Gex]]+Table1334[[#This Row],[Put Gex]])</f>
        <v>0</v>
      </c>
      <c r="AC730">
        <f ca="1">Table1334[[#This Row],[put delta adj]]+Table1334[[#This Row],[call delta adj]]</f>
        <v>0</v>
      </c>
      <c r="AD730">
        <f ca="1">Table1334[[#This Row],[Put Gex]]*Table1334[[#This Row],[DeltaP]]*-1</f>
        <v>0</v>
      </c>
      <c r="AE730">
        <f ca="1">Table1334[[#This Row],[Call Gex]]*Table1334[[#This Row],[DeltaC]]</f>
        <v>0</v>
      </c>
      <c r="AF730">
        <f>IF(Table1334[[#This Row],[DeltaC]]-ABS(Table1334[[#This Row],[DeltaP]])="0","0.01",Table1334[[#This Row],[DeltaC]]-ABS(Table1334[[#This Row],[DeltaP]]))</f>
        <v>0</v>
      </c>
      <c r="AG73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0" t="e">
        <f ca="1">(EXP(-(AG730^2)/2)/SQRT(2*PI())*EXP(0*SQRT(Table1334[[#This Row],[T]]))/$A$4*18%*SQRT(SQRT(Table1334[[#This Row],[T]])))</f>
        <v>#DIV/0!</v>
      </c>
      <c r="AJ730" t="e">
        <f ca="1">(EXP(-(AH730^2)/2)/SQRT(2*PI())*EXP(0*SQRT(Table1334[[#This Row],[T]]))/$A$4*18%*SQRT(SQRT(Table1334[[#This Row],[T]])))</f>
        <v>#DIV/0!</v>
      </c>
      <c r="AK730" t="e">
        <f ca="1">Table1334[[#This Row],[Call D1]]-Table1334[[#This Row],[IV Calc C]]*SQRT(Table1334[[#This Row],[T]])</f>
        <v>#DIV/0!</v>
      </c>
      <c r="AL730" t="e">
        <f ca="1">Table1334[[#This Row],[Put D1]]-Table1334[[#This Row],[IV Calc P]]*SQRT(Table1334[[#This Row],[T]])</f>
        <v>#DIV/0!</v>
      </c>
      <c r="AM730" t="e">
        <f ca="1">EXP(-0.5*Table1334[[#This Row],[Call D1]]^2)/SQRT(2*PI())</f>
        <v>#DIV/0!</v>
      </c>
      <c r="AN730" t="e">
        <f ca="1">EXP(-0.5*Table1334[[#This Row],[Put D1]]^2)/SQRT(2*PI())</f>
        <v>#DIV/0!</v>
      </c>
      <c r="AO73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0">
        <f ca="1">((Table1334[[#This Row],[call vanna]]+Table1334[[#This Row],[put vanna]])*$A$4)</f>
        <v>0</v>
      </c>
      <c r="AR73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0" s="9" t="str" cm="1">
        <f t="array" ref="AT730">_xlfn.IFS(     $M$1="SPX","SPXW",     $M$1="RUT","RUTW",  $M$1="NDX","NDXP",   TRUE,$M$1 )</f>
        <v>SPXW</v>
      </c>
      <c r="AU730" s="2">
        <f t="shared" si="72"/>
        <v>6915</v>
      </c>
      <c r="AV730" t="str">
        <f t="shared" si="73"/>
        <v>000100</v>
      </c>
      <c r="AY73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0">
        <f>((Table1334[[#This Row],[High C]]+Table1334[[#This Row],[Low C]])/2)*Table1334[[#This Row],[gammac]]*Table1334[[#This Row],[Volume]]</f>
        <v>0</v>
      </c>
      <c r="BD730">
        <f>((Table1334[[#This Row],[High P]]+Table1334[[#This Row],[Low P]])/2)*Table1334[[#This Row],[gammap]]*Table1334[[#This Row],[Volume9]]*-1</f>
        <v>0</v>
      </c>
      <c r="BE730">
        <f>(Table1334[[#This Row],[SgammaC]]+Table1334[[#This Row],[SgammaP]])*$A$4*-100</f>
        <v>0</v>
      </c>
      <c r="BF730">
        <f>Table1334[[#This Row],[DEXc]]+Table1334[[#This Row],[DEXp]]</f>
        <v>0</v>
      </c>
      <c r="BG730">
        <f>IFERROR(Table1334[[#This Row],[DeltaC]]*Table1334[[#This Row],[Open.Int]]*$A$4,0)</f>
        <v>0</v>
      </c>
      <c r="BH730">
        <f>IFERROR(Table1334[[#This Row],[DeltaP]]*Table1334[[#This Row],[Open.Int8]]*$A$4,0)</f>
        <v>0</v>
      </c>
      <c r="BI73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0">
        <f ca="1">Table1334[[#This Row],[charmc]]+Table1334[[#This Row],[charmp]]</f>
        <v>0</v>
      </c>
      <c r="BL73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0" s="78">
        <f ca="1">Table1334[[#This Row],[call helper]]+Table1334[[#This Row],[put helper]]</f>
        <v>0</v>
      </c>
      <c r="BP730" t="str">
        <f>RTD("tos.rtd", , "STRIKE", "."&amp;Table1334[[#This Row],[Ticker]]&amp;Table1334[[#This Row],[Expiry]]&amp;""&amp;"C"&amp;Table1334[[#This Row],[Spot]]+Table1334[[#This Row],[step]])</f>
        <v>N/A</v>
      </c>
    </row>
    <row r="731" spans="1:68" x14ac:dyDescent="0.25">
      <c r="A731" s="14">
        <f t="shared" ca="1" si="69"/>
        <v>-126.14810350076104</v>
      </c>
      <c r="C731" s="17"/>
      <c r="D731" t="str">
        <f>RTD("tos.rtd", , "OPEN_INT", "."&amp;Table1334[[#This Row],[Ticker]]&amp;Table1334[[#This Row],[Expiry]]&amp;""&amp;"C"&amp;Table1334[[#This Row],[Spot]]+Table1334[[#This Row],[step]])</f>
        <v>N/A</v>
      </c>
      <c r="E73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1" t="b">
        <f>IF(     ISNUMBER(Table1334[[#This Row],[Strike]]),RTD("tos.rtd", , "DELTA", "."&amp;Table1334[[#This Row],[Ticker]]&amp;Table1334[[#This Row],[Expiry]]&amp;""&amp;"C"&amp;Table1334[[#This Row],[Strike]]))</f>
        <v>0</v>
      </c>
      <c r="H731" s="17" cm="1">
        <f t="array" aca="1" ref="H731" ca="1">IndividualLegIVCore($A$4, Table1334[[#This Row],[Strike]], 0.0411, Table1334[[#This Row],[T]], ((Table1334[[#This Row],[BIDC]]+Table1334[[#This Row],[ASKC]])/2), TRUE)</f>
        <v>0.01</v>
      </c>
      <c r="I731" t="b">
        <f>IF(     ISNUMBER(Table1334[[#This Row],[Strike]]),RTD("tos.rtd", , "BID", "."&amp;Table1334[[#This Row],[Ticker]]&amp;Table1334[[#This Row],[Expiry]]&amp;""&amp;"C"&amp;Table1334[[#This Row],[Strike]]))</f>
        <v>0</v>
      </c>
      <c r="J731" t="b">
        <f>IF(     ISNUMBER(Table1334[[#This Row],[Strike]]),RTD("tos.rtd", , "ASK", "."&amp;Table1334[[#This Row],[Ticker]]&amp;Table1334[[#This Row],[Expiry]]&amp;""&amp;"C"&amp;Table1334[[#This Row],[Strike]]))</f>
        <v>0</v>
      </c>
      <c r="K731" s="17"/>
      <c r="M731" s="1">
        <f t="shared" si="70"/>
        <v>0</v>
      </c>
      <c r="N731" t="b">
        <f t="shared" si="71"/>
        <v>0</v>
      </c>
      <c r="P731" s="17" cm="1">
        <f t="array" aca="1" ref="P731" ca="1">IndividualLegIVCore($A$4, Table1334[[#This Row],[Strike]], 0.0411, Table1334[[#This Row],[T]], ((Table1334[[#This Row],[BIDP]]+Table1334[[#This Row],[ASKP]])/2), FALSE)</f>
        <v>0.01</v>
      </c>
      <c r="Q731" t="b">
        <f>IF(     ISNUMBER(Table1334[[#This Row],[Strike]]),RTD("tos.rtd", , "BID", "."&amp;Table1334[[#This Row],[Ticker]]&amp;Table1334[[#This Row],[Expiry]]&amp;""&amp;"P"&amp;Table1334[[#This Row],[Strike]]))</f>
        <v>0</v>
      </c>
      <c r="R731" t="b">
        <f>IF(     ISNUMBER(Table1334[[#This Row],[Strike]]),RTD("tos.rtd", , "ASK", "."&amp;Table1334[[#This Row],[Ticker]]&amp;Table1334[[#This Row],[Expiry]]&amp;""&amp;"P"&amp;Table1334[[#This Row],[Strike]]))</f>
        <v>0</v>
      </c>
      <c r="S731" s="17"/>
      <c r="T731" t="b">
        <f>IF(     ISNUMBER(Table1334[[#This Row],[Strike]]),RTD("tos.rtd", , "OPEN_INT", "."&amp;Table1334[[#This Row],[Ticker]]&amp;Table1334[[#This Row],[Expiry]]&amp;""&amp;"P"&amp;Table1334[[#This Row],[Strike]]))</f>
        <v>0</v>
      </c>
      <c r="U73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1" t="b">
        <f>IF(     ISNUMBER(Table1334[[#This Row],[Strike]]),RTD("tos.rtd", , "DELTA", "."&amp;Table1334[[#This Row],[Ticker]]&amp;Table1334[[#This Row],[Expiry]]&amp;""&amp;"P"&amp;Table1334[[#This Row],[Strike]]))</f>
        <v>0</v>
      </c>
      <c r="Y731" s="19">
        <f>6* IF($M$1="NDX", 10, IF(OR($M$1="SPX", $M$1="RUT"), 2, 1))</f>
        <v>12</v>
      </c>
      <c r="Z731">
        <f ca="1">IFERROR(Table1334[[#This Row],[call gamma]]*(Table1334[[#This Row],[Open.Int]])*$A$4^2,0)</f>
        <v>0</v>
      </c>
      <c r="AA731">
        <f ca="1">IFERROR(((Table1334[[#This Row],[Open.Int8]])*Table1334[[#This Row],[Put gamma]])*-1*$A$4^2,0)</f>
        <v>0</v>
      </c>
      <c r="AB731">
        <f ca="1">(Table1334[[#This Row],[Call Gex]]+Table1334[[#This Row],[Put Gex]])</f>
        <v>0</v>
      </c>
      <c r="AC731">
        <f ca="1">Table1334[[#This Row],[put delta adj]]+Table1334[[#This Row],[call delta adj]]</f>
        <v>0</v>
      </c>
      <c r="AD731">
        <f ca="1">Table1334[[#This Row],[Put Gex]]*Table1334[[#This Row],[DeltaP]]*-1</f>
        <v>0</v>
      </c>
      <c r="AE731">
        <f ca="1">Table1334[[#This Row],[Call Gex]]*Table1334[[#This Row],[DeltaC]]</f>
        <v>0</v>
      </c>
      <c r="AF731">
        <f>IF(Table1334[[#This Row],[DeltaC]]-ABS(Table1334[[#This Row],[DeltaP]])="0","0.01",Table1334[[#This Row],[DeltaC]]-ABS(Table1334[[#This Row],[DeltaP]]))</f>
        <v>0</v>
      </c>
      <c r="AG73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1" t="e">
        <f ca="1">(EXP(-(AG731^2)/2)/SQRT(2*PI())*EXP(0*SQRT(Table1334[[#This Row],[T]]))/$A$4*18%*SQRT(SQRT(Table1334[[#This Row],[T]])))</f>
        <v>#DIV/0!</v>
      </c>
      <c r="AJ731" t="e">
        <f ca="1">(EXP(-(AH731^2)/2)/SQRT(2*PI())*EXP(0*SQRT(Table1334[[#This Row],[T]]))/$A$4*18%*SQRT(SQRT(Table1334[[#This Row],[T]])))</f>
        <v>#DIV/0!</v>
      </c>
      <c r="AK731" t="e">
        <f ca="1">Table1334[[#This Row],[Call D1]]-Table1334[[#This Row],[IV Calc C]]*SQRT(Table1334[[#This Row],[T]])</f>
        <v>#DIV/0!</v>
      </c>
      <c r="AL731" t="e">
        <f ca="1">Table1334[[#This Row],[Put D1]]-Table1334[[#This Row],[IV Calc P]]*SQRT(Table1334[[#This Row],[T]])</f>
        <v>#DIV/0!</v>
      </c>
      <c r="AM731" t="e">
        <f ca="1">EXP(-0.5*Table1334[[#This Row],[Call D1]]^2)/SQRT(2*PI())</f>
        <v>#DIV/0!</v>
      </c>
      <c r="AN731" t="e">
        <f ca="1">EXP(-0.5*Table1334[[#This Row],[Put D1]]^2)/SQRT(2*PI())</f>
        <v>#DIV/0!</v>
      </c>
      <c r="AO73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1">
        <f ca="1">((Table1334[[#This Row],[call vanna]]+Table1334[[#This Row],[put vanna]])*$A$4)</f>
        <v>0</v>
      </c>
      <c r="AR73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1" s="9" t="str" cm="1">
        <f t="array" ref="AT731">_xlfn.IFS(     $M$1="SPX","SPXW",     $M$1="RUT","RUTW",  $M$1="NDX","NDXP",   TRUE,$M$1 )</f>
        <v>SPXW</v>
      </c>
      <c r="AU731" s="2">
        <f t="shared" si="72"/>
        <v>6915</v>
      </c>
      <c r="AV731" t="str">
        <f t="shared" si="73"/>
        <v>000100</v>
      </c>
      <c r="AY73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1">
        <f>((Table1334[[#This Row],[High C]]+Table1334[[#This Row],[Low C]])/2)*Table1334[[#This Row],[gammac]]*Table1334[[#This Row],[Volume]]</f>
        <v>0</v>
      </c>
      <c r="BD731">
        <f>((Table1334[[#This Row],[High P]]+Table1334[[#This Row],[Low P]])/2)*Table1334[[#This Row],[gammap]]*Table1334[[#This Row],[Volume9]]*-1</f>
        <v>0</v>
      </c>
      <c r="BE731">
        <f>(Table1334[[#This Row],[SgammaC]]+Table1334[[#This Row],[SgammaP]])*$A$4*-100</f>
        <v>0</v>
      </c>
      <c r="BF731">
        <f>Table1334[[#This Row],[DEXc]]+Table1334[[#This Row],[DEXp]]</f>
        <v>0</v>
      </c>
      <c r="BG731">
        <f>IFERROR(Table1334[[#This Row],[DeltaC]]*Table1334[[#This Row],[Open.Int]]*$A$4,0)</f>
        <v>0</v>
      </c>
      <c r="BH731">
        <f>IFERROR(Table1334[[#This Row],[DeltaP]]*Table1334[[#This Row],[Open.Int8]]*$A$4,0)</f>
        <v>0</v>
      </c>
      <c r="BI73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1">
        <f ca="1">Table1334[[#This Row],[charmc]]+Table1334[[#This Row],[charmp]]</f>
        <v>0</v>
      </c>
      <c r="BL73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1" s="78">
        <f ca="1">Table1334[[#This Row],[call helper]]+Table1334[[#This Row],[put helper]]</f>
        <v>0</v>
      </c>
      <c r="BP731" t="str">
        <f>RTD("tos.rtd", , "STRIKE", "."&amp;Table1334[[#This Row],[Ticker]]&amp;Table1334[[#This Row],[Expiry]]&amp;""&amp;"C"&amp;Table1334[[#This Row],[Spot]]+Table1334[[#This Row],[step]])</f>
        <v>N/A</v>
      </c>
    </row>
    <row r="732" spans="1:68" x14ac:dyDescent="0.25">
      <c r="A732" s="14">
        <f t="shared" ca="1" si="69"/>
        <v>-126.14810350076104</v>
      </c>
      <c r="C732" s="17"/>
      <c r="D732" t="str">
        <f>RTD("tos.rtd", , "OPEN_INT", "."&amp;Table1334[[#This Row],[Ticker]]&amp;Table1334[[#This Row],[Expiry]]&amp;""&amp;"C"&amp;Table1334[[#This Row],[Spot]]+Table1334[[#This Row],[step]])</f>
        <v>N/A</v>
      </c>
      <c r="E73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2" t="b">
        <f>IF(     ISNUMBER(Table1334[[#This Row],[Strike]]),RTD("tos.rtd", , "DELTA", "."&amp;Table1334[[#This Row],[Ticker]]&amp;Table1334[[#This Row],[Expiry]]&amp;""&amp;"C"&amp;Table1334[[#This Row],[Strike]]))</f>
        <v>0</v>
      </c>
      <c r="H732" s="17" cm="1">
        <f t="array" aca="1" ref="H732" ca="1">IndividualLegIVCore($A$4, Table1334[[#This Row],[Strike]], 0.0411, Table1334[[#This Row],[T]], ((Table1334[[#This Row],[BIDC]]+Table1334[[#This Row],[ASKC]])/2), TRUE)</f>
        <v>0.01</v>
      </c>
      <c r="I732" t="b">
        <f>IF(     ISNUMBER(Table1334[[#This Row],[Strike]]),RTD("tos.rtd", , "BID", "."&amp;Table1334[[#This Row],[Ticker]]&amp;Table1334[[#This Row],[Expiry]]&amp;""&amp;"C"&amp;Table1334[[#This Row],[Strike]]))</f>
        <v>0</v>
      </c>
      <c r="J732" t="b">
        <f>IF(     ISNUMBER(Table1334[[#This Row],[Strike]]),RTD("tos.rtd", , "ASK", "."&amp;Table1334[[#This Row],[Ticker]]&amp;Table1334[[#This Row],[Expiry]]&amp;""&amp;"C"&amp;Table1334[[#This Row],[Strike]]))</f>
        <v>0</v>
      </c>
      <c r="K732" s="17"/>
      <c r="M732" s="1">
        <f t="shared" si="70"/>
        <v>0</v>
      </c>
      <c r="N732" t="b">
        <f t="shared" si="71"/>
        <v>0</v>
      </c>
      <c r="P732" s="17" cm="1">
        <f t="array" aca="1" ref="P732" ca="1">IndividualLegIVCore($A$4, Table1334[[#This Row],[Strike]], 0.0411, Table1334[[#This Row],[T]], ((Table1334[[#This Row],[BIDP]]+Table1334[[#This Row],[ASKP]])/2), FALSE)</f>
        <v>0.01</v>
      </c>
      <c r="Q732" t="b">
        <f>IF(     ISNUMBER(Table1334[[#This Row],[Strike]]),RTD("tos.rtd", , "BID", "."&amp;Table1334[[#This Row],[Ticker]]&amp;Table1334[[#This Row],[Expiry]]&amp;""&amp;"P"&amp;Table1334[[#This Row],[Strike]]))</f>
        <v>0</v>
      </c>
      <c r="R732" t="b">
        <f>IF(     ISNUMBER(Table1334[[#This Row],[Strike]]),RTD("tos.rtd", , "ASK", "."&amp;Table1334[[#This Row],[Ticker]]&amp;Table1334[[#This Row],[Expiry]]&amp;""&amp;"P"&amp;Table1334[[#This Row],[Strike]]))</f>
        <v>0</v>
      </c>
      <c r="S732" s="17"/>
      <c r="T732" t="b">
        <f>IF(     ISNUMBER(Table1334[[#This Row],[Strike]]),RTD("tos.rtd", , "OPEN_INT", "."&amp;Table1334[[#This Row],[Ticker]]&amp;Table1334[[#This Row],[Expiry]]&amp;""&amp;"P"&amp;Table1334[[#This Row],[Strike]]))</f>
        <v>0</v>
      </c>
      <c r="U73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2" t="b">
        <f>IF(     ISNUMBER(Table1334[[#This Row],[Strike]]),RTD("tos.rtd", , "DELTA", "."&amp;Table1334[[#This Row],[Ticker]]&amp;Table1334[[#This Row],[Expiry]]&amp;""&amp;"P"&amp;Table1334[[#This Row],[Strike]]))</f>
        <v>0</v>
      </c>
      <c r="Y732" s="19">
        <f>6.5* IF($M$1="NDX", 10, IF(OR($M$1="SPX", $M$1="RUT"), 2, 1))</f>
        <v>13</v>
      </c>
      <c r="Z732">
        <f ca="1">IFERROR(Table1334[[#This Row],[call gamma]]*(Table1334[[#This Row],[Open.Int]])*$A$4^2,0)</f>
        <v>0</v>
      </c>
      <c r="AA732">
        <f ca="1">IFERROR(((Table1334[[#This Row],[Open.Int8]])*Table1334[[#This Row],[Put gamma]])*-1*$A$4^2,0)</f>
        <v>0</v>
      </c>
      <c r="AB732">
        <f ca="1">(Table1334[[#This Row],[Call Gex]]+Table1334[[#This Row],[Put Gex]])</f>
        <v>0</v>
      </c>
      <c r="AC732">
        <f ca="1">Table1334[[#This Row],[put delta adj]]+Table1334[[#This Row],[call delta adj]]</f>
        <v>0</v>
      </c>
      <c r="AD732">
        <f ca="1">Table1334[[#This Row],[Put Gex]]*Table1334[[#This Row],[DeltaP]]*-1</f>
        <v>0</v>
      </c>
      <c r="AE732">
        <f ca="1">Table1334[[#This Row],[Call Gex]]*Table1334[[#This Row],[DeltaC]]</f>
        <v>0</v>
      </c>
      <c r="AF732">
        <f>IF(Table1334[[#This Row],[DeltaC]]-ABS(Table1334[[#This Row],[DeltaP]])="0","0.01",Table1334[[#This Row],[DeltaC]]-ABS(Table1334[[#This Row],[DeltaP]]))</f>
        <v>0</v>
      </c>
      <c r="AG73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2" t="e">
        <f ca="1">(EXP(-(AG732^2)/2)/SQRT(2*PI())*EXP(0*SQRT(Table1334[[#This Row],[T]]))/$A$4*18%*SQRT(SQRT(Table1334[[#This Row],[T]])))</f>
        <v>#DIV/0!</v>
      </c>
      <c r="AJ732" t="e">
        <f ca="1">(EXP(-(AH732^2)/2)/SQRT(2*PI())*EXP(0*SQRT(Table1334[[#This Row],[T]]))/$A$4*18%*SQRT(SQRT(Table1334[[#This Row],[T]])))</f>
        <v>#DIV/0!</v>
      </c>
      <c r="AK732" t="e">
        <f ca="1">Table1334[[#This Row],[Call D1]]-Table1334[[#This Row],[IV Calc C]]*SQRT(Table1334[[#This Row],[T]])</f>
        <v>#DIV/0!</v>
      </c>
      <c r="AL732" t="e">
        <f ca="1">Table1334[[#This Row],[Put D1]]-Table1334[[#This Row],[IV Calc P]]*SQRT(Table1334[[#This Row],[T]])</f>
        <v>#DIV/0!</v>
      </c>
      <c r="AM732" t="e">
        <f ca="1">EXP(-0.5*Table1334[[#This Row],[Call D1]]^2)/SQRT(2*PI())</f>
        <v>#DIV/0!</v>
      </c>
      <c r="AN732" t="e">
        <f ca="1">EXP(-0.5*Table1334[[#This Row],[Put D1]]^2)/SQRT(2*PI())</f>
        <v>#DIV/0!</v>
      </c>
      <c r="AO73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2">
        <f ca="1">((Table1334[[#This Row],[call vanna]]+Table1334[[#This Row],[put vanna]])*$A$4)</f>
        <v>0</v>
      </c>
      <c r="AR73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2" s="9" t="str" cm="1">
        <f t="array" ref="AT732">_xlfn.IFS(     $M$1="SPX","SPXW",     $M$1="RUT","RUTW",  $M$1="NDX","NDXP",   TRUE,$M$1 )</f>
        <v>SPXW</v>
      </c>
      <c r="AU732" s="2">
        <f t="shared" si="72"/>
        <v>6915</v>
      </c>
      <c r="AV732" t="str">
        <f t="shared" si="73"/>
        <v>000100</v>
      </c>
      <c r="AY73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2">
        <f>((Table1334[[#This Row],[High C]]+Table1334[[#This Row],[Low C]])/2)*Table1334[[#This Row],[gammac]]*Table1334[[#This Row],[Volume]]</f>
        <v>0</v>
      </c>
      <c r="BD732">
        <f>((Table1334[[#This Row],[High P]]+Table1334[[#This Row],[Low P]])/2)*Table1334[[#This Row],[gammap]]*Table1334[[#This Row],[Volume9]]*-1</f>
        <v>0</v>
      </c>
      <c r="BE732">
        <f>(Table1334[[#This Row],[SgammaC]]+Table1334[[#This Row],[SgammaP]])*$A$4*-100</f>
        <v>0</v>
      </c>
      <c r="BF732">
        <f>Table1334[[#This Row],[DEXc]]+Table1334[[#This Row],[DEXp]]</f>
        <v>0</v>
      </c>
      <c r="BG732">
        <f>IFERROR(Table1334[[#This Row],[DeltaC]]*Table1334[[#This Row],[Open.Int]]*$A$4,0)</f>
        <v>0</v>
      </c>
      <c r="BH732">
        <f>IFERROR(Table1334[[#This Row],[DeltaP]]*Table1334[[#This Row],[Open.Int8]]*$A$4,0)</f>
        <v>0</v>
      </c>
      <c r="BI73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2">
        <f ca="1">Table1334[[#This Row],[charmc]]+Table1334[[#This Row],[charmp]]</f>
        <v>0</v>
      </c>
      <c r="BL73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2" s="78">
        <f ca="1">Table1334[[#This Row],[call helper]]+Table1334[[#This Row],[put helper]]</f>
        <v>0</v>
      </c>
      <c r="BP732" t="str">
        <f>RTD("tos.rtd", , "STRIKE", "."&amp;Table1334[[#This Row],[Ticker]]&amp;Table1334[[#This Row],[Expiry]]&amp;""&amp;"C"&amp;Table1334[[#This Row],[Spot]]+Table1334[[#This Row],[step]])</f>
        <v>N/A</v>
      </c>
    </row>
    <row r="733" spans="1:68" x14ac:dyDescent="0.25">
      <c r="A733" s="14">
        <f t="shared" ca="1" si="69"/>
        <v>-126.14810350076104</v>
      </c>
      <c r="C733" s="17"/>
      <c r="D733" t="str">
        <f>RTD("tos.rtd", , "OPEN_INT", "."&amp;Table1334[[#This Row],[Ticker]]&amp;Table1334[[#This Row],[Expiry]]&amp;""&amp;"C"&amp;Table1334[[#This Row],[Spot]]+Table1334[[#This Row],[step]])</f>
        <v>N/A</v>
      </c>
      <c r="E73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3" t="b">
        <f>IF(     ISNUMBER(Table1334[[#This Row],[Strike]]),RTD("tos.rtd", , "DELTA", "."&amp;Table1334[[#This Row],[Ticker]]&amp;Table1334[[#This Row],[Expiry]]&amp;""&amp;"C"&amp;Table1334[[#This Row],[Strike]]))</f>
        <v>0</v>
      </c>
      <c r="H733" s="17" cm="1">
        <f t="array" aca="1" ref="H733" ca="1">IndividualLegIVCore($A$4, Table1334[[#This Row],[Strike]], 0.0411, Table1334[[#This Row],[T]], ((Table1334[[#This Row],[BIDC]]+Table1334[[#This Row],[ASKC]])/2), TRUE)</f>
        <v>0.01</v>
      </c>
      <c r="I733" t="b">
        <f>IF(     ISNUMBER(Table1334[[#This Row],[Strike]]),RTD("tos.rtd", , "BID", "."&amp;Table1334[[#This Row],[Ticker]]&amp;Table1334[[#This Row],[Expiry]]&amp;""&amp;"C"&amp;Table1334[[#This Row],[Strike]]))</f>
        <v>0</v>
      </c>
      <c r="J733" t="b">
        <f>IF(     ISNUMBER(Table1334[[#This Row],[Strike]]),RTD("tos.rtd", , "ASK", "."&amp;Table1334[[#This Row],[Ticker]]&amp;Table1334[[#This Row],[Expiry]]&amp;""&amp;"C"&amp;Table1334[[#This Row],[Strike]]))</f>
        <v>0</v>
      </c>
      <c r="K733" s="17"/>
      <c r="M733" s="1">
        <f t="shared" si="70"/>
        <v>0</v>
      </c>
      <c r="N733" t="b">
        <f t="shared" si="71"/>
        <v>0</v>
      </c>
      <c r="P733" s="17" cm="1">
        <f t="array" aca="1" ref="P733" ca="1">IndividualLegIVCore($A$4, Table1334[[#This Row],[Strike]], 0.0411, Table1334[[#This Row],[T]], ((Table1334[[#This Row],[BIDP]]+Table1334[[#This Row],[ASKP]])/2), FALSE)</f>
        <v>0.01</v>
      </c>
      <c r="Q733" t="b">
        <f>IF(     ISNUMBER(Table1334[[#This Row],[Strike]]),RTD("tos.rtd", , "BID", "."&amp;Table1334[[#This Row],[Ticker]]&amp;Table1334[[#This Row],[Expiry]]&amp;""&amp;"P"&amp;Table1334[[#This Row],[Strike]]))</f>
        <v>0</v>
      </c>
      <c r="R733" t="b">
        <f>IF(     ISNUMBER(Table1334[[#This Row],[Strike]]),RTD("tos.rtd", , "ASK", "."&amp;Table1334[[#This Row],[Ticker]]&amp;Table1334[[#This Row],[Expiry]]&amp;""&amp;"P"&amp;Table1334[[#This Row],[Strike]]))</f>
        <v>0</v>
      </c>
      <c r="S733" s="17"/>
      <c r="T733" t="b">
        <f>IF(     ISNUMBER(Table1334[[#This Row],[Strike]]),RTD("tos.rtd", , "OPEN_INT", "."&amp;Table1334[[#This Row],[Ticker]]&amp;Table1334[[#This Row],[Expiry]]&amp;""&amp;"P"&amp;Table1334[[#This Row],[Strike]]))</f>
        <v>0</v>
      </c>
      <c r="U73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3" t="b">
        <f>IF(     ISNUMBER(Table1334[[#This Row],[Strike]]),RTD("tos.rtd", , "DELTA", "."&amp;Table1334[[#This Row],[Ticker]]&amp;Table1334[[#This Row],[Expiry]]&amp;""&amp;"P"&amp;Table1334[[#This Row],[Strike]]))</f>
        <v>0</v>
      </c>
      <c r="Y733" s="19">
        <f>7* IF($M$1="NDX", 10, IF(OR($M$1="SPX", $M$1="RUT"), 2, 1))</f>
        <v>14</v>
      </c>
      <c r="Z733">
        <f ca="1">IFERROR(Table1334[[#This Row],[call gamma]]*(Table1334[[#This Row],[Open.Int]])*$A$4^2,0)</f>
        <v>0</v>
      </c>
      <c r="AA733">
        <f ca="1">IFERROR(((Table1334[[#This Row],[Open.Int8]])*Table1334[[#This Row],[Put gamma]])*-1*$A$4^2,0)</f>
        <v>0</v>
      </c>
      <c r="AB733">
        <f ca="1">(Table1334[[#This Row],[Call Gex]]+Table1334[[#This Row],[Put Gex]])</f>
        <v>0</v>
      </c>
      <c r="AC733">
        <f ca="1">Table1334[[#This Row],[put delta adj]]+Table1334[[#This Row],[call delta adj]]</f>
        <v>0</v>
      </c>
      <c r="AD733">
        <f ca="1">Table1334[[#This Row],[Put Gex]]*Table1334[[#This Row],[DeltaP]]*-1</f>
        <v>0</v>
      </c>
      <c r="AE733">
        <f ca="1">Table1334[[#This Row],[Call Gex]]*Table1334[[#This Row],[DeltaC]]</f>
        <v>0</v>
      </c>
      <c r="AF733">
        <f>IF(Table1334[[#This Row],[DeltaC]]-ABS(Table1334[[#This Row],[DeltaP]])="0","0.01",Table1334[[#This Row],[DeltaC]]-ABS(Table1334[[#This Row],[DeltaP]]))</f>
        <v>0</v>
      </c>
      <c r="AG73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3" t="e">
        <f ca="1">(EXP(-(AG733^2)/2)/SQRT(2*PI())*EXP(0*SQRT(Table1334[[#This Row],[T]]))/$A$4*18%*SQRT(SQRT(Table1334[[#This Row],[T]])))</f>
        <v>#DIV/0!</v>
      </c>
      <c r="AJ733" t="e">
        <f ca="1">(EXP(-(AH733^2)/2)/SQRT(2*PI())*EXP(0*SQRT(Table1334[[#This Row],[T]]))/$A$4*18%*SQRT(SQRT(Table1334[[#This Row],[T]])))</f>
        <v>#DIV/0!</v>
      </c>
      <c r="AK733" t="e">
        <f ca="1">Table1334[[#This Row],[Call D1]]-Table1334[[#This Row],[IV Calc C]]*SQRT(Table1334[[#This Row],[T]])</f>
        <v>#DIV/0!</v>
      </c>
      <c r="AL733" t="e">
        <f ca="1">Table1334[[#This Row],[Put D1]]-Table1334[[#This Row],[IV Calc P]]*SQRT(Table1334[[#This Row],[T]])</f>
        <v>#DIV/0!</v>
      </c>
      <c r="AM733" t="e">
        <f ca="1">EXP(-0.5*Table1334[[#This Row],[Call D1]]^2)/SQRT(2*PI())</f>
        <v>#DIV/0!</v>
      </c>
      <c r="AN733" t="e">
        <f ca="1">EXP(-0.5*Table1334[[#This Row],[Put D1]]^2)/SQRT(2*PI())</f>
        <v>#DIV/0!</v>
      </c>
      <c r="AO73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3">
        <f ca="1">((Table1334[[#This Row],[call vanna]]+Table1334[[#This Row],[put vanna]])*$A$4)</f>
        <v>0</v>
      </c>
      <c r="AR73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3" s="9" t="str" cm="1">
        <f t="array" ref="AT733">_xlfn.IFS(     $M$1="SPX","SPXW",     $M$1="RUT","RUTW",  $M$1="NDX","NDXP",   TRUE,$M$1 )</f>
        <v>SPXW</v>
      </c>
      <c r="AU733" s="2">
        <f t="shared" si="72"/>
        <v>6915</v>
      </c>
      <c r="AV733" t="str">
        <f t="shared" si="73"/>
        <v>000100</v>
      </c>
      <c r="AY73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3">
        <f>((Table1334[[#This Row],[High C]]+Table1334[[#This Row],[Low C]])/2)*Table1334[[#This Row],[gammac]]*Table1334[[#This Row],[Volume]]</f>
        <v>0</v>
      </c>
      <c r="BD733">
        <f>((Table1334[[#This Row],[High P]]+Table1334[[#This Row],[Low P]])/2)*Table1334[[#This Row],[gammap]]*Table1334[[#This Row],[Volume9]]*-1</f>
        <v>0</v>
      </c>
      <c r="BE733">
        <f>(Table1334[[#This Row],[SgammaC]]+Table1334[[#This Row],[SgammaP]])*$A$4*-100</f>
        <v>0</v>
      </c>
      <c r="BF733">
        <f>Table1334[[#This Row],[DEXc]]+Table1334[[#This Row],[DEXp]]</f>
        <v>0</v>
      </c>
      <c r="BG733">
        <f>IFERROR(Table1334[[#This Row],[DeltaC]]*Table1334[[#This Row],[Open.Int]]*$A$4,0)</f>
        <v>0</v>
      </c>
      <c r="BH733">
        <f>IFERROR(Table1334[[#This Row],[DeltaP]]*Table1334[[#This Row],[Open.Int8]]*$A$4,0)</f>
        <v>0</v>
      </c>
      <c r="BI73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3">
        <f ca="1">Table1334[[#This Row],[charmc]]+Table1334[[#This Row],[charmp]]</f>
        <v>0</v>
      </c>
      <c r="BL73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3" s="78">
        <f ca="1">Table1334[[#This Row],[call helper]]+Table1334[[#This Row],[put helper]]</f>
        <v>0</v>
      </c>
      <c r="BP733" t="str">
        <f>RTD("tos.rtd", , "STRIKE", "."&amp;Table1334[[#This Row],[Ticker]]&amp;Table1334[[#This Row],[Expiry]]&amp;""&amp;"C"&amp;Table1334[[#This Row],[Spot]]+Table1334[[#This Row],[step]])</f>
        <v>N/A</v>
      </c>
    </row>
    <row r="734" spans="1:68" x14ac:dyDescent="0.25">
      <c r="A734" s="14">
        <f t="shared" ca="1" si="69"/>
        <v>-126.14810350076104</v>
      </c>
      <c r="C734" s="17"/>
      <c r="D734" t="str">
        <f>RTD("tos.rtd", , "OPEN_INT", "."&amp;Table1334[[#This Row],[Ticker]]&amp;Table1334[[#This Row],[Expiry]]&amp;""&amp;"C"&amp;Table1334[[#This Row],[Spot]]+Table1334[[#This Row],[step]])</f>
        <v>N/A</v>
      </c>
      <c r="E73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4" t="b">
        <f>IF(     ISNUMBER(Table1334[[#This Row],[Strike]]),RTD("tos.rtd", , "DELTA", "."&amp;Table1334[[#This Row],[Ticker]]&amp;Table1334[[#This Row],[Expiry]]&amp;""&amp;"C"&amp;Table1334[[#This Row],[Strike]]))</f>
        <v>0</v>
      </c>
      <c r="H734" s="17" cm="1">
        <f t="array" aca="1" ref="H734" ca="1">IndividualLegIVCore($A$4, Table1334[[#This Row],[Strike]], 0.0411, Table1334[[#This Row],[T]], ((Table1334[[#This Row],[BIDC]]+Table1334[[#This Row],[ASKC]])/2), TRUE)</f>
        <v>0.01</v>
      </c>
      <c r="I734" t="b">
        <f>IF(     ISNUMBER(Table1334[[#This Row],[Strike]]),RTD("tos.rtd", , "BID", "."&amp;Table1334[[#This Row],[Ticker]]&amp;Table1334[[#This Row],[Expiry]]&amp;""&amp;"C"&amp;Table1334[[#This Row],[Strike]]))</f>
        <v>0</v>
      </c>
      <c r="J734" t="b">
        <f>IF(     ISNUMBER(Table1334[[#This Row],[Strike]]),RTD("tos.rtd", , "ASK", "."&amp;Table1334[[#This Row],[Ticker]]&amp;Table1334[[#This Row],[Expiry]]&amp;""&amp;"C"&amp;Table1334[[#This Row],[Strike]]))</f>
        <v>0</v>
      </c>
      <c r="K734" s="17"/>
      <c r="M734" s="1">
        <f t="shared" si="70"/>
        <v>0</v>
      </c>
      <c r="N734" t="b">
        <f t="shared" si="71"/>
        <v>0</v>
      </c>
      <c r="P734" s="17" cm="1">
        <f t="array" aca="1" ref="P734" ca="1">IndividualLegIVCore($A$4, Table1334[[#This Row],[Strike]], 0.0411, Table1334[[#This Row],[T]], ((Table1334[[#This Row],[BIDP]]+Table1334[[#This Row],[ASKP]])/2), FALSE)</f>
        <v>0.01</v>
      </c>
      <c r="Q734" t="b">
        <f>IF(     ISNUMBER(Table1334[[#This Row],[Strike]]),RTD("tos.rtd", , "BID", "."&amp;Table1334[[#This Row],[Ticker]]&amp;Table1334[[#This Row],[Expiry]]&amp;""&amp;"P"&amp;Table1334[[#This Row],[Strike]]))</f>
        <v>0</v>
      </c>
      <c r="R734" t="b">
        <f>IF(     ISNUMBER(Table1334[[#This Row],[Strike]]),RTD("tos.rtd", , "ASK", "."&amp;Table1334[[#This Row],[Ticker]]&amp;Table1334[[#This Row],[Expiry]]&amp;""&amp;"P"&amp;Table1334[[#This Row],[Strike]]))</f>
        <v>0</v>
      </c>
      <c r="S734" s="17"/>
      <c r="T734" t="b">
        <f>IF(     ISNUMBER(Table1334[[#This Row],[Strike]]),RTD("tos.rtd", , "OPEN_INT", "."&amp;Table1334[[#This Row],[Ticker]]&amp;Table1334[[#This Row],[Expiry]]&amp;""&amp;"P"&amp;Table1334[[#This Row],[Strike]]))</f>
        <v>0</v>
      </c>
      <c r="U73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4" t="b">
        <f>IF(     ISNUMBER(Table1334[[#This Row],[Strike]]),RTD("tos.rtd", , "DELTA", "."&amp;Table1334[[#This Row],[Ticker]]&amp;Table1334[[#This Row],[Expiry]]&amp;""&amp;"P"&amp;Table1334[[#This Row],[Strike]]))</f>
        <v>0</v>
      </c>
      <c r="Y734" s="19">
        <f>7.5* IF($M$1="NDX", 10, IF(OR($M$1="SPX", $M$1="RUT"), 2, 1))</f>
        <v>15</v>
      </c>
      <c r="Z734">
        <f ca="1">IFERROR(Table1334[[#This Row],[call gamma]]*(Table1334[[#This Row],[Open.Int]])*$A$4^2,0)</f>
        <v>0</v>
      </c>
      <c r="AA734">
        <f ca="1">IFERROR(((Table1334[[#This Row],[Open.Int8]])*Table1334[[#This Row],[Put gamma]])*-1*$A$4^2,0)</f>
        <v>0</v>
      </c>
      <c r="AB734">
        <f ca="1">(Table1334[[#This Row],[Call Gex]]+Table1334[[#This Row],[Put Gex]])</f>
        <v>0</v>
      </c>
      <c r="AC734">
        <f ca="1">Table1334[[#This Row],[put delta adj]]+Table1334[[#This Row],[call delta adj]]</f>
        <v>0</v>
      </c>
      <c r="AD734">
        <f ca="1">Table1334[[#This Row],[Put Gex]]*Table1334[[#This Row],[DeltaP]]*-1</f>
        <v>0</v>
      </c>
      <c r="AE734">
        <f ca="1">Table1334[[#This Row],[Call Gex]]*Table1334[[#This Row],[DeltaC]]</f>
        <v>0</v>
      </c>
      <c r="AF734">
        <f>IF(Table1334[[#This Row],[DeltaC]]-ABS(Table1334[[#This Row],[DeltaP]])="0","0.01",Table1334[[#This Row],[DeltaC]]-ABS(Table1334[[#This Row],[DeltaP]]))</f>
        <v>0</v>
      </c>
      <c r="AG73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4" t="e">
        <f ca="1">(EXP(-(AG734^2)/2)/SQRT(2*PI())*EXP(0*SQRT(Table1334[[#This Row],[T]]))/$A$4*18%*SQRT(SQRT(Table1334[[#This Row],[T]])))</f>
        <v>#DIV/0!</v>
      </c>
      <c r="AJ734" t="e">
        <f ca="1">(EXP(-(AH734^2)/2)/SQRT(2*PI())*EXP(0*SQRT(Table1334[[#This Row],[T]]))/$A$4*18%*SQRT(SQRT(Table1334[[#This Row],[T]])))</f>
        <v>#DIV/0!</v>
      </c>
      <c r="AK734" t="e">
        <f ca="1">Table1334[[#This Row],[Call D1]]-Table1334[[#This Row],[IV Calc C]]*SQRT(Table1334[[#This Row],[T]])</f>
        <v>#DIV/0!</v>
      </c>
      <c r="AL734" t="e">
        <f ca="1">Table1334[[#This Row],[Put D1]]-Table1334[[#This Row],[IV Calc P]]*SQRT(Table1334[[#This Row],[T]])</f>
        <v>#DIV/0!</v>
      </c>
      <c r="AM734" t="e">
        <f ca="1">EXP(-0.5*Table1334[[#This Row],[Call D1]]^2)/SQRT(2*PI())</f>
        <v>#DIV/0!</v>
      </c>
      <c r="AN734" t="e">
        <f ca="1">EXP(-0.5*Table1334[[#This Row],[Put D1]]^2)/SQRT(2*PI())</f>
        <v>#DIV/0!</v>
      </c>
      <c r="AO73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4">
        <f ca="1">((Table1334[[#This Row],[call vanna]]+Table1334[[#This Row],[put vanna]])*$A$4)</f>
        <v>0</v>
      </c>
      <c r="AR73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4" s="9" t="str" cm="1">
        <f t="array" ref="AT734">_xlfn.IFS(     $M$1="SPX","SPXW",     $M$1="RUT","RUTW",  $M$1="NDX","NDXP",   TRUE,$M$1 )</f>
        <v>SPXW</v>
      </c>
      <c r="AU734" s="2">
        <f t="shared" si="72"/>
        <v>6915</v>
      </c>
      <c r="AV734" t="str">
        <f t="shared" si="73"/>
        <v>000100</v>
      </c>
      <c r="AY73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4">
        <f>((Table1334[[#This Row],[High C]]+Table1334[[#This Row],[Low C]])/2)*Table1334[[#This Row],[gammac]]*Table1334[[#This Row],[Volume]]</f>
        <v>0</v>
      </c>
      <c r="BD734">
        <f>((Table1334[[#This Row],[High P]]+Table1334[[#This Row],[Low P]])/2)*Table1334[[#This Row],[gammap]]*Table1334[[#This Row],[Volume9]]*-1</f>
        <v>0</v>
      </c>
      <c r="BE734">
        <f>(Table1334[[#This Row],[SgammaC]]+Table1334[[#This Row],[SgammaP]])*$A$4*-100</f>
        <v>0</v>
      </c>
      <c r="BF734">
        <f>Table1334[[#This Row],[DEXc]]+Table1334[[#This Row],[DEXp]]</f>
        <v>0</v>
      </c>
      <c r="BG734">
        <f>IFERROR(Table1334[[#This Row],[DeltaC]]*Table1334[[#This Row],[Open.Int]]*$A$4,0)</f>
        <v>0</v>
      </c>
      <c r="BH734">
        <f>IFERROR(Table1334[[#This Row],[DeltaP]]*Table1334[[#This Row],[Open.Int8]]*$A$4,0)</f>
        <v>0</v>
      </c>
      <c r="BI73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4">
        <f ca="1">Table1334[[#This Row],[charmc]]+Table1334[[#This Row],[charmp]]</f>
        <v>0</v>
      </c>
      <c r="BL73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4" s="78">
        <f ca="1">Table1334[[#This Row],[call helper]]+Table1334[[#This Row],[put helper]]</f>
        <v>0</v>
      </c>
      <c r="BP734" t="str">
        <f>RTD("tos.rtd", , "STRIKE", "."&amp;Table1334[[#This Row],[Ticker]]&amp;Table1334[[#This Row],[Expiry]]&amp;""&amp;"C"&amp;Table1334[[#This Row],[Spot]]+Table1334[[#This Row],[step]])</f>
        <v>N/A</v>
      </c>
    </row>
    <row r="735" spans="1:68" x14ac:dyDescent="0.25">
      <c r="A735" s="14">
        <f t="shared" ca="1" si="69"/>
        <v>-126.14810350076104</v>
      </c>
      <c r="C735" s="17"/>
      <c r="D735" t="str">
        <f>RTD("tos.rtd", , "OPEN_INT", "."&amp;Table1334[[#This Row],[Ticker]]&amp;Table1334[[#This Row],[Expiry]]&amp;""&amp;"C"&amp;Table1334[[#This Row],[Spot]]+Table1334[[#This Row],[step]])</f>
        <v>N/A</v>
      </c>
      <c r="E73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5" t="b">
        <f>IF(     ISNUMBER(Table1334[[#This Row],[Strike]]),RTD("tos.rtd", , "DELTA", "."&amp;Table1334[[#This Row],[Ticker]]&amp;Table1334[[#This Row],[Expiry]]&amp;""&amp;"C"&amp;Table1334[[#This Row],[Strike]]))</f>
        <v>0</v>
      </c>
      <c r="H735" s="17" cm="1">
        <f t="array" aca="1" ref="H735" ca="1">IndividualLegIVCore($A$4, Table1334[[#This Row],[Strike]], 0.0411, Table1334[[#This Row],[T]], ((Table1334[[#This Row],[BIDC]]+Table1334[[#This Row],[ASKC]])/2), TRUE)</f>
        <v>0.01</v>
      </c>
      <c r="I735" t="b">
        <f>IF(     ISNUMBER(Table1334[[#This Row],[Strike]]),RTD("tos.rtd", , "BID", "."&amp;Table1334[[#This Row],[Ticker]]&amp;Table1334[[#This Row],[Expiry]]&amp;""&amp;"C"&amp;Table1334[[#This Row],[Strike]]))</f>
        <v>0</v>
      </c>
      <c r="J735" t="b">
        <f>IF(     ISNUMBER(Table1334[[#This Row],[Strike]]),RTD("tos.rtd", , "ASK", "."&amp;Table1334[[#This Row],[Ticker]]&amp;Table1334[[#This Row],[Expiry]]&amp;""&amp;"C"&amp;Table1334[[#This Row],[Strike]]))</f>
        <v>0</v>
      </c>
      <c r="K735" s="17"/>
      <c r="M735" s="1">
        <f t="shared" si="70"/>
        <v>0</v>
      </c>
      <c r="N735" t="b">
        <f t="shared" si="71"/>
        <v>0</v>
      </c>
      <c r="P735" s="17" cm="1">
        <f t="array" aca="1" ref="P735" ca="1">IndividualLegIVCore($A$4, Table1334[[#This Row],[Strike]], 0.0411, Table1334[[#This Row],[T]], ((Table1334[[#This Row],[BIDP]]+Table1334[[#This Row],[ASKP]])/2), FALSE)</f>
        <v>0.01</v>
      </c>
      <c r="Q735" t="b">
        <f>IF(     ISNUMBER(Table1334[[#This Row],[Strike]]),RTD("tos.rtd", , "BID", "."&amp;Table1334[[#This Row],[Ticker]]&amp;Table1334[[#This Row],[Expiry]]&amp;""&amp;"P"&amp;Table1334[[#This Row],[Strike]]))</f>
        <v>0</v>
      </c>
      <c r="R735" t="b">
        <f>IF(     ISNUMBER(Table1334[[#This Row],[Strike]]),RTD("tos.rtd", , "ASK", "."&amp;Table1334[[#This Row],[Ticker]]&amp;Table1334[[#This Row],[Expiry]]&amp;""&amp;"P"&amp;Table1334[[#This Row],[Strike]]))</f>
        <v>0</v>
      </c>
      <c r="S735" s="17"/>
      <c r="T735" t="b">
        <f>IF(     ISNUMBER(Table1334[[#This Row],[Strike]]),RTD("tos.rtd", , "OPEN_INT", "."&amp;Table1334[[#This Row],[Ticker]]&amp;Table1334[[#This Row],[Expiry]]&amp;""&amp;"P"&amp;Table1334[[#This Row],[Strike]]))</f>
        <v>0</v>
      </c>
      <c r="U73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5" t="b">
        <f>IF(     ISNUMBER(Table1334[[#This Row],[Strike]]),RTD("tos.rtd", , "DELTA", "."&amp;Table1334[[#This Row],[Ticker]]&amp;Table1334[[#This Row],[Expiry]]&amp;""&amp;"P"&amp;Table1334[[#This Row],[Strike]]))</f>
        <v>0</v>
      </c>
      <c r="Y735" s="19">
        <f>8* IF($M$1="NDX", 10, IF(OR($M$1="SPX", $M$1="RUT"), 2, 1))</f>
        <v>16</v>
      </c>
      <c r="Z735">
        <f ca="1">IFERROR(Table1334[[#This Row],[call gamma]]*(Table1334[[#This Row],[Open.Int]])*$A$4^2,0)</f>
        <v>0</v>
      </c>
      <c r="AA735">
        <f ca="1">IFERROR(((Table1334[[#This Row],[Open.Int8]])*Table1334[[#This Row],[Put gamma]])*-1*$A$4^2,0)</f>
        <v>0</v>
      </c>
      <c r="AB735">
        <f ca="1">(Table1334[[#This Row],[Call Gex]]+Table1334[[#This Row],[Put Gex]])</f>
        <v>0</v>
      </c>
      <c r="AC735">
        <f ca="1">Table1334[[#This Row],[put delta adj]]+Table1334[[#This Row],[call delta adj]]</f>
        <v>0</v>
      </c>
      <c r="AD735">
        <f ca="1">Table1334[[#This Row],[Put Gex]]*Table1334[[#This Row],[DeltaP]]*-1</f>
        <v>0</v>
      </c>
      <c r="AE735">
        <f ca="1">Table1334[[#This Row],[Call Gex]]*Table1334[[#This Row],[DeltaC]]</f>
        <v>0</v>
      </c>
      <c r="AF735">
        <f>IF(Table1334[[#This Row],[DeltaC]]-ABS(Table1334[[#This Row],[DeltaP]])="0","0.01",Table1334[[#This Row],[DeltaC]]-ABS(Table1334[[#This Row],[DeltaP]]))</f>
        <v>0</v>
      </c>
      <c r="AG73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5" t="e">
        <f ca="1">(EXP(-(AG735^2)/2)/SQRT(2*PI())*EXP(0*SQRT(Table1334[[#This Row],[T]]))/$A$4*18%*SQRT(SQRT(Table1334[[#This Row],[T]])))</f>
        <v>#DIV/0!</v>
      </c>
      <c r="AJ735" t="e">
        <f ca="1">(EXP(-(AH735^2)/2)/SQRT(2*PI())*EXP(0*SQRT(Table1334[[#This Row],[T]]))/$A$4*18%*SQRT(SQRT(Table1334[[#This Row],[T]])))</f>
        <v>#DIV/0!</v>
      </c>
      <c r="AK735" t="e">
        <f ca="1">Table1334[[#This Row],[Call D1]]-Table1334[[#This Row],[IV Calc C]]*SQRT(Table1334[[#This Row],[T]])</f>
        <v>#DIV/0!</v>
      </c>
      <c r="AL735" t="e">
        <f ca="1">Table1334[[#This Row],[Put D1]]-Table1334[[#This Row],[IV Calc P]]*SQRT(Table1334[[#This Row],[T]])</f>
        <v>#DIV/0!</v>
      </c>
      <c r="AM735" t="e">
        <f ca="1">EXP(-0.5*Table1334[[#This Row],[Call D1]]^2)/SQRT(2*PI())</f>
        <v>#DIV/0!</v>
      </c>
      <c r="AN735" t="e">
        <f ca="1">EXP(-0.5*Table1334[[#This Row],[Put D1]]^2)/SQRT(2*PI())</f>
        <v>#DIV/0!</v>
      </c>
      <c r="AO73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5">
        <f ca="1">((Table1334[[#This Row],[call vanna]]+Table1334[[#This Row],[put vanna]])*$A$4)</f>
        <v>0</v>
      </c>
      <c r="AR73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5" s="9" t="str" cm="1">
        <f t="array" ref="AT735">_xlfn.IFS(     $M$1="SPX","SPXW",     $M$1="RUT","RUTW",  $M$1="NDX","NDXP",   TRUE,$M$1 )</f>
        <v>SPXW</v>
      </c>
      <c r="AU735" s="2">
        <f t="shared" si="72"/>
        <v>6915</v>
      </c>
      <c r="AV735" t="str">
        <f t="shared" si="73"/>
        <v>000100</v>
      </c>
      <c r="AY73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5">
        <f>((Table1334[[#This Row],[High C]]+Table1334[[#This Row],[Low C]])/2)*Table1334[[#This Row],[gammac]]*Table1334[[#This Row],[Volume]]</f>
        <v>0</v>
      </c>
      <c r="BD735">
        <f>((Table1334[[#This Row],[High P]]+Table1334[[#This Row],[Low P]])/2)*Table1334[[#This Row],[gammap]]*Table1334[[#This Row],[Volume9]]*-1</f>
        <v>0</v>
      </c>
      <c r="BE735">
        <f>(Table1334[[#This Row],[SgammaC]]+Table1334[[#This Row],[SgammaP]])*$A$4*-100</f>
        <v>0</v>
      </c>
      <c r="BF735">
        <f>Table1334[[#This Row],[DEXc]]+Table1334[[#This Row],[DEXp]]</f>
        <v>0</v>
      </c>
      <c r="BG735">
        <f>IFERROR(Table1334[[#This Row],[DeltaC]]*Table1334[[#This Row],[Open.Int]]*$A$4,0)</f>
        <v>0</v>
      </c>
      <c r="BH735">
        <f>IFERROR(Table1334[[#This Row],[DeltaP]]*Table1334[[#This Row],[Open.Int8]]*$A$4,0)</f>
        <v>0</v>
      </c>
      <c r="BI73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5">
        <f ca="1">Table1334[[#This Row],[charmc]]+Table1334[[#This Row],[charmp]]</f>
        <v>0</v>
      </c>
      <c r="BL73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5" s="78">
        <f ca="1">Table1334[[#This Row],[call helper]]+Table1334[[#This Row],[put helper]]</f>
        <v>0</v>
      </c>
      <c r="BP735" t="str">
        <f>RTD("tos.rtd", , "STRIKE", "."&amp;Table1334[[#This Row],[Ticker]]&amp;Table1334[[#This Row],[Expiry]]&amp;""&amp;"C"&amp;Table1334[[#This Row],[Spot]]+Table1334[[#This Row],[step]])</f>
        <v>N/A</v>
      </c>
    </row>
    <row r="736" spans="1:68" x14ac:dyDescent="0.25">
      <c r="A736" s="14">
        <f t="shared" ca="1" si="69"/>
        <v>-126.14810350076104</v>
      </c>
      <c r="C736" s="17"/>
      <c r="D736" t="str">
        <f>RTD("tos.rtd", , "OPEN_INT", "."&amp;Table1334[[#This Row],[Ticker]]&amp;Table1334[[#This Row],[Expiry]]&amp;""&amp;"C"&amp;Table1334[[#This Row],[Spot]]+Table1334[[#This Row],[step]])</f>
        <v>N/A</v>
      </c>
      <c r="E73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6" t="b">
        <f>IF(     ISNUMBER(Table1334[[#This Row],[Strike]]),RTD("tos.rtd", , "DELTA", "."&amp;Table1334[[#This Row],[Ticker]]&amp;Table1334[[#This Row],[Expiry]]&amp;""&amp;"C"&amp;Table1334[[#This Row],[Strike]]))</f>
        <v>0</v>
      </c>
      <c r="H736" s="17" cm="1">
        <f t="array" aca="1" ref="H736" ca="1">IndividualLegIVCore($A$4, Table1334[[#This Row],[Strike]], 0.0411, Table1334[[#This Row],[T]], ((Table1334[[#This Row],[BIDC]]+Table1334[[#This Row],[ASKC]])/2), TRUE)</f>
        <v>0.01</v>
      </c>
      <c r="I736" t="b">
        <f>IF(     ISNUMBER(Table1334[[#This Row],[Strike]]),RTD("tos.rtd", , "BID", "."&amp;Table1334[[#This Row],[Ticker]]&amp;Table1334[[#This Row],[Expiry]]&amp;""&amp;"C"&amp;Table1334[[#This Row],[Strike]]))</f>
        <v>0</v>
      </c>
      <c r="J736" t="b">
        <f>IF(     ISNUMBER(Table1334[[#This Row],[Strike]]),RTD("tos.rtd", , "ASK", "."&amp;Table1334[[#This Row],[Ticker]]&amp;Table1334[[#This Row],[Expiry]]&amp;""&amp;"C"&amp;Table1334[[#This Row],[Strike]]))</f>
        <v>0</v>
      </c>
      <c r="K736" s="17"/>
      <c r="M736" s="1">
        <f t="shared" si="70"/>
        <v>0</v>
      </c>
      <c r="N736" t="b">
        <f t="shared" si="71"/>
        <v>0</v>
      </c>
      <c r="P736" s="17" cm="1">
        <f t="array" aca="1" ref="P736" ca="1">IndividualLegIVCore($A$4, Table1334[[#This Row],[Strike]], 0.0411, Table1334[[#This Row],[T]], ((Table1334[[#This Row],[BIDP]]+Table1334[[#This Row],[ASKP]])/2), FALSE)</f>
        <v>0.01</v>
      </c>
      <c r="Q736" t="b">
        <f>IF(     ISNUMBER(Table1334[[#This Row],[Strike]]),RTD("tos.rtd", , "BID", "."&amp;Table1334[[#This Row],[Ticker]]&amp;Table1334[[#This Row],[Expiry]]&amp;""&amp;"P"&amp;Table1334[[#This Row],[Strike]]))</f>
        <v>0</v>
      </c>
      <c r="R736" t="b">
        <f>IF(     ISNUMBER(Table1334[[#This Row],[Strike]]),RTD("tos.rtd", , "ASK", "."&amp;Table1334[[#This Row],[Ticker]]&amp;Table1334[[#This Row],[Expiry]]&amp;""&amp;"P"&amp;Table1334[[#This Row],[Strike]]))</f>
        <v>0</v>
      </c>
      <c r="S736" s="17"/>
      <c r="T736" t="b">
        <f>IF(     ISNUMBER(Table1334[[#This Row],[Strike]]),RTD("tos.rtd", , "OPEN_INT", "."&amp;Table1334[[#This Row],[Ticker]]&amp;Table1334[[#This Row],[Expiry]]&amp;""&amp;"P"&amp;Table1334[[#This Row],[Strike]]))</f>
        <v>0</v>
      </c>
      <c r="U73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6" t="b">
        <f>IF(     ISNUMBER(Table1334[[#This Row],[Strike]]),RTD("tos.rtd", , "DELTA", "."&amp;Table1334[[#This Row],[Ticker]]&amp;Table1334[[#This Row],[Expiry]]&amp;""&amp;"P"&amp;Table1334[[#This Row],[Strike]]))</f>
        <v>0</v>
      </c>
      <c r="Y736" s="19">
        <f>8.5* IF($M$1="NDX", 10, IF(OR($M$1="SPX", $M$1="RUT"), 2, 1))</f>
        <v>17</v>
      </c>
      <c r="Z736">
        <f ca="1">IFERROR(Table1334[[#This Row],[call gamma]]*(Table1334[[#This Row],[Open.Int]])*$A$4^2,0)</f>
        <v>0</v>
      </c>
      <c r="AA736">
        <f ca="1">IFERROR(((Table1334[[#This Row],[Open.Int8]])*Table1334[[#This Row],[Put gamma]])*-1*$A$4^2,0)</f>
        <v>0</v>
      </c>
      <c r="AB736">
        <f ca="1">(Table1334[[#This Row],[Call Gex]]+Table1334[[#This Row],[Put Gex]])</f>
        <v>0</v>
      </c>
      <c r="AC736">
        <f ca="1">Table1334[[#This Row],[put delta adj]]+Table1334[[#This Row],[call delta adj]]</f>
        <v>0</v>
      </c>
      <c r="AD736">
        <f ca="1">Table1334[[#This Row],[Put Gex]]*Table1334[[#This Row],[DeltaP]]*-1</f>
        <v>0</v>
      </c>
      <c r="AE736">
        <f ca="1">Table1334[[#This Row],[Call Gex]]*Table1334[[#This Row],[DeltaC]]</f>
        <v>0</v>
      </c>
      <c r="AF736">
        <f>IF(Table1334[[#This Row],[DeltaC]]-ABS(Table1334[[#This Row],[DeltaP]])="0","0.01",Table1334[[#This Row],[DeltaC]]-ABS(Table1334[[#This Row],[DeltaP]]))</f>
        <v>0</v>
      </c>
      <c r="AG73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6" t="e">
        <f ca="1">(EXP(-(AG736^2)/2)/SQRT(2*PI())*EXP(0*SQRT(Table1334[[#This Row],[T]]))/$A$4*18%*SQRT(SQRT(Table1334[[#This Row],[T]])))</f>
        <v>#DIV/0!</v>
      </c>
      <c r="AJ736" t="e">
        <f ca="1">(EXP(-(AH736^2)/2)/SQRT(2*PI())*EXP(0*SQRT(Table1334[[#This Row],[T]]))/$A$4*18%*SQRT(SQRT(Table1334[[#This Row],[T]])))</f>
        <v>#DIV/0!</v>
      </c>
      <c r="AK736" t="e">
        <f ca="1">Table1334[[#This Row],[Call D1]]-Table1334[[#This Row],[IV Calc C]]*SQRT(Table1334[[#This Row],[T]])</f>
        <v>#DIV/0!</v>
      </c>
      <c r="AL736" t="e">
        <f ca="1">Table1334[[#This Row],[Put D1]]-Table1334[[#This Row],[IV Calc P]]*SQRT(Table1334[[#This Row],[T]])</f>
        <v>#DIV/0!</v>
      </c>
      <c r="AM736" t="e">
        <f ca="1">EXP(-0.5*Table1334[[#This Row],[Call D1]]^2)/SQRT(2*PI())</f>
        <v>#DIV/0!</v>
      </c>
      <c r="AN736" t="e">
        <f ca="1">EXP(-0.5*Table1334[[#This Row],[Put D1]]^2)/SQRT(2*PI())</f>
        <v>#DIV/0!</v>
      </c>
      <c r="AO73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6">
        <f ca="1">((Table1334[[#This Row],[call vanna]]+Table1334[[#This Row],[put vanna]])*$A$4)</f>
        <v>0</v>
      </c>
      <c r="AR73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6" s="9" t="str" cm="1">
        <f t="array" ref="AT736">_xlfn.IFS(     $M$1="SPX","SPXW",     $M$1="RUT","RUTW",  $M$1="NDX","NDXP",   TRUE,$M$1 )</f>
        <v>SPXW</v>
      </c>
      <c r="AU736" s="2">
        <f t="shared" si="72"/>
        <v>6915</v>
      </c>
      <c r="AV736" t="str">
        <f t="shared" si="73"/>
        <v>000100</v>
      </c>
      <c r="AY73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6">
        <f>((Table1334[[#This Row],[High C]]+Table1334[[#This Row],[Low C]])/2)*Table1334[[#This Row],[gammac]]*Table1334[[#This Row],[Volume]]</f>
        <v>0</v>
      </c>
      <c r="BD736">
        <f>((Table1334[[#This Row],[High P]]+Table1334[[#This Row],[Low P]])/2)*Table1334[[#This Row],[gammap]]*Table1334[[#This Row],[Volume9]]*-1</f>
        <v>0</v>
      </c>
      <c r="BE736">
        <f>(Table1334[[#This Row],[SgammaC]]+Table1334[[#This Row],[SgammaP]])*$A$4*-100</f>
        <v>0</v>
      </c>
      <c r="BF736">
        <f>Table1334[[#This Row],[DEXc]]+Table1334[[#This Row],[DEXp]]</f>
        <v>0</v>
      </c>
      <c r="BG736">
        <f>IFERROR(Table1334[[#This Row],[DeltaC]]*Table1334[[#This Row],[Open.Int]]*$A$4,0)</f>
        <v>0</v>
      </c>
      <c r="BH736">
        <f>IFERROR(Table1334[[#This Row],[DeltaP]]*Table1334[[#This Row],[Open.Int8]]*$A$4,0)</f>
        <v>0</v>
      </c>
      <c r="BI73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6">
        <f ca="1">Table1334[[#This Row],[charmc]]+Table1334[[#This Row],[charmp]]</f>
        <v>0</v>
      </c>
      <c r="BL73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6" s="78">
        <f ca="1">Table1334[[#This Row],[call helper]]+Table1334[[#This Row],[put helper]]</f>
        <v>0</v>
      </c>
      <c r="BP736" t="str">
        <f>RTD("tos.rtd", , "STRIKE", "."&amp;Table1334[[#This Row],[Ticker]]&amp;Table1334[[#This Row],[Expiry]]&amp;""&amp;"C"&amp;Table1334[[#This Row],[Spot]]+Table1334[[#This Row],[step]])</f>
        <v>N/A</v>
      </c>
    </row>
    <row r="737" spans="1:68" x14ac:dyDescent="0.25">
      <c r="A737" s="14">
        <f t="shared" ca="1" si="69"/>
        <v>-126.14810350076104</v>
      </c>
      <c r="C737" s="17"/>
      <c r="D737" t="str">
        <f>RTD("tos.rtd", , "OPEN_INT", "."&amp;Table1334[[#This Row],[Ticker]]&amp;Table1334[[#This Row],[Expiry]]&amp;""&amp;"C"&amp;Table1334[[#This Row],[Spot]]+Table1334[[#This Row],[step]])</f>
        <v>N/A</v>
      </c>
      <c r="E73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7" t="b">
        <f>IF(     ISNUMBER(Table1334[[#This Row],[Strike]]),RTD("tos.rtd", , "DELTA", "."&amp;Table1334[[#This Row],[Ticker]]&amp;Table1334[[#This Row],[Expiry]]&amp;""&amp;"C"&amp;Table1334[[#This Row],[Strike]]))</f>
        <v>0</v>
      </c>
      <c r="H737" s="17" cm="1">
        <f t="array" aca="1" ref="H737" ca="1">IndividualLegIVCore($A$4, Table1334[[#This Row],[Strike]], 0.0411, Table1334[[#This Row],[T]], ((Table1334[[#This Row],[BIDC]]+Table1334[[#This Row],[ASKC]])/2), TRUE)</f>
        <v>0.01</v>
      </c>
      <c r="I737" t="b">
        <f>IF(     ISNUMBER(Table1334[[#This Row],[Strike]]),RTD("tos.rtd", , "BID", "."&amp;Table1334[[#This Row],[Ticker]]&amp;Table1334[[#This Row],[Expiry]]&amp;""&amp;"C"&amp;Table1334[[#This Row],[Strike]]))</f>
        <v>0</v>
      </c>
      <c r="J737" t="b">
        <f>IF(     ISNUMBER(Table1334[[#This Row],[Strike]]),RTD("tos.rtd", , "ASK", "."&amp;Table1334[[#This Row],[Ticker]]&amp;Table1334[[#This Row],[Expiry]]&amp;""&amp;"C"&amp;Table1334[[#This Row],[Strike]]))</f>
        <v>0</v>
      </c>
      <c r="K737" s="17"/>
      <c r="M737" s="1">
        <f t="shared" si="70"/>
        <v>0</v>
      </c>
      <c r="N737" t="b">
        <f t="shared" si="71"/>
        <v>0</v>
      </c>
      <c r="P737" s="17" cm="1">
        <f t="array" aca="1" ref="P737" ca="1">IndividualLegIVCore($A$4, Table1334[[#This Row],[Strike]], 0.0411, Table1334[[#This Row],[T]], ((Table1334[[#This Row],[BIDP]]+Table1334[[#This Row],[ASKP]])/2), FALSE)</f>
        <v>0.01</v>
      </c>
      <c r="Q737" t="b">
        <f>IF(     ISNUMBER(Table1334[[#This Row],[Strike]]),RTD("tos.rtd", , "BID", "."&amp;Table1334[[#This Row],[Ticker]]&amp;Table1334[[#This Row],[Expiry]]&amp;""&amp;"P"&amp;Table1334[[#This Row],[Strike]]))</f>
        <v>0</v>
      </c>
      <c r="R737" t="b">
        <f>IF(     ISNUMBER(Table1334[[#This Row],[Strike]]),RTD("tos.rtd", , "ASK", "."&amp;Table1334[[#This Row],[Ticker]]&amp;Table1334[[#This Row],[Expiry]]&amp;""&amp;"P"&amp;Table1334[[#This Row],[Strike]]))</f>
        <v>0</v>
      </c>
      <c r="S737" s="17"/>
      <c r="T737" t="b">
        <f>IF(     ISNUMBER(Table1334[[#This Row],[Strike]]),RTD("tos.rtd", , "OPEN_INT", "."&amp;Table1334[[#This Row],[Ticker]]&amp;Table1334[[#This Row],[Expiry]]&amp;""&amp;"P"&amp;Table1334[[#This Row],[Strike]]))</f>
        <v>0</v>
      </c>
      <c r="U73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7" t="b">
        <f>IF(     ISNUMBER(Table1334[[#This Row],[Strike]]),RTD("tos.rtd", , "DELTA", "."&amp;Table1334[[#This Row],[Ticker]]&amp;Table1334[[#This Row],[Expiry]]&amp;""&amp;"P"&amp;Table1334[[#This Row],[Strike]]))</f>
        <v>0</v>
      </c>
      <c r="Y737" s="19">
        <f>9* IF($M$1="NDX", 10, IF(OR($M$1="SPX", $M$1="RUT"), 2, 1))</f>
        <v>18</v>
      </c>
      <c r="Z737">
        <f ca="1">IFERROR(Table1334[[#This Row],[call gamma]]*(Table1334[[#This Row],[Open.Int]])*$A$4^2,0)</f>
        <v>0</v>
      </c>
      <c r="AA737">
        <f ca="1">IFERROR(((Table1334[[#This Row],[Open.Int8]])*Table1334[[#This Row],[Put gamma]])*-1*$A$4^2,0)</f>
        <v>0</v>
      </c>
      <c r="AB737">
        <f ca="1">(Table1334[[#This Row],[Call Gex]]+Table1334[[#This Row],[Put Gex]])</f>
        <v>0</v>
      </c>
      <c r="AC737">
        <f ca="1">Table1334[[#This Row],[put delta adj]]+Table1334[[#This Row],[call delta adj]]</f>
        <v>0</v>
      </c>
      <c r="AD737">
        <f ca="1">Table1334[[#This Row],[Put Gex]]*Table1334[[#This Row],[DeltaP]]*-1</f>
        <v>0</v>
      </c>
      <c r="AE737">
        <f ca="1">Table1334[[#This Row],[Call Gex]]*Table1334[[#This Row],[DeltaC]]</f>
        <v>0</v>
      </c>
      <c r="AF737">
        <f>IF(Table1334[[#This Row],[DeltaC]]-ABS(Table1334[[#This Row],[DeltaP]])="0","0.01",Table1334[[#This Row],[DeltaC]]-ABS(Table1334[[#This Row],[DeltaP]]))</f>
        <v>0</v>
      </c>
      <c r="AG73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7" t="e">
        <f ca="1">(EXP(-(AG737^2)/2)/SQRT(2*PI())*EXP(0*SQRT(Table1334[[#This Row],[T]]))/$A$4*18%*SQRT(SQRT(Table1334[[#This Row],[T]])))</f>
        <v>#DIV/0!</v>
      </c>
      <c r="AJ737" t="e">
        <f ca="1">(EXP(-(AH737^2)/2)/SQRT(2*PI())*EXP(0*SQRT(Table1334[[#This Row],[T]]))/$A$4*18%*SQRT(SQRT(Table1334[[#This Row],[T]])))</f>
        <v>#DIV/0!</v>
      </c>
      <c r="AK737" t="e">
        <f ca="1">Table1334[[#This Row],[Call D1]]-Table1334[[#This Row],[IV Calc C]]*SQRT(Table1334[[#This Row],[T]])</f>
        <v>#DIV/0!</v>
      </c>
      <c r="AL737" t="e">
        <f ca="1">Table1334[[#This Row],[Put D1]]-Table1334[[#This Row],[IV Calc P]]*SQRT(Table1334[[#This Row],[T]])</f>
        <v>#DIV/0!</v>
      </c>
      <c r="AM737" t="e">
        <f ca="1">EXP(-0.5*Table1334[[#This Row],[Call D1]]^2)/SQRT(2*PI())</f>
        <v>#DIV/0!</v>
      </c>
      <c r="AN737" t="e">
        <f ca="1">EXP(-0.5*Table1334[[#This Row],[Put D1]]^2)/SQRT(2*PI())</f>
        <v>#DIV/0!</v>
      </c>
      <c r="AO73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7">
        <f ca="1">((Table1334[[#This Row],[call vanna]]+Table1334[[#This Row],[put vanna]])*$A$4)</f>
        <v>0</v>
      </c>
      <c r="AR73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7" s="9" t="str" cm="1">
        <f t="array" ref="AT737">_xlfn.IFS(     $M$1="SPX","SPXW",     $M$1="RUT","RUTW",  $M$1="NDX","NDXP",   TRUE,$M$1 )</f>
        <v>SPXW</v>
      </c>
      <c r="AU737" s="2">
        <f t="shared" si="72"/>
        <v>6915</v>
      </c>
      <c r="AV737" t="str">
        <f t="shared" si="73"/>
        <v>000100</v>
      </c>
      <c r="AY73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7">
        <f>((Table1334[[#This Row],[High C]]+Table1334[[#This Row],[Low C]])/2)*Table1334[[#This Row],[gammac]]*Table1334[[#This Row],[Volume]]</f>
        <v>0</v>
      </c>
      <c r="BD737">
        <f>((Table1334[[#This Row],[High P]]+Table1334[[#This Row],[Low P]])/2)*Table1334[[#This Row],[gammap]]*Table1334[[#This Row],[Volume9]]*-1</f>
        <v>0</v>
      </c>
      <c r="BE737">
        <f>(Table1334[[#This Row],[SgammaC]]+Table1334[[#This Row],[SgammaP]])*$A$4*-100</f>
        <v>0</v>
      </c>
      <c r="BF737">
        <f>Table1334[[#This Row],[DEXc]]+Table1334[[#This Row],[DEXp]]</f>
        <v>0</v>
      </c>
      <c r="BG737">
        <f>IFERROR(Table1334[[#This Row],[DeltaC]]*Table1334[[#This Row],[Open.Int]]*$A$4,0)</f>
        <v>0</v>
      </c>
      <c r="BH737">
        <f>IFERROR(Table1334[[#This Row],[DeltaP]]*Table1334[[#This Row],[Open.Int8]]*$A$4,0)</f>
        <v>0</v>
      </c>
      <c r="BI73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7">
        <f ca="1">Table1334[[#This Row],[charmc]]+Table1334[[#This Row],[charmp]]</f>
        <v>0</v>
      </c>
      <c r="BL73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7" s="78">
        <f ca="1">Table1334[[#This Row],[call helper]]+Table1334[[#This Row],[put helper]]</f>
        <v>0</v>
      </c>
      <c r="BP737" t="str">
        <f>RTD("tos.rtd", , "STRIKE", "."&amp;Table1334[[#This Row],[Ticker]]&amp;Table1334[[#This Row],[Expiry]]&amp;""&amp;"C"&amp;Table1334[[#This Row],[Spot]]+Table1334[[#This Row],[step]])</f>
        <v>N/A</v>
      </c>
    </row>
    <row r="738" spans="1:68" x14ac:dyDescent="0.25">
      <c r="A738" s="14">
        <f t="shared" ca="1" si="69"/>
        <v>-126.14810350076104</v>
      </c>
      <c r="C738" s="17"/>
      <c r="D738" t="str">
        <f>RTD("tos.rtd", , "OPEN_INT", "."&amp;Table1334[[#This Row],[Ticker]]&amp;Table1334[[#This Row],[Expiry]]&amp;""&amp;"C"&amp;Table1334[[#This Row],[Spot]]+Table1334[[#This Row],[step]])</f>
        <v>N/A</v>
      </c>
      <c r="E73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8" t="b">
        <f>IF(     ISNUMBER(Table1334[[#This Row],[Strike]]),RTD("tos.rtd", , "DELTA", "."&amp;Table1334[[#This Row],[Ticker]]&amp;Table1334[[#This Row],[Expiry]]&amp;""&amp;"C"&amp;Table1334[[#This Row],[Strike]]))</f>
        <v>0</v>
      </c>
      <c r="H738" s="17" cm="1">
        <f t="array" aca="1" ref="H738" ca="1">IndividualLegIVCore($A$4, Table1334[[#This Row],[Strike]], 0.0411, Table1334[[#This Row],[T]], ((Table1334[[#This Row],[BIDC]]+Table1334[[#This Row],[ASKC]])/2), TRUE)</f>
        <v>0.01</v>
      </c>
      <c r="I738" t="b">
        <f>IF(     ISNUMBER(Table1334[[#This Row],[Strike]]),RTD("tos.rtd", , "BID", "."&amp;Table1334[[#This Row],[Ticker]]&amp;Table1334[[#This Row],[Expiry]]&amp;""&amp;"C"&amp;Table1334[[#This Row],[Strike]]))</f>
        <v>0</v>
      </c>
      <c r="J738" t="b">
        <f>IF(     ISNUMBER(Table1334[[#This Row],[Strike]]),RTD("tos.rtd", , "ASK", "."&amp;Table1334[[#This Row],[Ticker]]&amp;Table1334[[#This Row],[Expiry]]&amp;""&amp;"C"&amp;Table1334[[#This Row],[Strike]]))</f>
        <v>0</v>
      </c>
      <c r="K738" s="17"/>
      <c r="M738" s="1">
        <f t="shared" si="70"/>
        <v>0</v>
      </c>
      <c r="N738" t="b">
        <f t="shared" si="71"/>
        <v>0</v>
      </c>
      <c r="P738" s="17" cm="1">
        <f t="array" aca="1" ref="P738" ca="1">IndividualLegIVCore($A$4, Table1334[[#This Row],[Strike]], 0.0411, Table1334[[#This Row],[T]], ((Table1334[[#This Row],[BIDP]]+Table1334[[#This Row],[ASKP]])/2), FALSE)</f>
        <v>0.01</v>
      </c>
      <c r="Q738" t="b">
        <f>IF(     ISNUMBER(Table1334[[#This Row],[Strike]]),RTD("tos.rtd", , "BID", "."&amp;Table1334[[#This Row],[Ticker]]&amp;Table1334[[#This Row],[Expiry]]&amp;""&amp;"P"&amp;Table1334[[#This Row],[Strike]]))</f>
        <v>0</v>
      </c>
      <c r="R738" t="b">
        <f>IF(     ISNUMBER(Table1334[[#This Row],[Strike]]),RTD("tos.rtd", , "ASK", "."&amp;Table1334[[#This Row],[Ticker]]&amp;Table1334[[#This Row],[Expiry]]&amp;""&amp;"P"&amp;Table1334[[#This Row],[Strike]]))</f>
        <v>0</v>
      </c>
      <c r="S738" s="17"/>
      <c r="T738" t="b">
        <f>IF(     ISNUMBER(Table1334[[#This Row],[Strike]]),RTD("tos.rtd", , "OPEN_INT", "."&amp;Table1334[[#This Row],[Ticker]]&amp;Table1334[[#This Row],[Expiry]]&amp;""&amp;"P"&amp;Table1334[[#This Row],[Strike]]))</f>
        <v>0</v>
      </c>
      <c r="U73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8" t="b">
        <f>IF(     ISNUMBER(Table1334[[#This Row],[Strike]]),RTD("tos.rtd", , "DELTA", "."&amp;Table1334[[#This Row],[Ticker]]&amp;Table1334[[#This Row],[Expiry]]&amp;""&amp;"P"&amp;Table1334[[#This Row],[Strike]]))</f>
        <v>0</v>
      </c>
      <c r="Y738" s="19">
        <f>9.5* IF($M$1="NDX", 10, IF(OR($M$1="SPX", $M$1="RUT"), 2, 1))</f>
        <v>19</v>
      </c>
      <c r="Z738">
        <f ca="1">IFERROR(Table1334[[#This Row],[call gamma]]*(Table1334[[#This Row],[Open.Int]])*$A$4^2,0)</f>
        <v>0</v>
      </c>
      <c r="AA738">
        <f ca="1">IFERROR(((Table1334[[#This Row],[Open.Int8]])*Table1334[[#This Row],[Put gamma]])*-1*$A$4^2,0)</f>
        <v>0</v>
      </c>
      <c r="AB738">
        <f ca="1">(Table1334[[#This Row],[Call Gex]]+Table1334[[#This Row],[Put Gex]])</f>
        <v>0</v>
      </c>
      <c r="AC738">
        <f ca="1">Table1334[[#This Row],[put delta adj]]+Table1334[[#This Row],[call delta adj]]</f>
        <v>0</v>
      </c>
      <c r="AD738">
        <f ca="1">Table1334[[#This Row],[Put Gex]]*Table1334[[#This Row],[DeltaP]]*-1</f>
        <v>0</v>
      </c>
      <c r="AE738">
        <f ca="1">Table1334[[#This Row],[Call Gex]]*Table1334[[#This Row],[DeltaC]]</f>
        <v>0</v>
      </c>
      <c r="AF738">
        <f>IF(Table1334[[#This Row],[DeltaC]]-ABS(Table1334[[#This Row],[DeltaP]])="0","0.01",Table1334[[#This Row],[DeltaC]]-ABS(Table1334[[#This Row],[DeltaP]]))</f>
        <v>0</v>
      </c>
      <c r="AG73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8" t="e">
        <f ca="1">(EXP(-(AG738^2)/2)/SQRT(2*PI())*EXP(0*SQRT(Table1334[[#This Row],[T]]))/$A$4*18%*SQRT(SQRT(Table1334[[#This Row],[T]])))</f>
        <v>#DIV/0!</v>
      </c>
      <c r="AJ738" t="e">
        <f ca="1">(EXP(-(AH738^2)/2)/SQRT(2*PI())*EXP(0*SQRT(Table1334[[#This Row],[T]]))/$A$4*18%*SQRT(SQRT(Table1334[[#This Row],[T]])))</f>
        <v>#DIV/0!</v>
      </c>
      <c r="AK738" t="e">
        <f ca="1">Table1334[[#This Row],[Call D1]]-Table1334[[#This Row],[IV Calc C]]*SQRT(Table1334[[#This Row],[T]])</f>
        <v>#DIV/0!</v>
      </c>
      <c r="AL738" t="e">
        <f ca="1">Table1334[[#This Row],[Put D1]]-Table1334[[#This Row],[IV Calc P]]*SQRT(Table1334[[#This Row],[T]])</f>
        <v>#DIV/0!</v>
      </c>
      <c r="AM738" t="e">
        <f ca="1">EXP(-0.5*Table1334[[#This Row],[Call D1]]^2)/SQRT(2*PI())</f>
        <v>#DIV/0!</v>
      </c>
      <c r="AN738" t="e">
        <f ca="1">EXP(-0.5*Table1334[[#This Row],[Put D1]]^2)/SQRT(2*PI())</f>
        <v>#DIV/0!</v>
      </c>
      <c r="AO73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8">
        <f ca="1">((Table1334[[#This Row],[call vanna]]+Table1334[[#This Row],[put vanna]])*$A$4)</f>
        <v>0</v>
      </c>
      <c r="AR73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8" s="9" t="str" cm="1">
        <f t="array" ref="AT738">_xlfn.IFS(     $M$1="SPX","SPXW",     $M$1="RUT","RUTW",  $M$1="NDX","NDXP",   TRUE,$M$1 )</f>
        <v>SPXW</v>
      </c>
      <c r="AU738" s="2">
        <f t="shared" si="72"/>
        <v>6915</v>
      </c>
      <c r="AV738" t="str">
        <f t="shared" si="73"/>
        <v>000100</v>
      </c>
      <c r="AY73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8">
        <f>((Table1334[[#This Row],[High C]]+Table1334[[#This Row],[Low C]])/2)*Table1334[[#This Row],[gammac]]*Table1334[[#This Row],[Volume]]</f>
        <v>0</v>
      </c>
      <c r="BD738">
        <f>((Table1334[[#This Row],[High P]]+Table1334[[#This Row],[Low P]])/2)*Table1334[[#This Row],[gammap]]*Table1334[[#This Row],[Volume9]]*-1</f>
        <v>0</v>
      </c>
      <c r="BE738">
        <f>(Table1334[[#This Row],[SgammaC]]+Table1334[[#This Row],[SgammaP]])*$A$4*-100</f>
        <v>0</v>
      </c>
      <c r="BF738">
        <f>Table1334[[#This Row],[DEXc]]+Table1334[[#This Row],[DEXp]]</f>
        <v>0</v>
      </c>
      <c r="BG738">
        <f>IFERROR(Table1334[[#This Row],[DeltaC]]*Table1334[[#This Row],[Open.Int]]*$A$4,0)</f>
        <v>0</v>
      </c>
      <c r="BH738">
        <f>IFERROR(Table1334[[#This Row],[DeltaP]]*Table1334[[#This Row],[Open.Int8]]*$A$4,0)</f>
        <v>0</v>
      </c>
      <c r="BI73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8">
        <f ca="1">Table1334[[#This Row],[charmc]]+Table1334[[#This Row],[charmp]]</f>
        <v>0</v>
      </c>
      <c r="BL73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8" s="78">
        <f ca="1">Table1334[[#This Row],[call helper]]+Table1334[[#This Row],[put helper]]</f>
        <v>0</v>
      </c>
      <c r="BP738" t="str">
        <f>RTD("tos.rtd", , "STRIKE", "."&amp;Table1334[[#This Row],[Ticker]]&amp;Table1334[[#This Row],[Expiry]]&amp;""&amp;"C"&amp;Table1334[[#This Row],[Spot]]+Table1334[[#This Row],[step]])</f>
        <v>N/A</v>
      </c>
    </row>
    <row r="739" spans="1:68" x14ac:dyDescent="0.25">
      <c r="A739" s="14">
        <f t="shared" ca="1" si="69"/>
        <v>-126.14810350076104</v>
      </c>
      <c r="C739" s="17"/>
      <c r="D739" t="str">
        <f>RTD("tos.rtd", , "OPEN_INT", "."&amp;Table1334[[#This Row],[Ticker]]&amp;Table1334[[#This Row],[Expiry]]&amp;""&amp;"C"&amp;Table1334[[#This Row],[Spot]]+Table1334[[#This Row],[step]])</f>
        <v>N/A</v>
      </c>
      <c r="E73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9" t="b">
        <f>IF(     ISNUMBER(Table1334[[#This Row],[Strike]]),RTD("tos.rtd", , "DELTA", "."&amp;Table1334[[#This Row],[Ticker]]&amp;Table1334[[#This Row],[Expiry]]&amp;""&amp;"C"&amp;Table1334[[#This Row],[Strike]]))</f>
        <v>0</v>
      </c>
      <c r="H739" s="17" cm="1">
        <f t="array" aca="1" ref="H739" ca="1">IndividualLegIVCore($A$4, Table1334[[#This Row],[Strike]], 0.0411, Table1334[[#This Row],[T]], ((Table1334[[#This Row],[BIDC]]+Table1334[[#This Row],[ASKC]])/2), TRUE)</f>
        <v>0.01</v>
      </c>
      <c r="I739" t="b">
        <f>IF(     ISNUMBER(Table1334[[#This Row],[Strike]]),RTD("tos.rtd", , "BID", "."&amp;Table1334[[#This Row],[Ticker]]&amp;Table1334[[#This Row],[Expiry]]&amp;""&amp;"C"&amp;Table1334[[#This Row],[Strike]]))</f>
        <v>0</v>
      </c>
      <c r="J739" t="b">
        <f>IF(     ISNUMBER(Table1334[[#This Row],[Strike]]),RTD("tos.rtd", , "ASK", "."&amp;Table1334[[#This Row],[Ticker]]&amp;Table1334[[#This Row],[Expiry]]&amp;""&amp;"C"&amp;Table1334[[#This Row],[Strike]]))</f>
        <v>0</v>
      </c>
      <c r="K739" s="17"/>
      <c r="M739" s="1">
        <f t="shared" si="70"/>
        <v>0</v>
      </c>
      <c r="N739" t="b">
        <f t="shared" si="71"/>
        <v>0</v>
      </c>
      <c r="P739" s="17" cm="1">
        <f t="array" aca="1" ref="P739" ca="1">IndividualLegIVCore($A$4, Table1334[[#This Row],[Strike]], 0.0411, Table1334[[#This Row],[T]], ((Table1334[[#This Row],[BIDP]]+Table1334[[#This Row],[ASKP]])/2), FALSE)</f>
        <v>0.01</v>
      </c>
      <c r="Q739" t="b">
        <f>IF(     ISNUMBER(Table1334[[#This Row],[Strike]]),RTD("tos.rtd", , "BID", "."&amp;Table1334[[#This Row],[Ticker]]&amp;Table1334[[#This Row],[Expiry]]&amp;""&amp;"P"&amp;Table1334[[#This Row],[Strike]]))</f>
        <v>0</v>
      </c>
      <c r="R739" t="b">
        <f>IF(     ISNUMBER(Table1334[[#This Row],[Strike]]),RTD("tos.rtd", , "ASK", "."&amp;Table1334[[#This Row],[Ticker]]&amp;Table1334[[#This Row],[Expiry]]&amp;""&amp;"P"&amp;Table1334[[#This Row],[Strike]]))</f>
        <v>0</v>
      </c>
      <c r="S739" s="17"/>
      <c r="T739" t="b">
        <f>IF(     ISNUMBER(Table1334[[#This Row],[Strike]]),RTD("tos.rtd", , "OPEN_INT", "."&amp;Table1334[[#This Row],[Ticker]]&amp;Table1334[[#This Row],[Expiry]]&amp;""&amp;"P"&amp;Table1334[[#This Row],[Strike]]))</f>
        <v>0</v>
      </c>
      <c r="U73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9" t="b">
        <f>IF(     ISNUMBER(Table1334[[#This Row],[Strike]]),RTD("tos.rtd", , "DELTA", "."&amp;Table1334[[#This Row],[Ticker]]&amp;Table1334[[#This Row],[Expiry]]&amp;""&amp;"P"&amp;Table1334[[#This Row],[Strike]]))</f>
        <v>0</v>
      </c>
      <c r="Y739" s="19">
        <f>10* IF($M$1="NDX", 10, IF(OR($M$1="SPX", $M$1="RUT"), 2, 1))</f>
        <v>20</v>
      </c>
      <c r="Z739">
        <f ca="1">IFERROR(Table1334[[#This Row],[call gamma]]*(Table1334[[#This Row],[Open.Int]])*$A$4^2,0)</f>
        <v>0</v>
      </c>
      <c r="AA739">
        <f ca="1">IFERROR(((Table1334[[#This Row],[Open.Int8]])*Table1334[[#This Row],[Put gamma]])*-1*$A$4^2,0)</f>
        <v>0</v>
      </c>
      <c r="AB739">
        <f ca="1">(Table1334[[#This Row],[Call Gex]]+Table1334[[#This Row],[Put Gex]])</f>
        <v>0</v>
      </c>
      <c r="AC739">
        <f ca="1">Table1334[[#This Row],[put delta adj]]+Table1334[[#This Row],[call delta adj]]</f>
        <v>0</v>
      </c>
      <c r="AD739">
        <f ca="1">Table1334[[#This Row],[Put Gex]]*Table1334[[#This Row],[DeltaP]]*-1</f>
        <v>0</v>
      </c>
      <c r="AE739">
        <f ca="1">Table1334[[#This Row],[Call Gex]]*Table1334[[#This Row],[DeltaC]]</f>
        <v>0</v>
      </c>
      <c r="AF739">
        <f>IF(Table1334[[#This Row],[DeltaC]]-ABS(Table1334[[#This Row],[DeltaP]])="0","0.01",Table1334[[#This Row],[DeltaC]]-ABS(Table1334[[#This Row],[DeltaP]]))</f>
        <v>0</v>
      </c>
      <c r="AG73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9" t="e">
        <f ca="1">(EXP(-(AG739^2)/2)/SQRT(2*PI())*EXP(0*SQRT(Table1334[[#This Row],[T]]))/$A$4*18%*SQRT(SQRT(Table1334[[#This Row],[T]])))</f>
        <v>#DIV/0!</v>
      </c>
      <c r="AJ739" t="e">
        <f ca="1">(EXP(-(AH739^2)/2)/SQRT(2*PI())*EXP(0*SQRT(Table1334[[#This Row],[T]]))/$A$4*18%*SQRT(SQRT(Table1334[[#This Row],[T]])))</f>
        <v>#DIV/0!</v>
      </c>
      <c r="AK739" t="e">
        <f ca="1">Table1334[[#This Row],[Call D1]]-Table1334[[#This Row],[IV Calc C]]*SQRT(Table1334[[#This Row],[T]])</f>
        <v>#DIV/0!</v>
      </c>
      <c r="AL739" t="e">
        <f ca="1">Table1334[[#This Row],[Put D1]]-Table1334[[#This Row],[IV Calc P]]*SQRT(Table1334[[#This Row],[T]])</f>
        <v>#DIV/0!</v>
      </c>
      <c r="AM739" t="e">
        <f ca="1">EXP(-0.5*Table1334[[#This Row],[Call D1]]^2)/SQRT(2*PI())</f>
        <v>#DIV/0!</v>
      </c>
      <c r="AN739" t="e">
        <f ca="1">EXP(-0.5*Table1334[[#This Row],[Put D1]]^2)/SQRT(2*PI())</f>
        <v>#DIV/0!</v>
      </c>
      <c r="AO73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9">
        <f ca="1">((Table1334[[#This Row],[call vanna]]+Table1334[[#This Row],[put vanna]])*$A$4)</f>
        <v>0</v>
      </c>
      <c r="AR73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9" s="9" t="str" cm="1">
        <f t="array" ref="AT739">_xlfn.IFS(     $M$1="SPX","SPXW",     $M$1="RUT","RUTW",  $M$1="NDX","NDXP",   TRUE,$M$1 )</f>
        <v>SPXW</v>
      </c>
      <c r="AU739" s="2">
        <f t="shared" si="72"/>
        <v>6915</v>
      </c>
      <c r="AV739" t="str">
        <f t="shared" si="73"/>
        <v>000100</v>
      </c>
      <c r="AY73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9">
        <f>((Table1334[[#This Row],[High C]]+Table1334[[#This Row],[Low C]])/2)*Table1334[[#This Row],[gammac]]*Table1334[[#This Row],[Volume]]</f>
        <v>0</v>
      </c>
      <c r="BD739">
        <f>((Table1334[[#This Row],[High P]]+Table1334[[#This Row],[Low P]])/2)*Table1334[[#This Row],[gammap]]*Table1334[[#This Row],[Volume9]]*-1</f>
        <v>0</v>
      </c>
      <c r="BE739">
        <f>(Table1334[[#This Row],[SgammaC]]+Table1334[[#This Row],[SgammaP]])*$A$4*-100</f>
        <v>0</v>
      </c>
      <c r="BF739">
        <f>Table1334[[#This Row],[DEXc]]+Table1334[[#This Row],[DEXp]]</f>
        <v>0</v>
      </c>
      <c r="BG739">
        <f>IFERROR(Table1334[[#This Row],[DeltaC]]*Table1334[[#This Row],[Open.Int]]*$A$4,0)</f>
        <v>0</v>
      </c>
      <c r="BH739">
        <f>IFERROR(Table1334[[#This Row],[DeltaP]]*Table1334[[#This Row],[Open.Int8]]*$A$4,0)</f>
        <v>0</v>
      </c>
      <c r="BI73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9">
        <f ca="1">Table1334[[#This Row],[charmc]]+Table1334[[#This Row],[charmp]]</f>
        <v>0</v>
      </c>
      <c r="BL73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9" s="78">
        <f ca="1">Table1334[[#This Row],[call helper]]+Table1334[[#This Row],[put helper]]</f>
        <v>0</v>
      </c>
      <c r="BP739" t="str">
        <f>RTD("tos.rtd", , "STRIKE", "."&amp;Table1334[[#This Row],[Ticker]]&amp;Table1334[[#This Row],[Expiry]]&amp;""&amp;"C"&amp;Table1334[[#This Row],[Spot]]+Table1334[[#This Row],[step]])</f>
        <v>N/A</v>
      </c>
    </row>
    <row r="740" spans="1:68" x14ac:dyDescent="0.25">
      <c r="A740" s="14">
        <f t="shared" ca="1" si="69"/>
        <v>-126.14810350076104</v>
      </c>
      <c r="C740" s="17"/>
      <c r="D740" t="str">
        <f>RTD("tos.rtd", , "OPEN_INT", "."&amp;Table1334[[#This Row],[Ticker]]&amp;Table1334[[#This Row],[Expiry]]&amp;""&amp;"C"&amp;Table1334[[#This Row],[Spot]]+Table1334[[#This Row],[step]])</f>
        <v>N/A</v>
      </c>
      <c r="E74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0" t="b">
        <f>IF(     ISNUMBER(Table1334[[#This Row],[Strike]]),RTD("tos.rtd", , "DELTA", "."&amp;Table1334[[#This Row],[Ticker]]&amp;Table1334[[#This Row],[Expiry]]&amp;""&amp;"C"&amp;Table1334[[#This Row],[Strike]]))</f>
        <v>0</v>
      </c>
      <c r="H740" s="17" cm="1">
        <f t="array" aca="1" ref="H740" ca="1">IndividualLegIVCore($A$4, Table1334[[#This Row],[Strike]], 0.0411, Table1334[[#This Row],[T]], ((Table1334[[#This Row],[BIDC]]+Table1334[[#This Row],[ASKC]])/2), TRUE)</f>
        <v>0.01</v>
      </c>
      <c r="I740" t="b">
        <f>IF(     ISNUMBER(Table1334[[#This Row],[Strike]]),RTD("tos.rtd", , "BID", "."&amp;Table1334[[#This Row],[Ticker]]&amp;Table1334[[#This Row],[Expiry]]&amp;""&amp;"C"&amp;Table1334[[#This Row],[Strike]]))</f>
        <v>0</v>
      </c>
      <c r="J740" t="b">
        <f>IF(     ISNUMBER(Table1334[[#This Row],[Strike]]),RTD("tos.rtd", , "ASK", "."&amp;Table1334[[#This Row],[Ticker]]&amp;Table1334[[#This Row],[Expiry]]&amp;""&amp;"C"&amp;Table1334[[#This Row],[Strike]]))</f>
        <v>0</v>
      </c>
      <c r="K740" s="17"/>
      <c r="M740" s="1">
        <f t="shared" si="70"/>
        <v>0</v>
      </c>
      <c r="N740" t="b">
        <f t="shared" si="71"/>
        <v>0</v>
      </c>
      <c r="P740" s="17" cm="1">
        <f t="array" aca="1" ref="P740" ca="1">IndividualLegIVCore($A$4, Table1334[[#This Row],[Strike]], 0.0411, Table1334[[#This Row],[T]], ((Table1334[[#This Row],[BIDP]]+Table1334[[#This Row],[ASKP]])/2), FALSE)</f>
        <v>0.01</v>
      </c>
      <c r="Q740" t="b">
        <f>IF(     ISNUMBER(Table1334[[#This Row],[Strike]]),RTD("tos.rtd", , "BID", "."&amp;Table1334[[#This Row],[Ticker]]&amp;Table1334[[#This Row],[Expiry]]&amp;""&amp;"P"&amp;Table1334[[#This Row],[Strike]]))</f>
        <v>0</v>
      </c>
      <c r="R740" t="b">
        <f>IF(     ISNUMBER(Table1334[[#This Row],[Strike]]),RTD("tos.rtd", , "ASK", "."&amp;Table1334[[#This Row],[Ticker]]&amp;Table1334[[#This Row],[Expiry]]&amp;""&amp;"P"&amp;Table1334[[#This Row],[Strike]]))</f>
        <v>0</v>
      </c>
      <c r="S740" s="17"/>
      <c r="T740" t="b">
        <f>IF(     ISNUMBER(Table1334[[#This Row],[Strike]]),RTD("tos.rtd", , "OPEN_INT", "."&amp;Table1334[[#This Row],[Ticker]]&amp;Table1334[[#This Row],[Expiry]]&amp;""&amp;"P"&amp;Table1334[[#This Row],[Strike]]))</f>
        <v>0</v>
      </c>
      <c r="U74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0" t="b">
        <f>IF(     ISNUMBER(Table1334[[#This Row],[Strike]]),RTD("tos.rtd", , "DELTA", "."&amp;Table1334[[#This Row],[Ticker]]&amp;Table1334[[#This Row],[Expiry]]&amp;""&amp;"P"&amp;Table1334[[#This Row],[Strike]]))</f>
        <v>0</v>
      </c>
      <c r="Y740" s="19">
        <f>10.5* IF($M$1="NDX", 10, IF(OR($M$1="SPX", $M$1="RUT"), 2, 1))</f>
        <v>21</v>
      </c>
      <c r="Z740">
        <f ca="1">IFERROR(Table1334[[#This Row],[call gamma]]*(Table1334[[#This Row],[Open.Int]])*$A$4^2,0)</f>
        <v>0</v>
      </c>
      <c r="AA740">
        <f ca="1">IFERROR(((Table1334[[#This Row],[Open.Int8]])*Table1334[[#This Row],[Put gamma]])*-1*$A$4^2,0)</f>
        <v>0</v>
      </c>
      <c r="AB740">
        <f ca="1">(Table1334[[#This Row],[Call Gex]]+Table1334[[#This Row],[Put Gex]])</f>
        <v>0</v>
      </c>
      <c r="AC740">
        <f ca="1">Table1334[[#This Row],[put delta adj]]+Table1334[[#This Row],[call delta adj]]</f>
        <v>0</v>
      </c>
      <c r="AD740">
        <f ca="1">Table1334[[#This Row],[Put Gex]]*Table1334[[#This Row],[DeltaP]]*-1</f>
        <v>0</v>
      </c>
      <c r="AE740">
        <f ca="1">Table1334[[#This Row],[Call Gex]]*Table1334[[#This Row],[DeltaC]]</f>
        <v>0</v>
      </c>
      <c r="AF740">
        <f>IF(Table1334[[#This Row],[DeltaC]]-ABS(Table1334[[#This Row],[DeltaP]])="0","0.01",Table1334[[#This Row],[DeltaC]]-ABS(Table1334[[#This Row],[DeltaP]]))</f>
        <v>0</v>
      </c>
      <c r="AG74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0" t="e">
        <f ca="1">(EXP(-(AG740^2)/2)/SQRT(2*PI())*EXP(0*SQRT(Table1334[[#This Row],[T]]))/$A$4*18%*SQRT(SQRT(Table1334[[#This Row],[T]])))</f>
        <v>#DIV/0!</v>
      </c>
      <c r="AJ740" t="e">
        <f ca="1">(EXP(-(AH740^2)/2)/SQRT(2*PI())*EXP(0*SQRT(Table1334[[#This Row],[T]]))/$A$4*18%*SQRT(SQRT(Table1334[[#This Row],[T]])))</f>
        <v>#DIV/0!</v>
      </c>
      <c r="AK740" t="e">
        <f ca="1">Table1334[[#This Row],[Call D1]]-Table1334[[#This Row],[IV Calc C]]*SQRT(Table1334[[#This Row],[T]])</f>
        <v>#DIV/0!</v>
      </c>
      <c r="AL740" t="e">
        <f ca="1">Table1334[[#This Row],[Put D1]]-Table1334[[#This Row],[IV Calc P]]*SQRT(Table1334[[#This Row],[T]])</f>
        <v>#DIV/0!</v>
      </c>
      <c r="AM740" t="e">
        <f ca="1">EXP(-0.5*Table1334[[#This Row],[Call D1]]^2)/SQRT(2*PI())</f>
        <v>#DIV/0!</v>
      </c>
      <c r="AN740" t="e">
        <f ca="1">EXP(-0.5*Table1334[[#This Row],[Put D1]]^2)/SQRT(2*PI())</f>
        <v>#DIV/0!</v>
      </c>
      <c r="AO74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0">
        <f ca="1">((Table1334[[#This Row],[call vanna]]+Table1334[[#This Row],[put vanna]])*$A$4)</f>
        <v>0</v>
      </c>
      <c r="AR74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0" s="9" t="str" cm="1">
        <f t="array" ref="AT740">_xlfn.IFS(     $M$1="SPX","SPXW",     $M$1="RUT","RUTW",  $M$1="NDX","NDXP",   TRUE,$M$1 )</f>
        <v>SPXW</v>
      </c>
      <c r="AU740" s="2">
        <f t="shared" si="72"/>
        <v>6915</v>
      </c>
      <c r="AV740" t="str">
        <f t="shared" si="73"/>
        <v>000100</v>
      </c>
      <c r="AY74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0">
        <f>((Table1334[[#This Row],[High C]]+Table1334[[#This Row],[Low C]])/2)*Table1334[[#This Row],[gammac]]*Table1334[[#This Row],[Volume]]</f>
        <v>0</v>
      </c>
      <c r="BD740">
        <f>((Table1334[[#This Row],[High P]]+Table1334[[#This Row],[Low P]])/2)*Table1334[[#This Row],[gammap]]*Table1334[[#This Row],[Volume9]]*-1</f>
        <v>0</v>
      </c>
      <c r="BE740">
        <f>(Table1334[[#This Row],[SgammaC]]+Table1334[[#This Row],[SgammaP]])*$A$4*-100</f>
        <v>0</v>
      </c>
      <c r="BF740">
        <f>Table1334[[#This Row],[DEXc]]+Table1334[[#This Row],[DEXp]]</f>
        <v>0</v>
      </c>
      <c r="BG740">
        <f>IFERROR(Table1334[[#This Row],[DeltaC]]*Table1334[[#This Row],[Open.Int]]*$A$4,0)</f>
        <v>0</v>
      </c>
      <c r="BH740">
        <f>IFERROR(Table1334[[#This Row],[DeltaP]]*Table1334[[#This Row],[Open.Int8]]*$A$4,0)</f>
        <v>0</v>
      </c>
      <c r="BI74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0">
        <f ca="1">Table1334[[#This Row],[charmc]]+Table1334[[#This Row],[charmp]]</f>
        <v>0</v>
      </c>
      <c r="BL74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0" s="78">
        <f ca="1">Table1334[[#This Row],[call helper]]+Table1334[[#This Row],[put helper]]</f>
        <v>0</v>
      </c>
      <c r="BP740" t="str">
        <f>RTD("tos.rtd", , "STRIKE", "."&amp;Table1334[[#This Row],[Ticker]]&amp;Table1334[[#This Row],[Expiry]]&amp;""&amp;"C"&amp;Table1334[[#This Row],[Spot]]+Table1334[[#This Row],[step]])</f>
        <v>N/A</v>
      </c>
    </row>
    <row r="741" spans="1:68" x14ac:dyDescent="0.25">
      <c r="A741" s="14">
        <f t="shared" ca="1" si="69"/>
        <v>-126.14810350076104</v>
      </c>
      <c r="C741" s="17"/>
      <c r="D741" t="str">
        <f>RTD("tos.rtd", , "OPEN_INT", "."&amp;Table1334[[#This Row],[Ticker]]&amp;Table1334[[#This Row],[Expiry]]&amp;""&amp;"C"&amp;Table1334[[#This Row],[Spot]]+Table1334[[#This Row],[step]])</f>
        <v>N/A</v>
      </c>
      <c r="E74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1" t="b">
        <f>IF(     ISNUMBER(Table1334[[#This Row],[Strike]]),RTD("tos.rtd", , "DELTA", "."&amp;Table1334[[#This Row],[Ticker]]&amp;Table1334[[#This Row],[Expiry]]&amp;""&amp;"C"&amp;Table1334[[#This Row],[Strike]]))</f>
        <v>0</v>
      </c>
      <c r="H741" s="17" cm="1">
        <f t="array" aca="1" ref="H741" ca="1">IndividualLegIVCore($A$4, Table1334[[#This Row],[Strike]], 0.0411, Table1334[[#This Row],[T]], ((Table1334[[#This Row],[BIDC]]+Table1334[[#This Row],[ASKC]])/2), TRUE)</f>
        <v>0.01</v>
      </c>
      <c r="I741" t="b">
        <f>IF(     ISNUMBER(Table1334[[#This Row],[Strike]]),RTD("tos.rtd", , "BID", "."&amp;Table1334[[#This Row],[Ticker]]&amp;Table1334[[#This Row],[Expiry]]&amp;""&amp;"C"&amp;Table1334[[#This Row],[Strike]]))</f>
        <v>0</v>
      </c>
      <c r="J741" t="b">
        <f>IF(     ISNUMBER(Table1334[[#This Row],[Strike]]),RTD("tos.rtd", , "ASK", "."&amp;Table1334[[#This Row],[Ticker]]&amp;Table1334[[#This Row],[Expiry]]&amp;""&amp;"C"&amp;Table1334[[#This Row],[Strike]]))</f>
        <v>0</v>
      </c>
      <c r="K741" s="17"/>
      <c r="M741" s="1">
        <f t="shared" si="70"/>
        <v>0</v>
      </c>
      <c r="N741" t="b">
        <f t="shared" si="71"/>
        <v>0</v>
      </c>
      <c r="P741" s="17" cm="1">
        <f t="array" aca="1" ref="P741" ca="1">IndividualLegIVCore($A$4, Table1334[[#This Row],[Strike]], 0.0411, Table1334[[#This Row],[T]], ((Table1334[[#This Row],[BIDP]]+Table1334[[#This Row],[ASKP]])/2), FALSE)</f>
        <v>0.01</v>
      </c>
      <c r="Q741" t="b">
        <f>IF(     ISNUMBER(Table1334[[#This Row],[Strike]]),RTD("tos.rtd", , "BID", "."&amp;Table1334[[#This Row],[Ticker]]&amp;Table1334[[#This Row],[Expiry]]&amp;""&amp;"P"&amp;Table1334[[#This Row],[Strike]]))</f>
        <v>0</v>
      </c>
      <c r="R741" t="b">
        <f>IF(     ISNUMBER(Table1334[[#This Row],[Strike]]),RTD("tos.rtd", , "ASK", "."&amp;Table1334[[#This Row],[Ticker]]&amp;Table1334[[#This Row],[Expiry]]&amp;""&amp;"P"&amp;Table1334[[#This Row],[Strike]]))</f>
        <v>0</v>
      </c>
      <c r="S741" s="17"/>
      <c r="T741" t="b">
        <f>IF(     ISNUMBER(Table1334[[#This Row],[Strike]]),RTD("tos.rtd", , "OPEN_INT", "."&amp;Table1334[[#This Row],[Ticker]]&amp;Table1334[[#This Row],[Expiry]]&amp;""&amp;"P"&amp;Table1334[[#This Row],[Strike]]))</f>
        <v>0</v>
      </c>
      <c r="U74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1" t="b">
        <f>IF(     ISNUMBER(Table1334[[#This Row],[Strike]]),RTD("tos.rtd", , "DELTA", "."&amp;Table1334[[#This Row],[Ticker]]&amp;Table1334[[#This Row],[Expiry]]&amp;""&amp;"P"&amp;Table1334[[#This Row],[Strike]]))</f>
        <v>0</v>
      </c>
      <c r="Y741" s="19">
        <f>11* IF($M$1="NDX", 10, IF(OR($M$1="SPX", $M$1="RUT"), 2, 1))</f>
        <v>22</v>
      </c>
      <c r="Z741">
        <f ca="1">IFERROR(Table1334[[#This Row],[call gamma]]*(Table1334[[#This Row],[Open.Int]])*$A$4^2,0)</f>
        <v>0</v>
      </c>
      <c r="AA741">
        <f ca="1">IFERROR(((Table1334[[#This Row],[Open.Int8]])*Table1334[[#This Row],[Put gamma]])*-1*$A$4^2,0)</f>
        <v>0</v>
      </c>
      <c r="AB741">
        <f ca="1">(Table1334[[#This Row],[Call Gex]]+Table1334[[#This Row],[Put Gex]])</f>
        <v>0</v>
      </c>
      <c r="AC741">
        <f ca="1">Table1334[[#This Row],[put delta adj]]+Table1334[[#This Row],[call delta adj]]</f>
        <v>0</v>
      </c>
      <c r="AD741">
        <f ca="1">Table1334[[#This Row],[Put Gex]]*Table1334[[#This Row],[DeltaP]]*-1</f>
        <v>0</v>
      </c>
      <c r="AE741">
        <f ca="1">Table1334[[#This Row],[Call Gex]]*Table1334[[#This Row],[DeltaC]]</f>
        <v>0</v>
      </c>
      <c r="AF741">
        <f>IF(Table1334[[#This Row],[DeltaC]]-ABS(Table1334[[#This Row],[DeltaP]])="0","0.01",Table1334[[#This Row],[DeltaC]]-ABS(Table1334[[#This Row],[DeltaP]]))</f>
        <v>0</v>
      </c>
      <c r="AG74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1" t="e">
        <f ca="1">(EXP(-(AG741^2)/2)/SQRT(2*PI())*EXP(0*SQRT(Table1334[[#This Row],[T]]))/$A$4*18%*SQRT(SQRT(Table1334[[#This Row],[T]])))</f>
        <v>#DIV/0!</v>
      </c>
      <c r="AJ741" t="e">
        <f ca="1">(EXP(-(AH741^2)/2)/SQRT(2*PI())*EXP(0*SQRT(Table1334[[#This Row],[T]]))/$A$4*18%*SQRT(SQRT(Table1334[[#This Row],[T]])))</f>
        <v>#DIV/0!</v>
      </c>
      <c r="AK741" t="e">
        <f ca="1">Table1334[[#This Row],[Call D1]]-Table1334[[#This Row],[IV Calc C]]*SQRT(Table1334[[#This Row],[T]])</f>
        <v>#DIV/0!</v>
      </c>
      <c r="AL741" t="e">
        <f ca="1">Table1334[[#This Row],[Put D1]]-Table1334[[#This Row],[IV Calc P]]*SQRT(Table1334[[#This Row],[T]])</f>
        <v>#DIV/0!</v>
      </c>
      <c r="AM741" t="e">
        <f ca="1">EXP(-0.5*Table1334[[#This Row],[Call D1]]^2)/SQRT(2*PI())</f>
        <v>#DIV/0!</v>
      </c>
      <c r="AN741" t="e">
        <f ca="1">EXP(-0.5*Table1334[[#This Row],[Put D1]]^2)/SQRT(2*PI())</f>
        <v>#DIV/0!</v>
      </c>
      <c r="AO74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1">
        <f ca="1">((Table1334[[#This Row],[call vanna]]+Table1334[[#This Row],[put vanna]])*$A$4)</f>
        <v>0</v>
      </c>
      <c r="AR74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1" s="9" t="str" cm="1">
        <f t="array" ref="AT741">_xlfn.IFS(     $M$1="SPX","SPXW",     $M$1="RUT","RUTW",  $M$1="NDX","NDXP",   TRUE,$M$1 )</f>
        <v>SPXW</v>
      </c>
      <c r="AU741" s="2">
        <f t="shared" si="72"/>
        <v>6915</v>
      </c>
      <c r="AV741" t="str">
        <f t="shared" si="73"/>
        <v>000100</v>
      </c>
      <c r="AY74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1">
        <f>((Table1334[[#This Row],[High C]]+Table1334[[#This Row],[Low C]])/2)*Table1334[[#This Row],[gammac]]*Table1334[[#This Row],[Volume]]</f>
        <v>0</v>
      </c>
      <c r="BD741">
        <f>((Table1334[[#This Row],[High P]]+Table1334[[#This Row],[Low P]])/2)*Table1334[[#This Row],[gammap]]*Table1334[[#This Row],[Volume9]]*-1</f>
        <v>0</v>
      </c>
      <c r="BE741">
        <f>(Table1334[[#This Row],[SgammaC]]+Table1334[[#This Row],[SgammaP]])*$A$4*-100</f>
        <v>0</v>
      </c>
      <c r="BF741">
        <f>Table1334[[#This Row],[DEXc]]+Table1334[[#This Row],[DEXp]]</f>
        <v>0</v>
      </c>
      <c r="BG741">
        <f>IFERROR(Table1334[[#This Row],[DeltaC]]*Table1334[[#This Row],[Open.Int]]*$A$4,0)</f>
        <v>0</v>
      </c>
      <c r="BH741">
        <f>IFERROR(Table1334[[#This Row],[DeltaP]]*Table1334[[#This Row],[Open.Int8]]*$A$4,0)</f>
        <v>0</v>
      </c>
      <c r="BI74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1">
        <f ca="1">Table1334[[#This Row],[charmc]]+Table1334[[#This Row],[charmp]]</f>
        <v>0</v>
      </c>
      <c r="BL74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1" s="78">
        <f ca="1">Table1334[[#This Row],[call helper]]+Table1334[[#This Row],[put helper]]</f>
        <v>0</v>
      </c>
      <c r="BP741" t="str">
        <f>RTD("tos.rtd", , "STRIKE", "."&amp;Table1334[[#This Row],[Ticker]]&amp;Table1334[[#This Row],[Expiry]]&amp;""&amp;"C"&amp;Table1334[[#This Row],[Spot]]+Table1334[[#This Row],[step]])</f>
        <v>N/A</v>
      </c>
    </row>
    <row r="742" spans="1:68" x14ac:dyDescent="0.25">
      <c r="A742" s="14">
        <f t="shared" ca="1" si="69"/>
        <v>-126.14810350076104</v>
      </c>
      <c r="C742" s="17"/>
      <c r="D742" t="str">
        <f>RTD("tos.rtd", , "OPEN_INT", "."&amp;Table1334[[#This Row],[Ticker]]&amp;Table1334[[#This Row],[Expiry]]&amp;""&amp;"C"&amp;Table1334[[#This Row],[Spot]]+Table1334[[#This Row],[step]])</f>
        <v>N/A</v>
      </c>
      <c r="E74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2" t="b">
        <f>IF(     ISNUMBER(Table1334[[#This Row],[Strike]]),RTD("tos.rtd", , "DELTA", "."&amp;Table1334[[#This Row],[Ticker]]&amp;Table1334[[#This Row],[Expiry]]&amp;""&amp;"C"&amp;Table1334[[#This Row],[Strike]]))</f>
        <v>0</v>
      </c>
      <c r="H742" s="17" cm="1">
        <f t="array" aca="1" ref="H742" ca="1">IndividualLegIVCore($A$4, Table1334[[#This Row],[Strike]], 0.0411, Table1334[[#This Row],[T]], ((Table1334[[#This Row],[BIDC]]+Table1334[[#This Row],[ASKC]])/2), TRUE)</f>
        <v>0.01</v>
      </c>
      <c r="I742" t="b">
        <f>IF(     ISNUMBER(Table1334[[#This Row],[Strike]]),RTD("tos.rtd", , "BID", "."&amp;Table1334[[#This Row],[Ticker]]&amp;Table1334[[#This Row],[Expiry]]&amp;""&amp;"C"&amp;Table1334[[#This Row],[Strike]]))</f>
        <v>0</v>
      </c>
      <c r="J742" t="b">
        <f>IF(     ISNUMBER(Table1334[[#This Row],[Strike]]),RTD("tos.rtd", , "ASK", "."&amp;Table1334[[#This Row],[Ticker]]&amp;Table1334[[#This Row],[Expiry]]&amp;""&amp;"C"&amp;Table1334[[#This Row],[Strike]]))</f>
        <v>0</v>
      </c>
      <c r="K742" s="17"/>
      <c r="M742" s="1">
        <f t="shared" si="70"/>
        <v>0</v>
      </c>
      <c r="N742" t="b">
        <f t="shared" si="71"/>
        <v>0</v>
      </c>
      <c r="P742" s="17" cm="1">
        <f t="array" aca="1" ref="P742" ca="1">IndividualLegIVCore($A$4, Table1334[[#This Row],[Strike]], 0.0411, Table1334[[#This Row],[T]], ((Table1334[[#This Row],[BIDP]]+Table1334[[#This Row],[ASKP]])/2), FALSE)</f>
        <v>0.01</v>
      </c>
      <c r="Q742" t="b">
        <f>IF(     ISNUMBER(Table1334[[#This Row],[Strike]]),RTD("tos.rtd", , "BID", "."&amp;Table1334[[#This Row],[Ticker]]&amp;Table1334[[#This Row],[Expiry]]&amp;""&amp;"P"&amp;Table1334[[#This Row],[Strike]]))</f>
        <v>0</v>
      </c>
      <c r="R742" t="b">
        <f>IF(     ISNUMBER(Table1334[[#This Row],[Strike]]),RTD("tos.rtd", , "ASK", "."&amp;Table1334[[#This Row],[Ticker]]&amp;Table1334[[#This Row],[Expiry]]&amp;""&amp;"P"&amp;Table1334[[#This Row],[Strike]]))</f>
        <v>0</v>
      </c>
      <c r="S742" s="17"/>
      <c r="T742" t="b">
        <f>IF(     ISNUMBER(Table1334[[#This Row],[Strike]]),RTD("tos.rtd", , "OPEN_INT", "."&amp;Table1334[[#This Row],[Ticker]]&amp;Table1334[[#This Row],[Expiry]]&amp;""&amp;"P"&amp;Table1334[[#This Row],[Strike]]))</f>
        <v>0</v>
      </c>
      <c r="U74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2" t="b">
        <f>IF(     ISNUMBER(Table1334[[#This Row],[Strike]]),RTD("tos.rtd", , "DELTA", "."&amp;Table1334[[#This Row],[Ticker]]&amp;Table1334[[#This Row],[Expiry]]&amp;""&amp;"P"&amp;Table1334[[#This Row],[Strike]]))</f>
        <v>0</v>
      </c>
      <c r="Y742" s="19">
        <f>11.5* IF($M$1="NDX", 10, IF(OR($M$1="SPX", $M$1="RUT"), 2, 1))</f>
        <v>23</v>
      </c>
      <c r="Z742">
        <f ca="1">IFERROR(Table1334[[#This Row],[call gamma]]*(Table1334[[#This Row],[Open.Int]])*$A$4^2,0)</f>
        <v>0</v>
      </c>
      <c r="AA742">
        <f ca="1">IFERROR(((Table1334[[#This Row],[Open.Int8]])*Table1334[[#This Row],[Put gamma]])*-1*$A$4^2,0)</f>
        <v>0</v>
      </c>
      <c r="AB742">
        <f ca="1">(Table1334[[#This Row],[Call Gex]]+Table1334[[#This Row],[Put Gex]])</f>
        <v>0</v>
      </c>
      <c r="AC742">
        <f ca="1">Table1334[[#This Row],[put delta adj]]+Table1334[[#This Row],[call delta adj]]</f>
        <v>0</v>
      </c>
      <c r="AD742">
        <f ca="1">Table1334[[#This Row],[Put Gex]]*Table1334[[#This Row],[DeltaP]]*-1</f>
        <v>0</v>
      </c>
      <c r="AE742">
        <f ca="1">Table1334[[#This Row],[Call Gex]]*Table1334[[#This Row],[DeltaC]]</f>
        <v>0</v>
      </c>
      <c r="AF742">
        <f>IF(Table1334[[#This Row],[DeltaC]]-ABS(Table1334[[#This Row],[DeltaP]])="0","0.01",Table1334[[#This Row],[DeltaC]]-ABS(Table1334[[#This Row],[DeltaP]]))</f>
        <v>0</v>
      </c>
      <c r="AG74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2" t="e">
        <f ca="1">(EXP(-(AG742^2)/2)/SQRT(2*PI())*EXP(0*SQRT(Table1334[[#This Row],[T]]))/$A$4*18%*SQRT(SQRT(Table1334[[#This Row],[T]])))</f>
        <v>#DIV/0!</v>
      </c>
      <c r="AJ742" t="e">
        <f ca="1">(EXP(-(AH742^2)/2)/SQRT(2*PI())*EXP(0*SQRT(Table1334[[#This Row],[T]]))/$A$4*18%*SQRT(SQRT(Table1334[[#This Row],[T]])))</f>
        <v>#DIV/0!</v>
      </c>
      <c r="AK742" t="e">
        <f ca="1">Table1334[[#This Row],[Call D1]]-Table1334[[#This Row],[IV Calc C]]*SQRT(Table1334[[#This Row],[T]])</f>
        <v>#DIV/0!</v>
      </c>
      <c r="AL742" t="e">
        <f ca="1">Table1334[[#This Row],[Put D1]]-Table1334[[#This Row],[IV Calc P]]*SQRT(Table1334[[#This Row],[T]])</f>
        <v>#DIV/0!</v>
      </c>
      <c r="AM742" t="e">
        <f ca="1">EXP(-0.5*Table1334[[#This Row],[Call D1]]^2)/SQRT(2*PI())</f>
        <v>#DIV/0!</v>
      </c>
      <c r="AN742" t="e">
        <f ca="1">EXP(-0.5*Table1334[[#This Row],[Put D1]]^2)/SQRT(2*PI())</f>
        <v>#DIV/0!</v>
      </c>
      <c r="AO74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2">
        <f ca="1">((Table1334[[#This Row],[call vanna]]+Table1334[[#This Row],[put vanna]])*$A$4)</f>
        <v>0</v>
      </c>
      <c r="AR74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2" s="9" t="str" cm="1">
        <f t="array" ref="AT742">_xlfn.IFS(     $M$1="SPX","SPXW",     $M$1="RUT","RUTW",  $M$1="NDX","NDXP",   TRUE,$M$1 )</f>
        <v>SPXW</v>
      </c>
      <c r="AU742" s="2">
        <f t="shared" si="72"/>
        <v>6915</v>
      </c>
      <c r="AV742" t="str">
        <f t="shared" si="73"/>
        <v>000100</v>
      </c>
      <c r="AY74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2">
        <f>((Table1334[[#This Row],[High C]]+Table1334[[#This Row],[Low C]])/2)*Table1334[[#This Row],[gammac]]*Table1334[[#This Row],[Volume]]</f>
        <v>0</v>
      </c>
      <c r="BD742">
        <f>((Table1334[[#This Row],[High P]]+Table1334[[#This Row],[Low P]])/2)*Table1334[[#This Row],[gammap]]*Table1334[[#This Row],[Volume9]]*-1</f>
        <v>0</v>
      </c>
      <c r="BE742">
        <f>(Table1334[[#This Row],[SgammaC]]+Table1334[[#This Row],[SgammaP]])*$A$4*-100</f>
        <v>0</v>
      </c>
      <c r="BF742">
        <f>Table1334[[#This Row],[DEXc]]+Table1334[[#This Row],[DEXp]]</f>
        <v>0</v>
      </c>
      <c r="BG742">
        <f>IFERROR(Table1334[[#This Row],[DeltaC]]*Table1334[[#This Row],[Open.Int]]*$A$4,0)</f>
        <v>0</v>
      </c>
      <c r="BH742">
        <f>IFERROR(Table1334[[#This Row],[DeltaP]]*Table1334[[#This Row],[Open.Int8]]*$A$4,0)</f>
        <v>0</v>
      </c>
      <c r="BI74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2">
        <f ca="1">Table1334[[#This Row],[charmc]]+Table1334[[#This Row],[charmp]]</f>
        <v>0</v>
      </c>
      <c r="BL74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2" s="78">
        <f ca="1">Table1334[[#This Row],[call helper]]+Table1334[[#This Row],[put helper]]</f>
        <v>0</v>
      </c>
      <c r="BP742" t="str">
        <f>RTD("tos.rtd", , "STRIKE", "."&amp;Table1334[[#This Row],[Ticker]]&amp;Table1334[[#This Row],[Expiry]]&amp;""&amp;"C"&amp;Table1334[[#This Row],[Spot]]+Table1334[[#This Row],[step]])</f>
        <v>N/A</v>
      </c>
    </row>
    <row r="743" spans="1:68" x14ac:dyDescent="0.25">
      <c r="A743" s="14">
        <f t="shared" ca="1" si="69"/>
        <v>-126.14810350076104</v>
      </c>
      <c r="C743" s="17"/>
      <c r="D743" t="str">
        <f>RTD("tos.rtd", , "OPEN_INT", "."&amp;Table1334[[#This Row],[Ticker]]&amp;Table1334[[#This Row],[Expiry]]&amp;""&amp;"C"&amp;Table1334[[#This Row],[Spot]]+Table1334[[#This Row],[step]])</f>
        <v>N/A</v>
      </c>
      <c r="E74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3" t="b">
        <f>IF(     ISNUMBER(Table1334[[#This Row],[Strike]]),RTD("tos.rtd", , "DELTA", "."&amp;Table1334[[#This Row],[Ticker]]&amp;Table1334[[#This Row],[Expiry]]&amp;""&amp;"C"&amp;Table1334[[#This Row],[Strike]]))</f>
        <v>0</v>
      </c>
      <c r="H743" s="17" cm="1">
        <f t="array" aca="1" ref="H743" ca="1">IndividualLegIVCore($A$4, Table1334[[#This Row],[Strike]], 0.0411, Table1334[[#This Row],[T]], ((Table1334[[#This Row],[BIDC]]+Table1334[[#This Row],[ASKC]])/2), TRUE)</f>
        <v>0.01</v>
      </c>
      <c r="I743" t="b">
        <f>IF(     ISNUMBER(Table1334[[#This Row],[Strike]]),RTD("tos.rtd", , "BID", "."&amp;Table1334[[#This Row],[Ticker]]&amp;Table1334[[#This Row],[Expiry]]&amp;""&amp;"C"&amp;Table1334[[#This Row],[Strike]]))</f>
        <v>0</v>
      </c>
      <c r="J743" t="b">
        <f>IF(     ISNUMBER(Table1334[[#This Row],[Strike]]),RTD("tos.rtd", , "ASK", "."&amp;Table1334[[#This Row],[Ticker]]&amp;Table1334[[#This Row],[Expiry]]&amp;""&amp;"C"&amp;Table1334[[#This Row],[Strike]]))</f>
        <v>0</v>
      </c>
      <c r="K743" s="17"/>
      <c r="M743" s="1">
        <f t="shared" si="70"/>
        <v>0</v>
      </c>
      <c r="N743" t="b">
        <f t="shared" si="71"/>
        <v>0</v>
      </c>
      <c r="P743" s="17" cm="1">
        <f t="array" aca="1" ref="P743" ca="1">IndividualLegIVCore($A$4, Table1334[[#This Row],[Strike]], 0.0411, Table1334[[#This Row],[T]], ((Table1334[[#This Row],[BIDP]]+Table1334[[#This Row],[ASKP]])/2), FALSE)</f>
        <v>0.01</v>
      </c>
      <c r="Q743" t="b">
        <f>IF(     ISNUMBER(Table1334[[#This Row],[Strike]]),RTD("tos.rtd", , "BID", "."&amp;Table1334[[#This Row],[Ticker]]&amp;Table1334[[#This Row],[Expiry]]&amp;""&amp;"P"&amp;Table1334[[#This Row],[Strike]]))</f>
        <v>0</v>
      </c>
      <c r="R743" t="b">
        <f>IF(     ISNUMBER(Table1334[[#This Row],[Strike]]),RTD("tos.rtd", , "ASK", "."&amp;Table1334[[#This Row],[Ticker]]&amp;Table1334[[#This Row],[Expiry]]&amp;""&amp;"P"&amp;Table1334[[#This Row],[Strike]]))</f>
        <v>0</v>
      </c>
      <c r="S743" s="17"/>
      <c r="T743" t="b">
        <f>IF(     ISNUMBER(Table1334[[#This Row],[Strike]]),RTD("tos.rtd", , "OPEN_INT", "."&amp;Table1334[[#This Row],[Ticker]]&amp;Table1334[[#This Row],[Expiry]]&amp;""&amp;"P"&amp;Table1334[[#This Row],[Strike]]))</f>
        <v>0</v>
      </c>
      <c r="U74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3" t="b">
        <f>IF(     ISNUMBER(Table1334[[#This Row],[Strike]]),RTD("tos.rtd", , "DELTA", "."&amp;Table1334[[#This Row],[Ticker]]&amp;Table1334[[#This Row],[Expiry]]&amp;""&amp;"P"&amp;Table1334[[#This Row],[Strike]]))</f>
        <v>0</v>
      </c>
      <c r="Y743" s="19">
        <f>12* IF($M$1="NDX", 10, IF(OR($M$1="SPX", $M$1="RUT"), 2, 1))</f>
        <v>24</v>
      </c>
      <c r="Z743">
        <f ca="1">IFERROR(Table1334[[#This Row],[call gamma]]*(Table1334[[#This Row],[Open.Int]])*$A$4^2,0)</f>
        <v>0</v>
      </c>
      <c r="AA743">
        <f ca="1">IFERROR(((Table1334[[#This Row],[Open.Int8]])*Table1334[[#This Row],[Put gamma]])*-1*$A$4^2,0)</f>
        <v>0</v>
      </c>
      <c r="AB743">
        <f ca="1">(Table1334[[#This Row],[Call Gex]]+Table1334[[#This Row],[Put Gex]])</f>
        <v>0</v>
      </c>
      <c r="AC743">
        <f ca="1">Table1334[[#This Row],[put delta adj]]+Table1334[[#This Row],[call delta adj]]</f>
        <v>0</v>
      </c>
      <c r="AD743">
        <f ca="1">Table1334[[#This Row],[Put Gex]]*Table1334[[#This Row],[DeltaP]]*-1</f>
        <v>0</v>
      </c>
      <c r="AE743">
        <f ca="1">Table1334[[#This Row],[Call Gex]]*Table1334[[#This Row],[DeltaC]]</f>
        <v>0</v>
      </c>
      <c r="AF743">
        <f>IF(Table1334[[#This Row],[DeltaC]]-ABS(Table1334[[#This Row],[DeltaP]])="0","0.01",Table1334[[#This Row],[DeltaC]]-ABS(Table1334[[#This Row],[DeltaP]]))</f>
        <v>0</v>
      </c>
      <c r="AG74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3" t="e">
        <f ca="1">(EXP(-(AG743^2)/2)/SQRT(2*PI())*EXP(0*SQRT(Table1334[[#This Row],[T]]))/$A$4*18%*SQRT(SQRT(Table1334[[#This Row],[T]])))</f>
        <v>#DIV/0!</v>
      </c>
      <c r="AJ743" t="e">
        <f ca="1">(EXP(-(AH743^2)/2)/SQRT(2*PI())*EXP(0*SQRT(Table1334[[#This Row],[T]]))/$A$4*18%*SQRT(SQRT(Table1334[[#This Row],[T]])))</f>
        <v>#DIV/0!</v>
      </c>
      <c r="AK743" t="e">
        <f ca="1">Table1334[[#This Row],[Call D1]]-Table1334[[#This Row],[IV Calc C]]*SQRT(Table1334[[#This Row],[T]])</f>
        <v>#DIV/0!</v>
      </c>
      <c r="AL743" t="e">
        <f ca="1">Table1334[[#This Row],[Put D1]]-Table1334[[#This Row],[IV Calc P]]*SQRT(Table1334[[#This Row],[T]])</f>
        <v>#DIV/0!</v>
      </c>
      <c r="AM743" t="e">
        <f ca="1">EXP(-0.5*Table1334[[#This Row],[Call D1]]^2)/SQRT(2*PI())</f>
        <v>#DIV/0!</v>
      </c>
      <c r="AN743" t="e">
        <f ca="1">EXP(-0.5*Table1334[[#This Row],[Put D1]]^2)/SQRT(2*PI())</f>
        <v>#DIV/0!</v>
      </c>
      <c r="AO74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3">
        <f ca="1">((Table1334[[#This Row],[call vanna]]+Table1334[[#This Row],[put vanna]])*$A$4)</f>
        <v>0</v>
      </c>
      <c r="AR74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3" s="9" t="str" cm="1">
        <f t="array" ref="AT743">_xlfn.IFS(     $M$1="SPX","SPXW",     $M$1="RUT","RUTW",  $M$1="NDX","NDXP",   TRUE,$M$1 )</f>
        <v>SPXW</v>
      </c>
      <c r="AU743" s="2">
        <f t="shared" si="72"/>
        <v>6915</v>
      </c>
      <c r="AV743" t="str">
        <f t="shared" si="73"/>
        <v>000100</v>
      </c>
      <c r="AY74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3">
        <f>((Table1334[[#This Row],[High C]]+Table1334[[#This Row],[Low C]])/2)*Table1334[[#This Row],[gammac]]*Table1334[[#This Row],[Volume]]</f>
        <v>0</v>
      </c>
      <c r="BD743">
        <f>((Table1334[[#This Row],[High P]]+Table1334[[#This Row],[Low P]])/2)*Table1334[[#This Row],[gammap]]*Table1334[[#This Row],[Volume9]]*-1</f>
        <v>0</v>
      </c>
      <c r="BE743">
        <f>(Table1334[[#This Row],[SgammaC]]+Table1334[[#This Row],[SgammaP]])*$A$4*-100</f>
        <v>0</v>
      </c>
      <c r="BF743">
        <f>Table1334[[#This Row],[DEXc]]+Table1334[[#This Row],[DEXp]]</f>
        <v>0</v>
      </c>
      <c r="BG743">
        <f>IFERROR(Table1334[[#This Row],[DeltaC]]*Table1334[[#This Row],[Open.Int]]*$A$4,0)</f>
        <v>0</v>
      </c>
      <c r="BH743">
        <f>IFERROR(Table1334[[#This Row],[DeltaP]]*Table1334[[#This Row],[Open.Int8]]*$A$4,0)</f>
        <v>0</v>
      </c>
      <c r="BI74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3">
        <f ca="1">Table1334[[#This Row],[charmc]]+Table1334[[#This Row],[charmp]]</f>
        <v>0</v>
      </c>
      <c r="BL74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3" s="78">
        <f ca="1">Table1334[[#This Row],[call helper]]+Table1334[[#This Row],[put helper]]</f>
        <v>0</v>
      </c>
      <c r="BP743" t="str">
        <f>RTD("tos.rtd", , "STRIKE", "."&amp;Table1334[[#This Row],[Ticker]]&amp;Table1334[[#This Row],[Expiry]]&amp;""&amp;"C"&amp;Table1334[[#This Row],[Spot]]+Table1334[[#This Row],[step]])</f>
        <v>N/A</v>
      </c>
    </row>
    <row r="744" spans="1:68" x14ac:dyDescent="0.25">
      <c r="A744" s="14">
        <f t="shared" ca="1" si="69"/>
        <v>-126.14810350076104</v>
      </c>
      <c r="C744" s="17"/>
      <c r="D744" t="str">
        <f>RTD("tos.rtd", , "OPEN_INT", "."&amp;Table1334[[#This Row],[Ticker]]&amp;Table1334[[#This Row],[Expiry]]&amp;""&amp;"C"&amp;Table1334[[#This Row],[Spot]]+Table1334[[#This Row],[step]])</f>
        <v>N/A</v>
      </c>
      <c r="E74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4" t="b">
        <f>IF(     ISNUMBER(Table1334[[#This Row],[Strike]]),RTD("tos.rtd", , "DELTA", "."&amp;Table1334[[#This Row],[Ticker]]&amp;Table1334[[#This Row],[Expiry]]&amp;""&amp;"C"&amp;Table1334[[#This Row],[Strike]]))</f>
        <v>0</v>
      </c>
      <c r="H744" s="17" cm="1">
        <f t="array" aca="1" ref="H744" ca="1">IndividualLegIVCore($A$4, Table1334[[#This Row],[Strike]], 0.0411, Table1334[[#This Row],[T]], ((Table1334[[#This Row],[BIDC]]+Table1334[[#This Row],[ASKC]])/2), TRUE)</f>
        <v>0.01</v>
      </c>
      <c r="I744" t="b">
        <f>IF(     ISNUMBER(Table1334[[#This Row],[Strike]]),RTD("tos.rtd", , "BID", "."&amp;Table1334[[#This Row],[Ticker]]&amp;Table1334[[#This Row],[Expiry]]&amp;""&amp;"C"&amp;Table1334[[#This Row],[Strike]]))</f>
        <v>0</v>
      </c>
      <c r="J744" t="b">
        <f>IF(     ISNUMBER(Table1334[[#This Row],[Strike]]),RTD("tos.rtd", , "ASK", "."&amp;Table1334[[#This Row],[Ticker]]&amp;Table1334[[#This Row],[Expiry]]&amp;""&amp;"C"&amp;Table1334[[#This Row],[Strike]]))</f>
        <v>0</v>
      </c>
      <c r="K744" s="17"/>
      <c r="M744" s="1">
        <f t="shared" si="70"/>
        <v>0</v>
      </c>
      <c r="N744" t="b">
        <f t="shared" si="71"/>
        <v>0</v>
      </c>
      <c r="P744" s="17" cm="1">
        <f t="array" aca="1" ref="P744" ca="1">IndividualLegIVCore($A$4, Table1334[[#This Row],[Strike]], 0.0411, Table1334[[#This Row],[T]], ((Table1334[[#This Row],[BIDP]]+Table1334[[#This Row],[ASKP]])/2), FALSE)</f>
        <v>0.01</v>
      </c>
      <c r="Q744" t="b">
        <f>IF(     ISNUMBER(Table1334[[#This Row],[Strike]]),RTD("tos.rtd", , "BID", "."&amp;Table1334[[#This Row],[Ticker]]&amp;Table1334[[#This Row],[Expiry]]&amp;""&amp;"P"&amp;Table1334[[#This Row],[Strike]]))</f>
        <v>0</v>
      </c>
      <c r="R744" t="b">
        <f>IF(     ISNUMBER(Table1334[[#This Row],[Strike]]),RTD("tos.rtd", , "ASK", "."&amp;Table1334[[#This Row],[Ticker]]&amp;Table1334[[#This Row],[Expiry]]&amp;""&amp;"P"&amp;Table1334[[#This Row],[Strike]]))</f>
        <v>0</v>
      </c>
      <c r="S744" s="17"/>
      <c r="T744" t="b">
        <f>IF(     ISNUMBER(Table1334[[#This Row],[Strike]]),RTD("tos.rtd", , "OPEN_INT", "."&amp;Table1334[[#This Row],[Ticker]]&amp;Table1334[[#This Row],[Expiry]]&amp;""&amp;"P"&amp;Table1334[[#This Row],[Strike]]))</f>
        <v>0</v>
      </c>
      <c r="U74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4" t="b">
        <f>IF(     ISNUMBER(Table1334[[#This Row],[Strike]]),RTD("tos.rtd", , "DELTA", "."&amp;Table1334[[#This Row],[Ticker]]&amp;Table1334[[#This Row],[Expiry]]&amp;""&amp;"P"&amp;Table1334[[#This Row],[Strike]]))</f>
        <v>0</v>
      </c>
      <c r="Y744" s="19">
        <f>12.5* IF($M$1="NDX", 10, IF(OR($M$1="SPX", $M$1="RUT"), 2, 1))</f>
        <v>25</v>
      </c>
      <c r="Z744">
        <f ca="1">IFERROR(Table1334[[#This Row],[call gamma]]*(Table1334[[#This Row],[Open.Int]])*$A$4^2,0)</f>
        <v>0</v>
      </c>
      <c r="AA744">
        <f ca="1">IFERROR(((Table1334[[#This Row],[Open.Int8]])*Table1334[[#This Row],[Put gamma]])*-1*$A$4^2,0)</f>
        <v>0</v>
      </c>
      <c r="AB744">
        <f ca="1">(Table1334[[#This Row],[Call Gex]]+Table1334[[#This Row],[Put Gex]])</f>
        <v>0</v>
      </c>
      <c r="AC744">
        <f ca="1">Table1334[[#This Row],[put delta adj]]+Table1334[[#This Row],[call delta adj]]</f>
        <v>0</v>
      </c>
      <c r="AD744">
        <f ca="1">Table1334[[#This Row],[Put Gex]]*Table1334[[#This Row],[DeltaP]]*-1</f>
        <v>0</v>
      </c>
      <c r="AE744">
        <f ca="1">Table1334[[#This Row],[Call Gex]]*Table1334[[#This Row],[DeltaC]]</f>
        <v>0</v>
      </c>
      <c r="AF744">
        <f>IF(Table1334[[#This Row],[DeltaC]]-ABS(Table1334[[#This Row],[DeltaP]])="0","0.01",Table1334[[#This Row],[DeltaC]]-ABS(Table1334[[#This Row],[DeltaP]]))</f>
        <v>0</v>
      </c>
      <c r="AG74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4" t="e">
        <f ca="1">(EXP(-(AG744^2)/2)/SQRT(2*PI())*EXP(0*SQRT(Table1334[[#This Row],[T]]))/$A$4*18%*SQRT(SQRT(Table1334[[#This Row],[T]])))</f>
        <v>#DIV/0!</v>
      </c>
      <c r="AJ744" t="e">
        <f ca="1">(EXP(-(AH744^2)/2)/SQRT(2*PI())*EXP(0*SQRT(Table1334[[#This Row],[T]]))/$A$4*18%*SQRT(SQRT(Table1334[[#This Row],[T]])))</f>
        <v>#DIV/0!</v>
      </c>
      <c r="AK744" t="e">
        <f ca="1">Table1334[[#This Row],[Call D1]]-Table1334[[#This Row],[IV Calc C]]*SQRT(Table1334[[#This Row],[T]])</f>
        <v>#DIV/0!</v>
      </c>
      <c r="AL744" t="e">
        <f ca="1">Table1334[[#This Row],[Put D1]]-Table1334[[#This Row],[IV Calc P]]*SQRT(Table1334[[#This Row],[T]])</f>
        <v>#DIV/0!</v>
      </c>
      <c r="AM744" t="e">
        <f ca="1">EXP(-0.5*Table1334[[#This Row],[Call D1]]^2)/SQRT(2*PI())</f>
        <v>#DIV/0!</v>
      </c>
      <c r="AN744" t="e">
        <f ca="1">EXP(-0.5*Table1334[[#This Row],[Put D1]]^2)/SQRT(2*PI())</f>
        <v>#DIV/0!</v>
      </c>
      <c r="AO74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4">
        <f ca="1">((Table1334[[#This Row],[call vanna]]+Table1334[[#This Row],[put vanna]])*$A$4)</f>
        <v>0</v>
      </c>
      <c r="AR74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4" s="9" t="str" cm="1">
        <f t="array" ref="AT744">_xlfn.IFS(     $M$1="SPX","SPXW",     $M$1="RUT","RUTW",  $M$1="NDX","NDXP",   TRUE,$M$1 )</f>
        <v>SPXW</v>
      </c>
      <c r="AU744" s="2">
        <f t="shared" si="72"/>
        <v>6915</v>
      </c>
      <c r="AV744" t="str">
        <f t="shared" si="73"/>
        <v>000100</v>
      </c>
      <c r="AY74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4">
        <f>((Table1334[[#This Row],[High C]]+Table1334[[#This Row],[Low C]])/2)*Table1334[[#This Row],[gammac]]*Table1334[[#This Row],[Volume]]</f>
        <v>0</v>
      </c>
      <c r="BD744">
        <f>((Table1334[[#This Row],[High P]]+Table1334[[#This Row],[Low P]])/2)*Table1334[[#This Row],[gammap]]*Table1334[[#This Row],[Volume9]]*-1</f>
        <v>0</v>
      </c>
      <c r="BE744">
        <f>(Table1334[[#This Row],[SgammaC]]+Table1334[[#This Row],[SgammaP]])*$A$4*-100</f>
        <v>0</v>
      </c>
      <c r="BF744">
        <f>Table1334[[#This Row],[DEXc]]+Table1334[[#This Row],[DEXp]]</f>
        <v>0</v>
      </c>
      <c r="BG744">
        <f>IFERROR(Table1334[[#This Row],[DeltaC]]*Table1334[[#This Row],[Open.Int]]*$A$4,0)</f>
        <v>0</v>
      </c>
      <c r="BH744">
        <f>IFERROR(Table1334[[#This Row],[DeltaP]]*Table1334[[#This Row],[Open.Int8]]*$A$4,0)</f>
        <v>0</v>
      </c>
      <c r="BI74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4">
        <f ca="1">Table1334[[#This Row],[charmc]]+Table1334[[#This Row],[charmp]]</f>
        <v>0</v>
      </c>
      <c r="BL74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4" s="78">
        <f ca="1">Table1334[[#This Row],[call helper]]+Table1334[[#This Row],[put helper]]</f>
        <v>0</v>
      </c>
      <c r="BP744" t="str">
        <f>RTD("tos.rtd", , "STRIKE", "."&amp;Table1334[[#This Row],[Ticker]]&amp;Table1334[[#This Row],[Expiry]]&amp;""&amp;"C"&amp;Table1334[[#This Row],[Spot]]+Table1334[[#This Row],[step]])</f>
        <v>N/A</v>
      </c>
    </row>
    <row r="745" spans="1:68" x14ac:dyDescent="0.25">
      <c r="A745" s="14">
        <f t="shared" ca="1" si="69"/>
        <v>-126.14810350076104</v>
      </c>
      <c r="C745" s="17"/>
      <c r="D745" t="str">
        <f>RTD("tos.rtd", , "OPEN_INT", "."&amp;Table1334[[#This Row],[Ticker]]&amp;Table1334[[#This Row],[Expiry]]&amp;""&amp;"C"&amp;Table1334[[#This Row],[Spot]]+Table1334[[#This Row],[step]])</f>
        <v>N/A</v>
      </c>
      <c r="E74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5" t="b">
        <f>IF(     ISNUMBER(Table1334[[#This Row],[Strike]]),RTD("tos.rtd", , "DELTA", "."&amp;Table1334[[#This Row],[Ticker]]&amp;Table1334[[#This Row],[Expiry]]&amp;""&amp;"C"&amp;Table1334[[#This Row],[Strike]]))</f>
        <v>0</v>
      </c>
      <c r="H745" s="17" cm="1">
        <f t="array" aca="1" ref="H745" ca="1">IndividualLegIVCore($A$4, Table1334[[#This Row],[Strike]], 0.0411, Table1334[[#This Row],[T]], ((Table1334[[#This Row],[BIDC]]+Table1334[[#This Row],[ASKC]])/2), TRUE)</f>
        <v>0.01</v>
      </c>
      <c r="I745" t="b">
        <f>IF(     ISNUMBER(Table1334[[#This Row],[Strike]]),RTD("tos.rtd", , "BID", "."&amp;Table1334[[#This Row],[Ticker]]&amp;Table1334[[#This Row],[Expiry]]&amp;""&amp;"C"&amp;Table1334[[#This Row],[Strike]]))</f>
        <v>0</v>
      </c>
      <c r="J745" t="b">
        <f>IF(     ISNUMBER(Table1334[[#This Row],[Strike]]),RTD("tos.rtd", , "ASK", "."&amp;Table1334[[#This Row],[Ticker]]&amp;Table1334[[#This Row],[Expiry]]&amp;""&amp;"C"&amp;Table1334[[#This Row],[Strike]]))</f>
        <v>0</v>
      </c>
      <c r="K745" s="17"/>
      <c r="M745" s="1">
        <f t="shared" si="70"/>
        <v>0</v>
      </c>
      <c r="N745" t="b">
        <f t="shared" si="71"/>
        <v>0</v>
      </c>
      <c r="P745" s="17" cm="1">
        <f t="array" aca="1" ref="P745" ca="1">IndividualLegIVCore($A$4, Table1334[[#This Row],[Strike]], 0.0411, Table1334[[#This Row],[T]], ((Table1334[[#This Row],[BIDP]]+Table1334[[#This Row],[ASKP]])/2), FALSE)</f>
        <v>0.01</v>
      </c>
      <c r="Q745" t="b">
        <f>IF(     ISNUMBER(Table1334[[#This Row],[Strike]]),RTD("tos.rtd", , "BID", "."&amp;Table1334[[#This Row],[Ticker]]&amp;Table1334[[#This Row],[Expiry]]&amp;""&amp;"P"&amp;Table1334[[#This Row],[Strike]]))</f>
        <v>0</v>
      </c>
      <c r="R745" t="b">
        <f>IF(     ISNUMBER(Table1334[[#This Row],[Strike]]),RTD("tos.rtd", , "ASK", "."&amp;Table1334[[#This Row],[Ticker]]&amp;Table1334[[#This Row],[Expiry]]&amp;""&amp;"P"&amp;Table1334[[#This Row],[Strike]]))</f>
        <v>0</v>
      </c>
      <c r="S745" s="17"/>
      <c r="T745" t="b">
        <f>IF(     ISNUMBER(Table1334[[#This Row],[Strike]]),RTD("tos.rtd", , "OPEN_INT", "."&amp;Table1334[[#This Row],[Ticker]]&amp;Table1334[[#This Row],[Expiry]]&amp;""&amp;"P"&amp;Table1334[[#This Row],[Strike]]))</f>
        <v>0</v>
      </c>
      <c r="U74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5" t="b">
        <f>IF(     ISNUMBER(Table1334[[#This Row],[Strike]]),RTD("tos.rtd", , "DELTA", "."&amp;Table1334[[#This Row],[Ticker]]&amp;Table1334[[#This Row],[Expiry]]&amp;""&amp;"P"&amp;Table1334[[#This Row],[Strike]]))</f>
        <v>0</v>
      </c>
      <c r="Y745" s="19">
        <f>13* IF($M$1="NDX", 10, IF(OR($M$1="SPX", $M$1="RUT"), 2, 1))</f>
        <v>26</v>
      </c>
      <c r="Z745">
        <f ca="1">IFERROR(Table1334[[#This Row],[call gamma]]*(Table1334[[#This Row],[Open.Int]])*$A$4^2,0)</f>
        <v>0</v>
      </c>
      <c r="AA745">
        <f ca="1">IFERROR(((Table1334[[#This Row],[Open.Int8]])*Table1334[[#This Row],[Put gamma]])*-1*$A$4^2,0)</f>
        <v>0</v>
      </c>
      <c r="AB745">
        <f ca="1">(Table1334[[#This Row],[Call Gex]]+Table1334[[#This Row],[Put Gex]])</f>
        <v>0</v>
      </c>
      <c r="AC745">
        <f ca="1">Table1334[[#This Row],[put delta adj]]+Table1334[[#This Row],[call delta adj]]</f>
        <v>0</v>
      </c>
      <c r="AD745">
        <f ca="1">Table1334[[#This Row],[Put Gex]]*Table1334[[#This Row],[DeltaP]]*-1</f>
        <v>0</v>
      </c>
      <c r="AE745">
        <f ca="1">Table1334[[#This Row],[Call Gex]]*Table1334[[#This Row],[DeltaC]]</f>
        <v>0</v>
      </c>
      <c r="AF745">
        <f>IF(Table1334[[#This Row],[DeltaC]]-ABS(Table1334[[#This Row],[DeltaP]])="0","0.01",Table1334[[#This Row],[DeltaC]]-ABS(Table1334[[#This Row],[DeltaP]]))</f>
        <v>0</v>
      </c>
      <c r="AG74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5" t="e">
        <f ca="1">(EXP(-(AG745^2)/2)/SQRT(2*PI())*EXP(0*SQRT(Table1334[[#This Row],[T]]))/$A$4*18%*SQRT(SQRT(Table1334[[#This Row],[T]])))</f>
        <v>#DIV/0!</v>
      </c>
      <c r="AJ745" t="e">
        <f ca="1">(EXP(-(AH745^2)/2)/SQRT(2*PI())*EXP(0*SQRT(Table1334[[#This Row],[T]]))/$A$4*18%*SQRT(SQRT(Table1334[[#This Row],[T]])))</f>
        <v>#DIV/0!</v>
      </c>
      <c r="AK745" t="e">
        <f ca="1">Table1334[[#This Row],[Call D1]]-Table1334[[#This Row],[IV Calc C]]*SQRT(Table1334[[#This Row],[T]])</f>
        <v>#DIV/0!</v>
      </c>
      <c r="AL745" t="e">
        <f ca="1">Table1334[[#This Row],[Put D1]]-Table1334[[#This Row],[IV Calc P]]*SQRT(Table1334[[#This Row],[T]])</f>
        <v>#DIV/0!</v>
      </c>
      <c r="AM745" t="e">
        <f ca="1">EXP(-0.5*Table1334[[#This Row],[Call D1]]^2)/SQRT(2*PI())</f>
        <v>#DIV/0!</v>
      </c>
      <c r="AN745" t="e">
        <f ca="1">EXP(-0.5*Table1334[[#This Row],[Put D1]]^2)/SQRT(2*PI())</f>
        <v>#DIV/0!</v>
      </c>
      <c r="AO74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5">
        <f ca="1">((Table1334[[#This Row],[call vanna]]+Table1334[[#This Row],[put vanna]])*$A$4)</f>
        <v>0</v>
      </c>
      <c r="AR74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5" s="9" t="str" cm="1">
        <f t="array" ref="AT745">_xlfn.IFS(     $M$1="SPX","SPXW",     $M$1="RUT","RUTW",  $M$1="NDX","NDXP",   TRUE,$M$1 )</f>
        <v>SPXW</v>
      </c>
      <c r="AU745" s="2">
        <f t="shared" si="72"/>
        <v>6915</v>
      </c>
      <c r="AV745" t="str">
        <f t="shared" si="73"/>
        <v>000100</v>
      </c>
      <c r="AY74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5">
        <f>((Table1334[[#This Row],[High C]]+Table1334[[#This Row],[Low C]])/2)*Table1334[[#This Row],[gammac]]*Table1334[[#This Row],[Volume]]</f>
        <v>0</v>
      </c>
      <c r="BD745">
        <f>((Table1334[[#This Row],[High P]]+Table1334[[#This Row],[Low P]])/2)*Table1334[[#This Row],[gammap]]*Table1334[[#This Row],[Volume9]]*-1</f>
        <v>0</v>
      </c>
      <c r="BE745">
        <f>(Table1334[[#This Row],[SgammaC]]+Table1334[[#This Row],[SgammaP]])*$A$4*-100</f>
        <v>0</v>
      </c>
      <c r="BF745">
        <f>Table1334[[#This Row],[DEXc]]+Table1334[[#This Row],[DEXp]]</f>
        <v>0</v>
      </c>
      <c r="BG745">
        <f>IFERROR(Table1334[[#This Row],[DeltaC]]*Table1334[[#This Row],[Open.Int]]*$A$4,0)</f>
        <v>0</v>
      </c>
      <c r="BH745">
        <f>IFERROR(Table1334[[#This Row],[DeltaP]]*Table1334[[#This Row],[Open.Int8]]*$A$4,0)</f>
        <v>0</v>
      </c>
      <c r="BI74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5">
        <f ca="1">Table1334[[#This Row],[charmc]]+Table1334[[#This Row],[charmp]]</f>
        <v>0</v>
      </c>
      <c r="BL74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5" s="78">
        <f ca="1">Table1334[[#This Row],[call helper]]+Table1334[[#This Row],[put helper]]</f>
        <v>0</v>
      </c>
      <c r="BP745" t="str">
        <f>RTD("tos.rtd", , "STRIKE", "."&amp;Table1334[[#This Row],[Ticker]]&amp;Table1334[[#This Row],[Expiry]]&amp;""&amp;"C"&amp;Table1334[[#This Row],[Spot]]+Table1334[[#This Row],[step]])</f>
        <v>N/A</v>
      </c>
    </row>
    <row r="746" spans="1:68" x14ac:dyDescent="0.25">
      <c r="A746" s="14">
        <f t="shared" ca="1" si="69"/>
        <v>-126.14810350076104</v>
      </c>
      <c r="C746" s="17"/>
      <c r="D746" t="str">
        <f>RTD("tos.rtd", , "OPEN_INT", "."&amp;Table1334[[#This Row],[Ticker]]&amp;Table1334[[#This Row],[Expiry]]&amp;""&amp;"C"&amp;Table1334[[#This Row],[Spot]]+Table1334[[#This Row],[step]])</f>
        <v>N/A</v>
      </c>
      <c r="E74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6" t="b">
        <f>IF(     ISNUMBER(Table1334[[#This Row],[Strike]]),RTD("tos.rtd", , "DELTA", "."&amp;Table1334[[#This Row],[Ticker]]&amp;Table1334[[#This Row],[Expiry]]&amp;""&amp;"C"&amp;Table1334[[#This Row],[Strike]]))</f>
        <v>0</v>
      </c>
      <c r="H746" s="17" cm="1">
        <f t="array" aca="1" ref="H746" ca="1">IndividualLegIVCore($A$4, Table1334[[#This Row],[Strike]], 0.0411, Table1334[[#This Row],[T]], ((Table1334[[#This Row],[BIDC]]+Table1334[[#This Row],[ASKC]])/2), TRUE)</f>
        <v>0.01</v>
      </c>
      <c r="I746" t="b">
        <f>IF(     ISNUMBER(Table1334[[#This Row],[Strike]]),RTD("tos.rtd", , "BID", "."&amp;Table1334[[#This Row],[Ticker]]&amp;Table1334[[#This Row],[Expiry]]&amp;""&amp;"C"&amp;Table1334[[#This Row],[Strike]]))</f>
        <v>0</v>
      </c>
      <c r="J746" t="b">
        <f>IF(     ISNUMBER(Table1334[[#This Row],[Strike]]),RTD("tos.rtd", , "ASK", "."&amp;Table1334[[#This Row],[Ticker]]&amp;Table1334[[#This Row],[Expiry]]&amp;""&amp;"C"&amp;Table1334[[#This Row],[Strike]]))</f>
        <v>0</v>
      </c>
      <c r="K746" s="17"/>
      <c r="M746" s="1">
        <f t="shared" si="70"/>
        <v>0</v>
      </c>
      <c r="N746" t="b">
        <f t="shared" si="71"/>
        <v>0</v>
      </c>
      <c r="P746" s="17" cm="1">
        <f t="array" aca="1" ref="P746" ca="1">IndividualLegIVCore($A$4, Table1334[[#This Row],[Strike]], 0.0411, Table1334[[#This Row],[T]], ((Table1334[[#This Row],[BIDP]]+Table1334[[#This Row],[ASKP]])/2), FALSE)</f>
        <v>0.01</v>
      </c>
      <c r="Q746" t="b">
        <f>IF(     ISNUMBER(Table1334[[#This Row],[Strike]]),RTD("tos.rtd", , "BID", "."&amp;Table1334[[#This Row],[Ticker]]&amp;Table1334[[#This Row],[Expiry]]&amp;""&amp;"P"&amp;Table1334[[#This Row],[Strike]]))</f>
        <v>0</v>
      </c>
      <c r="R746" t="b">
        <f>IF(     ISNUMBER(Table1334[[#This Row],[Strike]]),RTD("tos.rtd", , "ASK", "."&amp;Table1334[[#This Row],[Ticker]]&amp;Table1334[[#This Row],[Expiry]]&amp;""&amp;"P"&amp;Table1334[[#This Row],[Strike]]))</f>
        <v>0</v>
      </c>
      <c r="S746" s="17"/>
      <c r="T746" t="b">
        <f>IF(     ISNUMBER(Table1334[[#This Row],[Strike]]),RTD("tos.rtd", , "OPEN_INT", "."&amp;Table1334[[#This Row],[Ticker]]&amp;Table1334[[#This Row],[Expiry]]&amp;""&amp;"P"&amp;Table1334[[#This Row],[Strike]]))</f>
        <v>0</v>
      </c>
      <c r="U74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6" t="b">
        <f>IF(     ISNUMBER(Table1334[[#This Row],[Strike]]),RTD("tos.rtd", , "DELTA", "."&amp;Table1334[[#This Row],[Ticker]]&amp;Table1334[[#This Row],[Expiry]]&amp;""&amp;"P"&amp;Table1334[[#This Row],[Strike]]))</f>
        <v>0</v>
      </c>
      <c r="Y746" s="19">
        <f>13.5* IF($M$1="NDX", 10, IF(OR($M$1="SPX", $M$1="RUT"), 2, 1))</f>
        <v>27</v>
      </c>
      <c r="Z746">
        <f ca="1">IFERROR(Table1334[[#This Row],[call gamma]]*(Table1334[[#This Row],[Open.Int]])*$A$4^2,0)</f>
        <v>0</v>
      </c>
      <c r="AA746">
        <f ca="1">IFERROR(((Table1334[[#This Row],[Open.Int8]])*Table1334[[#This Row],[Put gamma]])*-1*$A$4^2,0)</f>
        <v>0</v>
      </c>
      <c r="AB746">
        <f ca="1">(Table1334[[#This Row],[Call Gex]]+Table1334[[#This Row],[Put Gex]])</f>
        <v>0</v>
      </c>
      <c r="AC746">
        <f ca="1">Table1334[[#This Row],[put delta adj]]+Table1334[[#This Row],[call delta adj]]</f>
        <v>0</v>
      </c>
      <c r="AD746">
        <f ca="1">Table1334[[#This Row],[Put Gex]]*Table1334[[#This Row],[DeltaP]]*-1</f>
        <v>0</v>
      </c>
      <c r="AE746">
        <f ca="1">Table1334[[#This Row],[Call Gex]]*Table1334[[#This Row],[DeltaC]]</f>
        <v>0</v>
      </c>
      <c r="AF746">
        <f>IF(Table1334[[#This Row],[DeltaC]]-ABS(Table1334[[#This Row],[DeltaP]])="0","0.01",Table1334[[#This Row],[DeltaC]]-ABS(Table1334[[#This Row],[DeltaP]]))</f>
        <v>0</v>
      </c>
      <c r="AG74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6" t="e">
        <f ca="1">(EXP(-(AG746^2)/2)/SQRT(2*PI())*EXP(0*SQRT(Table1334[[#This Row],[T]]))/$A$4*18%*SQRT(SQRT(Table1334[[#This Row],[T]])))</f>
        <v>#DIV/0!</v>
      </c>
      <c r="AJ746" t="e">
        <f ca="1">(EXP(-(AH746^2)/2)/SQRT(2*PI())*EXP(0*SQRT(Table1334[[#This Row],[T]]))/$A$4*18%*SQRT(SQRT(Table1334[[#This Row],[T]])))</f>
        <v>#DIV/0!</v>
      </c>
      <c r="AK746" t="e">
        <f ca="1">Table1334[[#This Row],[Call D1]]-Table1334[[#This Row],[IV Calc C]]*SQRT(Table1334[[#This Row],[T]])</f>
        <v>#DIV/0!</v>
      </c>
      <c r="AL746" t="e">
        <f ca="1">Table1334[[#This Row],[Put D1]]-Table1334[[#This Row],[IV Calc P]]*SQRT(Table1334[[#This Row],[T]])</f>
        <v>#DIV/0!</v>
      </c>
      <c r="AM746" t="e">
        <f ca="1">EXP(-0.5*Table1334[[#This Row],[Call D1]]^2)/SQRT(2*PI())</f>
        <v>#DIV/0!</v>
      </c>
      <c r="AN746" t="e">
        <f ca="1">EXP(-0.5*Table1334[[#This Row],[Put D1]]^2)/SQRT(2*PI())</f>
        <v>#DIV/0!</v>
      </c>
      <c r="AO74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6">
        <f ca="1">((Table1334[[#This Row],[call vanna]]+Table1334[[#This Row],[put vanna]])*$A$4)</f>
        <v>0</v>
      </c>
      <c r="AR74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6" s="9" t="str" cm="1">
        <f t="array" ref="AT746">_xlfn.IFS(     $M$1="SPX","SPXW",     $M$1="RUT","RUTW",  $M$1="NDX","NDXP",   TRUE,$M$1 )</f>
        <v>SPXW</v>
      </c>
      <c r="AU746" s="2">
        <f t="shared" si="72"/>
        <v>6915</v>
      </c>
      <c r="AV746" t="str">
        <f t="shared" si="73"/>
        <v>000100</v>
      </c>
      <c r="AY74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6">
        <f>((Table1334[[#This Row],[High C]]+Table1334[[#This Row],[Low C]])/2)*Table1334[[#This Row],[gammac]]*Table1334[[#This Row],[Volume]]</f>
        <v>0</v>
      </c>
      <c r="BD746">
        <f>((Table1334[[#This Row],[High P]]+Table1334[[#This Row],[Low P]])/2)*Table1334[[#This Row],[gammap]]*Table1334[[#This Row],[Volume9]]*-1</f>
        <v>0</v>
      </c>
      <c r="BE746">
        <f>(Table1334[[#This Row],[SgammaC]]+Table1334[[#This Row],[SgammaP]])*$A$4*-100</f>
        <v>0</v>
      </c>
      <c r="BF746">
        <f>Table1334[[#This Row],[DEXc]]+Table1334[[#This Row],[DEXp]]</f>
        <v>0</v>
      </c>
      <c r="BG746">
        <f>IFERROR(Table1334[[#This Row],[DeltaC]]*Table1334[[#This Row],[Open.Int]]*$A$4,0)</f>
        <v>0</v>
      </c>
      <c r="BH746">
        <f>IFERROR(Table1334[[#This Row],[DeltaP]]*Table1334[[#This Row],[Open.Int8]]*$A$4,0)</f>
        <v>0</v>
      </c>
      <c r="BI74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6">
        <f ca="1">Table1334[[#This Row],[charmc]]+Table1334[[#This Row],[charmp]]</f>
        <v>0</v>
      </c>
      <c r="BL74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6" s="78">
        <f ca="1">Table1334[[#This Row],[call helper]]+Table1334[[#This Row],[put helper]]</f>
        <v>0</v>
      </c>
      <c r="BP746" t="str">
        <f>RTD("tos.rtd", , "STRIKE", "."&amp;Table1334[[#This Row],[Ticker]]&amp;Table1334[[#This Row],[Expiry]]&amp;""&amp;"C"&amp;Table1334[[#This Row],[Spot]]+Table1334[[#This Row],[step]])</f>
        <v>N/A</v>
      </c>
    </row>
    <row r="747" spans="1:68" x14ac:dyDescent="0.25">
      <c r="A747" s="14">
        <f t="shared" ref="A747:A810" ca="1" si="74">$R$3</f>
        <v>-126.14810350076104</v>
      </c>
      <c r="C747" s="17"/>
      <c r="D747" t="str">
        <f>RTD("tos.rtd", , "OPEN_INT", "."&amp;Table1334[[#This Row],[Ticker]]&amp;Table1334[[#This Row],[Expiry]]&amp;""&amp;"C"&amp;Table1334[[#This Row],[Spot]]+Table1334[[#This Row],[step]])</f>
        <v>N/A</v>
      </c>
      <c r="E74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7" t="b">
        <f>IF(     ISNUMBER(Table1334[[#This Row],[Strike]]),RTD("tos.rtd", , "DELTA", "."&amp;Table1334[[#This Row],[Ticker]]&amp;Table1334[[#This Row],[Expiry]]&amp;""&amp;"C"&amp;Table1334[[#This Row],[Strike]]))</f>
        <v>0</v>
      </c>
      <c r="H747" s="17" cm="1">
        <f t="array" aca="1" ref="H747" ca="1">IndividualLegIVCore($A$4, Table1334[[#This Row],[Strike]], 0.0411, Table1334[[#This Row],[T]], ((Table1334[[#This Row],[BIDC]]+Table1334[[#This Row],[ASKC]])/2), TRUE)</f>
        <v>0.01</v>
      </c>
      <c r="I747" t="b">
        <f>IF(     ISNUMBER(Table1334[[#This Row],[Strike]]),RTD("tos.rtd", , "BID", "."&amp;Table1334[[#This Row],[Ticker]]&amp;Table1334[[#This Row],[Expiry]]&amp;""&amp;"C"&amp;Table1334[[#This Row],[Strike]]))</f>
        <v>0</v>
      </c>
      <c r="J747" t="b">
        <f>IF(     ISNUMBER(Table1334[[#This Row],[Strike]]),RTD("tos.rtd", , "ASK", "."&amp;Table1334[[#This Row],[Ticker]]&amp;Table1334[[#This Row],[Expiry]]&amp;""&amp;"C"&amp;Table1334[[#This Row],[Strike]]))</f>
        <v>0</v>
      </c>
      <c r="K747" s="17"/>
      <c r="M747" s="1">
        <f t="shared" ref="M747:M810" si="75">$R$1</f>
        <v>0</v>
      </c>
      <c r="N747" t="b">
        <f t="shared" ref="N747:N810" si="76">IF(ISNUMBER($BP747), $BP747, FALSE)</f>
        <v>0</v>
      </c>
      <c r="P747" s="17" cm="1">
        <f t="array" aca="1" ref="P747" ca="1">IndividualLegIVCore($A$4, Table1334[[#This Row],[Strike]], 0.0411, Table1334[[#This Row],[T]], ((Table1334[[#This Row],[BIDP]]+Table1334[[#This Row],[ASKP]])/2), FALSE)</f>
        <v>0.01</v>
      </c>
      <c r="Q747" t="b">
        <f>IF(     ISNUMBER(Table1334[[#This Row],[Strike]]),RTD("tos.rtd", , "BID", "."&amp;Table1334[[#This Row],[Ticker]]&amp;Table1334[[#This Row],[Expiry]]&amp;""&amp;"P"&amp;Table1334[[#This Row],[Strike]]))</f>
        <v>0</v>
      </c>
      <c r="R747" t="b">
        <f>IF(     ISNUMBER(Table1334[[#This Row],[Strike]]),RTD("tos.rtd", , "ASK", "."&amp;Table1334[[#This Row],[Ticker]]&amp;Table1334[[#This Row],[Expiry]]&amp;""&amp;"P"&amp;Table1334[[#This Row],[Strike]]))</f>
        <v>0</v>
      </c>
      <c r="S747" s="17"/>
      <c r="T747" t="b">
        <f>IF(     ISNUMBER(Table1334[[#This Row],[Strike]]),RTD("tos.rtd", , "OPEN_INT", "."&amp;Table1334[[#This Row],[Ticker]]&amp;Table1334[[#This Row],[Expiry]]&amp;""&amp;"P"&amp;Table1334[[#This Row],[Strike]]))</f>
        <v>0</v>
      </c>
      <c r="U74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7" t="b">
        <f>IF(     ISNUMBER(Table1334[[#This Row],[Strike]]),RTD("tos.rtd", , "DELTA", "."&amp;Table1334[[#This Row],[Ticker]]&amp;Table1334[[#This Row],[Expiry]]&amp;""&amp;"P"&amp;Table1334[[#This Row],[Strike]]))</f>
        <v>0</v>
      </c>
      <c r="Y747" s="19">
        <f>14* IF($M$1="NDX", 10, IF(OR($M$1="SPX", $M$1="RUT"), 2, 1))</f>
        <v>28</v>
      </c>
      <c r="Z747">
        <f ca="1">IFERROR(Table1334[[#This Row],[call gamma]]*(Table1334[[#This Row],[Open.Int]])*$A$4^2,0)</f>
        <v>0</v>
      </c>
      <c r="AA747">
        <f ca="1">IFERROR(((Table1334[[#This Row],[Open.Int8]])*Table1334[[#This Row],[Put gamma]])*-1*$A$4^2,0)</f>
        <v>0</v>
      </c>
      <c r="AB747">
        <f ca="1">(Table1334[[#This Row],[Call Gex]]+Table1334[[#This Row],[Put Gex]])</f>
        <v>0</v>
      </c>
      <c r="AC747">
        <f ca="1">Table1334[[#This Row],[put delta adj]]+Table1334[[#This Row],[call delta adj]]</f>
        <v>0</v>
      </c>
      <c r="AD747">
        <f ca="1">Table1334[[#This Row],[Put Gex]]*Table1334[[#This Row],[DeltaP]]*-1</f>
        <v>0</v>
      </c>
      <c r="AE747">
        <f ca="1">Table1334[[#This Row],[Call Gex]]*Table1334[[#This Row],[DeltaC]]</f>
        <v>0</v>
      </c>
      <c r="AF747">
        <f>IF(Table1334[[#This Row],[DeltaC]]-ABS(Table1334[[#This Row],[DeltaP]])="0","0.01",Table1334[[#This Row],[DeltaC]]-ABS(Table1334[[#This Row],[DeltaP]]))</f>
        <v>0</v>
      </c>
      <c r="AG74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7" t="e">
        <f ca="1">(EXP(-(AG747^2)/2)/SQRT(2*PI())*EXP(0*SQRT(Table1334[[#This Row],[T]]))/$A$4*18%*SQRT(SQRT(Table1334[[#This Row],[T]])))</f>
        <v>#DIV/0!</v>
      </c>
      <c r="AJ747" t="e">
        <f ca="1">(EXP(-(AH747^2)/2)/SQRT(2*PI())*EXP(0*SQRT(Table1334[[#This Row],[T]]))/$A$4*18%*SQRT(SQRT(Table1334[[#This Row],[T]])))</f>
        <v>#DIV/0!</v>
      </c>
      <c r="AK747" t="e">
        <f ca="1">Table1334[[#This Row],[Call D1]]-Table1334[[#This Row],[IV Calc C]]*SQRT(Table1334[[#This Row],[T]])</f>
        <v>#DIV/0!</v>
      </c>
      <c r="AL747" t="e">
        <f ca="1">Table1334[[#This Row],[Put D1]]-Table1334[[#This Row],[IV Calc P]]*SQRT(Table1334[[#This Row],[T]])</f>
        <v>#DIV/0!</v>
      </c>
      <c r="AM747" t="e">
        <f ca="1">EXP(-0.5*Table1334[[#This Row],[Call D1]]^2)/SQRT(2*PI())</f>
        <v>#DIV/0!</v>
      </c>
      <c r="AN747" t="e">
        <f ca="1">EXP(-0.5*Table1334[[#This Row],[Put D1]]^2)/SQRT(2*PI())</f>
        <v>#DIV/0!</v>
      </c>
      <c r="AO74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7">
        <f ca="1">((Table1334[[#This Row],[call vanna]]+Table1334[[#This Row],[put vanna]])*$A$4)</f>
        <v>0</v>
      </c>
      <c r="AR74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7" s="9" t="str" cm="1">
        <f t="array" ref="AT747">_xlfn.IFS(     $M$1="SPX","SPXW",     $M$1="RUT","RUTW",  $M$1="NDX","NDXP",   TRUE,$M$1 )</f>
        <v>SPXW</v>
      </c>
      <c r="AU747" s="2">
        <f t="shared" ref="AU747:AU810" si="77">$N$1</f>
        <v>6915</v>
      </c>
      <c r="AV747" t="str">
        <f t="shared" ref="AV747:AV810" si="78">$R$2</f>
        <v>000100</v>
      </c>
      <c r="AY74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7">
        <f>((Table1334[[#This Row],[High C]]+Table1334[[#This Row],[Low C]])/2)*Table1334[[#This Row],[gammac]]*Table1334[[#This Row],[Volume]]</f>
        <v>0</v>
      </c>
      <c r="BD747">
        <f>((Table1334[[#This Row],[High P]]+Table1334[[#This Row],[Low P]])/2)*Table1334[[#This Row],[gammap]]*Table1334[[#This Row],[Volume9]]*-1</f>
        <v>0</v>
      </c>
      <c r="BE747">
        <f>(Table1334[[#This Row],[SgammaC]]+Table1334[[#This Row],[SgammaP]])*$A$4*-100</f>
        <v>0</v>
      </c>
      <c r="BF747">
        <f>Table1334[[#This Row],[DEXc]]+Table1334[[#This Row],[DEXp]]</f>
        <v>0</v>
      </c>
      <c r="BG747">
        <f>IFERROR(Table1334[[#This Row],[DeltaC]]*Table1334[[#This Row],[Open.Int]]*$A$4,0)</f>
        <v>0</v>
      </c>
      <c r="BH747">
        <f>IFERROR(Table1334[[#This Row],[DeltaP]]*Table1334[[#This Row],[Open.Int8]]*$A$4,0)</f>
        <v>0</v>
      </c>
      <c r="BI74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7">
        <f ca="1">Table1334[[#This Row],[charmc]]+Table1334[[#This Row],[charmp]]</f>
        <v>0</v>
      </c>
      <c r="BL74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7" s="78">
        <f ca="1">Table1334[[#This Row],[call helper]]+Table1334[[#This Row],[put helper]]</f>
        <v>0</v>
      </c>
      <c r="BP747" t="str">
        <f>RTD("tos.rtd", , "STRIKE", "."&amp;Table1334[[#This Row],[Ticker]]&amp;Table1334[[#This Row],[Expiry]]&amp;""&amp;"C"&amp;Table1334[[#This Row],[Spot]]+Table1334[[#This Row],[step]])</f>
        <v>N/A</v>
      </c>
    </row>
    <row r="748" spans="1:68" x14ac:dyDescent="0.25">
      <c r="A748" s="14">
        <f t="shared" ca="1" si="74"/>
        <v>-126.14810350076104</v>
      </c>
      <c r="C748" s="17"/>
      <c r="D748" t="str">
        <f>RTD("tos.rtd", , "OPEN_INT", "."&amp;Table1334[[#This Row],[Ticker]]&amp;Table1334[[#This Row],[Expiry]]&amp;""&amp;"C"&amp;Table1334[[#This Row],[Spot]]+Table1334[[#This Row],[step]])</f>
        <v>N/A</v>
      </c>
      <c r="E74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8" t="b">
        <f>IF(     ISNUMBER(Table1334[[#This Row],[Strike]]),RTD("tos.rtd", , "DELTA", "."&amp;Table1334[[#This Row],[Ticker]]&amp;Table1334[[#This Row],[Expiry]]&amp;""&amp;"C"&amp;Table1334[[#This Row],[Strike]]))</f>
        <v>0</v>
      </c>
      <c r="H748" s="17" cm="1">
        <f t="array" aca="1" ref="H748" ca="1">IndividualLegIVCore($A$4, Table1334[[#This Row],[Strike]], 0.0411, Table1334[[#This Row],[T]], ((Table1334[[#This Row],[BIDC]]+Table1334[[#This Row],[ASKC]])/2), TRUE)</f>
        <v>0.01</v>
      </c>
      <c r="I748" t="b">
        <f>IF(     ISNUMBER(Table1334[[#This Row],[Strike]]),RTD("tos.rtd", , "BID", "."&amp;Table1334[[#This Row],[Ticker]]&amp;Table1334[[#This Row],[Expiry]]&amp;""&amp;"C"&amp;Table1334[[#This Row],[Strike]]))</f>
        <v>0</v>
      </c>
      <c r="J748" t="b">
        <f>IF(     ISNUMBER(Table1334[[#This Row],[Strike]]),RTD("tos.rtd", , "ASK", "."&amp;Table1334[[#This Row],[Ticker]]&amp;Table1334[[#This Row],[Expiry]]&amp;""&amp;"C"&amp;Table1334[[#This Row],[Strike]]))</f>
        <v>0</v>
      </c>
      <c r="K748" s="17"/>
      <c r="M748" s="1">
        <f t="shared" si="75"/>
        <v>0</v>
      </c>
      <c r="N748" t="b">
        <f t="shared" si="76"/>
        <v>0</v>
      </c>
      <c r="P748" s="17" cm="1">
        <f t="array" aca="1" ref="P748" ca="1">IndividualLegIVCore($A$4, Table1334[[#This Row],[Strike]], 0.0411, Table1334[[#This Row],[T]], ((Table1334[[#This Row],[BIDP]]+Table1334[[#This Row],[ASKP]])/2), FALSE)</f>
        <v>0.01</v>
      </c>
      <c r="Q748" t="b">
        <f>IF(     ISNUMBER(Table1334[[#This Row],[Strike]]),RTD("tos.rtd", , "BID", "."&amp;Table1334[[#This Row],[Ticker]]&amp;Table1334[[#This Row],[Expiry]]&amp;""&amp;"P"&amp;Table1334[[#This Row],[Strike]]))</f>
        <v>0</v>
      </c>
      <c r="R748" t="b">
        <f>IF(     ISNUMBER(Table1334[[#This Row],[Strike]]),RTD("tos.rtd", , "ASK", "."&amp;Table1334[[#This Row],[Ticker]]&amp;Table1334[[#This Row],[Expiry]]&amp;""&amp;"P"&amp;Table1334[[#This Row],[Strike]]))</f>
        <v>0</v>
      </c>
      <c r="S748" s="17"/>
      <c r="T748" t="b">
        <f>IF(     ISNUMBER(Table1334[[#This Row],[Strike]]),RTD("tos.rtd", , "OPEN_INT", "."&amp;Table1334[[#This Row],[Ticker]]&amp;Table1334[[#This Row],[Expiry]]&amp;""&amp;"P"&amp;Table1334[[#This Row],[Strike]]))</f>
        <v>0</v>
      </c>
      <c r="U74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8" t="b">
        <f>IF(     ISNUMBER(Table1334[[#This Row],[Strike]]),RTD("tos.rtd", , "DELTA", "."&amp;Table1334[[#This Row],[Ticker]]&amp;Table1334[[#This Row],[Expiry]]&amp;""&amp;"P"&amp;Table1334[[#This Row],[Strike]]))</f>
        <v>0</v>
      </c>
      <c r="Y748" s="19">
        <f>14.5* IF($M$1="NDX", 10, IF(OR($M$1="SPX", $M$1="RUT"), 2, 1))</f>
        <v>29</v>
      </c>
      <c r="Z748">
        <f ca="1">IFERROR(Table1334[[#This Row],[call gamma]]*(Table1334[[#This Row],[Open.Int]])*$A$4^2,0)</f>
        <v>0</v>
      </c>
      <c r="AA748">
        <f ca="1">IFERROR(((Table1334[[#This Row],[Open.Int8]])*Table1334[[#This Row],[Put gamma]])*-1*$A$4^2,0)</f>
        <v>0</v>
      </c>
      <c r="AB748">
        <f ca="1">(Table1334[[#This Row],[Call Gex]]+Table1334[[#This Row],[Put Gex]])</f>
        <v>0</v>
      </c>
      <c r="AC748">
        <f ca="1">Table1334[[#This Row],[put delta adj]]+Table1334[[#This Row],[call delta adj]]</f>
        <v>0</v>
      </c>
      <c r="AD748">
        <f ca="1">Table1334[[#This Row],[Put Gex]]*Table1334[[#This Row],[DeltaP]]*-1</f>
        <v>0</v>
      </c>
      <c r="AE748">
        <f ca="1">Table1334[[#This Row],[Call Gex]]*Table1334[[#This Row],[DeltaC]]</f>
        <v>0</v>
      </c>
      <c r="AF748">
        <f>IF(Table1334[[#This Row],[DeltaC]]-ABS(Table1334[[#This Row],[DeltaP]])="0","0.01",Table1334[[#This Row],[DeltaC]]-ABS(Table1334[[#This Row],[DeltaP]]))</f>
        <v>0</v>
      </c>
      <c r="AG74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8" t="e">
        <f ca="1">(EXP(-(AG748^2)/2)/SQRT(2*PI())*EXP(0*SQRT(Table1334[[#This Row],[T]]))/$A$4*18%*SQRT(SQRT(Table1334[[#This Row],[T]])))</f>
        <v>#DIV/0!</v>
      </c>
      <c r="AJ748" t="e">
        <f ca="1">(EXP(-(AH748^2)/2)/SQRT(2*PI())*EXP(0*SQRT(Table1334[[#This Row],[T]]))/$A$4*18%*SQRT(SQRT(Table1334[[#This Row],[T]])))</f>
        <v>#DIV/0!</v>
      </c>
      <c r="AK748" t="e">
        <f ca="1">Table1334[[#This Row],[Call D1]]-Table1334[[#This Row],[IV Calc C]]*SQRT(Table1334[[#This Row],[T]])</f>
        <v>#DIV/0!</v>
      </c>
      <c r="AL748" t="e">
        <f ca="1">Table1334[[#This Row],[Put D1]]-Table1334[[#This Row],[IV Calc P]]*SQRT(Table1334[[#This Row],[T]])</f>
        <v>#DIV/0!</v>
      </c>
      <c r="AM748" t="e">
        <f ca="1">EXP(-0.5*Table1334[[#This Row],[Call D1]]^2)/SQRT(2*PI())</f>
        <v>#DIV/0!</v>
      </c>
      <c r="AN748" t="e">
        <f ca="1">EXP(-0.5*Table1334[[#This Row],[Put D1]]^2)/SQRT(2*PI())</f>
        <v>#DIV/0!</v>
      </c>
      <c r="AO74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8">
        <f ca="1">((Table1334[[#This Row],[call vanna]]+Table1334[[#This Row],[put vanna]])*$A$4)</f>
        <v>0</v>
      </c>
      <c r="AR74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8" s="9" t="str" cm="1">
        <f t="array" ref="AT748">_xlfn.IFS(     $M$1="SPX","SPXW",     $M$1="RUT","RUTW",  $M$1="NDX","NDXP",   TRUE,$M$1 )</f>
        <v>SPXW</v>
      </c>
      <c r="AU748" s="2">
        <f t="shared" si="77"/>
        <v>6915</v>
      </c>
      <c r="AV748" t="str">
        <f t="shared" si="78"/>
        <v>000100</v>
      </c>
      <c r="AY74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8">
        <f>((Table1334[[#This Row],[High C]]+Table1334[[#This Row],[Low C]])/2)*Table1334[[#This Row],[gammac]]*Table1334[[#This Row],[Volume]]</f>
        <v>0</v>
      </c>
      <c r="BD748">
        <f>((Table1334[[#This Row],[High P]]+Table1334[[#This Row],[Low P]])/2)*Table1334[[#This Row],[gammap]]*Table1334[[#This Row],[Volume9]]*-1</f>
        <v>0</v>
      </c>
      <c r="BE748">
        <f>(Table1334[[#This Row],[SgammaC]]+Table1334[[#This Row],[SgammaP]])*$A$4*-100</f>
        <v>0</v>
      </c>
      <c r="BF748">
        <f>Table1334[[#This Row],[DEXc]]+Table1334[[#This Row],[DEXp]]</f>
        <v>0</v>
      </c>
      <c r="BG748">
        <f>IFERROR(Table1334[[#This Row],[DeltaC]]*Table1334[[#This Row],[Open.Int]]*$A$4,0)</f>
        <v>0</v>
      </c>
      <c r="BH748">
        <f>IFERROR(Table1334[[#This Row],[DeltaP]]*Table1334[[#This Row],[Open.Int8]]*$A$4,0)</f>
        <v>0</v>
      </c>
      <c r="BI74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8">
        <f ca="1">Table1334[[#This Row],[charmc]]+Table1334[[#This Row],[charmp]]</f>
        <v>0</v>
      </c>
      <c r="BL74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8" s="78">
        <f ca="1">Table1334[[#This Row],[call helper]]+Table1334[[#This Row],[put helper]]</f>
        <v>0</v>
      </c>
      <c r="BP748" t="str">
        <f>RTD("tos.rtd", , "STRIKE", "."&amp;Table1334[[#This Row],[Ticker]]&amp;Table1334[[#This Row],[Expiry]]&amp;""&amp;"C"&amp;Table1334[[#This Row],[Spot]]+Table1334[[#This Row],[step]])</f>
        <v>N/A</v>
      </c>
    </row>
    <row r="749" spans="1:68" x14ac:dyDescent="0.25">
      <c r="A749" s="14">
        <f t="shared" ca="1" si="74"/>
        <v>-126.14810350076104</v>
      </c>
      <c r="C749" s="17"/>
      <c r="D749" t="str">
        <f>RTD("tos.rtd", , "OPEN_INT", "."&amp;Table1334[[#This Row],[Ticker]]&amp;Table1334[[#This Row],[Expiry]]&amp;""&amp;"C"&amp;Table1334[[#This Row],[Spot]]+Table1334[[#This Row],[step]])</f>
        <v>N/A</v>
      </c>
      <c r="E74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9" t="b">
        <f>IF(     ISNUMBER(Table1334[[#This Row],[Strike]]),RTD("tos.rtd", , "DELTA", "."&amp;Table1334[[#This Row],[Ticker]]&amp;Table1334[[#This Row],[Expiry]]&amp;""&amp;"C"&amp;Table1334[[#This Row],[Strike]]))</f>
        <v>0</v>
      </c>
      <c r="H749" s="17" cm="1">
        <f t="array" aca="1" ref="H749" ca="1">IndividualLegIVCore($A$4, Table1334[[#This Row],[Strike]], 0.0411, Table1334[[#This Row],[T]], ((Table1334[[#This Row],[BIDC]]+Table1334[[#This Row],[ASKC]])/2), TRUE)</f>
        <v>0.01</v>
      </c>
      <c r="I749" t="b">
        <f>IF(     ISNUMBER(Table1334[[#This Row],[Strike]]),RTD("tos.rtd", , "BID", "."&amp;Table1334[[#This Row],[Ticker]]&amp;Table1334[[#This Row],[Expiry]]&amp;""&amp;"C"&amp;Table1334[[#This Row],[Strike]]))</f>
        <v>0</v>
      </c>
      <c r="J749" t="b">
        <f>IF(     ISNUMBER(Table1334[[#This Row],[Strike]]),RTD("tos.rtd", , "ASK", "."&amp;Table1334[[#This Row],[Ticker]]&amp;Table1334[[#This Row],[Expiry]]&amp;""&amp;"C"&amp;Table1334[[#This Row],[Strike]]))</f>
        <v>0</v>
      </c>
      <c r="K749" s="17"/>
      <c r="M749" s="1">
        <f t="shared" si="75"/>
        <v>0</v>
      </c>
      <c r="N749" t="b">
        <f t="shared" si="76"/>
        <v>0</v>
      </c>
      <c r="P749" s="17" cm="1">
        <f t="array" aca="1" ref="P749" ca="1">IndividualLegIVCore($A$4, Table1334[[#This Row],[Strike]], 0.0411, Table1334[[#This Row],[T]], ((Table1334[[#This Row],[BIDP]]+Table1334[[#This Row],[ASKP]])/2), FALSE)</f>
        <v>0.01</v>
      </c>
      <c r="Q749" t="b">
        <f>IF(     ISNUMBER(Table1334[[#This Row],[Strike]]),RTD("tos.rtd", , "BID", "."&amp;Table1334[[#This Row],[Ticker]]&amp;Table1334[[#This Row],[Expiry]]&amp;""&amp;"P"&amp;Table1334[[#This Row],[Strike]]))</f>
        <v>0</v>
      </c>
      <c r="R749" t="b">
        <f>IF(     ISNUMBER(Table1334[[#This Row],[Strike]]),RTD("tos.rtd", , "ASK", "."&amp;Table1334[[#This Row],[Ticker]]&amp;Table1334[[#This Row],[Expiry]]&amp;""&amp;"P"&amp;Table1334[[#This Row],[Strike]]))</f>
        <v>0</v>
      </c>
      <c r="S749" s="17"/>
      <c r="T749" t="b">
        <f>IF(     ISNUMBER(Table1334[[#This Row],[Strike]]),RTD("tos.rtd", , "OPEN_INT", "."&amp;Table1334[[#This Row],[Ticker]]&amp;Table1334[[#This Row],[Expiry]]&amp;""&amp;"P"&amp;Table1334[[#This Row],[Strike]]))</f>
        <v>0</v>
      </c>
      <c r="U74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9" t="b">
        <f>IF(     ISNUMBER(Table1334[[#This Row],[Strike]]),RTD("tos.rtd", , "DELTA", "."&amp;Table1334[[#This Row],[Ticker]]&amp;Table1334[[#This Row],[Expiry]]&amp;""&amp;"P"&amp;Table1334[[#This Row],[Strike]]))</f>
        <v>0</v>
      </c>
      <c r="Y749" s="19">
        <f>15* IF($M$1="NDX", 10, IF(OR($M$1="SPX", $M$1="RUT"), 2, 1))</f>
        <v>30</v>
      </c>
      <c r="Z749">
        <f ca="1">IFERROR(Table1334[[#This Row],[call gamma]]*(Table1334[[#This Row],[Open.Int]])*$A$4^2,0)</f>
        <v>0</v>
      </c>
      <c r="AA749">
        <f ca="1">IFERROR(((Table1334[[#This Row],[Open.Int8]])*Table1334[[#This Row],[Put gamma]])*-1*$A$4^2,0)</f>
        <v>0</v>
      </c>
      <c r="AB749">
        <f ca="1">(Table1334[[#This Row],[Call Gex]]+Table1334[[#This Row],[Put Gex]])</f>
        <v>0</v>
      </c>
      <c r="AC749">
        <f ca="1">Table1334[[#This Row],[put delta adj]]+Table1334[[#This Row],[call delta adj]]</f>
        <v>0</v>
      </c>
      <c r="AD749">
        <f ca="1">Table1334[[#This Row],[Put Gex]]*Table1334[[#This Row],[DeltaP]]*-1</f>
        <v>0</v>
      </c>
      <c r="AE749">
        <f ca="1">Table1334[[#This Row],[Call Gex]]*Table1334[[#This Row],[DeltaC]]</f>
        <v>0</v>
      </c>
      <c r="AF749">
        <f>IF(Table1334[[#This Row],[DeltaC]]-ABS(Table1334[[#This Row],[DeltaP]])="0","0.01",Table1334[[#This Row],[DeltaC]]-ABS(Table1334[[#This Row],[DeltaP]]))</f>
        <v>0</v>
      </c>
      <c r="AG74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9" t="e">
        <f ca="1">(EXP(-(AG749^2)/2)/SQRT(2*PI())*EXP(0*SQRT(Table1334[[#This Row],[T]]))/$A$4*18%*SQRT(SQRT(Table1334[[#This Row],[T]])))</f>
        <v>#DIV/0!</v>
      </c>
      <c r="AJ749" t="e">
        <f ca="1">(EXP(-(AH749^2)/2)/SQRT(2*PI())*EXP(0*SQRT(Table1334[[#This Row],[T]]))/$A$4*18%*SQRT(SQRT(Table1334[[#This Row],[T]])))</f>
        <v>#DIV/0!</v>
      </c>
      <c r="AK749" t="e">
        <f ca="1">Table1334[[#This Row],[Call D1]]-Table1334[[#This Row],[IV Calc C]]*SQRT(Table1334[[#This Row],[T]])</f>
        <v>#DIV/0!</v>
      </c>
      <c r="AL749" t="e">
        <f ca="1">Table1334[[#This Row],[Put D1]]-Table1334[[#This Row],[IV Calc P]]*SQRT(Table1334[[#This Row],[T]])</f>
        <v>#DIV/0!</v>
      </c>
      <c r="AM749" t="e">
        <f ca="1">EXP(-0.5*Table1334[[#This Row],[Call D1]]^2)/SQRT(2*PI())</f>
        <v>#DIV/0!</v>
      </c>
      <c r="AN749" t="e">
        <f ca="1">EXP(-0.5*Table1334[[#This Row],[Put D1]]^2)/SQRT(2*PI())</f>
        <v>#DIV/0!</v>
      </c>
      <c r="AO74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9">
        <f ca="1">((Table1334[[#This Row],[call vanna]]+Table1334[[#This Row],[put vanna]])*$A$4)</f>
        <v>0</v>
      </c>
      <c r="AR74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9" s="9" t="str" cm="1">
        <f t="array" ref="AT749">_xlfn.IFS(     $M$1="SPX","SPXW",     $M$1="RUT","RUTW",  $M$1="NDX","NDXP",   TRUE,$M$1 )</f>
        <v>SPXW</v>
      </c>
      <c r="AU749" s="2">
        <f t="shared" si="77"/>
        <v>6915</v>
      </c>
      <c r="AV749" t="str">
        <f t="shared" si="78"/>
        <v>000100</v>
      </c>
      <c r="AY74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9">
        <f>((Table1334[[#This Row],[High C]]+Table1334[[#This Row],[Low C]])/2)*Table1334[[#This Row],[gammac]]*Table1334[[#This Row],[Volume]]</f>
        <v>0</v>
      </c>
      <c r="BD749">
        <f>((Table1334[[#This Row],[High P]]+Table1334[[#This Row],[Low P]])/2)*Table1334[[#This Row],[gammap]]*Table1334[[#This Row],[Volume9]]*-1</f>
        <v>0</v>
      </c>
      <c r="BE749">
        <f>(Table1334[[#This Row],[SgammaC]]+Table1334[[#This Row],[SgammaP]])*$A$4*-100</f>
        <v>0</v>
      </c>
      <c r="BF749">
        <f>Table1334[[#This Row],[DEXc]]+Table1334[[#This Row],[DEXp]]</f>
        <v>0</v>
      </c>
      <c r="BG749">
        <f>IFERROR(Table1334[[#This Row],[DeltaC]]*Table1334[[#This Row],[Open.Int]]*$A$4,0)</f>
        <v>0</v>
      </c>
      <c r="BH749">
        <f>IFERROR(Table1334[[#This Row],[DeltaP]]*Table1334[[#This Row],[Open.Int8]]*$A$4,0)</f>
        <v>0</v>
      </c>
      <c r="BI74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9">
        <f ca="1">Table1334[[#This Row],[charmc]]+Table1334[[#This Row],[charmp]]</f>
        <v>0</v>
      </c>
      <c r="BL74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9" s="78">
        <f ca="1">Table1334[[#This Row],[call helper]]+Table1334[[#This Row],[put helper]]</f>
        <v>0</v>
      </c>
      <c r="BP749" t="str">
        <f>RTD("tos.rtd", , "STRIKE", "."&amp;Table1334[[#This Row],[Ticker]]&amp;Table1334[[#This Row],[Expiry]]&amp;""&amp;"C"&amp;Table1334[[#This Row],[Spot]]+Table1334[[#This Row],[step]])</f>
        <v>N/A</v>
      </c>
    </row>
    <row r="750" spans="1:68" x14ac:dyDescent="0.25">
      <c r="A750" s="14">
        <f t="shared" ca="1" si="74"/>
        <v>-126.14810350076104</v>
      </c>
      <c r="C750" s="17"/>
      <c r="D750" t="str">
        <f>RTD("tos.rtd", , "OPEN_INT", "."&amp;Table1334[[#This Row],[Ticker]]&amp;Table1334[[#This Row],[Expiry]]&amp;""&amp;"C"&amp;Table1334[[#This Row],[Spot]]+Table1334[[#This Row],[step]])</f>
        <v>N/A</v>
      </c>
      <c r="E75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0" t="b">
        <f>IF(     ISNUMBER(Table1334[[#This Row],[Strike]]),RTD("tos.rtd", , "DELTA", "."&amp;Table1334[[#This Row],[Ticker]]&amp;Table1334[[#This Row],[Expiry]]&amp;""&amp;"C"&amp;Table1334[[#This Row],[Strike]]))</f>
        <v>0</v>
      </c>
      <c r="H750" s="17" cm="1">
        <f t="array" aca="1" ref="H750" ca="1">IndividualLegIVCore($A$4, Table1334[[#This Row],[Strike]], 0.0411, Table1334[[#This Row],[T]], ((Table1334[[#This Row],[BIDC]]+Table1334[[#This Row],[ASKC]])/2), TRUE)</f>
        <v>0.01</v>
      </c>
      <c r="I750" t="b">
        <f>IF(     ISNUMBER(Table1334[[#This Row],[Strike]]),RTD("tos.rtd", , "BID", "."&amp;Table1334[[#This Row],[Ticker]]&amp;Table1334[[#This Row],[Expiry]]&amp;""&amp;"C"&amp;Table1334[[#This Row],[Strike]]))</f>
        <v>0</v>
      </c>
      <c r="J750" t="b">
        <f>IF(     ISNUMBER(Table1334[[#This Row],[Strike]]),RTD("tos.rtd", , "ASK", "."&amp;Table1334[[#This Row],[Ticker]]&amp;Table1334[[#This Row],[Expiry]]&amp;""&amp;"C"&amp;Table1334[[#This Row],[Strike]]))</f>
        <v>0</v>
      </c>
      <c r="K750" s="17"/>
      <c r="M750" s="1">
        <f t="shared" si="75"/>
        <v>0</v>
      </c>
      <c r="N750" t="b">
        <f t="shared" si="76"/>
        <v>0</v>
      </c>
      <c r="P750" s="17" cm="1">
        <f t="array" aca="1" ref="P750" ca="1">IndividualLegIVCore($A$4, Table1334[[#This Row],[Strike]], 0.0411, Table1334[[#This Row],[T]], ((Table1334[[#This Row],[BIDP]]+Table1334[[#This Row],[ASKP]])/2), FALSE)</f>
        <v>0.01</v>
      </c>
      <c r="Q750" t="b">
        <f>IF(     ISNUMBER(Table1334[[#This Row],[Strike]]),RTD("tos.rtd", , "BID", "."&amp;Table1334[[#This Row],[Ticker]]&amp;Table1334[[#This Row],[Expiry]]&amp;""&amp;"P"&amp;Table1334[[#This Row],[Strike]]))</f>
        <v>0</v>
      </c>
      <c r="R750" t="b">
        <f>IF(     ISNUMBER(Table1334[[#This Row],[Strike]]),RTD("tos.rtd", , "ASK", "."&amp;Table1334[[#This Row],[Ticker]]&amp;Table1334[[#This Row],[Expiry]]&amp;""&amp;"P"&amp;Table1334[[#This Row],[Strike]]))</f>
        <v>0</v>
      </c>
      <c r="S750" s="17"/>
      <c r="T750" t="b">
        <f>IF(     ISNUMBER(Table1334[[#This Row],[Strike]]),RTD("tos.rtd", , "OPEN_INT", "."&amp;Table1334[[#This Row],[Ticker]]&amp;Table1334[[#This Row],[Expiry]]&amp;""&amp;"P"&amp;Table1334[[#This Row],[Strike]]))</f>
        <v>0</v>
      </c>
      <c r="U75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0" t="b">
        <f>IF(     ISNUMBER(Table1334[[#This Row],[Strike]]),RTD("tos.rtd", , "DELTA", "."&amp;Table1334[[#This Row],[Ticker]]&amp;Table1334[[#This Row],[Expiry]]&amp;""&amp;"P"&amp;Table1334[[#This Row],[Strike]]))</f>
        <v>0</v>
      </c>
      <c r="Y750" s="19">
        <f>15.5* IF($M$1="NDX", 10, IF(OR($M$1="SPX", $M$1="RUT"), 2, 1))</f>
        <v>31</v>
      </c>
      <c r="Z750">
        <f ca="1">IFERROR(Table1334[[#This Row],[call gamma]]*(Table1334[[#This Row],[Open.Int]])*$A$4^2,0)</f>
        <v>0</v>
      </c>
      <c r="AA750">
        <f ca="1">IFERROR(((Table1334[[#This Row],[Open.Int8]])*Table1334[[#This Row],[Put gamma]])*-1*$A$4^2,0)</f>
        <v>0</v>
      </c>
      <c r="AB750">
        <f ca="1">(Table1334[[#This Row],[Call Gex]]+Table1334[[#This Row],[Put Gex]])</f>
        <v>0</v>
      </c>
      <c r="AC750">
        <f ca="1">Table1334[[#This Row],[put delta adj]]+Table1334[[#This Row],[call delta adj]]</f>
        <v>0</v>
      </c>
      <c r="AD750">
        <f ca="1">Table1334[[#This Row],[Put Gex]]*Table1334[[#This Row],[DeltaP]]*-1</f>
        <v>0</v>
      </c>
      <c r="AE750">
        <f ca="1">Table1334[[#This Row],[Call Gex]]*Table1334[[#This Row],[DeltaC]]</f>
        <v>0</v>
      </c>
      <c r="AF750">
        <f>IF(Table1334[[#This Row],[DeltaC]]-ABS(Table1334[[#This Row],[DeltaP]])="0","0.01",Table1334[[#This Row],[DeltaC]]-ABS(Table1334[[#This Row],[DeltaP]]))</f>
        <v>0</v>
      </c>
      <c r="AG75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0" t="e">
        <f ca="1">(EXP(-(AG750^2)/2)/SQRT(2*PI())*EXP(0*SQRT(Table1334[[#This Row],[T]]))/$A$4*18%*SQRT(SQRT(Table1334[[#This Row],[T]])))</f>
        <v>#DIV/0!</v>
      </c>
      <c r="AJ750" t="e">
        <f ca="1">(EXP(-(AH750^2)/2)/SQRT(2*PI())*EXP(0*SQRT(Table1334[[#This Row],[T]]))/$A$4*18%*SQRT(SQRT(Table1334[[#This Row],[T]])))</f>
        <v>#DIV/0!</v>
      </c>
      <c r="AK750" t="e">
        <f ca="1">Table1334[[#This Row],[Call D1]]-Table1334[[#This Row],[IV Calc C]]*SQRT(Table1334[[#This Row],[T]])</f>
        <v>#DIV/0!</v>
      </c>
      <c r="AL750" t="e">
        <f ca="1">Table1334[[#This Row],[Put D1]]-Table1334[[#This Row],[IV Calc P]]*SQRT(Table1334[[#This Row],[T]])</f>
        <v>#DIV/0!</v>
      </c>
      <c r="AM750" t="e">
        <f ca="1">EXP(-0.5*Table1334[[#This Row],[Call D1]]^2)/SQRT(2*PI())</f>
        <v>#DIV/0!</v>
      </c>
      <c r="AN750" t="e">
        <f ca="1">EXP(-0.5*Table1334[[#This Row],[Put D1]]^2)/SQRT(2*PI())</f>
        <v>#DIV/0!</v>
      </c>
      <c r="AO75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0">
        <f ca="1">((Table1334[[#This Row],[call vanna]]+Table1334[[#This Row],[put vanna]])*$A$4)</f>
        <v>0</v>
      </c>
      <c r="AR75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0" s="9" t="str" cm="1">
        <f t="array" ref="AT750">_xlfn.IFS(     $M$1="SPX","SPXW",     $M$1="RUT","RUTW",  $M$1="NDX","NDXP",   TRUE,$M$1 )</f>
        <v>SPXW</v>
      </c>
      <c r="AU750" s="2">
        <f t="shared" si="77"/>
        <v>6915</v>
      </c>
      <c r="AV750" t="str">
        <f t="shared" si="78"/>
        <v>000100</v>
      </c>
      <c r="AY75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0">
        <f>((Table1334[[#This Row],[High C]]+Table1334[[#This Row],[Low C]])/2)*Table1334[[#This Row],[gammac]]*Table1334[[#This Row],[Volume]]</f>
        <v>0</v>
      </c>
      <c r="BD750">
        <f>((Table1334[[#This Row],[High P]]+Table1334[[#This Row],[Low P]])/2)*Table1334[[#This Row],[gammap]]*Table1334[[#This Row],[Volume9]]*-1</f>
        <v>0</v>
      </c>
      <c r="BE750">
        <f>(Table1334[[#This Row],[SgammaC]]+Table1334[[#This Row],[SgammaP]])*$A$4*-100</f>
        <v>0</v>
      </c>
      <c r="BF750">
        <f>Table1334[[#This Row],[DEXc]]+Table1334[[#This Row],[DEXp]]</f>
        <v>0</v>
      </c>
      <c r="BG750">
        <f>IFERROR(Table1334[[#This Row],[DeltaC]]*Table1334[[#This Row],[Open.Int]]*$A$4,0)</f>
        <v>0</v>
      </c>
      <c r="BH750">
        <f>IFERROR(Table1334[[#This Row],[DeltaP]]*Table1334[[#This Row],[Open.Int8]]*$A$4,0)</f>
        <v>0</v>
      </c>
      <c r="BI75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0">
        <f ca="1">Table1334[[#This Row],[charmc]]+Table1334[[#This Row],[charmp]]</f>
        <v>0</v>
      </c>
      <c r="BL75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0" s="78">
        <f ca="1">Table1334[[#This Row],[call helper]]+Table1334[[#This Row],[put helper]]</f>
        <v>0</v>
      </c>
      <c r="BP750" t="str">
        <f>RTD("tos.rtd", , "STRIKE", "."&amp;Table1334[[#This Row],[Ticker]]&amp;Table1334[[#This Row],[Expiry]]&amp;""&amp;"C"&amp;Table1334[[#This Row],[Spot]]+Table1334[[#This Row],[step]])</f>
        <v>N/A</v>
      </c>
    </row>
    <row r="751" spans="1:68" x14ac:dyDescent="0.25">
      <c r="A751" s="14">
        <f t="shared" ca="1" si="74"/>
        <v>-126.14810350076104</v>
      </c>
      <c r="C751" s="17"/>
      <c r="D751" t="str">
        <f>RTD("tos.rtd", , "OPEN_INT", "."&amp;Table1334[[#This Row],[Ticker]]&amp;Table1334[[#This Row],[Expiry]]&amp;""&amp;"C"&amp;Table1334[[#This Row],[Spot]]+Table1334[[#This Row],[step]])</f>
        <v>N/A</v>
      </c>
      <c r="E75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1" t="b">
        <f>IF(     ISNUMBER(Table1334[[#This Row],[Strike]]),RTD("tos.rtd", , "DELTA", "."&amp;Table1334[[#This Row],[Ticker]]&amp;Table1334[[#This Row],[Expiry]]&amp;""&amp;"C"&amp;Table1334[[#This Row],[Strike]]))</f>
        <v>0</v>
      </c>
      <c r="H751" s="17" cm="1">
        <f t="array" aca="1" ref="H751" ca="1">IndividualLegIVCore($A$4, Table1334[[#This Row],[Strike]], 0.0411, Table1334[[#This Row],[T]], ((Table1334[[#This Row],[BIDC]]+Table1334[[#This Row],[ASKC]])/2), TRUE)</f>
        <v>0.01</v>
      </c>
      <c r="I751" t="b">
        <f>IF(     ISNUMBER(Table1334[[#This Row],[Strike]]),RTD("tos.rtd", , "BID", "."&amp;Table1334[[#This Row],[Ticker]]&amp;Table1334[[#This Row],[Expiry]]&amp;""&amp;"C"&amp;Table1334[[#This Row],[Strike]]))</f>
        <v>0</v>
      </c>
      <c r="J751" t="b">
        <f>IF(     ISNUMBER(Table1334[[#This Row],[Strike]]),RTD("tos.rtd", , "ASK", "."&amp;Table1334[[#This Row],[Ticker]]&amp;Table1334[[#This Row],[Expiry]]&amp;""&amp;"C"&amp;Table1334[[#This Row],[Strike]]))</f>
        <v>0</v>
      </c>
      <c r="K751" s="17"/>
      <c r="M751" s="1">
        <f t="shared" si="75"/>
        <v>0</v>
      </c>
      <c r="N751" t="b">
        <f t="shared" si="76"/>
        <v>0</v>
      </c>
      <c r="P751" s="17" cm="1">
        <f t="array" aca="1" ref="P751" ca="1">IndividualLegIVCore($A$4, Table1334[[#This Row],[Strike]], 0.0411, Table1334[[#This Row],[T]], ((Table1334[[#This Row],[BIDP]]+Table1334[[#This Row],[ASKP]])/2), FALSE)</f>
        <v>0.01</v>
      </c>
      <c r="Q751" t="b">
        <f>IF(     ISNUMBER(Table1334[[#This Row],[Strike]]),RTD("tos.rtd", , "BID", "."&amp;Table1334[[#This Row],[Ticker]]&amp;Table1334[[#This Row],[Expiry]]&amp;""&amp;"P"&amp;Table1334[[#This Row],[Strike]]))</f>
        <v>0</v>
      </c>
      <c r="R751" t="b">
        <f>IF(     ISNUMBER(Table1334[[#This Row],[Strike]]),RTD("tos.rtd", , "ASK", "."&amp;Table1334[[#This Row],[Ticker]]&amp;Table1334[[#This Row],[Expiry]]&amp;""&amp;"P"&amp;Table1334[[#This Row],[Strike]]))</f>
        <v>0</v>
      </c>
      <c r="S751" s="17"/>
      <c r="T751" t="b">
        <f>IF(     ISNUMBER(Table1334[[#This Row],[Strike]]),RTD("tos.rtd", , "OPEN_INT", "."&amp;Table1334[[#This Row],[Ticker]]&amp;Table1334[[#This Row],[Expiry]]&amp;""&amp;"P"&amp;Table1334[[#This Row],[Strike]]))</f>
        <v>0</v>
      </c>
      <c r="U75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1" t="b">
        <f>IF(     ISNUMBER(Table1334[[#This Row],[Strike]]),RTD("tos.rtd", , "DELTA", "."&amp;Table1334[[#This Row],[Ticker]]&amp;Table1334[[#This Row],[Expiry]]&amp;""&amp;"P"&amp;Table1334[[#This Row],[Strike]]))</f>
        <v>0</v>
      </c>
      <c r="Y751" s="19">
        <f>16* IF($M$1="NDX", 10, IF(OR($M$1="SPX", $M$1="RUT"), 2, 1))</f>
        <v>32</v>
      </c>
      <c r="Z751">
        <f ca="1">IFERROR(Table1334[[#This Row],[call gamma]]*(Table1334[[#This Row],[Open.Int]])*$A$4^2,0)</f>
        <v>0</v>
      </c>
      <c r="AA751">
        <f ca="1">IFERROR(((Table1334[[#This Row],[Open.Int8]])*Table1334[[#This Row],[Put gamma]])*-1*$A$4^2,0)</f>
        <v>0</v>
      </c>
      <c r="AB751">
        <f ca="1">(Table1334[[#This Row],[Call Gex]]+Table1334[[#This Row],[Put Gex]])</f>
        <v>0</v>
      </c>
      <c r="AC751">
        <f ca="1">Table1334[[#This Row],[put delta adj]]+Table1334[[#This Row],[call delta adj]]</f>
        <v>0</v>
      </c>
      <c r="AD751">
        <f ca="1">Table1334[[#This Row],[Put Gex]]*Table1334[[#This Row],[DeltaP]]*-1</f>
        <v>0</v>
      </c>
      <c r="AE751">
        <f ca="1">Table1334[[#This Row],[Call Gex]]*Table1334[[#This Row],[DeltaC]]</f>
        <v>0</v>
      </c>
      <c r="AF751">
        <f>IF(Table1334[[#This Row],[DeltaC]]-ABS(Table1334[[#This Row],[DeltaP]])="0","0.01",Table1334[[#This Row],[DeltaC]]-ABS(Table1334[[#This Row],[DeltaP]]))</f>
        <v>0</v>
      </c>
      <c r="AG75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1" t="e">
        <f ca="1">(EXP(-(AG751^2)/2)/SQRT(2*PI())*EXP(0*SQRT(Table1334[[#This Row],[T]]))/$A$4*18%*SQRT(SQRT(Table1334[[#This Row],[T]])))</f>
        <v>#DIV/0!</v>
      </c>
      <c r="AJ751" t="e">
        <f ca="1">(EXP(-(AH751^2)/2)/SQRT(2*PI())*EXP(0*SQRT(Table1334[[#This Row],[T]]))/$A$4*18%*SQRT(SQRT(Table1334[[#This Row],[T]])))</f>
        <v>#DIV/0!</v>
      </c>
      <c r="AK751" t="e">
        <f ca="1">Table1334[[#This Row],[Call D1]]-Table1334[[#This Row],[IV Calc C]]*SQRT(Table1334[[#This Row],[T]])</f>
        <v>#DIV/0!</v>
      </c>
      <c r="AL751" t="e">
        <f ca="1">Table1334[[#This Row],[Put D1]]-Table1334[[#This Row],[IV Calc P]]*SQRT(Table1334[[#This Row],[T]])</f>
        <v>#DIV/0!</v>
      </c>
      <c r="AM751" t="e">
        <f ca="1">EXP(-0.5*Table1334[[#This Row],[Call D1]]^2)/SQRT(2*PI())</f>
        <v>#DIV/0!</v>
      </c>
      <c r="AN751" t="e">
        <f ca="1">EXP(-0.5*Table1334[[#This Row],[Put D1]]^2)/SQRT(2*PI())</f>
        <v>#DIV/0!</v>
      </c>
      <c r="AO75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1">
        <f ca="1">((Table1334[[#This Row],[call vanna]]+Table1334[[#This Row],[put vanna]])*$A$4)</f>
        <v>0</v>
      </c>
      <c r="AR75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1" s="9" t="str" cm="1">
        <f t="array" ref="AT751">_xlfn.IFS(     $M$1="SPX","SPXW",     $M$1="RUT","RUTW",  $M$1="NDX","NDXP",   TRUE,$M$1 )</f>
        <v>SPXW</v>
      </c>
      <c r="AU751" s="2">
        <f t="shared" si="77"/>
        <v>6915</v>
      </c>
      <c r="AV751" t="str">
        <f t="shared" si="78"/>
        <v>000100</v>
      </c>
      <c r="AY75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1">
        <f>((Table1334[[#This Row],[High C]]+Table1334[[#This Row],[Low C]])/2)*Table1334[[#This Row],[gammac]]*Table1334[[#This Row],[Volume]]</f>
        <v>0</v>
      </c>
      <c r="BD751">
        <f>((Table1334[[#This Row],[High P]]+Table1334[[#This Row],[Low P]])/2)*Table1334[[#This Row],[gammap]]*Table1334[[#This Row],[Volume9]]*-1</f>
        <v>0</v>
      </c>
      <c r="BE751">
        <f>(Table1334[[#This Row],[SgammaC]]+Table1334[[#This Row],[SgammaP]])*$A$4*-100</f>
        <v>0</v>
      </c>
      <c r="BF751">
        <f>Table1334[[#This Row],[DEXc]]+Table1334[[#This Row],[DEXp]]</f>
        <v>0</v>
      </c>
      <c r="BG751">
        <f>IFERROR(Table1334[[#This Row],[DeltaC]]*Table1334[[#This Row],[Open.Int]]*$A$4,0)</f>
        <v>0</v>
      </c>
      <c r="BH751">
        <f>IFERROR(Table1334[[#This Row],[DeltaP]]*Table1334[[#This Row],[Open.Int8]]*$A$4,0)</f>
        <v>0</v>
      </c>
      <c r="BI75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1">
        <f ca="1">Table1334[[#This Row],[charmc]]+Table1334[[#This Row],[charmp]]</f>
        <v>0</v>
      </c>
      <c r="BL75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1" s="78">
        <f ca="1">Table1334[[#This Row],[call helper]]+Table1334[[#This Row],[put helper]]</f>
        <v>0</v>
      </c>
      <c r="BP751" t="str">
        <f>RTD("tos.rtd", , "STRIKE", "."&amp;Table1334[[#This Row],[Ticker]]&amp;Table1334[[#This Row],[Expiry]]&amp;""&amp;"C"&amp;Table1334[[#This Row],[Spot]]+Table1334[[#This Row],[step]])</f>
        <v>N/A</v>
      </c>
    </row>
    <row r="752" spans="1:68" x14ac:dyDescent="0.25">
      <c r="A752" s="14">
        <f t="shared" ca="1" si="74"/>
        <v>-126.14810350076104</v>
      </c>
      <c r="C752" s="17"/>
      <c r="D752" t="str">
        <f>RTD("tos.rtd", , "OPEN_INT", "."&amp;Table1334[[#This Row],[Ticker]]&amp;Table1334[[#This Row],[Expiry]]&amp;""&amp;"C"&amp;Table1334[[#This Row],[Spot]]+Table1334[[#This Row],[step]])</f>
        <v>N/A</v>
      </c>
      <c r="E75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2" t="b">
        <f>IF(     ISNUMBER(Table1334[[#This Row],[Strike]]),RTD("tos.rtd", , "DELTA", "."&amp;Table1334[[#This Row],[Ticker]]&amp;Table1334[[#This Row],[Expiry]]&amp;""&amp;"C"&amp;Table1334[[#This Row],[Strike]]))</f>
        <v>0</v>
      </c>
      <c r="H752" s="17" cm="1">
        <f t="array" aca="1" ref="H752" ca="1">IndividualLegIVCore($A$4, Table1334[[#This Row],[Strike]], 0.0411, Table1334[[#This Row],[T]], ((Table1334[[#This Row],[BIDC]]+Table1334[[#This Row],[ASKC]])/2), TRUE)</f>
        <v>0.01</v>
      </c>
      <c r="I752" t="b">
        <f>IF(     ISNUMBER(Table1334[[#This Row],[Strike]]),RTD("tos.rtd", , "BID", "."&amp;Table1334[[#This Row],[Ticker]]&amp;Table1334[[#This Row],[Expiry]]&amp;""&amp;"C"&amp;Table1334[[#This Row],[Strike]]))</f>
        <v>0</v>
      </c>
      <c r="J752" t="b">
        <f>IF(     ISNUMBER(Table1334[[#This Row],[Strike]]),RTD("tos.rtd", , "ASK", "."&amp;Table1334[[#This Row],[Ticker]]&amp;Table1334[[#This Row],[Expiry]]&amp;""&amp;"C"&amp;Table1334[[#This Row],[Strike]]))</f>
        <v>0</v>
      </c>
      <c r="K752" s="17"/>
      <c r="M752" s="1">
        <f t="shared" si="75"/>
        <v>0</v>
      </c>
      <c r="N752" t="b">
        <f t="shared" si="76"/>
        <v>0</v>
      </c>
      <c r="P752" s="17" cm="1">
        <f t="array" aca="1" ref="P752" ca="1">IndividualLegIVCore($A$4, Table1334[[#This Row],[Strike]], 0.0411, Table1334[[#This Row],[T]], ((Table1334[[#This Row],[BIDP]]+Table1334[[#This Row],[ASKP]])/2), FALSE)</f>
        <v>0.01</v>
      </c>
      <c r="Q752" t="b">
        <f>IF(     ISNUMBER(Table1334[[#This Row],[Strike]]),RTD("tos.rtd", , "BID", "."&amp;Table1334[[#This Row],[Ticker]]&amp;Table1334[[#This Row],[Expiry]]&amp;""&amp;"P"&amp;Table1334[[#This Row],[Strike]]))</f>
        <v>0</v>
      </c>
      <c r="R752" t="b">
        <f>IF(     ISNUMBER(Table1334[[#This Row],[Strike]]),RTD("tos.rtd", , "ASK", "."&amp;Table1334[[#This Row],[Ticker]]&amp;Table1334[[#This Row],[Expiry]]&amp;""&amp;"P"&amp;Table1334[[#This Row],[Strike]]))</f>
        <v>0</v>
      </c>
      <c r="S752" s="17"/>
      <c r="T752" t="b">
        <f>IF(     ISNUMBER(Table1334[[#This Row],[Strike]]),RTD("tos.rtd", , "OPEN_INT", "."&amp;Table1334[[#This Row],[Ticker]]&amp;Table1334[[#This Row],[Expiry]]&amp;""&amp;"P"&amp;Table1334[[#This Row],[Strike]]))</f>
        <v>0</v>
      </c>
      <c r="U75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2" t="b">
        <f>IF(     ISNUMBER(Table1334[[#This Row],[Strike]]),RTD("tos.rtd", , "DELTA", "."&amp;Table1334[[#This Row],[Ticker]]&amp;Table1334[[#This Row],[Expiry]]&amp;""&amp;"P"&amp;Table1334[[#This Row],[Strike]]))</f>
        <v>0</v>
      </c>
      <c r="Y752" s="19">
        <f>16.5* IF($M$1="NDX", 10, IF(OR($M$1="SPX", $M$1="RUT"), 2, 1))</f>
        <v>33</v>
      </c>
      <c r="Z752">
        <f ca="1">IFERROR(Table1334[[#This Row],[call gamma]]*(Table1334[[#This Row],[Open.Int]])*$A$4^2,0)</f>
        <v>0</v>
      </c>
      <c r="AA752">
        <f ca="1">IFERROR(((Table1334[[#This Row],[Open.Int8]])*Table1334[[#This Row],[Put gamma]])*-1*$A$4^2,0)</f>
        <v>0</v>
      </c>
      <c r="AB752">
        <f ca="1">(Table1334[[#This Row],[Call Gex]]+Table1334[[#This Row],[Put Gex]])</f>
        <v>0</v>
      </c>
      <c r="AC752">
        <f ca="1">Table1334[[#This Row],[put delta adj]]+Table1334[[#This Row],[call delta adj]]</f>
        <v>0</v>
      </c>
      <c r="AD752">
        <f ca="1">Table1334[[#This Row],[Put Gex]]*Table1334[[#This Row],[DeltaP]]*-1</f>
        <v>0</v>
      </c>
      <c r="AE752">
        <f ca="1">Table1334[[#This Row],[Call Gex]]*Table1334[[#This Row],[DeltaC]]</f>
        <v>0</v>
      </c>
      <c r="AF752">
        <f>IF(Table1334[[#This Row],[DeltaC]]-ABS(Table1334[[#This Row],[DeltaP]])="0","0.01",Table1334[[#This Row],[DeltaC]]-ABS(Table1334[[#This Row],[DeltaP]]))</f>
        <v>0</v>
      </c>
      <c r="AG75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2" t="e">
        <f ca="1">(EXP(-(AG752^2)/2)/SQRT(2*PI())*EXP(0*SQRT(Table1334[[#This Row],[T]]))/$A$4*18%*SQRT(SQRT(Table1334[[#This Row],[T]])))</f>
        <v>#DIV/0!</v>
      </c>
      <c r="AJ752" t="e">
        <f ca="1">(EXP(-(AH752^2)/2)/SQRT(2*PI())*EXP(0*SQRT(Table1334[[#This Row],[T]]))/$A$4*18%*SQRT(SQRT(Table1334[[#This Row],[T]])))</f>
        <v>#DIV/0!</v>
      </c>
      <c r="AK752" t="e">
        <f ca="1">Table1334[[#This Row],[Call D1]]-Table1334[[#This Row],[IV Calc C]]*SQRT(Table1334[[#This Row],[T]])</f>
        <v>#DIV/0!</v>
      </c>
      <c r="AL752" t="e">
        <f ca="1">Table1334[[#This Row],[Put D1]]-Table1334[[#This Row],[IV Calc P]]*SQRT(Table1334[[#This Row],[T]])</f>
        <v>#DIV/0!</v>
      </c>
      <c r="AM752" t="e">
        <f ca="1">EXP(-0.5*Table1334[[#This Row],[Call D1]]^2)/SQRT(2*PI())</f>
        <v>#DIV/0!</v>
      </c>
      <c r="AN752" t="e">
        <f ca="1">EXP(-0.5*Table1334[[#This Row],[Put D1]]^2)/SQRT(2*PI())</f>
        <v>#DIV/0!</v>
      </c>
      <c r="AO75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2">
        <f ca="1">((Table1334[[#This Row],[call vanna]]+Table1334[[#This Row],[put vanna]])*$A$4)</f>
        <v>0</v>
      </c>
      <c r="AR75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2" s="9" t="str" cm="1">
        <f t="array" ref="AT752">_xlfn.IFS(     $M$1="SPX","SPXW",     $M$1="RUT","RUTW",  $M$1="NDX","NDXP",   TRUE,$M$1 )</f>
        <v>SPXW</v>
      </c>
      <c r="AU752" s="2">
        <f t="shared" si="77"/>
        <v>6915</v>
      </c>
      <c r="AV752" t="str">
        <f t="shared" si="78"/>
        <v>000100</v>
      </c>
      <c r="AY75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2">
        <f>((Table1334[[#This Row],[High C]]+Table1334[[#This Row],[Low C]])/2)*Table1334[[#This Row],[gammac]]*Table1334[[#This Row],[Volume]]</f>
        <v>0</v>
      </c>
      <c r="BD752">
        <f>((Table1334[[#This Row],[High P]]+Table1334[[#This Row],[Low P]])/2)*Table1334[[#This Row],[gammap]]*Table1334[[#This Row],[Volume9]]*-1</f>
        <v>0</v>
      </c>
      <c r="BE752">
        <f>(Table1334[[#This Row],[SgammaC]]+Table1334[[#This Row],[SgammaP]])*$A$4*-100</f>
        <v>0</v>
      </c>
      <c r="BF752">
        <f>Table1334[[#This Row],[DEXc]]+Table1334[[#This Row],[DEXp]]</f>
        <v>0</v>
      </c>
      <c r="BG752">
        <f>IFERROR(Table1334[[#This Row],[DeltaC]]*Table1334[[#This Row],[Open.Int]]*$A$4,0)</f>
        <v>0</v>
      </c>
      <c r="BH752">
        <f>IFERROR(Table1334[[#This Row],[DeltaP]]*Table1334[[#This Row],[Open.Int8]]*$A$4,0)</f>
        <v>0</v>
      </c>
      <c r="BI75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2">
        <f ca="1">Table1334[[#This Row],[charmc]]+Table1334[[#This Row],[charmp]]</f>
        <v>0</v>
      </c>
      <c r="BL75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2" s="78">
        <f ca="1">Table1334[[#This Row],[call helper]]+Table1334[[#This Row],[put helper]]</f>
        <v>0</v>
      </c>
      <c r="BP752" t="str">
        <f>RTD("tos.rtd", , "STRIKE", "."&amp;Table1334[[#This Row],[Ticker]]&amp;Table1334[[#This Row],[Expiry]]&amp;""&amp;"C"&amp;Table1334[[#This Row],[Spot]]+Table1334[[#This Row],[step]])</f>
        <v>N/A</v>
      </c>
    </row>
    <row r="753" spans="1:68" x14ac:dyDescent="0.25">
      <c r="A753" s="14">
        <f t="shared" ca="1" si="74"/>
        <v>-126.14810350076104</v>
      </c>
      <c r="C753" s="17"/>
      <c r="D753" t="str">
        <f>RTD("tos.rtd", , "OPEN_INT", "."&amp;Table1334[[#This Row],[Ticker]]&amp;Table1334[[#This Row],[Expiry]]&amp;""&amp;"C"&amp;Table1334[[#This Row],[Spot]]+Table1334[[#This Row],[step]])</f>
        <v>N/A</v>
      </c>
      <c r="E75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3" t="b">
        <f>IF(     ISNUMBER(Table1334[[#This Row],[Strike]]),RTD("tos.rtd", , "DELTA", "."&amp;Table1334[[#This Row],[Ticker]]&amp;Table1334[[#This Row],[Expiry]]&amp;""&amp;"C"&amp;Table1334[[#This Row],[Strike]]))</f>
        <v>0</v>
      </c>
      <c r="H753" s="17" cm="1">
        <f t="array" aca="1" ref="H753" ca="1">IndividualLegIVCore($A$4, Table1334[[#This Row],[Strike]], 0.0411, Table1334[[#This Row],[T]], ((Table1334[[#This Row],[BIDC]]+Table1334[[#This Row],[ASKC]])/2), TRUE)</f>
        <v>0.01</v>
      </c>
      <c r="I753" t="b">
        <f>IF(     ISNUMBER(Table1334[[#This Row],[Strike]]),RTD("tos.rtd", , "BID", "."&amp;Table1334[[#This Row],[Ticker]]&amp;Table1334[[#This Row],[Expiry]]&amp;""&amp;"C"&amp;Table1334[[#This Row],[Strike]]))</f>
        <v>0</v>
      </c>
      <c r="J753" t="b">
        <f>IF(     ISNUMBER(Table1334[[#This Row],[Strike]]),RTD("tos.rtd", , "ASK", "."&amp;Table1334[[#This Row],[Ticker]]&amp;Table1334[[#This Row],[Expiry]]&amp;""&amp;"C"&amp;Table1334[[#This Row],[Strike]]))</f>
        <v>0</v>
      </c>
      <c r="K753" s="17"/>
      <c r="M753" s="1">
        <f t="shared" si="75"/>
        <v>0</v>
      </c>
      <c r="N753" t="b">
        <f t="shared" si="76"/>
        <v>0</v>
      </c>
      <c r="P753" s="17" cm="1">
        <f t="array" aca="1" ref="P753" ca="1">IndividualLegIVCore($A$4, Table1334[[#This Row],[Strike]], 0.0411, Table1334[[#This Row],[T]], ((Table1334[[#This Row],[BIDP]]+Table1334[[#This Row],[ASKP]])/2), FALSE)</f>
        <v>0.01</v>
      </c>
      <c r="Q753" t="b">
        <f>IF(     ISNUMBER(Table1334[[#This Row],[Strike]]),RTD("tos.rtd", , "BID", "."&amp;Table1334[[#This Row],[Ticker]]&amp;Table1334[[#This Row],[Expiry]]&amp;""&amp;"P"&amp;Table1334[[#This Row],[Strike]]))</f>
        <v>0</v>
      </c>
      <c r="R753" t="b">
        <f>IF(     ISNUMBER(Table1334[[#This Row],[Strike]]),RTD("tos.rtd", , "ASK", "."&amp;Table1334[[#This Row],[Ticker]]&amp;Table1334[[#This Row],[Expiry]]&amp;""&amp;"P"&amp;Table1334[[#This Row],[Strike]]))</f>
        <v>0</v>
      </c>
      <c r="S753" s="17"/>
      <c r="T753" t="b">
        <f>IF(     ISNUMBER(Table1334[[#This Row],[Strike]]),RTD("tos.rtd", , "OPEN_INT", "."&amp;Table1334[[#This Row],[Ticker]]&amp;Table1334[[#This Row],[Expiry]]&amp;""&amp;"P"&amp;Table1334[[#This Row],[Strike]]))</f>
        <v>0</v>
      </c>
      <c r="U75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3" t="b">
        <f>IF(     ISNUMBER(Table1334[[#This Row],[Strike]]),RTD("tos.rtd", , "DELTA", "."&amp;Table1334[[#This Row],[Ticker]]&amp;Table1334[[#This Row],[Expiry]]&amp;""&amp;"P"&amp;Table1334[[#This Row],[Strike]]))</f>
        <v>0</v>
      </c>
      <c r="Y753" s="19">
        <f>17* IF($M$1="NDX", 10, IF(OR($M$1="SPX", $M$1="RUT"), 2, 1))</f>
        <v>34</v>
      </c>
      <c r="Z753">
        <f ca="1">IFERROR(Table1334[[#This Row],[call gamma]]*(Table1334[[#This Row],[Open.Int]])*$A$4^2,0)</f>
        <v>0</v>
      </c>
      <c r="AA753">
        <f ca="1">IFERROR(((Table1334[[#This Row],[Open.Int8]])*Table1334[[#This Row],[Put gamma]])*-1*$A$4^2,0)</f>
        <v>0</v>
      </c>
      <c r="AB753">
        <f ca="1">(Table1334[[#This Row],[Call Gex]]+Table1334[[#This Row],[Put Gex]])</f>
        <v>0</v>
      </c>
      <c r="AC753">
        <f ca="1">Table1334[[#This Row],[put delta adj]]+Table1334[[#This Row],[call delta adj]]</f>
        <v>0</v>
      </c>
      <c r="AD753">
        <f ca="1">Table1334[[#This Row],[Put Gex]]*Table1334[[#This Row],[DeltaP]]*-1</f>
        <v>0</v>
      </c>
      <c r="AE753">
        <f ca="1">Table1334[[#This Row],[Call Gex]]*Table1334[[#This Row],[DeltaC]]</f>
        <v>0</v>
      </c>
      <c r="AF753">
        <f>IF(Table1334[[#This Row],[DeltaC]]-ABS(Table1334[[#This Row],[DeltaP]])="0","0.01",Table1334[[#This Row],[DeltaC]]-ABS(Table1334[[#This Row],[DeltaP]]))</f>
        <v>0</v>
      </c>
      <c r="AG75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3" t="e">
        <f ca="1">(EXP(-(AG753^2)/2)/SQRT(2*PI())*EXP(0*SQRT(Table1334[[#This Row],[T]]))/$A$4*18%*SQRT(SQRT(Table1334[[#This Row],[T]])))</f>
        <v>#DIV/0!</v>
      </c>
      <c r="AJ753" t="e">
        <f ca="1">(EXP(-(AH753^2)/2)/SQRT(2*PI())*EXP(0*SQRT(Table1334[[#This Row],[T]]))/$A$4*18%*SQRT(SQRT(Table1334[[#This Row],[T]])))</f>
        <v>#DIV/0!</v>
      </c>
      <c r="AK753" t="e">
        <f ca="1">Table1334[[#This Row],[Call D1]]-Table1334[[#This Row],[IV Calc C]]*SQRT(Table1334[[#This Row],[T]])</f>
        <v>#DIV/0!</v>
      </c>
      <c r="AL753" t="e">
        <f ca="1">Table1334[[#This Row],[Put D1]]-Table1334[[#This Row],[IV Calc P]]*SQRT(Table1334[[#This Row],[T]])</f>
        <v>#DIV/0!</v>
      </c>
      <c r="AM753" t="e">
        <f ca="1">EXP(-0.5*Table1334[[#This Row],[Call D1]]^2)/SQRT(2*PI())</f>
        <v>#DIV/0!</v>
      </c>
      <c r="AN753" t="e">
        <f ca="1">EXP(-0.5*Table1334[[#This Row],[Put D1]]^2)/SQRT(2*PI())</f>
        <v>#DIV/0!</v>
      </c>
      <c r="AO75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3">
        <f ca="1">((Table1334[[#This Row],[call vanna]]+Table1334[[#This Row],[put vanna]])*$A$4)</f>
        <v>0</v>
      </c>
      <c r="AR75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3" s="9" t="str" cm="1">
        <f t="array" ref="AT753">_xlfn.IFS(     $M$1="SPX","SPXW",     $M$1="RUT","RUTW",  $M$1="NDX","NDXP",   TRUE,$M$1 )</f>
        <v>SPXW</v>
      </c>
      <c r="AU753" s="2">
        <f t="shared" si="77"/>
        <v>6915</v>
      </c>
      <c r="AV753" t="str">
        <f t="shared" si="78"/>
        <v>000100</v>
      </c>
      <c r="AY75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3">
        <f>((Table1334[[#This Row],[High C]]+Table1334[[#This Row],[Low C]])/2)*Table1334[[#This Row],[gammac]]*Table1334[[#This Row],[Volume]]</f>
        <v>0</v>
      </c>
      <c r="BD753">
        <f>((Table1334[[#This Row],[High P]]+Table1334[[#This Row],[Low P]])/2)*Table1334[[#This Row],[gammap]]*Table1334[[#This Row],[Volume9]]*-1</f>
        <v>0</v>
      </c>
      <c r="BE753">
        <f>(Table1334[[#This Row],[SgammaC]]+Table1334[[#This Row],[SgammaP]])*$A$4*-100</f>
        <v>0</v>
      </c>
      <c r="BF753">
        <f>Table1334[[#This Row],[DEXc]]+Table1334[[#This Row],[DEXp]]</f>
        <v>0</v>
      </c>
      <c r="BG753">
        <f>IFERROR(Table1334[[#This Row],[DeltaC]]*Table1334[[#This Row],[Open.Int]]*$A$4,0)</f>
        <v>0</v>
      </c>
      <c r="BH753">
        <f>IFERROR(Table1334[[#This Row],[DeltaP]]*Table1334[[#This Row],[Open.Int8]]*$A$4,0)</f>
        <v>0</v>
      </c>
      <c r="BI75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3">
        <f ca="1">Table1334[[#This Row],[charmc]]+Table1334[[#This Row],[charmp]]</f>
        <v>0</v>
      </c>
      <c r="BL75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3" s="78">
        <f ca="1">Table1334[[#This Row],[call helper]]+Table1334[[#This Row],[put helper]]</f>
        <v>0</v>
      </c>
      <c r="BP753" t="str">
        <f>RTD("tos.rtd", , "STRIKE", "."&amp;Table1334[[#This Row],[Ticker]]&amp;Table1334[[#This Row],[Expiry]]&amp;""&amp;"C"&amp;Table1334[[#This Row],[Spot]]+Table1334[[#This Row],[step]])</f>
        <v>N/A</v>
      </c>
    </row>
    <row r="754" spans="1:68" x14ac:dyDescent="0.25">
      <c r="A754" s="14">
        <f t="shared" ca="1" si="74"/>
        <v>-126.14810350076104</v>
      </c>
      <c r="C754" s="17"/>
      <c r="D754" t="str">
        <f>RTD("tos.rtd", , "OPEN_INT", "."&amp;Table1334[[#This Row],[Ticker]]&amp;Table1334[[#This Row],[Expiry]]&amp;""&amp;"C"&amp;Table1334[[#This Row],[Spot]]+Table1334[[#This Row],[step]])</f>
        <v>N/A</v>
      </c>
      <c r="E75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4" t="b">
        <f>IF(     ISNUMBER(Table1334[[#This Row],[Strike]]),RTD("tos.rtd", , "DELTA", "."&amp;Table1334[[#This Row],[Ticker]]&amp;Table1334[[#This Row],[Expiry]]&amp;""&amp;"C"&amp;Table1334[[#This Row],[Strike]]))</f>
        <v>0</v>
      </c>
      <c r="H754" s="17" cm="1">
        <f t="array" aca="1" ref="H754" ca="1">IndividualLegIVCore($A$4, Table1334[[#This Row],[Strike]], 0.0411, Table1334[[#This Row],[T]], ((Table1334[[#This Row],[BIDC]]+Table1334[[#This Row],[ASKC]])/2), TRUE)</f>
        <v>0.01</v>
      </c>
      <c r="I754" t="b">
        <f>IF(     ISNUMBER(Table1334[[#This Row],[Strike]]),RTD("tos.rtd", , "BID", "."&amp;Table1334[[#This Row],[Ticker]]&amp;Table1334[[#This Row],[Expiry]]&amp;""&amp;"C"&amp;Table1334[[#This Row],[Strike]]))</f>
        <v>0</v>
      </c>
      <c r="J754" t="b">
        <f>IF(     ISNUMBER(Table1334[[#This Row],[Strike]]),RTD("tos.rtd", , "ASK", "."&amp;Table1334[[#This Row],[Ticker]]&amp;Table1334[[#This Row],[Expiry]]&amp;""&amp;"C"&amp;Table1334[[#This Row],[Strike]]))</f>
        <v>0</v>
      </c>
      <c r="K754" s="17"/>
      <c r="M754" s="1">
        <f t="shared" si="75"/>
        <v>0</v>
      </c>
      <c r="N754" t="b">
        <f t="shared" si="76"/>
        <v>0</v>
      </c>
      <c r="P754" s="17" cm="1">
        <f t="array" aca="1" ref="P754" ca="1">IndividualLegIVCore($A$4, Table1334[[#This Row],[Strike]], 0.0411, Table1334[[#This Row],[T]], ((Table1334[[#This Row],[BIDP]]+Table1334[[#This Row],[ASKP]])/2), FALSE)</f>
        <v>0.01</v>
      </c>
      <c r="Q754" t="b">
        <f>IF(     ISNUMBER(Table1334[[#This Row],[Strike]]),RTD("tos.rtd", , "BID", "."&amp;Table1334[[#This Row],[Ticker]]&amp;Table1334[[#This Row],[Expiry]]&amp;""&amp;"P"&amp;Table1334[[#This Row],[Strike]]))</f>
        <v>0</v>
      </c>
      <c r="R754" t="b">
        <f>IF(     ISNUMBER(Table1334[[#This Row],[Strike]]),RTD("tos.rtd", , "ASK", "."&amp;Table1334[[#This Row],[Ticker]]&amp;Table1334[[#This Row],[Expiry]]&amp;""&amp;"P"&amp;Table1334[[#This Row],[Strike]]))</f>
        <v>0</v>
      </c>
      <c r="S754" s="17"/>
      <c r="T754" t="b">
        <f>IF(     ISNUMBER(Table1334[[#This Row],[Strike]]),RTD("tos.rtd", , "OPEN_INT", "."&amp;Table1334[[#This Row],[Ticker]]&amp;Table1334[[#This Row],[Expiry]]&amp;""&amp;"P"&amp;Table1334[[#This Row],[Strike]]))</f>
        <v>0</v>
      </c>
      <c r="U75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4" t="b">
        <f>IF(     ISNUMBER(Table1334[[#This Row],[Strike]]),RTD("tos.rtd", , "DELTA", "."&amp;Table1334[[#This Row],[Ticker]]&amp;Table1334[[#This Row],[Expiry]]&amp;""&amp;"P"&amp;Table1334[[#This Row],[Strike]]))</f>
        <v>0</v>
      </c>
      <c r="Y754" s="19">
        <f>17.5* IF($M$1="NDX", 10, IF(OR($M$1="SPX", $M$1="RUT"), 2, 1))</f>
        <v>35</v>
      </c>
      <c r="Z754">
        <f ca="1">IFERROR(Table1334[[#This Row],[call gamma]]*(Table1334[[#This Row],[Open.Int]])*$A$4^2,0)</f>
        <v>0</v>
      </c>
      <c r="AA754">
        <f ca="1">IFERROR(((Table1334[[#This Row],[Open.Int8]])*Table1334[[#This Row],[Put gamma]])*-1*$A$4^2,0)</f>
        <v>0</v>
      </c>
      <c r="AB754">
        <f ca="1">(Table1334[[#This Row],[Call Gex]]+Table1334[[#This Row],[Put Gex]])</f>
        <v>0</v>
      </c>
      <c r="AC754">
        <f ca="1">Table1334[[#This Row],[put delta adj]]+Table1334[[#This Row],[call delta adj]]</f>
        <v>0</v>
      </c>
      <c r="AD754">
        <f ca="1">Table1334[[#This Row],[Put Gex]]*Table1334[[#This Row],[DeltaP]]*-1</f>
        <v>0</v>
      </c>
      <c r="AE754">
        <f ca="1">Table1334[[#This Row],[Call Gex]]*Table1334[[#This Row],[DeltaC]]</f>
        <v>0</v>
      </c>
      <c r="AF754">
        <f>IF(Table1334[[#This Row],[DeltaC]]-ABS(Table1334[[#This Row],[DeltaP]])="0","0.01",Table1334[[#This Row],[DeltaC]]-ABS(Table1334[[#This Row],[DeltaP]]))</f>
        <v>0</v>
      </c>
      <c r="AG75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4" t="e">
        <f ca="1">(EXP(-(AG754^2)/2)/SQRT(2*PI())*EXP(0*SQRT(Table1334[[#This Row],[T]]))/$A$4*18%*SQRT(SQRT(Table1334[[#This Row],[T]])))</f>
        <v>#DIV/0!</v>
      </c>
      <c r="AJ754" t="e">
        <f ca="1">(EXP(-(AH754^2)/2)/SQRT(2*PI())*EXP(0*SQRT(Table1334[[#This Row],[T]]))/$A$4*18%*SQRT(SQRT(Table1334[[#This Row],[T]])))</f>
        <v>#DIV/0!</v>
      </c>
      <c r="AK754" t="e">
        <f ca="1">Table1334[[#This Row],[Call D1]]-Table1334[[#This Row],[IV Calc C]]*SQRT(Table1334[[#This Row],[T]])</f>
        <v>#DIV/0!</v>
      </c>
      <c r="AL754" t="e">
        <f ca="1">Table1334[[#This Row],[Put D1]]-Table1334[[#This Row],[IV Calc P]]*SQRT(Table1334[[#This Row],[T]])</f>
        <v>#DIV/0!</v>
      </c>
      <c r="AM754" t="e">
        <f ca="1">EXP(-0.5*Table1334[[#This Row],[Call D1]]^2)/SQRT(2*PI())</f>
        <v>#DIV/0!</v>
      </c>
      <c r="AN754" t="e">
        <f ca="1">EXP(-0.5*Table1334[[#This Row],[Put D1]]^2)/SQRT(2*PI())</f>
        <v>#DIV/0!</v>
      </c>
      <c r="AO75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4">
        <f ca="1">((Table1334[[#This Row],[call vanna]]+Table1334[[#This Row],[put vanna]])*$A$4)</f>
        <v>0</v>
      </c>
      <c r="AR75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4" s="9" t="str" cm="1">
        <f t="array" ref="AT754">_xlfn.IFS(     $M$1="SPX","SPXW",     $M$1="RUT","RUTW",  $M$1="NDX","NDXP",   TRUE,$M$1 )</f>
        <v>SPXW</v>
      </c>
      <c r="AU754" s="2">
        <f t="shared" si="77"/>
        <v>6915</v>
      </c>
      <c r="AV754" t="str">
        <f t="shared" si="78"/>
        <v>000100</v>
      </c>
      <c r="AY75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4">
        <f>((Table1334[[#This Row],[High C]]+Table1334[[#This Row],[Low C]])/2)*Table1334[[#This Row],[gammac]]*Table1334[[#This Row],[Volume]]</f>
        <v>0</v>
      </c>
      <c r="BD754">
        <f>((Table1334[[#This Row],[High P]]+Table1334[[#This Row],[Low P]])/2)*Table1334[[#This Row],[gammap]]*Table1334[[#This Row],[Volume9]]*-1</f>
        <v>0</v>
      </c>
      <c r="BE754">
        <f>(Table1334[[#This Row],[SgammaC]]+Table1334[[#This Row],[SgammaP]])*$A$4*-100</f>
        <v>0</v>
      </c>
      <c r="BF754">
        <f>Table1334[[#This Row],[DEXc]]+Table1334[[#This Row],[DEXp]]</f>
        <v>0</v>
      </c>
      <c r="BG754">
        <f>IFERROR(Table1334[[#This Row],[DeltaC]]*Table1334[[#This Row],[Open.Int]]*$A$4,0)</f>
        <v>0</v>
      </c>
      <c r="BH754">
        <f>IFERROR(Table1334[[#This Row],[DeltaP]]*Table1334[[#This Row],[Open.Int8]]*$A$4,0)</f>
        <v>0</v>
      </c>
      <c r="BI75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4">
        <f ca="1">Table1334[[#This Row],[charmc]]+Table1334[[#This Row],[charmp]]</f>
        <v>0</v>
      </c>
      <c r="BL75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4" s="78">
        <f ca="1">Table1334[[#This Row],[call helper]]+Table1334[[#This Row],[put helper]]</f>
        <v>0</v>
      </c>
      <c r="BP754" t="str">
        <f>RTD("tos.rtd", , "STRIKE", "."&amp;Table1334[[#This Row],[Ticker]]&amp;Table1334[[#This Row],[Expiry]]&amp;""&amp;"C"&amp;Table1334[[#This Row],[Spot]]+Table1334[[#This Row],[step]])</f>
        <v>N/A</v>
      </c>
    </row>
    <row r="755" spans="1:68" x14ac:dyDescent="0.25">
      <c r="A755" s="14">
        <f t="shared" ca="1" si="74"/>
        <v>-126.14810350076104</v>
      </c>
      <c r="C755" s="17"/>
      <c r="D755" t="str">
        <f>RTD("tos.rtd", , "OPEN_INT", "."&amp;Table1334[[#This Row],[Ticker]]&amp;Table1334[[#This Row],[Expiry]]&amp;""&amp;"C"&amp;Table1334[[#This Row],[Spot]]+Table1334[[#This Row],[step]])</f>
        <v>N/A</v>
      </c>
      <c r="E75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5" t="b">
        <f>IF(     ISNUMBER(Table1334[[#This Row],[Strike]]),RTD("tos.rtd", , "DELTA", "."&amp;Table1334[[#This Row],[Ticker]]&amp;Table1334[[#This Row],[Expiry]]&amp;""&amp;"C"&amp;Table1334[[#This Row],[Strike]]))</f>
        <v>0</v>
      </c>
      <c r="H755" s="17" cm="1">
        <f t="array" aca="1" ref="H755" ca="1">IndividualLegIVCore($A$4, Table1334[[#This Row],[Strike]], 0.0411, Table1334[[#This Row],[T]], ((Table1334[[#This Row],[BIDC]]+Table1334[[#This Row],[ASKC]])/2), TRUE)</f>
        <v>0.01</v>
      </c>
      <c r="I755" t="b">
        <f>IF(     ISNUMBER(Table1334[[#This Row],[Strike]]),RTD("tos.rtd", , "BID", "."&amp;Table1334[[#This Row],[Ticker]]&amp;Table1334[[#This Row],[Expiry]]&amp;""&amp;"C"&amp;Table1334[[#This Row],[Strike]]))</f>
        <v>0</v>
      </c>
      <c r="J755" t="b">
        <f>IF(     ISNUMBER(Table1334[[#This Row],[Strike]]),RTD("tos.rtd", , "ASK", "."&amp;Table1334[[#This Row],[Ticker]]&amp;Table1334[[#This Row],[Expiry]]&amp;""&amp;"C"&amp;Table1334[[#This Row],[Strike]]))</f>
        <v>0</v>
      </c>
      <c r="K755" s="17"/>
      <c r="M755" s="1">
        <f t="shared" si="75"/>
        <v>0</v>
      </c>
      <c r="N755" t="b">
        <f t="shared" si="76"/>
        <v>0</v>
      </c>
      <c r="P755" s="17" cm="1">
        <f t="array" aca="1" ref="P755" ca="1">IndividualLegIVCore($A$4, Table1334[[#This Row],[Strike]], 0.0411, Table1334[[#This Row],[T]], ((Table1334[[#This Row],[BIDP]]+Table1334[[#This Row],[ASKP]])/2), FALSE)</f>
        <v>0.01</v>
      </c>
      <c r="Q755" t="b">
        <f>IF(     ISNUMBER(Table1334[[#This Row],[Strike]]),RTD("tos.rtd", , "BID", "."&amp;Table1334[[#This Row],[Ticker]]&amp;Table1334[[#This Row],[Expiry]]&amp;""&amp;"P"&amp;Table1334[[#This Row],[Strike]]))</f>
        <v>0</v>
      </c>
      <c r="R755" t="b">
        <f>IF(     ISNUMBER(Table1334[[#This Row],[Strike]]),RTD("tos.rtd", , "ASK", "."&amp;Table1334[[#This Row],[Ticker]]&amp;Table1334[[#This Row],[Expiry]]&amp;""&amp;"P"&amp;Table1334[[#This Row],[Strike]]))</f>
        <v>0</v>
      </c>
      <c r="S755" s="17"/>
      <c r="T755" t="b">
        <f>IF(     ISNUMBER(Table1334[[#This Row],[Strike]]),RTD("tos.rtd", , "OPEN_INT", "."&amp;Table1334[[#This Row],[Ticker]]&amp;Table1334[[#This Row],[Expiry]]&amp;""&amp;"P"&amp;Table1334[[#This Row],[Strike]]))</f>
        <v>0</v>
      </c>
      <c r="U75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5" t="b">
        <f>IF(     ISNUMBER(Table1334[[#This Row],[Strike]]),RTD("tos.rtd", , "DELTA", "."&amp;Table1334[[#This Row],[Ticker]]&amp;Table1334[[#This Row],[Expiry]]&amp;""&amp;"P"&amp;Table1334[[#This Row],[Strike]]))</f>
        <v>0</v>
      </c>
      <c r="Y755" s="19">
        <f>18* IF($M$1="NDX", 10, IF(OR($M$1="SPX", $M$1="RUT"), 2, 1))</f>
        <v>36</v>
      </c>
      <c r="Z755">
        <f ca="1">IFERROR(Table1334[[#This Row],[call gamma]]*(Table1334[[#This Row],[Open.Int]])*$A$4^2,0)</f>
        <v>0</v>
      </c>
      <c r="AA755">
        <f ca="1">IFERROR(((Table1334[[#This Row],[Open.Int8]])*Table1334[[#This Row],[Put gamma]])*-1*$A$4^2,0)</f>
        <v>0</v>
      </c>
      <c r="AB755">
        <f ca="1">(Table1334[[#This Row],[Call Gex]]+Table1334[[#This Row],[Put Gex]])</f>
        <v>0</v>
      </c>
      <c r="AC755">
        <f ca="1">Table1334[[#This Row],[put delta adj]]+Table1334[[#This Row],[call delta adj]]</f>
        <v>0</v>
      </c>
      <c r="AD755">
        <f ca="1">Table1334[[#This Row],[Put Gex]]*Table1334[[#This Row],[DeltaP]]*-1</f>
        <v>0</v>
      </c>
      <c r="AE755">
        <f ca="1">Table1334[[#This Row],[Call Gex]]*Table1334[[#This Row],[DeltaC]]</f>
        <v>0</v>
      </c>
      <c r="AF755">
        <f>IF(Table1334[[#This Row],[DeltaC]]-ABS(Table1334[[#This Row],[DeltaP]])="0","0.01",Table1334[[#This Row],[DeltaC]]-ABS(Table1334[[#This Row],[DeltaP]]))</f>
        <v>0</v>
      </c>
      <c r="AG75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5" t="e">
        <f ca="1">(EXP(-(AG755^2)/2)/SQRT(2*PI())*EXP(0*SQRT(Table1334[[#This Row],[T]]))/$A$4*18%*SQRT(SQRT(Table1334[[#This Row],[T]])))</f>
        <v>#DIV/0!</v>
      </c>
      <c r="AJ755" t="e">
        <f ca="1">(EXP(-(AH755^2)/2)/SQRT(2*PI())*EXP(0*SQRT(Table1334[[#This Row],[T]]))/$A$4*18%*SQRT(SQRT(Table1334[[#This Row],[T]])))</f>
        <v>#DIV/0!</v>
      </c>
      <c r="AK755" t="e">
        <f ca="1">Table1334[[#This Row],[Call D1]]-Table1334[[#This Row],[IV Calc C]]*SQRT(Table1334[[#This Row],[T]])</f>
        <v>#DIV/0!</v>
      </c>
      <c r="AL755" t="e">
        <f ca="1">Table1334[[#This Row],[Put D1]]-Table1334[[#This Row],[IV Calc P]]*SQRT(Table1334[[#This Row],[T]])</f>
        <v>#DIV/0!</v>
      </c>
      <c r="AM755" t="e">
        <f ca="1">EXP(-0.5*Table1334[[#This Row],[Call D1]]^2)/SQRT(2*PI())</f>
        <v>#DIV/0!</v>
      </c>
      <c r="AN755" t="e">
        <f ca="1">EXP(-0.5*Table1334[[#This Row],[Put D1]]^2)/SQRT(2*PI())</f>
        <v>#DIV/0!</v>
      </c>
      <c r="AO75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5">
        <f ca="1">((Table1334[[#This Row],[call vanna]]+Table1334[[#This Row],[put vanna]])*$A$4)</f>
        <v>0</v>
      </c>
      <c r="AR75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5" s="9" t="str" cm="1">
        <f t="array" ref="AT755">_xlfn.IFS(     $M$1="SPX","SPXW",     $M$1="RUT","RUTW",  $M$1="NDX","NDXP",   TRUE,$M$1 )</f>
        <v>SPXW</v>
      </c>
      <c r="AU755" s="2">
        <f t="shared" si="77"/>
        <v>6915</v>
      </c>
      <c r="AV755" t="str">
        <f t="shared" si="78"/>
        <v>000100</v>
      </c>
      <c r="AY75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5">
        <f>((Table1334[[#This Row],[High C]]+Table1334[[#This Row],[Low C]])/2)*Table1334[[#This Row],[gammac]]*Table1334[[#This Row],[Volume]]</f>
        <v>0</v>
      </c>
      <c r="BD755">
        <f>((Table1334[[#This Row],[High P]]+Table1334[[#This Row],[Low P]])/2)*Table1334[[#This Row],[gammap]]*Table1334[[#This Row],[Volume9]]*-1</f>
        <v>0</v>
      </c>
      <c r="BE755">
        <f>(Table1334[[#This Row],[SgammaC]]+Table1334[[#This Row],[SgammaP]])*$A$4*-100</f>
        <v>0</v>
      </c>
      <c r="BF755">
        <f>Table1334[[#This Row],[DEXc]]+Table1334[[#This Row],[DEXp]]</f>
        <v>0</v>
      </c>
      <c r="BG755">
        <f>IFERROR(Table1334[[#This Row],[DeltaC]]*Table1334[[#This Row],[Open.Int]]*$A$4,0)</f>
        <v>0</v>
      </c>
      <c r="BH755">
        <f>IFERROR(Table1334[[#This Row],[DeltaP]]*Table1334[[#This Row],[Open.Int8]]*$A$4,0)</f>
        <v>0</v>
      </c>
      <c r="BI75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5">
        <f ca="1">Table1334[[#This Row],[charmc]]+Table1334[[#This Row],[charmp]]</f>
        <v>0</v>
      </c>
      <c r="BL75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5" s="78">
        <f ca="1">Table1334[[#This Row],[call helper]]+Table1334[[#This Row],[put helper]]</f>
        <v>0</v>
      </c>
      <c r="BP755" t="str">
        <f>RTD("tos.rtd", , "STRIKE", "."&amp;Table1334[[#This Row],[Ticker]]&amp;Table1334[[#This Row],[Expiry]]&amp;""&amp;"C"&amp;Table1334[[#This Row],[Spot]]+Table1334[[#This Row],[step]])</f>
        <v>N/A</v>
      </c>
    </row>
    <row r="756" spans="1:68" x14ac:dyDescent="0.25">
      <c r="A756" s="14">
        <f t="shared" ca="1" si="74"/>
        <v>-126.14810350076104</v>
      </c>
      <c r="C756" s="17"/>
      <c r="D756" t="str">
        <f>RTD("tos.rtd", , "OPEN_INT", "."&amp;Table1334[[#This Row],[Ticker]]&amp;Table1334[[#This Row],[Expiry]]&amp;""&amp;"C"&amp;Table1334[[#This Row],[Spot]]+Table1334[[#This Row],[step]])</f>
        <v>N/A</v>
      </c>
      <c r="E75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6" t="b">
        <f>IF(     ISNUMBER(Table1334[[#This Row],[Strike]]),RTD("tos.rtd", , "DELTA", "."&amp;Table1334[[#This Row],[Ticker]]&amp;Table1334[[#This Row],[Expiry]]&amp;""&amp;"C"&amp;Table1334[[#This Row],[Strike]]))</f>
        <v>0</v>
      </c>
      <c r="H756" s="17" cm="1">
        <f t="array" aca="1" ref="H756" ca="1">IndividualLegIVCore($A$4, Table1334[[#This Row],[Strike]], 0.0411, Table1334[[#This Row],[T]], ((Table1334[[#This Row],[BIDC]]+Table1334[[#This Row],[ASKC]])/2), TRUE)</f>
        <v>0.01</v>
      </c>
      <c r="I756" t="b">
        <f>IF(     ISNUMBER(Table1334[[#This Row],[Strike]]),RTD("tos.rtd", , "BID", "."&amp;Table1334[[#This Row],[Ticker]]&amp;Table1334[[#This Row],[Expiry]]&amp;""&amp;"C"&amp;Table1334[[#This Row],[Strike]]))</f>
        <v>0</v>
      </c>
      <c r="J756" t="b">
        <f>IF(     ISNUMBER(Table1334[[#This Row],[Strike]]),RTD("tos.rtd", , "ASK", "."&amp;Table1334[[#This Row],[Ticker]]&amp;Table1334[[#This Row],[Expiry]]&amp;""&amp;"C"&amp;Table1334[[#This Row],[Strike]]))</f>
        <v>0</v>
      </c>
      <c r="K756" s="17"/>
      <c r="M756" s="1">
        <f t="shared" si="75"/>
        <v>0</v>
      </c>
      <c r="N756" t="b">
        <f t="shared" si="76"/>
        <v>0</v>
      </c>
      <c r="P756" s="17" cm="1">
        <f t="array" aca="1" ref="P756" ca="1">IndividualLegIVCore($A$4, Table1334[[#This Row],[Strike]], 0.0411, Table1334[[#This Row],[T]], ((Table1334[[#This Row],[BIDP]]+Table1334[[#This Row],[ASKP]])/2), FALSE)</f>
        <v>0.01</v>
      </c>
      <c r="Q756" t="b">
        <f>IF(     ISNUMBER(Table1334[[#This Row],[Strike]]),RTD("tos.rtd", , "BID", "."&amp;Table1334[[#This Row],[Ticker]]&amp;Table1334[[#This Row],[Expiry]]&amp;""&amp;"P"&amp;Table1334[[#This Row],[Strike]]))</f>
        <v>0</v>
      </c>
      <c r="R756" t="b">
        <f>IF(     ISNUMBER(Table1334[[#This Row],[Strike]]),RTD("tos.rtd", , "ASK", "."&amp;Table1334[[#This Row],[Ticker]]&amp;Table1334[[#This Row],[Expiry]]&amp;""&amp;"P"&amp;Table1334[[#This Row],[Strike]]))</f>
        <v>0</v>
      </c>
      <c r="S756" s="17"/>
      <c r="T756" t="b">
        <f>IF(     ISNUMBER(Table1334[[#This Row],[Strike]]),RTD("tos.rtd", , "OPEN_INT", "."&amp;Table1334[[#This Row],[Ticker]]&amp;Table1334[[#This Row],[Expiry]]&amp;""&amp;"P"&amp;Table1334[[#This Row],[Strike]]))</f>
        <v>0</v>
      </c>
      <c r="U75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6" t="b">
        <f>IF(     ISNUMBER(Table1334[[#This Row],[Strike]]),RTD("tos.rtd", , "DELTA", "."&amp;Table1334[[#This Row],[Ticker]]&amp;Table1334[[#This Row],[Expiry]]&amp;""&amp;"P"&amp;Table1334[[#This Row],[Strike]]))</f>
        <v>0</v>
      </c>
      <c r="Y756" s="19">
        <f>18.5* IF($M$1="NDX", 10, IF(OR($M$1="SPX", $M$1="RUT"), 2, 1))</f>
        <v>37</v>
      </c>
      <c r="Z756">
        <f ca="1">IFERROR(Table1334[[#This Row],[call gamma]]*(Table1334[[#This Row],[Open.Int]])*$A$4^2,0)</f>
        <v>0</v>
      </c>
      <c r="AA756">
        <f ca="1">IFERROR(((Table1334[[#This Row],[Open.Int8]])*Table1334[[#This Row],[Put gamma]])*-1*$A$4^2,0)</f>
        <v>0</v>
      </c>
      <c r="AB756">
        <f ca="1">(Table1334[[#This Row],[Call Gex]]+Table1334[[#This Row],[Put Gex]])</f>
        <v>0</v>
      </c>
      <c r="AC756">
        <f ca="1">Table1334[[#This Row],[put delta adj]]+Table1334[[#This Row],[call delta adj]]</f>
        <v>0</v>
      </c>
      <c r="AD756">
        <f ca="1">Table1334[[#This Row],[Put Gex]]*Table1334[[#This Row],[DeltaP]]*-1</f>
        <v>0</v>
      </c>
      <c r="AE756">
        <f ca="1">Table1334[[#This Row],[Call Gex]]*Table1334[[#This Row],[DeltaC]]</f>
        <v>0</v>
      </c>
      <c r="AF756">
        <f>IF(Table1334[[#This Row],[DeltaC]]-ABS(Table1334[[#This Row],[DeltaP]])="0","0.01",Table1334[[#This Row],[DeltaC]]-ABS(Table1334[[#This Row],[DeltaP]]))</f>
        <v>0</v>
      </c>
      <c r="AG75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6" t="e">
        <f ca="1">(EXP(-(AG756^2)/2)/SQRT(2*PI())*EXP(0*SQRT(Table1334[[#This Row],[T]]))/$A$4*18%*SQRT(SQRT(Table1334[[#This Row],[T]])))</f>
        <v>#DIV/0!</v>
      </c>
      <c r="AJ756" t="e">
        <f ca="1">(EXP(-(AH756^2)/2)/SQRT(2*PI())*EXP(0*SQRT(Table1334[[#This Row],[T]]))/$A$4*18%*SQRT(SQRT(Table1334[[#This Row],[T]])))</f>
        <v>#DIV/0!</v>
      </c>
      <c r="AK756" t="e">
        <f ca="1">Table1334[[#This Row],[Call D1]]-Table1334[[#This Row],[IV Calc C]]*SQRT(Table1334[[#This Row],[T]])</f>
        <v>#DIV/0!</v>
      </c>
      <c r="AL756" t="e">
        <f ca="1">Table1334[[#This Row],[Put D1]]-Table1334[[#This Row],[IV Calc P]]*SQRT(Table1334[[#This Row],[T]])</f>
        <v>#DIV/0!</v>
      </c>
      <c r="AM756" t="e">
        <f ca="1">EXP(-0.5*Table1334[[#This Row],[Call D1]]^2)/SQRT(2*PI())</f>
        <v>#DIV/0!</v>
      </c>
      <c r="AN756" t="e">
        <f ca="1">EXP(-0.5*Table1334[[#This Row],[Put D1]]^2)/SQRT(2*PI())</f>
        <v>#DIV/0!</v>
      </c>
      <c r="AO75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6">
        <f ca="1">((Table1334[[#This Row],[call vanna]]+Table1334[[#This Row],[put vanna]])*$A$4)</f>
        <v>0</v>
      </c>
      <c r="AR75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6" s="9" t="str" cm="1">
        <f t="array" ref="AT756">_xlfn.IFS(     $M$1="SPX","SPXW",     $M$1="RUT","RUTW",  $M$1="NDX","NDXP",   TRUE,$M$1 )</f>
        <v>SPXW</v>
      </c>
      <c r="AU756" s="2">
        <f t="shared" si="77"/>
        <v>6915</v>
      </c>
      <c r="AV756" t="str">
        <f t="shared" si="78"/>
        <v>000100</v>
      </c>
      <c r="AY75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6">
        <f>((Table1334[[#This Row],[High C]]+Table1334[[#This Row],[Low C]])/2)*Table1334[[#This Row],[gammac]]*Table1334[[#This Row],[Volume]]</f>
        <v>0</v>
      </c>
      <c r="BD756">
        <f>((Table1334[[#This Row],[High P]]+Table1334[[#This Row],[Low P]])/2)*Table1334[[#This Row],[gammap]]*Table1334[[#This Row],[Volume9]]*-1</f>
        <v>0</v>
      </c>
      <c r="BE756">
        <f>(Table1334[[#This Row],[SgammaC]]+Table1334[[#This Row],[SgammaP]])*$A$4*-100</f>
        <v>0</v>
      </c>
      <c r="BF756">
        <f>Table1334[[#This Row],[DEXc]]+Table1334[[#This Row],[DEXp]]</f>
        <v>0</v>
      </c>
      <c r="BG756">
        <f>IFERROR(Table1334[[#This Row],[DeltaC]]*Table1334[[#This Row],[Open.Int]]*$A$4,0)</f>
        <v>0</v>
      </c>
      <c r="BH756">
        <f>IFERROR(Table1334[[#This Row],[DeltaP]]*Table1334[[#This Row],[Open.Int8]]*$A$4,0)</f>
        <v>0</v>
      </c>
      <c r="BI75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6">
        <f ca="1">Table1334[[#This Row],[charmc]]+Table1334[[#This Row],[charmp]]</f>
        <v>0</v>
      </c>
      <c r="BL75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6" s="78">
        <f ca="1">Table1334[[#This Row],[call helper]]+Table1334[[#This Row],[put helper]]</f>
        <v>0</v>
      </c>
      <c r="BP756" t="str">
        <f>RTD("tos.rtd", , "STRIKE", "."&amp;Table1334[[#This Row],[Ticker]]&amp;Table1334[[#This Row],[Expiry]]&amp;""&amp;"C"&amp;Table1334[[#This Row],[Spot]]+Table1334[[#This Row],[step]])</f>
        <v>N/A</v>
      </c>
    </row>
    <row r="757" spans="1:68" x14ac:dyDescent="0.25">
      <c r="A757" s="14">
        <f t="shared" ca="1" si="74"/>
        <v>-126.14810350076104</v>
      </c>
      <c r="C757" s="17"/>
      <c r="D757" t="str">
        <f>RTD("tos.rtd", , "OPEN_INT", "."&amp;Table1334[[#This Row],[Ticker]]&amp;Table1334[[#This Row],[Expiry]]&amp;""&amp;"C"&amp;Table1334[[#This Row],[Spot]]+Table1334[[#This Row],[step]])</f>
        <v>N/A</v>
      </c>
      <c r="E75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7" t="b">
        <f>IF(     ISNUMBER(Table1334[[#This Row],[Strike]]),RTD("tos.rtd", , "DELTA", "."&amp;Table1334[[#This Row],[Ticker]]&amp;Table1334[[#This Row],[Expiry]]&amp;""&amp;"C"&amp;Table1334[[#This Row],[Strike]]))</f>
        <v>0</v>
      </c>
      <c r="H757" s="17" cm="1">
        <f t="array" aca="1" ref="H757" ca="1">IndividualLegIVCore($A$4, Table1334[[#This Row],[Strike]], 0.0411, Table1334[[#This Row],[T]], ((Table1334[[#This Row],[BIDC]]+Table1334[[#This Row],[ASKC]])/2), TRUE)</f>
        <v>0.01</v>
      </c>
      <c r="I757" t="b">
        <f>IF(     ISNUMBER(Table1334[[#This Row],[Strike]]),RTD("tos.rtd", , "BID", "."&amp;Table1334[[#This Row],[Ticker]]&amp;Table1334[[#This Row],[Expiry]]&amp;""&amp;"C"&amp;Table1334[[#This Row],[Strike]]))</f>
        <v>0</v>
      </c>
      <c r="J757" t="b">
        <f>IF(     ISNUMBER(Table1334[[#This Row],[Strike]]),RTD("tos.rtd", , "ASK", "."&amp;Table1334[[#This Row],[Ticker]]&amp;Table1334[[#This Row],[Expiry]]&amp;""&amp;"C"&amp;Table1334[[#This Row],[Strike]]))</f>
        <v>0</v>
      </c>
      <c r="K757" s="17"/>
      <c r="M757" s="1">
        <f t="shared" si="75"/>
        <v>0</v>
      </c>
      <c r="N757" t="b">
        <f t="shared" si="76"/>
        <v>0</v>
      </c>
      <c r="P757" s="17" cm="1">
        <f t="array" aca="1" ref="P757" ca="1">IndividualLegIVCore($A$4, Table1334[[#This Row],[Strike]], 0.0411, Table1334[[#This Row],[T]], ((Table1334[[#This Row],[BIDP]]+Table1334[[#This Row],[ASKP]])/2), FALSE)</f>
        <v>0.01</v>
      </c>
      <c r="Q757" t="b">
        <f>IF(     ISNUMBER(Table1334[[#This Row],[Strike]]),RTD("tos.rtd", , "BID", "."&amp;Table1334[[#This Row],[Ticker]]&amp;Table1334[[#This Row],[Expiry]]&amp;""&amp;"P"&amp;Table1334[[#This Row],[Strike]]))</f>
        <v>0</v>
      </c>
      <c r="R757" t="b">
        <f>IF(     ISNUMBER(Table1334[[#This Row],[Strike]]),RTD("tos.rtd", , "ASK", "."&amp;Table1334[[#This Row],[Ticker]]&amp;Table1334[[#This Row],[Expiry]]&amp;""&amp;"P"&amp;Table1334[[#This Row],[Strike]]))</f>
        <v>0</v>
      </c>
      <c r="S757" s="17"/>
      <c r="T757" t="b">
        <f>IF(     ISNUMBER(Table1334[[#This Row],[Strike]]),RTD("tos.rtd", , "OPEN_INT", "."&amp;Table1334[[#This Row],[Ticker]]&amp;Table1334[[#This Row],[Expiry]]&amp;""&amp;"P"&amp;Table1334[[#This Row],[Strike]]))</f>
        <v>0</v>
      </c>
      <c r="U75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7" t="b">
        <f>IF(     ISNUMBER(Table1334[[#This Row],[Strike]]),RTD("tos.rtd", , "DELTA", "."&amp;Table1334[[#This Row],[Ticker]]&amp;Table1334[[#This Row],[Expiry]]&amp;""&amp;"P"&amp;Table1334[[#This Row],[Strike]]))</f>
        <v>0</v>
      </c>
      <c r="Y757" s="19">
        <f>19* IF($M$1="NDX", 10, IF(OR($M$1="SPX", $M$1="RUT"), 2, 1))</f>
        <v>38</v>
      </c>
      <c r="Z757">
        <f ca="1">IFERROR(Table1334[[#This Row],[call gamma]]*(Table1334[[#This Row],[Open.Int]])*$A$4^2,0)</f>
        <v>0</v>
      </c>
      <c r="AA757">
        <f ca="1">IFERROR(((Table1334[[#This Row],[Open.Int8]])*Table1334[[#This Row],[Put gamma]])*-1*$A$4^2,0)</f>
        <v>0</v>
      </c>
      <c r="AB757">
        <f ca="1">(Table1334[[#This Row],[Call Gex]]+Table1334[[#This Row],[Put Gex]])</f>
        <v>0</v>
      </c>
      <c r="AC757">
        <f ca="1">Table1334[[#This Row],[put delta adj]]+Table1334[[#This Row],[call delta adj]]</f>
        <v>0</v>
      </c>
      <c r="AD757">
        <f ca="1">Table1334[[#This Row],[Put Gex]]*Table1334[[#This Row],[DeltaP]]*-1</f>
        <v>0</v>
      </c>
      <c r="AE757">
        <f ca="1">Table1334[[#This Row],[Call Gex]]*Table1334[[#This Row],[DeltaC]]</f>
        <v>0</v>
      </c>
      <c r="AF757">
        <f>IF(Table1334[[#This Row],[DeltaC]]-ABS(Table1334[[#This Row],[DeltaP]])="0","0.01",Table1334[[#This Row],[DeltaC]]-ABS(Table1334[[#This Row],[DeltaP]]))</f>
        <v>0</v>
      </c>
      <c r="AG75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7" t="e">
        <f ca="1">(EXP(-(AG757^2)/2)/SQRT(2*PI())*EXP(0*SQRT(Table1334[[#This Row],[T]]))/$A$4*18%*SQRT(SQRT(Table1334[[#This Row],[T]])))</f>
        <v>#DIV/0!</v>
      </c>
      <c r="AJ757" t="e">
        <f ca="1">(EXP(-(AH757^2)/2)/SQRT(2*PI())*EXP(0*SQRT(Table1334[[#This Row],[T]]))/$A$4*18%*SQRT(SQRT(Table1334[[#This Row],[T]])))</f>
        <v>#DIV/0!</v>
      </c>
      <c r="AK757" t="e">
        <f ca="1">Table1334[[#This Row],[Call D1]]-Table1334[[#This Row],[IV Calc C]]*SQRT(Table1334[[#This Row],[T]])</f>
        <v>#DIV/0!</v>
      </c>
      <c r="AL757" t="e">
        <f ca="1">Table1334[[#This Row],[Put D1]]-Table1334[[#This Row],[IV Calc P]]*SQRT(Table1334[[#This Row],[T]])</f>
        <v>#DIV/0!</v>
      </c>
      <c r="AM757" t="e">
        <f ca="1">EXP(-0.5*Table1334[[#This Row],[Call D1]]^2)/SQRT(2*PI())</f>
        <v>#DIV/0!</v>
      </c>
      <c r="AN757" t="e">
        <f ca="1">EXP(-0.5*Table1334[[#This Row],[Put D1]]^2)/SQRT(2*PI())</f>
        <v>#DIV/0!</v>
      </c>
      <c r="AO75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7">
        <f ca="1">((Table1334[[#This Row],[call vanna]]+Table1334[[#This Row],[put vanna]])*$A$4)</f>
        <v>0</v>
      </c>
      <c r="AR75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7" s="9" t="str" cm="1">
        <f t="array" ref="AT757">_xlfn.IFS(     $M$1="SPX","SPXW",     $M$1="RUT","RUTW",  $M$1="NDX","NDXP",   TRUE,$M$1 )</f>
        <v>SPXW</v>
      </c>
      <c r="AU757" s="2">
        <f t="shared" si="77"/>
        <v>6915</v>
      </c>
      <c r="AV757" t="str">
        <f t="shared" si="78"/>
        <v>000100</v>
      </c>
      <c r="AY75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7">
        <f>((Table1334[[#This Row],[High C]]+Table1334[[#This Row],[Low C]])/2)*Table1334[[#This Row],[gammac]]*Table1334[[#This Row],[Volume]]</f>
        <v>0</v>
      </c>
      <c r="BD757">
        <f>((Table1334[[#This Row],[High P]]+Table1334[[#This Row],[Low P]])/2)*Table1334[[#This Row],[gammap]]*Table1334[[#This Row],[Volume9]]*-1</f>
        <v>0</v>
      </c>
      <c r="BE757">
        <f>(Table1334[[#This Row],[SgammaC]]+Table1334[[#This Row],[SgammaP]])*$A$4*-100</f>
        <v>0</v>
      </c>
      <c r="BF757">
        <f>Table1334[[#This Row],[DEXc]]+Table1334[[#This Row],[DEXp]]</f>
        <v>0</v>
      </c>
      <c r="BG757">
        <f>IFERROR(Table1334[[#This Row],[DeltaC]]*Table1334[[#This Row],[Open.Int]]*$A$4,0)</f>
        <v>0</v>
      </c>
      <c r="BH757">
        <f>IFERROR(Table1334[[#This Row],[DeltaP]]*Table1334[[#This Row],[Open.Int8]]*$A$4,0)</f>
        <v>0</v>
      </c>
      <c r="BI75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7">
        <f ca="1">Table1334[[#This Row],[charmc]]+Table1334[[#This Row],[charmp]]</f>
        <v>0</v>
      </c>
      <c r="BL75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7" s="78">
        <f ca="1">Table1334[[#This Row],[call helper]]+Table1334[[#This Row],[put helper]]</f>
        <v>0</v>
      </c>
      <c r="BP757" t="str">
        <f>RTD("tos.rtd", , "STRIKE", "."&amp;Table1334[[#This Row],[Ticker]]&amp;Table1334[[#This Row],[Expiry]]&amp;""&amp;"C"&amp;Table1334[[#This Row],[Spot]]+Table1334[[#This Row],[step]])</f>
        <v>N/A</v>
      </c>
    </row>
    <row r="758" spans="1:68" x14ac:dyDescent="0.25">
      <c r="A758" s="14">
        <f t="shared" ca="1" si="74"/>
        <v>-126.14810350076104</v>
      </c>
      <c r="C758" s="17"/>
      <c r="D758" t="str">
        <f>RTD("tos.rtd", , "OPEN_INT", "."&amp;Table1334[[#This Row],[Ticker]]&amp;Table1334[[#This Row],[Expiry]]&amp;""&amp;"C"&amp;Table1334[[#This Row],[Spot]]+Table1334[[#This Row],[step]])</f>
        <v>N/A</v>
      </c>
      <c r="E75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8" t="b">
        <f>IF(     ISNUMBER(Table1334[[#This Row],[Strike]]),RTD("tos.rtd", , "DELTA", "."&amp;Table1334[[#This Row],[Ticker]]&amp;Table1334[[#This Row],[Expiry]]&amp;""&amp;"C"&amp;Table1334[[#This Row],[Strike]]))</f>
        <v>0</v>
      </c>
      <c r="H758" s="17" cm="1">
        <f t="array" aca="1" ref="H758" ca="1">IndividualLegIVCore($A$4, Table1334[[#This Row],[Strike]], 0.0411, Table1334[[#This Row],[T]], ((Table1334[[#This Row],[BIDC]]+Table1334[[#This Row],[ASKC]])/2), TRUE)</f>
        <v>0.01</v>
      </c>
      <c r="I758" t="b">
        <f>IF(     ISNUMBER(Table1334[[#This Row],[Strike]]),RTD("tos.rtd", , "BID", "."&amp;Table1334[[#This Row],[Ticker]]&amp;Table1334[[#This Row],[Expiry]]&amp;""&amp;"C"&amp;Table1334[[#This Row],[Strike]]))</f>
        <v>0</v>
      </c>
      <c r="J758" t="b">
        <f>IF(     ISNUMBER(Table1334[[#This Row],[Strike]]),RTD("tos.rtd", , "ASK", "."&amp;Table1334[[#This Row],[Ticker]]&amp;Table1334[[#This Row],[Expiry]]&amp;""&amp;"C"&amp;Table1334[[#This Row],[Strike]]))</f>
        <v>0</v>
      </c>
      <c r="K758" s="17"/>
      <c r="M758" s="1">
        <f t="shared" si="75"/>
        <v>0</v>
      </c>
      <c r="N758" t="b">
        <f t="shared" si="76"/>
        <v>0</v>
      </c>
      <c r="P758" s="17" cm="1">
        <f t="array" aca="1" ref="P758" ca="1">IndividualLegIVCore($A$4, Table1334[[#This Row],[Strike]], 0.0411, Table1334[[#This Row],[T]], ((Table1334[[#This Row],[BIDP]]+Table1334[[#This Row],[ASKP]])/2), FALSE)</f>
        <v>0.01</v>
      </c>
      <c r="Q758" t="b">
        <f>IF(     ISNUMBER(Table1334[[#This Row],[Strike]]),RTD("tos.rtd", , "BID", "."&amp;Table1334[[#This Row],[Ticker]]&amp;Table1334[[#This Row],[Expiry]]&amp;""&amp;"P"&amp;Table1334[[#This Row],[Strike]]))</f>
        <v>0</v>
      </c>
      <c r="R758" t="b">
        <f>IF(     ISNUMBER(Table1334[[#This Row],[Strike]]),RTD("tos.rtd", , "ASK", "."&amp;Table1334[[#This Row],[Ticker]]&amp;Table1334[[#This Row],[Expiry]]&amp;""&amp;"P"&amp;Table1334[[#This Row],[Strike]]))</f>
        <v>0</v>
      </c>
      <c r="S758" s="17"/>
      <c r="T758" t="b">
        <f>IF(     ISNUMBER(Table1334[[#This Row],[Strike]]),RTD("tos.rtd", , "OPEN_INT", "."&amp;Table1334[[#This Row],[Ticker]]&amp;Table1334[[#This Row],[Expiry]]&amp;""&amp;"P"&amp;Table1334[[#This Row],[Strike]]))</f>
        <v>0</v>
      </c>
      <c r="U75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8" t="b">
        <f>IF(     ISNUMBER(Table1334[[#This Row],[Strike]]),RTD("tos.rtd", , "DELTA", "."&amp;Table1334[[#This Row],[Ticker]]&amp;Table1334[[#This Row],[Expiry]]&amp;""&amp;"P"&amp;Table1334[[#This Row],[Strike]]))</f>
        <v>0</v>
      </c>
      <c r="Y758" s="19">
        <f>19.5* IF($M$1="NDX", 10, IF(OR($M$1="SPX", $M$1="RUT"), 2, 1))</f>
        <v>39</v>
      </c>
      <c r="Z758">
        <f ca="1">IFERROR(Table1334[[#This Row],[call gamma]]*(Table1334[[#This Row],[Open.Int]])*$A$4^2,0)</f>
        <v>0</v>
      </c>
      <c r="AA758">
        <f ca="1">IFERROR(((Table1334[[#This Row],[Open.Int8]])*Table1334[[#This Row],[Put gamma]])*-1*$A$4^2,0)</f>
        <v>0</v>
      </c>
      <c r="AB758">
        <f ca="1">(Table1334[[#This Row],[Call Gex]]+Table1334[[#This Row],[Put Gex]])</f>
        <v>0</v>
      </c>
      <c r="AC758">
        <f ca="1">Table1334[[#This Row],[put delta adj]]+Table1334[[#This Row],[call delta adj]]</f>
        <v>0</v>
      </c>
      <c r="AD758">
        <f ca="1">Table1334[[#This Row],[Put Gex]]*Table1334[[#This Row],[DeltaP]]*-1</f>
        <v>0</v>
      </c>
      <c r="AE758">
        <f ca="1">Table1334[[#This Row],[Call Gex]]*Table1334[[#This Row],[DeltaC]]</f>
        <v>0</v>
      </c>
      <c r="AF758">
        <f>IF(Table1334[[#This Row],[DeltaC]]-ABS(Table1334[[#This Row],[DeltaP]])="0","0.01",Table1334[[#This Row],[DeltaC]]-ABS(Table1334[[#This Row],[DeltaP]]))</f>
        <v>0</v>
      </c>
      <c r="AG75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8" t="e">
        <f ca="1">(EXP(-(AG758^2)/2)/SQRT(2*PI())*EXP(0*SQRT(Table1334[[#This Row],[T]]))/$A$4*18%*SQRT(SQRT(Table1334[[#This Row],[T]])))</f>
        <v>#DIV/0!</v>
      </c>
      <c r="AJ758" t="e">
        <f ca="1">(EXP(-(AH758^2)/2)/SQRT(2*PI())*EXP(0*SQRT(Table1334[[#This Row],[T]]))/$A$4*18%*SQRT(SQRT(Table1334[[#This Row],[T]])))</f>
        <v>#DIV/0!</v>
      </c>
      <c r="AK758" t="e">
        <f ca="1">Table1334[[#This Row],[Call D1]]-Table1334[[#This Row],[IV Calc C]]*SQRT(Table1334[[#This Row],[T]])</f>
        <v>#DIV/0!</v>
      </c>
      <c r="AL758" t="e">
        <f ca="1">Table1334[[#This Row],[Put D1]]-Table1334[[#This Row],[IV Calc P]]*SQRT(Table1334[[#This Row],[T]])</f>
        <v>#DIV/0!</v>
      </c>
      <c r="AM758" t="e">
        <f ca="1">EXP(-0.5*Table1334[[#This Row],[Call D1]]^2)/SQRT(2*PI())</f>
        <v>#DIV/0!</v>
      </c>
      <c r="AN758" t="e">
        <f ca="1">EXP(-0.5*Table1334[[#This Row],[Put D1]]^2)/SQRT(2*PI())</f>
        <v>#DIV/0!</v>
      </c>
      <c r="AO75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8">
        <f ca="1">((Table1334[[#This Row],[call vanna]]+Table1334[[#This Row],[put vanna]])*$A$4)</f>
        <v>0</v>
      </c>
      <c r="AR75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8" s="9" t="str" cm="1">
        <f t="array" ref="AT758">_xlfn.IFS(     $M$1="SPX","SPXW",     $M$1="RUT","RUTW",  $M$1="NDX","NDXP",   TRUE,$M$1 )</f>
        <v>SPXW</v>
      </c>
      <c r="AU758" s="2">
        <f t="shared" si="77"/>
        <v>6915</v>
      </c>
      <c r="AV758" t="str">
        <f t="shared" si="78"/>
        <v>000100</v>
      </c>
      <c r="AY75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8">
        <f>((Table1334[[#This Row],[High C]]+Table1334[[#This Row],[Low C]])/2)*Table1334[[#This Row],[gammac]]*Table1334[[#This Row],[Volume]]</f>
        <v>0</v>
      </c>
      <c r="BD758">
        <f>((Table1334[[#This Row],[High P]]+Table1334[[#This Row],[Low P]])/2)*Table1334[[#This Row],[gammap]]*Table1334[[#This Row],[Volume9]]*-1</f>
        <v>0</v>
      </c>
      <c r="BE758">
        <f>(Table1334[[#This Row],[SgammaC]]+Table1334[[#This Row],[SgammaP]])*$A$4*-100</f>
        <v>0</v>
      </c>
      <c r="BF758">
        <f>Table1334[[#This Row],[DEXc]]+Table1334[[#This Row],[DEXp]]</f>
        <v>0</v>
      </c>
      <c r="BG758">
        <f>IFERROR(Table1334[[#This Row],[DeltaC]]*Table1334[[#This Row],[Open.Int]]*$A$4,0)</f>
        <v>0</v>
      </c>
      <c r="BH758">
        <f>IFERROR(Table1334[[#This Row],[DeltaP]]*Table1334[[#This Row],[Open.Int8]]*$A$4,0)</f>
        <v>0</v>
      </c>
      <c r="BI75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8">
        <f ca="1">Table1334[[#This Row],[charmc]]+Table1334[[#This Row],[charmp]]</f>
        <v>0</v>
      </c>
      <c r="BL75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8" s="78">
        <f ca="1">Table1334[[#This Row],[call helper]]+Table1334[[#This Row],[put helper]]</f>
        <v>0</v>
      </c>
      <c r="BP758" t="str">
        <f>RTD("tos.rtd", , "STRIKE", "."&amp;Table1334[[#This Row],[Ticker]]&amp;Table1334[[#This Row],[Expiry]]&amp;""&amp;"C"&amp;Table1334[[#This Row],[Spot]]+Table1334[[#This Row],[step]])</f>
        <v>N/A</v>
      </c>
    </row>
    <row r="759" spans="1:68" x14ac:dyDescent="0.25">
      <c r="A759" s="14">
        <f t="shared" ca="1" si="74"/>
        <v>-126.14810350076104</v>
      </c>
      <c r="C759" s="17"/>
      <c r="D759" t="str">
        <f>RTD("tos.rtd", , "OPEN_INT", "."&amp;Table1334[[#This Row],[Ticker]]&amp;Table1334[[#This Row],[Expiry]]&amp;""&amp;"C"&amp;Table1334[[#This Row],[Spot]]+Table1334[[#This Row],[step]])</f>
        <v>N/A</v>
      </c>
      <c r="E75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9" t="b">
        <f>IF(     ISNUMBER(Table1334[[#This Row],[Strike]]),RTD("tos.rtd", , "DELTA", "."&amp;Table1334[[#This Row],[Ticker]]&amp;Table1334[[#This Row],[Expiry]]&amp;""&amp;"C"&amp;Table1334[[#This Row],[Strike]]))</f>
        <v>0</v>
      </c>
      <c r="H759" s="17" cm="1">
        <f t="array" aca="1" ref="H759" ca="1">IndividualLegIVCore($A$4, Table1334[[#This Row],[Strike]], 0.0411, Table1334[[#This Row],[T]], ((Table1334[[#This Row],[BIDC]]+Table1334[[#This Row],[ASKC]])/2), TRUE)</f>
        <v>0.01</v>
      </c>
      <c r="I759" t="b">
        <f>IF(     ISNUMBER(Table1334[[#This Row],[Strike]]),RTD("tos.rtd", , "BID", "."&amp;Table1334[[#This Row],[Ticker]]&amp;Table1334[[#This Row],[Expiry]]&amp;""&amp;"C"&amp;Table1334[[#This Row],[Strike]]))</f>
        <v>0</v>
      </c>
      <c r="J759" t="b">
        <f>IF(     ISNUMBER(Table1334[[#This Row],[Strike]]),RTD("tos.rtd", , "ASK", "."&amp;Table1334[[#This Row],[Ticker]]&amp;Table1334[[#This Row],[Expiry]]&amp;""&amp;"C"&amp;Table1334[[#This Row],[Strike]]))</f>
        <v>0</v>
      </c>
      <c r="K759" s="17"/>
      <c r="M759" s="1">
        <f t="shared" si="75"/>
        <v>0</v>
      </c>
      <c r="N759" t="b">
        <f t="shared" si="76"/>
        <v>0</v>
      </c>
      <c r="P759" s="17" cm="1">
        <f t="array" aca="1" ref="P759" ca="1">IndividualLegIVCore($A$4, Table1334[[#This Row],[Strike]], 0.0411, Table1334[[#This Row],[T]], ((Table1334[[#This Row],[BIDP]]+Table1334[[#This Row],[ASKP]])/2), FALSE)</f>
        <v>0.01</v>
      </c>
      <c r="Q759" t="b">
        <f>IF(     ISNUMBER(Table1334[[#This Row],[Strike]]),RTD("tos.rtd", , "BID", "."&amp;Table1334[[#This Row],[Ticker]]&amp;Table1334[[#This Row],[Expiry]]&amp;""&amp;"P"&amp;Table1334[[#This Row],[Strike]]))</f>
        <v>0</v>
      </c>
      <c r="R759" t="b">
        <f>IF(     ISNUMBER(Table1334[[#This Row],[Strike]]),RTD("tos.rtd", , "ASK", "."&amp;Table1334[[#This Row],[Ticker]]&amp;Table1334[[#This Row],[Expiry]]&amp;""&amp;"P"&amp;Table1334[[#This Row],[Strike]]))</f>
        <v>0</v>
      </c>
      <c r="S759" s="17"/>
      <c r="T759" t="b">
        <f>IF(     ISNUMBER(Table1334[[#This Row],[Strike]]),RTD("tos.rtd", , "OPEN_INT", "."&amp;Table1334[[#This Row],[Ticker]]&amp;Table1334[[#This Row],[Expiry]]&amp;""&amp;"P"&amp;Table1334[[#This Row],[Strike]]))</f>
        <v>0</v>
      </c>
      <c r="U75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9" t="b">
        <f>IF(     ISNUMBER(Table1334[[#This Row],[Strike]]),RTD("tos.rtd", , "DELTA", "."&amp;Table1334[[#This Row],[Ticker]]&amp;Table1334[[#This Row],[Expiry]]&amp;""&amp;"P"&amp;Table1334[[#This Row],[Strike]]))</f>
        <v>0</v>
      </c>
      <c r="Y759" s="19">
        <f>20* IF($M$1="NDX", 10, IF(OR($M$1="SPX", $M$1="RUT"), 2, 1))</f>
        <v>40</v>
      </c>
      <c r="Z759">
        <f ca="1">IFERROR(Table1334[[#This Row],[call gamma]]*(Table1334[[#This Row],[Open.Int]])*$A$4^2,0)</f>
        <v>0</v>
      </c>
      <c r="AA759">
        <f ca="1">IFERROR(((Table1334[[#This Row],[Open.Int8]])*Table1334[[#This Row],[Put gamma]])*-1*$A$4^2,0)</f>
        <v>0</v>
      </c>
      <c r="AB759">
        <f ca="1">(Table1334[[#This Row],[Call Gex]]+Table1334[[#This Row],[Put Gex]])</f>
        <v>0</v>
      </c>
      <c r="AC759">
        <f ca="1">Table1334[[#This Row],[put delta adj]]+Table1334[[#This Row],[call delta adj]]</f>
        <v>0</v>
      </c>
      <c r="AD759">
        <f ca="1">Table1334[[#This Row],[Put Gex]]*Table1334[[#This Row],[DeltaP]]*-1</f>
        <v>0</v>
      </c>
      <c r="AE759">
        <f ca="1">Table1334[[#This Row],[Call Gex]]*Table1334[[#This Row],[DeltaC]]</f>
        <v>0</v>
      </c>
      <c r="AF759">
        <f>IF(Table1334[[#This Row],[DeltaC]]-ABS(Table1334[[#This Row],[DeltaP]])="0","0.01",Table1334[[#This Row],[DeltaC]]-ABS(Table1334[[#This Row],[DeltaP]]))</f>
        <v>0</v>
      </c>
      <c r="AG75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9" t="e">
        <f ca="1">(EXP(-(AG759^2)/2)/SQRT(2*PI())*EXP(0*SQRT(Table1334[[#This Row],[T]]))/$A$4*18%*SQRT(SQRT(Table1334[[#This Row],[T]])))</f>
        <v>#DIV/0!</v>
      </c>
      <c r="AJ759" t="e">
        <f ca="1">(EXP(-(AH759^2)/2)/SQRT(2*PI())*EXP(0*SQRT(Table1334[[#This Row],[T]]))/$A$4*18%*SQRT(SQRT(Table1334[[#This Row],[T]])))</f>
        <v>#DIV/0!</v>
      </c>
      <c r="AK759" t="e">
        <f ca="1">Table1334[[#This Row],[Call D1]]-Table1334[[#This Row],[IV Calc C]]*SQRT(Table1334[[#This Row],[T]])</f>
        <v>#DIV/0!</v>
      </c>
      <c r="AL759" t="e">
        <f ca="1">Table1334[[#This Row],[Put D1]]-Table1334[[#This Row],[IV Calc P]]*SQRT(Table1334[[#This Row],[T]])</f>
        <v>#DIV/0!</v>
      </c>
      <c r="AM759" t="e">
        <f ca="1">EXP(-0.5*Table1334[[#This Row],[Call D1]]^2)/SQRT(2*PI())</f>
        <v>#DIV/0!</v>
      </c>
      <c r="AN759" t="e">
        <f ca="1">EXP(-0.5*Table1334[[#This Row],[Put D1]]^2)/SQRT(2*PI())</f>
        <v>#DIV/0!</v>
      </c>
      <c r="AO75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9">
        <f ca="1">((Table1334[[#This Row],[call vanna]]+Table1334[[#This Row],[put vanna]])*$A$4)</f>
        <v>0</v>
      </c>
      <c r="AR75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9" s="9" t="str" cm="1">
        <f t="array" ref="AT759">_xlfn.IFS(     $M$1="SPX","SPXW",     $M$1="RUT","RUTW",  $M$1="NDX","NDXP",   TRUE,$M$1 )</f>
        <v>SPXW</v>
      </c>
      <c r="AU759" s="2">
        <f t="shared" si="77"/>
        <v>6915</v>
      </c>
      <c r="AV759" t="str">
        <f t="shared" si="78"/>
        <v>000100</v>
      </c>
      <c r="AY75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9">
        <f>((Table1334[[#This Row],[High C]]+Table1334[[#This Row],[Low C]])/2)*Table1334[[#This Row],[gammac]]*Table1334[[#This Row],[Volume]]</f>
        <v>0</v>
      </c>
      <c r="BD759">
        <f>((Table1334[[#This Row],[High P]]+Table1334[[#This Row],[Low P]])/2)*Table1334[[#This Row],[gammap]]*Table1334[[#This Row],[Volume9]]*-1</f>
        <v>0</v>
      </c>
      <c r="BE759">
        <f>(Table1334[[#This Row],[SgammaC]]+Table1334[[#This Row],[SgammaP]])*$A$4*-100</f>
        <v>0</v>
      </c>
      <c r="BF759">
        <f>Table1334[[#This Row],[DEXc]]+Table1334[[#This Row],[DEXp]]</f>
        <v>0</v>
      </c>
      <c r="BG759">
        <f>IFERROR(Table1334[[#This Row],[DeltaC]]*Table1334[[#This Row],[Open.Int]]*$A$4,0)</f>
        <v>0</v>
      </c>
      <c r="BH759">
        <f>IFERROR(Table1334[[#This Row],[DeltaP]]*Table1334[[#This Row],[Open.Int8]]*$A$4,0)</f>
        <v>0</v>
      </c>
      <c r="BI75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9">
        <f ca="1">Table1334[[#This Row],[charmc]]+Table1334[[#This Row],[charmp]]</f>
        <v>0</v>
      </c>
      <c r="BL75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9" s="78">
        <f ca="1">Table1334[[#This Row],[call helper]]+Table1334[[#This Row],[put helper]]</f>
        <v>0</v>
      </c>
      <c r="BP759" t="str">
        <f>RTD("tos.rtd", , "STRIKE", "."&amp;Table1334[[#This Row],[Ticker]]&amp;Table1334[[#This Row],[Expiry]]&amp;""&amp;"C"&amp;Table1334[[#This Row],[Spot]]+Table1334[[#This Row],[step]])</f>
        <v>N/A</v>
      </c>
    </row>
    <row r="760" spans="1:68" x14ac:dyDescent="0.25">
      <c r="A760" s="14">
        <f t="shared" ca="1" si="74"/>
        <v>-126.14810350076104</v>
      </c>
      <c r="C760" s="17"/>
      <c r="D760" t="str">
        <f>RTD("tos.rtd", , "OPEN_INT", "."&amp;Table1334[[#This Row],[Ticker]]&amp;Table1334[[#This Row],[Expiry]]&amp;""&amp;"C"&amp;Table1334[[#This Row],[Spot]]+Table1334[[#This Row],[step]])</f>
        <v>N/A</v>
      </c>
      <c r="E76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0" t="b">
        <f>IF(     ISNUMBER(Table1334[[#This Row],[Strike]]),RTD("tos.rtd", , "DELTA", "."&amp;Table1334[[#This Row],[Ticker]]&amp;Table1334[[#This Row],[Expiry]]&amp;""&amp;"C"&amp;Table1334[[#This Row],[Strike]]))</f>
        <v>0</v>
      </c>
      <c r="H760" s="17" cm="1">
        <f t="array" aca="1" ref="H760" ca="1">IndividualLegIVCore($A$4, Table1334[[#This Row],[Strike]], 0.0411, Table1334[[#This Row],[T]], ((Table1334[[#This Row],[BIDC]]+Table1334[[#This Row],[ASKC]])/2), TRUE)</f>
        <v>0.01</v>
      </c>
      <c r="I760" t="b">
        <f>IF(     ISNUMBER(Table1334[[#This Row],[Strike]]),RTD("tos.rtd", , "BID", "."&amp;Table1334[[#This Row],[Ticker]]&amp;Table1334[[#This Row],[Expiry]]&amp;""&amp;"C"&amp;Table1334[[#This Row],[Strike]]))</f>
        <v>0</v>
      </c>
      <c r="J760" t="b">
        <f>IF(     ISNUMBER(Table1334[[#This Row],[Strike]]),RTD("tos.rtd", , "ASK", "."&amp;Table1334[[#This Row],[Ticker]]&amp;Table1334[[#This Row],[Expiry]]&amp;""&amp;"C"&amp;Table1334[[#This Row],[Strike]]))</f>
        <v>0</v>
      </c>
      <c r="K760" s="17"/>
      <c r="M760" s="1">
        <f t="shared" si="75"/>
        <v>0</v>
      </c>
      <c r="N760" t="b">
        <f t="shared" si="76"/>
        <v>0</v>
      </c>
      <c r="P760" s="17" cm="1">
        <f t="array" aca="1" ref="P760" ca="1">IndividualLegIVCore($A$4, Table1334[[#This Row],[Strike]], 0.0411, Table1334[[#This Row],[T]], ((Table1334[[#This Row],[BIDP]]+Table1334[[#This Row],[ASKP]])/2), FALSE)</f>
        <v>0.01</v>
      </c>
      <c r="Q760" t="b">
        <f>IF(     ISNUMBER(Table1334[[#This Row],[Strike]]),RTD("tos.rtd", , "BID", "."&amp;Table1334[[#This Row],[Ticker]]&amp;Table1334[[#This Row],[Expiry]]&amp;""&amp;"P"&amp;Table1334[[#This Row],[Strike]]))</f>
        <v>0</v>
      </c>
      <c r="R760" t="b">
        <f>IF(     ISNUMBER(Table1334[[#This Row],[Strike]]),RTD("tos.rtd", , "ASK", "."&amp;Table1334[[#This Row],[Ticker]]&amp;Table1334[[#This Row],[Expiry]]&amp;""&amp;"P"&amp;Table1334[[#This Row],[Strike]]))</f>
        <v>0</v>
      </c>
      <c r="S760" s="17"/>
      <c r="T760" t="b">
        <f>IF(     ISNUMBER(Table1334[[#This Row],[Strike]]),RTD("tos.rtd", , "OPEN_INT", "."&amp;Table1334[[#This Row],[Ticker]]&amp;Table1334[[#This Row],[Expiry]]&amp;""&amp;"P"&amp;Table1334[[#This Row],[Strike]]))</f>
        <v>0</v>
      </c>
      <c r="U76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0" t="b">
        <f>IF(     ISNUMBER(Table1334[[#This Row],[Strike]]),RTD("tos.rtd", , "DELTA", "."&amp;Table1334[[#This Row],[Ticker]]&amp;Table1334[[#This Row],[Expiry]]&amp;""&amp;"P"&amp;Table1334[[#This Row],[Strike]]))</f>
        <v>0</v>
      </c>
      <c r="Y760" s="19">
        <f>20.5* IF($M$1="NDX", 10, IF(OR($M$1="SPX", $M$1="RUT"), 2, 1))</f>
        <v>41</v>
      </c>
      <c r="Z760">
        <f ca="1">IFERROR(Table1334[[#This Row],[call gamma]]*(Table1334[[#This Row],[Open.Int]])*$A$4^2,0)</f>
        <v>0</v>
      </c>
      <c r="AA760">
        <f ca="1">IFERROR(((Table1334[[#This Row],[Open.Int8]])*Table1334[[#This Row],[Put gamma]])*-1*$A$4^2,0)</f>
        <v>0</v>
      </c>
      <c r="AB760">
        <f ca="1">(Table1334[[#This Row],[Call Gex]]+Table1334[[#This Row],[Put Gex]])</f>
        <v>0</v>
      </c>
      <c r="AC760">
        <f ca="1">Table1334[[#This Row],[put delta adj]]+Table1334[[#This Row],[call delta adj]]</f>
        <v>0</v>
      </c>
      <c r="AD760">
        <f ca="1">Table1334[[#This Row],[Put Gex]]*Table1334[[#This Row],[DeltaP]]*-1</f>
        <v>0</v>
      </c>
      <c r="AE760">
        <f ca="1">Table1334[[#This Row],[Call Gex]]*Table1334[[#This Row],[DeltaC]]</f>
        <v>0</v>
      </c>
      <c r="AF760">
        <f>IF(Table1334[[#This Row],[DeltaC]]-ABS(Table1334[[#This Row],[DeltaP]])="0","0.01",Table1334[[#This Row],[DeltaC]]-ABS(Table1334[[#This Row],[DeltaP]]))</f>
        <v>0</v>
      </c>
      <c r="AG76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0" t="e">
        <f ca="1">(EXP(-(AG760^2)/2)/SQRT(2*PI())*EXP(0*SQRT(Table1334[[#This Row],[T]]))/$A$4*18%*SQRT(SQRT(Table1334[[#This Row],[T]])))</f>
        <v>#DIV/0!</v>
      </c>
      <c r="AJ760" t="e">
        <f ca="1">(EXP(-(AH760^2)/2)/SQRT(2*PI())*EXP(0*SQRT(Table1334[[#This Row],[T]]))/$A$4*18%*SQRT(SQRT(Table1334[[#This Row],[T]])))</f>
        <v>#DIV/0!</v>
      </c>
      <c r="AK760" t="e">
        <f ca="1">Table1334[[#This Row],[Call D1]]-Table1334[[#This Row],[IV Calc C]]*SQRT(Table1334[[#This Row],[T]])</f>
        <v>#DIV/0!</v>
      </c>
      <c r="AL760" t="e">
        <f ca="1">Table1334[[#This Row],[Put D1]]-Table1334[[#This Row],[IV Calc P]]*SQRT(Table1334[[#This Row],[T]])</f>
        <v>#DIV/0!</v>
      </c>
      <c r="AM760" t="e">
        <f ca="1">EXP(-0.5*Table1334[[#This Row],[Call D1]]^2)/SQRT(2*PI())</f>
        <v>#DIV/0!</v>
      </c>
      <c r="AN760" t="e">
        <f ca="1">EXP(-0.5*Table1334[[#This Row],[Put D1]]^2)/SQRT(2*PI())</f>
        <v>#DIV/0!</v>
      </c>
      <c r="AO76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0">
        <f ca="1">((Table1334[[#This Row],[call vanna]]+Table1334[[#This Row],[put vanna]])*$A$4)</f>
        <v>0</v>
      </c>
      <c r="AR76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0" s="9" t="str" cm="1">
        <f t="array" ref="AT760">_xlfn.IFS(     $M$1="SPX","SPXW",     $M$1="RUT","RUTW",  $M$1="NDX","NDXP",   TRUE,$M$1 )</f>
        <v>SPXW</v>
      </c>
      <c r="AU760" s="2">
        <f t="shared" si="77"/>
        <v>6915</v>
      </c>
      <c r="AV760" t="str">
        <f t="shared" si="78"/>
        <v>000100</v>
      </c>
      <c r="AY76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0">
        <f>((Table1334[[#This Row],[High C]]+Table1334[[#This Row],[Low C]])/2)*Table1334[[#This Row],[gammac]]*Table1334[[#This Row],[Volume]]</f>
        <v>0</v>
      </c>
      <c r="BD760">
        <f>((Table1334[[#This Row],[High P]]+Table1334[[#This Row],[Low P]])/2)*Table1334[[#This Row],[gammap]]*Table1334[[#This Row],[Volume9]]*-1</f>
        <v>0</v>
      </c>
      <c r="BE760">
        <f>(Table1334[[#This Row],[SgammaC]]+Table1334[[#This Row],[SgammaP]])*$A$4*-100</f>
        <v>0</v>
      </c>
      <c r="BF760">
        <f>Table1334[[#This Row],[DEXc]]+Table1334[[#This Row],[DEXp]]</f>
        <v>0</v>
      </c>
      <c r="BG760">
        <f>IFERROR(Table1334[[#This Row],[DeltaC]]*Table1334[[#This Row],[Open.Int]]*$A$4,0)</f>
        <v>0</v>
      </c>
      <c r="BH760">
        <f>IFERROR(Table1334[[#This Row],[DeltaP]]*Table1334[[#This Row],[Open.Int8]]*$A$4,0)</f>
        <v>0</v>
      </c>
      <c r="BI76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0">
        <f ca="1">Table1334[[#This Row],[charmc]]+Table1334[[#This Row],[charmp]]</f>
        <v>0</v>
      </c>
      <c r="BL76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0" s="78">
        <f ca="1">Table1334[[#This Row],[call helper]]+Table1334[[#This Row],[put helper]]</f>
        <v>0</v>
      </c>
      <c r="BP760" t="str">
        <f>RTD("tos.rtd", , "STRIKE", "."&amp;Table1334[[#This Row],[Ticker]]&amp;Table1334[[#This Row],[Expiry]]&amp;""&amp;"C"&amp;Table1334[[#This Row],[Spot]]+Table1334[[#This Row],[step]])</f>
        <v>N/A</v>
      </c>
    </row>
    <row r="761" spans="1:68" x14ac:dyDescent="0.25">
      <c r="A761" s="14">
        <f t="shared" ca="1" si="74"/>
        <v>-126.14810350076104</v>
      </c>
      <c r="C761" s="17"/>
      <c r="D761" t="str">
        <f>RTD("tos.rtd", , "OPEN_INT", "."&amp;Table1334[[#This Row],[Ticker]]&amp;Table1334[[#This Row],[Expiry]]&amp;""&amp;"C"&amp;Table1334[[#This Row],[Spot]]+Table1334[[#This Row],[step]])</f>
        <v>N/A</v>
      </c>
      <c r="E76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1" t="b">
        <f>IF(     ISNUMBER(Table1334[[#This Row],[Strike]]),RTD("tos.rtd", , "DELTA", "."&amp;Table1334[[#This Row],[Ticker]]&amp;Table1334[[#This Row],[Expiry]]&amp;""&amp;"C"&amp;Table1334[[#This Row],[Strike]]))</f>
        <v>0</v>
      </c>
      <c r="H761" s="17" cm="1">
        <f t="array" aca="1" ref="H761" ca="1">IndividualLegIVCore($A$4, Table1334[[#This Row],[Strike]], 0.0411, Table1334[[#This Row],[T]], ((Table1334[[#This Row],[BIDC]]+Table1334[[#This Row],[ASKC]])/2), TRUE)</f>
        <v>0.01</v>
      </c>
      <c r="I761" t="b">
        <f>IF(     ISNUMBER(Table1334[[#This Row],[Strike]]),RTD("tos.rtd", , "BID", "."&amp;Table1334[[#This Row],[Ticker]]&amp;Table1334[[#This Row],[Expiry]]&amp;""&amp;"C"&amp;Table1334[[#This Row],[Strike]]))</f>
        <v>0</v>
      </c>
      <c r="J761" t="b">
        <f>IF(     ISNUMBER(Table1334[[#This Row],[Strike]]),RTD("tos.rtd", , "ASK", "."&amp;Table1334[[#This Row],[Ticker]]&amp;Table1334[[#This Row],[Expiry]]&amp;""&amp;"C"&amp;Table1334[[#This Row],[Strike]]))</f>
        <v>0</v>
      </c>
      <c r="K761" s="17"/>
      <c r="M761" s="1">
        <f t="shared" si="75"/>
        <v>0</v>
      </c>
      <c r="N761" t="b">
        <f t="shared" si="76"/>
        <v>0</v>
      </c>
      <c r="P761" s="17" cm="1">
        <f t="array" aca="1" ref="P761" ca="1">IndividualLegIVCore($A$4, Table1334[[#This Row],[Strike]], 0.0411, Table1334[[#This Row],[T]], ((Table1334[[#This Row],[BIDP]]+Table1334[[#This Row],[ASKP]])/2), FALSE)</f>
        <v>0.01</v>
      </c>
      <c r="Q761" t="b">
        <f>IF(     ISNUMBER(Table1334[[#This Row],[Strike]]),RTD("tos.rtd", , "BID", "."&amp;Table1334[[#This Row],[Ticker]]&amp;Table1334[[#This Row],[Expiry]]&amp;""&amp;"P"&amp;Table1334[[#This Row],[Strike]]))</f>
        <v>0</v>
      </c>
      <c r="R761" t="b">
        <f>IF(     ISNUMBER(Table1334[[#This Row],[Strike]]),RTD("tos.rtd", , "ASK", "."&amp;Table1334[[#This Row],[Ticker]]&amp;Table1334[[#This Row],[Expiry]]&amp;""&amp;"P"&amp;Table1334[[#This Row],[Strike]]))</f>
        <v>0</v>
      </c>
      <c r="S761" s="17"/>
      <c r="T761" t="b">
        <f>IF(     ISNUMBER(Table1334[[#This Row],[Strike]]),RTD("tos.rtd", , "OPEN_INT", "."&amp;Table1334[[#This Row],[Ticker]]&amp;Table1334[[#This Row],[Expiry]]&amp;""&amp;"P"&amp;Table1334[[#This Row],[Strike]]))</f>
        <v>0</v>
      </c>
      <c r="U76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1" t="b">
        <f>IF(     ISNUMBER(Table1334[[#This Row],[Strike]]),RTD("tos.rtd", , "DELTA", "."&amp;Table1334[[#This Row],[Ticker]]&amp;Table1334[[#This Row],[Expiry]]&amp;""&amp;"P"&amp;Table1334[[#This Row],[Strike]]))</f>
        <v>0</v>
      </c>
      <c r="Y761" s="19">
        <f>21* IF($M$1="NDX", 10, IF(OR($M$1="SPX", $M$1="RUT"), 2, 1))</f>
        <v>42</v>
      </c>
      <c r="Z761">
        <f ca="1">IFERROR(Table1334[[#This Row],[call gamma]]*(Table1334[[#This Row],[Open.Int]])*$A$4^2,0)</f>
        <v>0</v>
      </c>
      <c r="AA761">
        <f ca="1">IFERROR(((Table1334[[#This Row],[Open.Int8]])*Table1334[[#This Row],[Put gamma]])*-1*$A$4^2,0)</f>
        <v>0</v>
      </c>
      <c r="AB761">
        <f ca="1">(Table1334[[#This Row],[Call Gex]]+Table1334[[#This Row],[Put Gex]])</f>
        <v>0</v>
      </c>
      <c r="AC761">
        <f ca="1">Table1334[[#This Row],[put delta adj]]+Table1334[[#This Row],[call delta adj]]</f>
        <v>0</v>
      </c>
      <c r="AD761">
        <f ca="1">Table1334[[#This Row],[Put Gex]]*Table1334[[#This Row],[DeltaP]]*-1</f>
        <v>0</v>
      </c>
      <c r="AE761">
        <f ca="1">Table1334[[#This Row],[Call Gex]]*Table1334[[#This Row],[DeltaC]]</f>
        <v>0</v>
      </c>
      <c r="AF761">
        <f>IF(Table1334[[#This Row],[DeltaC]]-ABS(Table1334[[#This Row],[DeltaP]])="0","0.01",Table1334[[#This Row],[DeltaC]]-ABS(Table1334[[#This Row],[DeltaP]]))</f>
        <v>0</v>
      </c>
      <c r="AG76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1" t="e">
        <f ca="1">(EXP(-(AG761^2)/2)/SQRT(2*PI())*EXP(0*SQRT(Table1334[[#This Row],[T]]))/$A$4*18%*SQRT(SQRT(Table1334[[#This Row],[T]])))</f>
        <v>#DIV/0!</v>
      </c>
      <c r="AJ761" t="e">
        <f ca="1">(EXP(-(AH761^2)/2)/SQRT(2*PI())*EXP(0*SQRT(Table1334[[#This Row],[T]]))/$A$4*18%*SQRT(SQRT(Table1334[[#This Row],[T]])))</f>
        <v>#DIV/0!</v>
      </c>
      <c r="AK761" t="e">
        <f ca="1">Table1334[[#This Row],[Call D1]]-Table1334[[#This Row],[IV Calc C]]*SQRT(Table1334[[#This Row],[T]])</f>
        <v>#DIV/0!</v>
      </c>
      <c r="AL761" t="e">
        <f ca="1">Table1334[[#This Row],[Put D1]]-Table1334[[#This Row],[IV Calc P]]*SQRT(Table1334[[#This Row],[T]])</f>
        <v>#DIV/0!</v>
      </c>
      <c r="AM761" t="e">
        <f ca="1">EXP(-0.5*Table1334[[#This Row],[Call D1]]^2)/SQRT(2*PI())</f>
        <v>#DIV/0!</v>
      </c>
      <c r="AN761" t="e">
        <f ca="1">EXP(-0.5*Table1334[[#This Row],[Put D1]]^2)/SQRT(2*PI())</f>
        <v>#DIV/0!</v>
      </c>
      <c r="AO76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1">
        <f ca="1">((Table1334[[#This Row],[call vanna]]+Table1334[[#This Row],[put vanna]])*$A$4)</f>
        <v>0</v>
      </c>
      <c r="AR76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1" s="9" t="str" cm="1">
        <f t="array" ref="AT761">_xlfn.IFS(     $M$1="SPX","SPXW",     $M$1="RUT","RUTW",  $M$1="NDX","NDXP",   TRUE,$M$1 )</f>
        <v>SPXW</v>
      </c>
      <c r="AU761" s="2">
        <f t="shared" si="77"/>
        <v>6915</v>
      </c>
      <c r="AV761" t="str">
        <f t="shared" si="78"/>
        <v>000100</v>
      </c>
      <c r="AY76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1">
        <f>((Table1334[[#This Row],[High C]]+Table1334[[#This Row],[Low C]])/2)*Table1334[[#This Row],[gammac]]*Table1334[[#This Row],[Volume]]</f>
        <v>0</v>
      </c>
      <c r="BD761">
        <f>((Table1334[[#This Row],[High P]]+Table1334[[#This Row],[Low P]])/2)*Table1334[[#This Row],[gammap]]*Table1334[[#This Row],[Volume9]]*-1</f>
        <v>0</v>
      </c>
      <c r="BE761">
        <f>(Table1334[[#This Row],[SgammaC]]+Table1334[[#This Row],[SgammaP]])*$A$4*-100</f>
        <v>0</v>
      </c>
      <c r="BF761">
        <f>Table1334[[#This Row],[DEXc]]+Table1334[[#This Row],[DEXp]]</f>
        <v>0</v>
      </c>
      <c r="BG761">
        <f>IFERROR(Table1334[[#This Row],[DeltaC]]*Table1334[[#This Row],[Open.Int]]*$A$4,0)</f>
        <v>0</v>
      </c>
      <c r="BH761">
        <f>IFERROR(Table1334[[#This Row],[DeltaP]]*Table1334[[#This Row],[Open.Int8]]*$A$4,0)</f>
        <v>0</v>
      </c>
      <c r="BI76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1">
        <f ca="1">Table1334[[#This Row],[charmc]]+Table1334[[#This Row],[charmp]]</f>
        <v>0</v>
      </c>
      <c r="BL76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1" s="78">
        <f ca="1">Table1334[[#This Row],[call helper]]+Table1334[[#This Row],[put helper]]</f>
        <v>0</v>
      </c>
      <c r="BP761" t="str">
        <f>RTD("tos.rtd", , "STRIKE", "."&amp;Table1334[[#This Row],[Ticker]]&amp;Table1334[[#This Row],[Expiry]]&amp;""&amp;"C"&amp;Table1334[[#This Row],[Spot]]+Table1334[[#This Row],[step]])</f>
        <v>N/A</v>
      </c>
    </row>
    <row r="762" spans="1:68" x14ac:dyDescent="0.25">
      <c r="A762" s="14">
        <f t="shared" ca="1" si="74"/>
        <v>-126.14810350076104</v>
      </c>
      <c r="C762" s="17"/>
      <c r="D762" t="str">
        <f>RTD("tos.rtd", , "OPEN_INT", "."&amp;Table1334[[#This Row],[Ticker]]&amp;Table1334[[#This Row],[Expiry]]&amp;""&amp;"C"&amp;Table1334[[#This Row],[Spot]]+Table1334[[#This Row],[step]])</f>
        <v>N/A</v>
      </c>
      <c r="E76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2" t="b">
        <f>IF(     ISNUMBER(Table1334[[#This Row],[Strike]]),RTD("tos.rtd", , "DELTA", "."&amp;Table1334[[#This Row],[Ticker]]&amp;Table1334[[#This Row],[Expiry]]&amp;""&amp;"C"&amp;Table1334[[#This Row],[Strike]]))</f>
        <v>0</v>
      </c>
      <c r="H762" s="17" cm="1">
        <f t="array" aca="1" ref="H762" ca="1">IndividualLegIVCore($A$4, Table1334[[#This Row],[Strike]], 0.0411, Table1334[[#This Row],[T]], ((Table1334[[#This Row],[BIDC]]+Table1334[[#This Row],[ASKC]])/2), TRUE)</f>
        <v>0.01</v>
      </c>
      <c r="I762" t="b">
        <f>IF(     ISNUMBER(Table1334[[#This Row],[Strike]]),RTD("tos.rtd", , "BID", "."&amp;Table1334[[#This Row],[Ticker]]&amp;Table1334[[#This Row],[Expiry]]&amp;""&amp;"C"&amp;Table1334[[#This Row],[Strike]]))</f>
        <v>0</v>
      </c>
      <c r="J762" t="b">
        <f>IF(     ISNUMBER(Table1334[[#This Row],[Strike]]),RTD("tos.rtd", , "ASK", "."&amp;Table1334[[#This Row],[Ticker]]&amp;Table1334[[#This Row],[Expiry]]&amp;""&amp;"C"&amp;Table1334[[#This Row],[Strike]]))</f>
        <v>0</v>
      </c>
      <c r="K762" s="17"/>
      <c r="M762" s="1">
        <f t="shared" si="75"/>
        <v>0</v>
      </c>
      <c r="N762" t="b">
        <f t="shared" si="76"/>
        <v>0</v>
      </c>
      <c r="P762" s="17" cm="1">
        <f t="array" aca="1" ref="P762" ca="1">IndividualLegIVCore($A$4, Table1334[[#This Row],[Strike]], 0.0411, Table1334[[#This Row],[T]], ((Table1334[[#This Row],[BIDP]]+Table1334[[#This Row],[ASKP]])/2), FALSE)</f>
        <v>0.01</v>
      </c>
      <c r="Q762" t="b">
        <f>IF(     ISNUMBER(Table1334[[#This Row],[Strike]]),RTD("tos.rtd", , "BID", "."&amp;Table1334[[#This Row],[Ticker]]&amp;Table1334[[#This Row],[Expiry]]&amp;""&amp;"P"&amp;Table1334[[#This Row],[Strike]]))</f>
        <v>0</v>
      </c>
      <c r="R762" t="b">
        <f>IF(     ISNUMBER(Table1334[[#This Row],[Strike]]),RTD("tos.rtd", , "ASK", "."&amp;Table1334[[#This Row],[Ticker]]&amp;Table1334[[#This Row],[Expiry]]&amp;""&amp;"P"&amp;Table1334[[#This Row],[Strike]]))</f>
        <v>0</v>
      </c>
      <c r="S762" s="17"/>
      <c r="T762" t="b">
        <f>IF(     ISNUMBER(Table1334[[#This Row],[Strike]]),RTD("tos.rtd", , "OPEN_INT", "."&amp;Table1334[[#This Row],[Ticker]]&amp;Table1334[[#This Row],[Expiry]]&amp;""&amp;"P"&amp;Table1334[[#This Row],[Strike]]))</f>
        <v>0</v>
      </c>
      <c r="U76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2" t="b">
        <f>IF(     ISNUMBER(Table1334[[#This Row],[Strike]]),RTD("tos.rtd", , "DELTA", "."&amp;Table1334[[#This Row],[Ticker]]&amp;Table1334[[#This Row],[Expiry]]&amp;""&amp;"P"&amp;Table1334[[#This Row],[Strike]]))</f>
        <v>0</v>
      </c>
      <c r="Y762" s="19">
        <f>21.5* IF($M$1="NDX", 10, IF(OR($M$1="SPX", $M$1="RUT"), 2, 1))</f>
        <v>43</v>
      </c>
      <c r="Z762">
        <f ca="1">IFERROR(Table1334[[#This Row],[call gamma]]*(Table1334[[#This Row],[Open.Int]])*$A$4^2,0)</f>
        <v>0</v>
      </c>
      <c r="AA762">
        <f ca="1">IFERROR(((Table1334[[#This Row],[Open.Int8]])*Table1334[[#This Row],[Put gamma]])*-1*$A$4^2,0)</f>
        <v>0</v>
      </c>
      <c r="AB762">
        <f ca="1">(Table1334[[#This Row],[Call Gex]]+Table1334[[#This Row],[Put Gex]])</f>
        <v>0</v>
      </c>
      <c r="AC762">
        <f ca="1">Table1334[[#This Row],[put delta adj]]+Table1334[[#This Row],[call delta adj]]</f>
        <v>0</v>
      </c>
      <c r="AD762">
        <f ca="1">Table1334[[#This Row],[Put Gex]]*Table1334[[#This Row],[DeltaP]]*-1</f>
        <v>0</v>
      </c>
      <c r="AE762">
        <f ca="1">Table1334[[#This Row],[Call Gex]]*Table1334[[#This Row],[DeltaC]]</f>
        <v>0</v>
      </c>
      <c r="AF762">
        <f>IF(Table1334[[#This Row],[DeltaC]]-ABS(Table1334[[#This Row],[DeltaP]])="0","0.01",Table1334[[#This Row],[DeltaC]]-ABS(Table1334[[#This Row],[DeltaP]]))</f>
        <v>0</v>
      </c>
      <c r="AG76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2" t="e">
        <f ca="1">(EXP(-(AG762^2)/2)/SQRT(2*PI())*EXP(0*SQRT(Table1334[[#This Row],[T]]))/$A$4*18%*SQRT(SQRT(Table1334[[#This Row],[T]])))</f>
        <v>#DIV/0!</v>
      </c>
      <c r="AJ762" t="e">
        <f ca="1">(EXP(-(AH762^2)/2)/SQRT(2*PI())*EXP(0*SQRT(Table1334[[#This Row],[T]]))/$A$4*18%*SQRT(SQRT(Table1334[[#This Row],[T]])))</f>
        <v>#DIV/0!</v>
      </c>
      <c r="AK762" t="e">
        <f ca="1">Table1334[[#This Row],[Call D1]]-Table1334[[#This Row],[IV Calc C]]*SQRT(Table1334[[#This Row],[T]])</f>
        <v>#DIV/0!</v>
      </c>
      <c r="AL762" t="e">
        <f ca="1">Table1334[[#This Row],[Put D1]]-Table1334[[#This Row],[IV Calc P]]*SQRT(Table1334[[#This Row],[T]])</f>
        <v>#DIV/0!</v>
      </c>
      <c r="AM762" t="e">
        <f ca="1">EXP(-0.5*Table1334[[#This Row],[Call D1]]^2)/SQRT(2*PI())</f>
        <v>#DIV/0!</v>
      </c>
      <c r="AN762" t="e">
        <f ca="1">EXP(-0.5*Table1334[[#This Row],[Put D1]]^2)/SQRT(2*PI())</f>
        <v>#DIV/0!</v>
      </c>
      <c r="AO76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2">
        <f ca="1">((Table1334[[#This Row],[call vanna]]+Table1334[[#This Row],[put vanna]])*$A$4)</f>
        <v>0</v>
      </c>
      <c r="AR76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2" s="9" t="str" cm="1">
        <f t="array" ref="AT762">_xlfn.IFS(     $M$1="SPX","SPXW",     $M$1="RUT","RUTW",  $M$1="NDX","NDXP",   TRUE,$M$1 )</f>
        <v>SPXW</v>
      </c>
      <c r="AU762" s="2">
        <f t="shared" si="77"/>
        <v>6915</v>
      </c>
      <c r="AV762" t="str">
        <f t="shared" si="78"/>
        <v>000100</v>
      </c>
      <c r="AY76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2">
        <f>((Table1334[[#This Row],[High C]]+Table1334[[#This Row],[Low C]])/2)*Table1334[[#This Row],[gammac]]*Table1334[[#This Row],[Volume]]</f>
        <v>0</v>
      </c>
      <c r="BD762">
        <f>((Table1334[[#This Row],[High P]]+Table1334[[#This Row],[Low P]])/2)*Table1334[[#This Row],[gammap]]*Table1334[[#This Row],[Volume9]]*-1</f>
        <v>0</v>
      </c>
      <c r="BE762">
        <f>(Table1334[[#This Row],[SgammaC]]+Table1334[[#This Row],[SgammaP]])*$A$4*-100</f>
        <v>0</v>
      </c>
      <c r="BF762">
        <f>Table1334[[#This Row],[DEXc]]+Table1334[[#This Row],[DEXp]]</f>
        <v>0</v>
      </c>
      <c r="BG762">
        <f>IFERROR(Table1334[[#This Row],[DeltaC]]*Table1334[[#This Row],[Open.Int]]*$A$4,0)</f>
        <v>0</v>
      </c>
      <c r="BH762">
        <f>IFERROR(Table1334[[#This Row],[DeltaP]]*Table1334[[#This Row],[Open.Int8]]*$A$4,0)</f>
        <v>0</v>
      </c>
      <c r="BI76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2">
        <f ca="1">Table1334[[#This Row],[charmc]]+Table1334[[#This Row],[charmp]]</f>
        <v>0</v>
      </c>
      <c r="BL76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2" s="78">
        <f ca="1">Table1334[[#This Row],[call helper]]+Table1334[[#This Row],[put helper]]</f>
        <v>0</v>
      </c>
      <c r="BP762" t="str">
        <f>RTD("tos.rtd", , "STRIKE", "."&amp;Table1334[[#This Row],[Ticker]]&amp;Table1334[[#This Row],[Expiry]]&amp;""&amp;"C"&amp;Table1334[[#This Row],[Spot]]+Table1334[[#This Row],[step]])</f>
        <v>N/A</v>
      </c>
    </row>
    <row r="763" spans="1:68" x14ac:dyDescent="0.25">
      <c r="A763" s="14">
        <f t="shared" ca="1" si="74"/>
        <v>-126.14810350076104</v>
      </c>
      <c r="C763" s="17"/>
      <c r="D763" t="str">
        <f>RTD("tos.rtd", , "OPEN_INT", "."&amp;Table1334[[#This Row],[Ticker]]&amp;Table1334[[#This Row],[Expiry]]&amp;""&amp;"C"&amp;Table1334[[#This Row],[Spot]]+Table1334[[#This Row],[step]])</f>
        <v>N/A</v>
      </c>
      <c r="E76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3" t="b">
        <f>IF(     ISNUMBER(Table1334[[#This Row],[Strike]]),RTD("tos.rtd", , "DELTA", "."&amp;Table1334[[#This Row],[Ticker]]&amp;Table1334[[#This Row],[Expiry]]&amp;""&amp;"C"&amp;Table1334[[#This Row],[Strike]]))</f>
        <v>0</v>
      </c>
      <c r="H763" s="17" cm="1">
        <f t="array" aca="1" ref="H763" ca="1">IndividualLegIVCore($A$4, Table1334[[#This Row],[Strike]], 0.0411, Table1334[[#This Row],[T]], ((Table1334[[#This Row],[BIDC]]+Table1334[[#This Row],[ASKC]])/2), TRUE)</f>
        <v>0.01</v>
      </c>
      <c r="I763" t="b">
        <f>IF(     ISNUMBER(Table1334[[#This Row],[Strike]]),RTD("tos.rtd", , "BID", "."&amp;Table1334[[#This Row],[Ticker]]&amp;Table1334[[#This Row],[Expiry]]&amp;""&amp;"C"&amp;Table1334[[#This Row],[Strike]]))</f>
        <v>0</v>
      </c>
      <c r="J763" t="b">
        <f>IF(     ISNUMBER(Table1334[[#This Row],[Strike]]),RTD("tos.rtd", , "ASK", "."&amp;Table1334[[#This Row],[Ticker]]&amp;Table1334[[#This Row],[Expiry]]&amp;""&amp;"C"&amp;Table1334[[#This Row],[Strike]]))</f>
        <v>0</v>
      </c>
      <c r="K763" s="17"/>
      <c r="M763" s="1">
        <f t="shared" si="75"/>
        <v>0</v>
      </c>
      <c r="N763" t="b">
        <f t="shared" si="76"/>
        <v>0</v>
      </c>
      <c r="P763" s="17" cm="1">
        <f t="array" aca="1" ref="P763" ca="1">IndividualLegIVCore($A$4, Table1334[[#This Row],[Strike]], 0.0411, Table1334[[#This Row],[T]], ((Table1334[[#This Row],[BIDP]]+Table1334[[#This Row],[ASKP]])/2), FALSE)</f>
        <v>0.01</v>
      </c>
      <c r="Q763" t="b">
        <f>IF(     ISNUMBER(Table1334[[#This Row],[Strike]]),RTD("tos.rtd", , "BID", "."&amp;Table1334[[#This Row],[Ticker]]&amp;Table1334[[#This Row],[Expiry]]&amp;""&amp;"P"&amp;Table1334[[#This Row],[Strike]]))</f>
        <v>0</v>
      </c>
      <c r="R763" t="b">
        <f>IF(     ISNUMBER(Table1334[[#This Row],[Strike]]),RTD("tos.rtd", , "ASK", "."&amp;Table1334[[#This Row],[Ticker]]&amp;Table1334[[#This Row],[Expiry]]&amp;""&amp;"P"&amp;Table1334[[#This Row],[Strike]]))</f>
        <v>0</v>
      </c>
      <c r="S763" s="17"/>
      <c r="T763" t="b">
        <f>IF(     ISNUMBER(Table1334[[#This Row],[Strike]]),RTD("tos.rtd", , "OPEN_INT", "."&amp;Table1334[[#This Row],[Ticker]]&amp;Table1334[[#This Row],[Expiry]]&amp;""&amp;"P"&amp;Table1334[[#This Row],[Strike]]))</f>
        <v>0</v>
      </c>
      <c r="U76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3" t="b">
        <f>IF(     ISNUMBER(Table1334[[#This Row],[Strike]]),RTD("tos.rtd", , "DELTA", "."&amp;Table1334[[#This Row],[Ticker]]&amp;Table1334[[#This Row],[Expiry]]&amp;""&amp;"P"&amp;Table1334[[#This Row],[Strike]]))</f>
        <v>0</v>
      </c>
      <c r="Y763" s="19">
        <f>22* IF($M$1="NDX", 10, IF(OR($M$1="SPX", $M$1="RUT"), 2, 1))</f>
        <v>44</v>
      </c>
      <c r="Z763">
        <f ca="1">IFERROR(Table1334[[#This Row],[call gamma]]*(Table1334[[#This Row],[Open.Int]])*$A$4^2,0)</f>
        <v>0</v>
      </c>
      <c r="AA763">
        <f ca="1">IFERROR(((Table1334[[#This Row],[Open.Int8]])*Table1334[[#This Row],[Put gamma]])*-1*$A$4^2,0)</f>
        <v>0</v>
      </c>
      <c r="AB763">
        <f ca="1">(Table1334[[#This Row],[Call Gex]]+Table1334[[#This Row],[Put Gex]])</f>
        <v>0</v>
      </c>
      <c r="AC763">
        <f ca="1">Table1334[[#This Row],[put delta adj]]+Table1334[[#This Row],[call delta adj]]</f>
        <v>0</v>
      </c>
      <c r="AD763">
        <f ca="1">Table1334[[#This Row],[Put Gex]]*Table1334[[#This Row],[DeltaP]]*-1</f>
        <v>0</v>
      </c>
      <c r="AE763">
        <f ca="1">Table1334[[#This Row],[Call Gex]]*Table1334[[#This Row],[DeltaC]]</f>
        <v>0</v>
      </c>
      <c r="AF763">
        <f>IF(Table1334[[#This Row],[DeltaC]]-ABS(Table1334[[#This Row],[DeltaP]])="0","0.01",Table1334[[#This Row],[DeltaC]]-ABS(Table1334[[#This Row],[DeltaP]]))</f>
        <v>0</v>
      </c>
      <c r="AG76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3" t="e">
        <f ca="1">(EXP(-(AG763^2)/2)/SQRT(2*PI())*EXP(0*SQRT(Table1334[[#This Row],[T]]))/$A$4*18%*SQRT(SQRT(Table1334[[#This Row],[T]])))</f>
        <v>#DIV/0!</v>
      </c>
      <c r="AJ763" t="e">
        <f ca="1">(EXP(-(AH763^2)/2)/SQRT(2*PI())*EXP(0*SQRT(Table1334[[#This Row],[T]]))/$A$4*18%*SQRT(SQRT(Table1334[[#This Row],[T]])))</f>
        <v>#DIV/0!</v>
      </c>
      <c r="AK763" t="e">
        <f ca="1">Table1334[[#This Row],[Call D1]]-Table1334[[#This Row],[IV Calc C]]*SQRT(Table1334[[#This Row],[T]])</f>
        <v>#DIV/0!</v>
      </c>
      <c r="AL763" t="e">
        <f ca="1">Table1334[[#This Row],[Put D1]]-Table1334[[#This Row],[IV Calc P]]*SQRT(Table1334[[#This Row],[T]])</f>
        <v>#DIV/0!</v>
      </c>
      <c r="AM763" t="e">
        <f ca="1">EXP(-0.5*Table1334[[#This Row],[Call D1]]^2)/SQRT(2*PI())</f>
        <v>#DIV/0!</v>
      </c>
      <c r="AN763" t="e">
        <f ca="1">EXP(-0.5*Table1334[[#This Row],[Put D1]]^2)/SQRT(2*PI())</f>
        <v>#DIV/0!</v>
      </c>
      <c r="AO76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3">
        <f ca="1">((Table1334[[#This Row],[call vanna]]+Table1334[[#This Row],[put vanna]])*$A$4)</f>
        <v>0</v>
      </c>
      <c r="AR76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3" s="9" t="str" cm="1">
        <f t="array" ref="AT763">_xlfn.IFS(     $M$1="SPX","SPXW",     $M$1="RUT","RUTW",  $M$1="NDX","NDXP",   TRUE,$M$1 )</f>
        <v>SPXW</v>
      </c>
      <c r="AU763" s="2">
        <f t="shared" si="77"/>
        <v>6915</v>
      </c>
      <c r="AV763" t="str">
        <f t="shared" si="78"/>
        <v>000100</v>
      </c>
      <c r="AY76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3">
        <f>((Table1334[[#This Row],[High C]]+Table1334[[#This Row],[Low C]])/2)*Table1334[[#This Row],[gammac]]*Table1334[[#This Row],[Volume]]</f>
        <v>0</v>
      </c>
      <c r="BD763">
        <f>((Table1334[[#This Row],[High P]]+Table1334[[#This Row],[Low P]])/2)*Table1334[[#This Row],[gammap]]*Table1334[[#This Row],[Volume9]]*-1</f>
        <v>0</v>
      </c>
      <c r="BE763">
        <f>(Table1334[[#This Row],[SgammaC]]+Table1334[[#This Row],[SgammaP]])*$A$4*-100</f>
        <v>0</v>
      </c>
      <c r="BF763">
        <f>Table1334[[#This Row],[DEXc]]+Table1334[[#This Row],[DEXp]]</f>
        <v>0</v>
      </c>
      <c r="BG763">
        <f>IFERROR(Table1334[[#This Row],[DeltaC]]*Table1334[[#This Row],[Open.Int]]*$A$4,0)</f>
        <v>0</v>
      </c>
      <c r="BH763">
        <f>IFERROR(Table1334[[#This Row],[DeltaP]]*Table1334[[#This Row],[Open.Int8]]*$A$4,0)</f>
        <v>0</v>
      </c>
      <c r="BI76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3">
        <f ca="1">Table1334[[#This Row],[charmc]]+Table1334[[#This Row],[charmp]]</f>
        <v>0</v>
      </c>
      <c r="BL76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3" s="78">
        <f ca="1">Table1334[[#This Row],[call helper]]+Table1334[[#This Row],[put helper]]</f>
        <v>0</v>
      </c>
      <c r="BP763" t="str">
        <f>RTD("tos.rtd", , "STRIKE", "."&amp;Table1334[[#This Row],[Ticker]]&amp;Table1334[[#This Row],[Expiry]]&amp;""&amp;"C"&amp;Table1334[[#This Row],[Spot]]+Table1334[[#This Row],[step]])</f>
        <v>N/A</v>
      </c>
    </row>
    <row r="764" spans="1:68" x14ac:dyDescent="0.25">
      <c r="A764" s="14">
        <f t="shared" ca="1" si="74"/>
        <v>-126.14810350076104</v>
      </c>
      <c r="C764" s="17"/>
      <c r="D764" t="str">
        <f>RTD("tos.rtd", , "OPEN_INT", "."&amp;Table1334[[#This Row],[Ticker]]&amp;Table1334[[#This Row],[Expiry]]&amp;""&amp;"C"&amp;Table1334[[#This Row],[Spot]]+Table1334[[#This Row],[step]])</f>
        <v>N/A</v>
      </c>
      <c r="E76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4" t="b">
        <f>IF(     ISNUMBER(Table1334[[#This Row],[Strike]]),RTD("tos.rtd", , "DELTA", "."&amp;Table1334[[#This Row],[Ticker]]&amp;Table1334[[#This Row],[Expiry]]&amp;""&amp;"C"&amp;Table1334[[#This Row],[Strike]]))</f>
        <v>0</v>
      </c>
      <c r="H764" s="17" cm="1">
        <f t="array" aca="1" ref="H764" ca="1">IndividualLegIVCore($A$4, Table1334[[#This Row],[Strike]], 0.0411, Table1334[[#This Row],[T]], ((Table1334[[#This Row],[BIDC]]+Table1334[[#This Row],[ASKC]])/2), TRUE)</f>
        <v>0.01</v>
      </c>
      <c r="I764" t="b">
        <f>IF(     ISNUMBER(Table1334[[#This Row],[Strike]]),RTD("tos.rtd", , "BID", "."&amp;Table1334[[#This Row],[Ticker]]&amp;Table1334[[#This Row],[Expiry]]&amp;""&amp;"C"&amp;Table1334[[#This Row],[Strike]]))</f>
        <v>0</v>
      </c>
      <c r="J764" t="b">
        <f>IF(     ISNUMBER(Table1334[[#This Row],[Strike]]),RTD("tos.rtd", , "ASK", "."&amp;Table1334[[#This Row],[Ticker]]&amp;Table1334[[#This Row],[Expiry]]&amp;""&amp;"C"&amp;Table1334[[#This Row],[Strike]]))</f>
        <v>0</v>
      </c>
      <c r="K764" s="17"/>
      <c r="M764" s="1">
        <f t="shared" si="75"/>
        <v>0</v>
      </c>
      <c r="N764" t="b">
        <f t="shared" si="76"/>
        <v>0</v>
      </c>
      <c r="P764" s="17" cm="1">
        <f t="array" aca="1" ref="P764" ca="1">IndividualLegIVCore($A$4, Table1334[[#This Row],[Strike]], 0.0411, Table1334[[#This Row],[T]], ((Table1334[[#This Row],[BIDP]]+Table1334[[#This Row],[ASKP]])/2), FALSE)</f>
        <v>0.01</v>
      </c>
      <c r="Q764" t="b">
        <f>IF(     ISNUMBER(Table1334[[#This Row],[Strike]]),RTD("tos.rtd", , "BID", "."&amp;Table1334[[#This Row],[Ticker]]&amp;Table1334[[#This Row],[Expiry]]&amp;""&amp;"P"&amp;Table1334[[#This Row],[Strike]]))</f>
        <v>0</v>
      </c>
      <c r="R764" t="b">
        <f>IF(     ISNUMBER(Table1334[[#This Row],[Strike]]),RTD("tos.rtd", , "ASK", "."&amp;Table1334[[#This Row],[Ticker]]&amp;Table1334[[#This Row],[Expiry]]&amp;""&amp;"P"&amp;Table1334[[#This Row],[Strike]]))</f>
        <v>0</v>
      </c>
      <c r="S764" s="17"/>
      <c r="T764" t="b">
        <f>IF(     ISNUMBER(Table1334[[#This Row],[Strike]]),RTD("tos.rtd", , "OPEN_INT", "."&amp;Table1334[[#This Row],[Ticker]]&amp;Table1334[[#This Row],[Expiry]]&amp;""&amp;"P"&amp;Table1334[[#This Row],[Strike]]))</f>
        <v>0</v>
      </c>
      <c r="U76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4" t="b">
        <f>IF(     ISNUMBER(Table1334[[#This Row],[Strike]]),RTD("tos.rtd", , "DELTA", "."&amp;Table1334[[#This Row],[Ticker]]&amp;Table1334[[#This Row],[Expiry]]&amp;""&amp;"P"&amp;Table1334[[#This Row],[Strike]]))</f>
        <v>0</v>
      </c>
      <c r="Y764" s="19">
        <f>22.5* IF($M$1="NDX", 10, IF(OR($M$1="SPX", $M$1="RUT"), 2, 1))</f>
        <v>45</v>
      </c>
      <c r="Z764">
        <f ca="1">IFERROR(Table1334[[#This Row],[call gamma]]*(Table1334[[#This Row],[Open.Int]])*$A$4^2,0)</f>
        <v>0</v>
      </c>
      <c r="AA764">
        <f ca="1">IFERROR(((Table1334[[#This Row],[Open.Int8]])*Table1334[[#This Row],[Put gamma]])*-1*$A$4^2,0)</f>
        <v>0</v>
      </c>
      <c r="AB764">
        <f ca="1">(Table1334[[#This Row],[Call Gex]]+Table1334[[#This Row],[Put Gex]])</f>
        <v>0</v>
      </c>
      <c r="AC764">
        <f ca="1">Table1334[[#This Row],[put delta adj]]+Table1334[[#This Row],[call delta adj]]</f>
        <v>0</v>
      </c>
      <c r="AD764">
        <f ca="1">Table1334[[#This Row],[Put Gex]]*Table1334[[#This Row],[DeltaP]]*-1</f>
        <v>0</v>
      </c>
      <c r="AE764">
        <f ca="1">Table1334[[#This Row],[Call Gex]]*Table1334[[#This Row],[DeltaC]]</f>
        <v>0</v>
      </c>
      <c r="AF764">
        <f>IF(Table1334[[#This Row],[DeltaC]]-ABS(Table1334[[#This Row],[DeltaP]])="0","0.01",Table1334[[#This Row],[DeltaC]]-ABS(Table1334[[#This Row],[DeltaP]]))</f>
        <v>0</v>
      </c>
      <c r="AG76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4" t="e">
        <f ca="1">(EXP(-(AG764^2)/2)/SQRT(2*PI())*EXP(0*SQRT(Table1334[[#This Row],[T]]))/$A$4*18%*SQRT(SQRT(Table1334[[#This Row],[T]])))</f>
        <v>#DIV/0!</v>
      </c>
      <c r="AJ764" t="e">
        <f ca="1">(EXP(-(AH764^2)/2)/SQRT(2*PI())*EXP(0*SQRT(Table1334[[#This Row],[T]]))/$A$4*18%*SQRT(SQRT(Table1334[[#This Row],[T]])))</f>
        <v>#DIV/0!</v>
      </c>
      <c r="AK764" t="e">
        <f ca="1">Table1334[[#This Row],[Call D1]]-Table1334[[#This Row],[IV Calc C]]*SQRT(Table1334[[#This Row],[T]])</f>
        <v>#DIV/0!</v>
      </c>
      <c r="AL764" t="e">
        <f ca="1">Table1334[[#This Row],[Put D1]]-Table1334[[#This Row],[IV Calc P]]*SQRT(Table1334[[#This Row],[T]])</f>
        <v>#DIV/0!</v>
      </c>
      <c r="AM764" t="e">
        <f ca="1">EXP(-0.5*Table1334[[#This Row],[Call D1]]^2)/SQRT(2*PI())</f>
        <v>#DIV/0!</v>
      </c>
      <c r="AN764" t="e">
        <f ca="1">EXP(-0.5*Table1334[[#This Row],[Put D1]]^2)/SQRT(2*PI())</f>
        <v>#DIV/0!</v>
      </c>
      <c r="AO76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4">
        <f ca="1">((Table1334[[#This Row],[call vanna]]+Table1334[[#This Row],[put vanna]])*$A$4)</f>
        <v>0</v>
      </c>
      <c r="AR76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4" s="9" t="str" cm="1">
        <f t="array" ref="AT764">_xlfn.IFS(     $M$1="SPX","SPXW",     $M$1="RUT","RUTW",  $M$1="NDX","NDXP",   TRUE,$M$1 )</f>
        <v>SPXW</v>
      </c>
      <c r="AU764" s="2">
        <f t="shared" si="77"/>
        <v>6915</v>
      </c>
      <c r="AV764" t="str">
        <f t="shared" si="78"/>
        <v>000100</v>
      </c>
      <c r="AY76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4">
        <f>((Table1334[[#This Row],[High C]]+Table1334[[#This Row],[Low C]])/2)*Table1334[[#This Row],[gammac]]*Table1334[[#This Row],[Volume]]</f>
        <v>0</v>
      </c>
      <c r="BD764">
        <f>((Table1334[[#This Row],[High P]]+Table1334[[#This Row],[Low P]])/2)*Table1334[[#This Row],[gammap]]*Table1334[[#This Row],[Volume9]]*-1</f>
        <v>0</v>
      </c>
      <c r="BE764">
        <f>(Table1334[[#This Row],[SgammaC]]+Table1334[[#This Row],[SgammaP]])*$A$4*-100</f>
        <v>0</v>
      </c>
      <c r="BF764">
        <f>Table1334[[#This Row],[DEXc]]+Table1334[[#This Row],[DEXp]]</f>
        <v>0</v>
      </c>
      <c r="BG764">
        <f>IFERROR(Table1334[[#This Row],[DeltaC]]*Table1334[[#This Row],[Open.Int]]*$A$4,0)</f>
        <v>0</v>
      </c>
      <c r="BH764">
        <f>IFERROR(Table1334[[#This Row],[DeltaP]]*Table1334[[#This Row],[Open.Int8]]*$A$4,0)</f>
        <v>0</v>
      </c>
      <c r="BI76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4">
        <f ca="1">Table1334[[#This Row],[charmc]]+Table1334[[#This Row],[charmp]]</f>
        <v>0</v>
      </c>
      <c r="BL76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4" s="78">
        <f ca="1">Table1334[[#This Row],[call helper]]+Table1334[[#This Row],[put helper]]</f>
        <v>0</v>
      </c>
      <c r="BP764" t="str">
        <f>RTD("tos.rtd", , "STRIKE", "."&amp;Table1334[[#This Row],[Ticker]]&amp;Table1334[[#This Row],[Expiry]]&amp;""&amp;"C"&amp;Table1334[[#This Row],[Spot]]+Table1334[[#This Row],[step]])</f>
        <v>N/A</v>
      </c>
    </row>
    <row r="765" spans="1:68" x14ac:dyDescent="0.25">
      <c r="A765" s="14">
        <f t="shared" ca="1" si="74"/>
        <v>-126.14810350076104</v>
      </c>
      <c r="C765" s="17"/>
      <c r="D765" t="str">
        <f>RTD("tos.rtd", , "OPEN_INT", "."&amp;Table1334[[#This Row],[Ticker]]&amp;Table1334[[#This Row],[Expiry]]&amp;""&amp;"C"&amp;Table1334[[#This Row],[Spot]]+Table1334[[#This Row],[step]])</f>
        <v>N/A</v>
      </c>
      <c r="E76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5" t="b">
        <f>IF(     ISNUMBER(Table1334[[#This Row],[Strike]]),RTD("tos.rtd", , "DELTA", "."&amp;Table1334[[#This Row],[Ticker]]&amp;Table1334[[#This Row],[Expiry]]&amp;""&amp;"C"&amp;Table1334[[#This Row],[Strike]]))</f>
        <v>0</v>
      </c>
      <c r="H765" s="17" cm="1">
        <f t="array" aca="1" ref="H765" ca="1">IndividualLegIVCore($A$4, Table1334[[#This Row],[Strike]], 0.0411, Table1334[[#This Row],[T]], ((Table1334[[#This Row],[BIDC]]+Table1334[[#This Row],[ASKC]])/2), TRUE)</f>
        <v>0.01</v>
      </c>
      <c r="I765" t="b">
        <f>IF(     ISNUMBER(Table1334[[#This Row],[Strike]]),RTD("tos.rtd", , "BID", "."&amp;Table1334[[#This Row],[Ticker]]&amp;Table1334[[#This Row],[Expiry]]&amp;""&amp;"C"&amp;Table1334[[#This Row],[Strike]]))</f>
        <v>0</v>
      </c>
      <c r="J765" t="b">
        <f>IF(     ISNUMBER(Table1334[[#This Row],[Strike]]),RTD("tos.rtd", , "ASK", "."&amp;Table1334[[#This Row],[Ticker]]&amp;Table1334[[#This Row],[Expiry]]&amp;""&amp;"C"&amp;Table1334[[#This Row],[Strike]]))</f>
        <v>0</v>
      </c>
      <c r="K765" s="17"/>
      <c r="M765" s="1">
        <f t="shared" si="75"/>
        <v>0</v>
      </c>
      <c r="N765" t="b">
        <f t="shared" si="76"/>
        <v>0</v>
      </c>
      <c r="P765" s="17" cm="1">
        <f t="array" aca="1" ref="P765" ca="1">IndividualLegIVCore($A$4, Table1334[[#This Row],[Strike]], 0.0411, Table1334[[#This Row],[T]], ((Table1334[[#This Row],[BIDP]]+Table1334[[#This Row],[ASKP]])/2), FALSE)</f>
        <v>0.01</v>
      </c>
      <c r="Q765" t="b">
        <f>IF(     ISNUMBER(Table1334[[#This Row],[Strike]]),RTD("tos.rtd", , "BID", "."&amp;Table1334[[#This Row],[Ticker]]&amp;Table1334[[#This Row],[Expiry]]&amp;""&amp;"P"&amp;Table1334[[#This Row],[Strike]]))</f>
        <v>0</v>
      </c>
      <c r="R765" t="b">
        <f>IF(     ISNUMBER(Table1334[[#This Row],[Strike]]),RTD("tos.rtd", , "ASK", "."&amp;Table1334[[#This Row],[Ticker]]&amp;Table1334[[#This Row],[Expiry]]&amp;""&amp;"P"&amp;Table1334[[#This Row],[Strike]]))</f>
        <v>0</v>
      </c>
      <c r="S765" s="17"/>
      <c r="T765" t="b">
        <f>IF(     ISNUMBER(Table1334[[#This Row],[Strike]]),RTD("tos.rtd", , "OPEN_INT", "."&amp;Table1334[[#This Row],[Ticker]]&amp;Table1334[[#This Row],[Expiry]]&amp;""&amp;"P"&amp;Table1334[[#This Row],[Strike]]))</f>
        <v>0</v>
      </c>
      <c r="U76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5" t="b">
        <f>IF(     ISNUMBER(Table1334[[#This Row],[Strike]]),RTD("tos.rtd", , "DELTA", "."&amp;Table1334[[#This Row],[Ticker]]&amp;Table1334[[#This Row],[Expiry]]&amp;""&amp;"P"&amp;Table1334[[#This Row],[Strike]]))</f>
        <v>0</v>
      </c>
      <c r="Y765" s="19">
        <f>23* IF($M$1="NDX", 10, IF(OR($M$1="SPX", $M$1="RUT"), 2, 1))</f>
        <v>46</v>
      </c>
      <c r="Z765">
        <f ca="1">IFERROR(Table1334[[#This Row],[call gamma]]*(Table1334[[#This Row],[Open.Int]])*$A$4^2,0)</f>
        <v>0</v>
      </c>
      <c r="AA765">
        <f ca="1">IFERROR(((Table1334[[#This Row],[Open.Int8]])*Table1334[[#This Row],[Put gamma]])*-1*$A$4^2,0)</f>
        <v>0</v>
      </c>
      <c r="AB765">
        <f ca="1">(Table1334[[#This Row],[Call Gex]]+Table1334[[#This Row],[Put Gex]])</f>
        <v>0</v>
      </c>
      <c r="AC765">
        <f ca="1">Table1334[[#This Row],[put delta adj]]+Table1334[[#This Row],[call delta adj]]</f>
        <v>0</v>
      </c>
      <c r="AD765">
        <f ca="1">Table1334[[#This Row],[Put Gex]]*Table1334[[#This Row],[DeltaP]]*-1</f>
        <v>0</v>
      </c>
      <c r="AE765">
        <f ca="1">Table1334[[#This Row],[Call Gex]]*Table1334[[#This Row],[DeltaC]]</f>
        <v>0</v>
      </c>
      <c r="AF765">
        <f>IF(Table1334[[#This Row],[DeltaC]]-ABS(Table1334[[#This Row],[DeltaP]])="0","0.01",Table1334[[#This Row],[DeltaC]]-ABS(Table1334[[#This Row],[DeltaP]]))</f>
        <v>0</v>
      </c>
      <c r="AG76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5" t="e">
        <f ca="1">(EXP(-(AG765^2)/2)/SQRT(2*PI())*EXP(0*SQRT(Table1334[[#This Row],[T]]))/$A$4*18%*SQRT(SQRT(Table1334[[#This Row],[T]])))</f>
        <v>#DIV/0!</v>
      </c>
      <c r="AJ765" t="e">
        <f ca="1">(EXP(-(AH765^2)/2)/SQRT(2*PI())*EXP(0*SQRT(Table1334[[#This Row],[T]]))/$A$4*18%*SQRT(SQRT(Table1334[[#This Row],[T]])))</f>
        <v>#DIV/0!</v>
      </c>
      <c r="AK765" t="e">
        <f ca="1">Table1334[[#This Row],[Call D1]]-Table1334[[#This Row],[IV Calc C]]*SQRT(Table1334[[#This Row],[T]])</f>
        <v>#DIV/0!</v>
      </c>
      <c r="AL765" t="e">
        <f ca="1">Table1334[[#This Row],[Put D1]]-Table1334[[#This Row],[IV Calc P]]*SQRT(Table1334[[#This Row],[T]])</f>
        <v>#DIV/0!</v>
      </c>
      <c r="AM765" t="e">
        <f ca="1">EXP(-0.5*Table1334[[#This Row],[Call D1]]^2)/SQRT(2*PI())</f>
        <v>#DIV/0!</v>
      </c>
      <c r="AN765" t="e">
        <f ca="1">EXP(-0.5*Table1334[[#This Row],[Put D1]]^2)/SQRT(2*PI())</f>
        <v>#DIV/0!</v>
      </c>
      <c r="AO76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5">
        <f ca="1">((Table1334[[#This Row],[call vanna]]+Table1334[[#This Row],[put vanna]])*$A$4)</f>
        <v>0</v>
      </c>
      <c r="AR76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5" s="9" t="str" cm="1">
        <f t="array" ref="AT765">_xlfn.IFS(     $M$1="SPX","SPXW",     $M$1="RUT","RUTW",  $M$1="NDX","NDXP",   TRUE,$M$1 )</f>
        <v>SPXW</v>
      </c>
      <c r="AU765" s="2">
        <f t="shared" si="77"/>
        <v>6915</v>
      </c>
      <c r="AV765" t="str">
        <f t="shared" si="78"/>
        <v>000100</v>
      </c>
      <c r="AY76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5">
        <f>((Table1334[[#This Row],[High C]]+Table1334[[#This Row],[Low C]])/2)*Table1334[[#This Row],[gammac]]*Table1334[[#This Row],[Volume]]</f>
        <v>0</v>
      </c>
      <c r="BD765">
        <f>((Table1334[[#This Row],[High P]]+Table1334[[#This Row],[Low P]])/2)*Table1334[[#This Row],[gammap]]*Table1334[[#This Row],[Volume9]]*-1</f>
        <v>0</v>
      </c>
      <c r="BE765">
        <f>(Table1334[[#This Row],[SgammaC]]+Table1334[[#This Row],[SgammaP]])*$A$4*-100</f>
        <v>0</v>
      </c>
      <c r="BF765">
        <f>Table1334[[#This Row],[DEXc]]+Table1334[[#This Row],[DEXp]]</f>
        <v>0</v>
      </c>
      <c r="BG765">
        <f>IFERROR(Table1334[[#This Row],[DeltaC]]*Table1334[[#This Row],[Open.Int]]*$A$4,0)</f>
        <v>0</v>
      </c>
      <c r="BH765">
        <f>IFERROR(Table1334[[#This Row],[DeltaP]]*Table1334[[#This Row],[Open.Int8]]*$A$4,0)</f>
        <v>0</v>
      </c>
      <c r="BI76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5">
        <f ca="1">Table1334[[#This Row],[charmc]]+Table1334[[#This Row],[charmp]]</f>
        <v>0</v>
      </c>
      <c r="BL76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5" s="78">
        <f ca="1">Table1334[[#This Row],[call helper]]+Table1334[[#This Row],[put helper]]</f>
        <v>0</v>
      </c>
      <c r="BP765" t="str">
        <f>RTD("tos.rtd", , "STRIKE", "."&amp;Table1334[[#This Row],[Ticker]]&amp;Table1334[[#This Row],[Expiry]]&amp;""&amp;"C"&amp;Table1334[[#This Row],[Spot]]+Table1334[[#This Row],[step]])</f>
        <v>N/A</v>
      </c>
    </row>
    <row r="766" spans="1:68" x14ac:dyDescent="0.25">
      <c r="A766" s="14">
        <f t="shared" ca="1" si="74"/>
        <v>-126.14810350076104</v>
      </c>
      <c r="C766" s="17"/>
      <c r="D766" t="str">
        <f>RTD("tos.rtd", , "OPEN_INT", "."&amp;Table1334[[#This Row],[Ticker]]&amp;Table1334[[#This Row],[Expiry]]&amp;""&amp;"C"&amp;Table1334[[#This Row],[Spot]]+Table1334[[#This Row],[step]])</f>
        <v>N/A</v>
      </c>
      <c r="E76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6" t="b">
        <f>IF(     ISNUMBER(Table1334[[#This Row],[Strike]]),RTD("tos.rtd", , "DELTA", "."&amp;Table1334[[#This Row],[Ticker]]&amp;Table1334[[#This Row],[Expiry]]&amp;""&amp;"C"&amp;Table1334[[#This Row],[Strike]]))</f>
        <v>0</v>
      </c>
      <c r="H766" s="17" cm="1">
        <f t="array" aca="1" ref="H766" ca="1">IndividualLegIVCore($A$4, Table1334[[#This Row],[Strike]], 0.0411, Table1334[[#This Row],[T]], ((Table1334[[#This Row],[BIDC]]+Table1334[[#This Row],[ASKC]])/2), TRUE)</f>
        <v>0.01</v>
      </c>
      <c r="I766" t="b">
        <f>IF(     ISNUMBER(Table1334[[#This Row],[Strike]]),RTD("tos.rtd", , "BID", "."&amp;Table1334[[#This Row],[Ticker]]&amp;Table1334[[#This Row],[Expiry]]&amp;""&amp;"C"&amp;Table1334[[#This Row],[Strike]]))</f>
        <v>0</v>
      </c>
      <c r="J766" t="b">
        <f>IF(     ISNUMBER(Table1334[[#This Row],[Strike]]),RTD("tos.rtd", , "ASK", "."&amp;Table1334[[#This Row],[Ticker]]&amp;Table1334[[#This Row],[Expiry]]&amp;""&amp;"C"&amp;Table1334[[#This Row],[Strike]]))</f>
        <v>0</v>
      </c>
      <c r="K766" s="17"/>
      <c r="M766" s="1">
        <f t="shared" si="75"/>
        <v>0</v>
      </c>
      <c r="N766" t="b">
        <f t="shared" si="76"/>
        <v>0</v>
      </c>
      <c r="P766" s="17" cm="1">
        <f t="array" aca="1" ref="P766" ca="1">IndividualLegIVCore($A$4, Table1334[[#This Row],[Strike]], 0.0411, Table1334[[#This Row],[T]], ((Table1334[[#This Row],[BIDP]]+Table1334[[#This Row],[ASKP]])/2), FALSE)</f>
        <v>0.01</v>
      </c>
      <c r="Q766" t="b">
        <f>IF(     ISNUMBER(Table1334[[#This Row],[Strike]]),RTD("tos.rtd", , "BID", "."&amp;Table1334[[#This Row],[Ticker]]&amp;Table1334[[#This Row],[Expiry]]&amp;""&amp;"P"&amp;Table1334[[#This Row],[Strike]]))</f>
        <v>0</v>
      </c>
      <c r="R766" t="b">
        <f>IF(     ISNUMBER(Table1334[[#This Row],[Strike]]),RTD("tos.rtd", , "ASK", "."&amp;Table1334[[#This Row],[Ticker]]&amp;Table1334[[#This Row],[Expiry]]&amp;""&amp;"P"&amp;Table1334[[#This Row],[Strike]]))</f>
        <v>0</v>
      </c>
      <c r="S766" s="17"/>
      <c r="T766" t="b">
        <f>IF(     ISNUMBER(Table1334[[#This Row],[Strike]]),RTD("tos.rtd", , "OPEN_INT", "."&amp;Table1334[[#This Row],[Ticker]]&amp;Table1334[[#This Row],[Expiry]]&amp;""&amp;"P"&amp;Table1334[[#This Row],[Strike]]))</f>
        <v>0</v>
      </c>
      <c r="U76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6" t="b">
        <f>IF(     ISNUMBER(Table1334[[#This Row],[Strike]]),RTD("tos.rtd", , "DELTA", "."&amp;Table1334[[#This Row],[Ticker]]&amp;Table1334[[#This Row],[Expiry]]&amp;""&amp;"P"&amp;Table1334[[#This Row],[Strike]]))</f>
        <v>0</v>
      </c>
      <c r="Y766" s="19">
        <f>23.5* IF($M$1="NDX", 10, IF(OR($M$1="SPX", $M$1="RUT"), 2, 1))</f>
        <v>47</v>
      </c>
      <c r="Z766">
        <f ca="1">IFERROR(Table1334[[#This Row],[call gamma]]*(Table1334[[#This Row],[Open.Int]])*$A$4^2,0)</f>
        <v>0</v>
      </c>
      <c r="AA766">
        <f ca="1">IFERROR(((Table1334[[#This Row],[Open.Int8]])*Table1334[[#This Row],[Put gamma]])*-1*$A$4^2,0)</f>
        <v>0</v>
      </c>
      <c r="AB766">
        <f ca="1">(Table1334[[#This Row],[Call Gex]]+Table1334[[#This Row],[Put Gex]])</f>
        <v>0</v>
      </c>
      <c r="AC766">
        <f ca="1">Table1334[[#This Row],[put delta adj]]+Table1334[[#This Row],[call delta adj]]</f>
        <v>0</v>
      </c>
      <c r="AD766">
        <f ca="1">Table1334[[#This Row],[Put Gex]]*Table1334[[#This Row],[DeltaP]]*-1</f>
        <v>0</v>
      </c>
      <c r="AE766">
        <f ca="1">Table1334[[#This Row],[Call Gex]]*Table1334[[#This Row],[DeltaC]]</f>
        <v>0</v>
      </c>
      <c r="AF766">
        <f>IF(Table1334[[#This Row],[DeltaC]]-ABS(Table1334[[#This Row],[DeltaP]])="0","0.01",Table1334[[#This Row],[DeltaC]]-ABS(Table1334[[#This Row],[DeltaP]]))</f>
        <v>0</v>
      </c>
      <c r="AG76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6" t="e">
        <f ca="1">(EXP(-(AG766^2)/2)/SQRT(2*PI())*EXP(0*SQRT(Table1334[[#This Row],[T]]))/$A$4*18%*SQRT(SQRT(Table1334[[#This Row],[T]])))</f>
        <v>#DIV/0!</v>
      </c>
      <c r="AJ766" t="e">
        <f ca="1">(EXP(-(AH766^2)/2)/SQRT(2*PI())*EXP(0*SQRT(Table1334[[#This Row],[T]]))/$A$4*18%*SQRT(SQRT(Table1334[[#This Row],[T]])))</f>
        <v>#DIV/0!</v>
      </c>
      <c r="AK766" t="e">
        <f ca="1">Table1334[[#This Row],[Call D1]]-Table1334[[#This Row],[IV Calc C]]*SQRT(Table1334[[#This Row],[T]])</f>
        <v>#DIV/0!</v>
      </c>
      <c r="AL766" t="e">
        <f ca="1">Table1334[[#This Row],[Put D1]]-Table1334[[#This Row],[IV Calc P]]*SQRT(Table1334[[#This Row],[T]])</f>
        <v>#DIV/0!</v>
      </c>
      <c r="AM766" t="e">
        <f ca="1">EXP(-0.5*Table1334[[#This Row],[Call D1]]^2)/SQRT(2*PI())</f>
        <v>#DIV/0!</v>
      </c>
      <c r="AN766" t="e">
        <f ca="1">EXP(-0.5*Table1334[[#This Row],[Put D1]]^2)/SQRT(2*PI())</f>
        <v>#DIV/0!</v>
      </c>
      <c r="AO76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6">
        <f ca="1">((Table1334[[#This Row],[call vanna]]+Table1334[[#This Row],[put vanna]])*$A$4)</f>
        <v>0</v>
      </c>
      <c r="AR76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6" s="9" t="str" cm="1">
        <f t="array" ref="AT766">_xlfn.IFS(     $M$1="SPX","SPXW",     $M$1="RUT","RUTW",  $M$1="NDX","NDXP",   TRUE,$M$1 )</f>
        <v>SPXW</v>
      </c>
      <c r="AU766" s="2">
        <f t="shared" si="77"/>
        <v>6915</v>
      </c>
      <c r="AV766" t="str">
        <f t="shared" si="78"/>
        <v>000100</v>
      </c>
      <c r="AY76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6">
        <f>((Table1334[[#This Row],[High C]]+Table1334[[#This Row],[Low C]])/2)*Table1334[[#This Row],[gammac]]*Table1334[[#This Row],[Volume]]</f>
        <v>0</v>
      </c>
      <c r="BD766">
        <f>((Table1334[[#This Row],[High P]]+Table1334[[#This Row],[Low P]])/2)*Table1334[[#This Row],[gammap]]*Table1334[[#This Row],[Volume9]]*-1</f>
        <v>0</v>
      </c>
      <c r="BE766">
        <f>(Table1334[[#This Row],[SgammaC]]+Table1334[[#This Row],[SgammaP]])*$A$4*-100</f>
        <v>0</v>
      </c>
      <c r="BF766">
        <f>Table1334[[#This Row],[DEXc]]+Table1334[[#This Row],[DEXp]]</f>
        <v>0</v>
      </c>
      <c r="BG766">
        <f>IFERROR(Table1334[[#This Row],[DeltaC]]*Table1334[[#This Row],[Open.Int]]*$A$4,0)</f>
        <v>0</v>
      </c>
      <c r="BH766">
        <f>IFERROR(Table1334[[#This Row],[DeltaP]]*Table1334[[#This Row],[Open.Int8]]*$A$4,0)</f>
        <v>0</v>
      </c>
      <c r="BI76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6">
        <f ca="1">Table1334[[#This Row],[charmc]]+Table1334[[#This Row],[charmp]]</f>
        <v>0</v>
      </c>
      <c r="BL76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6" s="78">
        <f ca="1">Table1334[[#This Row],[call helper]]+Table1334[[#This Row],[put helper]]</f>
        <v>0</v>
      </c>
      <c r="BP766" t="str">
        <f>RTD("tos.rtd", , "STRIKE", "."&amp;Table1334[[#This Row],[Ticker]]&amp;Table1334[[#This Row],[Expiry]]&amp;""&amp;"C"&amp;Table1334[[#This Row],[Spot]]+Table1334[[#This Row],[step]])</f>
        <v>N/A</v>
      </c>
    </row>
    <row r="767" spans="1:68" x14ac:dyDescent="0.25">
      <c r="A767" s="14">
        <f t="shared" ca="1" si="74"/>
        <v>-126.14810350076104</v>
      </c>
      <c r="C767" s="17"/>
      <c r="D767" t="str">
        <f>RTD("tos.rtd", , "OPEN_INT", "."&amp;Table1334[[#This Row],[Ticker]]&amp;Table1334[[#This Row],[Expiry]]&amp;""&amp;"C"&amp;Table1334[[#This Row],[Spot]]+Table1334[[#This Row],[step]])</f>
        <v>N/A</v>
      </c>
      <c r="E76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7" t="b">
        <f>IF(     ISNUMBER(Table1334[[#This Row],[Strike]]),RTD("tos.rtd", , "DELTA", "."&amp;Table1334[[#This Row],[Ticker]]&amp;Table1334[[#This Row],[Expiry]]&amp;""&amp;"C"&amp;Table1334[[#This Row],[Strike]]))</f>
        <v>0</v>
      </c>
      <c r="H767" s="17" cm="1">
        <f t="array" aca="1" ref="H767" ca="1">IndividualLegIVCore($A$4, Table1334[[#This Row],[Strike]], 0.0411, Table1334[[#This Row],[T]], ((Table1334[[#This Row],[BIDC]]+Table1334[[#This Row],[ASKC]])/2), TRUE)</f>
        <v>0.01</v>
      </c>
      <c r="I767" t="b">
        <f>IF(     ISNUMBER(Table1334[[#This Row],[Strike]]),RTD("tos.rtd", , "BID", "."&amp;Table1334[[#This Row],[Ticker]]&amp;Table1334[[#This Row],[Expiry]]&amp;""&amp;"C"&amp;Table1334[[#This Row],[Strike]]))</f>
        <v>0</v>
      </c>
      <c r="J767" t="b">
        <f>IF(     ISNUMBER(Table1334[[#This Row],[Strike]]),RTD("tos.rtd", , "ASK", "."&amp;Table1334[[#This Row],[Ticker]]&amp;Table1334[[#This Row],[Expiry]]&amp;""&amp;"C"&amp;Table1334[[#This Row],[Strike]]))</f>
        <v>0</v>
      </c>
      <c r="K767" s="17"/>
      <c r="M767" s="1">
        <f t="shared" si="75"/>
        <v>0</v>
      </c>
      <c r="N767" t="b">
        <f t="shared" si="76"/>
        <v>0</v>
      </c>
      <c r="P767" s="17" cm="1">
        <f t="array" aca="1" ref="P767" ca="1">IndividualLegIVCore($A$4, Table1334[[#This Row],[Strike]], 0.0411, Table1334[[#This Row],[T]], ((Table1334[[#This Row],[BIDP]]+Table1334[[#This Row],[ASKP]])/2), FALSE)</f>
        <v>0.01</v>
      </c>
      <c r="Q767" t="b">
        <f>IF(     ISNUMBER(Table1334[[#This Row],[Strike]]),RTD("tos.rtd", , "BID", "."&amp;Table1334[[#This Row],[Ticker]]&amp;Table1334[[#This Row],[Expiry]]&amp;""&amp;"P"&amp;Table1334[[#This Row],[Strike]]))</f>
        <v>0</v>
      </c>
      <c r="R767" t="b">
        <f>IF(     ISNUMBER(Table1334[[#This Row],[Strike]]),RTD("tos.rtd", , "ASK", "."&amp;Table1334[[#This Row],[Ticker]]&amp;Table1334[[#This Row],[Expiry]]&amp;""&amp;"P"&amp;Table1334[[#This Row],[Strike]]))</f>
        <v>0</v>
      </c>
      <c r="S767" s="17"/>
      <c r="T767" t="b">
        <f>IF(     ISNUMBER(Table1334[[#This Row],[Strike]]),RTD("tos.rtd", , "OPEN_INT", "."&amp;Table1334[[#This Row],[Ticker]]&amp;Table1334[[#This Row],[Expiry]]&amp;""&amp;"P"&amp;Table1334[[#This Row],[Strike]]))</f>
        <v>0</v>
      </c>
      <c r="U76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7" t="b">
        <f>IF(     ISNUMBER(Table1334[[#This Row],[Strike]]),RTD("tos.rtd", , "DELTA", "."&amp;Table1334[[#This Row],[Ticker]]&amp;Table1334[[#This Row],[Expiry]]&amp;""&amp;"P"&amp;Table1334[[#This Row],[Strike]]))</f>
        <v>0</v>
      </c>
      <c r="Y767" s="19">
        <f>24* IF($M$1="NDX", 10, IF(OR($M$1="SPX", $M$1="RUT"), 2, 1))</f>
        <v>48</v>
      </c>
      <c r="Z767">
        <f ca="1">IFERROR(Table1334[[#This Row],[call gamma]]*(Table1334[[#This Row],[Open.Int]])*$A$4^2,0)</f>
        <v>0</v>
      </c>
      <c r="AA767">
        <f ca="1">IFERROR(((Table1334[[#This Row],[Open.Int8]])*Table1334[[#This Row],[Put gamma]])*-1*$A$4^2,0)</f>
        <v>0</v>
      </c>
      <c r="AB767">
        <f ca="1">(Table1334[[#This Row],[Call Gex]]+Table1334[[#This Row],[Put Gex]])</f>
        <v>0</v>
      </c>
      <c r="AC767">
        <f ca="1">Table1334[[#This Row],[put delta adj]]+Table1334[[#This Row],[call delta adj]]</f>
        <v>0</v>
      </c>
      <c r="AD767">
        <f ca="1">Table1334[[#This Row],[Put Gex]]*Table1334[[#This Row],[DeltaP]]*-1</f>
        <v>0</v>
      </c>
      <c r="AE767">
        <f ca="1">Table1334[[#This Row],[Call Gex]]*Table1334[[#This Row],[DeltaC]]</f>
        <v>0</v>
      </c>
      <c r="AF767">
        <f>IF(Table1334[[#This Row],[DeltaC]]-ABS(Table1334[[#This Row],[DeltaP]])="0","0.01",Table1334[[#This Row],[DeltaC]]-ABS(Table1334[[#This Row],[DeltaP]]))</f>
        <v>0</v>
      </c>
      <c r="AG76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7" t="e">
        <f ca="1">(EXP(-(AG767^2)/2)/SQRT(2*PI())*EXP(0*SQRT(Table1334[[#This Row],[T]]))/$A$4*18%*SQRT(SQRT(Table1334[[#This Row],[T]])))</f>
        <v>#DIV/0!</v>
      </c>
      <c r="AJ767" t="e">
        <f ca="1">(EXP(-(AH767^2)/2)/SQRT(2*PI())*EXP(0*SQRT(Table1334[[#This Row],[T]]))/$A$4*18%*SQRT(SQRT(Table1334[[#This Row],[T]])))</f>
        <v>#DIV/0!</v>
      </c>
      <c r="AK767" t="e">
        <f ca="1">Table1334[[#This Row],[Call D1]]-Table1334[[#This Row],[IV Calc C]]*SQRT(Table1334[[#This Row],[T]])</f>
        <v>#DIV/0!</v>
      </c>
      <c r="AL767" t="e">
        <f ca="1">Table1334[[#This Row],[Put D1]]-Table1334[[#This Row],[IV Calc P]]*SQRT(Table1334[[#This Row],[T]])</f>
        <v>#DIV/0!</v>
      </c>
      <c r="AM767" t="e">
        <f ca="1">EXP(-0.5*Table1334[[#This Row],[Call D1]]^2)/SQRT(2*PI())</f>
        <v>#DIV/0!</v>
      </c>
      <c r="AN767" t="e">
        <f ca="1">EXP(-0.5*Table1334[[#This Row],[Put D1]]^2)/SQRT(2*PI())</f>
        <v>#DIV/0!</v>
      </c>
      <c r="AO76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7">
        <f ca="1">((Table1334[[#This Row],[call vanna]]+Table1334[[#This Row],[put vanna]])*$A$4)</f>
        <v>0</v>
      </c>
      <c r="AR76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7" s="9" t="str" cm="1">
        <f t="array" ref="AT767">_xlfn.IFS(     $M$1="SPX","SPXW",     $M$1="RUT","RUTW",  $M$1="NDX","NDXP",   TRUE,$M$1 )</f>
        <v>SPXW</v>
      </c>
      <c r="AU767" s="2">
        <f t="shared" si="77"/>
        <v>6915</v>
      </c>
      <c r="AV767" t="str">
        <f t="shared" si="78"/>
        <v>000100</v>
      </c>
      <c r="AY76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7">
        <f>((Table1334[[#This Row],[High C]]+Table1334[[#This Row],[Low C]])/2)*Table1334[[#This Row],[gammac]]*Table1334[[#This Row],[Volume]]</f>
        <v>0</v>
      </c>
      <c r="BD767">
        <f>((Table1334[[#This Row],[High P]]+Table1334[[#This Row],[Low P]])/2)*Table1334[[#This Row],[gammap]]*Table1334[[#This Row],[Volume9]]*-1</f>
        <v>0</v>
      </c>
      <c r="BE767">
        <f>(Table1334[[#This Row],[SgammaC]]+Table1334[[#This Row],[SgammaP]])*$A$4*-100</f>
        <v>0</v>
      </c>
      <c r="BF767">
        <f>Table1334[[#This Row],[DEXc]]+Table1334[[#This Row],[DEXp]]</f>
        <v>0</v>
      </c>
      <c r="BG767">
        <f>IFERROR(Table1334[[#This Row],[DeltaC]]*Table1334[[#This Row],[Open.Int]]*$A$4,0)</f>
        <v>0</v>
      </c>
      <c r="BH767">
        <f>IFERROR(Table1334[[#This Row],[DeltaP]]*Table1334[[#This Row],[Open.Int8]]*$A$4,0)</f>
        <v>0</v>
      </c>
      <c r="BI76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7">
        <f ca="1">Table1334[[#This Row],[charmc]]+Table1334[[#This Row],[charmp]]</f>
        <v>0</v>
      </c>
      <c r="BL76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7" s="78">
        <f ca="1">Table1334[[#This Row],[call helper]]+Table1334[[#This Row],[put helper]]</f>
        <v>0</v>
      </c>
      <c r="BP767" t="str">
        <f>RTD("tos.rtd", , "STRIKE", "."&amp;Table1334[[#This Row],[Ticker]]&amp;Table1334[[#This Row],[Expiry]]&amp;""&amp;"C"&amp;Table1334[[#This Row],[Spot]]+Table1334[[#This Row],[step]])</f>
        <v>N/A</v>
      </c>
    </row>
    <row r="768" spans="1:68" x14ac:dyDescent="0.25">
      <c r="A768" s="14">
        <f t="shared" ca="1" si="74"/>
        <v>-126.14810350076104</v>
      </c>
      <c r="C768" s="17"/>
      <c r="D768" t="str">
        <f>RTD("tos.rtd", , "OPEN_INT", "."&amp;Table1334[[#This Row],[Ticker]]&amp;Table1334[[#This Row],[Expiry]]&amp;""&amp;"C"&amp;Table1334[[#This Row],[Spot]]+Table1334[[#This Row],[step]])</f>
        <v>N/A</v>
      </c>
      <c r="E76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8" t="b">
        <f>IF(     ISNUMBER(Table1334[[#This Row],[Strike]]),RTD("tos.rtd", , "DELTA", "."&amp;Table1334[[#This Row],[Ticker]]&amp;Table1334[[#This Row],[Expiry]]&amp;""&amp;"C"&amp;Table1334[[#This Row],[Strike]]))</f>
        <v>0</v>
      </c>
      <c r="H768" s="17" cm="1">
        <f t="array" aca="1" ref="H768" ca="1">IndividualLegIVCore($A$4, Table1334[[#This Row],[Strike]], 0.0411, Table1334[[#This Row],[T]], ((Table1334[[#This Row],[BIDC]]+Table1334[[#This Row],[ASKC]])/2), TRUE)</f>
        <v>0.01</v>
      </c>
      <c r="I768" t="b">
        <f>IF(     ISNUMBER(Table1334[[#This Row],[Strike]]),RTD("tos.rtd", , "BID", "."&amp;Table1334[[#This Row],[Ticker]]&amp;Table1334[[#This Row],[Expiry]]&amp;""&amp;"C"&amp;Table1334[[#This Row],[Strike]]))</f>
        <v>0</v>
      </c>
      <c r="J768" t="b">
        <f>IF(     ISNUMBER(Table1334[[#This Row],[Strike]]),RTD("tos.rtd", , "ASK", "."&amp;Table1334[[#This Row],[Ticker]]&amp;Table1334[[#This Row],[Expiry]]&amp;""&amp;"C"&amp;Table1334[[#This Row],[Strike]]))</f>
        <v>0</v>
      </c>
      <c r="K768" s="17"/>
      <c r="M768" s="1">
        <f t="shared" si="75"/>
        <v>0</v>
      </c>
      <c r="N768" t="b">
        <f t="shared" si="76"/>
        <v>0</v>
      </c>
      <c r="P768" s="17" cm="1">
        <f t="array" aca="1" ref="P768" ca="1">IndividualLegIVCore($A$4, Table1334[[#This Row],[Strike]], 0.0411, Table1334[[#This Row],[T]], ((Table1334[[#This Row],[BIDP]]+Table1334[[#This Row],[ASKP]])/2), FALSE)</f>
        <v>0.01</v>
      </c>
      <c r="Q768" t="b">
        <f>IF(     ISNUMBER(Table1334[[#This Row],[Strike]]),RTD("tos.rtd", , "BID", "."&amp;Table1334[[#This Row],[Ticker]]&amp;Table1334[[#This Row],[Expiry]]&amp;""&amp;"P"&amp;Table1334[[#This Row],[Strike]]))</f>
        <v>0</v>
      </c>
      <c r="R768" t="b">
        <f>IF(     ISNUMBER(Table1334[[#This Row],[Strike]]),RTD("tos.rtd", , "ASK", "."&amp;Table1334[[#This Row],[Ticker]]&amp;Table1334[[#This Row],[Expiry]]&amp;""&amp;"P"&amp;Table1334[[#This Row],[Strike]]))</f>
        <v>0</v>
      </c>
      <c r="S768" s="17"/>
      <c r="T768" t="b">
        <f>IF(     ISNUMBER(Table1334[[#This Row],[Strike]]),RTD("tos.rtd", , "OPEN_INT", "."&amp;Table1334[[#This Row],[Ticker]]&amp;Table1334[[#This Row],[Expiry]]&amp;""&amp;"P"&amp;Table1334[[#This Row],[Strike]]))</f>
        <v>0</v>
      </c>
      <c r="U76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8" t="b">
        <f>IF(     ISNUMBER(Table1334[[#This Row],[Strike]]),RTD("tos.rtd", , "DELTA", "."&amp;Table1334[[#This Row],[Ticker]]&amp;Table1334[[#This Row],[Expiry]]&amp;""&amp;"P"&amp;Table1334[[#This Row],[Strike]]))</f>
        <v>0</v>
      </c>
      <c r="Y768" s="19">
        <f>24.5* IF($M$1="NDX", 10, IF(OR($M$1="SPX", $M$1="RUT"), 2, 1))</f>
        <v>49</v>
      </c>
      <c r="Z768">
        <f ca="1">IFERROR(Table1334[[#This Row],[call gamma]]*(Table1334[[#This Row],[Open.Int]])*$A$4^2,0)</f>
        <v>0</v>
      </c>
      <c r="AA768">
        <f ca="1">IFERROR(((Table1334[[#This Row],[Open.Int8]])*Table1334[[#This Row],[Put gamma]])*-1*$A$4^2,0)</f>
        <v>0</v>
      </c>
      <c r="AB768">
        <f ca="1">(Table1334[[#This Row],[Call Gex]]+Table1334[[#This Row],[Put Gex]])</f>
        <v>0</v>
      </c>
      <c r="AC768">
        <f ca="1">Table1334[[#This Row],[put delta adj]]+Table1334[[#This Row],[call delta adj]]</f>
        <v>0</v>
      </c>
      <c r="AD768">
        <f ca="1">Table1334[[#This Row],[Put Gex]]*Table1334[[#This Row],[DeltaP]]*-1</f>
        <v>0</v>
      </c>
      <c r="AE768">
        <f ca="1">Table1334[[#This Row],[Call Gex]]*Table1334[[#This Row],[DeltaC]]</f>
        <v>0</v>
      </c>
      <c r="AF768">
        <f>IF(Table1334[[#This Row],[DeltaC]]-ABS(Table1334[[#This Row],[DeltaP]])="0","0.01",Table1334[[#This Row],[DeltaC]]-ABS(Table1334[[#This Row],[DeltaP]]))</f>
        <v>0</v>
      </c>
      <c r="AG76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8" t="e">
        <f ca="1">(EXP(-(AG768^2)/2)/SQRT(2*PI())*EXP(0*SQRT(Table1334[[#This Row],[T]]))/$A$4*18%*SQRT(SQRT(Table1334[[#This Row],[T]])))</f>
        <v>#DIV/0!</v>
      </c>
      <c r="AJ768" t="e">
        <f ca="1">(EXP(-(AH768^2)/2)/SQRT(2*PI())*EXP(0*SQRT(Table1334[[#This Row],[T]]))/$A$4*18%*SQRT(SQRT(Table1334[[#This Row],[T]])))</f>
        <v>#DIV/0!</v>
      </c>
      <c r="AK768" t="e">
        <f ca="1">Table1334[[#This Row],[Call D1]]-Table1334[[#This Row],[IV Calc C]]*SQRT(Table1334[[#This Row],[T]])</f>
        <v>#DIV/0!</v>
      </c>
      <c r="AL768" t="e">
        <f ca="1">Table1334[[#This Row],[Put D1]]-Table1334[[#This Row],[IV Calc P]]*SQRT(Table1334[[#This Row],[T]])</f>
        <v>#DIV/0!</v>
      </c>
      <c r="AM768" t="e">
        <f ca="1">EXP(-0.5*Table1334[[#This Row],[Call D1]]^2)/SQRT(2*PI())</f>
        <v>#DIV/0!</v>
      </c>
      <c r="AN768" t="e">
        <f ca="1">EXP(-0.5*Table1334[[#This Row],[Put D1]]^2)/SQRT(2*PI())</f>
        <v>#DIV/0!</v>
      </c>
      <c r="AO76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8">
        <f ca="1">((Table1334[[#This Row],[call vanna]]+Table1334[[#This Row],[put vanna]])*$A$4)</f>
        <v>0</v>
      </c>
      <c r="AR76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8" s="9" t="str" cm="1">
        <f t="array" ref="AT768">_xlfn.IFS(     $M$1="SPX","SPXW",     $M$1="RUT","RUTW",  $M$1="NDX","NDXP",   TRUE,$M$1 )</f>
        <v>SPXW</v>
      </c>
      <c r="AU768" s="2">
        <f t="shared" si="77"/>
        <v>6915</v>
      </c>
      <c r="AV768" t="str">
        <f t="shared" si="78"/>
        <v>000100</v>
      </c>
      <c r="AY76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8">
        <f>((Table1334[[#This Row],[High C]]+Table1334[[#This Row],[Low C]])/2)*Table1334[[#This Row],[gammac]]*Table1334[[#This Row],[Volume]]</f>
        <v>0</v>
      </c>
      <c r="BD768">
        <f>((Table1334[[#This Row],[High P]]+Table1334[[#This Row],[Low P]])/2)*Table1334[[#This Row],[gammap]]*Table1334[[#This Row],[Volume9]]*-1</f>
        <v>0</v>
      </c>
      <c r="BE768">
        <f>(Table1334[[#This Row],[SgammaC]]+Table1334[[#This Row],[SgammaP]])*$A$4*-100</f>
        <v>0</v>
      </c>
      <c r="BF768">
        <f>Table1334[[#This Row],[DEXc]]+Table1334[[#This Row],[DEXp]]</f>
        <v>0</v>
      </c>
      <c r="BG768">
        <f>IFERROR(Table1334[[#This Row],[DeltaC]]*Table1334[[#This Row],[Open.Int]]*$A$4,0)</f>
        <v>0</v>
      </c>
      <c r="BH768">
        <f>IFERROR(Table1334[[#This Row],[DeltaP]]*Table1334[[#This Row],[Open.Int8]]*$A$4,0)</f>
        <v>0</v>
      </c>
      <c r="BI76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8">
        <f ca="1">Table1334[[#This Row],[charmc]]+Table1334[[#This Row],[charmp]]</f>
        <v>0</v>
      </c>
      <c r="BL76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8" s="78">
        <f ca="1">Table1334[[#This Row],[call helper]]+Table1334[[#This Row],[put helper]]</f>
        <v>0</v>
      </c>
      <c r="BP768" t="str">
        <f>RTD("tos.rtd", , "STRIKE", "."&amp;Table1334[[#This Row],[Ticker]]&amp;Table1334[[#This Row],[Expiry]]&amp;""&amp;"C"&amp;Table1334[[#This Row],[Spot]]+Table1334[[#This Row],[step]])</f>
        <v>N/A</v>
      </c>
    </row>
    <row r="769" spans="1:68" x14ac:dyDescent="0.25">
      <c r="A769" s="14">
        <f t="shared" ca="1" si="74"/>
        <v>-126.14810350076104</v>
      </c>
      <c r="C769" s="17"/>
      <c r="D769" t="str">
        <f>RTD("tos.rtd", , "OPEN_INT", "."&amp;Table1334[[#This Row],[Ticker]]&amp;Table1334[[#This Row],[Expiry]]&amp;""&amp;"C"&amp;Table1334[[#This Row],[Spot]]+Table1334[[#This Row],[step]])</f>
        <v>N/A</v>
      </c>
      <c r="E76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9" t="b">
        <f>IF(     ISNUMBER(Table1334[[#This Row],[Strike]]),RTD("tos.rtd", , "DELTA", "."&amp;Table1334[[#This Row],[Ticker]]&amp;Table1334[[#This Row],[Expiry]]&amp;""&amp;"C"&amp;Table1334[[#This Row],[Strike]]))</f>
        <v>0</v>
      </c>
      <c r="H769" s="17" cm="1">
        <f t="array" aca="1" ref="H769" ca="1">IndividualLegIVCore($A$4, Table1334[[#This Row],[Strike]], 0.0411, Table1334[[#This Row],[T]], ((Table1334[[#This Row],[BIDC]]+Table1334[[#This Row],[ASKC]])/2), TRUE)</f>
        <v>0.01</v>
      </c>
      <c r="I769" t="b">
        <f>IF(     ISNUMBER(Table1334[[#This Row],[Strike]]),RTD("tos.rtd", , "BID", "."&amp;Table1334[[#This Row],[Ticker]]&amp;Table1334[[#This Row],[Expiry]]&amp;""&amp;"C"&amp;Table1334[[#This Row],[Strike]]))</f>
        <v>0</v>
      </c>
      <c r="J769" t="b">
        <f>IF(     ISNUMBER(Table1334[[#This Row],[Strike]]),RTD("tos.rtd", , "ASK", "."&amp;Table1334[[#This Row],[Ticker]]&amp;Table1334[[#This Row],[Expiry]]&amp;""&amp;"C"&amp;Table1334[[#This Row],[Strike]]))</f>
        <v>0</v>
      </c>
      <c r="K769" s="17"/>
      <c r="M769" s="1">
        <f t="shared" si="75"/>
        <v>0</v>
      </c>
      <c r="N769" t="b">
        <f t="shared" si="76"/>
        <v>0</v>
      </c>
      <c r="P769" s="17" cm="1">
        <f t="array" aca="1" ref="P769" ca="1">IndividualLegIVCore($A$4, Table1334[[#This Row],[Strike]], 0.0411, Table1334[[#This Row],[T]], ((Table1334[[#This Row],[BIDP]]+Table1334[[#This Row],[ASKP]])/2), FALSE)</f>
        <v>0.01</v>
      </c>
      <c r="Q769" t="b">
        <f>IF(     ISNUMBER(Table1334[[#This Row],[Strike]]),RTD("tos.rtd", , "BID", "."&amp;Table1334[[#This Row],[Ticker]]&amp;Table1334[[#This Row],[Expiry]]&amp;""&amp;"P"&amp;Table1334[[#This Row],[Strike]]))</f>
        <v>0</v>
      </c>
      <c r="R769" t="b">
        <f>IF(     ISNUMBER(Table1334[[#This Row],[Strike]]),RTD("tos.rtd", , "ASK", "."&amp;Table1334[[#This Row],[Ticker]]&amp;Table1334[[#This Row],[Expiry]]&amp;""&amp;"P"&amp;Table1334[[#This Row],[Strike]]))</f>
        <v>0</v>
      </c>
      <c r="S769" s="17"/>
      <c r="T769" t="b">
        <f>IF(     ISNUMBER(Table1334[[#This Row],[Strike]]),RTD("tos.rtd", , "OPEN_INT", "."&amp;Table1334[[#This Row],[Ticker]]&amp;Table1334[[#This Row],[Expiry]]&amp;""&amp;"P"&amp;Table1334[[#This Row],[Strike]]))</f>
        <v>0</v>
      </c>
      <c r="U76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9" t="b">
        <f>IF(     ISNUMBER(Table1334[[#This Row],[Strike]]),RTD("tos.rtd", , "DELTA", "."&amp;Table1334[[#This Row],[Ticker]]&amp;Table1334[[#This Row],[Expiry]]&amp;""&amp;"P"&amp;Table1334[[#This Row],[Strike]]))</f>
        <v>0</v>
      </c>
      <c r="Y769" s="19">
        <f>25* IF($M$1="NDX", 10, IF(OR($M$1="SPX", $M$1="RUT"), 2, 1))</f>
        <v>50</v>
      </c>
      <c r="Z769">
        <f ca="1">IFERROR(Table1334[[#This Row],[call gamma]]*(Table1334[[#This Row],[Open.Int]])*$A$4^2,0)</f>
        <v>0</v>
      </c>
      <c r="AA769">
        <f ca="1">IFERROR(((Table1334[[#This Row],[Open.Int8]])*Table1334[[#This Row],[Put gamma]])*-1*$A$4^2,0)</f>
        <v>0</v>
      </c>
      <c r="AB769">
        <f ca="1">(Table1334[[#This Row],[Call Gex]]+Table1334[[#This Row],[Put Gex]])</f>
        <v>0</v>
      </c>
      <c r="AC769">
        <f ca="1">Table1334[[#This Row],[put delta adj]]+Table1334[[#This Row],[call delta adj]]</f>
        <v>0</v>
      </c>
      <c r="AD769">
        <f ca="1">Table1334[[#This Row],[Put Gex]]*Table1334[[#This Row],[DeltaP]]*-1</f>
        <v>0</v>
      </c>
      <c r="AE769">
        <f ca="1">Table1334[[#This Row],[Call Gex]]*Table1334[[#This Row],[DeltaC]]</f>
        <v>0</v>
      </c>
      <c r="AF769">
        <f>IF(Table1334[[#This Row],[DeltaC]]-ABS(Table1334[[#This Row],[DeltaP]])="0","0.01",Table1334[[#This Row],[DeltaC]]-ABS(Table1334[[#This Row],[DeltaP]]))</f>
        <v>0</v>
      </c>
      <c r="AG76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9" t="e">
        <f ca="1">(EXP(-(AG769^2)/2)/SQRT(2*PI())*EXP(0*SQRT(Table1334[[#This Row],[T]]))/$A$4*18%*SQRT(SQRT(Table1334[[#This Row],[T]])))</f>
        <v>#DIV/0!</v>
      </c>
      <c r="AJ769" t="e">
        <f ca="1">(EXP(-(AH769^2)/2)/SQRT(2*PI())*EXP(0*SQRT(Table1334[[#This Row],[T]]))/$A$4*18%*SQRT(SQRT(Table1334[[#This Row],[T]])))</f>
        <v>#DIV/0!</v>
      </c>
      <c r="AK769" t="e">
        <f ca="1">Table1334[[#This Row],[Call D1]]-Table1334[[#This Row],[IV Calc C]]*SQRT(Table1334[[#This Row],[T]])</f>
        <v>#DIV/0!</v>
      </c>
      <c r="AL769" t="e">
        <f ca="1">Table1334[[#This Row],[Put D1]]-Table1334[[#This Row],[IV Calc P]]*SQRT(Table1334[[#This Row],[T]])</f>
        <v>#DIV/0!</v>
      </c>
      <c r="AM769" t="e">
        <f ca="1">EXP(-0.5*Table1334[[#This Row],[Call D1]]^2)/SQRT(2*PI())</f>
        <v>#DIV/0!</v>
      </c>
      <c r="AN769" t="e">
        <f ca="1">EXP(-0.5*Table1334[[#This Row],[Put D1]]^2)/SQRT(2*PI())</f>
        <v>#DIV/0!</v>
      </c>
      <c r="AO76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9">
        <f ca="1">((Table1334[[#This Row],[call vanna]]+Table1334[[#This Row],[put vanna]])*$A$4)</f>
        <v>0</v>
      </c>
      <c r="AR76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9" s="9" t="str" cm="1">
        <f t="array" ref="AT769">_xlfn.IFS(     $M$1="SPX","SPXW",     $M$1="RUT","RUTW",  $M$1="NDX","NDXP",   TRUE,$M$1 )</f>
        <v>SPXW</v>
      </c>
      <c r="AU769" s="2">
        <f t="shared" si="77"/>
        <v>6915</v>
      </c>
      <c r="AV769" t="str">
        <f t="shared" si="78"/>
        <v>000100</v>
      </c>
      <c r="AY76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9">
        <f>((Table1334[[#This Row],[High C]]+Table1334[[#This Row],[Low C]])/2)*Table1334[[#This Row],[gammac]]*Table1334[[#This Row],[Volume]]</f>
        <v>0</v>
      </c>
      <c r="BD769">
        <f>((Table1334[[#This Row],[High P]]+Table1334[[#This Row],[Low P]])/2)*Table1334[[#This Row],[gammap]]*Table1334[[#This Row],[Volume9]]*-1</f>
        <v>0</v>
      </c>
      <c r="BE769">
        <f>(Table1334[[#This Row],[SgammaC]]+Table1334[[#This Row],[SgammaP]])*$A$4*-100</f>
        <v>0</v>
      </c>
      <c r="BF769">
        <f>Table1334[[#This Row],[DEXc]]+Table1334[[#This Row],[DEXp]]</f>
        <v>0</v>
      </c>
      <c r="BG769">
        <f>IFERROR(Table1334[[#This Row],[DeltaC]]*Table1334[[#This Row],[Open.Int]]*$A$4,0)</f>
        <v>0</v>
      </c>
      <c r="BH769">
        <f>IFERROR(Table1334[[#This Row],[DeltaP]]*Table1334[[#This Row],[Open.Int8]]*$A$4,0)</f>
        <v>0</v>
      </c>
      <c r="BI76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9">
        <f ca="1">Table1334[[#This Row],[charmc]]+Table1334[[#This Row],[charmp]]</f>
        <v>0</v>
      </c>
      <c r="BL76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9" s="78">
        <f ca="1">Table1334[[#This Row],[call helper]]+Table1334[[#This Row],[put helper]]</f>
        <v>0</v>
      </c>
      <c r="BP769" t="str">
        <f>RTD("tos.rtd", , "STRIKE", "."&amp;Table1334[[#This Row],[Ticker]]&amp;Table1334[[#This Row],[Expiry]]&amp;""&amp;"C"&amp;Table1334[[#This Row],[Spot]]+Table1334[[#This Row],[step]])</f>
        <v>N/A</v>
      </c>
    </row>
    <row r="770" spans="1:68" x14ac:dyDescent="0.25">
      <c r="A770" s="14">
        <f t="shared" ca="1" si="74"/>
        <v>-126.14810350076104</v>
      </c>
      <c r="C770" s="17"/>
      <c r="D770" t="str">
        <f>RTD("tos.rtd", , "OPEN_INT", "."&amp;Table1334[[#This Row],[Ticker]]&amp;Table1334[[#This Row],[Expiry]]&amp;""&amp;"C"&amp;Table1334[[#This Row],[Spot]]+Table1334[[#This Row],[step]])</f>
        <v>N/A</v>
      </c>
      <c r="E77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0" t="b">
        <f>IF(     ISNUMBER(Table1334[[#This Row],[Strike]]),RTD("tos.rtd", , "DELTA", "."&amp;Table1334[[#This Row],[Ticker]]&amp;Table1334[[#This Row],[Expiry]]&amp;""&amp;"C"&amp;Table1334[[#This Row],[Strike]]))</f>
        <v>0</v>
      </c>
      <c r="H770" s="17" cm="1">
        <f t="array" aca="1" ref="H770" ca="1">IndividualLegIVCore($A$4, Table1334[[#This Row],[Strike]], 0.0411, Table1334[[#This Row],[T]], ((Table1334[[#This Row],[BIDC]]+Table1334[[#This Row],[ASKC]])/2), TRUE)</f>
        <v>0.01</v>
      </c>
      <c r="I770" t="b">
        <f>IF(     ISNUMBER(Table1334[[#This Row],[Strike]]),RTD("tos.rtd", , "BID", "."&amp;Table1334[[#This Row],[Ticker]]&amp;Table1334[[#This Row],[Expiry]]&amp;""&amp;"C"&amp;Table1334[[#This Row],[Strike]]))</f>
        <v>0</v>
      </c>
      <c r="J770" t="b">
        <f>IF(     ISNUMBER(Table1334[[#This Row],[Strike]]),RTD("tos.rtd", , "ASK", "."&amp;Table1334[[#This Row],[Ticker]]&amp;Table1334[[#This Row],[Expiry]]&amp;""&amp;"C"&amp;Table1334[[#This Row],[Strike]]))</f>
        <v>0</v>
      </c>
      <c r="K770" s="17"/>
      <c r="M770" s="1">
        <f t="shared" si="75"/>
        <v>0</v>
      </c>
      <c r="N770" t="b">
        <f t="shared" si="76"/>
        <v>0</v>
      </c>
      <c r="P770" s="17" cm="1">
        <f t="array" aca="1" ref="P770" ca="1">IndividualLegIVCore($A$4, Table1334[[#This Row],[Strike]], 0.0411, Table1334[[#This Row],[T]], ((Table1334[[#This Row],[BIDP]]+Table1334[[#This Row],[ASKP]])/2), FALSE)</f>
        <v>0.01</v>
      </c>
      <c r="Q770" t="b">
        <f>IF(     ISNUMBER(Table1334[[#This Row],[Strike]]),RTD("tos.rtd", , "BID", "."&amp;Table1334[[#This Row],[Ticker]]&amp;Table1334[[#This Row],[Expiry]]&amp;""&amp;"P"&amp;Table1334[[#This Row],[Strike]]))</f>
        <v>0</v>
      </c>
      <c r="R770" t="b">
        <f>IF(     ISNUMBER(Table1334[[#This Row],[Strike]]),RTD("tos.rtd", , "ASK", "."&amp;Table1334[[#This Row],[Ticker]]&amp;Table1334[[#This Row],[Expiry]]&amp;""&amp;"P"&amp;Table1334[[#This Row],[Strike]]))</f>
        <v>0</v>
      </c>
      <c r="S770" s="17"/>
      <c r="T770" t="b">
        <f>IF(     ISNUMBER(Table1334[[#This Row],[Strike]]),RTD("tos.rtd", , "OPEN_INT", "."&amp;Table1334[[#This Row],[Ticker]]&amp;Table1334[[#This Row],[Expiry]]&amp;""&amp;"P"&amp;Table1334[[#This Row],[Strike]]))</f>
        <v>0</v>
      </c>
      <c r="U77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0" t="b">
        <f>IF(     ISNUMBER(Table1334[[#This Row],[Strike]]),RTD("tos.rtd", , "DELTA", "."&amp;Table1334[[#This Row],[Ticker]]&amp;Table1334[[#This Row],[Expiry]]&amp;""&amp;"P"&amp;Table1334[[#This Row],[Strike]]))</f>
        <v>0</v>
      </c>
      <c r="Y770" s="19">
        <f>25.5* IF($M$1="NDX", 10, IF(OR($M$1="SPX", $M$1="RUT"), 2, 1))</f>
        <v>51</v>
      </c>
      <c r="Z770">
        <f ca="1">IFERROR(Table1334[[#This Row],[call gamma]]*(Table1334[[#This Row],[Open.Int]])*$A$4^2,0)</f>
        <v>0</v>
      </c>
      <c r="AA770">
        <f ca="1">IFERROR(((Table1334[[#This Row],[Open.Int8]])*Table1334[[#This Row],[Put gamma]])*-1*$A$4^2,0)</f>
        <v>0</v>
      </c>
      <c r="AB770">
        <f ca="1">(Table1334[[#This Row],[Call Gex]]+Table1334[[#This Row],[Put Gex]])</f>
        <v>0</v>
      </c>
      <c r="AC770">
        <f ca="1">Table1334[[#This Row],[put delta adj]]+Table1334[[#This Row],[call delta adj]]</f>
        <v>0</v>
      </c>
      <c r="AD770">
        <f ca="1">Table1334[[#This Row],[Put Gex]]*Table1334[[#This Row],[DeltaP]]*-1</f>
        <v>0</v>
      </c>
      <c r="AE770">
        <f ca="1">Table1334[[#This Row],[Call Gex]]*Table1334[[#This Row],[DeltaC]]</f>
        <v>0</v>
      </c>
      <c r="AF770">
        <f>IF(Table1334[[#This Row],[DeltaC]]-ABS(Table1334[[#This Row],[DeltaP]])="0","0.01",Table1334[[#This Row],[DeltaC]]-ABS(Table1334[[#This Row],[DeltaP]]))</f>
        <v>0</v>
      </c>
      <c r="AG77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0" t="e">
        <f ca="1">(EXP(-(AG770^2)/2)/SQRT(2*PI())*EXP(0*SQRT(Table1334[[#This Row],[T]]))/$A$4*18%*SQRT(SQRT(Table1334[[#This Row],[T]])))</f>
        <v>#DIV/0!</v>
      </c>
      <c r="AJ770" t="e">
        <f ca="1">(EXP(-(AH770^2)/2)/SQRT(2*PI())*EXP(0*SQRT(Table1334[[#This Row],[T]]))/$A$4*18%*SQRT(SQRT(Table1334[[#This Row],[T]])))</f>
        <v>#DIV/0!</v>
      </c>
      <c r="AK770" t="e">
        <f ca="1">Table1334[[#This Row],[Call D1]]-Table1334[[#This Row],[IV Calc C]]*SQRT(Table1334[[#This Row],[T]])</f>
        <v>#DIV/0!</v>
      </c>
      <c r="AL770" t="e">
        <f ca="1">Table1334[[#This Row],[Put D1]]-Table1334[[#This Row],[IV Calc P]]*SQRT(Table1334[[#This Row],[T]])</f>
        <v>#DIV/0!</v>
      </c>
      <c r="AM770" t="e">
        <f ca="1">EXP(-0.5*Table1334[[#This Row],[Call D1]]^2)/SQRT(2*PI())</f>
        <v>#DIV/0!</v>
      </c>
      <c r="AN770" t="e">
        <f ca="1">EXP(-0.5*Table1334[[#This Row],[Put D1]]^2)/SQRT(2*PI())</f>
        <v>#DIV/0!</v>
      </c>
      <c r="AO77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0">
        <f ca="1">((Table1334[[#This Row],[call vanna]]+Table1334[[#This Row],[put vanna]])*$A$4)</f>
        <v>0</v>
      </c>
      <c r="AR77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0" s="9" t="str" cm="1">
        <f t="array" ref="AT770">_xlfn.IFS(     $M$1="SPX","SPXW",     $M$1="RUT","RUTW",  $M$1="NDX","NDXP",   TRUE,$M$1 )</f>
        <v>SPXW</v>
      </c>
      <c r="AU770" s="2">
        <f t="shared" si="77"/>
        <v>6915</v>
      </c>
      <c r="AV770" t="str">
        <f t="shared" si="78"/>
        <v>000100</v>
      </c>
      <c r="AY77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0">
        <f>((Table1334[[#This Row],[High C]]+Table1334[[#This Row],[Low C]])/2)*Table1334[[#This Row],[gammac]]*Table1334[[#This Row],[Volume]]</f>
        <v>0</v>
      </c>
      <c r="BD770">
        <f>((Table1334[[#This Row],[High P]]+Table1334[[#This Row],[Low P]])/2)*Table1334[[#This Row],[gammap]]*Table1334[[#This Row],[Volume9]]*-1</f>
        <v>0</v>
      </c>
      <c r="BE770">
        <f>(Table1334[[#This Row],[SgammaC]]+Table1334[[#This Row],[SgammaP]])*$A$4*-100</f>
        <v>0</v>
      </c>
      <c r="BF770">
        <f>Table1334[[#This Row],[DEXc]]+Table1334[[#This Row],[DEXp]]</f>
        <v>0</v>
      </c>
      <c r="BG770">
        <f>IFERROR(Table1334[[#This Row],[DeltaC]]*Table1334[[#This Row],[Open.Int]]*$A$4,0)</f>
        <v>0</v>
      </c>
      <c r="BH770">
        <f>IFERROR(Table1334[[#This Row],[DeltaP]]*Table1334[[#This Row],[Open.Int8]]*$A$4,0)</f>
        <v>0</v>
      </c>
      <c r="BI77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0">
        <f ca="1">Table1334[[#This Row],[charmc]]+Table1334[[#This Row],[charmp]]</f>
        <v>0</v>
      </c>
      <c r="BL77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0" s="78">
        <f ca="1">Table1334[[#This Row],[call helper]]+Table1334[[#This Row],[put helper]]</f>
        <v>0</v>
      </c>
      <c r="BP770" t="str">
        <f>RTD("tos.rtd", , "STRIKE", "."&amp;Table1334[[#This Row],[Ticker]]&amp;Table1334[[#This Row],[Expiry]]&amp;""&amp;"C"&amp;Table1334[[#This Row],[Spot]]+Table1334[[#This Row],[step]])</f>
        <v>N/A</v>
      </c>
    </row>
    <row r="771" spans="1:68" x14ac:dyDescent="0.25">
      <c r="A771" s="14">
        <f t="shared" ca="1" si="74"/>
        <v>-126.14810350076104</v>
      </c>
      <c r="C771" s="17"/>
      <c r="D771" t="str">
        <f>RTD("tos.rtd", , "OPEN_INT", "."&amp;Table1334[[#This Row],[Ticker]]&amp;Table1334[[#This Row],[Expiry]]&amp;""&amp;"C"&amp;Table1334[[#This Row],[Spot]]+Table1334[[#This Row],[step]])</f>
        <v>N/A</v>
      </c>
      <c r="E77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1" t="b">
        <f>IF(     ISNUMBER(Table1334[[#This Row],[Strike]]),RTD("tos.rtd", , "DELTA", "."&amp;Table1334[[#This Row],[Ticker]]&amp;Table1334[[#This Row],[Expiry]]&amp;""&amp;"C"&amp;Table1334[[#This Row],[Strike]]))</f>
        <v>0</v>
      </c>
      <c r="H771" s="17" cm="1">
        <f t="array" aca="1" ref="H771" ca="1">IndividualLegIVCore($A$4, Table1334[[#This Row],[Strike]], 0.0411, Table1334[[#This Row],[T]], ((Table1334[[#This Row],[BIDC]]+Table1334[[#This Row],[ASKC]])/2), TRUE)</f>
        <v>0.01</v>
      </c>
      <c r="I771" t="b">
        <f>IF(     ISNUMBER(Table1334[[#This Row],[Strike]]),RTD("tos.rtd", , "BID", "."&amp;Table1334[[#This Row],[Ticker]]&amp;Table1334[[#This Row],[Expiry]]&amp;""&amp;"C"&amp;Table1334[[#This Row],[Strike]]))</f>
        <v>0</v>
      </c>
      <c r="J771" t="b">
        <f>IF(     ISNUMBER(Table1334[[#This Row],[Strike]]),RTD("tos.rtd", , "ASK", "."&amp;Table1334[[#This Row],[Ticker]]&amp;Table1334[[#This Row],[Expiry]]&amp;""&amp;"C"&amp;Table1334[[#This Row],[Strike]]))</f>
        <v>0</v>
      </c>
      <c r="K771" s="17"/>
      <c r="M771" s="1">
        <f t="shared" si="75"/>
        <v>0</v>
      </c>
      <c r="N771" t="b">
        <f t="shared" si="76"/>
        <v>0</v>
      </c>
      <c r="P771" s="17" cm="1">
        <f t="array" aca="1" ref="P771" ca="1">IndividualLegIVCore($A$4, Table1334[[#This Row],[Strike]], 0.0411, Table1334[[#This Row],[T]], ((Table1334[[#This Row],[BIDP]]+Table1334[[#This Row],[ASKP]])/2), FALSE)</f>
        <v>0.01</v>
      </c>
      <c r="Q771" t="b">
        <f>IF(     ISNUMBER(Table1334[[#This Row],[Strike]]),RTD("tos.rtd", , "BID", "."&amp;Table1334[[#This Row],[Ticker]]&amp;Table1334[[#This Row],[Expiry]]&amp;""&amp;"P"&amp;Table1334[[#This Row],[Strike]]))</f>
        <v>0</v>
      </c>
      <c r="R771" t="b">
        <f>IF(     ISNUMBER(Table1334[[#This Row],[Strike]]),RTD("tos.rtd", , "ASK", "."&amp;Table1334[[#This Row],[Ticker]]&amp;Table1334[[#This Row],[Expiry]]&amp;""&amp;"P"&amp;Table1334[[#This Row],[Strike]]))</f>
        <v>0</v>
      </c>
      <c r="S771" s="17"/>
      <c r="T771" t="b">
        <f>IF(     ISNUMBER(Table1334[[#This Row],[Strike]]),RTD("tos.rtd", , "OPEN_INT", "."&amp;Table1334[[#This Row],[Ticker]]&amp;Table1334[[#This Row],[Expiry]]&amp;""&amp;"P"&amp;Table1334[[#This Row],[Strike]]))</f>
        <v>0</v>
      </c>
      <c r="U77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1" t="b">
        <f>IF(     ISNUMBER(Table1334[[#This Row],[Strike]]),RTD("tos.rtd", , "DELTA", "."&amp;Table1334[[#This Row],[Ticker]]&amp;Table1334[[#This Row],[Expiry]]&amp;""&amp;"P"&amp;Table1334[[#This Row],[Strike]]))</f>
        <v>0</v>
      </c>
      <c r="Y771" s="19">
        <f>26* IF($M$1="NDX", 10, IF(OR($M$1="SPX", $M$1="RUT"), 2, 1))</f>
        <v>52</v>
      </c>
      <c r="Z771">
        <f ca="1">IFERROR(Table1334[[#This Row],[call gamma]]*(Table1334[[#This Row],[Open.Int]])*$A$4^2,0)</f>
        <v>0</v>
      </c>
      <c r="AA771">
        <f ca="1">IFERROR(((Table1334[[#This Row],[Open.Int8]])*Table1334[[#This Row],[Put gamma]])*-1*$A$4^2,0)</f>
        <v>0</v>
      </c>
      <c r="AB771">
        <f ca="1">(Table1334[[#This Row],[Call Gex]]+Table1334[[#This Row],[Put Gex]])</f>
        <v>0</v>
      </c>
      <c r="AC771">
        <f ca="1">Table1334[[#This Row],[put delta adj]]+Table1334[[#This Row],[call delta adj]]</f>
        <v>0</v>
      </c>
      <c r="AD771">
        <f ca="1">Table1334[[#This Row],[Put Gex]]*Table1334[[#This Row],[DeltaP]]*-1</f>
        <v>0</v>
      </c>
      <c r="AE771">
        <f ca="1">Table1334[[#This Row],[Call Gex]]*Table1334[[#This Row],[DeltaC]]</f>
        <v>0</v>
      </c>
      <c r="AF771">
        <f>IF(Table1334[[#This Row],[DeltaC]]-ABS(Table1334[[#This Row],[DeltaP]])="0","0.01",Table1334[[#This Row],[DeltaC]]-ABS(Table1334[[#This Row],[DeltaP]]))</f>
        <v>0</v>
      </c>
      <c r="AG77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1" t="e">
        <f ca="1">(EXP(-(AG771^2)/2)/SQRT(2*PI())*EXP(0*SQRT(Table1334[[#This Row],[T]]))/$A$4*18%*SQRT(SQRT(Table1334[[#This Row],[T]])))</f>
        <v>#DIV/0!</v>
      </c>
      <c r="AJ771" t="e">
        <f ca="1">(EXP(-(AH771^2)/2)/SQRT(2*PI())*EXP(0*SQRT(Table1334[[#This Row],[T]]))/$A$4*18%*SQRT(SQRT(Table1334[[#This Row],[T]])))</f>
        <v>#DIV/0!</v>
      </c>
      <c r="AK771" t="e">
        <f ca="1">Table1334[[#This Row],[Call D1]]-Table1334[[#This Row],[IV Calc C]]*SQRT(Table1334[[#This Row],[T]])</f>
        <v>#DIV/0!</v>
      </c>
      <c r="AL771" t="e">
        <f ca="1">Table1334[[#This Row],[Put D1]]-Table1334[[#This Row],[IV Calc P]]*SQRT(Table1334[[#This Row],[T]])</f>
        <v>#DIV/0!</v>
      </c>
      <c r="AM771" t="e">
        <f ca="1">EXP(-0.5*Table1334[[#This Row],[Call D1]]^2)/SQRT(2*PI())</f>
        <v>#DIV/0!</v>
      </c>
      <c r="AN771" t="e">
        <f ca="1">EXP(-0.5*Table1334[[#This Row],[Put D1]]^2)/SQRT(2*PI())</f>
        <v>#DIV/0!</v>
      </c>
      <c r="AO77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1">
        <f ca="1">((Table1334[[#This Row],[call vanna]]+Table1334[[#This Row],[put vanna]])*$A$4)</f>
        <v>0</v>
      </c>
      <c r="AR77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1" s="9" t="str" cm="1">
        <f t="array" ref="AT771">_xlfn.IFS(     $M$1="SPX","SPXW",     $M$1="RUT","RUTW",  $M$1="NDX","NDXP",   TRUE,$M$1 )</f>
        <v>SPXW</v>
      </c>
      <c r="AU771" s="2">
        <f t="shared" si="77"/>
        <v>6915</v>
      </c>
      <c r="AV771" t="str">
        <f t="shared" si="78"/>
        <v>000100</v>
      </c>
      <c r="AY77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1">
        <f>((Table1334[[#This Row],[High C]]+Table1334[[#This Row],[Low C]])/2)*Table1334[[#This Row],[gammac]]*Table1334[[#This Row],[Volume]]</f>
        <v>0</v>
      </c>
      <c r="BD771">
        <f>((Table1334[[#This Row],[High P]]+Table1334[[#This Row],[Low P]])/2)*Table1334[[#This Row],[gammap]]*Table1334[[#This Row],[Volume9]]*-1</f>
        <v>0</v>
      </c>
      <c r="BE771">
        <f>(Table1334[[#This Row],[SgammaC]]+Table1334[[#This Row],[SgammaP]])*$A$4*-100</f>
        <v>0</v>
      </c>
      <c r="BF771">
        <f>Table1334[[#This Row],[DEXc]]+Table1334[[#This Row],[DEXp]]</f>
        <v>0</v>
      </c>
      <c r="BG771">
        <f>IFERROR(Table1334[[#This Row],[DeltaC]]*Table1334[[#This Row],[Open.Int]]*$A$4,0)</f>
        <v>0</v>
      </c>
      <c r="BH771">
        <f>IFERROR(Table1334[[#This Row],[DeltaP]]*Table1334[[#This Row],[Open.Int8]]*$A$4,0)</f>
        <v>0</v>
      </c>
      <c r="BI77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1">
        <f ca="1">Table1334[[#This Row],[charmc]]+Table1334[[#This Row],[charmp]]</f>
        <v>0</v>
      </c>
      <c r="BL77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1" s="78">
        <f ca="1">Table1334[[#This Row],[call helper]]+Table1334[[#This Row],[put helper]]</f>
        <v>0</v>
      </c>
      <c r="BP771" t="str">
        <f>RTD("tos.rtd", , "STRIKE", "."&amp;Table1334[[#This Row],[Ticker]]&amp;Table1334[[#This Row],[Expiry]]&amp;""&amp;"C"&amp;Table1334[[#This Row],[Spot]]+Table1334[[#This Row],[step]])</f>
        <v>N/A</v>
      </c>
    </row>
    <row r="772" spans="1:68" x14ac:dyDescent="0.25">
      <c r="A772" s="14">
        <f t="shared" ca="1" si="74"/>
        <v>-126.14810350076104</v>
      </c>
      <c r="C772" s="17"/>
      <c r="D772" t="str">
        <f>RTD("tos.rtd", , "OPEN_INT", "."&amp;Table1334[[#This Row],[Ticker]]&amp;Table1334[[#This Row],[Expiry]]&amp;""&amp;"C"&amp;Table1334[[#This Row],[Spot]]+Table1334[[#This Row],[step]])</f>
        <v>N/A</v>
      </c>
      <c r="E77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2" t="b">
        <f>IF(     ISNUMBER(Table1334[[#This Row],[Strike]]),RTD("tos.rtd", , "DELTA", "."&amp;Table1334[[#This Row],[Ticker]]&amp;Table1334[[#This Row],[Expiry]]&amp;""&amp;"C"&amp;Table1334[[#This Row],[Strike]]))</f>
        <v>0</v>
      </c>
      <c r="H772" s="17" cm="1">
        <f t="array" aca="1" ref="H772" ca="1">IndividualLegIVCore($A$4, Table1334[[#This Row],[Strike]], 0.0411, Table1334[[#This Row],[T]], ((Table1334[[#This Row],[BIDC]]+Table1334[[#This Row],[ASKC]])/2), TRUE)</f>
        <v>0.01</v>
      </c>
      <c r="I772" t="b">
        <f>IF(     ISNUMBER(Table1334[[#This Row],[Strike]]),RTD("tos.rtd", , "BID", "."&amp;Table1334[[#This Row],[Ticker]]&amp;Table1334[[#This Row],[Expiry]]&amp;""&amp;"C"&amp;Table1334[[#This Row],[Strike]]))</f>
        <v>0</v>
      </c>
      <c r="J772" t="b">
        <f>IF(     ISNUMBER(Table1334[[#This Row],[Strike]]),RTD("tos.rtd", , "ASK", "."&amp;Table1334[[#This Row],[Ticker]]&amp;Table1334[[#This Row],[Expiry]]&amp;""&amp;"C"&amp;Table1334[[#This Row],[Strike]]))</f>
        <v>0</v>
      </c>
      <c r="K772" s="17"/>
      <c r="M772" s="1">
        <f t="shared" si="75"/>
        <v>0</v>
      </c>
      <c r="N772" t="b">
        <f t="shared" si="76"/>
        <v>0</v>
      </c>
      <c r="P772" s="17" cm="1">
        <f t="array" aca="1" ref="P772" ca="1">IndividualLegIVCore($A$4, Table1334[[#This Row],[Strike]], 0.0411, Table1334[[#This Row],[T]], ((Table1334[[#This Row],[BIDP]]+Table1334[[#This Row],[ASKP]])/2), FALSE)</f>
        <v>0.01</v>
      </c>
      <c r="Q772" t="b">
        <f>IF(     ISNUMBER(Table1334[[#This Row],[Strike]]),RTD("tos.rtd", , "BID", "."&amp;Table1334[[#This Row],[Ticker]]&amp;Table1334[[#This Row],[Expiry]]&amp;""&amp;"P"&amp;Table1334[[#This Row],[Strike]]))</f>
        <v>0</v>
      </c>
      <c r="R772" t="b">
        <f>IF(     ISNUMBER(Table1334[[#This Row],[Strike]]),RTD("tos.rtd", , "ASK", "."&amp;Table1334[[#This Row],[Ticker]]&amp;Table1334[[#This Row],[Expiry]]&amp;""&amp;"P"&amp;Table1334[[#This Row],[Strike]]))</f>
        <v>0</v>
      </c>
      <c r="S772" s="17"/>
      <c r="T772" t="b">
        <f>IF(     ISNUMBER(Table1334[[#This Row],[Strike]]),RTD("tos.rtd", , "OPEN_INT", "."&amp;Table1334[[#This Row],[Ticker]]&amp;Table1334[[#This Row],[Expiry]]&amp;""&amp;"P"&amp;Table1334[[#This Row],[Strike]]))</f>
        <v>0</v>
      </c>
      <c r="U77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2" t="b">
        <f>IF(     ISNUMBER(Table1334[[#This Row],[Strike]]),RTD("tos.rtd", , "DELTA", "."&amp;Table1334[[#This Row],[Ticker]]&amp;Table1334[[#This Row],[Expiry]]&amp;""&amp;"P"&amp;Table1334[[#This Row],[Strike]]))</f>
        <v>0</v>
      </c>
      <c r="Y772" s="19">
        <f>26.5* IF($M$1="NDX", 10, IF(OR($M$1="SPX", $M$1="RUT"), 2, 1))</f>
        <v>53</v>
      </c>
      <c r="Z772">
        <f ca="1">IFERROR(Table1334[[#This Row],[call gamma]]*(Table1334[[#This Row],[Open.Int]])*$A$4^2,0)</f>
        <v>0</v>
      </c>
      <c r="AA772">
        <f ca="1">IFERROR(((Table1334[[#This Row],[Open.Int8]])*Table1334[[#This Row],[Put gamma]])*-1*$A$4^2,0)</f>
        <v>0</v>
      </c>
      <c r="AB772">
        <f ca="1">(Table1334[[#This Row],[Call Gex]]+Table1334[[#This Row],[Put Gex]])</f>
        <v>0</v>
      </c>
      <c r="AC772">
        <f ca="1">Table1334[[#This Row],[put delta adj]]+Table1334[[#This Row],[call delta adj]]</f>
        <v>0</v>
      </c>
      <c r="AD772">
        <f ca="1">Table1334[[#This Row],[Put Gex]]*Table1334[[#This Row],[DeltaP]]*-1</f>
        <v>0</v>
      </c>
      <c r="AE772">
        <f ca="1">Table1334[[#This Row],[Call Gex]]*Table1334[[#This Row],[DeltaC]]</f>
        <v>0</v>
      </c>
      <c r="AF772">
        <f>IF(Table1334[[#This Row],[DeltaC]]-ABS(Table1334[[#This Row],[DeltaP]])="0","0.01",Table1334[[#This Row],[DeltaC]]-ABS(Table1334[[#This Row],[DeltaP]]))</f>
        <v>0</v>
      </c>
      <c r="AG77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2" t="e">
        <f ca="1">(EXP(-(AG772^2)/2)/SQRT(2*PI())*EXP(0*SQRT(Table1334[[#This Row],[T]]))/$A$4*18%*SQRT(SQRT(Table1334[[#This Row],[T]])))</f>
        <v>#DIV/0!</v>
      </c>
      <c r="AJ772" t="e">
        <f ca="1">(EXP(-(AH772^2)/2)/SQRT(2*PI())*EXP(0*SQRT(Table1334[[#This Row],[T]]))/$A$4*18%*SQRT(SQRT(Table1334[[#This Row],[T]])))</f>
        <v>#DIV/0!</v>
      </c>
      <c r="AK772" t="e">
        <f ca="1">Table1334[[#This Row],[Call D1]]-Table1334[[#This Row],[IV Calc C]]*SQRT(Table1334[[#This Row],[T]])</f>
        <v>#DIV/0!</v>
      </c>
      <c r="AL772" t="e">
        <f ca="1">Table1334[[#This Row],[Put D1]]-Table1334[[#This Row],[IV Calc P]]*SQRT(Table1334[[#This Row],[T]])</f>
        <v>#DIV/0!</v>
      </c>
      <c r="AM772" t="e">
        <f ca="1">EXP(-0.5*Table1334[[#This Row],[Call D1]]^2)/SQRT(2*PI())</f>
        <v>#DIV/0!</v>
      </c>
      <c r="AN772" t="e">
        <f ca="1">EXP(-0.5*Table1334[[#This Row],[Put D1]]^2)/SQRT(2*PI())</f>
        <v>#DIV/0!</v>
      </c>
      <c r="AO77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2">
        <f ca="1">((Table1334[[#This Row],[call vanna]]+Table1334[[#This Row],[put vanna]])*$A$4)</f>
        <v>0</v>
      </c>
      <c r="AR77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2" s="9" t="str" cm="1">
        <f t="array" ref="AT772">_xlfn.IFS(     $M$1="SPX","SPXW",     $M$1="RUT","RUTW",  $M$1="NDX","NDXP",   TRUE,$M$1 )</f>
        <v>SPXW</v>
      </c>
      <c r="AU772" s="2">
        <f t="shared" si="77"/>
        <v>6915</v>
      </c>
      <c r="AV772" t="str">
        <f t="shared" si="78"/>
        <v>000100</v>
      </c>
      <c r="AY77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2">
        <f>((Table1334[[#This Row],[High C]]+Table1334[[#This Row],[Low C]])/2)*Table1334[[#This Row],[gammac]]*Table1334[[#This Row],[Volume]]</f>
        <v>0</v>
      </c>
      <c r="BD772">
        <f>((Table1334[[#This Row],[High P]]+Table1334[[#This Row],[Low P]])/2)*Table1334[[#This Row],[gammap]]*Table1334[[#This Row],[Volume9]]*-1</f>
        <v>0</v>
      </c>
      <c r="BE772">
        <f>(Table1334[[#This Row],[SgammaC]]+Table1334[[#This Row],[SgammaP]])*$A$4*-100</f>
        <v>0</v>
      </c>
      <c r="BF772">
        <f>Table1334[[#This Row],[DEXc]]+Table1334[[#This Row],[DEXp]]</f>
        <v>0</v>
      </c>
      <c r="BG772">
        <f>IFERROR(Table1334[[#This Row],[DeltaC]]*Table1334[[#This Row],[Open.Int]]*$A$4,0)</f>
        <v>0</v>
      </c>
      <c r="BH772">
        <f>IFERROR(Table1334[[#This Row],[DeltaP]]*Table1334[[#This Row],[Open.Int8]]*$A$4,0)</f>
        <v>0</v>
      </c>
      <c r="BI77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2">
        <f ca="1">Table1334[[#This Row],[charmc]]+Table1334[[#This Row],[charmp]]</f>
        <v>0</v>
      </c>
      <c r="BL77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2" s="78">
        <f ca="1">Table1334[[#This Row],[call helper]]+Table1334[[#This Row],[put helper]]</f>
        <v>0</v>
      </c>
      <c r="BP772" t="str">
        <f>RTD("tos.rtd", , "STRIKE", "."&amp;Table1334[[#This Row],[Ticker]]&amp;Table1334[[#This Row],[Expiry]]&amp;""&amp;"C"&amp;Table1334[[#This Row],[Spot]]+Table1334[[#This Row],[step]])</f>
        <v>N/A</v>
      </c>
    </row>
    <row r="773" spans="1:68" x14ac:dyDescent="0.25">
      <c r="A773" s="14">
        <f t="shared" ca="1" si="74"/>
        <v>-126.14810350076104</v>
      </c>
      <c r="C773" s="17"/>
      <c r="D773" t="str">
        <f>RTD("tos.rtd", , "OPEN_INT", "."&amp;Table1334[[#This Row],[Ticker]]&amp;Table1334[[#This Row],[Expiry]]&amp;""&amp;"C"&amp;Table1334[[#This Row],[Spot]]+Table1334[[#This Row],[step]])</f>
        <v>N/A</v>
      </c>
      <c r="E77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3" t="b">
        <f>IF(     ISNUMBER(Table1334[[#This Row],[Strike]]),RTD("tos.rtd", , "DELTA", "."&amp;Table1334[[#This Row],[Ticker]]&amp;Table1334[[#This Row],[Expiry]]&amp;""&amp;"C"&amp;Table1334[[#This Row],[Strike]]))</f>
        <v>0</v>
      </c>
      <c r="H773" s="17" cm="1">
        <f t="array" aca="1" ref="H773" ca="1">IndividualLegIVCore($A$4, Table1334[[#This Row],[Strike]], 0.0411, Table1334[[#This Row],[T]], ((Table1334[[#This Row],[BIDC]]+Table1334[[#This Row],[ASKC]])/2), TRUE)</f>
        <v>0.01</v>
      </c>
      <c r="I773" t="b">
        <f>IF(     ISNUMBER(Table1334[[#This Row],[Strike]]),RTD("tos.rtd", , "BID", "."&amp;Table1334[[#This Row],[Ticker]]&amp;Table1334[[#This Row],[Expiry]]&amp;""&amp;"C"&amp;Table1334[[#This Row],[Strike]]))</f>
        <v>0</v>
      </c>
      <c r="J773" t="b">
        <f>IF(     ISNUMBER(Table1334[[#This Row],[Strike]]),RTD("tos.rtd", , "ASK", "."&amp;Table1334[[#This Row],[Ticker]]&amp;Table1334[[#This Row],[Expiry]]&amp;""&amp;"C"&amp;Table1334[[#This Row],[Strike]]))</f>
        <v>0</v>
      </c>
      <c r="K773" s="17"/>
      <c r="M773" s="1">
        <f t="shared" si="75"/>
        <v>0</v>
      </c>
      <c r="N773" t="b">
        <f t="shared" si="76"/>
        <v>0</v>
      </c>
      <c r="P773" s="17" cm="1">
        <f t="array" aca="1" ref="P773" ca="1">IndividualLegIVCore($A$4, Table1334[[#This Row],[Strike]], 0.0411, Table1334[[#This Row],[T]], ((Table1334[[#This Row],[BIDP]]+Table1334[[#This Row],[ASKP]])/2), FALSE)</f>
        <v>0.01</v>
      </c>
      <c r="Q773" t="b">
        <f>IF(     ISNUMBER(Table1334[[#This Row],[Strike]]),RTD("tos.rtd", , "BID", "."&amp;Table1334[[#This Row],[Ticker]]&amp;Table1334[[#This Row],[Expiry]]&amp;""&amp;"P"&amp;Table1334[[#This Row],[Strike]]))</f>
        <v>0</v>
      </c>
      <c r="R773" t="b">
        <f>IF(     ISNUMBER(Table1334[[#This Row],[Strike]]),RTD("tos.rtd", , "ASK", "."&amp;Table1334[[#This Row],[Ticker]]&amp;Table1334[[#This Row],[Expiry]]&amp;""&amp;"P"&amp;Table1334[[#This Row],[Strike]]))</f>
        <v>0</v>
      </c>
      <c r="S773" s="17"/>
      <c r="T773" t="b">
        <f>IF(     ISNUMBER(Table1334[[#This Row],[Strike]]),RTD("tos.rtd", , "OPEN_INT", "."&amp;Table1334[[#This Row],[Ticker]]&amp;Table1334[[#This Row],[Expiry]]&amp;""&amp;"P"&amp;Table1334[[#This Row],[Strike]]))</f>
        <v>0</v>
      </c>
      <c r="U77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3" t="b">
        <f>IF(     ISNUMBER(Table1334[[#This Row],[Strike]]),RTD("tos.rtd", , "DELTA", "."&amp;Table1334[[#This Row],[Ticker]]&amp;Table1334[[#This Row],[Expiry]]&amp;""&amp;"P"&amp;Table1334[[#This Row],[Strike]]))</f>
        <v>0</v>
      </c>
      <c r="Y773" s="19">
        <f>27* IF($M$1="NDX", 10, IF(OR($M$1="SPX", $M$1="RUT"), 2, 1))</f>
        <v>54</v>
      </c>
      <c r="Z773">
        <f ca="1">IFERROR(Table1334[[#This Row],[call gamma]]*(Table1334[[#This Row],[Open.Int]])*$A$4^2,0)</f>
        <v>0</v>
      </c>
      <c r="AA773">
        <f ca="1">IFERROR(((Table1334[[#This Row],[Open.Int8]])*Table1334[[#This Row],[Put gamma]])*-1*$A$4^2,0)</f>
        <v>0</v>
      </c>
      <c r="AB773">
        <f ca="1">(Table1334[[#This Row],[Call Gex]]+Table1334[[#This Row],[Put Gex]])</f>
        <v>0</v>
      </c>
      <c r="AC773">
        <f ca="1">Table1334[[#This Row],[put delta adj]]+Table1334[[#This Row],[call delta adj]]</f>
        <v>0</v>
      </c>
      <c r="AD773">
        <f ca="1">Table1334[[#This Row],[Put Gex]]*Table1334[[#This Row],[DeltaP]]*-1</f>
        <v>0</v>
      </c>
      <c r="AE773">
        <f ca="1">Table1334[[#This Row],[Call Gex]]*Table1334[[#This Row],[DeltaC]]</f>
        <v>0</v>
      </c>
      <c r="AF773">
        <f>IF(Table1334[[#This Row],[DeltaC]]-ABS(Table1334[[#This Row],[DeltaP]])="0","0.01",Table1334[[#This Row],[DeltaC]]-ABS(Table1334[[#This Row],[DeltaP]]))</f>
        <v>0</v>
      </c>
      <c r="AG77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3" t="e">
        <f ca="1">(EXP(-(AG773^2)/2)/SQRT(2*PI())*EXP(0*SQRT(Table1334[[#This Row],[T]]))/$A$4*18%*SQRT(SQRT(Table1334[[#This Row],[T]])))</f>
        <v>#DIV/0!</v>
      </c>
      <c r="AJ773" t="e">
        <f ca="1">(EXP(-(AH773^2)/2)/SQRT(2*PI())*EXP(0*SQRT(Table1334[[#This Row],[T]]))/$A$4*18%*SQRT(SQRT(Table1334[[#This Row],[T]])))</f>
        <v>#DIV/0!</v>
      </c>
      <c r="AK773" t="e">
        <f ca="1">Table1334[[#This Row],[Call D1]]-Table1334[[#This Row],[IV Calc C]]*SQRT(Table1334[[#This Row],[T]])</f>
        <v>#DIV/0!</v>
      </c>
      <c r="AL773" t="e">
        <f ca="1">Table1334[[#This Row],[Put D1]]-Table1334[[#This Row],[IV Calc P]]*SQRT(Table1334[[#This Row],[T]])</f>
        <v>#DIV/0!</v>
      </c>
      <c r="AM773" t="e">
        <f ca="1">EXP(-0.5*Table1334[[#This Row],[Call D1]]^2)/SQRT(2*PI())</f>
        <v>#DIV/0!</v>
      </c>
      <c r="AN773" t="e">
        <f ca="1">EXP(-0.5*Table1334[[#This Row],[Put D1]]^2)/SQRT(2*PI())</f>
        <v>#DIV/0!</v>
      </c>
      <c r="AO77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3">
        <f ca="1">((Table1334[[#This Row],[call vanna]]+Table1334[[#This Row],[put vanna]])*$A$4)</f>
        <v>0</v>
      </c>
      <c r="AR77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3" s="9" t="str" cm="1">
        <f t="array" ref="AT773">_xlfn.IFS(     $M$1="SPX","SPXW",     $M$1="RUT","RUTW",  $M$1="NDX","NDXP",   TRUE,$M$1 )</f>
        <v>SPXW</v>
      </c>
      <c r="AU773" s="2">
        <f t="shared" si="77"/>
        <v>6915</v>
      </c>
      <c r="AV773" t="str">
        <f t="shared" si="78"/>
        <v>000100</v>
      </c>
      <c r="AY77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3">
        <f>((Table1334[[#This Row],[High C]]+Table1334[[#This Row],[Low C]])/2)*Table1334[[#This Row],[gammac]]*Table1334[[#This Row],[Volume]]</f>
        <v>0</v>
      </c>
      <c r="BD773">
        <f>((Table1334[[#This Row],[High P]]+Table1334[[#This Row],[Low P]])/2)*Table1334[[#This Row],[gammap]]*Table1334[[#This Row],[Volume9]]*-1</f>
        <v>0</v>
      </c>
      <c r="BE773">
        <f>(Table1334[[#This Row],[SgammaC]]+Table1334[[#This Row],[SgammaP]])*$A$4*-100</f>
        <v>0</v>
      </c>
      <c r="BF773">
        <f>Table1334[[#This Row],[DEXc]]+Table1334[[#This Row],[DEXp]]</f>
        <v>0</v>
      </c>
      <c r="BG773">
        <f>IFERROR(Table1334[[#This Row],[DeltaC]]*Table1334[[#This Row],[Open.Int]]*$A$4,0)</f>
        <v>0</v>
      </c>
      <c r="BH773">
        <f>IFERROR(Table1334[[#This Row],[DeltaP]]*Table1334[[#This Row],[Open.Int8]]*$A$4,0)</f>
        <v>0</v>
      </c>
      <c r="BI77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3">
        <f ca="1">Table1334[[#This Row],[charmc]]+Table1334[[#This Row],[charmp]]</f>
        <v>0</v>
      </c>
      <c r="BL77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3" s="78">
        <f ca="1">Table1334[[#This Row],[call helper]]+Table1334[[#This Row],[put helper]]</f>
        <v>0</v>
      </c>
      <c r="BP773" t="str">
        <f>RTD("tos.rtd", , "STRIKE", "."&amp;Table1334[[#This Row],[Ticker]]&amp;Table1334[[#This Row],[Expiry]]&amp;""&amp;"C"&amp;Table1334[[#This Row],[Spot]]+Table1334[[#This Row],[step]])</f>
        <v>N/A</v>
      </c>
    </row>
    <row r="774" spans="1:68" x14ac:dyDescent="0.25">
      <c r="A774" s="14">
        <f t="shared" ca="1" si="74"/>
        <v>-126.14810350076104</v>
      </c>
      <c r="C774" s="17"/>
      <c r="D774" t="str">
        <f>RTD("tos.rtd", , "OPEN_INT", "."&amp;Table1334[[#This Row],[Ticker]]&amp;Table1334[[#This Row],[Expiry]]&amp;""&amp;"C"&amp;Table1334[[#This Row],[Spot]]+Table1334[[#This Row],[step]])</f>
        <v>N/A</v>
      </c>
      <c r="E77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4" t="b">
        <f>IF(     ISNUMBER(Table1334[[#This Row],[Strike]]),RTD("tos.rtd", , "DELTA", "."&amp;Table1334[[#This Row],[Ticker]]&amp;Table1334[[#This Row],[Expiry]]&amp;""&amp;"C"&amp;Table1334[[#This Row],[Strike]]))</f>
        <v>0</v>
      </c>
      <c r="H774" s="17" cm="1">
        <f t="array" aca="1" ref="H774" ca="1">IndividualLegIVCore($A$4, Table1334[[#This Row],[Strike]], 0.0411, Table1334[[#This Row],[T]], ((Table1334[[#This Row],[BIDC]]+Table1334[[#This Row],[ASKC]])/2), TRUE)</f>
        <v>0.01</v>
      </c>
      <c r="I774" t="b">
        <f>IF(     ISNUMBER(Table1334[[#This Row],[Strike]]),RTD("tos.rtd", , "BID", "."&amp;Table1334[[#This Row],[Ticker]]&amp;Table1334[[#This Row],[Expiry]]&amp;""&amp;"C"&amp;Table1334[[#This Row],[Strike]]))</f>
        <v>0</v>
      </c>
      <c r="J774" t="b">
        <f>IF(     ISNUMBER(Table1334[[#This Row],[Strike]]),RTD("tos.rtd", , "ASK", "."&amp;Table1334[[#This Row],[Ticker]]&amp;Table1334[[#This Row],[Expiry]]&amp;""&amp;"C"&amp;Table1334[[#This Row],[Strike]]))</f>
        <v>0</v>
      </c>
      <c r="K774" s="17"/>
      <c r="M774" s="1">
        <f t="shared" si="75"/>
        <v>0</v>
      </c>
      <c r="N774" t="b">
        <f t="shared" si="76"/>
        <v>0</v>
      </c>
      <c r="P774" s="17" cm="1">
        <f t="array" aca="1" ref="P774" ca="1">IndividualLegIVCore($A$4, Table1334[[#This Row],[Strike]], 0.0411, Table1334[[#This Row],[T]], ((Table1334[[#This Row],[BIDP]]+Table1334[[#This Row],[ASKP]])/2), FALSE)</f>
        <v>0.01</v>
      </c>
      <c r="Q774" t="b">
        <f>IF(     ISNUMBER(Table1334[[#This Row],[Strike]]),RTD("tos.rtd", , "BID", "."&amp;Table1334[[#This Row],[Ticker]]&amp;Table1334[[#This Row],[Expiry]]&amp;""&amp;"P"&amp;Table1334[[#This Row],[Strike]]))</f>
        <v>0</v>
      </c>
      <c r="R774" t="b">
        <f>IF(     ISNUMBER(Table1334[[#This Row],[Strike]]),RTD("tos.rtd", , "ASK", "."&amp;Table1334[[#This Row],[Ticker]]&amp;Table1334[[#This Row],[Expiry]]&amp;""&amp;"P"&amp;Table1334[[#This Row],[Strike]]))</f>
        <v>0</v>
      </c>
      <c r="S774" s="17"/>
      <c r="T774" t="b">
        <f>IF(     ISNUMBER(Table1334[[#This Row],[Strike]]),RTD("tos.rtd", , "OPEN_INT", "."&amp;Table1334[[#This Row],[Ticker]]&amp;Table1334[[#This Row],[Expiry]]&amp;""&amp;"P"&amp;Table1334[[#This Row],[Strike]]))</f>
        <v>0</v>
      </c>
      <c r="U77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4" t="b">
        <f>IF(     ISNUMBER(Table1334[[#This Row],[Strike]]),RTD("tos.rtd", , "DELTA", "."&amp;Table1334[[#This Row],[Ticker]]&amp;Table1334[[#This Row],[Expiry]]&amp;""&amp;"P"&amp;Table1334[[#This Row],[Strike]]))</f>
        <v>0</v>
      </c>
      <c r="Y774" s="19">
        <f>27.5* IF($M$1="NDX", 10, IF(OR($M$1="SPX", $M$1="RUT"), 2, 1))</f>
        <v>55</v>
      </c>
      <c r="Z774">
        <f ca="1">IFERROR(Table1334[[#This Row],[call gamma]]*(Table1334[[#This Row],[Open.Int]])*$A$4^2,0)</f>
        <v>0</v>
      </c>
      <c r="AA774">
        <f ca="1">IFERROR(((Table1334[[#This Row],[Open.Int8]])*Table1334[[#This Row],[Put gamma]])*-1*$A$4^2,0)</f>
        <v>0</v>
      </c>
      <c r="AB774">
        <f ca="1">(Table1334[[#This Row],[Call Gex]]+Table1334[[#This Row],[Put Gex]])</f>
        <v>0</v>
      </c>
      <c r="AC774">
        <f ca="1">Table1334[[#This Row],[put delta adj]]+Table1334[[#This Row],[call delta adj]]</f>
        <v>0</v>
      </c>
      <c r="AD774">
        <f ca="1">Table1334[[#This Row],[Put Gex]]*Table1334[[#This Row],[DeltaP]]*-1</f>
        <v>0</v>
      </c>
      <c r="AE774">
        <f ca="1">Table1334[[#This Row],[Call Gex]]*Table1334[[#This Row],[DeltaC]]</f>
        <v>0</v>
      </c>
      <c r="AF774">
        <f>IF(Table1334[[#This Row],[DeltaC]]-ABS(Table1334[[#This Row],[DeltaP]])="0","0.01",Table1334[[#This Row],[DeltaC]]-ABS(Table1334[[#This Row],[DeltaP]]))</f>
        <v>0</v>
      </c>
      <c r="AG77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4" t="e">
        <f ca="1">(EXP(-(AG774^2)/2)/SQRT(2*PI())*EXP(0*SQRT(Table1334[[#This Row],[T]]))/$A$4*18%*SQRT(SQRT(Table1334[[#This Row],[T]])))</f>
        <v>#DIV/0!</v>
      </c>
      <c r="AJ774" t="e">
        <f ca="1">(EXP(-(AH774^2)/2)/SQRT(2*PI())*EXP(0*SQRT(Table1334[[#This Row],[T]]))/$A$4*18%*SQRT(SQRT(Table1334[[#This Row],[T]])))</f>
        <v>#DIV/0!</v>
      </c>
      <c r="AK774" t="e">
        <f ca="1">Table1334[[#This Row],[Call D1]]-Table1334[[#This Row],[IV Calc C]]*SQRT(Table1334[[#This Row],[T]])</f>
        <v>#DIV/0!</v>
      </c>
      <c r="AL774" t="e">
        <f ca="1">Table1334[[#This Row],[Put D1]]-Table1334[[#This Row],[IV Calc P]]*SQRT(Table1334[[#This Row],[T]])</f>
        <v>#DIV/0!</v>
      </c>
      <c r="AM774" t="e">
        <f ca="1">EXP(-0.5*Table1334[[#This Row],[Call D1]]^2)/SQRT(2*PI())</f>
        <v>#DIV/0!</v>
      </c>
      <c r="AN774" t="e">
        <f ca="1">EXP(-0.5*Table1334[[#This Row],[Put D1]]^2)/SQRT(2*PI())</f>
        <v>#DIV/0!</v>
      </c>
      <c r="AO77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4">
        <f ca="1">((Table1334[[#This Row],[call vanna]]+Table1334[[#This Row],[put vanna]])*$A$4)</f>
        <v>0</v>
      </c>
      <c r="AR77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4" s="9" t="str" cm="1">
        <f t="array" ref="AT774">_xlfn.IFS(     $M$1="SPX","SPXW",     $M$1="RUT","RUTW",  $M$1="NDX","NDXP",   TRUE,$M$1 )</f>
        <v>SPXW</v>
      </c>
      <c r="AU774" s="2">
        <f t="shared" si="77"/>
        <v>6915</v>
      </c>
      <c r="AV774" t="str">
        <f t="shared" si="78"/>
        <v>000100</v>
      </c>
      <c r="AY77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4">
        <f>((Table1334[[#This Row],[High C]]+Table1334[[#This Row],[Low C]])/2)*Table1334[[#This Row],[gammac]]*Table1334[[#This Row],[Volume]]</f>
        <v>0</v>
      </c>
      <c r="BD774">
        <f>((Table1334[[#This Row],[High P]]+Table1334[[#This Row],[Low P]])/2)*Table1334[[#This Row],[gammap]]*Table1334[[#This Row],[Volume9]]*-1</f>
        <v>0</v>
      </c>
      <c r="BE774">
        <f>(Table1334[[#This Row],[SgammaC]]+Table1334[[#This Row],[SgammaP]])*$A$4*-100</f>
        <v>0</v>
      </c>
      <c r="BF774">
        <f>Table1334[[#This Row],[DEXc]]+Table1334[[#This Row],[DEXp]]</f>
        <v>0</v>
      </c>
      <c r="BG774">
        <f>IFERROR(Table1334[[#This Row],[DeltaC]]*Table1334[[#This Row],[Open.Int]]*$A$4,0)</f>
        <v>0</v>
      </c>
      <c r="BH774">
        <f>IFERROR(Table1334[[#This Row],[DeltaP]]*Table1334[[#This Row],[Open.Int8]]*$A$4,0)</f>
        <v>0</v>
      </c>
      <c r="BI77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4">
        <f ca="1">Table1334[[#This Row],[charmc]]+Table1334[[#This Row],[charmp]]</f>
        <v>0</v>
      </c>
      <c r="BL77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4" s="78">
        <f ca="1">Table1334[[#This Row],[call helper]]+Table1334[[#This Row],[put helper]]</f>
        <v>0</v>
      </c>
      <c r="BP774" t="str">
        <f>RTD("tos.rtd", , "STRIKE", "."&amp;Table1334[[#This Row],[Ticker]]&amp;Table1334[[#This Row],[Expiry]]&amp;""&amp;"C"&amp;Table1334[[#This Row],[Spot]]+Table1334[[#This Row],[step]])</f>
        <v>N/A</v>
      </c>
    </row>
    <row r="775" spans="1:68" x14ac:dyDescent="0.25">
      <c r="A775" s="14">
        <f t="shared" ca="1" si="74"/>
        <v>-126.14810350076104</v>
      </c>
      <c r="C775" s="17"/>
      <c r="D775" t="str">
        <f>RTD("tos.rtd", , "OPEN_INT", "."&amp;Table1334[[#This Row],[Ticker]]&amp;Table1334[[#This Row],[Expiry]]&amp;""&amp;"C"&amp;Table1334[[#This Row],[Spot]]+Table1334[[#This Row],[step]])</f>
        <v>N/A</v>
      </c>
      <c r="E77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5" t="b">
        <f>IF(     ISNUMBER(Table1334[[#This Row],[Strike]]),RTD("tos.rtd", , "DELTA", "."&amp;Table1334[[#This Row],[Ticker]]&amp;Table1334[[#This Row],[Expiry]]&amp;""&amp;"C"&amp;Table1334[[#This Row],[Strike]]))</f>
        <v>0</v>
      </c>
      <c r="H775" s="17" cm="1">
        <f t="array" aca="1" ref="H775" ca="1">IndividualLegIVCore($A$4, Table1334[[#This Row],[Strike]], 0.0411, Table1334[[#This Row],[T]], ((Table1334[[#This Row],[BIDC]]+Table1334[[#This Row],[ASKC]])/2), TRUE)</f>
        <v>0.01</v>
      </c>
      <c r="I775" t="b">
        <f>IF(     ISNUMBER(Table1334[[#This Row],[Strike]]),RTD("tos.rtd", , "BID", "."&amp;Table1334[[#This Row],[Ticker]]&amp;Table1334[[#This Row],[Expiry]]&amp;""&amp;"C"&amp;Table1334[[#This Row],[Strike]]))</f>
        <v>0</v>
      </c>
      <c r="J775" t="b">
        <f>IF(     ISNUMBER(Table1334[[#This Row],[Strike]]),RTD("tos.rtd", , "ASK", "."&amp;Table1334[[#This Row],[Ticker]]&amp;Table1334[[#This Row],[Expiry]]&amp;""&amp;"C"&amp;Table1334[[#This Row],[Strike]]))</f>
        <v>0</v>
      </c>
      <c r="K775" s="17"/>
      <c r="M775" s="1">
        <f t="shared" si="75"/>
        <v>0</v>
      </c>
      <c r="N775" t="b">
        <f t="shared" si="76"/>
        <v>0</v>
      </c>
      <c r="P775" s="17" cm="1">
        <f t="array" aca="1" ref="P775" ca="1">IndividualLegIVCore($A$4, Table1334[[#This Row],[Strike]], 0.0411, Table1334[[#This Row],[T]], ((Table1334[[#This Row],[BIDP]]+Table1334[[#This Row],[ASKP]])/2), FALSE)</f>
        <v>0.01</v>
      </c>
      <c r="Q775" t="b">
        <f>IF(     ISNUMBER(Table1334[[#This Row],[Strike]]),RTD("tos.rtd", , "BID", "."&amp;Table1334[[#This Row],[Ticker]]&amp;Table1334[[#This Row],[Expiry]]&amp;""&amp;"P"&amp;Table1334[[#This Row],[Strike]]))</f>
        <v>0</v>
      </c>
      <c r="R775" t="b">
        <f>IF(     ISNUMBER(Table1334[[#This Row],[Strike]]),RTD("tos.rtd", , "ASK", "."&amp;Table1334[[#This Row],[Ticker]]&amp;Table1334[[#This Row],[Expiry]]&amp;""&amp;"P"&amp;Table1334[[#This Row],[Strike]]))</f>
        <v>0</v>
      </c>
      <c r="S775" s="17"/>
      <c r="T775" t="b">
        <f>IF(     ISNUMBER(Table1334[[#This Row],[Strike]]),RTD("tos.rtd", , "OPEN_INT", "."&amp;Table1334[[#This Row],[Ticker]]&amp;Table1334[[#This Row],[Expiry]]&amp;""&amp;"P"&amp;Table1334[[#This Row],[Strike]]))</f>
        <v>0</v>
      </c>
      <c r="U77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5" t="b">
        <f>IF(     ISNUMBER(Table1334[[#This Row],[Strike]]),RTD("tos.rtd", , "DELTA", "."&amp;Table1334[[#This Row],[Ticker]]&amp;Table1334[[#This Row],[Expiry]]&amp;""&amp;"P"&amp;Table1334[[#This Row],[Strike]]))</f>
        <v>0</v>
      </c>
      <c r="Y775" s="19">
        <f>28* IF($M$1="NDX", 10, IF(OR($M$1="SPX", $M$1="RUT"), 2, 1))</f>
        <v>56</v>
      </c>
      <c r="Z775">
        <f ca="1">IFERROR(Table1334[[#This Row],[call gamma]]*(Table1334[[#This Row],[Open.Int]])*$A$4^2,0)</f>
        <v>0</v>
      </c>
      <c r="AA775">
        <f ca="1">IFERROR(((Table1334[[#This Row],[Open.Int8]])*Table1334[[#This Row],[Put gamma]])*-1*$A$4^2,0)</f>
        <v>0</v>
      </c>
      <c r="AB775">
        <f ca="1">(Table1334[[#This Row],[Call Gex]]+Table1334[[#This Row],[Put Gex]])</f>
        <v>0</v>
      </c>
      <c r="AC775">
        <f ca="1">Table1334[[#This Row],[put delta adj]]+Table1334[[#This Row],[call delta adj]]</f>
        <v>0</v>
      </c>
      <c r="AD775">
        <f ca="1">Table1334[[#This Row],[Put Gex]]*Table1334[[#This Row],[DeltaP]]*-1</f>
        <v>0</v>
      </c>
      <c r="AE775">
        <f ca="1">Table1334[[#This Row],[Call Gex]]*Table1334[[#This Row],[DeltaC]]</f>
        <v>0</v>
      </c>
      <c r="AF775">
        <f>IF(Table1334[[#This Row],[DeltaC]]-ABS(Table1334[[#This Row],[DeltaP]])="0","0.01",Table1334[[#This Row],[DeltaC]]-ABS(Table1334[[#This Row],[DeltaP]]))</f>
        <v>0</v>
      </c>
      <c r="AG77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5" t="e">
        <f ca="1">(EXP(-(AG775^2)/2)/SQRT(2*PI())*EXP(0*SQRT(Table1334[[#This Row],[T]]))/$A$4*18%*SQRT(SQRT(Table1334[[#This Row],[T]])))</f>
        <v>#DIV/0!</v>
      </c>
      <c r="AJ775" t="e">
        <f ca="1">(EXP(-(AH775^2)/2)/SQRT(2*PI())*EXP(0*SQRT(Table1334[[#This Row],[T]]))/$A$4*18%*SQRT(SQRT(Table1334[[#This Row],[T]])))</f>
        <v>#DIV/0!</v>
      </c>
      <c r="AK775" t="e">
        <f ca="1">Table1334[[#This Row],[Call D1]]-Table1334[[#This Row],[IV Calc C]]*SQRT(Table1334[[#This Row],[T]])</f>
        <v>#DIV/0!</v>
      </c>
      <c r="AL775" t="e">
        <f ca="1">Table1334[[#This Row],[Put D1]]-Table1334[[#This Row],[IV Calc P]]*SQRT(Table1334[[#This Row],[T]])</f>
        <v>#DIV/0!</v>
      </c>
      <c r="AM775" t="e">
        <f ca="1">EXP(-0.5*Table1334[[#This Row],[Call D1]]^2)/SQRT(2*PI())</f>
        <v>#DIV/0!</v>
      </c>
      <c r="AN775" t="e">
        <f ca="1">EXP(-0.5*Table1334[[#This Row],[Put D1]]^2)/SQRT(2*PI())</f>
        <v>#DIV/0!</v>
      </c>
      <c r="AO77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5">
        <f ca="1">((Table1334[[#This Row],[call vanna]]+Table1334[[#This Row],[put vanna]])*$A$4)</f>
        <v>0</v>
      </c>
      <c r="AR77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5" s="9" t="str" cm="1">
        <f t="array" ref="AT775">_xlfn.IFS(     $M$1="SPX","SPXW",     $M$1="RUT","RUTW",  $M$1="NDX","NDXP",   TRUE,$M$1 )</f>
        <v>SPXW</v>
      </c>
      <c r="AU775" s="2">
        <f t="shared" si="77"/>
        <v>6915</v>
      </c>
      <c r="AV775" t="str">
        <f t="shared" si="78"/>
        <v>000100</v>
      </c>
      <c r="AY77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5">
        <f>((Table1334[[#This Row],[High C]]+Table1334[[#This Row],[Low C]])/2)*Table1334[[#This Row],[gammac]]*Table1334[[#This Row],[Volume]]</f>
        <v>0</v>
      </c>
      <c r="BD775">
        <f>((Table1334[[#This Row],[High P]]+Table1334[[#This Row],[Low P]])/2)*Table1334[[#This Row],[gammap]]*Table1334[[#This Row],[Volume9]]*-1</f>
        <v>0</v>
      </c>
      <c r="BE775">
        <f>(Table1334[[#This Row],[SgammaC]]+Table1334[[#This Row],[SgammaP]])*$A$4*-100</f>
        <v>0</v>
      </c>
      <c r="BF775">
        <f>Table1334[[#This Row],[DEXc]]+Table1334[[#This Row],[DEXp]]</f>
        <v>0</v>
      </c>
      <c r="BG775">
        <f>IFERROR(Table1334[[#This Row],[DeltaC]]*Table1334[[#This Row],[Open.Int]]*$A$4,0)</f>
        <v>0</v>
      </c>
      <c r="BH775">
        <f>IFERROR(Table1334[[#This Row],[DeltaP]]*Table1334[[#This Row],[Open.Int8]]*$A$4,0)</f>
        <v>0</v>
      </c>
      <c r="BI77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5">
        <f ca="1">Table1334[[#This Row],[charmc]]+Table1334[[#This Row],[charmp]]</f>
        <v>0</v>
      </c>
      <c r="BL77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5" s="78">
        <f ca="1">Table1334[[#This Row],[call helper]]+Table1334[[#This Row],[put helper]]</f>
        <v>0</v>
      </c>
      <c r="BP775" t="str">
        <f>RTD("tos.rtd", , "STRIKE", "."&amp;Table1334[[#This Row],[Ticker]]&amp;Table1334[[#This Row],[Expiry]]&amp;""&amp;"C"&amp;Table1334[[#This Row],[Spot]]+Table1334[[#This Row],[step]])</f>
        <v>N/A</v>
      </c>
    </row>
    <row r="776" spans="1:68" x14ac:dyDescent="0.25">
      <c r="A776" s="14">
        <f t="shared" ca="1" si="74"/>
        <v>-126.14810350076104</v>
      </c>
      <c r="C776" s="17"/>
      <c r="D776" t="str">
        <f>RTD("tos.rtd", , "OPEN_INT", "."&amp;Table1334[[#This Row],[Ticker]]&amp;Table1334[[#This Row],[Expiry]]&amp;""&amp;"C"&amp;Table1334[[#This Row],[Spot]]+Table1334[[#This Row],[step]])</f>
        <v>N/A</v>
      </c>
      <c r="E77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6" t="b">
        <f>IF(     ISNUMBER(Table1334[[#This Row],[Strike]]),RTD("tos.rtd", , "DELTA", "."&amp;Table1334[[#This Row],[Ticker]]&amp;Table1334[[#This Row],[Expiry]]&amp;""&amp;"C"&amp;Table1334[[#This Row],[Strike]]))</f>
        <v>0</v>
      </c>
      <c r="H776" s="17" cm="1">
        <f t="array" aca="1" ref="H776" ca="1">IndividualLegIVCore($A$4, Table1334[[#This Row],[Strike]], 0.0411, Table1334[[#This Row],[T]], ((Table1334[[#This Row],[BIDC]]+Table1334[[#This Row],[ASKC]])/2), TRUE)</f>
        <v>0.01</v>
      </c>
      <c r="I776" t="b">
        <f>IF(     ISNUMBER(Table1334[[#This Row],[Strike]]),RTD("tos.rtd", , "BID", "."&amp;Table1334[[#This Row],[Ticker]]&amp;Table1334[[#This Row],[Expiry]]&amp;""&amp;"C"&amp;Table1334[[#This Row],[Strike]]))</f>
        <v>0</v>
      </c>
      <c r="J776" t="b">
        <f>IF(     ISNUMBER(Table1334[[#This Row],[Strike]]),RTD("tos.rtd", , "ASK", "."&amp;Table1334[[#This Row],[Ticker]]&amp;Table1334[[#This Row],[Expiry]]&amp;""&amp;"C"&amp;Table1334[[#This Row],[Strike]]))</f>
        <v>0</v>
      </c>
      <c r="K776" s="17"/>
      <c r="M776" s="1">
        <f t="shared" si="75"/>
        <v>0</v>
      </c>
      <c r="N776" t="b">
        <f t="shared" si="76"/>
        <v>0</v>
      </c>
      <c r="P776" s="17" cm="1">
        <f t="array" aca="1" ref="P776" ca="1">IndividualLegIVCore($A$4, Table1334[[#This Row],[Strike]], 0.0411, Table1334[[#This Row],[T]], ((Table1334[[#This Row],[BIDP]]+Table1334[[#This Row],[ASKP]])/2), FALSE)</f>
        <v>0.01</v>
      </c>
      <c r="Q776" t="b">
        <f>IF(     ISNUMBER(Table1334[[#This Row],[Strike]]),RTD("tos.rtd", , "BID", "."&amp;Table1334[[#This Row],[Ticker]]&amp;Table1334[[#This Row],[Expiry]]&amp;""&amp;"P"&amp;Table1334[[#This Row],[Strike]]))</f>
        <v>0</v>
      </c>
      <c r="R776" t="b">
        <f>IF(     ISNUMBER(Table1334[[#This Row],[Strike]]),RTD("tos.rtd", , "ASK", "."&amp;Table1334[[#This Row],[Ticker]]&amp;Table1334[[#This Row],[Expiry]]&amp;""&amp;"P"&amp;Table1334[[#This Row],[Strike]]))</f>
        <v>0</v>
      </c>
      <c r="S776" s="17"/>
      <c r="T776" t="b">
        <f>IF(     ISNUMBER(Table1334[[#This Row],[Strike]]),RTD("tos.rtd", , "OPEN_INT", "."&amp;Table1334[[#This Row],[Ticker]]&amp;Table1334[[#This Row],[Expiry]]&amp;""&amp;"P"&amp;Table1334[[#This Row],[Strike]]))</f>
        <v>0</v>
      </c>
      <c r="U77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6" t="b">
        <f>IF(     ISNUMBER(Table1334[[#This Row],[Strike]]),RTD("tos.rtd", , "DELTA", "."&amp;Table1334[[#This Row],[Ticker]]&amp;Table1334[[#This Row],[Expiry]]&amp;""&amp;"P"&amp;Table1334[[#This Row],[Strike]]))</f>
        <v>0</v>
      </c>
      <c r="Y776" s="19">
        <f>28.5* IF($M$1="NDX", 10, IF(OR($M$1="SPX", $M$1="RUT"), 2, 1))</f>
        <v>57</v>
      </c>
      <c r="Z776">
        <f ca="1">IFERROR(Table1334[[#This Row],[call gamma]]*(Table1334[[#This Row],[Open.Int]])*$A$4^2,0)</f>
        <v>0</v>
      </c>
      <c r="AA776">
        <f ca="1">IFERROR(((Table1334[[#This Row],[Open.Int8]])*Table1334[[#This Row],[Put gamma]])*-1*$A$4^2,0)</f>
        <v>0</v>
      </c>
      <c r="AB776">
        <f ca="1">(Table1334[[#This Row],[Call Gex]]+Table1334[[#This Row],[Put Gex]])</f>
        <v>0</v>
      </c>
      <c r="AC776">
        <f ca="1">Table1334[[#This Row],[put delta adj]]+Table1334[[#This Row],[call delta adj]]</f>
        <v>0</v>
      </c>
      <c r="AD776">
        <f ca="1">Table1334[[#This Row],[Put Gex]]*Table1334[[#This Row],[DeltaP]]*-1</f>
        <v>0</v>
      </c>
      <c r="AE776">
        <f ca="1">Table1334[[#This Row],[Call Gex]]*Table1334[[#This Row],[DeltaC]]</f>
        <v>0</v>
      </c>
      <c r="AF776">
        <f>IF(Table1334[[#This Row],[DeltaC]]-ABS(Table1334[[#This Row],[DeltaP]])="0","0.01",Table1334[[#This Row],[DeltaC]]-ABS(Table1334[[#This Row],[DeltaP]]))</f>
        <v>0</v>
      </c>
      <c r="AG77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6" t="e">
        <f ca="1">(EXP(-(AG776^2)/2)/SQRT(2*PI())*EXP(0*SQRT(Table1334[[#This Row],[T]]))/$A$4*18%*SQRT(SQRT(Table1334[[#This Row],[T]])))</f>
        <v>#DIV/0!</v>
      </c>
      <c r="AJ776" t="e">
        <f ca="1">(EXP(-(AH776^2)/2)/SQRT(2*PI())*EXP(0*SQRT(Table1334[[#This Row],[T]]))/$A$4*18%*SQRT(SQRT(Table1334[[#This Row],[T]])))</f>
        <v>#DIV/0!</v>
      </c>
      <c r="AK776" t="e">
        <f ca="1">Table1334[[#This Row],[Call D1]]-Table1334[[#This Row],[IV Calc C]]*SQRT(Table1334[[#This Row],[T]])</f>
        <v>#DIV/0!</v>
      </c>
      <c r="AL776" t="e">
        <f ca="1">Table1334[[#This Row],[Put D1]]-Table1334[[#This Row],[IV Calc P]]*SQRT(Table1334[[#This Row],[T]])</f>
        <v>#DIV/0!</v>
      </c>
      <c r="AM776" t="e">
        <f ca="1">EXP(-0.5*Table1334[[#This Row],[Call D1]]^2)/SQRT(2*PI())</f>
        <v>#DIV/0!</v>
      </c>
      <c r="AN776" t="e">
        <f ca="1">EXP(-0.5*Table1334[[#This Row],[Put D1]]^2)/SQRT(2*PI())</f>
        <v>#DIV/0!</v>
      </c>
      <c r="AO77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6">
        <f ca="1">((Table1334[[#This Row],[call vanna]]+Table1334[[#This Row],[put vanna]])*$A$4)</f>
        <v>0</v>
      </c>
      <c r="AR77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6" s="9" t="str" cm="1">
        <f t="array" ref="AT776">_xlfn.IFS(     $M$1="SPX","SPXW",     $M$1="RUT","RUTW",  $M$1="NDX","NDXP",   TRUE,$M$1 )</f>
        <v>SPXW</v>
      </c>
      <c r="AU776" s="2">
        <f t="shared" si="77"/>
        <v>6915</v>
      </c>
      <c r="AV776" t="str">
        <f t="shared" si="78"/>
        <v>000100</v>
      </c>
      <c r="AY77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6">
        <f>((Table1334[[#This Row],[High C]]+Table1334[[#This Row],[Low C]])/2)*Table1334[[#This Row],[gammac]]*Table1334[[#This Row],[Volume]]</f>
        <v>0</v>
      </c>
      <c r="BD776">
        <f>((Table1334[[#This Row],[High P]]+Table1334[[#This Row],[Low P]])/2)*Table1334[[#This Row],[gammap]]*Table1334[[#This Row],[Volume9]]*-1</f>
        <v>0</v>
      </c>
      <c r="BE776">
        <f>(Table1334[[#This Row],[SgammaC]]+Table1334[[#This Row],[SgammaP]])*$A$4*-100</f>
        <v>0</v>
      </c>
      <c r="BF776">
        <f>Table1334[[#This Row],[DEXc]]+Table1334[[#This Row],[DEXp]]</f>
        <v>0</v>
      </c>
      <c r="BG776">
        <f>IFERROR(Table1334[[#This Row],[DeltaC]]*Table1334[[#This Row],[Open.Int]]*$A$4,0)</f>
        <v>0</v>
      </c>
      <c r="BH776">
        <f>IFERROR(Table1334[[#This Row],[DeltaP]]*Table1334[[#This Row],[Open.Int8]]*$A$4,0)</f>
        <v>0</v>
      </c>
      <c r="BI77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6">
        <f ca="1">Table1334[[#This Row],[charmc]]+Table1334[[#This Row],[charmp]]</f>
        <v>0</v>
      </c>
      <c r="BL77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6" s="78">
        <f ca="1">Table1334[[#This Row],[call helper]]+Table1334[[#This Row],[put helper]]</f>
        <v>0</v>
      </c>
      <c r="BP776" t="str">
        <f>RTD("tos.rtd", , "STRIKE", "."&amp;Table1334[[#This Row],[Ticker]]&amp;Table1334[[#This Row],[Expiry]]&amp;""&amp;"C"&amp;Table1334[[#This Row],[Spot]]+Table1334[[#This Row],[step]])</f>
        <v>N/A</v>
      </c>
    </row>
    <row r="777" spans="1:68" x14ac:dyDescent="0.25">
      <c r="A777" s="24">
        <f t="shared" ca="1" si="74"/>
        <v>-126.14810350076104</v>
      </c>
      <c r="B777" s="13"/>
      <c r="C777" s="17"/>
      <c r="D777" t="str">
        <f>RTD("tos.rtd", , "OPEN_INT", "."&amp;Table1334[[#This Row],[Ticker]]&amp;Table1334[[#This Row],[Expiry]]&amp;""&amp;"C"&amp;Table1334[[#This Row],[Spot]]+Table1334[[#This Row],[step]])</f>
        <v>N/A</v>
      </c>
      <c r="E77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7" t="b">
        <f>IF(     ISNUMBER(Table1334[[#This Row],[Strike]]),RTD("tos.rtd", , "DELTA", "."&amp;Table1334[[#This Row],[Ticker]]&amp;Table1334[[#This Row],[Expiry]]&amp;""&amp;"C"&amp;Table1334[[#This Row],[Strike]]))</f>
        <v>0</v>
      </c>
      <c r="H777" s="17" cm="1">
        <f t="array" aca="1" ref="H777" ca="1">IndividualLegIVCore($A$4, Table1334[[#This Row],[Strike]], 0.0411, Table1334[[#This Row],[T]], ((Table1334[[#This Row],[BIDC]]+Table1334[[#This Row],[ASKC]])/2), TRUE)</f>
        <v>0.01</v>
      </c>
      <c r="I777" t="b">
        <f>IF(     ISNUMBER(Table1334[[#This Row],[Strike]]),RTD("tos.rtd", , "BID", "."&amp;Table1334[[#This Row],[Ticker]]&amp;Table1334[[#This Row],[Expiry]]&amp;""&amp;"C"&amp;Table1334[[#This Row],[Strike]]))</f>
        <v>0</v>
      </c>
      <c r="J777" t="b">
        <f>IF(     ISNUMBER(Table1334[[#This Row],[Strike]]),RTD("tos.rtd", , "ASK", "."&amp;Table1334[[#This Row],[Ticker]]&amp;Table1334[[#This Row],[Expiry]]&amp;""&amp;"C"&amp;Table1334[[#This Row],[Strike]]))</f>
        <v>0</v>
      </c>
      <c r="K777" s="17"/>
      <c r="M777" s="1">
        <f t="shared" si="75"/>
        <v>0</v>
      </c>
      <c r="N777" t="b">
        <f t="shared" si="76"/>
        <v>0</v>
      </c>
      <c r="P777" s="17" cm="1">
        <f t="array" aca="1" ref="P777" ca="1">IndividualLegIVCore($A$4, Table1334[[#This Row],[Strike]], 0.0411, Table1334[[#This Row],[T]], ((Table1334[[#This Row],[BIDP]]+Table1334[[#This Row],[ASKP]])/2), FALSE)</f>
        <v>0.01</v>
      </c>
      <c r="Q777" t="b">
        <f>IF(     ISNUMBER(Table1334[[#This Row],[Strike]]),RTD("tos.rtd", , "BID", "."&amp;Table1334[[#This Row],[Ticker]]&amp;Table1334[[#This Row],[Expiry]]&amp;""&amp;"P"&amp;Table1334[[#This Row],[Strike]]))</f>
        <v>0</v>
      </c>
      <c r="R777" t="b">
        <f>IF(     ISNUMBER(Table1334[[#This Row],[Strike]]),RTD("tos.rtd", , "ASK", "."&amp;Table1334[[#This Row],[Ticker]]&amp;Table1334[[#This Row],[Expiry]]&amp;""&amp;"P"&amp;Table1334[[#This Row],[Strike]]))</f>
        <v>0</v>
      </c>
      <c r="S777" s="17"/>
      <c r="T777" t="b">
        <f>IF(     ISNUMBER(Table1334[[#This Row],[Strike]]),RTD("tos.rtd", , "OPEN_INT", "."&amp;Table1334[[#This Row],[Ticker]]&amp;Table1334[[#This Row],[Expiry]]&amp;""&amp;"P"&amp;Table1334[[#This Row],[Strike]]))</f>
        <v>0</v>
      </c>
      <c r="U77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7" t="b">
        <f>IF(     ISNUMBER(Table1334[[#This Row],[Strike]]),RTD("tos.rtd", , "DELTA", "."&amp;Table1334[[#This Row],[Ticker]]&amp;Table1334[[#This Row],[Expiry]]&amp;""&amp;"P"&amp;Table1334[[#This Row],[Strike]]))</f>
        <v>0</v>
      </c>
      <c r="X777" s="13"/>
      <c r="Y777" s="19">
        <f>29* IF($M$1="NDX", 10, IF(OR($M$1="SPX", $M$1="RUT"), 2, 1))</f>
        <v>58</v>
      </c>
      <c r="Z777">
        <f ca="1">IFERROR(Table1334[[#This Row],[call gamma]]*(Table1334[[#This Row],[Open.Int]])*$A$4^2,0)</f>
        <v>0</v>
      </c>
      <c r="AA777">
        <f ca="1">IFERROR(((Table1334[[#This Row],[Open.Int8]])*Table1334[[#This Row],[Put gamma]])*-1*$A$4^2,0)</f>
        <v>0</v>
      </c>
      <c r="AB777">
        <f ca="1">(Table1334[[#This Row],[Call Gex]]+Table1334[[#This Row],[Put Gex]])</f>
        <v>0</v>
      </c>
      <c r="AC777">
        <f ca="1">Table1334[[#This Row],[put delta adj]]+Table1334[[#This Row],[call delta adj]]</f>
        <v>0</v>
      </c>
      <c r="AD777">
        <f ca="1">Table1334[[#This Row],[Put Gex]]*Table1334[[#This Row],[DeltaP]]*-1</f>
        <v>0</v>
      </c>
      <c r="AE777">
        <f ca="1">Table1334[[#This Row],[Call Gex]]*Table1334[[#This Row],[DeltaC]]</f>
        <v>0</v>
      </c>
      <c r="AF777">
        <f>IF(Table1334[[#This Row],[DeltaC]]-ABS(Table1334[[#This Row],[DeltaP]])="0","0.01",Table1334[[#This Row],[DeltaC]]-ABS(Table1334[[#This Row],[DeltaP]]))</f>
        <v>0</v>
      </c>
      <c r="AG77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7" t="e">
        <f ca="1">(EXP(-(AG777^2)/2)/SQRT(2*PI())*EXP(0*SQRT(Table1334[[#This Row],[T]]))/$A$4*18%*SQRT(SQRT(Table1334[[#This Row],[T]])))</f>
        <v>#DIV/0!</v>
      </c>
      <c r="AJ777" t="e">
        <f ca="1">(EXP(-(AH777^2)/2)/SQRT(2*PI())*EXP(0*SQRT(Table1334[[#This Row],[T]]))/$A$4*18%*SQRT(SQRT(Table1334[[#This Row],[T]])))</f>
        <v>#DIV/0!</v>
      </c>
      <c r="AK777" t="e">
        <f ca="1">Table1334[[#This Row],[Call D1]]-Table1334[[#This Row],[IV Calc C]]*SQRT(Table1334[[#This Row],[T]])</f>
        <v>#DIV/0!</v>
      </c>
      <c r="AL777" t="e">
        <f ca="1">Table1334[[#This Row],[Put D1]]-Table1334[[#This Row],[IV Calc P]]*SQRT(Table1334[[#This Row],[T]])</f>
        <v>#DIV/0!</v>
      </c>
      <c r="AM777" t="e">
        <f ca="1">EXP(-0.5*Table1334[[#This Row],[Call D1]]^2)/SQRT(2*PI())</f>
        <v>#DIV/0!</v>
      </c>
      <c r="AN777" t="e">
        <f ca="1">EXP(-0.5*Table1334[[#This Row],[Put D1]]^2)/SQRT(2*PI())</f>
        <v>#DIV/0!</v>
      </c>
      <c r="AO77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7">
        <f ca="1">((Table1334[[#This Row],[call vanna]]+Table1334[[#This Row],[put vanna]])*$A$4)</f>
        <v>0</v>
      </c>
      <c r="AR77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7" s="22" t="str" cm="1">
        <f t="array" ref="AT777">_xlfn.IFS(     $M$1="SPX","SPXW",     $M$1="RUT","RUTW",  $M$1="NDX","NDXP",   TRUE,$M$1 )</f>
        <v>SPXW</v>
      </c>
      <c r="AU777" s="23">
        <f t="shared" si="77"/>
        <v>6915</v>
      </c>
      <c r="AV777" s="13" t="str">
        <f t="shared" si="78"/>
        <v>000100</v>
      </c>
      <c r="AY77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7">
        <f>((Table1334[[#This Row],[High C]]+Table1334[[#This Row],[Low C]])/2)*Table1334[[#This Row],[gammac]]*Table1334[[#This Row],[Volume]]</f>
        <v>0</v>
      </c>
      <c r="BD777">
        <f>((Table1334[[#This Row],[High P]]+Table1334[[#This Row],[Low P]])/2)*Table1334[[#This Row],[gammap]]*Table1334[[#This Row],[Volume9]]*-1</f>
        <v>0</v>
      </c>
      <c r="BE777">
        <f>(Table1334[[#This Row],[SgammaC]]+Table1334[[#This Row],[SgammaP]])*$A$4*-100</f>
        <v>0</v>
      </c>
      <c r="BF777">
        <f>Table1334[[#This Row],[DEXc]]+Table1334[[#This Row],[DEXp]]</f>
        <v>0</v>
      </c>
      <c r="BG777">
        <f>IFERROR(Table1334[[#This Row],[DeltaC]]*Table1334[[#This Row],[Open.Int]]*$A$4,0)</f>
        <v>0</v>
      </c>
      <c r="BH777">
        <f>IFERROR(Table1334[[#This Row],[DeltaP]]*Table1334[[#This Row],[Open.Int8]]*$A$4,0)</f>
        <v>0</v>
      </c>
      <c r="BI77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7">
        <f ca="1">Table1334[[#This Row],[charmc]]+Table1334[[#This Row],[charmp]]</f>
        <v>0</v>
      </c>
      <c r="BL77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7" s="78">
        <f ca="1">Table1334[[#This Row],[call helper]]+Table1334[[#This Row],[put helper]]</f>
        <v>0</v>
      </c>
      <c r="BP777" t="str">
        <f>RTD("tos.rtd", , "STRIKE", "."&amp;Table1334[[#This Row],[Ticker]]&amp;Table1334[[#This Row],[Expiry]]&amp;""&amp;"C"&amp;Table1334[[#This Row],[Spot]]+Table1334[[#This Row],[step]])</f>
        <v>N/A</v>
      </c>
    </row>
    <row r="778" spans="1:68" x14ac:dyDescent="0.25">
      <c r="A778" s="14">
        <f t="shared" ca="1" si="74"/>
        <v>-126.14810350076104</v>
      </c>
      <c r="C778" s="17"/>
      <c r="D778" t="str">
        <f>RTD("tos.rtd", , "OPEN_INT", "."&amp;Table1334[[#This Row],[Ticker]]&amp;Table1334[[#This Row],[Expiry]]&amp;""&amp;"C"&amp;Table1334[[#This Row],[Spot]]+Table1334[[#This Row],[step]])</f>
        <v>N/A</v>
      </c>
      <c r="E77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8" t="b">
        <f>IF(     ISNUMBER(Table1334[[#This Row],[Strike]]),RTD("tos.rtd", , "DELTA", "."&amp;Table1334[[#This Row],[Ticker]]&amp;Table1334[[#This Row],[Expiry]]&amp;""&amp;"C"&amp;Table1334[[#This Row],[Strike]]))</f>
        <v>0</v>
      </c>
      <c r="H778" s="17" cm="1">
        <f t="array" aca="1" ref="H778" ca="1">IndividualLegIVCore($A$4, Table1334[[#This Row],[Strike]], 0.0411, Table1334[[#This Row],[T]], ((Table1334[[#This Row],[BIDC]]+Table1334[[#This Row],[ASKC]])/2), TRUE)</f>
        <v>0.01</v>
      </c>
      <c r="I778" t="b">
        <f>IF(     ISNUMBER(Table1334[[#This Row],[Strike]]),RTD("tos.rtd", , "BID", "."&amp;Table1334[[#This Row],[Ticker]]&amp;Table1334[[#This Row],[Expiry]]&amp;""&amp;"C"&amp;Table1334[[#This Row],[Strike]]))</f>
        <v>0</v>
      </c>
      <c r="J778" t="b">
        <f>IF(     ISNUMBER(Table1334[[#This Row],[Strike]]),RTD("tos.rtd", , "ASK", "."&amp;Table1334[[#This Row],[Ticker]]&amp;Table1334[[#This Row],[Expiry]]&amp;""&amp;"C"&amp;Table1334[[#This Row],[Strike]]))</f>
        <v>0</v>
      </c>
      <c r="K778" s="17"/>
      <c r="M778" s="1">
        <f t="shared" si="75"/>
        <v>0</v>
      </c>
      <c r="N778" t="b">
        <f t="shared" si="76"/>
        <v>0</v>
      </c>
      <c r="P778" s="17" cm="1">
        <f t="array" aca="1" ref="P778" ca="1">IndividualLegIVCore($A$4, Table1334[[#This Row],[Strike]], 0.0411, Table1334[[#This Row],[T]], ((Table1334[[#This Row],[BIDP]]+Table1334[[#This Row],[ASKP]])/2), FALSE)</f>
        <v>0.01</v>
      </c>
      <c r="Q778" t="b">
        <f>IF(     ISNUMBER(Table1334[[#This Row],[Strike]]),RTD("tos.rtd", , "BID", "."&amp;Table1334[[#This Row],[Ticker]]&amp;Table1334[[#This Row],[Expiry]]&amp;""&amp;"P"&amp;Table1334[[#This Row],[Strike]]))</f>
        <v>0</v>
      </c>
      <c r="R778" t="b">
        <f>IF(     ISNUMBER(Table1334[[#This Row],[Strike]]),RTD("tos.rtd", , "ASK", "."&amp;Table1334[[#This Row],[Ticker]]&amp;Table1334[[#This Row],[Expiry]]&amp;""&amp;"P"&amp;Table1334[[#This Row],[Strike]]))</f>
        <v>0</v>
      </c>
      <c r="S778" s="17"/>
      <c r="T778" t="b">
        <f>IF(     ISNUMBER(Table1334[[#This Row],[Strike]]),RTD("tos.rtd", , "OPEN_INT", "."&amp;Table1334[[#This Row],[Ticker]]&amp;Table1334[[#This Row],[Expiry]]&amp;""&amp;"P"&amp;Table1334[[#This Row],[Strike]]))</f>
        <v>0</v>
      </c>
      <c r="U77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8" t="b">
        <f>IF(     ISNUMBER(Table1334[[#This Row],[Strike]]),RTD("tos.rtd", , "DELTA", "."&amp;Table1334[[#This Row],[Ticker]]&amp;Table1334[[#This Row],[Expiry]]&amp;""&amp;"P"&amp;Table1334[[#This Row],[Strike]]))</f>
        <v>0</v>
      </c>
      <c r="Y778" s="19">
        <f>29.5* IF($M$1="NDX", 10, IF(OR($M$1="SPX", $M$1="RUT"), 2, 1))</f>
        <v>59</v>
      </c>
      <c r="Z778">
        <f ca="1">IFERROR(Table1334[[#This Row],[call gamma]]*(Table1334[[#This Row],[Open.Int]])*$A$4^2,0)</f>
        <v>0</v>
      </c>
      <c r="AA778">
        <f ca="1">IFERROR(((Table1334[[#This Row],[Open.Int8]])*Table1334[[#This Row],[Put gamma]])*-1*$A$4^2,0)</f>
        <v>0</v>
      </c>
      <c r="AB778">
        <f ca="1">(Table1334[[#This Row],[Call Gex]]+Table1334[[#This Row],[Put Gex]])</f>
        <v>0</v>
      </c>
      <c r="AC778">
        <f ca="1">Table1334[[#This Row],[put delta adj]]+Table1334[[#This Row],[call delta adj]]</f>
        <v>0</v>
      </c>
      <c r="AD778">
        <f ca="1">Table1334[[#This Row],[Put Gex]]*Table1334[[#This Row],[DeltaP]]*-1</f>
        <v>0</v>
      </c>
      <c r="AE778">
        <f ca="1">Table1334[[#This Row],[Call Gex]]*Table1334[[#This Row],[DeltaC]]</f>
        <v>0</v>
      </c>
      <c r="AF778">
        <f>IF(Table1334[[#This Row],[DeltaC]]-ABS(Table1334[[#This Row],[DeltaP]])="0","0.01",Table1334[[#This Row],[DeltaC]]-ABS(Table1334[[#This Row],[DeltaP]]))</f>
        <v>0</v>
      </c>
      <c r="AG77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8" t="e">
        <f ca="1">(EXP(-(AG778^2)/2)/SQRT(2*PI())*EXP(0*SQRT(Table1334[[#This Row],[T]]))/$A$4*18%*SQRT(SQRT(Table1334[[#This Row],[T]])))</f>
        <v>#DIV/0!</v>
      </c>
      <c r="AJ778" t="e">
        <f ca="1">(EXP(-(AH778^2)/2)/SQRT(2*PI())*EXP(0*SQRT(Table1334[[#This Row],[T]]))/$A$4*18%*SQRT(SQRT(Table1334[[#This Row],[T]])))</f>
        <v>#DIV/0!</v>
      </c>
      <c r="AK778" t="e">
        <f ca="1">Table1334[[#This Row],[Call D1]]-Table1334[[#This Row],[IV Calc C]]*SQRT(Table1334[[#This Row],[T]])</f>
        <v>#DIV/0!</v>
      </c>
      <c r="AL778" t="e">
        <f ca="1">Table1334[[#This Row],[Put D1]]-Table1334[[#This Row],[IV Calc P]]*SQRT(Table1334[[#This Row],[T]])</f>
        <v>#DIV/0!</v>
      </c>
      <c r="AM778" t="e">
        <f ca="1">EXP(-0.5*Table1334[[#This Row],[Call D1]]^2)/SQRT(2*PI())</f>
        <v>#DIV/0!</v>
      </c>
      <c r="AN778" t="e">
        <f ca="1">EXP(-0.5*Table1334[[#This Row],[Put D1]]^2)/SQRT(2*PI())</f>
        <v>#DIV/0!</v>
      </c>
      <c r="AO77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8">
        <f ca="1">((Table1334[[#This Row],[call vanna]]+Table1334[[#This Row],[put vanna]])*$A$4)</f>
        <v>0</v>
      </c>
      <c r="AR77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8" s="9" t="str" cm="1">
        <f t="array" ref="AT778">_xlfn.IFS(     $M$1="SPX","SPXW",     $M$1="RUT","RUTW",  $M$1="NDX","NDXP",   TRUE,$M$1 )</f>
        <v>SPXW</v>
      </c>
      <c r="AU778" s="2">
        <f t="shared" si="77"/>
        <v>6915</v>
      </c>
      <c r="AV778" t="str">
        <f t="shared" si="78"/>
        <v>000100</v>
      </c>
      <c r="AY77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8">
        <f>((Table1334[[#This Row],[High C]]+Table1334[[#This Row],[Low C]])/2)*Table1334[[#This Row],[gammac]]*Table1334[[#This Row],[Volume]]</f>
        <v>0</v>
      </c>
      <c r="BD778">
        <f>((Table1334[[#This Row],[High P]]+Table1334[[#This Row],[Low P]])/2)*Table1334[[#This Row],[gammap]]*Table1334[[#This Row],[Volume9]]*-1</f>
        <v>0</v>
      </c>
      <c r="BE778">
        <f>(Table1334[[#This Row],[SgammaC]]+Table1334[[#This Row],[SgammaP]])*$A$4*-100</f>
        <v>0</v>
      </c>
      <c r="BF778">
        <f>Table1334[[#This Row],[DEXc]]+Table1334[[#This Row],[DEXp]]</f>
        <v>0</v>
      </c>
      <c r="BG778">
        <f>IFERROR(Table1334[[#This Row],[DeltaC]]*Table1334[[#This Row],[Open.Int]]*$A$4,0)</f>
        <v>0</v>
      </c>
      <c r="BH778">
        <f>IFERROR(Table1334[[#This Row],[DeltaP]]*Table1334[[#This Row],[Open.Int8]]*$A$4,0)</f>
        <v>0</v>
      </c>
      <c r="BI77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8">
        <f ca="1">Table1334[[#This Row],[charmc]]+Table1334[[#This Row],[charmp]]</f>
        <v>0</v>
      </c>
      <c r="BL77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8" s="78">
        <f ca="1">Table1334[[#This Row],[call helper]]+Table1334[[#This Row],[put helper]]</f>
        <v>0</v>
      </c>
      <c r="BP778" t="str">
        <f>RTD("tos.rtd", , "STRIKE", "."&amp;Table1334[[#This Row],[Ticker]]&amp;Table1334[[#This Row],[Expiry]]&amp;""&amp;"C"&amp;Table1334[[#This Row],[Spot]]+Table1334[[#This Row],[step]])</f>
        <v>N/A</v>
      </c>
    </row>
    <row r="779" spans="1:68" x14ac:dyDescent="0.25">
      <c r="A779" s="14">
        <f t="shared" ca="1" si="74"/>
        <v>-126.14810350076104</v>
      </c>
      <c r="C779" s="17"/>
      <c r="D779" t="str">
        <f>RTD("tos.rtd", , "OPEN_INT", "."&amp;Table1334[[#This Row],[Ticker]]&amp;Table1334[[#This Row],[Expiry]]&amp;""&amp;"C"&amp;Table1334[[#This Row],[Spot]]+Table1334[[#This Row],[step]])</f>
        <v>N/A</v>
      </c>
      <c r="E77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9" t="b">
        <f>IF(     ISNUMBER(Table1334[[#This Row],[Strike]]),RTD("tos.rtd", , "DELTA", "."&amp;Table1334[[#This Row],[Ticker]]&amp;Table1334[[#This Row],[Expiry]]&amp;""&amp;"C"&amp;Table1334[[#This Row],[Strike]]))</f>
        <v>0</v>
      </c>
      <c r="H779" s="17" cm="1">
        <f t="array" aca="1" ref="H779" ca="1">IndividualLegIVCore($A$4, Table1334[[#This Row],[Strike]], 0.0411, Table1334[[#This Row],[T]], ((Table1334[[#This Row],[BIDC]]+Table1334[[#This Row],[ASKC]])/2), TRUE)</f>
        <v>0.01</v>
      </c>
      <c r="I779" t="b">
        <f>IF(     ISNUMBER(Table1334[[#This Row],[Strike]]),RTD("tos.rtd", , "BID", "."&amp;Table1334[[#This Row],[Ticker]]&amp;Table1334[[#This Row],[Expiry]]&amp;""&amp;"C"&amp;Table1334[[#This Row],[Strike]]))</f>
        <v>0</v>
      </c>
      <c r="J779" t="b">
        <f>IF(     ISNUMBER(Table1334[[#This Row],[Strike]]),RTD("tos.rtd", , "ASK", "."&amp;Table1334[[#This Row],[Ticker]]&amp;Table1334[[#This Row],[Expiry]]&amp;""&amp;"C"&amp;Table1334[[#This Row],[Strike]]))</f>
        <v>0</v>
      </c>
      <c r="K779" s="17"/>
      <c r="M779" s="1">
        <f t="shared" si="75"/>
        <v>0</v>
      </c>
      <c r="N779" t="b">
        <f t="shared" si="76"/>
        <v>0</v>
      </c>
      <c r="P779" s="17" cm="1">
        <f t="array" aca="1" ref="P779" ca="1">IndividualLegIVCore($A$4, Table1334[[#This Row],[Strike]], 0.0411, Table1334[[#This Row],[T]], ((Table1334[[#This Row],[BIDP]]+Table1334[[#This Row],[ASKP]])/2), FALSE)</f>
        <v>0.01</v>
      </c>
      <c r="Q779" t="b">
        <f>IF(     ISNUMBER(Table1334[[#This Row],[Strike]]),RTD("tos.rtd", , "BID", "."&amp;Table1334[[#This Row],[Ticker]]&amp;Table1334[[#This Row],[Expiry]]&amp;""&amp;"P"&amp;Table1334[[#This Row],[Strike]]))</f>
        <v>0</v>
      </c>
      <c r="R779" t="b">
        <f>IF(     ISNUMBER(Table1334[[#This Row],[Strike]]),RTD("tos.rtd", , "ASK", "."&amp;Table1334[[#This Row],[Ticker]]&amp;Table1334[[#This Row],[Expiry]]&amp;""&amp;"P"&amp;Table1334[[#This Row],[Strike]]))</f>
        <v>0</v>
      </c>
      <c r="S779" s="17"/>
      <c r="T779" t="b">
        <f>IF(     ISNUMBER(Table1334[[#This Row],[Strike]]),RTD("tos.rtd", , "OPEN_INT", "."&amp;Table1334[[#This Row],[Ticker]]&amp;Table1334[[#This Row],[Expiry]]&amp;""&amp;"P"&amp;Table1334[[#This Row],[Strike]]))</f>
        <v>0</v>
      </c>
      <c r="U77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9" t="b">
        <f>IF(     ISNUMBER(Table1334[[#This Row],[Strike]]),RTD("tos.rtd", , "DELTA", "."&amp;Table1334[[#This Row],[Ticker]]&amp;Table1334[[#This Row],[Expiry]]&amp;""&amp;"P"&amp;Table1334[[#This Row],[Strike]]))</f>
        <v>0</v>
      </c>
      <c r="Y779" s="21">
        <f>30* IF($M$1="NDX", 10, IF(OR($M$1="SPX", $M$1="RUT"), 2, 1))</f>
        <v>60</v>
      </c>
      <c r="Z779">
        <f ca="1">IFERROR(Table1334[[#This Row],[call gamma]]*(Table1334[[#This Row],[Open.Int]])*$A$4^2,0)</f>
        <v>0</v>
      </c>
      <c r="AA779">
        <f ca="1">IFERROR(((Table1334[[#This Row],[Open.Int8]])*Table1334[[#This Row],[Put gamma]])*-1*$A$4^2,0)</f>
        <v>0</v>
      </c>
      <c r="AB779">
        <f ca="1">(Table1334[[#This Row],[Call Gex]]+Table1334[[#This Row],[Put Gex]])</f>
        <v>0</v>
      </c>
      <c r="AC779">
        <f ca="1">Table1334[[#This Row],[put delta adj]]+Table1334[[#This Row],[call delta adj]]</f>
        <v>0</v>
      </c>
      <c r="AD779">
        <f ca="1">Table1334[[#This Row],[Put Gex]]*Table1334[[#This Row],[DeltaP]]*-1</f>
        <v>0</v>
      </c>
      <c r="AE779">
        <f ca="1">Table1334[[#This Row],[Call Gex]]*Table1334[[#This Row],[DeltaC]]</f>
        <v>0</v>
      </c>
      <c r="AF779">
        <f>IF(Table1334[[#This Row],[DeltaC]]-ABS(Table1334[[#This Row],[DeltaP]])="0","0.01",Table1334[[#This Row],[DeltaC]]-ABS(Table1334[[#This Row],[DeltaP]]))</f>
        <v>0</v>
      </c>
      <c r="AG77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9" t="e">
        <f ca="1">(EXP(-(AG779^2)/2)/SQRT(2*PI())*EXP(0*SQRT(Table1334[[#This Row],[T]]))/$A$4*18%*SQRT(SQRT(Table1334[[#This Row],[T]])))</f>
        <v>#DIV/0!</v>
      </c>
      <c r="AJ779" t="e">
        <f ca="1">(EXP(-(AH779^2)/2)/SQRT(2*PI())*EXP(0*SQRT(Table1334[[#This Row],[T]]))/$A$4*18%*SQRT(SQRT(Table1334[[#This Row],[T]])))</f>
        <v>#DIV/0!</v>
      </c>
      <c r="AK779" t="e">
        <f ca="1">Table1334[[#This Row],[Call D1]]-Table1334[[#This Row],[IV Calc C]]*SQRT(Table1334[[#This Row],[T]])</f>
        <v>#DIV/0!</v>
      </c>
      <c r="AL779" t="e">
        <f ca="1">Table1334[[#This Row],[Put D1]]-Table1334[[#This Row],[IV Calc P]]*SQRT(Table1334[[#This Row],[T]])</f>
        <v>#DIV/0!</v>
      </c>
      <c r="AM779" t="e">
        <f ca="1">EXP(-0.5*Table1334[[#This Row],[Call D1]]^2)/SQRT(2*PI())</f>
        <v>#DIV/0!</v>
      </c>
      <c r="AN779" t="e">
        <f ca="1">EXP(-0.5*Table1334[[#This Row],[Put D1]]^2)/SQRT(2*PI())</f>
        <v>#DIV/0!</v>
      </c>
      <c r="AO77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9">
        <f ca="1">((Table1334[[#This Row],[call vanna]]+Table1334[[#This Row],[put vanna]])*$A$4)</f>
        <v>0</v>
      </c>
      <c r="AR77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9" s="9" t="str" cm="1">
        <f t="array" ref="AT779">_xlfn.IFS(     $M$1="SPX","SPXW",     $M$1="RUT","RUTW",  $M$1="NDX","NDXP",   TRUE,$M$1 )</f>
        <v>SPXW</v>
      </c>
      <c r="AU779" s="2">
        <f t="shared" si="77"/>
        <v>6915</v>
      </c>
      <c r="AV779" t="str">
        <f t="shared" si="78"/>
        <v>000100</v>
      </c>
      <c r="AY77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9">
        <f>((Table1334[[#This Row],[High C]]+Table1334[[#This Row],[Low C]])/2)*Table1334[[#This Row],[gammac]]*Table1334[[#This Row],[Volume]]</f>
        <v>0</v>
      </c>
      <c r="BD779">
        <f>((Table1334[[#This Row],[High P]]+Table1334[[#This Row],[Low P]])/2)*Table1334[[#This Row],[gammap]]*Table1334[[#This Row],[Volume9]]*-1</f>
        <v>0</v>
      </c>
      <c r="BE779">
        <f>(Table1334[[#This Row],[SgammaC]]+Table1334[[#This Row],[SgammaP]])*$A$4*-100</f>
        <v>0</v>
      </c>
      <c r="BF779">
        <f>Table1334[[#This Row],[DEXc]]+Table1334[[#This Row],[DEXp]]</f>
        <v>0</v>
      </c>
      <c r="BG779">
        <f>IFERROR(Table1334[[#This Row],[DeltaC]]*Table1334[[#This Row],[Open.Int]]*$A$4,0)</f>
        <v>0</v>
      </c>
      <c r="BH779">
        <f>IFERROR(Table1334[[#This Row],[DeltaP]]*Table1334[[#This Row],[Open.Int8]]*$A$4,0)</f>
        <v>0</v>
      </c>
      <c r="BI77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9">
        <f ca="1">Table1334[[#This Row],[charmc]]+Table1334[[#This Row],[charmp]]</f>
        <v>0</v>
      </c>
      <c r="BL77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9" s="78">
        <f ca="1">Table1334[[#This Row],[call helper]]+Table1334[[#This Row],[put helper]]</f>
        <v>0</v>
      </c>
      <c r="BP779" t="str">
        <f>RTD("tos.rtd", , "STRIKE", "."&amp;Table1334[[#This Row],[Ticker]]&amp;Table1334[[#This Row],[Expiry]]&amp;""&amp;"C"&amp;Table1334[[#This Row],[Spot]]+Table1334[[#This Row],[step]])</f>
        <v>N/A</v>
      </c>
    </row>
    <row r="780" spans="1:68" x14ac:dyDescent="0.25">
      <c r="A780" s="14">
        <f t="shared" ca="1" si="74"/>
        <v>-126.14810350076104</v>
      </c>
      <c r="C780" s="17"/>
      <c r="D780" t="str">
        <f>RTD("tos.rtd", , "OPEN_INT", "."&amp;Table1334[[#This Row],[Ticker]]&amp;Table1334[[#This Row],[Expiry]]&amp;""&amp;"C"&amp;Table1334[[#This Row],[Spot]]+Table1334[[#This Row],[step]])</f>
        <v>N/A</v>
      </c>
      <c r="E78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0" t="b">
        <f>IF(     ISNUMBER(Table1334[[#This Row],[Strike]]),RTD("tos.rtd", , "DELTA", "."&amp;Table1334[[#This Row],[Ticker]]&amp;Table1334[[#This Row],[Expiry]]&amp;""&amp;"C"&amp;Table1334[[#This Row],[Strike]]))</f>
        <v>0</v>
      </c>
      <c r="H780" s="17" cm="1">
        <f t="array" aca="1" ref="H780" ca="1">IndividualLegIVCore($A$4, Table1334[[#This Row],[Strike]], 0.0411, Table1334[[#This Row],[T]], ((Table1334[[#This Row],[BIDC]]+Table1334[[#This Row],[ASKC]])/2), TRUE)</f>
        <v>0.01</v>
      </c>
      <c r="I780" t="b">
        <f>IF(     ISNUMBER(Table1334[[#This Row],[Strike]]),RTD("tos.rtd", , "BID", "."&amp;Table1334[[#This Row],[Ticker]]&amp;Table1334[[#This Row],[Expiry]]&amp;""&amp;"C"&amp;Table1334[[#This Row],[Strike]]))</f>
        <v>0</v>
      </c>
      <c r="J780" t="b">
        <f>IF(     ISNUMBER(Table1334[[#This Row],[Strike]]),RTD("tos.rtd", , "ASK", "."&amp;Table1334[[#This Row],[Ticker]]&amp;Table1334[[#This Row],[Expiry]]&amp;""&amp;"C"&amp;Table1334[[#This Row],[Strike]]))</f>
        <v>0</v>
      </c>
      <c r="K780" s="17"/>
      <c r="M780" s="1">
        <f t="shared" si="75"/>
        <v>0</v>
      </c>
      <c r="N780" t="b">
        <f t="shared" si="76"/>
        <v>0</v>
      </c>
      <c r="P780" s="17" cm="1">
        <f t="array" aca="1" ref="P780" ca="1">IndividualLegIVCore($A$4, Table1334[[#This Row],[Strike]], 0.0411, Table1334[[#This Row],[T]], ((Table1334[[#This Row],[BIDP]]+Table1334[[#This Row],[ASKP]])/2), FALSE)</f>
        <v>0.01</v>
      </c>
      <c r="Q780" t="b">
        <f>IF(     ISNUMBER(Table1334[[#This Row],[Strike]]),RTD("tos.rtd", , "BID", "."&amp;Table1334[[#This Row],[Ticker]]&amp;Table1334[[#This Row],[Expiry]]&amp;""&amp;"P"&amp;Table1334[[#This Row],[Strike]]))</f>
        <v>0</v>
      </c>
      <c r="R780" t="b">
        <f>IF(     ISNUMBER(Table1334[[#This Row],[Strike]]),RTD("tos.rtd", , "ASK", "."&amp;Table1334[[#This Row],[Ticker]]&amp;Table1334[[#This Row],[Expiry]]&amp;""&amp;"P"&amp;Table1334[[#This Row],[Strike]]))</f>
        <v>0</v>
      </c>
      <c r="S780" s="17"/>
      <c r="T780" t="b">
        <f>IF(     ISNUMBER(Table1334[[#This Row],[Strike]]),RTD("tos.rtd", , "OPEN_INT", "."&amp;Table1334[[#This Row],[Ticker]]&amp;Table1334[[#This Row],[Expiry]]&amp;""&amp;"P"&amp;Table1334[[#This Row],[Strike]]))</f>
        <v>0</v>
      </c>
      <c r="U78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0" t="b">
        <f>IF(     ISNUMBER(Table1334[[#This Row],[Strike]]),RTD("tos.rtd", , "DELTA", "."&amp;Table1334[[#This Row],[Ticker]]&amp;Table1334[[#This Row],[Expiry]]&amp;""&amp;"P"&amp;Table1334[[#This Row],[Strike]]))</f>
        <v>0</v>
      </c>
      <c r="Y780" s="19">
        <f>30.5* IF($M$1="NDX", 10, IF(OR($M$1="SPX", $M$1="RUT"), 2, 1))</f>
        <v>61</v>
      </c>
      <c r="Z780">
        <f ca="1">IFERROR(Table1334[[#This Row],[call gamma]]*(Table1334[[#This Row],[Open.Int]])*$A$4^2,0)</f>
        <v>0</v>
      </c>
      <c r="AA780">
        <f ca="1">IFERROR(((Table1334[[#This Row],[Open.Int8]])*Table1334[[#This Row],[Put gamma]])*-1*$A$4^2,0)</f>
        <v>0</v>
      </c>
      <c r="AB780">
        <f ca="1">(Table1334[[#This Row],[Call Gex]]+Table1334[[#This Row],[Put Gex]])</f>
        <v>0</v>
      </c>
      <c r="AC780">
        <f ca="1">Table1334[[#This Row],[put delta adj]]+Table1334[[#This Row],[call delta adj]]</f>
        <v>0</v>
      </c>
      <c r="AD780">
        <f ca="1">Table1334[[#This Row],[Put Gex]]*Table1334[[#This Row],[DeltaP]]*-1</f>
        <v>0</v>
      </c>
      <c r="AE780">
        <f ca="1">Table1334[[#This Row],[Call Gex]]*Table1334[[#This Row],[DeltaC]]</f>
        <v>0</v>
      </c>
      <c r="AF780">
        <f>IF(Table1334[[#This Row],[DeltaC]]-ABS(Table1334[[#This Row],[DeltaP]])="0","0.01",Table1334[[#This Row],[DeltaC]]-ABS(Table1334[[#This Row],[DeltaP]]))</f>
        <v>0</v>
      </c>
      <c r="AG78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0" t="e">
        <f ca="1">(EXP(-(AG780^2)/2)/SQRT(2*PI())*EXP(0*SQRT(Table1334[[#This Row],[T]]))/$A$4*18%*SQRT(SQRT(Table1334[[#This Row],[T]])))</f>
        <v>#DIV/0!</v>
      </c>
      <c r="AJ780" t="e">
        <f ca="1">(EXP(-(AH780^2)/2)/SQRT(2*PI())*EXP(0*SQRT(Table1334[[#This Row],[T]]))/$A$4*18%*SQRT(SQRT(Table1334[[#This Row],[T]])))</f>
        <v>#DIV/0!</v>
      </c>
      <c r="AK780" t="e">
        <f ca="1">Table1334[[#This Row],[Call D1]]-Table1334[[#This Row],[IV Calc C]]*SQRT(Table1334[[#This Row],[T]])</f>
        <v>#DIV/0!</v>
      </c>
      <c r="AL780" t="e">
        <f ca="1">Table1334[[#This Row],[Put D1]]-Table1334[[#This Row],[IV Calc P]]*SQRT(Table1334[[#This Row],[T]])</f>
        <v>#DIV/0!</v>
      </c>
      <c r="AM780" t="e">
        <f ca="1">EXP(-0.5*Table1334[[#This Row],[Call D1]]^2)/SQRT(2*PI())</f>
        <v>#DIV/0!</v>
      </c>
      <c r="AN780" t="e">
        <f ca="1">EXP(-0.5*Table1334[[#This Row],[Put D1]]^2)/SQRT(2*PI())</f>
        <v>#DIV/0!</v>
      </c>
      <c r="AO78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0">
        <f ca="1">((Table1334[[#This Row],[call vanna]]+Table1334[[#This Row],[put vanna]])*$A$4)</f>
        <v>0</v>
      </c>
      <c r="AR78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0" s="9" t="str" cm="1">
        <f t="array" ref="AT780">_xlfn.IFS(     $M$1="SPX","SPXW",     $M$1="RUT","RUTW",  $M$1="NDX","NDXP",   TRUE,$M$1 )</f>
        <v>SPXW</v>
      </c>
      <c r="AU780" s="2">
        <f t="shared" si="77"/>
        <v>6915</v>
      </c>
      <c r="AV780" t="str">
        <f t="shared" si="78"/>
        <v>000100</v>
      </c>
      <c r="AY78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0">
        <f>((Table1334[[#This Row],[High C]]+Table1334[[#This Row],[Low C]])/2)*Table1334[[#This Row],[gammac]]*Table1334[[#This Row],[Volume]]</f>
        <v>0</v>
      </c>
      <c r="BD780">
        <f>((Table1334[[#This Row],[High P]]+Table1334[[#This Row],[Low P]])/2)*Table1334[[#This Row],[gammap]]*Table1334[[#This Row],[Volume9]]*-1</f>
        <v>0</v>
      </c>
      <c r="BE780">
        <f>(Table1334[[#This Row],[SgammaC]]+Table1334[[#This Row],[SgammaP]])*$A$4*-100</f>
        <v>0</v>
      </c>
      <c r="BF780">
        <f>Table1334[[#This Row],[DEXc]]+Table1334[[#This Row],[DEXp]]</f>
        <v>0</v>
      </c>
      <c r="BG780">
        <f>IFERROR(Table1334[[#This Row],[DeltaC]]*Table1334[[#This Row],[Open.Int]]*$A$4,0)</f>
        <v>0</v>
      </c>
      <c r="BH780">
        <f>IFERROR(Table1334[[#This Row],[DeltaP]]*Table1334[[#This Row],[Open.Int8]]*$A$4,0)</f>
        <v>0</v>
      </c>
      <c r="BI78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0">
        <f ca="1">Table1334[[#This Row],[charmc]]+Table1334[[#This Row],[charmp]]</f>
        <v>0</v>
      </c>
      <c r="BL78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0" s="78">
        <f ca="1">Table1334[[#This Row],[call helper]]+Table1334[[#This Row],[put helper]]</f>
        <v>0</v>
      </c>
      <c r="BP780" t="str">
        <f>RTD("tos.rtd", , "STRIKE", "."&amp;Table1334[[#This Row],[Ticker]]&amp;Table1334[[#This Row],[Expiry]]&amp;""&amp;"C"&amp;Table1334[[#This Row],[Spot]]+Table1334[[#This Row],[step]])</f>
        <v>N/A</v>
      </c>
    </row>
    <row r="781" spans="1:68" x14ac:dyDescent="0.25">
      <c r="A781" s="14">
        <f t="shared" ca="1" si="74"/>
        <v>-126.14810350076104</v>
      </c>
      <c r="C781" s="17"/>
      <c r="D781" t="str">
        <f>RTD("tos.rtd", , "OPEN_INT", "."&amp;Table1334[[#This Row],[Ticker]]&amp;Table1334[[#This Row],[Expiry]]&amp;""&amp;"C"&amp;Table1334[[#This Row],[Spot]]+Table1334[[#This Row],[step]])</f>
        <v>N/A</v>
      </c>
      <c r="E78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1" t="b">
        <f>IF(     ISNUMBER(Table1334[[#This Row],[Strike]]),RTD("tos.rtd", , "DELTA", "."&amp;Table1334[[#This Row],[Ticker]]&amp;Table1334[[#This Row],[Expiry]]&amp;""&amp;"C"&amp;Table1334[[#This Row],[Strike]]))</f>
        <v>0</v>
      </c>
      <c r="H781" s="17" cm="1">
        <f t="array" aca="1" ref="H781" ca="1">IndividualLegIVCore($A$4, Table1334[[#This Row],[Strike]], 0.0411, Table1334[[#This Row],[T]], ((Table1334[[#This Row],[BIDC]]+Table1334[[#This Row],[ASKC]])/2), TRUE)</f>
        <v>0.01</v>
      </c>
      <c r="I781" t="b">
        <f>IF(     ISNUMBER(Table1334[[#This Row],[Strike]]),RTD("tos.rtd", , "BID", "."&amp;Table1334[[#This Row],[Ticker]]&amp;Table1334[[#This Row],[Expiry]]&amp;""&amp;"C"&amp;Table1334[[#This Row],[Strike]]))</f>
        <v>0</v>
      </c>
      <c r="J781" t="b">
        <f>IF(     ISNUMBER(Table1334[[#This Row],[Strike]]),RTD("tos.rtd", , "ASK", "."&amp;Table1334[[#This Row],[Ticker]]&amp;Table1334[[#This Row],[Expiry]]&amp;""&amp;"C"&amp;Table1334[[#This Row],[Strike]]))</f>
        <v>0</v>
      </c>
      <c r="K781" s="17"/>
      <c r="M781" s="1">
        <f t="shared" si="75"/>
        <v>0</v>
      </c>
      <c r="N781" t="b">
        <f t="shared" si="76"/>
        <v>0</v>
      </c>
      <c r="P781" s="17" cm="1">
        <f t="array" aca="1" ref="P781" ca="1">IndividualLegIVCore($A$4, Table1334[[#This Row],[Strike]], 0.0411, Table1334[[#This Row],[T]], ((Table1334[[#This Row],[BIDP]]+Table1334[[#This Row],[ASKP]])/2), FALSE)</f>
        <v>0.01</v>
      </c>
      <c r="Q781" t="b">
        <f>IF(     ISNUMBER(Table1334[[#This Row],[Strike]]),RTD("tos.rtd", , "BID", "."&amp;Table1334[[#This Row],[Ticker]]&amp;Table1334[[#This Row],[Expiry]]&amp;""&amp;"P"&amp;Table1334[[#This Row],[Strike]]))</f>
        <v>0</v>
      </c>
      <c r="R781" t="b">
        <f>IF(     ISNUMBER(Table1334[[#This Row],[Strike]]),RTD("tos.rtd", , "ASK", "."&amp;Table1334[[#This Row],[Ticker]]&amp;Table1334[[#This Row],[Expiry]]&amp;""&amp;"P"&amp;Table1334[[#This Row],[Strike]]))</f>
        <v>0</v>
      </c>
      <c r="S781" s="17"/>
      <c r="T781" t="b">
        <f>IF(     ISNUMBER(Table1334[[#This Row],[Strike]]),RTD("tos.rtd", , "OPEN_INT", "."&amp;Table1334[[#This Row],[Ticker]]&amp;Table1334[[#This Row],[Expiry]]&amp;""&amp;"P"&amp;Table1334[[#This Row],[Strike]]))</f>
        <v>0</v>
      </c>
      <c r="U78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1" t="b">
        <f>IF(     ISNUMBER(Table1334[[#This Row],[Strike]]),RTD("tos.rtd", , "DELTA", "."&amp;Table1334[[#This Row],[Ticker]]&amp;Table1334[[#This Row],[Expiry]]&amp;""&amp;"P"&amp;Table1334[[#This Row],[Strike]]))</f>
        <v>0</v>
      </c>
      <c r="Y781" s="19">
        <f>31* IF($M$1="NDX", 10, IF(OR($M$1="SPX", $M$1="RUT"), 2, 1))</f>
        <v>62</v>
      </c>
      <c r="Z781">
        <f ca="1">IFERROR(Table1334[[#This Row],[call gamma]]*(Table1334[[#This Row],[Open.Int]])*$A$4^2,0)</f>
        <v>0</v>
      </c>
      <c r="AA781">
        <f ca="1">IFERROR(((Table1334[[#This Row],[Open.Int8]])*Table1334[[#This Row],[Put gamma]])*-1*$A$4^2,0)</f>
        <v>0</v>
      </c>
      <c r="AB781">
        <f ca="1">(Table1334[[#This Row],[Call Gex]]+Table1334[[#This Row],[Put Gex]])</f>
        <v>0</v>
      </c>
      <c r="AC781">
        <f ca="1">Table1334[[#This Row],[put delta adj]]+Table1334[[#This Row],[call delta adj]]</f>
        <v>0</v>
      </c>
      <c r="AD781">
        <f ca="1">Table1334[[#This Row],[Put Gex]]*Table1334[[#This Row],[DeltaP]]*-1</f>
        <v>0</v>
      </c>
      <c r="AE781">
        <f ca="1">Table1334[[#This Row],[Call Gex]]*Table1334[[#This Row],[DeltaC]]</f>
        <v>0</v>
      </c>
      <c r="AF781">
        <f>IF(Table1334[[#This Row],[DeltaC]]-ABS(Table1334[[#This Row],[DeltaP]])="0","0.01",Table1334[[#This Row],[DeltaC]]-ABS(Table1334[[#This Row],[DeltaP]]))</f>
        <v>0</v>
      </c>
      <c r="AG78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1" t="e">
        <f ca="1">(EXP(-(AG781^2)/2)/SQRT(2*PI())*EXP(0*SQRT(Table1334[[#This Row],[T]]))/$A$4*18%*SQRT(SQRT(Table1334[[#This Row],[T]])))</f>
        <v>#DIV/0!</v>
      </c>
      <c r="AJ781" t="e">
        <f ca="1">(EXP(-(AH781^2)/2)/SQRT(2*PI())*EXP(0*SQRT(Table1334[[#This Row],[T]]))/$A$4*18%*SQRT(SQRT(Table1334[[#This Row],[T]])))</f>
        <v>#DIV/0!</v>
      </c>
      <c r="AK781" t="e">
        <f ca="1">Table1334[[#This Row],[Call D1]]-Table1334[[#This Row],[IV Calc C]]*SQRT(Table1334[[#This Row],[T]])</f>
        <v>#DIV/0!</v>
      </c>
      <c r="AL781" t="e">
        <f ca="1">Table1334[[#This Row],[Put D1]]-Table1334[[#This Row],[IV Calc P]]*SQRT(Table1334[[#This Row],[T]])</f>
        <v>#DIV/0!</v>
      </c>
      <c r="AM781" t="e">
        <f ca="1">EXP(-0.5*Table1334[[#This Row],[Call D1]]^2)/SQRT(2*PI())</f>
        <v>#DIV/0!</v>
      </c>
      <c r="AN781" t="e">
        <f ca="1">EXP(-0.5*Table1334[[#This Row],[Put D1]]^2)/SQRT(2*PI())</f>
        <v>#DIV/0!</v>
      </c>
      <c r="AO78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1">
        <f ca="1">((Table1334[[#This Row],[call vanna]]+Table1334[[#This Row],[put vanna]])*$A$4)</f>
        <v>0</v>
      </c>
      <c r="AR78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1" s="9" t="str" cm="1">
        <f t="array" ref="AT781">_xlfn.IFS(     $M$1="SPX","SPXW",     $M$1="RUT","RUTW",  $M$1="NDX","NDXP",   TRUE,$M$1 )</f>
        <v>SPXW</v>
      </c>
      <c r="AU781" s="2">
        <f t="shared" si="77"/>
        <v>6915</v>
      </c>
      <c r="AV781" t="str">
        <f t="shared" si="78"/>
        <v>000100</v>
      </c>
      <c r="AY78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1">
        <f>((Table1334[[#This Row],[High C]]+Table1334[[#This Row],[Low C]])/2)*Table1334[[#This Row],[gammac]]*Table1334[[#This Row],[Volume]]</f>
        <v>0</v>
      </c>
      <c r="BD781">
        <f>((Table1334[[#This Row],[High P]]+Table1334[[#This Row],[Low P]])/2)*Table1334[[#This Row],[gammap]]*Table1334[[#This Row],[Volume9]]*-1</f>
        <v>0</v>
      </c>
      <c r="BE781">
        <f>(Table1334[[#This Row],[SgammaC]]+Table1334[[#This Row],[SgammaP]])*$A$4*-100</f>
        <v>0</v>
      </c>
      <c r="BF781">
        <f>Table1334[[#This Row],[DEXc]]+Table1334[[#This Row],[DEXp]]</f>
        <v>0</v>
      </c>
      <c r="BG781">
        <f>IFERROR(Table1334[[#This Row],[DeltaC]]*Table1334[[#This Row],[Open.Int]]*$A$4,0)</f>
        <v>0</v>
      </c>
      <c r="BH781">
        <f>IFERROR(Table1334[[#This Row],[DeltaP]]*Table1334[[#This Row],[Open.Int8]]*$A$4,0)</f>
        <v>0</v>
      </c>
      <c r="BI78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1">
        <f ca="1">Table1334[[#This Row],[charmc]]+Table1334[[#This Row],[charmp]]</f>
        <v>0</v>
      </c>
      <c r="BL78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1" s="78">
        <f ca="1">Table1334[[#This Row],[call helper]]+Table1334[[#This Row],[put helper]]</f>
        <v>0</v>
      </c>
      <c r="BP781" t="str">
        <f>RTD("tos.rtd", , "STRIKE", "."&amp;Table1334[[#This Row],[Ticker]]&amp;Table1334[[#This Row],[Expiry]]&amp;""&amp;"C"&amp;Table1334[[#This Row],[Spot]]+Table1334[[#This Row],[step]])</f>
        <v>N/A</v>
      </c>
    </row>
    <row r="782" spans="1:68" x14ac:dyDescent="0.25">
      <c r="A782" s="14">
        <f t="shared" ca="1" si="74"/>
        <v>-126.14810350076104</v>
      </c>
      <c r="C782" s="17"/>
      <c r="D782" t="str">
        <f>RTD("tos.rtd", , "OPEN_INT", "."&amp;Table1334[[#This Row],[Ticker]]&amp;Table1334[[#This Row],[Expiry]]&amp;""&amp;"C"&amp;Table1334[[#This Row],[Spot]]+Table1334[[#This Row],[step]])</f>
        <v>N/A</v>
      </c>
      <c r="E78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2" t="b">
        <f>IF(     ISNUMBER(Table1334[[#This Row],[Strike]]),RTD("tos.rtd", , "DELTA", "."&amp;Table1334[[#This Row],[Ticker]]&amp;Table1334[[#This Row],[Expiry]]&amp;""&amp;"C"&amp;Table1334[[#This Row],[Strike]]))</f>
        <v>0</v>
      </c>
      <c r="H782" s="17" cm="1">
        <f t="array" aca="1" ref="H782" ca="1">IndividualLegIVCore($A$4, Table1334[[#This Row],[Strike]], 0.0411, Table1334[[#This Row],[T]], ((Table1334[[#This Row],[BIDC]]+Table1334[[#This Row],[ASKC]])/2), TRUE)</f>
        <v>0.01</v>
      </c>
      <c r="I782" t="b">
        <f>IF(     ISNUMBER(Table1334[[#This Row],[Strike]]),RTD("tos.rtd", , "BID", "."&amp;Table1334[[#This Row],[Ticker]]&amp;Table1334[[#This Row],[Expiry]]&amp;""&amp;"C"&amp;Table1334[[#This Row],[Strike]]))</f>
        <v>0</v>
      </c>
      <c r="J782" t="b">
        <f>IF(     ISNUMBER(Table1334[[#This Row],[Strike]]),RTD("tos.rtd", , "ASK", "."&amp;Table1334[[#This Row],[Ticker]]&amp;Table1334[[#This Row],[Expiry]]&amp;""&amp;"C"&amp;Table1334[[#This Row],[Strike]]))</f>
        <v>0</v>
      </c>
      <c r="K782" s="17"/>
      <c r="M782" s="1">
        <f t="shared" si="75"/>
        <v>0</v>
      </c>
      <c r="N782" t="b">
        <f t="shared" si="76"/>
        <v>0</v>
      </c>
      <c r="P782" s="17" cm="1">
        <f t="array" aca="1" ref="P782" ca="1">IndividualLegIVCore($A$4, Table1334[[#This Row],[Strike]], 0.0411, Table1334[[#This Row],[T]], ((Table1334[[#This Row],[BIDP]]+Table1334[[#This Row],[ASKP]])/2), FALSE)</f>
        <v>0.01</v>
      </c>
      <c r="Q782" t="b">
        <f>IF(     ISNUMBER(Table1334[[#This Row],[Strike]]),RTD("tos.rtd", , "BID", "."&amp;Table1334[[#This Row],[Ticker]]&amp;Table1334[[#This Row],[Expiry]]&amp;""&amp;"P"&amp;Table1334[[#This Row],[Strike]]))</f>
        <v>0</v>
      </c>
      <c r="R782" t="b">
        <f>IF(     ISNUMBER(Table1334[[#This Row],[Strike]]),RTD("tos.rtd", , "ASK", "."&amp;Table1334[[#This Row],[Ticker]]&amp;Table1334[[#This Row],[Expiry]]&amp;""&amp;"P"&amp;Table1334[[#This Row],[Strike]]))</f>
        <v>0</v>
      </c>
      <c r="S782" s="17"/>
      <c r="T782" t="b">
        <f>IF(     ISNUMBER(Table1334[[#This Row],[Strike]]),RTD("tos.rtd", , "OPEN_INT", "."&amp;Table1334[[#This Row],[Ticker]]&amp;Table1334[[#This Row],[Expiry]]&amp;""&amp;"P"&amp;Table1334[[#This Row],[Strike]]))</f>
        <v>0</v>
      </c>
      <c r="U78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2" t="b">
        <f>IF(     ISNUMBER(Table1334[[#This Row],[Strike]]),RTD("tos.rtd", , "DELTA", "."&amp;Table1334[[#This Row],[Ticker]]&amp;Table1334[[#This Row],[Expiry]]&amp;""&amp;"P"&amp;Table1334[[#This Row],[Strike]]))</f>
        <v>0</v>
      </c>
      <c r="Y782" s="19">
        <f>31.5* IF($M$1="NDX", 10, IF(OR($M$1="SPX", $M$1="RUT"), 2, 1))</f>
        <v>63</v>
      </c>
      <c r="Z782">
        <f ca="1">IFERROR(Table1334[[#This Row],[call gamma]]*(Table1334[[#This Row],[Open.Int]])*$A$4^2,0)</f>
        <v>0</v>
      </c>
      <c r="AA782">
        <f ca="1">IFERROR(((Table1334[[#This Row],[Open.Int8]])*Table1334[[#This Row],[Put gamma]])*-1*$A$4^2,0)</f>
        <v>0</v>
      </c>
      <c r="AB782">
        <f ca="1">(Table1334[[#This Row],[Call Gex]]+Table1334[[#This Row],[Put Gex]])</f>
        <v>0</v>
      </c>
      <c r="AC782">
        <f ca="1">Table1334[[#This Row],[put delta adj]]+Table1334[[#This Row],[call delta adj]]</f>
        <v>0</v>
      </c>
      <c r="AD782">
        <f ca="1">Table1334[[#This Row],[Put Gex]]*Table1334[[#This Row],[DeltaP]]*-1</f>
        <v>0</v>
      </c>
      <c r="AE782">
        <f ca="1">Table1334[[#This Row],[Call Gex]]*Table1334[[#This Row],[DeltaC]]</f>
        <v>0</v>
      </c>
      <c r="AF782">
        <f>IF(Table1334[[#This Row],[DeltaC]]-ABS(Table1334[[#This Row],[DeltaP]])="0","0.01",Table1334[[#This Row],[DeltaC]]-ABS(Table1334[[#This Row],[DeltaP]]))</f>
        <v>0</v>
      </c>
      <c r="AG78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2" t="e">
        <f ca="1">(EXP(-(AG782^2)/2)/SQRT(2*PI())*EXP(0*SQRT(Table1334[[#This Row],[T]]))/$A$4*18%*SQRT(SQRT(Table1334[[#This Row],[T]])))</f>
        <v>#DIV/0!</v>
      </c>
      <c r="AJ782" t="e">
        <f ca="1">(EXP(-(AH782^2)/2)/SQRT(2*PI())*EXP(0*SQRT(Table1334[[#This Row],[T]]))/$A$4*18%*SQRT(SQRT(Table1334[[#This Row],[T]])))</f>
        <v>#DIV/0!</v>
      </c>
      <c r="AK782" t="e">
        <f ca="1">Table1334[[#This Row],[Call D1]]-Table1334[[#This Row],[IV Calc C]]*SQRT(Table1334[[#This Row],[T]])</f>
        <v>#DIV/0!</v>
      </c>
      <c r="AL782" t="e">
        <f ca="1">Table1334[[#This Row],[Put D1]]-Table1334[[#This Row],[IV Calc P]]*SQRT(Table1334[[#This Row],[T]])</f>
        <v>#DIV/0!</v>
      </c>
      <c r="AM782" t="e">
        <f ca="1">EXP(-0.5*Table1334[[#This Row],[Call D1]]^2)/SQRT(2*PI())</f>
        <v>#DIV/0!</v>
      </c>
      <c r="AN782" t="e">
        <f ca="1">EXP(-0.5*Table1334[[#This Row],[Put D1]]^2)/SQRT(2*PI())</f>
        <v>#DIV/0!</v>
      </c>
      <c r="AO78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2">
        <f ca="1">((Table1334[[#This Row],[call vanna]]+Table1334[[#This Row],[put vanna]])*$A$4)</f>
        <v>0</v>
      </c>
      <c r="AR78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2" s="9" t="str" cm="1">
        <f t="array" ref="AT782">_xlfn.IFS(     $M$1="SPX","SPXW",     $M$1="RUT","RUTW",  $M$1="NDX","NDXP",   TRUE,$M$1 )</f>
        <v>SPXW</v>
      </c>
      <c r="AU782" s="2">
        <f t="shared" si="77"/>
        <v>6915</v>
      </c>
      <c r="AV782" t="str">
        <f t="shared" si="78"/>
        <v>000100</v>
      </c>
      <c r="AY78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2">
        <f>((Table1334[[#This Row],[High C]]+Table1334[[#This Row],[Low C]])/2)*Table1334[[#This Row],[gammac]]*Table1334[[#This Row],[Volume]]</f>
        <v>0</v>
      </c>
      <c r="BD782">
        <f>((Table1334[[#This Row],[High P]]+Table1334[[#This Row],[Low P]])/2)*Table1334[[#This Row],[gammap]]*Table1334[[#This Row],[Volume9]]*-1</f>
        <v>0</v>
      </c>
      <c r="BE782">
        <f>(Table1334[[#This Row],[SgammaC]]+Table1334[[#This Row],[SgammaP]])*$A$4*-100</f>
        <v>0</v>
      </c>
      <c r="BF782">
        <f>Table1334[[#This Row],[DEXc]]+Table1334[[#This Row],[DEXp]]</f>
        <v>0</v>
      </c>
      <c r="BG782">
        <f>IFERROR(Table1334[[#This Row],[DeltaC]]*Table1334[[#This Row],[Open.Int]]*$A$4,0)</f>
        <v>0</v>
      </c>
      <c r="BH782">
        <f>IFERROR(Table1334[[#This Row],[DeltaP]]*Table1334[[#This Row],[Open.Int8]]*$A$4,0)</f>
        <v>0</v>
      </c>
      <c r="BI78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2">
        <f ca="1">Table1334[[#This Row],[charmc]]+Table1334[[#This Row],[charmp]]</f>
        <v>0</v>
      </c>
      <c r="BL78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2" s="78">
        <f ca="1">Table1334[[#This Row],[call helper]]+Table1334[[#This Row],[put helper]]</f>
        <v>0</v>
      </c>
      <c r="BP782" t="str">
        <f>RTD("tos.rtd", , "STRIKE", "."&amp;Table1334[[#This Row],[Ticker]]&amp;Table1334[[#This Row],[Expiry]]&amp;""&amp;"C"&amp;Table1334[[#This Row],[Spot]]+Table1334[[#This Row],[step]])</f>
        <v>N/A</v>
      </c>
    </row>
    <row r="783" spans="1:68" x14ac:dyDescent="0.25">
      <c r="A783" s="14">
        <f t="shared" ca="1" si="74"/>
        <v>-126.14810350076104</v>
      </c>
      <c r="C783" s="17"/>
      <c r="D783" t="str">
        <f>RTD("tos.rtd", , "OPEN_INT", "."&amp;Table1334[[#This Row],[Ticker]]&amp;Table1334[[#This Row],[Expiry]]&amp;""&amp;"C"&amp;Table1334[[#This Row],[Spot]]+Table1334[[#This Row],[step]])</f>
        <v>N/A</v>
      </c>
      <c r="E78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3" t="b">
        <f>IF(     ISNUMBER(Table1334[[#This Row],[Strike]]),RTD("tos.rtd", , "DELTA", "."&amp;Table1334[[#This Row],[Ticker]]&amp;Table1334[[#This Row],[Expiry]]&amp;""&amp;"C"&amp;Table1334[[#This Row],[Strike]]))</f>
        <v>0</v>
      </c>
      <c r="H783" s="17" cm="1">
        <f t="array" aca="1" ref="H783" ca="1">IndividualLegIVCore($A$4, Table1334[[#This Row],[Strike]], 0.0411, Table1334[[#This Row],[T]], ((Table1334[[#This Row],[BIDC]]+Table1334[[#This Row],[ASKC]])/2), TRUE)</f>
        <v>0.01</v>
      </c>
      <c r="I783" t="b">
        <f>IF(     ISNUMBER(Table1334[[#This Row],[Strike]]),RTD("tos.rtd", , "BID", "."&amp;Table1334[[#This Row],[Ticker]]&amp;Table1334[[#This Row],[Expiry]]&amp;""&amp;"C"&amp;Table1334[[#This Row],[Strike]]))</f>
        <v>0</v>
      </c>
      <c r="J783" t="b">
        <f>IF(     ISNUMBER(Table1334[[#This Row],[Strike]]),RTD("tos.rtd", , "ASK", "."&amp;Table1334[[#This Row],[Ticker]]&amp;Table1334[[#This Row],[Expiry]]&amp;""&amp;"C"&amp;Table1334[[#This Row],[Strike]]))</f>
        <v>0</v>
      </c>
      <c r="K783" s="17"/>
      <c r="M783" s="1">
        <f t="shared" si="75"/>
        <v>0</v>
      </c>
      <c r="N783" t="b">
        <f t="shared" si="76"/>
        <v>0</v>
      </c>
      <c r="P783" s="17" cm="1">
        <f t="array" aca="1" ref="P783" ca="1">IndividualLegIVCore($A$4, Table1334[[#This Row],[Strike]], 0.0411, Table1334[[#This Row],[T]], ((Table1334[[#This Row],[BIDP]]+Table1334[[#This Row],[ASKP]])/2), FALSE)</f>
        <v>0.01</v>
      </c>
      <c r="Q783" t="b">
        <f>IF(     ISNUMBER(Table1334[[#This Row],[Strike]]),RTD("tos.rtd", , "BID", "."&amp;Table1334[[#This Row],[Ticker]]&amp;Table1334[[#This Row],[Expiry]]&amp;""&amp;"P"&amp;Table1334[[#This Row],[Strike]]))</f>
        <v>0</v>
      </c>
      <c r="R783" t="b">
        <f>IF(     ISNUMBER(Table1334[[#This Row],[Strike]]),RTD("tos.rtd", , "ASK", "."&amp;Table1334[[#This Row],[Ticker]]&amp;Table1334[[#This Row],[Expiry]]&amp;""&amp;"P"&amp;Table1334[[#This Row],[Strike]]))</f>
        <v>0</v>
      </c>
      <c r="S783" s="17"/>
      <c r="T783" t="b">
        <f>IF(     ISNUMBER(Table1334[[#This Row],[Strike]]),RTD("tos.rtd", , "OPEN_INT", "."&amp;Table1334[[#This Row],[Ticker]]&amp;Table1334[[#This Row],[Expiry]]&amp;""&amp;"P"&amp;Table1334[[#This Row],[Strike]]))</f>
        <v>0</v>
      </c>
      <c r="U78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3" t="b">
        <f>IF(     ISNUMBER(Table1334[[#This Row],[Strike]]),RTD("tos.rtd", , "DELTA", "."&amp;Table1334[[#This Row],[Ticker]]&amp;Table1334[[#This Row],[Expiry]]&amp;""&amp;"P"&amp;Table1334[[#This Row],[Strike]]))</f>
        <v>0</v>
      </c>
      <c r="Y783" s="19">
        <f>32* IF($M$1="NDX", 10, IF(OR($M$1="SPX", $M$1="RUT"), 2, 1))</f>
        <v>64</v>
      </c>
      <c r="Z783">
        <f ca="1">IFERROR(Table1334[[#This Row],[call gamma]]*(Table1334[[#This Row],[Open.Int]])*$A$4^2,0)</f>
        <v>0</v>
      </c>
      <c r="AA783">
        <f ca="1">IFERROR(((Table1334[[#This Row],[Open.Int8]])*Table1334[[#This Row],[Put gamma]])*-1*$A$4^2,0)</f>
        <v>0</v>
      </c>
      <c r="AB783">
        <f ca="1">(Table1334[[#This Row],[Call Gex]]+Table1334[[#This Row],[Put Gex]])</f>
        <v>0</v>
      </c>
      <c r="AC783">
        <f ca="1">Table1334[[#This Row],[put delta adj]]+Table1334[[#This Row],[call delta adj]]</f>
        <v>0</v>
      </c>
      <c r="AD783">
        <f ca="1">Table1334[[#This Row],[Put Gex]]*Table1334[[#This Row],[DeltaP]]*-1</f>
        <v>0</v>
      </c>
      <c r="AE783">
        <f ca="1">Table1334[[#This Row],[Call Gex]]*Table1334[[#This Row],[DeltaC]]</f>
        <v>0</v>
      </c>
      <c r="AF783">
        <f>IF(Table1334[[#This Row],[DeltaC]]-ABS(Table1334[[#This Row],[DeltaP]])="0","0.01",Table1334[[#This Row],[DeltaC]]-ABS(Table1334[[#This Row],[DeltaP]]))</f>
        <v>0</v>
      </c>
      <c r="AG78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3" t="e">
        <f ca="1">(EXP(-(AG783^2)/2)/SQRT(2*PI())*EXP(0*SQRT(Table1334[[#This Row],[T]]))/$A$4*18%*SQRT(SQRT(Table1334[[#This Row],[T]])))</f>
        <v>#DIV/0!</v>
      </c>
      <c r="AJ783" t="e">
        <f ca="1">(EXP(-(AH783^2)/2)/SQRT(2*PI())*EXP(0*SQRT(Table1334[[#This Row],[T]]))/$A$4*18%*SQRT(SQRT(Table1334[[#This Row],[T]])))</f>
        <v>#DIV/0!</v>
      </c>
      <c r="AK783" t="e">
        <f ca="1">Table1334[[#This Row],[Call D1]]-Table1334[[#This Row],[IV Calc C]]*SQRT(Table1334[[#This Row],[T]])</f>
        <v>#DIV/0!</v>
      </c>
      <c r="AL783" t="e">
        <f ca="1">Table1334[[#This Row],[Put D1]]-Table1334[[#This Row],[IV Calc P]]*SQRT(Table1334[[#This Row],[T]])</f>
        <v>#DIV/0!</v>
      </c>
      <c r="AM783" t="e">
        <f ca="1">EXP(-0.5*Table1334[[#This Row],[Call D1]]^2)/SQRT(2*PI())</f>
        <v>#DIV/0!</v>
      </c>
      <c r="AN783" t="e">
        <f ca="1">EXP(-0.5*Table1334[[#This Row],[Put D1]]^2)/SQRT(2*PI())</f>
        <v>#DIV/0!</v>
      </c>
      <c r="AO78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3">
        <f ca="1">((Table1334[[#This Row],[call vanna]]+Table1334[[#This Row],[put vanna]])*$A$4)</f>
        <v>0</v>
      </c>
      <c r="AR78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3" s="9" t="str" cm="1">
        <f t="array" ref="AT783">_xlfn.IFS(     $M$1="SPX","SPXW",     $M$1="RUT","RUTW",  $M$1="NDX","NDXP",   TRUE,$M$1 )</f>
        <v>SPXW</v>
      </c>
      <c r="AU783" s="2">
        <f t="shared" si="77"/>
        <v>6915</v>
      </c>
      <c r="AV783" t="str">
        <f t="shared" si="78"/>
        <v>000100</v>
      </c>
      <c r="AY78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3">
        <f>((Table1334[[#This Row],[High C]]+Table1334[[#This Row],[Low C]])/2)*Table1334[[#This Row],[gammac]]*Table1334[[#This Row],[Volume]]</f>
        <v>0</v>
      </c>
      <c r="BD783">
        <f>((Table1334[[#This Row],[High P]]+Table1334[[#This Row],[Low P]])/2)*Table1334[[#This Row],[gammap]]*Table1334[[#This Row],[Volume9]]*-1</f>
        <v>0</v>
      </c>
      <c r="BE783">
        <f>(Table1334[[#This Row],[SgammaC]]+Table1334[[#This Row],[SgammaP]])*$A$4*-100</f>
        <v>0</v>
      </c>
      <c r="BF783">
        <f>Table1334[[#This Row],[DEXc]]+Table1334[[#This Row],[DEXp]]</f>
        <v>0</v>
      </c>
      <c r="BG783">
        <f>IFERROR(Table1334[[#This Row],[DeltaC]]*Table1334[[#This Row],[Open.Int]]*$A$4,0)</f>
        <v>0</v>
      </c>
      <c r="BH783">
        <f>IFERROR(Table1334[[#This Row],[DeltaP]]*Table1334[[#This Row],[Open.Int8]]*$A$4,0)</f>
        <v>0</v>
      </c>
      <c r="BI78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3">
        <f ca="1">Table1334[[#This Row],[charmc]]+Table1334[[#This Row],[charmp]]</f>
        <v>0</v>
      </c>
      <c r="BL78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3" s="78">
        <f ca="1">Table1334[[#This Row],[call helper]]+Table1334[[#This Row],[put helper]]</f>
        <v>0</v>
      </c>
      <c r="BP783" t="str">
        <f>RTD("tos.rtd", , "STRIKE", "."&amp;Table1334[[#This Row],[Ticker]]&amp;Table1334[[#This Row],[Expiry]]&amp;""&amp;"C"&amp;Table1334[[#This Row],[Spot]]+Table1334[[#This Row],[step]])</f>
        <v>N/A</v>
      </c>
    </row>
    <row r="784" spans="1:68" x14ac:dyDescent="0.25">
      <c r="A784" s="14">
        <f t="shared" ca="1" si="74"/>
        <v>-126.14810350076104</v>
      </c>
      <c r="C784" s="17"/>
      <c r="D784" t="str">
        <f>RTD("tos.rtd", , "OPEN_INT", "."&amp;Table1334[[#This Row],[Ticker]]&amp;Table1334[[#This Row],[Expiry]]&amp;""&amp;"C"&amp;Table1334[[#This Row],[Spot]]+Table1334[[#This Row],[step]])</f>
        <v>N/A</v>
      </c>
      <c r="E78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4" t="b">
        <f>IF(     ISNUMBER(Table1334[[#This Row],[Strike]]),RTD("tos.rtd", , "DELTA", "."&amp;Table1334[[#This Row],[Ticker]]&amp;Table1334[[#This Row],[Expiry]]&amp;""&amp;"C"&amp;Table1334[[#This Row],[Strike]]))</f>
        <v>0</v>
      </c>
      <c r="H784" s="17" cm="1">
        <f t="array" aca="1" ref="H784" ca="1">IndividualLegIVCore($A$4, Table1334[[#This Row],[Strike]], 0.0411, Table1334[[#This Row],[T]], ((Table1334[[#This Row],[BIDC]]+Table1334[[#This Row],[ASKC]])/2), TRUE)</f>
        <v>0.01</v>
      </c>
      <c r="I784" t="b">
        <f>IF(     ISNUMBER(Table1334[[#This Row],[Strike]]),RTD("tos.rtd", , "BID", "."&amp;Table1334[[#This Row],[Ticker]]&amp;Table1334[[#This Row],[Expiry]]&amp;""&amp;"C"&amp;Table1334[[#This Row],[Strike]]))</f>
        <v>0</v>
      </c>
      <c r="J784" t="b">
        <f>IF(     ISNUMBER(Table1334[[#This Row],[Strike]]),RTD("tos.rtd", , "ASK", "."&amp;Table1334[[#This Row],[Ticker]]&amp;Table1334[[#This Row],[Expiry]]&amp;""&amp;"C"&amp;Table1334[[#This Row],[Strike]]))</f>
        <v>0</v>
      </c>
      <c r="K784" s="17"/>
      <c r="M784" s="1">
        <f t="shared" si="75"/>
        <v>0</v>
      </c>
      <c r="N784" t="b">
        <f t="shared" si="76"/>
        <v>0</v>
      </c>
      <c r="P784" s="17" cm="1">
        <f t="array" aca="1" ref="P784" ca="1">IndividualLegIVCore($A$4, Table1334[[#This Row],[Strike]], 0.0411, Table1334[[#This Row],[T]], ((Table1334[[#This Row],[BIDP]]+Table1334[[#This Row],[ASKP]])/2), FALSE)</f>
        <v>0.01</v>
      </c>
      <c r="Q784" t="b">
        <f>IF(     ISNUMBER(Table1334[[#This Row],[Strike]]),RTD("tos.rtd", , "BID", "."&amp;Table1334[[#This Row],[Ticker]]&amp;Table1334[[#This Row],[Expiry]]&amp;""&amp;"P"&amp;Table1334[[#This Row],[Strike]]))</f>
        <v>0</v>
      </c>
      <c r="R784" t="b">
        <f>IF(     ISNUMBER(Table1334[[#This Row],[Strike]]),RTD("tos.rtd", , "ASK", "."&amp;Table1334[[#This Row],[Ticker]]&amp;Table1334[[#This Row],[Expiry]]&amp;""&amp;"P"&amp;Table1334[[#This Row],[Strike]]))</f>
        <v>0</v>
      </c>
      <c r="S784" s="17"/>
      <c r="T784" t="b">
        <f>IF(     ISNUMBER(Table1334[[#This Row],[Strike]]),RTD("tos.rtd", , "OPEN_INT", "."&amp;Table1334[[#This Row],[Ticker]]&amp;Table1334[[#This Row],[Expiry]]&amp;""&amp;"P"&amp;Table1334[[#This Row],[Strike]]))</f>
        <v>0</v>
      </c>
      <c r="U78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4" t="b">
        <f>IF(     ISNUMBER(Table1334[[#This Row],[Strike]]),RTD("tos.rtd", , "DELTA", "."&amp;Table1334[[#This Row],[Ticker]]&amp;Table1334[[#This Row],[Expiry]]&amp;""&amp;"P"&amp;Table1334[[#This Row],[Strike]]))</f>
        <v>0</v>
      </c>
      <c r="Y784" s="19">
        <f>32.5* IF($M$1="NDX", 10, IF(OR($M$1="SPX", $M$1="RUT"), 2, 1))</f>
        <v>65</v>
      </c>
      <c r="Z784">
        <f ca="1">IFERROR(Table1334[[#This Row],[call gamma]]*(Table1334[[#This Row],[Open.Int]])*$A$4^2,0)</f>
        <v>0</v>
      </c>
      <c r="AA784">
        <f ca="1">IFERROR(((Table1334[[#This Row],[Open.Int8]])*Table1334[[#This Row],[Put gamma]])*-1*$A$4^2,0)</f>
        <v>0</v>
      </c>
      <c r="AB784">
        <f ca="1">(Table1334[[#This Row],[Call Gex]]+Table1334[[#This Row],[Put Gex]])</f>
        <v>0</v>
      </c>
      <c r="AC784">
        <f ca="1">Table1334[[#This Row],[put delta adj]]+Table1334[[#This Row],[call delta adj]]</f>
        <v>0</v>
      </c>
      <c r="AD784">
        <f ca="1">Table1334[[#This Row],[Put Gex]]*Table1334[[#This Row],[DeltaP]]*-1</f>
        <v>0</v>
      </c>
      <c r="AE784">
        <f ca="1">Table1334[[#This Row],[Call Gex]]*Table1334[[#This Row],[DeltaC]]</f>
        <v>0</v>
      </c>
      <c r="AF784">
        <f>IF(Table1334[[#This Row],[DeltaC]]-ABS(Table1334[[#This Row],[DeltaP]])="0","0.01",Table1334[[#This Row],[DeltaC]]-ABS(Table1334[[#This Row],[DeltaP]]))</f>
        <v>0</v>
      </c>
      <c r="AG78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4" t="e">
        <f ca="1">(EXP(-(AG784^2)/2)/SQRT(2*PI())*EXP(0*SQRT(Table1334[[#This Row],[T]]))/$A$4*18%*SQRT(SQRT(Table1334[[#This Row],[T]])))</f>
        <v>#DIV/0!</v>
      </c>
      <c r="AJ784" t="e">
        <f ca="1">(EXP(-(AH784^2)/2)/SQRT(2*PI())*EXP(0*SQRT(Table1334[[#This Row],[T]]))/$A$4*18%*SQRT(SQRT(Table1334[[#This Row],[T]])))</f>
        <v>#DIV/0!</v>
      </c>
      <c r="AK784" t="e">
        <f ca="1">Table1334[[#This Row],[Call D1]]-Table1334[[#This Row],[IV Calc C]]*SQRT(Table1334[[#This Row],[T]])</f>
        <v>#DIV/0!</v>
      </c>
      <c r="AL784" t="e">
        <f ca="1">Table1334[[#This Row],[Put D1]]-Table1334[[#This Row],[IV Calc P]]*SQRT(Table1334[[#This Row],[T]])</f>
        <v>#DIV/0!</v>
      </c>
      <c r="AM784" t="e">
        <f ca="1">EXP(-0.5*Table1334[[#This Row],[Call D1]]^2)/SQRT(2*PI())</f>
        <v>#DIV/0!</v>
      </c>
      <c r="AN784" t="e">
        <f ca="1">EXP(-0.5*Table1334[[#This Row],[Put D1]]^2)/SQRT(2*PI())</f>
        <v>#DIV/0!</v>
      </c>
      <c r="AO78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4">
        <f ca="1">((Table1334[[#This Row],[call vanna]]+Table1334[[#This Row],[put vanna]])*$A$4)</f>
        <v>0</v>
      </c>
      <c r="AR78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4" s="9" t="str" cm="1">
        <f t="array" ref="AT784">_xlfn.IFS(     $M$1="SPX","SPXW",     $M$1="RUT","RUTW",  $M$1="NDX","NDXP",   TRUE,$M$1 )</f>
        <v>SPXW</v>
      </c>
      <c r="AU784" s="2">
        <f t="shared" si="77"/>
        <v>6915</v>
      </c>
      <c r="AV784" t="str">
        <f t="shared" si="78"/>
        <v>000100</v>
      </c>
      <c r="AY78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4">
        <f>((Table1334[[#This Row],[High C]]+Table1334[[#This Row],[Low C]])/2)*Table1334[[#This Row],[gammac]]*Table1334[[#This Row],[Volume]]</f>
        <v>0</v>
      </c>
      <c r="BD784">
        <f>((Table1334[[#This Row],[High P]]+Table1334[[#This Row],[Low P]])/2)*Table1334[[#This Row],[gammap]]*Table1334[[#This Row],[Volume9]]*-1</f>
        <v>0</v>
      </c>
      <c r="BE784">
        <f>(Table1334[[#This Row],[SgammaC]]+Table1334[[#This Row],[SgammaP]])*$A$4*-100</f>
        <v>0</v>
      </c>
      <c r="BF784">
        <f>Table1334[[#This Row],[DEXc]]+Table1334[[#This Row],[DEXp]]</f>
        <v>0</v>
      </c>
      <c r="BG784">
        <f>IFERROR(Table1334[[#This Row],[DeltaC]]*Table1334[[#This Row],[Open.Int]]*$A$4,0)</f>
        <v>0</v>
      </c>
      <c r="BH784">
        <f>IFERROR(Table1334[[#This Row],[DeltaP]]*Table1334[[#This Row],[Open.Int8]]*$A$4,0)</f>
        <v>0</v>
      </c>
      <c r="BI78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4">
        <f ca="1">Table1334[[#This Row],[charmc]]+Table1334[[#This Row],[charmp]]</f>
        <v>0</v>
      </c>
      <c r="BL78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4" s="78">
        <f ca="1">Table1334[[#This Row],[call helper]]+Table1334[[#This Row],[put helper]]</f>
        <v>0</v>
      </c>
      <c r="BP784" t="str">
        <f>RTD("tos.rtd", , "STRIKE", "."&amp;Table1334[[#This Row],[Ticker]]&amp;Table1334[[#This Row],[Expiry]]&amp;""&amp;"C"&amp;Table1334[[#This Row],[Spot]]+Table1334[[#This Row],[step]])</f>
        <v>N/A</v>
      </c>
    </row>
    <row r="785" spans="1:68" x14ac:dyDescent="0.25">
      <c r="A785" s="14">
        <f t="shared" ca="1" si="74"/>
        <v>-126.14810350076104</v>
      </c>
      <c r="C785" s="17"/>
      <c r="D785" t="str">
        <f>RTD("tos.rtd", , "OPEN_INT", "."&amp;Table1334[[#This Row],[Ticker]]&amp;Table1334[[#This Row],[Expiry]]&amp;""&amp;"C"&amp;Table1334[[#This Row],[Spot]]+Table1334[[#This Row],[step]])</f>
        <v>N/A</v>
      </c>
      <c r="E78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5" t="b">
        <f>IF(     ISNUMBER(Table1334[[#This Row],[Strike]]),RTD("tos.rtd", , "DELTA", "."&amp;Table1334[[#This Row],[Ticker]]&amp;Table1334[[#This Row],[Expiry]]&amp;""&amp;"C"&amp;Table1334[[#This Row],[Strike]]))</f>
        <v>0</v>
      </c>
      <c r="H785" s="17" cm="1">
        <f t="array" aca="1" ref="H785" ca="1">IndividualLegIVCore($A$4, Table1334[[#This Row],[Strike]], 0.0411, Table1334[[#This Row],[T]], ((Table1334[[#This Row],[BIDC]]+Table1334[[#This Row],[ASKC]])/2), TRUE)</f>
        <v>0.01</v>
      </c>
      <c r="I785" t="b">
        <f>IF(     ISNUMBER(Table1334[[#This Row],[Strike]]),RTD("tos.rtd", , "BID", "."&amp;Table1334[[#This Row],[Ticker]]&amp;Table1334[[#This Row],[Expiry]]&amp;""&amp;"C"&amp;Table1334[[#This Row],[Strike]]))</f>
        <v>0</v>
      </c>
      <c r="J785" t="b">
        <f>IF(     ISNUMBER(Table1334[[#This Row],[Strike]]),RTD("tos.rtd", , "ASK", "."&amp;Table1334[[#This Row],[Ticker]]&amp;Table1334[[#This Row],[Expiry]]&amp;""&amp;"C"&amp;Table1334[[#This Row],[Strike]]))</f>
        <v>0</v>
      </c>
      <c r="K785" s="17"/>
      <c r="M785" s="1">
        <f t="shared" si="75"/>
        <v>0</v>
      </c>
      <c r="N785" t="b">
        <f t="shared" si="76"/>
        <v>0</v>
      </c>
      <c r="P785" s="17" cm="1">
        <f t="array" aca="1" ref="P785" ca="1">IndividualLegIVCore($A$4, Table1334[[#This Row],[Strike]], 0.0411, Table1334[[#This Row],[T]], ((Table1334[[#This Row],[BIDP]]+Table1334[[#This Row],[ASKP]])/2), FALSE)</f>
        <v>0.01</v>
      </c>
      <c r="Q785" t="b">
        <f>IF(     ISNUMBER(Table1334[[#This Row],[Strike]]),RTD("tos.rtd", , "BID", "."&amp;Table1334[[#This Row],[Ticker]]&amp;Table1334[[#This Row],[Expiry]]&amp;""&amp;"P"&amp;Table1334[[#This Row],[Strike]]))</f>
        <v>0</v>
      </c>
      <c r="R785" t="b">
        <f>IF(     ISNUMBER(Table1334[[#This Row],[Strike]]),RTD("tos.rtd", , "ASK", "."&amp;Table1334[[#This Row],[Ticker]]&amp;Table1334[[#This Row],[Expiry]]&amp;""&amp;"P"&amp;Table1334[[#This Row],[Strike]]))</f>
        <v>0</v>
      </c>
      <c r="S785" s="17"/>
      <c r="T785" t="b">
        <f>IF(     ISNUMBER(Table1334[[#This Row],[Strike]]),RTD("tos.rtd", , "OPEN_INT", "."&amp;Table1334[[#This Row],[Ticker]]&amp;Table1334[[#This Row],[Expiry]]&amp;""&amp;"P"&amp;Table1334[[#This Row],[Strike]]))</f>
        <v>0</v>
      </c>
      <c r="U78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5" t="b">
        <f>IF(     ISNUMBER(Table1334[[#This Row],[Strike]]),RTD("tos.rtd", , "DELTA", "."&amp;Table1334[[#This Row],[Ticker]]&amp;Table1334[[#This Row],[Expiry]]&amp;""&amp;"P"&amp;Table1334[[#This Row],[Strike]]))</f>
        <v>0</v>
      </c>
      <c r="Y785" s="19">
        <f>33* IF($M$1="NDX", 10, IF(OR($M$1="SPX", $M$1="RUT"), 2, 1))</f>
        <v>66</v>
      </c>
      <c r="Z785">
        <f ca="1">IFERROR(Table1334[[#This Row],[call gamma]]*(Table1334[[#This Row],[Open.Int]])*$A$4^2,0)</f>
        <v>0</v>
      </c>
      <c r="AA785">
        <f ca="1">IFERROR(((Table1334[[#This Row],[Open.Int8]])*Table1334[[#This Row],[Put gamma]])*-1*$A$4^2,0)</f>
        <v>0</v>
      </c>
      <c r="AB785">
        <f ca="1">(Table1334[[#This Row],[Call Gex]]+Table1334[[#This Row],[Put Gex]])</f>
        <v>0</v>
      </c>
      <c r="AC785">
        <f ca="1">Table1334[[#This Row],[put delta adj]]+Table1334[[#This Row],[call delta adj]]</f>
        <v>0</v>
      </c>
      <c r="AD785">
        <f ca="1">Table1334[[#This Row],[Put Gex]]*Table1334[[#This Row],[DeltaP]]*-1</f>
        <v>0</v>
      </c>
      <c r="AE785">
        <f ca="1">Table1334[[#This Row],[Call Gex]]*Table1334[[#This Row],[DeltaC]]</f>
        <v>0</v>
      </c>
      <c r="AF785">
        <f>IF(Table1334[[#This Row],[DeltaC]]-ABS(Table1334[[#This Row],[DeltaP]])="0","0.01",Table1334[[#This Row],[DeltaC]]-ABS(Table1334[[#This Row],[DeltaP]]))</f>
        <v>0</v>
      </c>
      <c r="AG78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5" t="e">
        <f ca="1">(EXP(-(AG785^2)/2)/SQRT(2*PI())*EXP(0*SQRT(Table1334[[#This Row],[T]]))/$A$4*18%*SQRT(SQRT(Table1334[[#This Row],[T]])))</f>
        <v>#DIV/0!</v>
      </c>
      <c r="AJ785" t="e">
        <f ca="1">(EXP(-(AH785^2)/2)/SQRT(2*PI())*EXP(0*SQRT(Table1334[[#This Row],[T]]))/$A$4*18%*SQRT(SQRT(Table1334[[#This Row],[T]])))</f>
        <v>#DIV/0!</v>
      </c>
      <c r="AK785" t="e">
        <f ca="1">Table1334[[#This Row],[Call D1]]-Table1334[[#This Row],[IV Calc C]]*SQRT(Table1334[[#This Row],[T]])</f>
        <v>#DIV/0!</v>
      </c>
      <c r="AL785" t="e">
        <f ca="1">Table1334[[#This Row],[Put D1]]-Table1334[[#This Row],[IV Calc P]]*SQRT(Table1334[[#This Row],[T]])</f>
        <v>#DIV/0!</v>
      </c>
      <c r="AM785" t="e">
        <f ca="1">EXP(-0.5*Table1334[[#This Row],[Call D1]]^2)/SQRT(2*PI())</f>
        <v>#DIV/0!</v>
      </c>
      <c r="AN785" t="e">
        <f ca="1">EXP(-0.5*Table1334[[#This Row],[Put D1]]^2)/SQRT(2*PI())</f>
        <v>#DIV/0!</v>
      </c>
      <c r="AO78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5">
        <f ca="1">((Table1334[[#This Row],[call vanna]]+Table1334[[#This Row],[put vanna]])*$A$4)</f>
        <v>0</v>
      </c>
      <c r="AR78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5" s="9" t="str" cm="1">
        <f t="array" ref="AT785">_xlfn.IFS(     $M$1="SPX","SPXW",     $M$1="RUT","RUTW",  $M$1="NDX","NDXP",   TRUE,$M$1 )</f>
        <v>SPXW</v>
      </c>
      <c r="AU785" s="2">
        <f t="shared" si="77"/>
        <v>6915</v>
      </c>
      <c r="AV785" t="str">
        <f t="shared" si="78"/>
        <v>000100</v>
      </c>
      <c r="AY78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5">
        <f>((Table1334[[#This Row],[High C]]+Table1334[[#This Row],[Low C]])/2)*Table1334[[#This Row],[gammac]]*Table1334[[#This Row],[Volume]]</f>
        <v>0</v>
      </c>
      <c r="BD785">
        <f>((Table1334[[#This Row],[High P]]+Table1334[[#This Row],[Low P]])/2)*Table1334[[#This Row],[gammap]]*Table1334[[#This Row],[Volume9]]*-1</f>
        <v>0</v>
      </c>
      <c r="BE785">
        <f>(Table1334[[#This Row],[SgammaC]]+Table1334[[#This Row],[SgammaP]])*$A$4*-100</f>
        <v>0</v>
      </c>
      <c r="BF785">
        <f>Table1334[[#This Row],[DEXc]]+Table1334[[#This Row],[DEXp]]</f>
        <v>0</v>
      </c>
      <c r="BG785">
        <f>IFERROR(Table1334[[#This Row],[DeltaC]]*Table1334[[#This Row],[Open.Int]]*$A$4,0)</f>
        <v>0</v>
      </c>
      <c r="BH785">
        <f>IFERROR(Table1334[[#This Row],[DeltaP]]*Table1334[[#This Row],[Open.Int8]]*$A$4,0)</f>
        <v>0</v>
      </c>
      <c r="BI78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5">
        <f ca="1">Table1334[[#This Row],[charmc]]+Table1334[[#This Row],[charmp]]</f>
        <v>0</v>
      </c>
      <c r="BL78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5" s="78">
        <f ca="1">Table1334[[#This Row],[call helper]]+Table1334[[#This Row],[put helper]]</f>
        <v>0</v>
      </c>
      <c r="BP785" t="str">
        <f>RTD("tos.rtd", , "STRIKE", "."&amp;Table1334[[#This Row],[Ticker]]&amp;Table1334[[#This Row],[Expiry]]&amp;""&amp;"C"&amp;Table1334[[#This Row],[Spot]]+Table1334[[#This Row],[step]])</f>
        <v>N/A</v>
      </c>
    </row>
    <row r="786" spans="1:68" x14ac:dyDescent="0.25">
      <c r="A786" s="14">
        <f t="shared" ca="1" si="74"/>
        <v>-126.14810350076104</v>
      </c>
      <c r="C786" s="17"/>
      <c r="D786" t="str">
        <f>RTD("tos.rtd", , "OPEN_INT", "."&amp;Table1334[[#This Row],[Ticker]]&amp;Table1334[[#This Row],[Expiry]]&amp;""&amp;"C"&amp;Table1334[[#This Row],[Spot]]+Table1334[[#This Row],[step]])</f>
        <v>N/A</v>
      </c>
      <c r="E78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6" t="b">
        <f>IF(     ISNUMBER(Table1334[[#This Row],[Strike]]),RTD("tos.rtd", , "DELTA", "."&amp;Table1334[[#This Row],[Ticker]]&amp;Table1334[[#This Row],[Expiry]]&amp;""&amp;"C"&amp;Table1334[[#This Row],[Strike]]))</f>
        <v>0</v>
      </c>
      <c r="H786" s="17" cm="1">
        <f t="array" aca="1" ref="H786" ca="1">IndividualLegIVCore($A$4, Table1334[[#This Row],[Strike]], 0.0411, Table1334[[#This Row],[T]], ((Table1334[[#This Row],[BIDC]]+Table1334[[#This Row],[ASKC]])/2), TRUE)</f>
        <v>0.01</v>
      </c>
      <c r="I786" t="b">
        <f>IF(     ISNUMBER(Table1334[[#This Row],[Strike]]),RTD("tos.rtd", , "BID", "."&amp;Table1334[[#This Row],[Ticker]]&amp;Table1334[[#This Row],[Expiry]]&amp;""&amp;"C"&amp;Table1334[[#This Row],[Strike]]))</f>
        <v>0</v>
      </c>
      <c r="J786" t="b">
        <f>IF(     ISNUMBER(Table1334[[#This Row],[Strike]]),RTD("tos.rtd", , "ASK", "."&amp;Table1334[[#This Row],[Ticker]]&amp;Table1334[[#This Row],[Expiry]]&amp;""&amp;"C"&amp;Table1334[[#This Row],[Strike]]))</f>
        <v>0</v>
      </c>
      <c r="K786" s="17"/>
      <c r="M786" s="1">
        <f t="shared" si="75"/>
        <v>0</v>
      </c>
      <c r="N786" t="b">
        <f t="shared" si="76"/>
        <v>0</v>
      </c>
      <c r="P786" s="17" cm="1">
        <f t="array" aca="1" ref="P786" ca="1">IndividualLegIVCore($A$4, Table1334[[#This Row],[Strike]], 0.0411, Table1334[[#This Row],[T]], ((Table1334[[#This Row],[BIDP]]+Table1334[[#This Row],[ASKP]])/2), FALSE)</f>
        <v>0.01</v>
      </c>
      <c r="Q786" t="b">
        <f>IF(     ISNUMBER(Table1334[[#This Row],[Strike]]),RTD("tos.rtd", , "BID", "."&amp;Table1334[[#This Row],[Ticker]]&amp;Table1334[[#This Row],[Expiry]]&amp;""&amp;"P"&amp;Table1334[[#This Row],[Strike]]))</f>
        <v>0</v>
      </c>
      <c r="R786" t="b">
        <f>IF(     ISNUMBER(Table1334[[#This Row],[Strike]]),RTD("tos.rtd", , "ASK", "."&amp;Table1334[[#This Row],[Ticker]]&amp;Table1334[[#This Row],[Expiry]]&amp;""&amp;"P"&amp;Table1334[[#This Row],[Strike]]))</f>
        <v>0</v>
      </c>
      <c r="S786" s="17"/>
      <c r="T786" t="b">
        <f>IF(     ISNUMBER(Table1334[[#This Row],[Strike]]),RTD("tos.rtd", , "OPEN_INT", "."&amp;Table1334[[#This Row],[Ticker]]&amp;Table1334[[#This Row],[Expiry]]&amp;""&amp;"P"&amp;Table1334[[#This Row],[Strike]]))</f>
        <v>0</v>
      </c>
      <c r="U78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6" t="b">
        <f>IF(     ISNUMBER(Table1334[[#This Row],[Strike]]),RTD("tos.rtd", , "DELTA", "."&amp;Table1334[[#This Row],[Ticker]]&amp;Table1334[[#This Row],[Expiry]]&amp;""&amp;"P"&amp;Table1334[[#This Row],[Strike]]))</f>
        <v>0</v>
      </c>
      <c r="Y786" s="19">
        <f>33.5* IF($M$1="NDX", 10, IF(OR($M$1="SPX", $M$1="RUT"), 2, 1))</f>
        <v>67</v>
      </c>
      <c r="Z786">
        <f ca="1">IFERROR(Table1334[[#This Row],[call gamma]]*(Table1334[[#This Row],[Open.Int]])*$A$4^2,0)</f>
        <v>0</v>
      </c>
      <c r="AA786">
        <f ca="1">IFERROR(((Table1334[[#This Row],[Open.Int8]])*Table1334[[#This Row],[Put gamma]])*-1*$A$4^2,0)</f>
        <v>0</v>
      </c>
      <c r="AB786">
        <f ca="1">(Table1334[[#This Row],[Call Gex]]+Table1334[[#This Row],[Put Gex]])</f>
        <v>0</v>
      </c>
      <c r="AC786">
        <f ca="1">Table1334[[#This Row],[put delta adj]]+Table1334[[#This Row],[call delta adj]]</f>
        <v>0</v>
      </c>
      <c r="AD786">
        <f ca="1">Table1334[[#This Row],[Put Gex]]*Table1334[[#This Row],[DeltaP]]*-1</f>
        <v>0</v>
      </c>
      <c r="AE786">
        <f ca="1">Table1334[[#This Row],[Call Gex]]*Table1334[[#This Row],[DeltaC]]</f>
        <v>0</v>
      </c>
      <c r="AF786">
        <f>IF(Table1334[[#This Row],[DeltaC]]-ABS(Table1334[[#This Row],[DeltaP]])="0","0.01",Table1334[[#This Row],[DeltaC]]-ABS(Table1334[[#This Row],[DeltaP]]))</f>
        <v>0</v>
      </c>
      <c r="AG78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6" t="e">
        <f ca="1">(EXP(-(AG786^2)/2)/SQRT(2*PI())*EXP(0*SQRT(Table1334[[#This Row],[T]]))/$A$4*18%*SQRT(SQRT(Table1334[[#This Row],[T]])))</f>
        <v>#DIV/0!</v>
      </c>
      <c r="AJ786" t="e">
        <f ca="1">(EXP(-(AH786^2)/2)/SQRT(2*PI())*EXP(0*SQRT(Table1334[[#This Row],[T]]))/$A$4*18%*SQRT(SQRT(Table1334[[#This Row],[T]])))</f>
        <v>#DIV/0!</v>
      </c>
      <c r="AK786" t="e">
        <f ca="1">Table1334[[#This Row],[Call D1]]-Table1334[[#This Row],[IV Calc C]]*SQRT(Table1334[[#This Row],[T]])</f>
        <v>#DIV/0!</v>
      </c>
      <c r="AL786" t="e">
        <f ca="1">Table1334[[#This Row],[Put D1]]-Table1334[[#This Row],[IV Calc P]]*SQRT(Table1334[[#This Row],[T]])</f>
        <v>#DIV/0!</v>
      </c>
      <c r="AM786" t="e">
        <f ca="1">EXP(-0.5*Table1334[[#This Row],[Call D1]]^2)/SQRT(2*PI())</f>
        <v>#DIV/0!</v>
      </c>
      <c r="AN786" t="e">
        <f ca="1">EXP(-0.5*Table1334[[#This Row],[Put D1]]^2)/SQRT(2*PI())</f>
        <v>#DIV/0!</v>
      </c>
      <c r="AO78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6">
        <f ca="1">((Table1334[[#This Row],[call vanna]]+Table1334[[#This Row],[put vanna]])*$A$4)</f>
        <v>0</v>
      </c>
      <c r="AR78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6" s="9" t="str" cm="1">
        <f t="array" ref="AT786">_xlfn.IFS(     $M$1="SPX","SPXW",     $M$1="RUT","RUTW",  $M$1="NDX","NDXP",   TRUE,$M$1 )</f>
        <v>SPXW</v>
      </c>
      <c r="AU786" s="2">
        <f t="shared" si="77"/>
        <v>6915</v>
      </c>
      <c r="AV786" t="str">
        <f t="shared" si="78"/>
        <v>000100</v>
      </c>
      <c r="AY78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6">
        <f>((Table1334[[#This Row],[High C]]+Table1334[[#This Row],[Low C]])/2)*Table1334[[#This Row],[gammac]]*Table1334[[#This Row],[Volume]]</f>
        <v>0</v>
      </c>
      <c r="BD786">
        <f>((Table1334[[#This Row],[High P]]+Table1334[[#This Row],[Low P]])/2)*Table1334[[#This Row],[gammap]]*Table1334[[#This Row],[Volume9]]*-1</f>
        <v>0</v>
      </c>
      <c r="BE786">
        <f>(Table1334[[#This Row],[SgammaC]]+Table1334[[#This Row],[SgammaP]])*$A$4*-100</f>
        <v>0</v>
      </c>
      <c r="BF786">
        <f>Table1334[[#This Row],[DEXc]]+Table1334[[#This Row],[DEXp]]</f>
        <v>0</v>
      </c>
      <c r="BG786">
        <f>IFERROR(Table1334[[#This Row],[DeltaC]]*Table1334[[#This Row],[Open.Int]]*$A$4,0)</f>
        <v>0</v>
      </c>
      <c r="BH786">
        <f>IFERROR(Table1334[[#This Row],[DeltaP]]*Table1334[[#This Row],[Open.Int8]]*$A$4,0)</f>
        <v>0</v>
      </c>
      <c r="BI78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6">
        <f ca="1">Table1334[[#This Row],[charmc]]+Table1334[[#This Row],[charmp]]</f>
        <v>0</v>
      </c>
      <c r="BL78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6" s="78">
        <f ca="1">Table1334[[#This Row],[call helper]]+Table1334[[#This Row],[put helper]]</f>
        <v>0</v>
      </c>
      <c r="BP786" t="str">
        <f>RTD("tos.rtd", , "STRIKE", "."&amp;Table1334[[#This Row],[Ticker]]&amp;Table1334[[#This Row],[Expiry]]&amp;""&amp;"C"&amp;Table1334[[#This Row],[Spot]]+Table1334[[#This Row],[step]])</f>
        <v>N/A</v>
      </c>
    </row>
    <row r="787" spans="1:68" x14ac:dyDescent="0.25">
      <c r="A787" s="14">
        <f t="shared" ca="1" si="74"/>
        <v>-126.14810350076104</v>
      </c>
      <c r="C787" s="17"/>
      <c r="D787" t="str">
        <f>RTD("tos.rtd", , "OPEN_INT", "."&amp;Table1334[[#This Row],[Ticker]]&amp;Table1334[[#This Row],[Expiry]]&amp;""&amp;"C"&amp;Table1334[[#This Row],[Spot]]+Table1334[[#This Row],[step]])</f>
        <v>N/A</v>
      </c>
      <c r="E78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7" t="b">
        <f>IF(     ISNUMBER(Table1334[[#This Row],[Strike]]),RTD("tos.rtd", , "DELTA", "."&amp;Table1334[[#This Row],[Ticker]]&amp;Table1334[[#This Row],[Expiry]]&amp;""&amp;"C"&amp;Table1334[[#This Row],[Strike]]))</f>
        <v>0</v>
      </c>
      <c r="H787" s="17" cm="1">
        <f t="array" aca="1" ref="H787" ca="1">IndividualLegIVCore($A$4, Table1334[[#This Row],[Strike]], 0.0411, Table1334[[#This Row],[T]], ((Table1334[[#This Row],[BIDC]]+Table1334[[#This Row],[ASKC]])/2), TRUE)</f>
        <v>0.01</v>
      </c>
      <c r="I787" t="b">
        <f>IF(     ISNUMBER(Table1334[[#This Row],[Strike]]),RTD("tos.rtd", , "BID", "."&amp;Table1334[[#This Row],[Ticker]]&amp;Table1334[[#This Row],[Expiry]]&amp;""&amp;"C"&amp;Table1334[[#This Row],[Strike]]))</f>
        <v>0</v>
      </c>
      <c r="J787" t="b">
        <f>IF(     ISNUMBER(Table1334[[#This Row],[Strike]]),RTD("tos.rtd", , "ASK", "."&amp;Table1334[[#This Row],[Ticker]]&amp;Table1334[[#This Row],[Expiry]]&amp;""&amp;"C"&amp;Table1334[[#This Row],[Strike]]))</f>
        <v>0</v>
      </c>
      <c r="K787" s="17"/>
      <c r="M787" s="1">
        <f t="shared" si="75"/>
        <v>0</v>
      </c>
      <c r="N787" t="b">
        <f t="shared" si="76"/>
        <v>0</v>
      </c>
      <c r="P787" s="17" cm="1">
        <f t="array" aca="1" ref="P787" ca="1">IndividualLegIVCore($A$4, Table1334[[#This Row],[Strike]], 0.0411, Table1334[[#This Row],[T]], ((Table1334[[#This Row],[BIDP]]+Table1334[[#This Row],[ASKP]])/2), FALSE)</f>
        <v>0.01</v>
      </c>
      <c r="Q787" t="b">
        <f>IF(     ISNUMBER(Table1334[[#This Row],[Strike]]),RTD("tos.rtd", , "BID", "."&amp;Table1334[[#This Row],[Ticker]]&amp;Table1334[[#This Row],[Expiry]]&amp;""&amp;"P"&amp;Table1334[[#This Row],[Strike]]))</f>
        <v>0</v>
      </c>
      <c r="R787" t="b">
        <f>IF(     ISNUMBER(Table1334[[#This Row],[Strike]]),RTD("tos.rtd", , "ASK", "."&amp;Table1334[[#This Row],[Ticker]]&amp;Table1334[[#This Row],[Expiry]]&amp;""&amp;"P"&amp;Table1334[[#This Row],[Strike]]))</f>
        <v>0</v>
      </c>
      <c r="S787" s="17"/>
      <c r="T787" t="b">
        <f>IF(     ISNUMBER(Table1334[[#This Row],[Strike]]),RTD("tos.rtd", , "OPEN_INT", "."&amp;Table1334[[#This Row],[Ticker]]&amp;Table1334[[#This Row],[Expiry]]&amp;""&amp;"P"&amp;Table1334[[#This Row],[Strike]]))</f>
        <v>0</v>
      </c>
      <c r="U78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7" t="b">
        <f>IF(     ISNUMBER(Table1334[[#This Row],[Strike]]),RTD("tos.rtd", , "DELTA", "."&amp;Table1334[[#This Row],[Ticker]]&amp;Table1334[[#This Row],[Expiry]]&amp;""&amp;"P"&amp;Table1334[[#This Row],[Strike]]))</f>
        <v>0</v>
      </c>
      <c r="Y787" s="19">
        <f>34* IF($M$1="NDX", 10, IF(OR($M$1="SPX", $M$1="RUT"), 2, 1))</f>
        <v>68</v>
      </c>
      <c r="Z787">
        <f ca="1">IFERROR(Table1334[[#This Row],[call gamma]]*(Table1334[[#This Row],[Open.Int]])*$A$4^2,0)</f>
        <v>0</v>
      </c>
      <c r="AA787">
        <f ca="1">IFERROR(((Table1334[[#This Row],[Open.Int8]])*Table1334[[#This Row],[Put gamma]])*-1*$A$4^2,0)</f>
        <v>0</v>
      </c>
      <c r="AB787">
        <f ca="1">(Table1334[[#This Row],[Call Gex]]+Table1334[[#This Row],[Put Gex]])</f>
        <v>0</v>
      </c>
      <c r="AC787">
        <f ca="1">Table1334[[#This Row],[put delta adj]]+Table1334[[#This Row],[call delta adj]]</f>
        <v>0</v>
      </c>
      <c r="AD787">
        <f ca="1">Table1334[[#This Row],[Put Gex]]*Table1334[[#This Row],[DeltaP]]*-1</f>
        <v>0</v>
      </c>
      <c r="AE787">
        <f ca="1">Table1334[[#This Row],[Call Gex]]*Table1334[[#This Row],[DeltaC]]</f>
        <v>0</v>
      </c>
      <c r="AF787">
        <f>IF(Table1334[[#This Row],[DeltaC]]-ABS(Table1334[[#This Row],[DeltaP]])="0","0.01",Table1334[[#This Row],[DeltaC]]-ABS(Table1334[[#This Row],[DeltaP]]))</f>
        <v>0</v>
      </c>
      <c r="AG78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7" t="e">
        <f ca="1">(EXP(-(AG787^2)/2)/SQRT(2*PI())*EXP(0*SQRT(Table1334[[#This Row],[T]]))/$A$4*18%*SQRT(SQRT(Table1334[[#This Row],[T]])))</f>
        <v>#DIV/0!</v>
      </c>
      <c r="AJ787" t="e">
        <f ca="1">(EXP(-(AH787^2)/2)/SQRT(2*PI())*EXP(0*SQRT(Table1334[[#This Row],[T]]))/$A$4*18%*SQRT(SQRT(Table1334[[#This Row],[T]])))</f>
        <v>#DIV/0!</v>
      </c>
      <c r="AK787" t="e">
        <f ca="1">Table1334[[#This Row],[Call D1]]-Table1334[[#This Row],[IV Calc C]]*SQRT(Table1334[[#This Row],[T]])</f>
        <v>#DIV/0!</v>
      </c>
      <c r="AL787" t="e">
        <f ca="1">Table1334[[#This Row],[Put D1]]-Table1334[[#This Row],[IV Calc P]]*SQRT(Table1334[[#This Row],[T]])</f>
        <v>#DIV/0!</v>
      </c>
      <c r="AM787" t="e">
        <f ca="1">EXP(-0.5*Table1334[[#This Row],[Call D1]]^2)/SQRT(2*PI())</f>
        <v>#DIV/0!</v>
      </c>
      <c r="AN787" t="e">
        <f ca="1">EXP(-0.5*Table1334[[#This Row],[Put D1]]^2)/SQRT(2*PI())</f>
        <v>#DIV/0!</v>
      </c>
      <c r="AO78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7">
        <f ca="1">((Table1334[[#This Row],[call vanna]]+Table1334[[#This Row],[put vanna]])*$A$4)</f>
        <v>0</v>
      </c>
      <c r="AR78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7" s="9" t="str" cm="1">
        <f t="array" ref="AT787">_xlfn.IFS(     $M$1="SPX","SPXW",     $M$1="RUT","RUTW",  $M$1="NDX","NDXP",   TRUE,$M$1 )</f>
        <v>SPXW</v>
      </c>
      <c r="AU787" s="2">
        <f t="shared" si="77"/>
        <v>6915</v>
      </c>
      <c r="AV787" t="str">
        <f t="shared" si="78"/>
        <v>000100</v>
      </c>
      <c r="AY78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7">
        <f>((Table1334[[#This Row],[High C]]+Table1334[[#This Row],[Low C]])/2)*Table1334[[#This Row],[gammac]]*Table1334[[#This Row],[Volume]]</f>
        <v>0</v>
      </c>
      <c r="BD787">
        <f>((Table1334[[#This Row],[High P]]+Table1334[[#This Row],[Low P]])/2)*Table1334[[#This Row],[gammap]]*Table1334[[#This Row],[Volume9]]*-1</f>
        <v>0</v>
      </c>
      <c r="BE787">
        <f>(Table1334[[#This Row],[SgammaC]]+Table1334[[#This Row],[SgammaP]])*$A$4*-100</f>
        <v>0</v>
      </c>
      <c r="BF787">
        <f>Table1334[[#This Row],[DEXc]]+Table1334[[#This Row],[DEXp]]</f>
        <v>0</v>
      </c>
      <c r="BG787">
        <f>IFERROR(Table1334[[#This Row],[DeltaC]]*Table1334[[#This Row],[Open.Int]]*$A$4,0)</f>
        <v>0</v>
      </c>
      <c r="BH787">
        <f>IFERROR(Table1334[[#This Row],[DeltaP]]*Table1334[[#This Row],[Open.Int8]]*$A$4,0)</f>
        <v>0</v>
      </c>
      <c r="BI78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7">
        <f ca="1">Table1334[[#This Row],[charmc]]+Table1334[[#This Row],[charmp]]</f>
        <v>0</v>
      </c>
      <c r="BL78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7" s="78">
        <f ca="1">Table1334[[#This Row],[call helper]]+Table1334[[#This Row],[put helper]]</f>
        <v>0</v>
      </c>
      <c r="BP787" t="str">
        <f>RTD("tos.rtd", , "STRIKE", "."&amp;Table1334[[#This Row],[Ticker]]&amp;Table1334[[#This Row],[Expiry]]&amp;""&amp;"C"&amp;Table1334[[#This Row],[Spot]]+Table1334[[#This Row],[step]])</f>
        <v>N/A</v>
      </c>
    </row>
    <row r="788" spans="1:68" x14ac:dyDescent="0.25">
      <c r="A788" s="14">
        <f t="shared" ca="1" si="74"/>
        <v>-126.14810350076104</v>
      </c>
      <c r="C788" s="17"/>
      <c r="D788" t="str">
        <f>RTD("tos.rtd", , "OPEN_INT", "."&amp;Table1334[[#This Row],[Ticker]]&amp;Table1334[[#This Row],[Expiry]]&amp;""&amp;"C"&amp;Table1334[[#This Row],[Spot]]+Table1334[[#This Row],[step]])</f>
        <v>N/A</v>
      </c>
      <c r="E78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8" t="b">
        <f>IF(     ISNUMBER(Table1334[[#This Row],[Strike]]),RTD("tos.rtd", , "DELTA", "."&amp;Table1334[[#This Row],[Ticker]]&amp;Table1334[[#This Row],[Expiry]]&amp;""&amp;"C"&amp;Table1334[[#This Row],[Strike]]))</f>
        <v>0</v>
      </c>
      <c r="H788" s="17" cm="1">
        <f t="array" aca="1" ref="H788" ca="1">IndividualLegIVCore($A$4, Table1334[[#This Row],[Strike]], 0.0411, Table1334[[#This Row],[T]], ((Table1334[[#This Row],[BIDC]]+Table1334[[#This Row],[ASKC]])/2), TRUE)</f>
        <v>0.01</v>
      </c>
      <c r="I788" t="b">
        <f>IF(     ISNUMBER(Table1334[[#This Row],[Strike]]),RTD("tos.rtd", , "BID", "."&amp;Table1334[[#This Row],[Ticker]]&amp;Table1334[[#This Row],[Expiry]]&amp;""&amp;"C"&amp;Table1334[[#This Row],[Strike]]))</f>
        <v>0</v>
      </c>
      <c r="J788" t="b">
        <f>IF(     ISNUMBER(Table1334[[#This Row],[Strike]]),RTD("tos.rtd", , "ASK", "."&amp;Table1334[[#This Row],[Ticker]]&amp;Table1334[[#This Row],[Expiry]]&amp;""&amp;"C"&amp;Table1334[[#This Row],[Strike]]))</f>
        <v>0</v>
      </c>
      <c r="K788" s="17"/>
      <c r="M788" s="1">
        <f t="shared" si="75"/>
        <v>0</v>
      </c>
      <c r="N788" t="b">
        <f t="shared" si="76"/>
        <v>0</v>
      </c>
      <c r="P788" s="17" cm="1">
        <f t="array" aca="1" ref="P788" ca="1">IndividualLegIVCore($A$4, Table1334[[#This Row],[Strike]], 0.0411, Table1334[[#This Row],[T]], ((Table1334[[#This Row],[BIDP]]+Table1334[[#This Row],[ASKP]])/2), FALSE)</f>
        <v>0.01</v>
      </c>
      <c r="Q788" t="b">
        <f>IF(     ISNUMBER(Table1334[[#This Row],[Strike]]),RTD("tos.rtd", , "BID", "."&amp;Table1334[[#This Row],[Ticker]]&amp;Table1334[[#This Row],[Expiry]]&amp;""&amp;"P"&amp;Table1334[[#This Row],[Strike]]))</f>
        <v>0</v>
      </c>
      <c r="R788" t="b">
        <f>IF(     ISNUMBER(Table1334[[#This Row],[Strike]]),RTD("tos.rtd", , "ASK", "."&amp;Table1334[[#This Row],[Ticker]]&amp;Table1334[[#This Row],[Expiry]]&amp;""&amp;"P"&amp;Table1334[[#This Row],[Strike]]))</f>
        <v>0</v>
      </c>
      <c r="S788" s="17"/>
      <c r="T788" t="b">
        <f>IF(     ISNUMBER(Table1334[[#This Row],[Strike]]),RTD("tos.rtd", , "OPEN_INT", "."&amp;Table1334[[#This Row],[Ticker]]&amp;Table1334[[#This Row],[Expiry]]&amp;""&amp;"P"&amp;Table1334[[#This Row],[Strike]]))</f>
        <v>0</v>
      </c>
      <c r="U78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8" t="b">
        <f>IF(     ISNUMBER(Table1334[[#This Row],[Strike]]),RTD("tos.rtd", , "DELTA", "."&amp;Table1334[[#This Row],[Ticker]]&amp;Table1334[[#This Row],[Expiry]]&amp;""&amp;"P"&amp;Table1334[[#This Row],[Strike]]))</f>
        <v>0</v>
      </c>
      <c r="Y788" s="19">
        <f>34.5* IF($M$1="NDX", 10, IF(OR($M$1="SPX", $M$1="RUT"), 2, 1))</f>
        <v>69</v>
      </c>
      <c r="Z788">
        <f ca="1">IFERROR(Table1334[[#This Row],[call gamma]]*(Table1334[[#This Row],[Open.Int]])*$A$4^2,0)</f>
        <v>0</v>
      </c>
      <c r="AA788">
        <f ca="1">IFERROR(((Table1334[[#This Row],[Open.Int8]])*Table1334[[#This Row],[Put gamma]])*-1*$A$4^2,0)</f>
        <v>0</v>
      </c>
      <c r="AB788">
        <f ca="1">(Table1334[[#This Row],[Call Gex]]+Table1334[[#This Row],[Put Gex]])</f>
        <v>0</v>
      </c>
      <c r="AC788">
        <f ca="1">Table1334[[#This Row],[put delta adj]]+Table1334[[#This Row],[call delta adj]]</f>
        <v>0</v>
      </c>
      <c r="AD788">
        <f ca="1">Table1334[[#This Row],[Put Gex]]*Table1334[[#This Row],[DeltaP]]*-1</f>
        <v>0</v>
      </c>
      <c r="AE788">
        <f ca="1">Table1334[[#This Row],[Call Gex]]*Table1334[[#This Row],[DeltaC]]</f>
        <v>0</v>
      </c>
      <c r="AF788">
        <f>IF(Table1334[[#This Row],[DeltaC]]-ABS(Table1334[[#This Row],[DeltaP]])="0","0.01",Table1334[[#This Row],[DeltaC]]-ABS(Table1334[[#This Row],[DeltaP]]))</f>
        <v>0</v>
      </c>
      <c r="AG78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8" t="e">
        <f ca="1">(EXP(-(AG788^2)/2)/SQRT(2*PI())*EXP(0*SQRT(Table1334[[#This Row],[T]]))/$A$4*18%*SQRT(SQRT(Table1334[[#This Row],[T]])))</f>
        <v>#DIV/0!</v>
      </c>
      <c r="AJ788" t="e">
        <f ca="1">(EXP(-(AH788^2)/2)/SQRT(2*PI())*EXP(0*SQRT(Table1334[[#This Row],[T]]))/$A$4*18%*SQRT(SQRT(Table1334[[#This Row],[T]])))</f>
        <v>#DIV/0!</v>
      </c>
      <c r="AK788" t="e">
        <f ca="1">Table1334[[#This Row],[Call D1]]-Table1334[[#This Row],[IV Calc C]]*SQRT(Table1334[[#This Row],[T]])</f>
        <v>#DIV/0!</v>
      </c>
      <c r="AL788" t="e">
        <f ca="1">Table1334[[#This Row],[Put D1]]-Table1334[[#This Row],[IV Calc P]]*SQRT(Table1334[[#This Row],[T]])</f>
        <v>#DIV/0!</v>
      </c>
      <c r="AM788" t="e">
        <f ca="1">EXP(-0.5*Table1334[[#This Row],[Call D1]]^2)/SQRT(2*PI())</f>
        <v>#DIV/0!</v>
      </c>
      <c r="AN788" t="e">
        <f ca="1">EXP(-0.5*Table1334[[#This Row],[Put D1]]^2)/SQRT(2*PI())</f>
        <v>#DIV/0!</v>
      </c>
      <c r="AO78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8">
        <f ca="1">((Table1334[[#This Row],[call vanna]]+Table1334[[#This Row],[put vanna]])*$A$4)</f>
        <v>0</v>
      </c>
      <c r="AR78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8" s="9" t="str" cm="1">
        <f t="array" ref="AT788">_xlfn.IFS(     $M$1="SPX","SPXW",     $M$1="RUT","RUTW",  $M$1="NDX","NDXP",   TRUE,$M$1 )</f>
        <v>SPXW</v>
      </c>
      <c r="AU788" s="2">
        <f t="shared" si="77"/>
        <v>6915</v>
      </c>
      <c r="AV788" t="str">
        <f t="shared" si="78"/>
        <v>000100</v>
      </c>
      <c r="AY78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8">
        <f>((Table1334[[#This Row],[High C]]+Table1334[[#This Row],[Low C]])/2)*Table1334[[#This Row],[gammac]]*Table1334[[#This Row],[Volume]]</f>
        <v>0</v>
      </c>
      <c r="BD788">
        <f>((Table1334[[#This Row],[High P]]+Table1334[[#This Row],[Low P]])/2)*Table1334[[#This Row],[gammap]]*Table1334[[#This Row],[Volume9]]*-1</f>
        <v>0</v>
      </c>
      <c r="BE788">
        <f>(Table1334[[#This Row],[SgammaC]]+Table1334[[#This Row],[SgammaP]])*$A$4*-100</f>
        <v>0</v>
      </c>
      <c r="BF788">
        <f>Table1334[[#This Row],[DEXc]]+Table1334[[#This Row],[DEXp]]</f>
        <v>0</v>
      </c>
      <c r="BG788">
        <f>IFERROR(Table1334[[#This Row],[DeltaC]]*Table1334[[#This Row],[Open.Int]]*$A$4,0)</f>
        <v>0</v>
      </c>
      <c r="BH788">
        <f>IFERROR(Table1334[[#This Row],[DeltaP]]*Table1334[[#This Row],[Open.Int8]]*$A$4,0)</f>
        <v>0</v>
      </c>
      <c r="BI78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8">
        <f ca="1">Table1334[[#This Row],[charmc]]+Table1334[[#This Row],[charmp]]</f>
        <v>0</v>
      </c>
      <c r="BL78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8" s="78">
        <f ca="1">Table1334[[#This Row],[call helper]]+Table1334[[#This Row],[put helper]]</f>
        <v>0</v>
      </c>
      <c r="BP788" t="str">
        <f>RTD("tos.rtd", , "STRIKE", "."&amp;Table1334[[#This Row],[Ticker]]&amp;Table1334[[#This Row],[Expiry]]&amp;""&amp;"C"&amp;Table1334[[#This Row],[Spot]]+Table1334[[#This Row],[step]])</f>
        <v>N/A</v>
      </c>
    </row>
    <row r="789" spans="1:68" x14ac:dyDescent="0.25">
      <c r="A789" s="14">
        <f t="shared" ca="1" si="74"/>
        <v>-126.14810350076104</v>
      </c>
      <c r="C789" s="17"/>
      <c r="D789" t="str">
        <f>RTD("tos.rtd", , "OPEN_INT", "."&amp;Table1334[[#This Row],[Ticker]]&amp;Table1334[[#This Row],[Expiry]]&amp;""&amp;"C"&amp;Table1334[[#This Row],[Spot]]+Table1334[[#This Row],[step]])</f>
        <v>N/A</v>
      </c>
      <c r="E78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9" t="b">
        <f>IF(     ISNUMBER(Table1334[[#This Row],[Strike]]),RTD("tos.rtd", , "DELTA", "."&amp;Table1334[[#This Row],[Ticker]]&amp;Table1334[[#This Row],[Expiry]]&amp;""&amp;"C"&amp;Table1334[[#This Row],[Strike]]))</f>
        <v>0</v>
      </c>
      <c r="H789" s="17" cm="1">
        <f t="array" aca="1" ref="H789" ca="1">IndividualLegIVCore($A$4, Table1334[[#This Row],[Strike]], 0.0411, Table1334[[#This Row],[T]], ((Table1334[[#This Row],[BIDC]]+Table1334[[#This Row],[ASKC]])/2), TRUE)</f>
        <v>0.01</v>
      </c>
      <c r="I789" t="b">
        <f>IF(     ISNUMBER(Table1334[[#This Row],[Strike]]),RTD("tos.rtd", , "BID", "."&amp;Table1334[[#This Row],[Ticker]]&amp;Table1334[[#This Row],[Expiry]]&amp;""&amp;"C"&amp;Table1334[[#This Row],[Strike]]))</f>
        <v>0</v>
      </c>
      <c r="J789" t="b">
        <f>IF(     ISNUMBER(Table1334[[#This Row],[Strike]]),RTD("tos.rtd", , "ASK", "."&amp;Table1334[[#This Row],[Ticker]]&amp;Table1334[[#This Row],[Expiry]]&amp;""&amp;"C"&amp;Table1334[[#This Row],[Strike]]))</f>
        <v>0</v>
      </c>
      <c r="K789" s="17"/>
      <c r="M789" s="1">
        <f t="shared" si="75"/>
        <v>0</v>
      </c>
      <c r="N789" t="b">
        <f t="shared" si="76"/>
        <v>0</v>
      </c>
      <c r="P789" s="17" cm="1">
        <f t="array" aca="1" ref="P789" ca="1">IndividualLegIVCore($A$4, Table1334[[#This Row],[Strike]], 0.0411, Table1334[[#This Row],[T]], ((Table1334[[#This Row],[BIDP]]+Table1334[[#This Row],[ASKP]])/2), FALSE)</f>
        <v>0.01</v>
      </c>
      <c r="Q789" t="b">
        <f>IF(     ISNUMBER(Table1334[[#This Row],[Strike]]),RTD("tos.rtd", , "BID", "."&amp;Table1334[[#This Row],[Ticker]]&amp;Table1334[[#This Row],[Expiry]]&amp;""&amp;"P"&amp;Table1334[[#This Row],[Strike]]))</f>
        <v>0</v>
      </c>
      <c r="R789" t="b">
        <f>IF(     ISNUMBER(Table1334[[#This Row],[Strike]]),RTD("tos.rtd", , "ASK", "."&amp;Table1334[[#This Row],[Ticker]]&amp;Table1334[[#This Row],[Expiry]]&amp;""&amp;"P"&amp;Table1334[[#This Row],[Strike]]))</f>
        <v>0</v>
      </c>
      <c r="S789" s="17"/>
      <c r="T789" t="b">
        <f>IF(     ISNUMBER(Table1334[[#This Row],[Strike]]),RTD("tos.rtd", , "OPEN_INT", "."&amp;Table1334[[#This Row],[Ticker]]&amp;Table1334[[#This Row],[Expiry]]&amp;""&amp;"P"&amp;Table1334[[#This Row],[Strike]]))</f>
        <v>0</v>
      </c>
      <c r="U78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9" t="b">
        <f>IF(     ISNUMBER(Table1334[[#This Row],[Strike]]),RTD("tos.rtd", , "DELTA", "."&amp;Table1334[[#This Row],[Ticker]]&amp;Table1334[[#This Row],[Expiry]]&amp;""&amp;"P"&amp;Table1334[[#This Row],[Strike]]))</f>
        <v>0</v>
      </c>
      <c r="Y789" s="19">
        <f>35* IF($M$1="NDX", 10, IF(OR($M$1="SPX", $M$1="RUT"), 2, 1))</f>
        <v>70</v>
      </c>
      <c r="Z789">
        <f ca="1">IFERROR(Table1334[[#This Row],[call gamma]]*(Table1334[[#This Row],[Open.Int]])*$A$4^2,0)</f>
        <v>0</v>
      </c>
      <c r="AA789">
        <f ca="1">IFERROR(((Table1334[[#This Row],[Open.Int8]])*Table1334[[#This Row],[Put gamma]])*-1*$A$4^2,0)</f>
        <v>0</v>
      </c>
      <c r="AB789">
        <f ca="1">(Table1334[[#This Row],[Call Gex]]+Table1334[[#This Row],[Put Gex]])</f>
        <v>0</v>
      </c>
      <c r="AC789">
        <f ca="1">Table1334[[#This Row],[put delta adj]]+Table1334[[#This Row],[call delta adj]]</f>
        <v>0</v>
      </c>
      <c r="AD789">
        <f ca="1">Table1334[[#This Row],[Put Gex]]*Table1334[[#This Row],[DeltaP]]*-1</f>
        <v>0</v>
      </c>
      <c r="AE789">
        <f ca="1">Table1334[[#This Row],[Call Gex]]*Table1334[[#This Row],[DeltaC]]</f>
        <v>0</v>
      </c>
      <c r="AF789">
        <f>IF(Table1334[[#This Row],[DeltaC]]-ABS(Table1334[[#This Row],[DeltaP]])="0","0.01",Table1334[[#This Row],[DeltaC]]-ABS(Table1334[[#This Row],[DeltaP]]))</f>
        <v>0</v>
      </c>
      <c r="AG78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9" t="e">
        <f ca="1">(EXP(-(AG789^2)/2)/SQRT(2*PI())*EXP(0*SQRT(Table1334[[#This Row],[T]]))/$A$4*18%*SQRT(SQRT(Table1334[[#This Row],[T]])))</f>
        <v>#DIV/0!</v>
      </c>
      <c r="AJ789" t="e">
        <f ca="1">(EXP(-(AH789^2)/2)/SQRT(2*PI())*EXP(0*SQRT(Table1334[[#This Row],[T]]))/$A$4*18%*SQRT(SQRT(Table1334[[#This Row],[T]])))</f>
        <v>#DIV/0!</v>
      </c>
      <c r="AK789" t="e">
        <f ca="1">Table1334[[#This Row],[Call D1]]-Table1334[[#This Row],[IV Calc C]]*SQRT(Table1334[[#This Row],[T]])</f>
        <v>#DIV/0!</v>
      </c>
      <c r="AL789" t="e">
        <f ca="1">Table1334[[#This Row],[Put D1]]-Table1334[[#This Row],[IV Calc P]]*SQRT(Table1334[[#This Row],[T]])</f>
        <v>#DIV/0!</v>
      </c>
      <c r="AM789" t="e">
        <f ca="1">EXP(-0.5*Table1334[[#This Row],[Call D1]]^2)/SQRT(2*PI())</f>
        <v>#DIV/0!</v>
      </c>
      <c r="AN789" t="e">
        <f ca="1">EXP(-0.5*Table1334[[#This Row],[Put D1]]^2)/SQRT(2*PI())</f>
        <v>#DIV/0!</v>
      </c>
      <c r="AO78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9">
        <f ca="1">((Table1334[[#This Row],[call vanna]]+Table1334[[#This Row],[put vanna]])*$A$4)</f>
        <v>0</v>
      </c>
      <c r="AR78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9" s="9" t="str" cm="1">
        <f t="array" ref="AT789">_xlfn.IFS(     $M$1="SPX","SPXW",     $M$1="RUT","RUTW",  $M$1="NDX","NDXP",   TRUE,$M$1 )</f>
        <v>SPXW</v>
      </c>
      <c r="AU789" s="2">
        <f t="shared" si="77"/>
        <v>6915</v>
      </c>
      <c r="AV789" t="str">
        <f t="shared" si="78"/>
        <v>000100</v>
      </c>
      <c r="AY78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9">
        <f>((Table1334[[#This Row],[High C]]+Table1334[[#This Row],[Low C]])/2)*Table1334[[#This Row],[gammac]]*Table1334[[#This Row],[Volume]]</f>
        <v>0</v>
      </c>
      <c r="BD789">
        <f>((Table1334[[#This Row],[High P]]+Table1334[[#This Row],[Low P]])/2)*Table1334[[#This Row],[gammap]]*Table1334[[#This Row],[Volume9]]*-1</f>
        <v>0</v>
      </c>
      <c r="BE789">
        <f>(Table1334[[#This Row],[SgammaC]]+Table1334[[#This Row],[SgammaP]])*$A$4*-100</f>
        <v>0</v>
      </c>
      <c r="BF789">
        <f>Table1334[[#This Row],[DEXc]]+Table1334[[#This Row],[DEXp]]</f>
        <v>0</v>
      </c>
      <c r="BG789">
        <f>IFERROR(Table1334[[#This Row],[DeltaC]]*Table1334[[#This Row],[Open.Int]]*$A$4,0)</f>
        <v>0</v>
      </c>
      <c r="BH789">
        <f>IFERROR(Table1334[[#This Row],[DeltaP]]*Table1334[[#This Row],[Open.Int8]]*$A$4,0)</f>
        <v>0</v>
      </c>
      <c r="BI78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9">
        <f ca="1">Table1334[[#This Row],[charmc]]+Table1334[[#This Row],[charmp]]</f>
        <v>0</v>
      </c>
      <c r="BL78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9" s="78">
        <f ca="1">Table1334[[#This Row],[call helper]]+Table1334[[#This Row],[put helper]]</f>
        <v>0</v>
      </c>
      <c r="BP789" t="str">
        <f>RTD("tos.rtd", , "STRIKE", "."&amp;Table1334[[#This Row],[Ticker]]&amp;Table1334[[#This Row],[Expiry]]&amp;""&amp;"C"&amp;Table1334[[#This Row],[Spot]]+Table1334[[#This Row],[step]])</f>
        <v>N/A</v>
      </c>
    </row>
    <row r="790" spans="1:68" x14ac:dyDescent="0.25">
      <c r="A790" s="14">
        <f t="shared" ca="1" si="74"/>
        <v>-126.14810350076104</v>
      </c>
      <c r="C790" s="17"/>
      <c r="D790" t="str">
        <f>RTD("tos.rtd", , "OPEN_INT", "."&amp;Table1334[[#This Row],[Ticker]]&amp;Table1334[[#This Row],[Expiry]]&amp;""&amp;"C"&amp;Table1334[[#This Row],[Spot]]+Table1334[[#This Row],[step]])</f>
        <v>N/A</v>
      </c>
      <c r="E79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0" t="b">
        <f>IF(     ISNUMBER(Table1334[[#This Row],[Strike]]),RTD("tos.rtd", , "DELTA", "."&amp;Table1334[[#This Row],[Ticker]]&amp;Table1334[[#This Row],[Expiry]]&amp;""&amp;"C"&amp;Table1334[[#This Row],[Strike]]))</f>
        <v>0</v>
      </c>
      <c r="H790" s="17" cm="1">
        <f t="array" aca="1" ref="H790" ca="1">IndividualLegIVCore($A$4, Table1334[[#This Row],[Strike]], 0.0411, Table1334[[#This Row],[T]], ((Table1334[[#This Row],[BIDC]]+Table1334[[#This Row],[ASKC]])/2), TRUE)</f>
        <v>0.01</v>
      </c>
      <c r="I790" t="b">
        <f>IF(     ISNUMBER(Table1334[[#This Row],[Strike]]),RTD("tos.rtd", , "BID", "."&amp;Table1334[[#This Row],[Ticker]]&amp;Table1334[[#This Row],[Expiry]]&amp;""&amp;"C"&amp;Table1334[[#This Row],[Strike]]))</f>
        <v>0</v>
      </c>
      <c r="J790" t="b">
        <f>IF(     ISNUMBER(Table1334[[#This Row],[Strike]]),RTD("tos.rtd", , "ASK", "."&amp;Table1334[[#This Row],[Ticker]]&amp;Table1334[[#This Row],[Expiry]]&amp;""&amp;"C"&amp;Table1334[[#This Row],[Strike]]))</f>
        <v>0</v>
      </c>
      <c r="K790" s="17"/>
      <c r="M790" s="1">
        <f t="shared" si="75"/>
        <v>0</v>
      </c>
      <c r="N790" t="b">
        <f t="shared" si="76"/>
        <v>0</v>
      </c>
      <c r="P790" s="17" cm="1">
        <f t="array" aca="1" ref="P790" ca="1">IndividualLegIVCore($A$4, Table1334[[#This Row],[Strike]], 0.0411, Table1334[[#This Row],[T]], ((Table1334[[#This Row],[BIDP]]+Table1334[[#This Row],[ASKP]])/2), FALSE)</f>
        <v>0.01</v>
      </c>
      <c r="Q790" t="b">
        <f>IF(     ISNUMBER(Table1334[[#This Row],[Strike]]),RTD("tos.rtd", , "BID", "."&amp;Table1334[[#This Row],[Ticker]]&amp;Table1334[[#This Row],[Expiry]]&amp;""&amp;"P"&amp;Table1334[[#This Row],[Strike]]))</f>
        <v>0</v>
      </c>
      <c r="R790" t="b">
        <f>IF(     ISNUMBER(Table1334[[#This Row],[Strike]]),RTD("tos.rtd", , "ASK", "."&amp;Table1334[[#This Row],[Ticker]]&amp;Table1334[[#This Row],[Expiry]]&amp;""&amp;"P"&amp;Table1334[[#This Row],[Strike]]))</f>
        <v>0</v>
      </c>
      <c r="S790" s="17"/>
      <c r="T790" t="b">
        <f>IF(     ISNUMBER(Table1334[[#This Row],[Strike]]),RTD("tos.rtd", , "OPEN_INT", "."&amp;Table1334[[#This Row],[Ticker]]&amp;Table1334[[#This Row],[Expiry]]&amp;""&amp;"P"&amp;Table1334[[#This Row],[Strike]]))</f>
        <v>0</v>
      </c>
      <c r="U79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0" t="b">
        <f>IF(     ISNUMBER(Table1334[[#This Row],[Strike]]),RTD("tos.rtd", , "DELTA", "."&amp;Table1334[[#This Row],[Ticker]]&amp;Table1334[[#This Row],[Expiry]]&amp;""&amp;"P"&amp;Table1334[[#This Row],[Strike]]))</f>
        <v>0</v>
      </c>
      <c r="Y790" s="19">
        <f>35.5* IF($M$1="NDX", 10, IF(OR($M$1="SPX", $M$1="RUT"), 2, 1))</f>
        <v>71</v>
      </c>
      <c r="Z790">
        <f ca="1">IFERROR(Table1334[[#This Row],[call gamma]]*(Table1334[[#This Row],[Open.Int]])*$A$4^2,0)</f>
        <v>0</v>
      </c>
      <c r="AA790">
        <f ca="1">IFERROR(((Table1334[[#This Row],[Open.Int8]])*Table1334[[#This Row],[Put gamma]])*-1*$A$4^2,0)</f>
        <v>0</v>
      </c>
      <c r="AB790">
        <f ca="1">(Table1334[[#This Row],[Call Gex]]+Table1334[[#This Row],[Put Gex]])</f>
        <v>0</v>
      </c>
      <c r="AC790">
        <f ca="1">Table1334[[#This Row],[put delta adj]]+Table1334[[#This Row],[call delta adj]]</f>
        <v>0</v>
      </c>
      <c r="AD790">
        <f ca="1">Table1334[[#This Row],[Put Gex]]*Table1334[[#This Row],[DeltaP]]*-1</f>
        <v>0</v>
      </c>
      <c r="AE790">
        <f ca="1">Table1334[[#This Row],[Call Gex]]*Table1334[[#This Row],[DeltaC]]</f>
        <v>0</v>
      </c>
      <c r="AF790">
        <f>IF(Table1334[[#This Row],[DeltaC]]-ABS(Table1334[[#This Row],[DeltaP]])="0","0.01",Table1334[[#This Row],[DeltaC]]-ABS(Table1334[[#This Row],[DeltaP]]))</f>
        <v>0</v>
      </c>
      <c r="AG79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0" t="e">
        <f ca="1">(EXP(-(AG790^2)/2)/SQRT(2*PI())*EXP(0*SQRT(Table1334[[#This Row],[T]]))/$A$4*18%*SQRT(SQRT(Table1334[[#This Row],[T]])))</f>
        <v>#DIV/0!</v>
      </c>
      <c r="AJ790" t="e">
        <f ca="1">(EXP(-(AH790^2)/2)/SQRT(2*PI())*EXP(0*SQRT(Table1334[[#This Row],[T]]))/$A$4*18%*SQRT(SQRT(Table1334[[#This Row],[T]])))</f>
        <v>#DIV/0!</v>
      </c>
      <c r="AK790" t="e">
        <f ca="1">Table1334[[#This Row],[Call D1]]-Table1334[[#This Row],[IV Calc C]]*SQRT(Table1334[[#This Row],[T]])</f>
        <v>#DIV/0!</v>
      </c>
      <c r="AL790" t="e">
        <f ca="1">Table1334[[#This Row],[Put D1]]-Table1334[[#This Row],[IV Calc P]]*SQRT(Table1334[[#This Row],[T]])</f>
        <v>#DIV/0!</v>
      </c>
      <c r="AM790" t="e">
        <f ca="1">EXP(-0.5*Table1334[[#This Row],[Call D1]]^2)/SQRT(2*PI())</f>
        <v>#DIV/0!</v>
      </c>
      <c r="AN790" t="e">
        <f ca="1">EXP(-0.5*Table1334[[#This Row],[Put D1]]^2)/SQRT(2*PI())</f>
        <v>#DIV/0!</v>
      </c>
      <c r="AO79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0">
        <f ca="1">((Table1334[[#This Row],[call vanna]]+Table1334[[#This Row],[put vanna]])*$A$4)</f>
        <v>0</v>
      </c>
      <c r="AR79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0" s="9" t="str" cm="1">
        <f t="array" ref="AT790">_xlfn.IFS(     $M$1="SPX","SPXW",     $M$1="RUT","RUTW",  $M$1="NDX","NDXP",   TRUE,$M$1 )</f>
        <v>SPXW</v>
      </c>
      <c r="AU790" s="2">
        <f t="shared" si="77"/>
        <v>6915</v>
      </c>
      <c r="AV790" t="str">
        <f t="shared" si="78"/>
        <v>000100</v>
      </c>
      <c r="AY79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0">
        <f>((Table1334[[#This Row],[High C]]+Table1334[[#This Row],[Low C]])/2)*Table1334[[#This Row],[gammac]]*Table1334[[#This Row],[Volume]]</f>
        <v>0</v>
      </c>
      <c r="BD790">
        <f>((Table1334[[#This Row],[High P]]+Table1334[[#This Row],[Low P]])/2)*Table1334[[#This Row],[gammap]]*Table1334[[#This Row],[Volume9]]*-1</f>
        <v>0</v>
      </c>
      <c r="BE790">
        <f>(Table1334[[#This Row],[SgammaC]]+Table1334[[#This Row],[SgammaP]])*$A$4*-100</f>
        <v>0</v>
      </c>
      <c r="BF790">
        <f>Table1334[[#This Row],[DEXc]]+Table1334[[#This Row],[DEXp]]</f>
        <v>0</v>
      </c>
      <c r="BG790">
        <f>IFERROR(Table1334[[#This Row],[DeltaC]]*Table1334[[#This Row],[Open.Int]]*$A$4,0)</f>
        <v>0</v>
      </c>
      <c r="BH790">
        <f>IFERROR(Table1334[[#This Row],[DeltaP]]*Table1334[[#This Row],[Open.Int8]]*$A$4,0)</f>
        <v>0</v>
      </c>
      <c r="BI79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0">
        <f ca="1">Table1334[[#This Row],[charmc]]+Table1334[[#This Row],[charmp]]</f>
        <v>0</v>
      </c>
      <c r="BL79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0" s="78">
        <f ca="1">Table1334[[#This Row],[call helper]]+Table1334[[#This Row],[put helper]]</f>
        <v>0</v>
      </c>
      <c r="BP790" t="str">
        <f>RTD("tos.rtd", , "STRIKE", "."&amp;Table1334[[#This Row],[Ticker]]&amp;Table1334[[#This Row],[Expiry]]&amp;""&amp;"C"&amp;Table1334[[#This Row],[Spot]]+Table1334[[#This Row],[step]])</f>
        <v>N/A</v>
      </c>
    </row>
    <row r="791" spans="1:68" x14ac:dyDescent="0.25">
      <c r="A791" s="14">
        <f t="shared" ca="1" si="74"/>
        <v>-126.14810350076104</v>
      </c>
      <c r="C791" s="17"/>
      <c r="D791" t="str">
        <f>RTD("tos.rtd", , "OPEN_INT", "."&amp;Table1334[[#This Row],[Ticker]]&amp;Table1334[[#This Row],[Expiry]]&amp;""&amp;"C"&amp;Table1334[[#This Row],[Spot]]+Table1334[[#This Row],[step]])</f>
        <v>N/A</v>
      </c>
      <c r="E79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1" t="b">
        <f>IF(     ISNUMBER(Table1334[[#This Row],[Strike]]),RTD("tos.rtd", , "DELTA", "."&amp;Table1334[[#This Row],[Ticker]]&amp;Table1334[[#This Row],[Expiry]]&amp;""&amp;"C"&amp;Table1334[[#This Row],[Strike]]))</f>
        <v>0</v>
      </c>
      <c r="H791" s="17" cm="1">
        <f t="array" aca="1" ref="H791" ca="1">IndividualLegIVCore($A$4, Table1334[[#This Row],[Strike]], 0.0411, Table1334[[#This Row],[T]], ((Table1334[[#This Row],[BIDC]]+Table1334[[#This Row],[ASKC]])/2), TRUE)</f>
        <v>0.01</v>
      </c>
      <c r="I791" t="b">
        <f>IF(     ISNUMBER(Table1334[[#This Row],[Strike]]),RTD("tos.rtd", , "BID", "."&amp;Table1334[[#This Row],[Ticker]]&amp;Table1334[[#This Row],[Expiry]]&amp;""&amp;"C"&amp;Table1334[[#This Row],[Strike]]))</f>
        <v>0</v>
      </c>
      <c r="J791" t="b">
        <f>IF(     ISNUMBER(Table1334[[#This Row],[Strike]]),RTD("tos.rtd", , "ASK", "."&amp;Table1334[[#This Row],[Ticker]]&amp;Table1334[[#This Row],[Expiry]]&amp;""&amp;"C"&amp;Table1334[[#This Row],[Strike]]))</f>
        <v>0</v>
      </c>
      <c r="K791" s="17"/>
      <c r="M791" s="1">
        <f t="shared" si="75"/>
        <v>0</v>
      </c>
      <c r="N791" t="b">
        <f t="shared" si="76"/>
        <v>0</v>
      </c>
      <c r="P791" s="17" cm="1">
        <f t="array" aca="1" ref="P791" ca="1">IndividualLegIVCore($A$4, Table1334[[#This Row],[Strike]], 0.0411, Table1334[[#This Row],[T]], ((Table1334[[#This Row],[BIDP]]+Table1334[[#This Row],[ASKP]])/2), FALSE)</f>
        <v>0.01</v>
      </c>
      <c r="Q791" t="b">
        <f>IF(     ISNUMBER(Table1334[[#This Row],[Strike]]),RTD("tos.rtd", , "BID", "."&amp;Table1334[[#This Row],[Ticker]]&amp;Table1334[[#This Row],[Expiry]]&amp;""&amp;"P"&amp;Table1334[[#This Row],[Strike]]))</f>
        <v>0</v>
      </c>
      <c r="R791" t="b">
        <f>IF(     ISNUMBER(Table1334[[#This Row],[Strike]]),RTD("tos.rtd", , "ASK", "."&amp;Table1334[[#This Row],[Ticker]]&amp;Table1334[[#This Row],[Expiry]]&amp;""&amp;"P"&amp;Table1334[[#This Row],[Strike]]))</f>
        <v>0</v>
      </c>
      <c r="S791" s="17"/>
      <c r="T791" t="b">
        <f>IF(     ISNUMBER(Table1334[[#This Row],[Strike]]),RTD("tos.rtd", , "OPEN_INT", "."&amp;Table1334[[#This Row],[Ticker]]&amp;Table1334[[#This Row],[Expiry]]&amp;""&amp;"P"&amp;Table1334[[#This Row],[Strike]]))</f>
        <v>0</v>
      </c>
      <c r="U79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1" t="b">
        <f>IF(     ISNUMBER(Table1334[[#This Row],[Strike]]),RTD("tos.rtd", , "DELTA", "."&amp;Table1334[[#This Row],[Ticker]]&amp;Table1334[[#This Row],[Expiry]]&amp;""&amp;"P"&amp;Table1334[[#This Row],[Strike]]))</f>
        <v>0</v>
      </c>
      <c r="Y791" s="19">
        <f>36* IF($M$1="NDX", 10, IF(OR($M$1="SPX", $M$1="RUT"), 2, 1))</f>
        <v>72</v>
      </c>
      <c r="Z791">
        <f ca="1">IFERROR(Table1334[[#This Row],[call gamma]]*(Table1334[[#This Row],[Open.Int]])*$A$4^2,0)</f>
        <v>0</v>
      </c>
      <c r="AA791">
        <f ca="1">IFERROR(((Table1334[[#This Row],[Open.Int8]])*Table1334[[#This Row],[Put gamma]])*-1*$A$4^2,0)</f>
        <v>0</v>
      </c>
      <c r="AB791">
        <f ca="1">(Table1334[[#This Row],[Call Gex]]+Table1334[[#This Row],[Put Gex]])</f>
        <v>0</v>
      </c>
      <c r="AC791">
        <f ca="1">Table1334[[#This Row],[put delta adj]]+Table1334[[#This Row],[call delta adj]]</f>
        <v>0</v>
      </c>
      <c r="AD791">
        <f ca="1">Table1334[[#This Row],[Put Gex]]*Table1334[[#This Row],[DeltaP]]*-1</f>
        <v>0</v>
      </c>
      <c r="AE791">
        <f ca="1">Table1334[[#This Row],[Call Gex]]*Table1334[[#This Row],[DeltaC]]</f>
        <v>0</v>
      </c>
      <c r="AF791">
        <f>IF(Table1334[[#This Row],[DeltaC]]-ABS(Table1334[[#This Row],[DeltaP]])="0","0.01",Table1334[[#This Row],[DeltaC]]-ABS(Table1334[[#This Row],[DeltaP]]))</f>
        <v>0</v>
      </c>
      <c r="AG79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1" t="e">
        <f ca="1">(EXP(-(AG791^2)/2)/SQRT(2*PI())*EXP(0*SQRT(Table1334[[#This Row],[T]]))/$A$4*18%*SQRT(SQRT(Table1334[[#This Row],[T]])))</f>
        <v>#DIV/0!</v>
      </c>
      <c r="AJ791" t="e">
        <f ca="1">(EXP(-(AH791^2)/2)/SQRT(2*PI())*EXP(0*SQRT(Table1334[[#This Row],[T]]))/$A$4*18%*SQRT(SQRT(Table1334[[#This Row],[T]])))</f>
        <v>#DIV/0!</v>
      </c>
      <c r="AK791" t="e">
        <f ca="1">Table1334[[#This Row],[Call D1]]-Table1334[[#This Row],[IV Calc C]]*SQRT(Table1334[[#This Row],[T]])</f>
        <v>#DIV/0!</v>
      </c>
      <c r="AL791" t="e">
        <f ca="1">Table1334[[#This Row],[Put D1]]-Table1334[[#This Row],[IV Calc P]]*SQRT(Table1334[[#This Row],[T]])</f>
        <v>#DIV/0!</v>
      </c>
      <c r="AM791" t="e">
        <f ca="1">EXP(-0.5*Table1334[[#This Row],[Call D1]]^2)/SQRT(2*PI())</f>
        <v>#DIV/0!</v>
      </c>
      <c r="AN791" t="e">
        <f ca="1">EXP(-0.5*Table1334[[#This Row],[Put D1]]^2)/SQRT(2*PI())</f>
        <v>#DIV/0!</v>
      </c>
      <c r="AO79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1">
        <f ca="1">((Table1334[[#This Row],[call vanna]]+Table1334[[#This Row],[put vanna]])*$A$4)</f>
        <v>0</v>
      </c>
      <c r="AR79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1" s="9" t="str" cm="1">
        <f t="array" ref="AT791">_xlfn.IFS(     $M$1="SPX","SPXW",     $M$1="RUT","RUTW",  $M$1="NDX","NDXP",   TRUE,$M$1 )</f>
        <v>SPXW</v>
      </c>
      <c r="AU791" s="2">
        <f t="shared" si="77"/>
        <v>6915</v>
      </c>
      <c r="AV791" t="str">
        <f t="shared" si="78"/>
        <v>000100</v>
      </c>
      <c r="AY79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1">
        <f>((Table1334[[#This Row],[High C]]+Table1334[[#This Row],[Low C]])/2)*Table1334[[#This Row],[gammac]]*Table1334[[#This Row],[Volume]]</f>
        <v>0</v>
      </c>
      <c r="BD791">
        <f>((Table1334[[#This Row],[High P]]+Table1334[[#This Row],[Low P]])/2)*Table1334[[#This Row],[gammap]]*Table1334[[#This Row],[Volume9]]*-1</f>
        <v>0</v>
      </c>
      <c r="BE791">
        <f>(Table1334[[#This Row],[SgammaC]]+Table1334[[#This Row],[SgammaP]])*$A$4*-100</f>
        <v>0</v>
      </c>
      <c r="BF791">
        <f>Table1334[[#This Row],[DEXc]]+Table1334[[#This Row],[DEXp]]</f>
        <v>0</v>
      </c>
      <c r="BG791">
        <f>IFERROR(Table1334[[#This Row],[DeltaC]]*Table1334[[#This Row],[Open.Int]]*$A$4,0)</f>
        <v>0</v>
      </c>
      <c r="BH791">
        <f>IFERROR(Table1334[[#This Row],[DeltaP]]*Table1334[[#This Row],[Open.Int8]]*$A$4,0)</f>
        <v>0</v>
      </c>
      <c r="BI79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1">
        <f ca="1">Table1334[[#This Row],[charmc]]+Table1334[[#This Row],[charmp]]</f>
        <v>0</v>
      </c>
      <c r="BL79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1" s="78">
        <f ca="1">Table1334[[#This Row],[call helper]]+Table1334[[#This Row],[put helper]]</f>
        <v>0</v>
      </c>
      <c r="BP791" t="str">
        <f>RTD("tos.rtd", , "STRIKE", "."&amp;Table1334[[#This Row],[Ticker]]&amp;Table1334[[#This Row],[Expiry]]&amp;""&amp;"C"&amp;Table1334[[#This Row],[Spot]]+Table1334[[#This Row],[step]])</f>
        <v>N/A</v>
      </c>
    </row>
    <row r="792" spans="1:68" x14ac:dyDescent="0.25">
      <c r="A792" s="14">
        <f t="shared" ca="1" si="74"/>
        <v>-126.14810350076104</v>
      </c>
      <c r="C792" s="17"/>
      <c r="D792" t="str">
        <f>RTD("tos.rtd", , "OPEN_INT", "."&amp;Table1334[[#This Row],[Ticker]]&amp;Table1334[[#This Row],[Expiry]]&amp;""&amp;"C"&amp;Table1334[[#This Row],[Spot]]+Table1334[[#This Row],[step]])</f>
        <v>N/A</v>
      </c>
      <c r="E79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2" t="b">
        <f>IF(     ISNUMBER(Table1334[[#This Row],[Strike]]),RTD("tos.rtd", , "DELTA", "."&amp;Table1334[[#This Row],[Ticker]]&amp;Table1334[[#This Row],[Expiry]]&amp;""&amp;"C"&amp;Table1334[[#This Row],[Strike]]))</f>
        <v>0</v>
      </c>
      <c r="H792" s="17" cm="1">
        <f t="array" aca="1" ref="H792" ca="1">IndividualLegIVCore($A$4, Table1334[[#This Row],[Strike]], 0.0411, Table1334[[#This Row],[T]], ((Table1334[[#This Row],[BIDC]]+Table1334[[#This Row],[ASKC]])/2), TRUE)</f>
        <v>0.01</v>
      </c>
      <c r="I792" t="b">
        <f>IF(     ISNUMBER(Table1334[[#This Row],[Strike]]),RTD("tos.rtd", , "BID", "."&amp;Table1334[[#This Row],[Ticker]]&amp;Table1334[[#This Row],[Expiry]]&amp;""&amp;"C"&amp;Table1334[[#This Row],[Strike]]))</f>
        <v>0</v>
      </c>
      <c r="J792" t="b">
        <f>IF(     ISNUMBER(Table1334[[#This Row],[Strike]]),RTD("tos.rtd", , "ASK", "."&amp;Table1334[[#This Row],[Ticker]]&amp;Table1334[[#This Row],[Expiry]]&amp;""&amp;"C"&amp;Table1334[[#This Row],[Strike]]))</f>
        <v>0</v>
      </c>
      <c r="K792" s="17"/>
      <c r="M792" s="1">
        <f t="shared" si="75"/>
        <v>0</v>
      </c>
      <c r="N792" t="b">
        <f t="shared" si="76"/>
        <v>0</v>
      </c>
      <c r="P792" s="17" cm="1">
        <f t="array" aca="1" ref="P792" ca="1">IndividualLegIVCore($A$4, Table1334[[#This Row],[Strike]], 0.0411, Table1334[[#This Row],[T]], ((Table1334[[#This Row],[BIDP]]+Table1334[[#This Row],[ASKP]])/2), FALSE)</f>
        <v>0.01</v>
      </c>
      <c r="Q792" t="b">
        <f>IF(     ISNUMBER(Table1334[[#This Row],[Strike]]),RTD("tos.rtd", , "BID", "."&amp;Table1334[[#This Row],[Ticker]]&amp;Table1334[[#This Row],[Expiry]]&amp;""&amp;"P"&amp;Table1334[[#This Row],[Strike]]))</f>
        <v>0</v>
      </c>
      <c r="R792" t="b">
        <f>IF(     ISNUMBER(Table1334[[#This Row],[Strike]]),RTD("tos.rtd", , "ASK", "."&amp;Table1334[[#This Row],[Ticker]]&amp;Table1334[[#This Row],[Expiry]]&amp;""&amp;"P"&amp;Table1334[[#This Row],[Strike]]))</f>
        <v>0</v>
      </c>
      <c r="S792" s="17"/>
      <c r="T792" t="b">
        <f>IF(     ISNUMBER(Table1334[[#This Row],[Strike]]),RTD("tos.rtd", , "OPEN_INT", "."&amp;Table1334[[#This Row],[Ticker]]&amp;Table1334[[#This Row],[Expiry]]&amp;""&amp;"P"&amp;Table1334[[#This Row],[Strike]]))</f>
        <v>0</v>
      </c>
      <c r="U79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2" t="b">
        <f>IF(     ISNUMBER(Table1334[[#This Row],[Strike]]),RTD("tos.rtd", , "DELTA", "."&amp;Table1334[[#This Row],[Ticker]]&amp;Table1334[[#This Row],[Expiry]]&amp;""&amp;"P"&amp;Table1334[[#This Row],[Strike]]))</f>
        <v>0</v>
      </c>
      <c r="Y792" s="19">
        <f>36.5* IF($M$1="NDX", 10, IF(OR($M$1="SPX", $M$1="RUT"), 2, 1))</f>
        <v>73</v>
      </c>
      <c r="Z792">
        <f ca="1">IFERROR(Table1334[[#This Row],[call gamma]]*(Table1334[[#This Row],[Open.Int]])*$A$4^2,0)</f>
        <v>0</v>
      </c>
      <c r="AA792">
        <f ca="1">IFERROR(((Table1334[[#This Row],[Open.Int8]])*Table1334[[#This Row],[Put gamma]])*-1*$A$4^2,0)</f>
        <v>0</v>
      </c>
      <c r="AB792">
        <f ca="1">(Table1334[[#This Row],[Call Gex]]+Table1334[[#This Row],[Put Gex]])</f>
        <v>0</v>
      </c>
      <c r="AC792">
        <f ca="1">Table1334[[#This Row],[put delta adj]]+Table1334[[#This Row],[call delta adj]]</f>
        <v>0</v>
      </c>
      <c r="AD792">
        <f ca="1">Table1334[[#This Row],[Put Gex]]*Table1334[[#This Row],[DeltaP]]*-1</f>
        <v>0</v>
      </c>
      <c r="AE792">
        <f ca="1">Table1334[[#This Row],[Call Gex]]*Table1334[[#This Row],[DeltaC]]</f>
        <v>0</v>
      </c>
      <c r="AF792">
        <f>IF(Table1334[[#This Row],[DeltaC]]-ABS(Table1334[[#This Row],[DeltaP]])="0","0.01",Table1334[[#This Row],[DeltaC]]-ABS(Table1334[[#This Row],[DeltaP]]))</f>
        <v>0</v>
      </c>
      <c r="AG79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2" t="e">
        <f ca="1">(EXP(-(AG792^2)/2)/SQRT(2*PI())*EXP(0*SQRT(Table1334[[#This Row],[T]]))/$A$4*18%*SQRT(SQRT(Table1334[[#This Row],[T]])))</f>
        <v>#DIV/0!</v>
      </c>
      <c r="AJ792" t="e">
        <f ca="1">(EXP(-(AH792^2)/2)/SQRT(2*PI())*EXP(0*SQRT(Table1334[[#This Row],[T]]))/$A$4*18%*SQRT(SQRT(Table1334[[#This Row],[T]])))</f>
        <v>#DIV/0!</v>
      </c>
      <c r="AK792" t="e">
        <f ca="1">Table1334[[#This Row],[Call D1]]-Table1334[[#This Row],[IV Calc C]]*SQRT(Table1334[[#This Row],[T]])</f>
        <v>#DIV/0!</v>
      </c>
      <c r="AL792" t="e">
        <f ca="1">Table1334[[#This Row],[Put D1]]-Table1334[[#This Row],[IV Calc P]]*SQRT(Table1334[[#This Row],[T]])</f>
        <v>#DIV/0!</v>
      </c>
      <c r="AM792" t="e">
        <f ca="1">EXP(-0.5*Table1334[[#This Row],[Call D1]]^2)/SQRT(2*PI())</f>
        <v>#DIV/0!</v>
      </c>
      <c r="AN792" t="e">
        <f ca="1">EXP(-0.5*Table1334[[#This Row],[Put D1]]^2)/SQRT(2*PI())</f>
        <v>#DIV/0!</v>
      </c>
      <c r="AO79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2">
        <f ca="1">((Table1334[[#This Row],[call vanna]]+Table1334[[#This Row],[put vanna]])*$A$4)</f>
        <v>0</v>
      </c>
      <c r="AR79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2" s="9" t="str" cm="1">
        <f t="array" ref="AT792">_xlfn.IFS(     $M$1="SPX","SPXW",     $M$1="RUT","RUTW",  $M$1="NDX","NDXP",   TRUE,$M$1 )</f>
        <v>SPXW</v>
      </c>
      <c r="AU792" s="2">
        <f t="shared" si="77"/>
        <v>6915</v>
      </c>
      <c r="AV792" t="str">
        <f t="shared" si="78"/>
        <v>000100</v>
      </c>
      <c r="AY79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2">
        <f>((Table1334[[#This Row],[High C]]+Table1334[[#This Row],[Low C]])/2)*Table1334[[#This Row],[gammac]]*Table1334[[#This Row],[Volume]]</f>
        <v>0</v>
      </c>
      <c r="BD792">
        <f>((Table1334[[#This Row],[High P]]+Table1334[[#This Row],[Low P]])/2)*Table1334[[#This Row],[gammap]]*Table1334[[#This Row],[Volume9]]*-1</f>
        <v>0</v>
      </c>
      <c r="BE792">
        <f>(Table1334[[#This Row],[SgammaC]]+Table1334[[#This Row],[SgammaP]])*$A$4*-100</f>
        <v>0</v>
      </c>
      <c r="BF792">
        <f>Table1334[[#This Row],[DEXc]]+Table1334[[#This Row],[DEXp]]</f>
        <v>0</v>
      </c>
      <c r="BG792">
        <f>IFERROR(Table1334[[#This Row],[DeltaC]]*Table1334[[#This Row],[Open.Int]]*$A$4,0)</f>
        <v>0</v>
      </c>
      <c r="BH792">
        <f>IFERROR(Table1334[[#This Row],[DeltaP]]*Table1334[[#This Row],[Open.Int8]]*$A$4,0)</f>
        <v>0</v>
      </c>
      <c r="BI79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2">
        <f ca="1">Table1334[[#This Row],[charmc]]+Table1334[[#This Row],[charmp]]</f>
        <v>0</v>
      </c>
      <c r="BL79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2" s="78">
        <f ca="1">Table1334[[#This Row],[call helper]]+Table1334[[#This Row],[put helper]]</f>
        <v>0</v>
      </c>
      <c r="BP792" t="str">
        <f>RTD("tos.rtd", , "STRIKE", "."&amp;Table1334[[#This Row],[Ticker]]&amp;Table1334[[#This Row],[Expiry]]&amp;""&amp;"C"&amp;Table1334[[#This Row],[Spot]]+Table1334[[#This Row],[step]])</f>
        <v>N/A</v>
      </c>
    </row>
    <row r="793" spans="1:68" x14ac:dyDescent="0.25">
      <c r="A793" s="14">
        <f t="shared" ca="1" si="74"/>
        <v>-126.14810350076104</v>
      </c>
      <c r="C793" s="17"/>
      <c r="D793" t="str">
        <f>RTD("tos.rtd", , "OPEN_INT", "."&amp;Table1334[[#This Row],[Ticker]]&amp;Table1334[[#This Row],[Expiry]]&amp;""&amp;"C"&amp;Table1334[[#This Row],[Spot]]+Table1334[[#This Row],[step]])</f>
        <v>N/A</v>
      </c>
      <c r="E79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3" t="b">
        <f>IF(     ISNUMBER(Table1334[[#This Row],[Strike]]),RTD("tos.rtd", , "DELTA", "."&amp;Table1334[[#This Row],[Ticker]]&amp;Table1334[[#This Row],[Expiry]]&amp;""&amp;"C"&amp;Table1334[[#This Row],[Strike]]))</f>
        <v>0</v>
      </c>
      <c r="H793" s="17" cm="1">
        <f t="array" aca="1" ref="H793" ca="1">IndividualLegIVCore($A$4, Table1334[[#This Row],[Strike]], 0.0411, Table1334[[#This Row],[T]], ((Table1334[[#This Row],[BIDC]]+Table1334[[#This Row],[ASKC]])/2), TRUE)</f>
        <v>0.01</v>
      </c>
      <c r="I793" t="b">
        <f>IF(     ISNUMBER(Table1334[[#This Row],[Strike]]),RTD("tos.rtd", , "BID", "."&amp;Table1334[[#This Row],[Ticker]]&amp;Table1334[[#This Row],[Expiry]]&amp;""&amp;"C"&amp;Table1334[[#This Row],[Strike]]))</f>
        <v>0</v>
      </c>
      <c r="J793" t="b">
        <f>IF(     ISNUMBER(Table1334[[#This Row],[Strike]]),RTD("tos.rtd", , "ASK", "."&amp;Table1334[[#This Row],[Ticker]]&amp;Table1334[[#This Row],[Expiry]]&amp;""&amp;"C"&amp;Table1334[[#This Row],[Strike]]))</f>
        <v>0</v>
      </c>
      <c r="K793" s="17"/>
      <c r="M793" s="1">
        <f t="shared" si="75"/>
        <v>0</v>
      </c>
      <c r="N793" t="b">
        <f t="shared" si="76"/>
        <v>0</v>
      </c>
      <c r="P793" s="17" cm="1">
        <f t="array" aca="1" ref="P793" ca="1">IndividualLegIVCore($A$4, Table1334[[#This Row],[Strike]], 0.0411, Table1334[[#This Row],[T]], ((Table1334[[#This Row],[BIDP]]+Table1334[[#This Row],[ASKP]])/2), FALSE)</f>
        <v>0.01</v>
      </c>
      <c r="Q793" t="b">
        <f>IF(     ISNUMBER(Table1334[[#This Row],[Strike]]),RTD("tos.rtd", , "BID", "."&amp;Table1334[[#This Row],[Ticker]]&amp;Table1334[[#This Row],[Expiry]]&amp;""&amp;"P"&amp;Table1334[[#This Row],[Strike]]))</f>
        <v>0</v>
      </c>
      <c r="R793" t="b">
        <f>IF(     ISNUMBER(Table1334[[#This Row],[Strike]]),RTD("tos.rtd", , "ASK", "."&amp;Table1334[[#This Row],[Ticker]]&amp;Table1334[[#This Row],[Expiry]]&amp;""&amp;"P"&amp;Table1334[[#This Row],[Strike]]))</f>
        <v>0</v>
      </c>
      <c r="S793" s="17"/>
      <c r="T793" t="b">
        <f>IF(     ISNUMBER(Table1334[[#This Row],[Strike]]),RTD("tos.rtd", , "OPEN_INT", "."&amp;Table1334[[#This Row],[Ticker]]&amp;Table1334[[#This Row],[Expiry]]&amp;""&amp;"P"&amp;Table1334[[#This Row],[Strike]]))</f>
        <v>0</v>
      </c>
      <c r="U79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3" t="b">
        <f>IF(     ISNUMBER(Table1334[[#This Row],[Strike]]),RTD("tos.rtd", , "DELTA", "."&amp;Table1334[[#This Row],[Ticker]]&amp;Table1334[[#This Row],[Expiry]]&amp;""&amp;"P"&amp;Table1334[[#This Row],[Strike]]))</f>
        <v>0</v>
      </c>
      <c r="Y793" s="19">
        <f>37* IF($M$1="NDX", 10, IF(OR($M$1="SPX", $M$1="RUT"), 2, 1))</f>
        <v>74</v>
      </c>
      <c r="Z793">
        <f ca="1">IFERROR(Table1334[[#This Row],[call gamma]]*(Table1334[[#This Row],[Open.Int]])*$A$4^2,0)</f>
        <v>0</v>
      </c>
      <c r="AA793">
        <f ca="1">IFERROR(((Table1334[[#This Row],[Open.Int8]])*Table1334[[#This Row],[Put gamma]])*-1*$A$4^2,0)</f>
        <v>0</v>
      </c>
      <c r="AB793">
        <f ca="1">(Table1334[[#This Row],[Call Gex]]+Table1334[[#This Row],[Put Gex]])</f>
        <v>0</v>
      </c>
      <c r="AC793">
        <f ca="1">Table1334[[#This Row],[put delta adj]]+Table1334[[#This Row],[call delta adj]]</f>
        <v>0</v>
      </c>
      <c r="AD793">
        <f ca="1">Table1334[[#This Row],[Put Gex]]*Table1334[[#This Row],[DeltaP]]*-1</f>
        <v>0</v>
      </c>
      <c r="AE793">
        <f ca="1">Table1334[[#This Row],[Call Gex]]*Table1334[[#This Row],[DeltaC]]</f>
        <v>0</v>
      </c>
      <c r="AF793">
        <f>IF(Table1334[[#This Row],[DeltaC]]-ABS(Table1334[[#This Row],[DeltaP]])="0","0.01",Table1334[[#This Row],[DeltaC]]-ABS(Table1334[[#This Row],[DeltaP]]))</f>
        <v>0</v>
      </c>
      <c r="AG79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3" t="e">
        <f ca="1">(EXP(-(AG793^2)/2)/SQRT(2*PI())*EXP(0*SQRT(Table1334[[#This Row],[T]]))/$A$4*18%*SQRT(SQRT(Table1334[[#This Row],[T]])))</f>
        <v>#DIV/0!</v>
      </c>
      <c r="AJ793" t="e">
        <f ca="1">(EXP(-(AH793^2)/2)/SQRT(2*PI())*EXP(0*SQRT(Table1334[[#This Row],[T]]))/$A$4*18%*SQRT(SQRT(Table1334[[#This Row],[T]])))</f>
        <v>#DIV/0!</v>
      </c>
      <c r="AK793" t="e">
        <f ca="1">Table1334[[#This Row],[Call D1]]-Table1334[[#This Row],[IV Calc C]]*SQRT(Table1334[[#This Row],[T]])</f>
        <v>#DIV/0!</v>
      </c>
      <c r="AL793" t="e">
        <f ca="1">Table1334[[#This Row],[Put D1]]-Table1334[[#This Row],[IV Calc P]]*SQRT(Table1334[[#This Row],[T]])</f>
        <v>#DIV/0!</v>
      </c>
      <c r="AM793" t="e">
        <f ca="1">EXP(-0.5*Table1334[[#This Row],[Call D1]]^2)/SQRT(2*PI())</f>
        <v>#DIV/0!</v>
      </c>
      <c r="AN793" t="e">
        <f ca="1">EXP(-0.5*Table1334[[#This Row],[Put D1]]^2)/SQRT(2*PI())</f>
        <v>#DIV/0!</v>
      </c>
      <c r="AO79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3">
        <f ca="1">((Table1334[[#This Row],[call vanna]]+Table1334[[#This Row],[put vanna]])*$A$4)</f>
        <v>0</v>
      </c>
      <c r="AR79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3" s="9" t="str" cm="1">
        <f t="array" ref="AT793">_xlfn.IFS(     $M$1="SPX","SPXW",     $M$1="RUT","RUTW",  $M$1="NDX","NDXP",   TRUE,$M$1 )</f>
        <v>SPXW</v>
      </c>
      <c r="AU793" s="2">
        <f t="shared" si="77"/>
        <v>6915</v>
      </c>
      <c r="AV793" t="str">
        <f t="shared" si="78"/>
        <v>000100</v>
      </c>
      <c r="AY79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3">
        <f>((Table1334[[#This Row],[High C]]+Table1334[[#This Row],[Low C]])/2)*Table1334[[#This Row],[gammac]]*Table1334[[#This Row],[Volume]]</f>
        <v>0</v>
      </c>
      <c r="BD793">
        <f>((Table1334[[#This Row],[High P]]+Table1334[[#This Row],[Low P]])/2)*Table1334[[#This Row],[gammap]]*Table1334[[#This Row],[Volume9]]*-1</f>
        <v>0</v>
      </c>
      <c r="BE793">
        <f>(Table1334[[#This Row],[SgammaC]]+Table1334[[#This Row],[SgammaP]])*$A$4*-100</f>
        <v>0</v>
      </c>
      <c r="BF793">
        <f>Table1334[[#This Row],[DEXc]]+Table1334[[#This Row],[DEXp]]</f>
        <v>0</v>
      </c>
      <c r="BG793">
        <f>IFERROR(Table1334[[#This Row],[DeltaC]]*Table1334[[#This Row],[Open.Int]]*$A$4,0)</f>
        <v>0</v>
      </c>
      <c r="BH793">
        <f>IFERROR(Table1334[[#This Row],[DeltaP]]*Table1334[[#This Row],[Open.Int8]]*$A$4,0)</f>
        <v>0</v>
      </c>
      <c r="BI79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3">
        <f ca="1">Table1334[[#This Row],[charmc]]+Table1334[[#This Row],[charmp]]</f>
        <v>0</v>
      </c>
      <c r="BL79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3" s="78">
        <f ca="1">Table1334[[#This Row],[call helper]]+Table1334[[#This Row],[put helper]]</f>
        <v>0</v>
      </c>
      <c r="BP793" t="str">
        <f>RTD("tos.rtd", , "STRIKE", "."&amp;Table1334[[#This Row],[Ticker]]&amp;Table1334[[#This Row],[Expiry]]&amp;""&amp;"C"&amp;Table1334[[#This Row],[Spot]]+Table1334[[#This Row],[step]])</f>
        <v>N/A</v>
      </c>
    </row>
    <row r="794" spans="1:68" x14ac:dyDescent="0.25">
      <c r="A794" s="14">
        <f t="shared" ca="1" si="74"/>
        <v>-126.14810350076104</v>
      </c>
      <c r="C794" s="17"/>
      <c r="D794" t="str">
        <f>RTD("tos.rtd", , "OPEN_INT", "."&amp;Table1334[[#This Row],[Ticker]]&amp;Table1334[[#This Row],[Expiry]]&amp;""&amp;"C"&amp;Table1334[[#This Row],[Spot]]+Table1334[[#This Row],[step]])</f>
        <v>N/A</v>
      </c>
      <c r="E79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4" t="b">
        <f>IF(     ISNUMBER(Table1334[[#This Row],[Strike]]),RTD("tos.rtd", , "DELTA", "."&amp;Table1334[[#This Row],[Ticker]]&amp;Table1334[[#This Row],[Expiry]]&amp;""&amp;"C"&amp;Table1334[[#This Row],[Strike]]))</f>
        <v>0</v>
      </c>
      <c r="H794" s="17" cm="1">
        <f t="array" aca="1" ref="H794" ca="1">IndividualLegIVCore($A$4, Table1334[[#This Row],[Strike]], 0.0411, Table1334[[#This Row],[T]], ((Table1334[[#This Row],[BIDC]]+Table1334[[#This Row],[ASKC]])/2), TRUE)</f>
        <v>0.01</v>
      </c>
      <c r="I794" t="b">
        <f>IF(     ISNUMBER(Table1334[[#This Row],[Strike]]),RTD("tos.rtd", , "BID", "."&amp;Table1334[[#This Row],[Ticker]]&amp;Table1334[[#This Row],[Expiry]]&amp;""&amp;"C"&amp;Table1334[[#This Row],[Strike]]))</f>
        <v>0</v>
      </c>
      <c r="J794" t="b">
        <f>IF(     ISNUMBER(Table1334[[#This Row],[Strike]]),RTD("tos.rtd", , "ASK", "."&amp;Table1334[[#This Row],[Ticker]]&amp;Table1334[[#This Row],[Expiry]]&amp;""&amp;"C"&amp;Table1334[[#This Row],[Strike]]))</f>
        <v>0</v>
      </c>
      <c r="K794" s="17"/>
      <c r="M794" s="1">
        <f t="shared" si="75"/>
        <v>0</v>
      </c>
      <c r="N794" t="b">
        <f t="shared" si="76"/>
        <v>0</v>
      </c>
      <c r="P794" s="17" cm="1">
        <f t="array" aca="1" ref="P794" ca="1">IndividualLegIVCore($A$4, Table1334[[#This Row],[Strike]], 0.0411, Table1334[[#This Row],[T]], ((Table1334[[#This Row],[BIDP]]+Table1334[[#This Row],[ASKP]])/2), FALSE)</f>
        <v>0.01</v>
      </c>
      <c r="Q794" t="b">
        <f>IF(     ISNUMBER(Table1334[[#This Row],[Strike]]),RTD("tos.rtd", , "BID", "."&amp;Table1334[[#This Row],[Ticker]]&amp;Table1334[[#This Row],[Expiry]]&amp;""&amp;"P"&amp;Table1334[[#This Row],[Strike]]))</f>
        <v>0</v>
      </c>
      <c r="R794" t="b">
        <f>IF(     ISNUMBER(Table1334[[#This Row],[Strike]]),RTD("tos.rtd", , "ASK", "."&amp;Table1334[[#This Row],[Ticker]]&amp;Table1334[[#This Row],[Expiry]]&amp;""&amp;"P"&amp;Table1334[[#This Row],[Strike]]))</f>
        <v>0</v>
      </c>
      <c r="S794" s="17"/>
      <c r="T794" t="b">
        <f>IF(     ISNUMBER(Table1334[[#This Row],[Strike]]),RTD("tos.rtd", , "OPEN_INT", "."&amp;Table1334[[#This Row],[Ticker]]&amp;Table1334[[#This Row],[Expiry]]&amp;""&amp;"P"&amp;Table1334[[#This Row],[Strike]]))</f>
        <v>0</v>
      </c>
      <c r="U79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4" t="b">
        <f>IF(     ISNUMBER(Table1334[[#This Row],[Strike]]),RTD("tos.rtd", , "DELTA", "."&amp;Table1334[[#This Row],[Ticker]]&amp;Table1334[[#This Row],[Expiry]]&amp;""&amp;"P"&amp;Table1334[[#This Row],[Strike]]))</f>
        <v>0</v>
      </c>
      <c r="Y794" s="19">
        <f>37.5* IF($M$1="NDX", 10, IF(OR($M$1="SPX", $M$1="RUT"), 2, 1))</f>
        <v>75</v>
      </c>
      <c r="Z794">
        <f ca="1">IFERROR(Table1334[[#This Row],[call gamma]]*(Table1334[[#This Row],[Open.Int]])*$A$4^2,0)</f>
        <v>0</v>
      </c>
      <c r="AA794">
        <f ca="1">IFERROR(((Table1334[[#This Row],[Open.Int8]])*Table1334[[#This Row],[Put gamma]])*-1*$A$4^2,0)</f>
        <v>0</v>
      </c>
      <c r="AB794">
        <f ca="1">(Table1334[[#This Row],[Call Gex]]+Table1334[[#This Row],[Put Gex]])</f>
        <v>0</v>
      </c>
      <c r="AC794">
        <f ca="1">Table1334[[#This Row],[put delta adj]]+Table1334[[#This Row],[call delta adj]]</f>
        <v>0</v>
      </c>
      <c r="AD794">
        <f ca="1">Table1334[[#This Row],[Put Gex]]*Table1334[[#This Row],[DeltaP]]*-1</f>
        <v>0</v>
      </c>
      <c r="AE794">
        <f ca="1">Table1334[[#This Row],[Call Gex]]*Table1334[[#This Row],[DeltaC]]</f>
        <v>0</v>
      </c>
      <c r="AF794">
        <f>IF(Table1334[[#This Row],[DeltaC]]-ABS(Table1334[[#This Row],[DeltaP]])="0","0.01",Table1334[[#This Row],[DeltaC]]-ABS(Table1334[[#This Row],[DeltaP]]))</f>
        <v>0</v>
      </c>
      <c r="AG79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4" t="e">
        <f ca="1">(EXP(-(AG794^2)/2)/SQRT(2*PI())*EXP(0*SQRT(Table1334[[#This Row],[T]]))/$A$4*18%*SQRT(SQRT(Table1334[[#This Row],[T]])))</f>
        <v>#DIV/0!</v>
      </c>
      <c r="AJ794" t="e">
        <f ca="1">(EXP(-(AH794^2)/2)/SQRT(2*PI())*EXP(0*SQRT(Table1334[[#This Row],[T]]))/$A$4*18%*SQRT(SQRT(Table1334[[#This Row],[T]])))</f>
        <v>#DIV/0!</v>
      </c>
      <c r="AK794" t="e">
        <f ca="1">Table1334[[#This Row],[Call D1]]-Table1334[[#This Row],[IV Calc C]]*SQRT(Table1334[[#This Row],[T]])</f>
        <v>#DIV/0!</v>
      </c>
      <c r="AL794" t="e">
        <f ca="1">Table1334[[#This Row],[Put D1]]-Table1334[[#This Row],[IV Calc P]]*SQRT(Table1334[[#This Row],[T]])</f>
        <v>#DIV/0!</v>
      </c>
      <c r="AM794" t="e">
        <f ca="1">EXP(-0.5*Table1334[[#This Row],[Call D1]]^2)/SQRT(2*PI())</f>
        <v>#DIV/0!</v>
      </c>
      <c r="AN794" t="e">
        <f ca="1">EXP(-0.5*Table1334[[#This Row],[Put D1]]^2)/SQRT(2*PI())</f>
        <v>#DIV/0!</v>
      </c>
      <c r="AO79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4">
        <f ca="1">((Table1334[[#This Row],[call vanna]]+Table1334[[#This Row],[put vanna]])*$A$4)</f>
        <v>0</v>
      </c>
      <c r="AR79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4" s="9" t="str" cm="1">
        <f t="array" ref="AT794">_xlfn.IFS(     $M$1="SPX","SPXW",     $M$1="RUT","RUTW",  $M$1="NDX","NDXP",   TRUE,$M$1 )</f>
        <v>SPXW</v>
      </c>
      <c r="AU794" s="2">
        <f t="shared" si="77"/>
        <v>6915</v>
      </c>
      <c r="AV794" t="str">
        <f t="shared" si="78"/>
        <v>000100</v>
      </c>
      <c r="AY79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4">
        <f>((Table1334[[#This Row],[High C]]+Table1334[[#This Row],[Low C]])/2)*Table1334[[#This Row],[gammac]]*Table1334[[#This Row],[Volume]]</f>
        <v>0</v>
      </c>
      <c r="BD794">
        <f>((Table1334[[#This Row],[High P]]+Table1334[[#This Row],[Low P]])/2)*Table1334[[#This Row],[gammap]]*Table1334[[#This Row],[Volume9]]*-1</f>
        <v>0</v>
      </c>
      <c r="BE794">
        <f>(Table1334[[#This Row],[SgammaC]]+Table1334[[#This Row],[SgammaP]])*$A$4*-100</f>
        <v>0</v>
      </c>
      <c r="BF794">
        <f>Table1334[[#This Row],[DEXc]]+Table1334[[#This Row],[DEXp]]</f>
        <v>0</v>
      </c>
      <c r="BG794">
        <f>IFERROR(Table1334[[#This Row],[DeltaC]]*Table1334[[#This Row],[Open.Int]]*$A$4,0)</f>
        <v>0</v>
      </c>
      <c r="BH794">
        <f>IFERROR(Table1334[[#This Row],[DeltaP]]*Table1334[[#This Row],[Open.Int8]]*$A$4,0)</f>
        <v>0</v>
      </c>
      <c r="BI79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4">
        <f ca="1">Table1334[[#This Row],[charmc]]+Table1334[[#This Row],[charmp]]</f>
        <v>0</v>
      </c>
      <c r="BL79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4" s="78">
        <f ca="1">Table1334[[#This Row],[call helper]]+Table1334[[#This Row],[put helper]]</f>
        <v>0</v>
      </c>
      <c r="BP794" t="str">
        <f>RTD("tos.rtd", , "STRIKE", "."&amp;Table1334[[#This Row],[Ticker]]&amp;Table1334[[#This Row],[Expiry]]&amp;""&amp;"C"&amp;Table1334[[#This Row],[Spot]]+Table1334[[#This Row],[step]])</f>
        <v>N/A</v>
      </c>
    </row>
    <row r="795" spans="1:68" x14ac:dyDescent="0.25">
      <c r="A795" s="14">
        <f t="shared" ca="1" si="74"/>
        <v>-126.14810350076104</v>
      </c>
      <c r="C795" s="17"/>
      <c r="D795" t="str">
        <f>RTD("tos.rtd", , "OPEN_INT", "."&amp;Table1334[[#This Row],[Ticker]]&amp;Table1334[[#This Row],[Expiry]]&amp;""&amp;"C"&amp;Table1334[[#This Row],[Spot]]+Table1334[[#This Row],[step]])</f>
        <v>N/A</v>
      </c>
      <c r="E79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5" t="b">
        <f>IF(     ISNUMBER(Table1334[[#This Row],[Strike]]),RTD("tos.rtd", , "DELTA", "."&amp;Table1334[[#This Row],[Ticker]]&amp;Table1334[[#This Row],[Expiry]]&amp;""&amp;"C"&amp;Table1334[[#This Row],[Strike]]))</f>
        <v>0</v>
      </c>
      <c r="H795" s="17" cm="1">
        <f t="array" aca="1" ref="H795" ca="1">IndividualLegIVCore($A$4, Table1334[[#This Row],[Strike]], 0.0411, Table1334[[#This Row],[T]], ((Table1334[[#This Row],[BIDC]]+Table1334[[#This Row],[ASKC]])/2), TRUE)</f>
        <v>0.01</v>
      </c>
      <c r="I795" t="b">
        <f>IF(     ISNUMBER(Table1334[[#This Row],[Strike]]),RTD("tos.rtd", , "BID", "."&amp;Table1334[[#This Row],[Ticker]]&amp;Table1334[[#This Row],[Expiry]]&amp;""&amp;"C"&amp;Table1334[[#This Row],[Strike]]))</f>
        <v>0</v>
      </c>
      <c r="J795" t="b">
        <f>IF(     ISNUMBER(Table1334[[#This Row],[Strike]]),RTD("tos.rtd", , "ASK", "."&amp;Table1334[[#This Row],[Ticker]]&amp;Table1334[[#This Row],[Expiry]]&amp;""&amp;"C"&amp;Table1334[[#This Row],[Strike]]))</f>
        <v>0</v>
      </c>
      <c r="K795" s="17"/>
      <c r="M795" s="1">
        <f t="shared" si="75"/>
        <v>0</v>
      </c>
      <c r="N795" t="b">
        <f t="shared" si="76"/>
        <v>0</v>
      </c>
      <c r="P795" s="17" cm="1">
        <f t="array" aca="1" ref="P795" ca="1">IndividualLegIVCore($A$4, Table1334[[#This Row],[Strike]], 0.0411, Table1334[[#This Row],[T]], ((Table1334[[#This Row],[BIDP]]+Table1334[[#This Row],[ASKP]])/2), FALSE)</f>
        <v>0.01</v>
      </c>
      <c r="Q795" t="b">
        <f>IF(     ISNUMBER(Table1334[[#This Row],[Strike]]),RTD("tos.rtd", , "BID", "."&amp;Table1334[[#This Row],[Ticker]]&amp;Table1334[[#This Row],[Expiry]]&amp;""&amp;"P"&amp;Table1334[[#This Row],[Strike]]))</f>
        <v>0</v>
      </c>
      <c r="R795" t="b">
        <f>IF(     ISNUMBER(Table1334[[#This Row],[Strike]]),RTD("tos.rtd", , "ASK", "."&amp;Table1334[[#This Row],[Ticker]]&amp;Table1334[[#This Row],[Expiry]]&amp;""&amp;"P"&amp;Table1334[[#This Row],[Strike]]))</f>
        <v>0</v>
      </c>
      <c r="S795" s="17"/>
      <c r="T795" t="b">
        <f>IF(     ISNUMBER(Table1334[[#This Row],[Strike]]),RTD("tos.rtd", , "OPEN_INT", "."&amp;Table1334[[#This Row],[Ticker]]&amp;Table1334[[#This Row],[Expiry]]&amp;""&amp;"P"&amp;Table1334[[#This Row],[Strike]]))</f>
        <v>0</v>
      </c>
      <c r="U79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5" t="b">
        <f>IF(     ISNUMBER(Table1334[[#This Row],[Strike]]),RTD("tos.rtd", , "DELTA", "."&amp;Table1334[[#This Row],[Ticker]]&amp;Table1334[[#This Row],[Expiry]]&amp;""&amp;"P"&amp;Table1334[[#This Row],[Strike]]))</f>
        <v>0</v>
      </c>
      <c r="Y795" s="19">
        <f>38* IF($M$1="NDX", 10, IF(OR($M$1="SPX", $M$1="RUT"), 2, 1))</f>
        <v>76</v>
      </c>
      <c r="Z795">
        <f ca="1">IFERROR(Table1334[[#This Row],[call gamma]]*(Table1334[[#This Row],[Open.Int]])*$A$4^2,0)</f>
        <v>0</v>
      </c>
      <c r="AA795">
        <f ca="1">IFERROR(((Table1334[[#This Row],[Open.Int8]])*Table1334[[#This Row],[Put gamma]])*-1*$A$4^2,0)</f>
        <v>0</v>
      </c>
      <c r="AB795">
        <f ca="1">(Table1334[[#This Row],[Call Gex]]+Table1334[[#This Row],[Put Gex]])</f>
        <v>0</v>
      </c>
      <c r="AC795">
        <f ca="1">Table1334[[#This Row],[put delta adj]]+Table1334[[#This Row],[call delta adj]]</f>
        <v>0</v>
      </c>
      <c r="AD795">
        <f ca="1">Table1334[[#This Row],[Put Gex]]*Table1334[[#This Row],[DeltaP]]*-1</f>
        <v>0</v>
      </c>
      <c r="AE795">
        <f ca="1">Table1334[[#This Row],[Call Gex]]*Table1334[[#This Row],[DeltaC]]</f>
        <v>0</v>
      </c>
      <c r="AF795">
        <f>IF(Table1334[[#This Row],[DeltaC]]-ABS(Table1334[[#This Row],[DeltaP]])="0","0.01",Table1334[[#This Row],[DeltaC]]-ABS(Table1334[[#This Row],[DeltaP]]))</f>
        <v>0</v>
      </c>
      <c r="AG79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5" t="e">
        <f ca="1">(EXP(-(AG795^2)/2)/SQRT(2*PI())*EXP(0*SQRT(Table1334[[#This Row],[T]]))/$A$4*18%*SQRT(SQRT(Table1334[[#This Row],[T]])))</f>
        <v>#DIV/0!</v>
      </c>
      <c r="AJ795" t="e">
        <f ca="1">(EXP(-(AH795^2)/2)/SQRT(2*PI())*EXP(0*SQRT(Table1334[[#This Row],[T]]))/$A$4*18%*SQRT(SQRT(Table1334[[#This Row],[T]])))</f>
        <v>#DIV/0!</v>
      </c>
      <c r="AK795" t="e">
        <f ca="1">Table1334[[#This Row],[Call D1]]-Table1334[[#This Row],[IV Calc C]]*SQRT(Table1334[[#This Row],[T]])</f>
        <v>#DIV/0!</v>
      </c>
      <c r="AL795" t="e">
        <f ca="1">Table1334[[#This Row],[Put D1]]-Table1334[[#This Row],[IV Calc P]]*SQRT(Table1334[[#This Row],[T]])</f>
        <v>#DIV/0!</v>
      </c>
      <c r="AM795" t="e">
        <f ca="1">EXP(-0.5*Table1334[[#This Row],[Call D1]]^2)/SQRT(2*PI())</f>
        <v>#DIV/0!</v>
      </c>
      <c r="AN795" t="e">
        <f ca="1">EXP(-0.5*Table1334[[#This Row],[Put D1]]^2)/SQRT(2*PI())</f>
        <v>#DIV/0!</v>
      </c>
      <c r="AO79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5">
        <f ca="1">((Table1334[[#This Row],[call vanna]]+Table1334[[#This Row],[put vanna]])*$A$4)</f>
        <v>0</v>
      </c>
      <c r="AR79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5" s="9" t="str" cm="1">
        <f t="array" ref="AT795">_xlfn.IFS(     $M$1="SPX","SPXW",     $M$1="RUT","RUTW",  $M$1="NDX","NDXP",   TRUE,$M$1 )</f>
        <v>SPXW</v>
      </c>
      <c r="AU795" s="2">
        <f t="shared" si="77"/>
        <v>6915</v>
      </c>
      <c r="AV795" t="str">
        <f t="shared" si="78"/>
        <v>000100</v>
      </c>
      <c r="AY79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5">
        <f>((Table1334[[#This Row],[High C]]+Table1334[[#This Row],[Low C]])/2)*Table1334[[#This Row],[gammac]]*Table1334[[#This Row],[Volume]]</f>
        <v>0</v>
      </c>
      <c r="BD795">
        <f>((Table1334[[#This Row],[High P]]+Table1334[[#This Row],[Low P]])/2)*Table1334[[#This Row],[gammap]]*Table1334[[#This Row],[Volume9]]*-1</f>
        <v>0</v>
      </c>
      <c r="BE795">
        <f>(Table1334[[#This Row],[SgammaC]]+Table1334[[#This Row],[SgammaP]])*$A$4*-100</f>
        <v>0</v>
      </c>
      <c r="BF795">
        <f>Table1334[[#This Row],[DEXc]]+Table1334[[#This Row],[DEXp]]</f>
        <v>0</v>
      </c>
      <c r="BG795">
        <f>IFERROR(Table1334[[#This Row],[DeltaC]]*Table1334[[#This Row],[Open.Int]]*$A$4,0)</f>
        <v>0</v>
      </c>
      <c r="BH795">
        <f>IFERROR(Table1334[[#This Row],[DeltaP]]*Table1334[[#This Row],[Open.Int8]]*$A$4,0)</f>
        <v>0</v>
      </c>
      <c r="BI79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5">
        <f ca="1">Table1334[[#This Row],[charmc]]+Table1334[[#This Row],[charmp]]</f>
        <v>0</v>
      </c>
      <c r="BL79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5" s="78">
        <f ca="1">Table1334[[#This Row],[call helper]]+Table1334[[#This Row],[put helper]]</f>
        <v>0</v>
      </c>
      <c r="BP795" t="str">
        <f>RTD("tos.rtd", , "STRIKE", "."&amp;Table1334[[#This Row],[Ticker]]&amp;Table1334[[#This Row],[Expiry]]&amp;""&amp;"C"&amp;Table1334[[#This Row],[Spot]]+Table1334[[#This Row],[step]])</f>
        <v>N/A</v>
      </c>
    </row>
    <row r="796" spans="1:68" x14ac:dyDescent="0.25">
      <c r="A796" s="14">
        <f t="shared" ca="1" si="74"/>
        <v>-126.14810350076104</v>
      </c>
      <c r="C796" s="17"/>
      <c r="D796" t="str">
        <f>RTD("tos.rtd", , "OPEN_INT", "."&amp;Table1334[[#This Row],[Ticker]]&amp;Table1334[[#This Row],[Expiry]]&amp;""&amp;"C"&amp;Table1334[[#This Row],[Spot]]+Table1334[[#This Row],[step]])</f>
        <v>N/A</v>
      </c>
      <c r="E79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6" t="b">
        <f>IF(     ISNUMBER(Table1334[[#This Row],[Strike]]),RTD("tos.rtd", , "DELTA", "."&amp;Table1334[[#This Row],[Ticker]]&amp;Table1334[[#This Row],[Expiry]]&amp;""&amp;"C"&amp;Table1334[[#This Row],[Strike]]))</f>
        <v>0</v>
      </c>
      <c r="H796" s="17" cm="1">
        <f t="array" aca="1" ref="H796" ca="1">IndividualLegIVCore($A$4, Table1334[[#This Row],[Strike]], 0.0411, Table1334[[#This Row],[T]], ((Table1334[[#This Row],[BIDC]]+Table1334[[#This Row],[ASKC]])/2), TRUE)</f>
        <v>0.01</v>
      </c>
      <c r="I796" t="b">
        <f>IF(     ISNUMBER(Table1334[[#This Row],[Strike]]),RTD("tos.rtd", , "BID", "."&amp;Table1334[[#This Row],[Ticker]]&amp;Table1334[[#This Row],[Expiry]]&amp;""&amp;"C"&amp;Table1334[[#This Row],[Strike]]))</f>
        <v>0</v>
      </c>
      <c r="J796" t="b">
        <f>IF(     ISNUMBER(Table1334[[#This Row],[Strike]]),RTD("tos.rtd", , "ASK", "."&amp;Table1334[[#This Row],[Ticker]]&amp;Table1334[[#This Row],[Expiry]]&amp;""&amp;"C"&amp;Table1334[[#This Row],[Strike]]))</f>
        <v>0</v>
      </c>
      <c r="K796" s="17"/>
      <c r="M796" s="1">
        <f t="shared" si="75"/>
        <v>0</v>
      </c>
      <c r="N796" t="b">
        <f t="shared" si="76"/>
        <v>0</v>
      </c>
      <c r="P796" s="17" cm="1">
        <f t="array" aca="1" ref="P796" ca="1">IndividualLegIVCore($A$4, Table1334[[#This Row],[Strike]], 0.0411, Table1334[[#This Row],[T]], ((Table1334[[#This Row],[BIDP]]+Table1334[[#This Row],[ASKP]])/2), FALSE)</f>
        <v>0.01</v>
      </c>
      <c r="Q796" t="b">
        <f>IF(     ISNUMBER(Table1334[[#This Row],[Strike]]),RTD("tos.rtd", , "BID", "."&amp;Table1334[[#This Row],[Ticker]]&amp;Table1334[[#This Row],[Expiry]]&amp;""&amp;"P"&amp;Table1334[[#This Row],[Strike]]))</f>
        <v>0</v>
      </c>
      <c r="R796" t="b">
        <f>IF(     ISNUMBER(Table1334[[#This Row],[Strike]]),RTD("tos.rtd", , "ASK", "."&amp;Table1334[[#This Row],[Ticker]]&amp;Table1334[[#This Row],[Expiry]]&amp;""&amp;"P"&amp;Table1334[[#This Row],[Strike]]))</f>
        <v>0</v>
      </c>
      <c r="S796" s="17"/>
      <c r="T796" t="b">
        <f>IF(     ISNUMBER(Table1334[[#This Row],[Strike]]),RTD("tos.rtd", , "OPEN_INT", "."&amp;Table1334[[#This Row],[Ticker]]&amp;Table1334[[#This Row],[Expiry]]&amp;""&amp;"P"&amp;Table1334[[#This Row],[Strike]]))</f>
        <v>0</v>
      </c>
      <c r="U79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6" t="b">
        <f>IF(     ISNUMBER(Table1334[[#This Row],[Strike]]),RTD("tos.rtd", , "DELTA", "."&amp;Table1334[[#This Row],[Ticker]]&amp;Table1334[[#This Row],[Expiry]]&amp;""&amp;"P"&amp;Table1334[[#This Row],[Strike]]))</f>
        <v>0</v>
      </c>
      <c r="Y796" s="19">
        <f>38.5* IF($M$1="NDX", 10, IF(OR($M$1="SPX", $M$1="RUT"), 2, 1))</f>
        <v>77</v>
      </c>
      <c r="Z796">
        <f ca="1">IFERROR(Table1334[[#This Row],[call gamma]]*(Table1334[[#This Row],[Open.Int]])*$A$4^2,0)</f>
        <v>0</v>
      </c>
      <c r="AA796">
        <f ca="1">IFERROR(((Table1334[[#This Row],[Open.Int8]])*Table1334[[#This Row],[Put gamma]])*-1*$A$4^2,0)</f>
        <v>0</v>
      </c>
      <c r="AB796">
        <f ca="1">(Table1334[[#This Row],[Call Gex]]+Table1334[[#This Row],[Put Gex]])</f>
        <v>0</v>
      </c>
      <c r="AC796">
        <f ca="1">Table1334[[#This Row],[put delta adj]]+Table1334[[#This Row],[call delta adj]]</f>
        <v>0</v>
      </c>
      <c r="AD796">
        <f ca="1">Table1334[[#This Row],[Put Gex]]*Table1334[[#This Row],[DeltaP]]*-1</f>
        <v>0</v>
      </c>
      <c r="AE796">
        <f ca="1">Table1334[[#This Row],[Call Gex]]*Table1334[[#This Row],[DeltaC]]</f>
        <v>0</v>
      </c>
      <c r="AF796">
        <f>IF(Table1334[[#This Row],[DeltaC]]-ABS(Table1334[[#This Row],[DeltaP]])="0","0.01",Table1334[[#This Row],[DeltaC]]-ABS(Table1334[[#This Row],[DeltaP]]))</f>
        <v>0</v>
      </c>
      <c r="AG79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6" t="e">
        <f ca="1">(EXP(-(AG796^2)/2)/SQRT(2*PI())*EXP(0*SQRT(Table1334[[#This Row],[T]]))/$A$4*18%*SQRT(SQRT(Table1334[[#This Row],[T]])))</f>
        <v>#DIV/0!</v>
      </c>
      <c r="AJ796" t="e">
        <f ca="1">(EXP(-(AH796^2)/2)/SQRT(2*PI())*EXP(0*SQRT(Table1334[[#This Row],[T]]))/$A$4*18%*SQRT(SQRT(Table1334[[#This Row],[T]])))</f>
        <v>#DIV/0!</v>
      </c>
      <c r="AK796" t="e">
        <f ca="1">Table1334[[#This Row],[Call D1]]-Table1334[[#This Row],[IV Calc C]]*SQRT(Table1334[[#This Row],[T]])</f>
        <v>#DIV/0!</v>
      </c>
      <c r="AL796" t="e">
        <f ca="1">Table1334[[#This Row],[Put D1]]-Table1334[[#This Row],[IV Calc P]]*SQRT(Table1334[[#This Row],[T]])</f>
        <v>#DIV/0!</v>
      </c>
      <c r="AM796" t="e">
        <f ca="1">EXP(-0.5*Table1334[[#This Row],[Call D1]]^2)/SQRT(2*PI())</f>
        <v>#DIV/0!</v>
      </c>
      <c r="AN796" t="e">
        <f ca="1">EXP(-0.5*Table1334[[#This Row],[Put D1]]^2)/SQRT(2*PI())</f>
        <v>#DIV/0!</v>
      </c>
      <c r="AO79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6">
        <f ca="1">((Table1334[[#This Row],[call vanna]]+Table1334[[#This Row],[put vanna]])*$A$4)</f>
        <v>0</v>
      </c>
      <c r="AR79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6" s="9" t="str" cm="1">
        <f t="array" ref="AT796">_xlfn.IFS(     $M$1="SPX","SPXW",     $M$1="RUT","RUTW",  $M$1="NDX","NDXP",   TRUE,$M$1 )</f>
        <v>SPXW</v>
      </c>
      <c r="AU796" s="2">
        <f t="shared" si="77"/>
        <v>6915</v>
      </c>
      <c r="AV796" t="str">
        <f t="shared" si="78"/>
        <v>000100</v>
      </c>
      <c r="AY79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6">
        <f>((Table1334[[#This Row],[High C]]+Table1334[[#This Row],[Low C]])/2)*Table1334[[#This Row],[gammac]]*Table1334[[#This Row],[Volume]]</f>
        <v>0</v>
      </c>
      <c r="BD796">
        <f>((Table1334[[#This Row],[High P]]+Table1334[[#This Row],[Low P]])/2)*Table1334[[#This Row],[gammap]]*Table1334[[#This Row],[Volume9]]*-1</f>
        <v>0</v>
      </c>
      <c r="BE796">
        <f>(Table1334[[#This Row],[SgammaC]]+Table1334[[#This Row],[SgammaP]])*$A$4*-100</f>
        <v>0</v>
      </c>
      <c r="BF796">
        <f>Table1334[[#This Row],[DEXc]]+Table1334[[#This Row],[DEXp]]</f>
        <v>0</v>
      </c>
      <c r="BG796">
        <f>IFERROR(Table1334[[#This Row],[DeltaC]]*Table1334[[#This Row],[Open.Int]]*$A$4,0)</f>
        <v>0</v>
      </c>
      <c r="BH796">
        <f>IFERROR(Table1334[[#This Row],[DeltaP]]*Table1334[[#This Row],[Open.Int8]]*$A$4,0)</f>
        <v>0</v>
      </c>
      <c r="BI79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6">
        <f ca="1">Table1334[[#This Row],[charmc]]+Table1334[[#This Row],[charmp]]</f>
        <v>0</v>
      </c>
      <c r="BL79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6" s="78">
        <f ca="1">Table1334[[#This Row],[call helper]]+Table1334[[#This Row],[put helper]]</f>
        <v>0</v>
      </c>
      <c r="BP796" t="str">
        <f>RTD("tos.rtd", , "STRIKE", "."&amp;Table1334[[#This Row],[Ticker]]&amp;Table1334[[#This Row],[Expiry]]&amp;""&amp;"C"&amp;Table1334[[#This Row],[Spot]]+Table1334[[#This Row],[step]])</f>
        <v>N/A</v>
      </c>
    </row>
    <row r="797" spans="1:68" x14ac:dyDescent="0.25">
      <c r="A797" s="14">
        <f t="shared" ca="1" si="74"/>
        <v>-126.14810350076104</v>
      </c>
      <c r="C797" s="17"/>
      <c r="D797" t="str">
        <f>RTD("tos.rtd", , "OPEN_INT", "."&amp;Table1334[[#This Row],[Ticker]]&amp;Table1334[[#This Row],[Expiry]]&amp;""&amp;"C"&amp;Table1334[[#This Row],[Spot]]+Table1334[[#This Row],[step]])</f>
        <v>N/A</v>
      </c>
      <c r="E79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7" t="b">
        <f>IF(     ISNUMBER(Table1334[[#This Row],[Strike]]),RTD("tos.rtd", , "DELTA", "."&amp;Table1334[[#This Row],[Ticker]]&amp;Table1334[[#This Row],[Expiry]]&amp;""&amp;"C"&amp;Table1334[[#This Row],[Strike]]))</f>
        <v>0</v>
      </c>
      <c r="H797" s="17" cm="1">
        <f t="array" aca="1" ref="H797" ca="1">IndividualLegIVCore($A$4, Table1334[[#This Row],[Strike]], 0.0411, Table1334[[#This Row],[T]], ((Table1334[[#This Row],[BIDC]]+Table1334[[#This Row],[ASKC]])/2), TRUE)</f>
        <v>0.01</v>
      </c>
      <c r="I797" t="b">
        <f>IF(     ISNUMBER(Table1334[[#This Row],[Strike]]),RTD("tos.rtd", , "BID", "."&amp;Table1334[[#This Row],[Ticker]]&amp;Table1334[[#This Row],[Expiry]]&amp;""&amp;"C"&amp;Table1334[[#This Row],[Strike]]))</f>
        <v>0</v>
      </c>
      <c r="J797" t="b">
        <f>IF(     ISNUMBER(Table1334[[#This Row],[Strike]]),RTD("tos.rtd", , "ASK", "."&amp;Table1334[[#This Row],[Ticker]]&amp;Table1334[[#This Row],[Expiry]]&amp;""&amp;"C"&amp;Table1334[[#This Row],[Strike]]))</f>
        <v>0</v>
      </c>
      <c r="K797" s="17"/>
      <c r="M797" s="1">
        <f t="shared" si="75"/>
        <v>0</v>
      </c>
      <c r="N797" t="b">
        <f t="shared" si="76"/>
        <v>0</v>
      </c>
      <c r="P797" s="17" cm="1">
        <f t="array" aca="1" ref="P797" ca="1">IndividualLegIVCore($A$4, Table1334[[#This Row],[Strike]], 0.0411, Table1334[[#This Row],[T]], ((Table1334[[#This Row],[BIDP]]+Table1334[[#This Row],[ASKP]])/2), FALSE)</f>
        <v>0.01</v>
      </c>
      <c r="Q797" t="b">
        <f>IF(     ISNUMBER(Table1334[[#This Row],[Strike]]),RTD("tos.rtd", , "BID", "."&amp;Table1334[[#This Row],[Ticker]]&amp;Table1334[[#This Row],[Expiry]]&amp;""&amp;"P"&amp;Table1334[[#This Row],[Strike]]))</f>
        <v>0</v>
      </c>
      <c r="R797" t="b">
        <f>IF(     ISNUMBER(Table1334[[#This Row],[Strike]]),RTD("tos.rtd", , "ASK", "."&amp;Table1334[[#This Row],[Ticker]]&amp;Table1334[[#This Row],[Expiry]]&amp;""&amp;"P"&amp;Table1334[[#This Row],[Strike]]))</f>
        <v>0</v>
      </c>
      <c r="S797" s="17"/>
      <c r="T797" t="b">
        <f>IF(     ISNUMBER(Table1334[[#This Row],[Strike]]),RTD("tos.rtd", , "OPEN_INT", "."&amp;Table1334[[#This Row],[Ticker]]&amp;Table1334[[#This Row],[Expiry]]&amp;""&amp;"P"&amp;Table1334[[#This Row],[Strike]]))</f>
        <v>0</v>
      </c>
      <c r="U79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7" t="b">
        <f>IF(     ISNUMBER(Table1334[[#This Row],[Strike]]),RTD("tos.rtd", , "DELTA", "."&amp;Table1334[[#This Row],[Ticker]]&amp;Table1334[[#This Row],[Expiry]]&amp;""&amp;"P"&amp;Table1334[[#This Row],[Strike]]))</f>
        <v>0</v>
      </c>
      <c r="Y797" s="19">
        <f>39* IF($M$1="NDX", 10, IF(OR($M$1="SPX", $M$1="RUT"), 2, 1))</f>
        <v>78</v>
      </c>
      <c r="Z797">
        <f ca="1">IFERROR(Table1334[[#This Row],[call gamma]]*(Table1334[[#This Row],[Open.Int]])*$A$4^2,0)</f>
        <v>0</v>
      </c>
      <c r="AA797">
        <f ca="1">IFERROR(((Table1334[[#This Row],[Open.Int8]])*Table1334[[#This Row],[Put gamma]])*-1*$A$4^2,0)</f>
        <v>0</v>
      </c>
      <c r="AB797">
        <f ca="1">(Table1334[[#This Row],[Call Gex]]+Table1334[[#This Row],[Put Gex]])</f>
        <v>0</v>
      </c>
      <c r="AC797">
        <f ca="1">Table1334[[#This Row],[put delta adj]]+Table1334[[#This Row],[call delta adj]]</f>
        <v>0</v>
      </c>
      <c r="AD797">
        <f ca="1">Table1334[[#This Row],[Put Gex]]*Table1334[[#This Row],[DeltaP]]*-1</f>
        <v>0</v>
      </c>
      <c r="AE797">
        <f ca="1">Table1334[[#This Row],[Call Gex]]*Table1334[[#This Row],[DeltaC]]</f>
        <v>0</v>
      </c>
      <c r="AF797">
        <f>IF(Table1334[[#This Row],[DeltaC]]-ABS(Table1334[[#This Row],[DeltaP]])="0","0.01",Table1334[[#This Row],[DeltaC]]-ABS(Table1334[[#This Row],[DeltaP]]))</f>
        <v>0</v>
      </c>
      <c r="AG79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7" t="e">
        <f ca="1">(EXP(-(AG797^2)/2)/SQRT(2*PI())*EXP(0*SQRT(Table1334[[#This Row],[T]]))/$A$4*18%*SQRT(SQRT(Table1334[[#This Row],[T]])))</f>
        <v>#DIV/0!</v>
      </c>
      <c r="AJ797" t="e">
        <f ca="1">(EXP(-(AH797^2)/2)/SQRT(2*PI())*EXP(0*SQRT(Table1334[[#This Row],[T]]))/$A$4*18%*SQRT(SQRT(Table1334[[#This Row],[T]])))</f>
        <v>#DIV/0!</v>
      </c>
      <c r="AK797" t="e">
        <f ca="1">Table1334[[#This Row],[Call D1]]-Table1334[[#This Row],[IV Calc C]]*SQRT(Table1334[[#This Row],[T]])</f>
        <v>#DIV/0!</v>
      </c>
      <c r="AL797" t="e">
        <f ca="1">Table1334[[#This Row],[Put D1]]-Table1334[[#This Row],[IV Calc P]]*SQRT(Table1334[[#This Row],[T]])</f>
        <v>#DIV/0!</v>
      </c>
      <c r="AM797" t="e">
        <f ca="1">EXP(-0.5*Table1334[[#This Row],[Call D1]]^2)/SQRT(2*PI())</f>
        <v>#DIV/0!</v>
      </c>
      <c r="AN797" t="e">
        <f ca="1">EXP(-0.5*Table1334[[#This Row],[Put D1]]^2)/SQRT(2*PI())</f>
        <v>#DIV/0!</v>
      </c>
      <c r="AO79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7">
        <f ca="1">((Table1334[[#This Row],[call vanna]]+Table1334[[#This Row],[put vanna]])*$A$4)</f>
        <v>0</v>
      </c>
      <c r="AR79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7" s="9" t="str" cm="1">
        <f t="array" ref="AT797">_xlfn.IFS(     $M$1="SPX","SPXW",     $M$1="RUT","RUTW",  $M$1="NDX","NDXP",   TRUE,$M$1 )</f>
        <v>SPXW</v>
      </c>
      <c r="AU797" s="2">
        <f t="shared" si="77"/>
        <v>6915</v>
      </c>
      <c r="AV797" t="str">
        <f t="shared" si="78"/>
        <v>000100</v>
      </c>
      <c r="AY79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7">
        <f>((Table1334[[#This Row],[High C]]+Table1334[[#This Row],[Low C]])/2)*Table1334[[#This Row],[gammac]]*Table1334[[#This Row],[Volume]]</f>
        <v>0</v>
      </c>
      <c r="BD797">
        <f>((Table1334[[#This Row],[High P]]+Table1334[[#This Row],[Low P]])/2)*Table1334[[#This Row],[gammap]]*Table1334[[#This Row],[Volume9]]*-1</f>
        <v>0</v>
      </c>
      <c r="BE797">
        <f>(Table1334[[#This Row],[SgammaC]]+Table1334[[#This Row],[SgammaP]])*$A$4*-100</f>
        <v>0</v>
      </c>
      <c r="BF797">
        <f>Table1334[[#This Row],[DEXc]]+Table1334[[#This Row],[DEXp]]</f>
        <v>0</v>
      </c>
      <c r="BG797">
        <f>IFERROR(Table1334[[#This Row],[DeltaC]]*Table1334[[#This Row],[Open.Int]]*$A$4,0)</f>
        <v>0</v>
      </c>
      <c r="BH797">
        <f>IFERROR(Table1334[[#This Row],[DeltaP]]*Table1334[[#This Row],[Open.Int8]]*$A$4,0)</f>
        <v>0</v>
      </c>
      <c r="BI79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7">
        <f ca="1">Table1334[[#This Row],[charmc]]+Table1334[[#This Row],[charmp]]</f>
        <v>0</v>
      </c>
      <c r="BL79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7" s="78">
        <f ca="1">Table1334[[#This Row],[call helper]]+Table1334[[#This Row],[put helper]]</f>
        <v>0</v>
      </c>
      <c r="BP797" t="str">
        <f>RTD("tos.rtd", , "STRIKE", "."&amp;Table1334[[#This Row],[Ticker]]&amp;Table1334[[#This Row],[Expiry]]&amp;""&amp;"C"&amp;Table1334[[#This Row],[Spot]]+Table1334[[#This Row],[step]])</f>
        <v>N/A</v>
      </c>
    </row>
    <row r="798" spans="1:68" x14ac:dyDescent="0.25">
      <c r="A798" s="14">
        <f t="shared" ca="1" si="74"/>
        <v>-126.14810350076104</v>
      </c>
      <c r="C798" s="17"/>
      <c r="D798" t="str">
        <f>RTD("tos.rtd", , "OPEN_INT", "."&amp;Table1334[[#This Row],[Ticker]]&amp;Table1334[[#This Row],[Expiry]]&amp;""&amp;"C"&amp;Table1334[[#This Row],[Spot]]+Table1334[[#This Row],[step]])</f>
        <v>N/A</v>
      </c>
      <c r="E79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8" t="b">
        <f>IF(     ISNUMBER(Table1334[[#This Row],[Strike]]),RTD("tos.rtd", , "DELTA", "."&amp;Table1334[[#This Row],[Ticker]]&amp;Table1334[[#This Row],[Expiry]]&amp;""&amp;"C"&amp;Table1334[[#This Row],[Strike]]))</f>
        <v>0</v>
      </c>
      <c r="H798" s="17" cm="1">
        <f t="array" aca="1" ref="H798" ca="1">IndividualLegIVCore($A$4, Table1334[[#This Row],[Strike]], 0.0411, Table1334[[#This Row],[T]], ((Table1334[[#This Row],[BIDC]]+Table1334[[#This Row],[ASKC]])/2), TRUE)</f>
        <v>0.01</v>
      </c>
      <c r="I798" t="b">
        <f>IF(     ISNUMBER(Table1334[[#This Row],[Strike]]),RTD("tos.rtd", , "BID", "."&amp;Table1334[[#This Row],[Ticker]]&amp;Table1334[[#This Row],[Expiry]]&amp;""&amp;"C"&amp;Table1334[[#This Row],[Strike]]))</f>
        <v>0</v>
      </c>
      <c r="J798" t="b">
        <f>IF(     ISNUMBER(Table1334[[#This Row],[Strike]]),RTD("tos.rtd", , "ASK", "."&amp;Table1334[[#This Row],[Ticker]]&amp;Table1334[[#This Row],[Expiry]]&amp;""&amp;"C"&amp;Table1334[[#This Row],[Strike]]))</f>
        <v>0</v>
      </c>
      <c r="K798" s="17"/>
      <c r="M798" s="1">
        <f t="shared" si="75"/>
        <v>0</v>
      </c>
      <c r="N798" t="b">
        <f t="shared" si="76"/>
        <v>0</v>
      </c>
      <c r="P798" s="17" cm="1">
        <f t="array" aca="1" ref="P798" ca="1">IndividualLegIVCore($A$4, Table1334[[#This Row],[Strike]], 0.0411, Table1334[[#This Row],[T]], ((Table1334[[#This Row],[BIDP]]+Table1334[[#This Row],[ASKP]])/2), FALSE)</f>
        <v>0.01</v>
      </c>
      <c r="Q798" t="b">
        <f>IF(     ISNUMBER(Table1334[[#This Row],[Strike]]),RTD("tos.rtd", , "BID", "."&amp;Table1334[[#This Row],[Ticker]]&amp;Table1334[[#This Row],[Expiry]]&amp;""&amp;"P"&amp;Table1334[[#This Row],[Strike]]))</f>
        <v>0</v>
      </c>
      <c r="R798" t="b">
        <f>IF(     ISNUMBER(Table1334[[#This Row],[Strike]]),RTD("tos.rtd", , "ASK", "."&amp;Table1334[[#This Row],[Ticker]]&amp;Table1334[[#This Row],[Expiry]]&amp;""&amp;"P"&amp;Table1334[[#This Row],[Strike]]))</f>
        <v>0</v>
      </c>
      <c r="S798" s="17"/>
      <c r="T798" t="b">
        <f>IF(     ISNUMBER(Table1334[[#This Row],[Strike]]),RTD("tos.rtd", , "OPEN_INT", "."&amp;Table1334[[#This Row],[Ticker]]&amp;Table1334[[#This Row],[Expiry]]&amp;""&amp;"P"&amp;Table1334[[#This Row],[Strike]]))</f>
        <v>0</v>
      </c>
      <c r="U79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8" t="b">
        <f>IF(     ISNUMBER(Table1334[[#This Row],[Strike]]),RTD("tos.rtd", , "DELTA", "."&amp;Table1334[[#This Row],[Ticker]]&amp;Table1334[[#This Row],[Expiry]]&amp;""&amp;"P"&amp;Table1334[[#This Row],[Strike]]))</f>
        <v>0</v>
      </c>
      <c r="Y798" s="19">
        <f>39.5* IF($M$1="NDX", 10, IF(OR($M$1="SPX", $M$1="RUT"), 2, 1))</f>
        <v>79</v>
      </c>
      <c r="Z798">
        <f ca="1">IFERROR(Table1334[[#This Row],[call gamma]]*(Table1334[[#This Row],[Open.Int]])*$A$4^2,0)</f>
        <v>0</v>
      </c>
      <c r="AA798">
        <f ca="1">IFERROR(((Table1334[[#This Row],[Open.Int8]])*Table1334[[#This Row],[Put gamma]])*-1*$A$4^2,0)</f>
        <v>0</v>
      </c>
      <c r="AB798">
        <f ca="1">(Table1334[[#This Row],[Call Gex]]+Table1334[[#This Row],[Put Gex]])</f>
        <v>0</v>
      </c>
      <c r="AC798">
        <f ca="1">Table1334[[#This Row],[put delta adj]]+Table1334[[#This Row],[call delta adj]]</f>
        <v>0</v>
      </c>
      <c r="AD798">
        <f ca="1">Table1334[[#This Row],[Put Gex]]*Table1334[[#This Row],[DeltaP]]*-1</f>
        <v>0</v>
      </c>
      <c r="AE798">
        <f ca="1">Table1334[[#This Row],[Call Gex]]*Table1334[[#This Row],[DeltaC]]</f>
        <v>0</v>
      </c>
      <c r="AF798">
        <f>IF(Table1334[[#This Row],[DeltaC]]-ABS(Table1334[[#This Row],[DeltaP]])="0","0.01",Table1334[[#This Row],[DeltaC]]-ABS(Table1334[[#This Row],[DeltaP]]))</f>
        <v>0</v>
      </c>
      <c r="AG79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8" t="e">
        <f ca="1">(EXP(-(AG798^2)/2)/SQRT(2*PI())*EXP(0*SQRT(Table1334[[#This Row],[T]]))/$A$4*18%*SQRT(SQRT(Table1334[[#This Row],[T]])))</f>
        <v>#DIV/0!</v>
      </c>
      <c r="AJ798" t="e">
        <f ca="1">(EXP(-(AH798^2)/2)/SQRT(2*PI())*EXP(0*SQRT(Table1334[[#This Row],[T]]))/$A$4*18%*SQRT(SQRT(Table1334[[#This Row],[T]])))</f>
        <v>#DIV/0!</v>
      </c>
      <c r="AK798" t="e">
        <f ca="1">Table1334[[#This Row],[Call D1]]-Table1334[[#This Row],[IV Calc C]]*SQRT(Table1334[[#This Row],[T]])</f>
        <v>#DIV/0!</v>
      </c>
      <c r="AL798" t="e">
        <f ca="1">Table1334[[#This Row],[Put D1]]-Table1334[[#This Row],[IV Calc P]]*SQRT(Table1334[[#This Row],[T]])</f>
        <v>#DIV/0!</v>
      </c>
      <c r="AM798" t="e">
        <f ca="1">EXP(-0.5*Table1334[[#This Row],[Call D1]]^2)/SQRT(2*PI())</f>
        <v>#DIV/0!</v>
      </c>
      <c r="AN798" t="e">
        <f ca="1">EXP(-0.5*Table1334[[#This Row],[Put D1]]^2)/SQRT(2*PI())</f>
        <v>#DIV/0!</v>
      </c>
      <c r="AO79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8">
        <f ca="1">((Table1334[[#This Row],[call vanna]]+Table1334[[#This Row],[put vanna]])*$A$4)</f>
        <v>0</v>
      </c>
      <c r="AR79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8" s="9" t="str" cm="1">
        <f t="array" ref="AT798">_xlfn.IFS(     $M$1="SPX","SPXW",     $M$1="RUT","RUTW",  $M$1="NDX","NDXP",   TRUE,$M$1 )</f>
        <v>SPXW</v>
      </c>
      <c r="AU798" s="2">
        <f t="shared" si="77"/>
        <v>6915</v>
      </c>
      <c r="AV798" t="str">
        <f t="shared" si="78"/>
        <v>000100</v>
      </c>
      <c r="AY79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8">
        <f>((Table1334[[#This Row],[High C]]+Table1334[[#This Row],[Low C]])/2)*Table1334[[#This Row],[gammac]]*Table1334[[#This Row],[Volume]]</f>
        <v>0</v>
      </c>
      <c r="BD798">
        <f>((Table1334[[#This Row],[High P]]+Table1334[[#This Row],[Low P]])/2)*Table1334[[#This Row],[gammap]]*Table1334[[#This Row],[Volume9]]*-1</f>
        <v>0</v>
      </c>
      <c r="BE798">
        <f>(Table1334[[#This Row],[SgammaC]]+Table1334[[#This Row],[SgammaP]])*$A$4*-100</f>
        <v>0</v>
      </c>
      <c r="BF798">
        <f>Table1334[[#This Row],[DEXc]]+Table1334[[#This Row],[DEXp]]</f>
        <v>0</v>
      </c>
      <c r="BG798">
        <f>IFERROR(Table1334[[#This Row],[DeltaC]]*Table1334[[#This Row],[Open.Int]]*$A$4,0)</f>
        <v>0</v>
      </c>
      <c r="BH798">
        <f>IFERROR(Table1334[[#This Row],[DeltaP]]*Table1334[[#This Row],[Open.Int8]]*$A$4,0)</f>
        <v>0</v>
      </c>
      <c r="BI79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8">
        <f ca="1">Table1334[[#This Row],[charmc]]+Table1334[[#This Row],[charmp]]</f>
        <v>0</v>
      </c>
      <c r="BL79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8" s="78">
        <f ca="1">Table1334[[#This Row],[call helper]]+Table1334[[#This Row],[put helper]]</f>
        <v>0</v>
      </c>
      <c r="BP798" t="str">
        <f>RTD("tos.rtd", , "STRIKE", "."&amp;Table1334[[#This Row],[Ticker]]&amp;Table1334[[#This Row],[Expiry]]&amp;""&amp;"C"&amp;Table1334[[#This Row],[Spot]]+Table1334[[#This Row],[step]])</f>
        <v>N/A</v>
      </c>
    </row>
    <row r="799" spans="1:68" x14ac:dyDescent="0.25">
      <c r="A799" s="14">
        <f t="shared" ca="1" si="74"/>
        <v>-126.14810350076104</v>
      </c>
      <c r="C799" s="17"/>
      <c r="D799" t="str">
        <f>RTD("tos.rtd", , "OPEN_INT", "."&amp;Table1334[[#This Row],[Ticker]]&amp;Table1334[[#This Row],[Expiry]]&amp;""&amp;"C"&amp;Table1334[[#This Row],[Spot]]+Table1334[[#This Row],[step]])</f>
        <v>N/A</v>
      </c>
      <c r="E79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9" t="b">
        <f>IF(     ISNUMBER(Table1334[[#This Row],[Strike]]),RTD("tos.rtd", , "DELTA", "."&amp;Table1334[[#This Row],[Ticker]]&amp;Table1334[[#This Row],[Expiry]]&amp;""&amp;"C"&amp;Table1334[[#This Row],[Strike]]))</f>
        <v>0</v>
      </c>
      <c r="H799" s="17" cm="1">
        <f t="array" aca="1" ref="H799" ca="1">IndividualLegIVCore($A$4, Table1334[[#This Row],[Strike]], 0.0411, Table1334[[#This Row],[T]], ((Table1334[[#This Row],[BIDC]]+Table1334[[#This Row],[ASKC]])/2), TRUE)</f>
        <v>0.01</v>
      </c>
      <c r="I799" t="b">
        <f>IF(     ISNUMBER(Table1334[[#This Row],[Strike]]),RTD("tos.rtd", , "BID", "."&amp;Table1334[[#This Row],[Ticker]]&amp;Table1334[[#This Row],[Expiry]]&amp;""&amp;"C"&amp;Table1334[[#This Row],[Strike]]))</f>
        <v>0</v>
      </c>
      <c r="J799" t="b">
        <f>IF(     ISNUMBER(Table1334[[#This Row],[Strike]]),RTD("tos.rtd", , "ASK", "."&amp;Table1334[[#This Row],[Ticker]]&amp;Table1334[[#This Row],[Expiry]]&amp;""&amp;"C"&amp;Table1334[[#This Row],[Strike]]))</f>
        <v>0</v>
      </c>
      <c r="K799" s="17"/>
      <c r="M799" s="1">
        <f t="shared" si="75"/>
        <v>0</v>
      </c>
      <c r="N799" t="b">
        <f t="shared" si="76"/>
        <v>0</v>
      </c>
      <c r="P799" s="17" cm="1">
        <f t="array" aca="1" ref="P799" ca="1">IndividualLegIVCore($A$4, Table1334[[#This Row],[Strike]], 0.0411, Table1334[[#This Row],[T]], ((Table1334[[#This Row],[BIDP]]+Table1334[[#This Row],[ASKP]])/2), FALSE)</f>
        <v>0.01</v>
      </c>
      <c r="Q799" t="b">
        <f>IF(     ISNUMBER(Table1334[[#This Row],[Strike]]),RTD("tos.rtd", , "BID", "."&amp;Table1334[[#This Row],[Ticker]]&amp;Table1334[[#This Row],[Expiry]]&amp;""&amp;"P"&amp;Table1334[[#This Row],[Strike]]))</f>
        <v>0</v>
      </c>
      <c r="R799" t="b">
        <f>IF(     ISNUMBER(Table1334[[#This Row],[Strike]]),RTD("tos.rtd", , "ASK", "."&amp;Table1334[[#This Row],[Ticker]]&amp;Table1334[[#This Row],[Expiry]]&amp;""&amp;"P"&amp;Table1334[[#This Row],[Strike]]))</f>
        <v>0</v>
      </c>
      <c r="S799" s="17"/>
      <c r="T799" t="b">
        <f>IF(     ISNUMBER(Table1334[[#This Row],[Strike]]),RTD("tos.rtd", , "OPEN_INT", "."&amp;Table1334[[#This Row],[Ticker]]&amp;Table1334[[#This Row],[Expiry]]&amp;""&amp;"P"&amp;Table1334[[#This Row],[Strike]]))</f>
        <v>0</v>
      </c>
      <c r="U79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9" t="b">
        <f>IF(     ISNUMBER(Table1334[[#This Row],[Strike]]),RTD("tos.rtd", , "DELTA", "."&amp;Table1334[[#This Row],[Ticker]]&amp;Table1334[[#This Row],[Expiry]]&amp;""&amp;"P"&amp;Table1334[[#This Row],[Strike]]))</f>
        <v>0</v>
      </c>
      <c r="Y799" s="19">
        <f>40* IF($M$1="NDX", 10, IF(OR($M$1="SPX", $M$1="RUT"), 2, 1))</f>
        <v>80</v>
      </c>
      <c r="Z799">
        <f ca="1">IFERROR(Table1334[[#This Row],[call gamma]]*(Table1334[[#This Row],[Open.Int]])*$A$4^2,0)</f>
        <v>0</v>
      </c>
      <c r="AA799">
        <f ca="1">IFERROR(((Table1334[[#This Row],[Open.Int8]])*Table1334[[#This Row],[Put gamma]])*-1*$A$4^2,0)</f>
        <v>0</v>
      </c>
      <c r="AB799">
        <f ca="1">(Table1334[[#This Row],[Call Gex]]+Table1334[[#This Row],[Put Gex]])</f>
        <v>0</v>
      </c>
      <c r="AC799">
        <f ca="1">Table1334[[#This Row],[put delta adj]]+Table1334[[#This Row],[call delta adj]]</f>
        <v>0</v>
      </c>
      <c r="AD799">
        <f ca="1">Table1334[[#This Row],[Put Gex]]*Table1334[[#This Row],[DeltaP]]*-1</f>
        <v>0</v>
      </c>
      <c r="AE799">
        <f ca="1">Table1334[[#This Row],[Call Gex]]*Table1334[[#This Row],[DeltaC]]</f>
        <v>0</v>
      </c>
      <c r="AF799">
        <f>IF(Table1334[[#This Row],[DeltaC]]-ABS(Table1334[[#This Row],[DeltaP]])="0","0.01",Table1334[[#This Row],[DeltaC]]-ABS(Table1334[[#This Row],[DeltaP]]))</f>
        <v>0</v>
      </c>
      <c r="AG79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9" t="e">
        <f ca="1">(EXP(-(AG799^2)/2)/SQRT(2*PI())*EXP(0*SQRT(Table1334[[#This Row],[T]]))/$A$4*18%*SQRT(SQRT(Table1334[[#This Row],[T]])))</f>
        <v>#DIV/0!</v>
      </c>
      <c r="AJ799" t="e">
        <f ca="1">(EXP(-(AH799^2)/2)/SQRT(2*PI())*EXP(0*SQRT(Table1334[[#This Row],[T]]))/$A$4*18%*SQRT(SQRT(Table1334[[#This Row],[T]])))</f>
        <v>#DIV/0!</v>
      </c>
      <c r="AK799" t="e">
        <f ca="1">Table1334[[#This Row],[Call D1]]-Table1334[[#This Row],[IV Calc C]]*SQRT(Table1334[[#This Row],[T]])</f>
        <v>#DIV/0!</v>
      </c>
      <c r="AL799" t="e">
        <f ca="1">Table1334[[#This Row],[Put D1]]-Table1334[[#This Row],[IV Calc P]]*SQRT(Table1334[[#This Row],[T]])</f>
        <v>#DIV/0!</v>
      </c>
      <c r="AM799" t="e">
        <f ca="1">EXP(-0.5*Table1334[[#This Row],[Call D1]]^2)/SQRT(2*PI())</f>
        <v>#DIV/0!</v>
      </c>
      <c r="AN799" t="e">
        <f ca="1">EXP(-0.5*Table1334[[#This Row],[Put D1]]^2)/SQRT(2*PI())</f>
        <v>#DIV/0!</v>
      </c>
      <c r="AO79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9">
        <f ca="1">((Table1334[[#This Row],[call vanna]]+Table1334[[#This Row],[put vanna]])*$A$4)</f>
        <v>0</v>
      </c>
      <c r="AR79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9" s="9" t="str" cm="1">
        <f t="array" ref="AT799">_xlfn.IFS(     $M$1="SPX","SPXW",     $M$1="RUT","RUTW",  $M$1="NDX","NDXP",   TRUE,$M$1 )</f>
        <v>SPXW</v>
      </c>
      <c r="AU799" s="2">
        <f t="shared" si="77"/>
        <v>6915</v>
      </c>
      <c r="AV799" t="str">
        <f t="shared" si="78"/>
        <v>000100</v>
      </c>
      <c r="AY79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9">
        <f>((Table1334[[#This Row],[High C]]+Table1334[[#This Row],[Low C]])/2)*Table1334[[#This Row],[gammac]]*Table1334[[#This Row],[Volume]]</f>
        <v>0</v>
      </c>
      <c r="BD799">
        <f>((Table1334[[#This Row],[High P]]+Table1334[[#This Row],[Low P]])/2)*Table1334[[#This Row],[gammap]]*Table1334[[#This Row],[Volume9]]*-1</f>
        <v>0</v>
      </c>
      <c r="BE799">
        <f>(Table1334[[#This Row],[SgammaC]]+Table1334[[#This Row],[SgammaP]])*$A$4*-100</f>
        <v>0</v>
      </c>
      <c r="BF799">
        <f>Table1334[[#This Row],[DEXc]]+Table1334[[#This Row],[DEXp]]</f>
        <v>0</v>
      </c>
      <c r="BG799">
        <f>IFERROR(Table1334[[#This Row],[DeltaC]]*Table1334[[#This Row],[Open.Int]]*$A$4,0)</f>
        <v>0</v>
      </c>
      <c r="BH799">
        <f>IFERROR(Table1334[[#This Row],[DeltaP]]*Table1334[[#This Row],[Open.Int8]]*$A$4,0)</f>
        <v>0</v>
      </c>
      <c r="BI79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9">
        <f ca="1">Table1334[[#This Row],[charmc]]+Table1334[[#This Row],[charmp]]</f>
        <v>0</v>
      </c>
      <c r="BL79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9" s="78">
        <f ca="1">Table1334[[#This Row],[call helper]]+Table1334[[#This Row],[put helper]]</f>
        <v>0</v>
      </c>
      <c r="BP799" t="str">
        <f>RTD("tos.rtd", , "STRIKE", "."&amp;Table1334[[#This Row],[Ticker]]&amp;Table1334[[#This Row],[Expiry]]&amp;""&amp;"C"&amp;Table1334[[#This Row],[Spot]]+Table1334[[#This Row],[step]])</f>
        <v>N/A</v>
      </c>
    </row>
    <row r="800" spans="1:68" x14ac:dyDescent="0.25">
      <c r="A800" s="14">
        <f t="shared" ca="1" si="74"/>
        <v>-126.14810350076104</v>
      </c>
      <c r="C800" s="17"/>
      <c r="D800" t="str">
        <f>RTD("tos.rtd", , "OPEN_INT", "."&amp;Table1334[[#This Row],[Ticker]]&amp;Table1334[[#This Row],[Expiry]]&amp;""&amp;"C"&amp;Table1334[[#This Row],[Spot]]+Table1334[[#This Row],[step]])</f>
        <v>N/A</v>
      </c>
      <c r="E80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0" t="b">
        <f>IF(     ISNUMBER(Table1334[[#This Row],[Strike]]),RTD("tos.rtd", , "DELTA", "."&amp;Table1334[[#This Row],[Ticker]]&amp;Table1334[[#This Row],[Expiry]]&amp;""&amp;"C"&amp;Table1334[[#This Row],[Strike]]))</f>
        <v>0</v>
      </c>
      <c r="H800" s="17" cm="1">
        <f t="array" aca="1" ref="H800" ca="1">IndividualLegIVCore($A$4, Table1334[[#This Row],[Strike]], 0.0411, Table1334[[#This Row],[T]], ((Table1334[[#This Row],[BIDC]]+Table1334[[#This Row],[ASKC]])/2), TRUE)</f>
        <v>0.01</v>
      </c>
      <c r="I800" t="b">
        <f>IF(     ISNUMBER(Table1334[[#This Row],[Strike]]),RTD("tos.rtd", , "BID", "."&amp;Table1334[[#This Row],[Ticker]]&amp;Table1334[[#This Row],[Expiry]]&amp;""&amp;"C"&amp;Table1334[[#This Row],[Strike]]))</f>
        <v>0</v>
      </c>
      <c r="J800" t="b">
        <f>IF(     ISNUMBER(Table1334[[#This Row],[Strike]]),RTD("tos.rtd", , "ASK", "."&amp;Table1334[[#This Row],[Ticker]]&amp;Table1334[[#This Row],[Expiry]]&amp;""&amp;"C"&amp;Table1334[[#This Row],[Strike]]))</f>
        <v>0</v>
      </c>
      <c r="K800" s="17"/>
      <c r="M800" s="1">
        <f t="shared" si="75"/>
        <v>0</v>
      </c>
      <c r="N800" t="b">
        <f t="shared" si="76"/>
        <v>0</v>
      </c>
      <c r="P800" s="17" cm="1">
        <f t="array" aca="1" ref="P800" ca="1">IndividualLegIVCore($A$4, Table1334[[#This Row],[Strike]], 0.0411, Table1334[[#This Row],[T]], ((Table1334[[#This Row],[BIDP]]+Table1334[[#This Row],[ASKP]])/2), FALSE)</f>
        <v>0.01</v>
      </c>
      <c r="Q800" t="b">
        <f>IF(     ISNUMBER(Table1334[[#This Row],[Strike]]),RTD("tos.rtd", , "BID", "."&amp;Table1334[[#This Row],[Ticker]]&amp;Table1334[[#This Row],[Expiry]]&amp;""&amp;"P"&amp;Table1334[[#This Row],[Strike]]))</f>
        <v>0</v>
      </c>
      <c r="R800" t="b">
        <f>IF(     ISNUMBER(Table1334[[#This Row],[Strike]]),RTD("tos.rtd", , "ASK", "."&amp;Table1334[[#This Row],[Ticker]]&amp;Table1334[[#This Row],[Expiry]]&amp;""&amp;"P"&amp;Table1334[[#This Row],[Strike]]))</f>
        <v>0</v>
      </c>
      <c r="S800" s="17"/>
      <c r="T800" t="b">
        <f>IF(     ISNUMBER(Table1334[[#This Row],[Strike]]),RTD("tos.rtd", , "OPEN_INT", "."&amp;Table1334[[#This Row],[Ticker]]&amp;Table1334[[#This Row],[Expiry]]&amp;""&amp;"P"&amp;Table1334[[#This Row],[Strike]]))</f>
        <v>0</v>
      </c>
      <c r="U80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0" t="b">
        <f>IF(     ISNUMBER(Table1334[[#This Row],[Strike]]),RTD("tos.rtd", , "DELTA", "."&amp;Table1334[[#This Row],[Ticker]]&amp;Table1334[[#This Row],[Expiry]]&amp;""&amp;"P"&amp;Table1334[[#This Row],[Strike]]))</f>
        <v>0</v>
      </c>
      <c r="Y800" s="19">
        <f>40.5* IF($M$1="NDX", 10, IF(OR($M$1="SPX", $M$1="RUT"), 2, 1))</f>
        <v>81</v>
      </c>
      <c r="Z800">
        <f ca="1">IFERROR(Table1334[[#This Row],[call gamma]]*(Table1334[[#This Row],[Open.Int]])*$A$4^2,0)</f>
        <v>0</v>
      </c>
      <c r="AA800">
        <f ca="1">IFERROR(((Table1334[[#This Row],[Open.Int8]])*Table1334[[#This Row],[Put gamma]])*-1*$A$4^2,0)</f>
        <v>0</v>
      </c>
      <c r="AB800">
        <f ca="1">(Table1334[[#This Row],[Call Gex]]+Table1334[[#This Row],[Put Gex]])</f>
        <v>0</v>
      </c>
      <c r="AC800">
        <f ca="1">Table1334[[#This Row],[put delta adj]]+Table1334[[#This Row],[call delta adj]]</f>
        <v>0</v>
      </c>
      <c r="AD800">
        <f ca="1">Table1334[[#This Row],[Put Gex]]*Table1334[[#This Row],[DeltaP]]*-1</f>
        <v>0</v>
      </c>
      <c r="AE800">
        <f ca="1">Table1334[[#This Row],[Call Gex]]*Table1334[[#This Row],[DeltaC]]</f>
        <v>0</v>
      </c>
      <c r="AF800">
        <f>IF(Table1334[[#This Row],[DeltaC]]-ABS(Table1334[[#This Row],[DeltaP]])="0","0.01",Table1334[[#This Row],[DeltaC]]-ABS(Table1334[[#This Row],[DeltaP]]))</f>
        <v>0</v>
      </c>
      <c r="AG80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0" t="e">
        <f ca="1">(EXP(-(AG800^2)/2)/SQRT(2*PI())*EXP(0*SQRT(Table1334[[#This Row],[T]]))/$A$4*18%*SQRT(SQRT(Table1334[[#This Row],[T]])))</f>
        <v>#DIV/0!</v>
      </c>
      <c r="AJ800" t="e">
        <f ca="1">(EXP(-(AH800^2)/2)/SQRT(2*PI())*EXP(0*SQRT(Table1334[[#This Row],[T]]))/$A$4*18%*SQRT(SQRT(Table1334[[#This Row],[T]])))</f>
        <v>#DIV/0!</v>
      </c>
      <c r="AK800" t="e">
        <f ca="1">Table1334[[#This Row],[Call D1]]-Table1334[[#This Row],[IV Calc C]]*SQRT(Table1334[[#This Row],[T]])</f>
        <v>#DIV/0!</v>
      </c>
      <c r="AL800" t="e">
        <f ca="1">Table1334[[#This Row],[Put D1]]-Table1334[[#This Row],[IV Calc P]]*SQRT(Table1334[[#This Row],[T]])</f>
        <v>#DIV/0!</v>
      </c>
      <c r="AM800" t="e">
        <f ca="1">EXP(-0.5*Table1334[[#This Row],[Call D1]]^2)/SQRT(2*PI())</f>
        <v>#DIV/0!</v>
      </c>
      <c r="AN800" t="e">
        <f ca="1">EXP(-0.5*Table1334[[#This Row],[Put D1]]^2)/SQRT(2*PI())</f>
        <v>#DIV/0!</v>
      </c>
      <c r="AO80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0">
        <f ca="1">((Table1334[[#This Row],[call vanna]]+Table1334[[#This Row],[put vanna]])*$A$4)</f>
        <v>0</v>
      </c>
      <c r="AR80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0" s="9" t="str" cm="1">
        <f t="array" ref="AT800">_xlfn.IFS(     $M$1="SPX","SPXW",     $M$1="RUT","RUTW",  $M$1="NDX","NDXP",   TRUE,$M$1 )</f>
        <v>SPXW</v>
      </c>
      <c r="AU800" s="2">
        <f t="shared" si="77"/>
        <v>6915</v>
      </c>
      <c r="AV800" t="str">
        <f t="shared" si="78"/>
        <v>000100</v>
      </c>
      <c r="AY80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0">
        <f>((Table1334[[#This Row],[High C]]+Table1334[[#This Row],[Low C]])/2)*Table1334[[#This Row],[gammac]]*Table1334[[#This Row],[Volume]]</f>
        <v>0</v>
      </c>
      <c r="BD800">
        <f>((Table1334[[#This Row],[High P]]+Table1334[[#This Row],[Low P]])/2)*Table1334[[#This Row],[gammap]]*Table1334[[#This Row],[Volume9]]*-1</f>
        <v>0</v>
      </c>
      <c r="BE800">
        <f>(Table1334[[#This Row],[SgammaC]]+Table1334[[#This Row],[SgammaP]])*$A$4*-100</f>
        <v>0</v>
      </c>
      <c r="BF800">
        <f>Table1334[[#This Row],[DEXc]]+Table1334[[#This Row],[DEXp]]</f>
        <v>0</v>
      </c>
      <c r="BG800">
        <f>IFERROR(Table1334[[#This Row],[DeltaC]]*Table1334[[#This Row],[Open.Int]]*$A$4,0)</f>
        <v>0</v>
      </c>
      <c r="BH800">
        <f>IFERROR(Table1334[[#This Row],[DeltaP]]*Table1334[[#This Row],[Open.Int8]]*$A$4,0)</f>
        <v>0</v>
      </c>
      <c r="BI80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0">
        <f ca="1">Table1334[[#This Row],[charmc]]+Table1334[[#This Row],[charmp]]</f>
        <v>0</v>
      </c>
      <c r="BL80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0" s="78">
        <f ca="1">Table1334[[#This Row],[call helper]]+Table1334[[#This Row],[put helper]]</f>
        <v>0</v>
      </c>
      <c r="BP800" t="str">
        <f>RTD("tos.rtd", , "STRIKE", "."&amp;Table1334[[#This Row],[Ticker]]&amp;Table1334[[#This Row],[Expiry]]&amp;""&amp;"C"&amp;Table1334[[#This Row],[Spot]]+Table1334[[#This Row],[step]])</f>
        <v>N/A</v>
      </c>
    </row>
    <row r="801" spans="1:68" x14ac:dyDescent="0.25">
      <c r="A801" s="14">
        <f t="shared" ca="1" si="74"/>
        <v>-126.14810350076104</v>
      </c>
      <c r="C801" s="17"/>
      <c r="D801" t="str">
        <f>RTD("tos.rtd", , "OPEN_INT", "."&amp;Table1334[[#This Row],[Ticker]]&amp;Table1334[[#This Row],[Expiry]]&amp;""&amp;"C"&amp;Table1334[[#This Row],[Spot]]+Table1334[[#This Row],[step]])</f>
        <v>N/A</v>
      </c>
      <c r="E80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1" t="b">
        <f>IF(     ISNUMBER(Table1334[[#This Row],[Strike]]),RTD("tos.rtd", , "DELTA", "."&amp;Table1334[[#This Row],[Ticker]]&amp;Table1334[[#This Row],[Expiry]]&amp;""&amp;"C"&amp;Table1334[[#This Row],[Strike]]))</f>
        <v>0</v>
      </c>
      <c r="H801" s="17" cm="1">
        <f t="array" aca="1" ref="H801" ca="1">IndividualLegIVCore($A$4, Table1334[[#This Row],[Strike]], 0.0411, Table1334[[#This Row],[T]], ((Table1334[[#This Row],[BIDC]]+Table1334[[#This Row],[ASKC]])/2), TRUE)</f>
        <v>0.01</v>
      </c>
      <c r="I801" t="b">
        <f>IF(     ISNUMBER(Table1334[[#This Row],[Strike]]),RTD("tos.rtd", , "BID", "."&amp;Table1334[[#This Row],[Ticker]]&amp;Table1334[[#This Row],[Expiry]]&amp;""&amp;"C"&amp;Table1334[[#This Row],[Strike]]))</f>
        <v>0</v>
      </c>
      <c r="J801" t="b">
        <f>IF(     ISNUMBER(Table1334[[#This Row],[Strike]]),RTD("tos.rtd", , "ASK", "."&amp;Table1334[[#This Row],[Ticker]]&amp;Table1334[[#This Row],[Expiry]]&amp;""&amp;"C"&amp;Table1334[[#This Row],[Strike]]))</f>
        <v>0</v>
      </c>
      <c r="K801" s="17"/>
      <c r="M801" s="1">
        <f t="shared" si="75"/>
        <v>0</v>
      </c>
      <c r="N801" t="b">
        <f t="shared" si="76"/>
        <v>0</v>
      </c>
      <c r="P801" s="17" cm="1">
        <f t="array" aca="1" ref="P801" ca="1">IndividualLegIVCore($A$4, Table1334[[#This Row],[Strike]], 0.0411, Table1334[[#This Row],[T]], ((Table1334[[#This Row],[BIDP]]+Table1334[[#This Row],[ASKP]])/2), FALSE)</f>
        <v>0.01</v>
      </c>
      <c r="Q801" t="b">
        <f>IF(     ISNUMBER(Table1334[[#This Row],[Strike]]),RTD("tos.rtd", , "BID", "."&amp;Table1334[[#This Row],[Ticker]]&amp;Table1334[[#This Row],[Expiry]]&amp;""&amp;"P"&amp;Table1334[[#This Row],[Strike]]))</f>
        <v>0</v>
      </c>
      <c r="R801" t="b">
        <f>IF(     ISNUMBER(Table1334[[#This Row],[Strike]]),RTD("tos.rtd", , "ASK", "."&amp;Table1334[[#This Row],[Ticker]]&amp;Table1334[[#This Row],[Expiry]]&amp;""&amp;"P"&amp;Table1334[[#This Row],[Strike]]))</f>
        <v>0</v>
      </c>
      <c r="S801" s="17"/>
      <c r="T801" t="b">
        <f>IF(     ISNUMBER(Table1334[[#This Row],[Strike]]),RTD("tos.rtd", , "OPEN_INT", "."&amp;Table1334[[#This Row],[Ticker]]&amp;Table1334[[#This Row],[Expiry]]&amp;""&amp;"P"&amp;Table1334[[#This Row],[Strike]]))</f>
        <v>0</v>
      </c>
      <c r="U80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1" t="b">
        <f>IF(     ISNUMBER(Table1334[[#This Row],[Strike]]),RTD("tos.rtd", , "DELTA", "."&amp;Table1334[[#This Row],[Ticker]]&amp;Table1334[[#This Row],[Expiry]]&amp;""&amp;"P"&amp;Table1334[[#This Row],[Strike]]))</f>
        <v>0</v>
      </c>
      <c r="Y801" s="19">
        <f>41* IF($M$1="NDX", 10, IF(OR($M$1="SPX", $M$1="RUT"), 2, 1))</f>
        <v>82</v>
      </c>
      <c r="Z801">
        <f ca="1">IFERROR(Table1334[[#This Row],[call gamma]]*(Table1334[[#This Row],[Open.Int]])*$A$4^2,0)</f>
        <v>0</v>
      </c>
      <c r="AA801">
        <f ca="1">IFERROR(((Table1334[[#This Row],[Open.Int8]])*Table1334[[#This Row],[Put gamma]])*-1*$A$4^2,0)</f>
        <v>0</v>
      </c>
      <c r="AB801">
        <f ca="1">(Table1334[[#This Row],[Call Gex]]+Table1334[[#This Row],[Put Gex]])</f>
        <v>0</v>
      </c>
      <c r="AC801">
        <f ca="1">Table1334[[#This Row],[put delta adj]]+Table1334[[#This Row],[call delta adj]]</f>
        <v>0</v>
      </c>
      <c r="AD801">
        <f ca="1">Table1334[[#This Row],[Put Gex]]*Table1334[[#This Row],[DeltaP]]*-1</f>
        <v>0</v>
      </c>
      <c r="AE801">
        <f ca="1">Table1334[[#This Row],[Call Gex]]*Table1334[[#This Row],[DeltaC]]</f>
        <v>0</v>
      </c>
      <c r="AF801">
        <f>IF(Table1334[[#This Row],[DeltaC]]-ABS(Table1334[[#This Row],[DeltaP]])="0","0.01",Table1334[[#This Row],[DeltaC]]-ABS(Table1334[[#This Row],[DeltaP]]))</f>
        <v>0</v>
      </c>
      <c r="AG80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1" t="e">
        <f ca="1">(EXP(-(AG801^2)/2)/SQRT(2*PI())*EXP(0*SQRT(Table1334[[#This Row],[T]]))/$A$4*18%*SQRT(SQRT(Table1334[[#This Row],[T]])))</f>
        <v>#DIV/0!</v>
      </c>
      <c r="AJ801" t="e">
        <f ca="1">(EXP(-(AH801^2)/2)/SQRT(2*PI())*EXP(0*SQRT(Table1334[[#This Row],[T]]))/$A$4*18%*SQRT(SQRT(Table1334[[#This Row],[T]])))</f>
        <v>#DIV/0!</v>
      </c>
      <c r="AK801" t="e">
        <f ca="1">Table1334[[#This Row],[Call D1]]-Table1334[[#This Row],[IV Calc C]]*SQRT(Table1334[[#This Row],[T]])</f>
        <v>#DIV/0!</v>
      </c>
      <c r="AL801" t="e">
        <f ca="1">Table1334[[#This Row],[Put D1]]-Table1334[[#This Row],[IV Calc P]]*SQRT(Table1334[[#This Row],[T]])</f>
        <v>#DIV/0!</v>
      </c>
      <c r="AM801" t="e">
        <f ca="1">EXP(-0.5*Table1334[[#This Row],[Call D1]]^2)/SQRT(2*PI())</f>
        <v>#DIV/0!</v>
      </c>
      <c r="AN801" t="e">
        <f ca="1">EXP(-0.5*Table1334[[#This Row],[Put D1]]^2)/SQRT(2*PI())</f>
        <v>#DIV/0!</v>
      </c>
      <c r="AO80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1">
        <f ca="1">((Table1334[[#This Row],[call vanna]]+Table1334[[#This Row],[put vanna]])*$A$4)</f>
        <v>0</v>
      </c>
      <c r="AR80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1" s="9" t="str" cm="1">
        <f t="array" ref="AT801">_xlfn.IFS(     $M$1="SPX","SPXW",     $M$1="RUT","RUTW",  $M$1="NDX","NDXP",   TRUE,$M$1 )</f>
        <v>SPXW</v>
      </c>
      <c r="AU801" s="2">
        <f t="shared" si="77"/>
        <v>6915</v>
      </c>
      <c r="AV801" t="str">
        <f t="shared" si="78"/>
        <v>000100</v>
      </c>
      <c r="AY80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1">
        <f>((Table1334[[#This Row],[High C]]+Table1334[[#This Row],[Low C]])/2)*Table1334[[#This Row],[gammac]]*Table1334[[#This Row],[Volume]]</f>
        <v>0</v>
      </c>
      <c r="BD801">
        <f>((Table1334[[#This Row],[High P]]+Table1334[[#This Row],[Low P]])/2)*Table1334[[#This Row],[gammap]]*Table1334[[#This Row],[Volume9]]*-1</f>
        <v>0</v>
      </c>
      <c r="BE801">
        <f>(Table1334[[#This Row],[SgammaC]]+Table1334[[#This Row],[SgammaP]])*$A$4*-100</f>
        <v>0</v>
      </c>
      <c r="BF801">
        <f>Table1334[[#This Row],[DEXc]]+Table1334[[#This Row],[DEXp]]</f>
        <v>0</v>
      </c>
      <c r="BG801">
        <f>IFERROR(Table1334[[#This Row],[DeltaC]]*Table1334[[#This Row],[Open.Int]]*$A$4,0)</f>
        <v>0</v>
      </c>
      <c r="BH801">
        <f>IFERROR(Table1334[[#This Row],[DeltaP]]*Table1334[[#This Row],[Open.Int8]]*$A$4,0)</f>
        <v>0</v>
      </c>
      <c r="BI80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1">
        <f ca="1">Table1334[[#This Row],[charmc]]+Table1334[[#This Row],[charmp]]</f>
        <v>0</v>
      </c>
      <c r="BL80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1" s="78">
        <f ca="1">Table1334[[#This Row],[call helper]]+Table1334[[#This Row],[put helper]]</f>
        <v>0</v>
      </c>
      <c r="BP801" t="str">
        <f>RTD("tos.rtd", , "STRIKE", "."&amp;Table1334[[#This Row],[Ticker]]&amp;Table1334[[#This Row],[Expiry]]&amp;""&amp;"C"&amp;Table1334[[#This Row],[Spot]]+Table1334[[#This Row],[step]])</f>
        <v>N/A</v>
      </c>
    </row>
    <row r="802" spans="1:68" x14ac:dyDescent="0.25">
      <c r="A802" s="14">
        <f t="shared" ca="1" si="74"/>
        <v>-126.14810350076104</v>
      </c>
      <c r="C802" s="17"/>
      <c r="D802" t="str">
        <f>RTD("tos.rtd", , "OPEN_INT", "."&amp;Table1334[[#This Row],[Ticker]]&amp;Table1334[[#This Row],[Expiry]]&amp;""&amp;"C"&amp;Table1334[[#This Row],[Spot]]+Table1334[[#This Row],[step]])</f>
        <v>N/A</v>
      </c>
      <c r="E80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2" t="b">
        <f>IF(     ISNUMBER(Table1334[[#This Row],[Strike]]),RTD("tos.rtd", , "DELTA", "."&amp;Table1334[[#This Row],[Ticker]]&amp;Table1334[[#This Row],[Expiry]]&amp;""&amp;"C"&amp;Table1334[[#This Row],[Strike]]))</f>
        <v>0</v>
      </c>
      <c r="H802" s="17" cm="1">
        <f t="array" aca="1" ref="H802" ca="1">IndividualLegIVCore($A$4, Table1334[[#This Row],[Strike]], 0.0411, Table1334[[#This Row],[T]], ((Table1334[[#This Row],[BIDC]]+Table1334[[#This Row],[ASKC]])/2), TRUE)</f>
        <v>0.01</v>
      </c>
      <c r="I802" t="b">
        <f>IF(     ISNUMBER(Table1334[[#This Row],[Strike]]),RTD("tos.rtd", , "BID", "."&amp;Table1334[[#This Row],[Ticker]]&amp;Table1334[[#This Row],[Expiry]]&amp;""&amp;"C"&amp;Table1334[[#This Row],[Strike]]))</f>
        <v>0</v>
      </c>
      <c r="J802" t="b">
        <f>IF(     ISNUMBER(Table1334[[#This Row],[Strike]]),RTD("tos.rtd", , "ASK", "."&amp;Table1334[[#This Row],[Ticker]]&amp;Table1334[[#This Row],[Expiry]]&amp;""&amp;"C"&amp;Table1334[[#This Row],[Strike]]))</f>
        <v>0</v>
      </c>
      <c r="K802" s="17"/>
      <c r="M802" s="1">
        <f t="shared" si="75"/>
        <v>0</v>
      </c>
      <c r="N802" t="b">
        <f t="shared" si="76"/>
        <v>0</v>
      </c>
      <c r="P802" s="17" cm="1">
        <f t="array" aca="1" ref="P802" ca="1">IndividualLegIVCore($A$4, Table1334[[#This Row],[Strike]], 0.0411, Table1334[[#This Row],[T]], ((Table1334[[#This Row],[BIDP]]+Table1334[[#This Row],[ASKP]])/2), FALSE)</f>
        <v>0.01</v>
      </c>
      <c r="Q802" t="b">
        <f>IF(     ISNUMBER(Table1334[[#This Row],[Strike]]),RTD("tos.rtd", , "BID", "."&amp;Table1334[[#This Row],[Ticker]]&amp;Table1334[[#This Row],[Expiry]]&amp;""&amp;"P"&amp;Table1334[[#This Row],[Strike]]))</f>
        <v>0</v>
      </c>
      <c r="R802" t="b">
        <f>IF(     ISNUMBER(Table1334[[#This Row],[Strike]]),RTD("tos.rtd", , "ASK", "."&amp;Table1334[[#This Row],[Ticker]]&amp;Table1334[[#This Row],[Expiry]]&amp;""&amp;"P"&amp;Table1334[[#This Row],[Strike]]))</f>
        <v>0</v>
      </c>
      <c r="S802" s="17"/>
      <c r="T802" t="b">
        <f>IF(     ISNUMBER(Table1334[[#This Row],[Strike]]),RTD("tos.rtd", , "OPEN_INT", "."&amp;Table1334[[#This Row],[Ticker]]&amp;Table1334[[#This Row],[Expiry]]&amp;""&amp;"P"&amp;Table1334[[#This Row],[Strike]]))</f>
        <v>0</v>
      </c>
      <c r="U80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2" t="b">
        <f>IF(     ISNUMBER(Table1334[[#This Row],[Strike]]),RTD("tos.rtd", , "DELTA", "."&amp;Table1334[[#This Row],[Ticker]]&amp;Table1334[[#This Row],[Expiry]]&amp;""&amp;"P"&amp;Table1334[[#This Row],[Strike]]))</f>
        <v>0</v>
      </c>
      <c r="Y802" s="19">
        <f>41.5* IF($M$1="NDX", 10, IF(OR($M$1="SPX", $M$1="RUT"), 2, 1))</f>
        <v>83</v>
      </c>
      <c r="Z802">
        <f ca="1">IFERROR(Table1334[[#This Row],[call gamma]]*(Table1334[[#This Row],[Open.Int]])*$A$4^2,0)</f>
        <v>0</v>
      </c>
      <c r="AA802">
        <f ca="1">IFERROR(((Table1334[[#This Row],[Open.Int8]])*Table1334[[#This Row],[Put gamma]])*-1*$A$4^2,0)</f>
        <v>0</v>
      </c>
      <c r="AB802">
        <f ca="1">(Table1334[[#This Row],[Call Gex]]+Table1334[[#This Row],[Put Gex]])</f>
        <v>0</v>
      </c>
      <c r="AC802">
        <f ca="1">Table1334[[#This Row],[put delta adj]]+Table1334[[#This Row],[call delta adj]]</f>
        <v>0</v>
      </c>
      <c r="AD802">
        <f ca="1">Table1334[[#This Row],[Put Gex]]*Table1334[[#This Row],[DeltaP]]*-1</f>
        <v>0</v>
      </c>
      <c r="AE802">
        <f ca="1">Table1334[[#This Row],[Call Gex]]*Table1334[[#This Row],[DeltaC]]</f>
        <v>0</v>
      </c>
      <c r="AF802">
        <f>IF(Table1334[[#This Row],[DeltaC]]-ABS(Table1334[[#This Row],[DeltaP]])="0","0.01",Table1334[[#This Row],[DeltaC]]-ABS(Table1334[[#This Row],[DeltaP]]))</f>
        <v>0</v>
      </c>
      <c r="AG80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2" t="e">
        <f ca="1">(EXP(-(AG802^2)/2)/SQRT(2*PI())*EXP(0*SQRT(Table1334[[#This Row],[T]]))/$A$4*18%*SQRT(SQRT(Table1334[[#This Row],[T]])))</f>
        <v>#DIV/0!</v>
      </c>
      <c r="AJ802" t="e">
        <f ca="1">(EXP(-(AH802^2)/2)/SQRT(2*PI())*EXP(0*SQRT(Table1334[[#This Row],[T]]))/$A$4*18%*SQRT(SQRT(Table1334[[#This Row],[T]])))</f>
        <v>#DIV/0!</v>
      </c>
      <c r="AK802" t="e">
        <f ca="1">Table1334[[#This Row],[Call D1]]-Table1334[[#This Row],[IV Calc C]]*SQRT(Table1334[[#This Row],[T]])</f>
        <v>#DIV/0!</v>
      </c>
      <c r="AL802" t="e">
        <f ca="1">Table1334[[#This Row],[Put D1]]-Table1334[[#This Row],[IV Calc P]]*SQRT(Table1334[[#This Row],[T]])</f>
        <v>#DIV/0!</v>
      </c>
      <c r="AM802" t="e">
        <f ca="1">EXP(-0.5*Table1334[[#This Row],[Call D1]]^2)/SQRT(2*PI())</f>
        <v>#DIV/0!</v>
      </c>
      <c r="AN802" t="e">
        <f ca="1">EXP(-0.5*Table1334[[#This Row],[Put D1]]^2)/SQRT(2*PI())</f>
        <v>#DIV/0!</v>
      </c>
      <c r="AO80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2">
        <f ca="1">((Table1334[[#This Row],[call vanna]]+Table1334[[#This Row],[put vanna]])*$A$4)</f>
        <v>0</v>
      </c>
      <c r="AR80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2" s="9" t="str" cm="1">
        <f t="array" ref="AT802">_xlfn.IFS(     $M$1="SPX","SPXW",     $M$1="RUT","RUTW",  $M$1="NDX","NDXP",   TRUE,$M$1 )</f>
        <v>SPXW</v>
      </c>
      <c r="AU802" s="2">
        <f t="shared" si="77"/>
        <v>6915</v>
      </c>
      <c r="AV802" t="str">
        <f t="shared" si="78"/>
        <v>000100</v>
      </c>
      <c r="AY80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2">
        <f>((Table1334[[#This Row],[High C]]+Table1334[[#This Row],[Low C]])/2)*Table1334[[#This Row],[gammac]]*Table1334[[#This Row],[Volume]]</f>
        <v>0</v>
      </c>
      <c r="BD802">
        <f>((Table1334[[#This Row],[High P]]+Table1334[[#This Row],[Low P]])/2)*Table1334[[#This Row],[gammap]]*Table1334[[#This Row],[Volume9]]*-1</f>
        <v>0</v>
      </c>
      <c r="BE802">
        <f>(Table1334[[#This Row],[SgammaC]]+Table1334[[#This Row],[SgammaP]])*$A$4*-100</f>
        <v>0</v>
      </c>
      <c r="BF802">
        <f>Table1334[[#This Row],[DEXc]]+Table1334[[#This Row],[DEXp]]</f>
        <v>0</v>
      </c>
      <c r="BG802">
        <f>IFERROR(Table1334[[#This Row],[DeltaC]]*Table1334[[#This Row],[Open.Int]]*$A$4,0)</f>
        <v>0</v>
      </c>
      <c r="BH802">
        <f>IFERROR(Table1334[[#This Row],[DeltaP]]*Table1334[[#This Row],[Open.Int8]]*$A$4,0)</f>
        <v>0</v>
      </c>
      <c r="BI80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2">
        <f ca="1">Table1334[[#This Row],[charmc]]+Table1334[[#This Row],[charmp]]</f>
        <v>0</v>
      </c>
      <c r="BL80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2" s="78">
        <f ca="1">Table1334[[#This Row],[call helper]]+Table1334[[#This Row],[put helper]]</f>
        <v>0</v>
      </c>
      <c r="BP802" t="str">
        <f>RTD("tos.rtd", , "STRIKE", "."&amp;Table1334[[#This Row],[Ticker]]&amp;Table1334[[#This Row],[Expiry]]&amp;""&amp;"C"&amp;Table1334[[#This Row],[Spot]]+Table1334[[#This Row],[step]])</f>
        <v>N/A</v>
      </c>
    </row>
    <row r="803" spans="1:68" x14ac:dyDescent="0.25">
      <c r="A803" s="14">
        <f t="shared" ca="1" si="74"/>
        <v>-126.14810350076104</v>
      </c>
      <c r="C803" s="17"/>
      <c r="D803" t="str">
        <f>RTD("tos.rtd", , "OPEN_INT", "."&amp;Table1334[[#This Row],[Ticker]]&amp;Table1334[[#This Row],[Expiry]]&amp;""&amp;"C"&amp;Table1334[[#This Row],[Spot]]+Table1334[[#This Row],[step]])</f>
        <v>N/A</v>
      </c>
      <c r="E80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3" t="b">
        <f>IF(     ISNUMBER(Table1334[[#This Row],[Strike]]),RTD("tos.rtd", , "DELTA", "."&amp;Table1334[[#This Row],[Ticker]]&amp;Table1334[[#This Row],[Expiry]]&amp;""&amp;"C"&amp;Table1334[[#This Row],[Strike]]))</f>
        <v>0</v>
      </c>
      <c r="H803" s="17" cm="1">
        <f t="array" aca="1" ref="H803" ca="1">IndividualLegIVCore($A$4, Table1334[[#This Row],[Strike]], 0.0411, Table1334[[#This Row],[T]], ((Table1334[[#This Row],[BIDC]]+Table1334[[#This Row],[ASKC]])/2), TRUE)</f>
        <v>0.01</v>
      </c>
      <c r="I803" t="b">
        <f>IF(     ISNUMBER(Table1334[[#This Row],[Strike]]),RTD("tos.rtd", , "BID", "."&amp;Table1334[[#This Row],[Ticker]]&amp;Table1334[[#This Row],[Expiry]]&amp;""&amp;"C"&amp;Table1334[[#This Row],[Strike]]))</f>
        <v>0</v>
      </c>
      <c r="J803" t="b">
        <f>IF(     ISNUMBER(Table1334[[#This Row],[Strike]]),RTD("tos.rtd", , "ASK", "."&amp;Table1334[[#This Row],[Ticker]]&amp;Table1334[[#This Row],[Expiry]]&amp;""&amp;"C"&amp;Table1334[[#This Row],[Strike]]))</f>
        <v>0</v>
      </c>
      <c r="K803" s="17"/>
      <c r="M803" s="1">
        <f t="shared" si="75"/>
        <v>0</v>
      </c>
      <c r="N803" t="b">
        <f t="shared" si="76"/>
        <v>0</v>
      </c>
      <c r="P803" s="17" cm="1">
        <f t="array" aca="1" ref="P803" ca="1">IndividualLegIVCore($A$4, Table1334[[#This Row],[Strike]], 0.0411, Table1334[[#This Row],[T]], ((Table1334[[#This Row],[BIDP]]+Table1334[[#This Row],[ASKP]])/2), FALSE)</f>
        <v>0.01</v>
      </c>
      <c r="Q803" t="b">
        <f>IF(     ISNUMBER(Table1334[[#This Row],[Strike]]),RTD("tos.rtd", , "BID", "."&amp;Table1334[[#This Row],[Ticker]]&amp;Table1334[[#This Row],[Expiry]]&amp;""&amp;"P"&amp;Table1334[[#This Row],[Strike]]))</f>
        <v>0</v>
      </c>
      <c r="R803" t="b">
        <f>IF(     ISNUMBER(Table1334[[#This Row],[Strike]]),RTD("tos.rtd", , "ASK", "."&amp;Table1334[[#This Row],[Ticker]]&amp;Table1334[[#This Row],[Expiry]]&amp;""&amp;"P"&amp;Table1334[[#This Row],[Strike]]))</f>
        <v>0</v>
      </c>
      <c r="S803" s="17"/>
      <c r="T803" t="b">
        <f>IF(     ISNUMBER(Table1334[[#This Row],[Strike]]),RTD("tos.rtd", , "OPEN_INT", "."&amp;Table1334[[#This Row],[Ticker]]&amp;Table1334[[#This Row],[Expiry]]&amp;""&amp;"P"&amp;Table1334[[#This Row],[Strike]]))</f>
        <v>0</v>
      </c>
      <c r="U80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3" t="b">
        <f>IF(     ISNUMBER(Table1334[[#This Row],[Strike]]),RTD("tos.rtd", , "DELTA", "."&amp;Table1334[[#This Row],[Ticker]]&amp;Table1334[[#This Row],[Expiry]]&amp;""&amp;"P"&amp;Table1334[[#This Row],[Strike]]))</f>
        <v>0</v>
      </c>
      <c r="Y803" s="19">
        <f>42* IF($M$1="NDX", 10, IF(OR($M$1="SPX", $M$1="RUT"), 2, 1))</f>
        <v>84</v>
      </c>
      <c r="Z803">
        <f ca="1">IFERROR(Table1334[[#This Row],[call gamma]]*(Table1334[[#This Row],[Open.Int]])*$A$4^2,0)</f>
        <v>0</v>
      </c>
      <c r="AA803">
        <f ca="1">IFERROR(((Table1334[[#This Row],[Open.Int8]])*Table1334[[#This Row],[Put gamma]])*-1*$A$4^2,0)</f>
        <v>0</v>
      </c>
      <c r="AB803">
        <f ca="1">(Table1334[[#This Row],[Call Gex]]+Table1334[[#This Row],[Put Gex]])</f>
        <v>0</v>
      </c>
      <c r="AC803">
        <f ca="1">Table1334[[#This Row],[put delta adj]]+Table1334[[#This Row],[call delta adj]]</f>
        <v>0</v>
      </c>
      <c r="AD803">
        <f ca="1">Table1334[[#This Row],[Put Gex]]*Table1334[[#This Row],[DeltaP]]*-1</f>
        <v>0</v>
      </c>
      <c r="AE803">
        <f ca="1">Table1334[[#This Row],[Call Gex]]*Table1334[[#This Row],[DeltaC]]</f>
        <v>0</v>
      </c>
      <c r="AF803">
        <f>IF(Table1334[[#This Row],[DeltaC]]-ABS(Table1334[[#This Row],[DeltaP]])="0","0.01",Table1334[[#This Row],[DeltaC]]-ABS(Table1334[[#This Row],[DeltaP]]))</f>
        <v>0</v>
      </c>
      <c r="AG80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3" t="e">
        <f ca="1">(EXP(-(AG803^2)/2)/SQRT(2*PI())*EXP(0*SQRT(Table1334[[#This Row],[T]]))/$A$4*18%*SQRT(SQRT(Table1334[[#This Row],[T]])))</f>
        <v>#DIV/0!</v>
      </c>
      <c r="AJ803" t="e">
        <f ca="1">(EXP(-(AH803^2)/2)/SQRT(2*PI())*EXP(0*SQRT(Table1334[[#This Row],[T]]))/$A$4*18%*SQRT(SQRT(Table1334[[#This Row],[T]])))</f>
        <v>#DIV/0!</v>
      </c>
      <c r="AK803" t="e">
        <f ca="1">Table1334[[#This Row],[Call D1]]-Table1334[[#This Row],[IV Calc C]]*SQRT(Table1334[[#This Row],[T]])</f>
        <v>#DIV/0!</v>
      </c>
      <c r="AL803" t="e">
        <f ca="1">Table1334[[#This Row],[Put D1]]-Table1334[[#This Row],[IV Calc P]]*SQRT(Table1334[[#This Row],[T]])</f>
        <v>#DIV/0!</v>
      </c>
      <c r="AM803" t="e">
        <f ca="1">EXP(-0.5*Table1334[[#This Row],[Call D1]]^2)/SQRT(2*PI())</f>
        <v>#DIV/0!</v>
      </c>
      <c r="AN803" t="e">
        <f ca="1">EXP(-0.5*Table1334[[#This Row],[Put D1]]^2)/SQRT(2*PI())</f>
        <v>#DIV/0!</v>
      </c>
      <c r="AO80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3">
        <f ca="1">((Table1334[[#This Row],[call vanna]]+Table1334[[#This Row],[put vanna]])*$A$4)</f>
        <v>0</v>
      </c>
      <c r="AR80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3" s="9" t="str" cm="1">
        <f t="array" ref="AT803">_xlfn.IFS(     $M$1="SPX","SPXW",     $M$1="RUT","RUTW",  $M$1="NDX","NDXP",   TRUE,$M$1 )</f>
        <v>SPXW</v>
      </c>
      <c r="AU803" s="2">
        <f t="shared" si="77"/>
        <v>6915</v>
      </c>
      <c r="AV803" t="str">
        <f t="shared" si="78"/>
        <v>000100</v>
      </c>
      <c r="AY80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3">
        <f>((Table1334[[#This Row],[High C]]+Table1334[[#This Row],[Low C]])/2)*Table1334[[#This Row],[gammac]]*Table1334[[#This Row],[Volume]]</f>
        <v>0</v>
      </c>
      <c r="BD803">
        <f>((Table1334[[#This Row],[High P]]+Table1334[[#This Row],[Low P]])/2)*Table1334[[#This Row],[gammap]]*Table1334[[#This Row],[Volume9]]*-1</f>
        <v>0</v>
      </c>
      <c r="BE803">
        <f>(Table1334[[#This Row],[SgammaC]]+Table1334[[#This Row],[SgammaP]])*$A$4*-100</f>
        <v>0</v>
      </c>
      <c r="BF803">
        <f>Table1334[[#This Row],[DEXc]]+Table1334[[#This Row],[DEXp]]</f>
        <v>0</v>
      </c>
      <c r="BG803">
        <f>IFERROR(Table1334[[#This Row],[DeltaC]]*Table1334[[#This Row],[Open.Int]]*$A$4,0)</f>
        <v>0</v>
      </c>
      <c r="BH803">
        <f>IFERROR(Table1334[[#This Row],[DeltaP]]*Table1334[[#This Row],[Open.Int8]]*$A$4,0)</f>
        <v>0</v>
      </c>
      <c r="BI80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3">
        <f ca="1">Table1334[[#This Row],[charmc]]+Table1334[[#This Row],[charmp]]</f>
        <v>0</v>
      </c>
      <c r="BL80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3" s="78">
        <f ca="1">Table1334[[#This Row],[call helper]]+Table1334[[#This Row],[put helper]]</f>
        <v>0</v>
      </c>
      <c r="BP803" t="str">
        <f>RTD("tos.rtd", , "STRIKE", "."&amp;Table1334[[#This Row],[Ticker]]&amp;Table1334[[#This Row],[Expiry]]&amp;""&amp;"C"&amp;Table1334[[#This Row],[Spot]]+Table1334[[#This Row],[step]])</f>
        <v>N/A</v>
      </c>
    </row>
    <row r="804" spans="1:68" x14ac:dyDescent="0.25">
      <c r="A804" s="14">
        <f t="shared" ca="1" si="74"/>
        <v>-126.14810350076104</v>
      </c>
      <c r="C804" s="17"/>
      <c r="D804" t="str">
        <f>RTD("tos.rtd", , "OPEN_INT", "."&amp;Table1334[[#This Row],[Ticker]]&amp;Table1334[[#This Row],[Expiry]]&amp;""&amp;"C"&amp;Table1334[[#This Row],[Spot]]+Table1334[[#This Row],[step]])</f>
        <v>N/A</v>
      </c>
      <c r="E80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4" t="b">
        <f>IF(     ISNUMBER(Table1334[[#This Row],[Strike]]),RTD("tos.rtd", , "DELTA", "."&amp;Table1334[[#This Row],[Ticker]]&amp;Table1334[[#This Row],[Expiry]]&amp;""&amp;"C"&amp;Table1334[[#This Row],[Strike]]))</f>
        <v>0</v>
      </c>
      <c r="H804" s="17" cm="1">
        <f t="array" aca="1" ref="H804" ca="1">IndividualLegIVCore($A$4, Table1334[[#This Row],[Strike]], 0.0411, Table1334[[#This Row],[T]], ((Table1334[[#This Row],[BIDC]]+Table1334[[#This Row],[ASKC]])/2), TRUE)</f>
        <v>0.01</v>
      </c>
      <c r="I804" t="b">
        <f>IF(     ISNUMBER(Table1334[[#This Row],[Strike]]),RTD("tos.rtd", , "BID", "."&amp;Table1334[[#This Row],[Ticker]]&amp;Table1334[[#This Row],[Expiry]]&amp;""&amp;"C"&amp;Table1334[[#This Row],[Strike]]))</f>
        <v>0</v>
      </c>
      <c r="J804" t="b">
        <f>IF(     ISNUMBER(Table1334[[#This Row],[Strike]]),RTD("tos.rtd", , "ASK", "."&amp;Table1334[[#This Row],[Ticker]]&amp;Table1334[[#This Row],[Expiry]]&amp;""&amp;"C"&amp;Table1334[[#This Row],[Strike]]))</f>
        <v>0</v>
      </c>
      <c r="K804" s="17"/>
      <c r="M804" s="1">
        <f t="shared" si="75"/>
        <v>0</v>
      </c>
      <c r="N804" t="b">
        <f t="shared" si="76"/>
        <v>0</v>
      </c>
      <c r="P804" s="17" cm="1">
        <f t="array" aca="1" ref="P804" ca="1">IndividualLegIVCore($A$4, Table1334[[#This Row],[Strike]], 0.0411, Table1334[[#This Row],[T]], ((Table1334[[#This Row],[BIDP]]+Table1334[[#This Row],[ASKP]])/2), FALSE)</f>
        <v>0.01</v>
      </c>
      <c r="Q804" t="b">
        <f>IF(     ISNUMBER(Table1334[[#This Row],[Strike]]),RTD("tos.rtd", , "BID", "."&amp;Table1334[[#This Row],[Ticker]]&amp;Table1334[[#This Row],[Expiry]]&amp;""&amp;"P"&amp;Table1334[[#This Row],[Strike]]))</f>
        <v>0</v>
      </c>
      <c r="R804" t="b">
        <f>IF(     ISNUMBER(Table1334[[#This Row],[Strike]]),RTD("tos.rtd", , "ASK", "."&amp;Table1334[[#This Row],[Ticker]]&amp;Table1334[[#This Row],[Expiry]]&amp;""&amp;"P"&amp;Table1334[[#This Row],[Strike]]))</f>
        <v>0</v>
      </c>
      <c r="S804" s="17"/>
      <c r="T804" t="b">
        <f>IF(     ISNUMBER(Table1334[[#This Row],[Strike]]),RTD("tos.rtd", , "OPEN_INT", "."&amp;Table1334[[#This Row],[Ticker]]&amp;Table1334[[#This Row],[Expiry]]&amp;""&amp;"P"&amp;Table1334[[#This Row],[Strike]]))</f>
        <v>0</v>
      </c>
      <c r="U80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4" t="b">
        <f>IF(     ISNUMBER(Table1334[[#This Row],[Strike]]),RTD("tos.rtd", , "DELTA", "."&amp;Table1334[[#This Row],[Ticker]]&amp;Table1334[[#This Row],[Expiry]]&amp;""&amp;"P"&amp;Table1334[[#This Row],[Strike]]))</f>
        <v>0</v>
      </c>
      <c r="Y804" s="19">
        <f>42.5* IF($M$1="NDX", 10, IF(OR($M$1="SPX", $M$1="RUT"), 2, 1))</f>
        <v>85</v>
      </c>
      <c r="Z804">
        <f ca="1">IFERROR(Table1334[[#This Row],[call gamma]]*(Table1334[[#This Row],[Open.Int]])*$A$4^2,0)</f>
        <v>0</v>
      </c>
      <c r="AA804">
        <f ca="1">IFERROR(((Table1334[[#This Row],[Open.Int8]])*Table1334[[#This Row],[Put gamma]])*-1*$A$4^2,0)</f>
        <v>0</v>
      </c>
      <c r="AB804">
        <f ca="1">(Table1334[[#This Row],[Call Gex]]+Table1334[[#This Row],[Put Gex]])</f>
        <v>0</v>
      </c>
      <c r="AC804">
        <f ca="1">Table1334[[#This Row],[put delta adj]]+Table1334[[#This Row],[call delta adj]]</f>
        <v>0</v>
      </c>
      <c r="AD804">
        <f ca="1">Table1334[[#This Row],[Put Gex]]*Table1334[[#This Row],[DeltaP]]*-1</f>
        <v>0</v>
      </c>
      <c r="AE804">
        <f ca="1">Table1334[[#This Row],[Call Gex]]*Table1334[[#This Row],[DeltaC]]</f>
        <v>0</v>
      </c>
      <c r="AF804">
        <f>IF(Table1334[[#This Row],[DeltaC]]-ABS(Table1334[[#This Row],[DeltaP]])="0","0.01",Table1334[[#This Row],[DeltaC]]-ABS(Table1334[[#This Row],[DeltaP]]))</f>
        <v>0</v>
      </c>
      <c r="AG80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4" t="e">
        <f ca="1">(EXP(-(AG804^2)/2)/SQRT(2*PI())*EXP(0*SQRT(Table1334[[#This Row],[T]]))/$A$4*18%*SQRT(SQRT(Table1334[[#This Row],[T]])))</f>
        <v>#DIV/0!</v>
      </c>
      <c r="AJ804" t="e">
        <f ca="1">(EXP(-(AH804^2)/2)/SQRT(2*PI())*EXP(0*SQRT(Table1334[[#This Row],[T]]))/$A$4*18%*SQRT(SQRT(Table1334[[#This Row],[T]])))</f>
        <v>#DIV/0!</v>
      </c>
      <c r="AK804" t="e">
        <f ca="1">Table1334[[#This Row],[Call D1]]-Table1334[[#This Row],[IV Calc C]]*SQRT(Table1334[[#This Row],[T]])</f>
        <v>#DIV/0!</v>
      </c>
      <c r="AL804" t="e">
        <f ca="1">Table1334[[#This Row],[Put D1]]-Table1334[[#This Row],[IV Calc P]]*SQRT(Table1334[[#This Row],[T]])</f>
        <v>#DIV/0!</v>
      </c>
      <c r="AM804" t="e">
        <f ca="1">EXP(-0.5*Table1334[[#This Row],[Call D1]]^2)/SQRT(2*PI())</f>
        <v>#DIV/0!</v>
      </c>
      <c r="AN804" t="e">
        <f ca="1">EXP(-0.5*Table1334[[#This Row],[Put D1]]^2)/SQRT(2*PI())</f>
        <v>#DIV/0!</v>
      </c>
      <c r="AO80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4">
        <f ca="1">((Table1334[[#This Row],[call vanna]]+Table1334[[#This Row],[put vanna]])*$A$4)</f>
        <v>0</v>
      </c>
      <c r="AR80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4" s="9" t="str" cm="1">
        <f t="array" ref="AT804">_xlfn.IFS(     $M$1="SPX","SPXW",     $M$1="RUT","RUTW",  $M$1="NDX","NDXP",   TRUE,$M$1 )</f>
        <v>SPXW</v>
      </c>
      <c r="AU804" s="2">
        <f t="shared" si="77"/>
        <v>6915</v>
      </c>
      <c r="AV804" t="str">
        <f t="shared" si="78"/>
        <v>000100</v>
      </c>
      <c r="AY80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4">
        <f>((Table1334[[#This Row],[High C]]+Table1334[[#This Row],[Low C]])/2)*Table1334[[#This Row],[gammac]]*Table1334[[#This Row],[Volume]]</f>
        <v>0</v>
      </c>
      <c r="BD804">
        <f>((Table1334[[#This Row],[High P]]+Table1334[[#This Row],[Low P]])/2)*Table1334[[#This Row],[gammap]]*Table1334[[#This Row],[Volume9]]*-1</f>
        <v>0</v>
      </c>
      <c r="BE804">
        <f>(Table1334[[#This Row],[SgammaC]]+Table1334[[#This Row],[SgammaP]])*$A$4*-100</f>
        <v>0</v>
      </c>
      <c r="BF804">
        <f>Table1334[[#This Row],[DEXc]]+Table1334[[#This Row],[DEXp]]</f>
        <v>0</v>
      </c>
      <c r="BG804">
        <f>IFERROR(Table1334[[#This Row],[DeltaC]]*Table1334[[#This Row],[Open.Int]]*$A$4,0)</f>
        <v>0</v>
      </c>
      <c r="BH804">
        <f>IFERROR(Table1334[[#This Row],[DeltaP]]*Table1334[[#This Row],[Open.Int8]]*$A$4,0)</f>
        <v>0</v>
      </c>
      <c r="BI80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4">
        <f ca="1">Table1334[[#This Row],[charmc]]+Table1334[[#This Row],[charmp]]</f>
        <v>0</v>
      </c>
      <c r="BL80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4" s="78">
        <f ca="1">Table1334[[#This Row],[call helper]]+Table1334[[#This Row],[put helper]]</f>
        <v>0</v>
      </c>
      <c r="BP804" t="str">
        <f>RTD("tos.rtd", , "STRIKE", "."&amp;Table1334[[#This Row],[Ticker]]&amp;Table1334[[#This Row],[Expiry]]&amp;""&amp;"C"&amp;Table1334[[#This Row],[Spot]]+Table1334[[#This Row],[step]])</f>
        <v>N/A</v>
      </c>
    </row>
    <row r="805" spans="1:68" x14ac:dyDescent="0.25">
      <c r="A805" s="14">
        <f t="shared" ca="1" si="74"/>
        <v>-126.14810350076104</v>
      </c>
      <c r="C805" s="17"/>
      <c r="D805" t="str">
        <f>RTD("tos.rtd", , "OPEN_INT", "."&amp;Table1334[[#This Row],[Ticker]]&amp;Table1334[[#This Row],[Expiry]]&amp;""&amp;"C"&amp;Table1334[[#This Row],[Spot]]+Table1334[[#This Row],[step]])</f>
        <v>N/A</v>
      </c>
      <c r="E80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5" t="b">
        <f>IF(     ISNUMBER(Table1334[[#This Row],[Strike]]),RTD("tos.rtd", , "DELTA", "."&amp;Table1334[[#This Row],[Ticker]]&amp;Table1334[[#This Row],[Expiry]]&amp;""&amp;"C"&amp;Table1334[[#This Row],[Strike]]))</f>
        <v>0</v>
      </c>
      <c r="H805" s="17" cm="1">
        <f t="array" aca="1" ref="H805" ca="1">IndividualLegIVCore($A$4, Table1334[[#This Row],[Strike]], 0.0411, Table1334[[#This Row],[T]], ((Table1334[[#This Row],[BIDC]]+Table1334[[#This Row],[ASKC]])/2), TRUE)</f>
        <v>0.01</v>
      </c>
      <c r="I805" t="b">
        <f>IF(     ISNUMBER(Table1334[[#This Row],[Strike]]),RTD("tos.rtd", , "BID", "."&amp;Table1334[[#This Row],[Ticker]]&amp;Table1334[[#This Row],[Expiry]]&amp;""&amp;"C"&amp;Table1334[[#This Row],[Strike]]))</f>
        <v>0</v>
      </c>
      <c r="J805" t="b">
        <f>IF(     ISNUMBER(Table1334[[#This Row],[Strike]]),RTD("tos.rtd", , "ASK", "."&amp;Table1334[[#This Row],[Ticker]]&amp;Table1334[[#This Row],[Expiry]]&amp;""&amp;"C"&amp;Table1334[[#This Row],[Strike]]))</f>
        <v>0</v>
      </c>
      <c r="K805" s="17"/>
      <c r="M805" s="1">
        <f t="shared" si="75"/>
        <v>0</v>
      </c>
      <c r="N805" t="b">
        <f t="shared" si="76"/>
        <v>0</v>
      </c>
      <c r="P805" s="17" cm="1">
        <f t="array" aca="1" ref="P805" ca="1">IndividualLegIVCore($A$4, Table1334[[#This Row],[Strike]], 0.0411, Table1334[[#This Row],[T]], ((Table1334[[#This Row],[BIDP]]+Table1334[[#This Row],[ASKP]])/2), FALSE)</f>
        <v>0.01</v>
      </c>
      <c r="Q805" t="b">
        <f>IF(     ISNUMBER(Table1334[[#This Row],[Strike]]),RTD("tos.rtd", , "BID", "."&amp;Table1334[[#This Row],[Ticker]]&amp;Table1334[[#This Row],[Expiry]]&amp;""&amp;"P"&amp;Table1334[[#This Row],[Strike]]))</f>
        <v>0</v>
      </c>
      <c r="R805" t="b">
        <f>IF(     ISNUMBER(Table1334[[#This Row],[Strike]]),RTD("tos.rtd", , "ASK", "."&amp;Table1334[[#This Row],[Ticker]]&amp;Table1334[[#This Row],[Expiry]]&amp;""&amp;"P"&amp;Table1334[[#This Row],[Strike]]))</f>
        <v>0</v>
      </c>
      <c r="S805" s="17"/>
      <c r="T805" t="b">
        <f>IF(     ISNUMBER(Table1334[[#This Row],[Strike]]),RTD("tos.rtd", , "OPEN_INT", "."&amp;Table1334[[#This Row],[Ticker]]&amp;Table1334[[#This Row],[Expiry]]&amp;""&amp;"P"&amp;Table1334[[#This Row],[Strike]]))</f>
        <v>0</v>
      </c>
      <c r="U80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5" t="b">
        <f>IF(     ISNUMBER(Table1334[[#This Row],[Strike]]),RTD("tos.rtd", , "DELTA", "."&amp;Table1334[[#This Row],[Ticker]]&amp;Table1334[[#This Row],[Expiry]]&amp;""&amp;"P"&amp;Table1334[[#This Row],[Strike]]))</f>
        <v>0</v>
      </c>
      <c r="Y805" s="19">
        <f>43* IF($M$1="NDX", 10, IF(OR($M$1="SPX", $M$1="RUT"), 2, 1))</f>
        <v>86</v>
      </c>
      <c r="Z805">
        <f ca="1">IFERROR(Table1334[[#This Row],[call gamma]]*(Table1334[[#This Row],[Open.Int]])*$A$4^2,0)</f>
        <v>0</v>
      </c>
      <c r="AA805">
        <f ca="1">IFERROR(((Table1334[[#This Row],[Open.Int8]])*Table1334[[#This Row],[Put gamma]])*-1*$A$4^2,0)</f>
        <v>0</v>
      </c>
      <c r="AB805">
        <f ca="1">(Table1334[[#This Row],[Call Gex]]+Table1334[[#This Row],[Put Gex]])</f>
        <v>0</v>
      </c>
      <c r="AC805">
        <f ca="1">Table1334[[#This Row],[put delta adj]]+Table1334[[#This Row],[call delta adj]]</f>
        <v>0</v>
      </c>
      <c r="AD805">
        <f ca="1">Table1334[[#This Row],[Put Gex]]*Table1334[[#This Row],[DeltaP]]*-1</f>
        <v>0</v>
      </c>
      <c r="AE805">
        <f ca="1">Table1334[[#This Row],[Call Gex]]*Table1334[[#This Row],[DeltaC]]</f>
        <v>0</v>
      </c>
      <c r="AF805">
        <f>IF(Table1334[[#This Row],[DeltaC]]-ABS(Table1334[[#This Row],[DeltaP]])="0","0.01",Table1334[[#This Row],[DeltaC]]-ABS(Table1334[[#This Row],[DeltaP]]))</f>
        <v>0</v>
      </c>
      <c r="AG80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5" t="e">
        <f ca="1">(EXP(-(AG805^2)/2)/SQRT(2*PI())*EXP(0*SQRT(Table1334[[#This Row],[T]]))/$A$4*18%*SQRT(SQRT(Table1334[[#This Row],[T]])))</f>
        <v>#DIV/0!</v>
      </c>
      <c r="AJ805" t="e">
        <f ca="1">(EXP(-(AH805^2)/2)/SQRT(2*PI())*EXP(0*SQRT(Table1334[[#This Row],[T]]))/$A$4*18%*SQRT(SQRT(Table1334[[#This Row],[T]])))</f>
        <v>#DIV/0!</v>
      </c>
      <c r="AK805" t="e">
        <f ca="1">Table1334[[#This Row],[Call D1]]-Table1334[[#This Row],[IV Calc C]]*SQRT(Table1334[[#This Row],[T]])</f>
        <v>#DIV/0!</v>
      </c>
      <c r="AL805" t="e">
        <f ca="1">Table1334[[#This Row],[Put D1]]-Table1334[[#This Row],[IV Calc P]]*SQRT(Table1334[[#This Row],[T]])</f>
        <v>#DIV/0!</v>
      </c>
      <c r="AM805" t="e">
        <f ca="1">EXP(-0.5*Table1334[[#This Row],[Call D1]]^2)/SQRT(2*PI())</f>
        <v>#DIV/0!</v>
      </c>
      <c r="AN805" t="e">
        <f ca="1">EXP(-0.5*Table1334[[#This Row],[Put D1]]^2)/SQRT(2*PI())</f>
        <v>#DIV/0!</v>
      </c>
      <c r="AO80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5">
        <f ca="1">((Table1334[[#This Row],[call vanna]]+Table1334[[#This Row],[put vanna]])*$A$4)</f>
        <v>0</v>
      </c>
      <c r="AR80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5" s="9" t="str" cm="1">
        <f t="array" ref="AT805">_xlfn.IFS(     $M$1="SPX","SPXW",     $M$1="RUT","RUTW",  $M$1="NDX","NDXP",   TRUE,$M$1 )</f>
        <v>SPXW</v>
      </c>
      <c r="AU805" s="2">
        <f t="shared" si="77"/>
        <v>6915</v>
      </c>
      <c r="AV805" t="str">
        <f t="shared" si="78"/>
        <v>000100</v>
      </c>
      <c r="AY80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5">
        <f>((Table1334[[#This Row],[High C]]+Table1334[[#This Row],[Low C]])/2)*Table1334[[#This Row],[gammac]]*Table1334[[#This Row],[Volume]]</f>
        <v>0</v>
      </c>
      <c r="BD805">
        <f>((Table1334[[#This Row],[High P]]+Table1334[[#This Row],[Low P]])/2)*Table1334[[#This Row],[gammap]]*Table1334[[#This Row],[Volume9]]*-1</f>
        <v>0</v>
      </c>
      <c r="BE805">
        <f>(Table1334[[#This Row],[SgammaC]]+Table1334[[#This Row],[SgammaP]])*$A$4*-100</f>
        <v>0</v>
      </c>
      <c r="BF805">
        <f>Table1334[[#This Row],[DEXc]]+Table1334[[#This Row],[DEXp]]</f>
        <v>0</v>
      </c>
      <c r="BG805">
        <f>IFERROR(Table1334[[#This Row],[DeltaC]]*Table1334[[#This Row],[Open.Int]]*$A$4,0)</f>
        <v>0</v>
      </c>
      <c r="BH805">
        <f>IFERROR(Table1334[[#This Row],[DeltaP]]*Table1334[[#This Row],[Open.Int8]]*$A$4,0)</f>
        <v>0</v>
      </c>
      <c r="BI80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5">
        <f ca="1">Table1334[[#This Row],[charmc]]+Table1334[[#This Row],[charmp]]</f>
        <v>0</v>
      </c>
      <c r="BL80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5" s="78">
        <f ca="1">Table1334[[#This Row],[call helper]]+Table1334[[#This Row],[put helper]]</f>
        <v>0</v>
      </c>
      <c r="BP805" t="str">
        <f>RTD("tos.rtd", , "STRIKE", "."&amp;Table1334[[#This Row],[Ticker]]&amp;Table1334[[#This Row],[Expiry]]&amp;""&amp;"C"&amp;Table1334[[#This Row],[Spot]]+Table1334[[#This Row],[step]])</f>
        <v>N/A</v>
      </c>
    </row>
    <row r="806" spans="1:68" x14ac:dyDescent="0.25">
      <c r="A806" s="14">
        <f t="shared" ca="1" si="74"/>
        <v>-126.14810350076104</v>
      </c>
      <c r="C806" s="17"/>
      <c r="D806" t="str">
        <f>RTD("tos.rtd", , "OPEN_INT", "."&amp;Table1334[[#This Row],[Ticker]]&amp;Table1334[[#This Row],[Expiry]]&amp;""&amp;"C"&amp;Table1334[[#This Row],[Spot]]+Table1334[[#This Row],[step]])</f>
        <v>N/A</v>
      </c>
      <c r="E80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6" t="b">
        <f>IF(     ISNUMBER(Table1334[[#This Row],[Strike]]),RTD("tos.rtd", , "DELTA", "."&amp;Table1334[[#This Row],[Ticker]]&amp;Table1334[[#This Row],[Expiry]]&amp;""&amp;"C"&amp;Table1334[[#This Row],[Strike]]))</f>
        <v>0</v>
      </c>
      <c r="H806" s="17" cm="1">
        <f t="array" aca="1" ref="H806" ca="1">IndividualLegIVCore($A$4, Table1334[[#This Row],[Strike]], 0.0411, Table1334[[#This Row],[T]], ((Table1334[[#This Row],[BIDC]]+Table1334[[#This Row],[ASKC]])/2), TRUE)</f>
        <v>0.01</v>
      </c>
      <c r="I806" t="b">
        <f>IF(     ISNUMBER(Table1334[[#This Row],[Strike]]),RTD("tos.rtd", , "BID", "."&amp;Table1334[[#This Row],[Ticker]]&amp;Table1334[[#This Row],[Expiry]]&amp;""&amp;"C"&amp;Table1334[[#This Row],[Strike]]))</f>
        <v>0</v>
      </c>
      <c r="J806" t="b">
        <f>IF(     ISNUMBER(Table1334[[#This Row],[Strike]]),RTD("tos.rtd", , "ASK", "."&amp;Table1334[[#This Row],[Ticker]]&amp;Table1334[[#This Row],[Expiry]]&amp;""&amp;"C"&amp;Table1334[[#This Row],[Strike]]))</f>
        <v>0</v>
      </c>
      <c r="K806" s="17"/>
      <c r="M806" s="1">
        <f t="shared" si="75"/>
        <v>0</v>
      </c>
      <c r="N806" t="b">
        <f t="shared" si="76"/>
        <v>0</v>
      </c>
      <c r="P806" s="17" cm="1">
        <f t="array" aca="1" ref="P806" ca="1">IndividualLegIVCore($A$4, Table1334[[#This Row],[Strike]], 0.0411, Table1334[[#This Row],[T]], ((Table1334[[#This Row],[BIDP]]+Table1334[[#This Row],[ASKP]])/2), FALSE)</f>
        <v>0.01</v>
      </c>
      <c r="Q806" t="b">
        <f>IF(     ISNUMBER(Table1334[[#This Row],[Strike]]),RTD("tos.rtd", , "BID", "."&amp;Table1334[[#This Row],[Ticker]]&amp;Table1334[[#This Row],[Expiry]]&amp;""&amp;"P"&amp;Table1334[[#This Row],[Strike]]))</f>
        <v>0</v>
      </c>
      <c r="R806" t="b">
        <f>IF(     ISNUMBER(Table1334[[#This Row],[Strike]]),RTD("tos.rtd", , "ASK", "."&amp;Table1334[[#This Row],[Ticker]]&amp;Table1334[[#This Row],[Expiry]]&amp;""&amp;"P"&amp;Table1334[[#This Row],[Strike]]))</f>
        <v>0</v>
      </c>
      <c r="S806" s="17"/>
      <c r="T806" t="b">
        <f>IF(     ISNUMBER(Table1334[[#This Row],[Strike]]),RTD("tos.rtd", , "OPEN_INT", "."&amp;Table1334[[#This Row],[Ticker]]&amp;Table1334[[#This Row],[Expiry]]&amp;""&amp;"P"&amp;Table1334[[#This Row],[Strike]]))</f>
        <v>0</v>
      </c>
      <c r="U80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6" t="b">
        <f>IF(     ISNUMBER(Table1334[[#This Row],[Strike]]),RTD("tos.rtd", , "DELTA", "."&amp;Table1334[[#This Row],[Ticker]]&amp;Table1334[[#This Row],[Expiry]]&amp;""&amp;"P"&amp;Table1334[[#This Row],[Strike]]))</f>
        <v>0</v>
      </c>
      <c r="Y806" s="19">
        <f>43.5* IF($M$1="NDX", 10, IF(OR($M$1="SPX", $M$1="RUT"), 2, 1))</f>
        <v>87</v>
      </c>
      <c r="Z806">
        <f ca="1">IFERROR(Table1334[[#This Row],[call gamma]]*(Table1334[[#This Row],[Open.Int]])*$A$4^2,0)</f>
        <v>0</v>
      </c>
      <c r="AA806">
        <f ca="1">IFERROR(((Table1334[[#This Row],[Open.Int8]])*Table1334[[#This Row],[Put gamma]])*-1*$A$4^2,0)</f>
        <v>0</v>
      </c>
      <c r="AB806">
        <f ca="1">(Table1334[[#This Row],[Call Gex]]+Table1334[[#This Row],[Put Gex]])</f>
        <v>0</v>
      </c>
      <c r="AC806">
        <f ca="1">Table1334[[#This Row],[put delta adj]]+Table1334[[#This Row],[call delta adj]]</f>
        <v>0</v>
      </c>
      <c r="AD806">
        <f ca="1">Table1334[[#This Row],[Put Gex]]*Table1334[[#This Row],[DeltaP]]*-1</f>
        <v>0</v>
      </c>
      <c r="AE806">
        <f ca="1">Table1334[[#This Row],[Call Gex]]*Table1334[[#This Row],[DeltaC]]</f>
        <v>0</v>
      </c>
      <c r="AF806">
        <f>IF(Table1334[[#This Row],[DeltaC]]-ABS(Table1334[[#This Row],[DeltaP]])="0","0.01",Table1334[[#This Row],[DeltaC]]-ABS(Table1334[[#This Row],[DeltaP]]))</f>
        <v>0</v>
      </c>
      <c r="AG80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6" t="e">
        <f ca="1">(EXP(-(AG806^2)/2)/SQRT(2*PI())*EXP(0*SQRT(Table1334[[#This Row],[T]]))/$A$4*18%*SQRT(SQRT(Table1334[[#This Row],[T]])))</f>
        <v>#DIV/0!</v>
      </c>
      <c r="AJ806" t="e">
        <f ca="1">(EXP(-(AH806^2)/2)/SQRT(2*PI())*EXP(0*SQRT(Table1334[[#This Row],[T]]))/$A$4*18%*SQRT(SQRT(Table1334[[#This Row],[T]])))</f>
        <v>#DIV/0!</v>
      </c>
      <c r="AK806" t="e">
        <f ca="1">Table1334[[#This Row],[Call D1]]-Table1334[[#This Row],[IV Calc C]]*SQRT(Table1334[[#This Row],[T]])</f>
        <v>#DIV/0!</v>
      </c>
      <c r="AL806" t="e">
        <f ca="1">Table1334[[#This Row],[Put D1]]-Table1334[[#This Row],[IV Calc P]]*SQRT(Table1334[[#This Row],[T]])</f>
        <v>#DIV/0!</v>
      </c>
      <c r="AM806" t="e">
        <f ca="1">EXP(-0.5*Table1334[[#This Row],[Call D1]]^2)/SQRT(2*PI())</f>
        <v>#DIV/0!</v>
      </c>
      <c r="AN806" t="e">
        <f ca="1">EXP(-0.5*Table1334[[#This Row],[Put D1]]^2)/SQRT(2*PI())</f>
        <v>#DIV/0!</v>
      </c>
      <c r="AO80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6">
        <f ca="1">((Table1334[[#This Row],[call vanna]]+Table1334[[#This Row],[put vanna]])*$A$4)</f>
        <v>0</v>
      </c>
      <c r="AR80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6" s="9" t="str" cm="1">
        <f t="array" ref="AT806">_xlfn.IFS(     $M$1="SPX","SPXW",     $M$1="RUT","RUTW",  $M$1="NDX","NDXP",   TRUE,$M$1 )</f>
        <v>SPXW</v>
      </c>
      <c r="AU806" s="2">
        <f t="shared" si="77"/>
        <v>6915</v>
      </c>
      <c r="AV806" t="str">
        <f t="shared" si="78"/>
        <v>000100</v>
      </c>
      <c r="AY80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6">
        <f>((Table1334[[#This Row],[High C]]+Table1334[[#This Row],[Low C]])/2)*Table1334[[#This Row],[gammac]]*Table1334[[#This Row],[Volume]]</f>
        <v>0</v>
      </c>
      <c r="BD806">
        <f>((Table1334[[#This Row],[High P]]+Table1334[[#This Row],[Low P]])/2)*Table1334[[#This Row],[gammap]]*Table1334[[#This Row],[Volume9]]*-1</f>
        <v>0</v>
      </c>
      <c r="BE806">
        <f>(Table1334[[#This Row],[SgammaC]]+Table1334[[#This Row],[SgammaP]])*$A$4*-100</f>
        <v>0</v>
      </c>
      <c r="BF806">
        <f>Table1334[[#This Row],[DEXc]]+Table1334[[#This Row],[DEXp]]</f>
        <v>0</v>
      </c>
      <c r="BG806">
        <f>IFERROR(Table1334[[#This Row],[DeltaC]]*Table1334[[#This Row],[Open.Int]]*$A$4,0)</f>
        <v>0</v>
      </c>
      <c r="BH806">
        <f>IFERROR(Table1334[[#This Row],[DeltaP]]*Table1334[[#This Row],[Open.Int8]]*$A$4,0)</f>
        <v>0</v>
      </c>
      <c r="BI80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6">
        <f ca="1">Table1334[[#This Row],[charmc]]+Table1334[[#This Row],[charmp]]</f>
        <v>0</v>
      </c>
      <c r="BL80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6" s="78">
        <f ca="1">Table1334[[#This Row],[call helper]]+Table1334[[#This Row],[put helper]]</f>
        <v>0</v>
      </c>
      <c r="BP806" t="str">
        <f>RTD("tos.rtd", , "STRIKE", "."&amp;Table1334[[#This Row],[Ticker]]&amp;Table1334[[#This Row],[Expiry]]&amp;""&amp;"C"&amp;Table1334[[#This Row],[Spot]]+Table1334[[#This Row],[step]])</f>
        <v>N/A</v>
      </c>
    </row>
    <row r="807" spans="1:68" x14ac:dyDescent="0.25">
      <c r="A807" s="14">
        <f t="shared" ca="1" si="74"/>
        <v>-126.14810350076104</v>
      </c>
      <c r="C807" s="17"/>
      <c r="D807" t="str">
        <f>RTD("tos.rtd", , "OPEN_INT", "."&amp;Table1334[[#This Row],[Ticker]]&amp;Table1334[[#This Row],[Expiry]]&amp;""&amp;"C"&amp;Table1334[[#This Row],[Spot]]+Table1334[[#This Row],[step]])</f>
        <v>N/A</v>
      </c>
      <c r="E80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7" t="b">
        <f>IF(     ISNUMBER(Table1334[[#This Row],[Strike]]),RTD("tos.rtd", , "DELTA", "."&amp;Table1334[[#This Row],[Ticker]]&amp;Table1334[[#This Row],[Expiry]]&amp;""&amp;"C"&amp;Table1334[[#This Row],[Strike]]))</f>
        <v>0</v>
      </c>
      <c r="H807" s="17" cm="1">
        <f t="array" aca="1" ref="H807" ca="1">IndividualLegIVCore($A$4, Table1334[[#This Row],[Strike]], 0.0411, Table1334[[#This Row],[T]], ((Table1334[[#This Row],[BIDC]]+Table1334[[#This Row],[ASKC]])/2), TRUE)</f>
        <v>0.01</v>
      </c>
      <c r="I807" t="b">
        <f>IF(     ISNUMBER(Table1334[[#This Row],[Strike]]),RTD("tos.rtd", , "BID", "."&amp;Table1334[[#This Row],[Ticker]]&amp;Table1334[[#This Row],[Expiry]]&amp;""&amp;"C"&amp;Table1334[[#This Row],[Strike]]))</f>
        <v>0</v>
      </c>
      <c r="J807" t="b">
        <f>IF(     ISNUMBER(Table1334[[#This Row],[Strike]]),RTD("tos.rtd", , "ASK", "."&amp;Table1334[[#This Row],[Ticker]]&amp;Table1334[[#This Row],[Expiry]]&amp;""&amp;"C"&amp;Table1334[[#This Row],[Strike]]))</f>
        <v>0</v>
      </c>
      <c r="K807" s="17"/>
      <c r="M807" s="1">
        <f t="shared" si="75"/>
        <v>0</v>
      </c>
      <c r="N807" t="b">
        <f t="shared" si="76"/>
        <v>0</v>
      </c>
      <c r="P807" s="17" cm="1">
        <f t="array" aca="1" ref="P807" ca="1">IndividualLegIVCore($A$4, Table1334[[#This Row],[Strike]], 0.0411, Table1334[[#This Row],[T]], ((Table1334[[#This Row],[BIDP]]+Table1334[[#This Row],[ASKP]])/2), FALSE)</f>
        <v>0.01</v>
      </c>
      <c r="Q807" t="b">
        <f>IF(     ISNUMBER(Table1334[[#This Row],[Strike]]),RTD("tos.rtd", , "BID", "."&amp;Table1334[[#This Row],[Ticker]]&amp;Table1334[[#This Row],[Expiry]]&amp;""&amp;"P"&amp;Table1334[[#This Row],[Strike]]))</f>
        <v>0</v>
      </c>
      <c r="R807" t="b">
        <f>IF(     ISNUMBER(Table1334[[#This Row],[Strike]]),RTD("tos.rtd", , "ASK", "."&amp;Table1334[[#This Row],[Ticker]]&amp;Table1334[[#This Row],[Expiry]]&amp;""&amp;"P"&amp;Table1334[[#This Row],[Strike]]))</f>
        <v>0</v>
      </c>
      <c r="S807" s="17"/>
      <c r="T807" t="b">
        <f>IF(     ISNUMBER(Table1334[[#This Row],[Strike]]),RTD("tos.rtd", , "OPEN_INT", "."&amp;Table1334[[#This Row],[Ticker]]&amp;Table1334[[#This Row],[Expiry]]&amp;""&amp;"P"&amp;Table1334[[#This Row],[Strike]]))</f>
        <v>0</v>
      </c>
      <c r="U80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7" t="b">
        <f>IF(     ISNUMBER(Table1334[[#This Row],[Strike]]),RTD("tos.rtd", , "DELTA", "."&amp;Table1334[[#This Row],[Ticker]]&amp;Table1334[[#This Row],[Expiry]]&amp;""&amp;"P"&amp;Table1334[[#This Row],[Strike]]))</f>
        <v>0</v>
      </c>
      <c r="Y807" s="19">
        <f>44* IF($M$1="NDX", 10, IF(OR($M$1="SPX", $M$1="RUT"), 2, 1))</f>
        <v>88</v>
      </c>
      <c r="Z807">
        <f ca="1">IFERROR(Table1334[[#This Row],[call gamma]]*(Table1334[[#This Row],[Open.Int]])*$A$4^2,0)</f>
        <v>0</v>
      </c>
      <c r="AA807">
        <f ca="1">IFERROR(((Table1334[[#This Row],[Open.Int8]])*Table1334[[#This Row],[Put gamma]])*-1*$A$4^2,0)</f>
        <v>0</v>
      </c>
      <c r="AB807">
        <f ca="1">(Table1334[[#This Row],[Call Gex]]+Table1334[[#This Row],[Put Gex]])</f>
        <v>0</v>
      </c>
      <c r="AC807">
        <f ca="1">Table1334[[#This Row],[put delta adj]]+Table1334[[#This Row],[call delta adj]]</f>
        <v>0</v>
      </c>
      <c r="AD807">
        <f ca="1">Table1334[[#This Row],[Put Gex]]*Table1334[[#This Row],[DeltaP]]*-1</f>
        <v>0</v>
      </c>
      <c r="AE807">
        <f ca="1">Table1334[[#This Row],[Call Gex]]*Table1334[[#This Row],[DeltaC]]</f>
        <v>0</v>
      </c>
      <c r="AF807">
        <f>IF(Table1334[[#This Row],[DeltaC]]-ABS(Table1334[[#This Row],[DeltaP]])="0","0.01",Table1334[[#This Row],[DeltaC]]-ABS(Table1334[[#This Row],[DeltaP]]))</f>
        <v>0</v>
      </c>
      <c r="AG80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7" t="e">
        <f ca="1">(EXP(-(AG807^2)/2)/SQRT(2*PI())*EXP(0*SQRT(Table1334[[#This Row],[T]]))/$A$4*18%*SQRT(SQRT(Table1334[[#This Row],[T]])))</f>
        <v>#DIV/0!</v>
      </c>
      <c r="AJ807" t="e">
        <f ca="1">(EXP(-(AH807^2)/2)/SQRT(2*PI())*EXP(0*SQRT(Table1334[[#This Row],[T]]))/$A$4*18%*SQRT(SQRT(Table1334[[#This Row],[T]])))</f>
        <v>#DIV/0!</v>
      </c>
      <c r="AK807" t="e">
        <f ca="1">Table1334[[#This Row],[Call D1]]-Table1334[[#This Row],[IV Calc C]]*SQRT(Table1334[[#This Row],[T]])</f>
        <v>#DIV/0!</v>
      </c>
      <c r="AL807" t="e">
        <f ca="1">Table1334[[#This Row],[Put D1]]-Table1334[[#This Row],[IV Calc P]]*SQRT(Table1334[[#This Row],[T]])</f>
        <v>#DIV/0!</v>
      </c>
      <c r="AM807" t="e">
        <f ca="1">EXP(-0.5*Table1334[[#This Row],[Call D1]]^2)/SQRT(2*PI())</f>
        <v>#DIV/0!</v>
      </c>
      <c r="AN807" t="e">
        <f ca="1">EXP(-0.5*Table1334[[#This Row],[Put D1]]^2)/SQRT(2*PI())</f>
        <v>#DIV/0!</v>
      </c>
      <c r="AO80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7">
        <f ca="1">((Table1334[[#This Row],[call vanna]]+Table1334[[#This Row],[put vanna]])*$A$4)</f>
        <v>0</v>
      </c>
      <c r="AR80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7" s="9" t="str" cm="1">
        <f t="array" ref="AT807">_xlfn.IFS(     $M$1="SPX","SPXW",     $M$1="RUT","RUTW",  $M$1="NDX","NDXP",   TRUE,$M$1 )</f>
        <v>SPXW</v>
      </c>
      <c r="AU807" s="2">
        <f t="shared" si="77"/>
        <v>6915</v>
      </c>
      <c r="AV807" t="str">
        <f t="shared" si="78"/>
        <v>000100</v>
      </c>
      <c r="AY80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7">
        <f>((Table1334[[#This Row],[High C]]+Table1334[[#This Row],[Low C]])/2)*Table1334[[#This Row],[gammac]]*Table1334[[#This Row],[Volume]]</f>
        <v>0</v>
      </c>
      <c r="BD807">
        <f>((Table1334[[#This Row],[High P]]+Table1334[[#This Row],[Low P]])/2)*Table1334[[#This Row],[gammap]]*Table1334[[#This Row],[Volume9]]*-1</f>
        <v>0</v>
      </c>
      <c r="BE807">
        <f>(Table1334[[#This Row],[SgammaC]]+Table1334[[#This Row],[SgammaP]])*$A$4*-100</f>
        <v>0</v>
      </c>
      <c r="BF807">
        <f>Table1334[[#This Row],[DEXc]]+Table1334[[#This Row],[DEXp]]</f>
        <v>0</v>
      </c>
      <c r="BG807">
        <f>IFERROR(Table1334[[#This Row],[DeltaC]]*Table1334[[#This Row],[Open.Int]]*$A$4,0)</f>
        <v>0</v>
      </c>
      <c r="BH807">
        <f>IFERROR(Table1334[[#This Row],[DeltaP]]*Table1334[[#This Row],[Open.Int8]]*$A$4,0)</f>
        <v>0</v>
      </c>
      <c r="BI80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7">
        <f ca="1">Table1334[[#This Row],[charmc]]+Table1334[[#This Row],[charmp]]</f>
        <v>0</v>
      </c>
      <c r="BL80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7" s="78">
        <f ca="1">Table1334[[#This Row],[call helper]]+Table1334[[#This Row],[put helper]]</f>
        <v>0</v>
      </c>
      <c r="BP807" t="str">
        <f>RTD("tos.rtd", , "STRIKE", "."&amp;Table1334[[#This Row],[Ticker]]&amp;Table1334[[#This Row],[Expiry]]&amp;""&amp;"C"&amp;Table1334[[#This Row],[Spot]]+Table1334[[#This Row],[step]])</f>
        <v>N/A</v>
      </c>
    </row>
    <row r="808" spans="1:68" x14ac:dyDescent="0.25">
      <c r="A808" s="14">
        <f t="shared" ca="1" si="74"/>
        <v>-126.14810350076104</v>
      </c>
      <c r="C808" s="17"/>
      <c r="D808" t="str">
        <f>RTD("tos.rtd", , "OPEN_INT", "."&amp;Table1334[[#This Row],[Ticker]]&amp;Table1334[[#This Row],[Expiry]]&amp;""&amp;"C"&amp;Table1334[[#This Row],[Spot]]+Table1334[[#This Row],[step]])</f>
        <v>N/A</v>
      </c>
      <c r="E80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8" t="b">
        <f>IF(     ISNUMBER(Table1334[[#This Row],[Strike]]),RTD("tos.rtd", , "DELTA", "."&amp;Table1334[[#This Row],[Ticker]]&amp;Table1334[[#This Row],[Expiry]]&amp;""&amp;"C"&amp;Table1334[[#This Row],[Strike]]))</f>
        <v>0</v>
      </c>
      <c r="H808" s="17" cm="1">
        <f t="array" aca="1" ref="H808" ca="1">IndividualLegIVCore($A$4, Table1334[[#This Row],[Strike]], 0.0411, Table1334[[#This Row],[T]], ((Table1334[[#This Row],[BIDC]]+Table1334[[#This Row],[ASKC]])/2), TRUE)</f>
        <v>0.01</v>
      </c>
      <c r="I808" t="b">
        <f>IF(     ISNUMBER(Table1334[[#This Row],[Strike]]),RTD("tos.rtd", , "BID", "."&amp;Table1334[[#This Row],[Ticker]]&amp;Table1334[[#This Row],[Expiry]]&amp;""&amp;"C"&amp;Table1334[[#This Row],[Strike]]))</f>
        <v>0</v>
      </c>
      <c r="J808" t="b">
        <f>IF(     ISNUMBER(Table1334[[#This Row],[Strike]]),RTD("tos.rtd", , "ASK", "."&amp;Table1334[[#This Row],[Ticker]]&amp;Table1334[[#This Row],[Expiry]]&amp;""&amp;"C"&amp;Table1334[[#This Row],[Strike]]))</f>
        <v>0</v>
      </c>
      <c r="K808" s="17"/>
      <c r="M808" s="1">
        <f t="shared" si="75"/>
        <v>0</v>
      </c>
      <c r="N808" t="b">
        <f t="shared" si="76"/>
        <v>0</v>
      </c>
      <c r="P808" s="17" cm="1">
        <f t="array" aca="1" ref="P808" ca="1">IndividualLegIVCore($A$4, Table1334[[#This Row],[Strike]], 0.0411, Table1334[[#This Row],[T]], ((Table1334[[#This Row],[BIDP]]+Table1334[[#This Row],[ASKP]])/2), FALSE)</f>
        <v>0.01</v>
      </c>
      <c r="Q808" t="b">
        <f>IF(     ISNUMBER(Table1334[[#This Row],[Strike]]),RTD("tos.rtd", , "BID", "."&amp;Table1334[[#This Row],[Ticker]]&amp;Table1334[[#This Row],[Expiry]]&amp;""&amp;"P"&amp;Table1334[[#This Row],[Strike]]))</f>
        <v>0</v>
      </c>
      <c r="R808" t="b">
        <f>IF(     ISNUMBER(Table1334[[#This Row],[Strike]]),RTD("tos.rtd", , "ASK", "."&amp;Table1334[[#This Row],[Ticker]]&amp;Table1334[[#This Row],[Expiry]]&amp;""&amp;"P"&amp;Table1334[[#This Row],[Strike]]))</f>
        <v>0</v>
      </c>
      <c r="S808" s="17"/>
      <c r="T808" t="b">
        <f>IF(     ISNUMBER(Table1334[[#This Row],[Strike]]),RTD("tos.rtd", , "OPEN_INT", "."&amp;Table1334[[#This Row],[Ticker]]&amp;Table1334[[#This Row],[Expiry]]&amp;""&amp;"P"&amp;Table1334[[#This Row],[Strike]]))</f>
        <v>0</v>
      </c>
      <c r="U80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8" t="b">
        <f>IF(     ISNUMBER(Table1334[[#This Row],[Strike]]),RTD("tos.rtd", , "DELTA", "."&amp;Table1334[[#This Row],[Ticker]]&amp;Table1334[[#This Row],[Expiry]]&amp;""&amp;"P"&amp;Table1334[[#This Row],[Strike]]))</f>
        <v>0</v>
      </c>
      <c r="Y808" s="19">
        <f>44.5* IF($M$1="NDX", 10, IF(OR($M$1="SPX", $M$1="RUT"), 2, 1))</f>
        <v>89</v>
      </c>
      <c r="Z808">
        <f ca="1">IFERROR(Table1334[[#This Row],[call gamma]]*(Table1334[[#This Row],[Open.Int]])*$A$4^2,0)</f>
        <v>0</v>
      </c>
      <c r="AA808">
        <f ca="1">IFERROR(((Table1334[[#This Row],[Open.Int8]])*Table1334[[#This Row],[Put gamma]])*-1*$A$4^2,0)</f>
        <v>0</v>
      </c>
      <c r="AB808">
        <f ca="1">(Table1334[[#This Row],[Call Gex]]+Table1334[[#This Row],[Put Gex]])</f>
        <v>0</v>
      </c>
      <c r="AC808">
        <f ca="1">Table1334[[#This Row],[put delta adj]]+Table1334[[#This Row],[call delta adj]]</f>
        <v>0</v>
      </c>
      <c r="AD808">
        <f ca="1">Table1334[[#This Row],[Put Gex]]*Table1334[[#This Row],[DeltaP]]*-1</f>
        <v>0</v>
      </c>
      <c r="AE808">
        <f ca="1">Table1334[[#This Row],[Call Gex]]*Table1334[[#This Row],[DeltaC]]</f>
        <v>0</v>
      </c>
      <c r="AF808">
        <f>IF(Table1334[[#This Row],[DeltaC]]-ABS(Table1334[[#This Row],[DeltaP]])="0","0.01",Table1334[[#This Row],[DeltaC]]-ABS(Table1334[[#This Row],[DeltaP]]))</f>
        <v>0</v>
      </c>
      <c r="AG80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8" t="e">
        <f ca="1">(EXP(-(AG808^2)/2)/SQRT(2*PI())*EXP(0*SQRT(Table1334[[#This Row],[T]]))/$A$4*18%*SQRT(SQRT(Table1334[[#This Row],[T]])))</f>
        <v>#DIV/0!</v>
      </c>
      <c r="AJ808" t="e">
        <f ca="1">(EXP(-(AH808^2)/2)/SQRT(2*PI())*EXP(0*SQRT(Table1334[[#This Row],[T]]))/$A$4*18%*SQRT(SQRT(Table1334[[#This Row],[T]])))</f>
        <v>#DIV/0!</v>
      </c>
      <c r="AK808" t="e">
        <f ca="1">Table1334[[#This Row],[Call D1]]-Table1334[[#This Row],[IV Calc C]]*SQRT(Table1334[[#This Row],[T]])</f>
        <v>#DIV/0!</v>
      </c>
      <c r="AL808" t="e">
        <f ca="1">Table1334[[#This Row],[Put D1]]-Table1334[[#This Row],[IV Calc P]]*SQRT(Table1334[[#This Row],[T]])</f>
        <v>#DIV/0!</v>
      </c>
      <c r="AM808" t="e">
        <f ca="1">EXP(-0.5*Table1334[[#This Row],[Call D1]]^2)/SQRT(2*PI())</f>
        <v>#DIV/0!</v>
      </c>
      <c r="AN808" t="e">
        <f ca="1">EXP(-0.5*Table1334[[#This Row],[Put D1]]^2)/SQRT(2*PI())</f>
        <v>#DIV/0!</v>
      </c>
      <c r="AO80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8">
        <f ca="1">((Table1334[[#This Row],[call vanna]]+Table1334[[#This Row],[put vanna]])*$A$4)</f>
        <v>0</v>
      </c>
      <c r="AR80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8" s="9" t="str" cm="1">
        <f t="array" ref="AT808">_xlfn.IFS(     $M$1="SPX","SPXW",     $M$1="RUT","RUTW",  $M$1="NDX","NDXP",   TRUE,$M$1 )</f>
        <v>SPXW</v>
      </c>
      <c r="AU808" s="2">
        <f t="shared" si="77"/>
        <v>6915</v>
      </c>
      <c r="AV808" t="str">
        <f t="shared" si="78"/>
        <v>000100</v>
      </c>
      <c r="AY80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8">
        <f>((Table1334[[#This Row],[High C]]+Table1334[[#This Row],[Low C]])/2)*Table1334[[#This Row],[gammac]]*Table1334[[#This Row],[Volume]]</f>
        <v>0</v>
      </c>
      <c r="BD808">
        <f>((Table1334[[#This Row],[High P]]+Table1334[[#This Row],[Low P]])/2)*Table1334[[#This Row],[gammap]]*Table1334[[#This Row],[Volume9]]*-1</f>
        <v>0</v>
      </c>
      <c r="BE808">
        <f>(Table1334[[#This Row],[SgammaC]]+Table1334[[#This Row],[SgammaP]])*$A$4*-100</f>
        <v>0</v>
      </c>
      <c r="BF808">
        <f>Table1334[[#This Row],[DEXc]]+Table1334[[#This Row],[DEXp]]</f>
        <v>0</v>
      </c>
      <c r="BG808">
        <f>IFERROR(Table1334[[#This Row],[DeltaC]]*Table1334[[#This Row],[Open.Int]]*$A$4,0)</f>
        <v>0</v>
      </c>
      <c r="BH808">
        <f>IFERROR(Table1334[[#This Row],[DeltaP]]*Table1334[[#This Row],[Open.Int8]]*$A$4,0)</f>
        <v>0</v>
      </c>
      <c r="BI80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8">
        <f ca="1">Table1334[[#This Row],[charmc]]+Table1334[[#This Row],[charmp]]</f>
        <v>0</v>
      </c>
      <c r="BL80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8" s="78">
        <f ca="1">Table1334[[#This Row],[call helper]]+Table1334[[#This Row],[put helper]]</f>
        <v>0</v>
      </c>
      <c r="BP808" t="str">
        <f>RTD("tos.rtd", , "STRIKE", "."&amp;Table1334[[#This Row],[Ticker]]&amp;Table1334[[#This Row],[Expiry]]&amp;""&amp;"C"&amp;Table1334[[#This Row],[Spot]]+Table1334[[#This Row],[step]])</f>
        <v>N/A</v>
      </c>
    </row>
    <row r="809" spans="1:68" x14ac:dyDescent="0.25">
      <c r="A809" s="14">
        <f t="shared" ca="1" si="74"/>
        <v>-126.14810350076104</v>
      </c>
      <c r="C809" s="17"/>
      <c r="D809" t="str">
        <f>RTD("tos.rtd", , "OPEN_INT", "."&amp;Table1334[[#This Row],[Ticker]]&amp;Table1334[[#This Row],[Expiry]]&amp;""&amp;"C"&amp;Table1334[[#This Row],[Spot]]+Table1334[[#This Row],[step]])</f>
        <v>N/A</v>
      </c>
      <c r="E80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9" t="b">
        <f>IF(     ISNUMBER(Table1334[[#This Row],[Strike]]),RTD("tos.rtd", , "DELTA", "."&amp;Table1334[[#This Row],[Ticker]]&amp;Table1334[[#This Row],[Expiry]]&amp;""&amp;"C"&amp;Table1334[[#This Row],[Strike]]))</f>
        <v>0</v>
      </c>
      <c r="H809" s="17" cm="1">
        <f t="array" aca="1" ref="H809" ca="1">IndividualLegIVCore($A$4, Table1334[[#This Row],[Strike]], 0.0411, Table1334[[#This Row],[T]], ((Table1334[[#This Row],[BIDC]]+Table1334[[#This Row],[ASKC]])/2), TRUE)</f>
        <v>0.01</v>
      </c>
      <c r="I809" t="b">
        <f>IF(     ISNUMBER(Table1334[[#This Row],[Strike]]),RTD("tos.rtd", , "BID", "."&amp;Table1334[[#This Row],[Ticker]]&amp;Table1334[[#This Row],[Expiry]]&amp;""&amp;"C"&amp;Table1334[[#This Row],[Strike]]))</f>
        <v>0</v>
      </c>
      <c r="J809" t="b">
        <f>IF(     ISNUMBER(Table1334[[#This Row],[Strike]]),RTD("tos.rtd", , "ASK", "."&amp;Table1334[[#This Row],[Ticker]]&amp;Table1334[[#This Row],[Expiry]]&amp;""&amp;"C"&amp;Table1334[[#This Row],[Strike]]))</f>
        <v>0</v>
      </c>
      <c r="K809" s="17"/>
      <c r="M809" s="1">
        <f t="shared" si="75"/>
        <v>0</v>
      </c>
      <c r="N809" t="b">
        <f t="shared" si="76"/>
        <v>0</v>
      </c>
      <c r="P809" s="17" cm="1">
        <f t="array" aca="1" ref="P809" ca="1">IndividualLegIVCore($A$4, Table1334[[#This Row],[Strike]], 0.0411, Table1334[[#This Row],[T]], ((Table1334[[#This Row],[BIDP]]+Table1334[[#This Row],[ASKP]])/2), FALSE)</f>
        <v>0.01</v>
      </c>
      <c r="Q809" t="b">
        <f>IF(     ISNUMBER(Table1334[[#This Row],[Strike]]),RTD("tos.rtd", , "BID", "."&amp;Table1334[[#This Row],[Ticker]]&amp;Table1334[[#This Row],[Expiry]]&amp;""&amp;"P"&amp;Table1334[[#This Row],[Strike]]))</f>
        <v>0</v>
      </c>
      <c r="R809" t="b">
        <f>IF(     ISNUMBER(Table1334[[#This Row],[Strike]]),RTD("tos.rtd", , "ASK", "."&amp;Table1334[[#This Row],[Ticker]]&amp;Table1334[[#This Row],[Expiry]]&amp;""&amp;"P"&amp;Table1334[[#This Row],[Strike]]))</f>
        <v>0</v>
      </c>
      <c r="S809" s="17"/>
      <c r="T809" t="b">
        <f>IF(     ISNUMBER(Table1334[[#This Row],[Strike]]),RTD("tos.rtd", , "OPEN_INT", "."&amp;Table1334[[#This Row],[Ticker]]&amp;Table1334[[#This Row],[Expiry]]&amp;""&amp;"P"&amp;Table1334[[#This Row],[Strike]]))</f>
        <v>0</v>
      </c>
      <c r="U80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9" t="b">
        <f>IF(     ISNUMBER(Table1334[[#This Row],[Strike]]),RTD("tos.rtd", , "DELTA", "."&amp;Table1334[[#This Row],[Ticker]]&amp;Table1334[[#This Row],[Expiry]]&amp;""&amp;"P"&amp;Table1334[[#This Row],[Strike]]))</f>
        <v>0</v>
      </c>
      <c r="Y809" s="20">
        <f>45* IF($M$1="NDX", 10, IF(OR($M$1="SPX", $M$1="RUT"), 2, 1))</f>
        <v>90</v>
      </c>
      <c r="Z809">
        <f ca="1">IFERROR(Table1334[[#This Row],[call gamma]]*(Table1334[[#This Row],[Open.Int]])*$A$4^2,0)</f>
        <v>0</v>
      </c>
      <c r="AA809">
        <f ca="1">IFERROR(((Table1334[[#This Row],[Open.Int8]])*Table1334[[#This Row],[Put gamma]])*-1*$A$4^2,0)</f>
        <v>0</v>
      </c>
      <c r="AB809">
        <f ca="1">(Table1334[[#This Row],[Call Gex]]+Table1334[[#This Row],[Put Gex]])</f>
        <v>0</v>
      </c>
      <c r="AC809">
        <f ca="1">Table1334[[#This Row],[put delta adj]]+Table1334[[#This Row],[call delta adj]]</f>
        <v>0</v>
      </c>
      <c r="AD809">
        <f ca="1">Table1334[[#This Row],[Put Gex]]*Table1334[[#This Row],[DeltaP]]*-1</f>
        <v>0</v>
      </c>
      <c r="AE809">
        <f ca="1">Table1334[[#This Row],[Call Gex]]*Table1334[[#This Row],[DeltaC]]</f>
        <v>0</v>
      </c>
      <c r="AF809">
        <f>IF(Table1334[[#This Row],[DeltaC]]-ABS(Table1334[[#This Row],[DeltaP]])="0","0.01",Table1334[[#This Row],[DeltaC]]-ABS(Table1334[[#This Row],[DeltaP]]))</f>
        <v>0</v>
      </c>
      <c r="AG80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9" t="e">
        <f ca="1">(EXP(-(AG809^2)/2)/SQRT(2*PI())*EXP(0*SQRT(Table1334[[#This Row],[T]]))/$A$4*18%*SQRT(SQRT(Table1334[[#This Row],[T]])))</f>
        <v>#DIV/0!</v>
      </c>
      <c r="AJ809" t="e">
        <f ca="1">(EXP(-(AH809^2)/2)/SQRT(2*PI())*EXP(0*SQRT(Table1334[[#This Row],[T]]))/$A$4*18%*SQRT(SQRT(Table1334[[#This Row],[T]])))</f>
        <v>#DIV/0!</v>
      </c>
      <c r="AK809" t="e">
        <f ca="1">Table1334[[#This Row],[Call D1]]-Table1334[[#This Row],[IV Calc C]]*SQRT(Table1334[[#This Row],[T]])</f>
        <v>#DIV/0!</v>
      </c>
      <c r="AL809" t="e">
        <f ca="1">Table1334[[#This Row],[Put D1]]-Table1334[[#This Row],[IV Calc P]]*SQRT(Table1334[[#This Row],[T]])</f>
        <v>#DIV/0!</v>
      </c>
      <c r="AM809" t="e">
        <f ca="1">EXP(-0.5*Table1334[[#This Row],[Call D1]]^2)/SQRT(2*PI())</f>
        <v>#DIV/0!</v>
      </c>
      <c r="AN809" t="e">
        <f ca="1">EXP(-0.5*Table1334[[#This Row],[Put D1]]^2)/SQRT(2*PI())</f>
        <v>#DIV/0!</v>
      </c>
      <c r="AO80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9">
        <f ca="1">((Table1334[[#This Row],[call vanna]]+Table1334[[#This Row],[put vanna]])*$A$4)</f>
        <v>0</v>
      </c>
      <c r="AR80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9" s="9" t="str" cm="1">
        <f t="array" ref="AT809">_xlfn.IFS(     $M$1="SPX","SPXW",     $M$1="RUT","RUTW",  $M$1="NDX","NDXP",   TRUE,$M$1 )</f>
        <v>SPXW</v>
      </c>
      <c r="AU809" s="2">
        <f t="shared" si="77"/>
        <v>6915</v>
      </c>
      <c r="AV809" t="str">
        <f t="shared" si="78"/>
        <v>000100</v>
      </c>
      <c r="AY80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9">
        <f>((Table1334[[#This Row],[High C]]+Table1334[[#This Row],[Low C]])/2)*Table1334[[#This Row],[gammac]]*Table1334[[#This Row],[Volume]]</f>
        <v>0</v>
      </c>
      <c r="BD809">
        <f>((Table1334[[#This Row],[High P]]+Table1334[[#This Row],[Low P]])/2)*Table1334[[#This Row],[gammap]]*Table1334[[#This Row],[Volume9]]*-1</f>
        <v>0</v>
      </c>
      <c r="BE809">
        <f>(Table1334[[#This Row],[SgammaC]]+Table1334[[#This Row],[SgammaP]])*$A$4*-100</f>
        <v>0</v>
      </c>
      <c r="BF809">
        <f>Table1334[[#This Row],[DEXc]]+Table1334[[#This Row],[DEXp]]</f>
        <v>0</v>
      </c>
      <c r="BG809">
        <f>IFERROR(Table1334[[#This Row],[DeltaC]]*Table1334[[#This Row],[Open.Int]]*$A$4,0)</f>
        <v>0</v>
      </c>
      <c r="BH809">
        <f>IFERROR(Table1334[[#This Row],[DeltaP]]*Table1334[[#This Row],[Open.Int8]]*$A$4,0)</f>
        <v>0</v>
      </c>
      <c r="BI80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9">
        <f ca="1">Table1334[[#This Row],[charmc]]+Table1334[[#This Row],[charmp]]</f>
        <v>0</v>
      </c>
      <c r="BL80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9" s="78">
        <f ca="1">Table1334[[#This Row],[call helper]]+Table1334[[#This Row],[put helper]]</f>
        <v>0</v>
      </c>
      <c r="BP809" t="str">
        <f>RTD("tos.rtd", , "STRIKE", "."&amp;Table1334[[#This Row],[Ticker]]&amp;Table1334[[#This Row],[Expiry]]&amp;""&amp;"C"&amp;Table1334[[#This Row],[Spot]]+Table1334[[#This Row],[step]])</f>
        <v>N/A</v>
      </c>
    </row>
    <row r="810" spans="1:68" x14ac:dyDescent="0.25">
      <c r="A810" s="14">
        <f t="shared" ca="1" si="74"/>
        <v>-126.14810350076104</v>
      </c>
      <c r="C810" s="17"/>
      <c r="D810" t="str">
        <f>RTD("tos.rtd", , "OPEN_INT", "."&amp;Table1334[[#This Row],[Ticker]]&amp;Table1334[[#This Row],[Expiry]]&amp;""&amp;"C"&amp;Table1334[[#This Row],[Spot]]+Table1334[[#This Row],[step]])</f>
        <v>N/A</v>
      </c>
      <c r="E81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0" t="b">
        <f>IF(     ISNUMBER(Table1334[[#This Row],[Strike]]),RTD("tos.rtd", , "DELTA", "."&amp;Table1334[[#This Row],[Ticker]]&amp;Table1334[[#This Row],[Expiry]]&amp;""&amp;"C"&amp;Table1334[[#This Row],[Strike]]))</f>
        <v>0</v>
      </c>
      <c r="H810" s="17" cm="1">
        <f t="array" aca="1" ref="H810" ca="1">IndividualLegIVCore($A$4, Table1334[[#This Row],[Strike]], 0.0411, Table1334[[#This Row],[T]], ((Table1334[[#This Row],[BIDC]]+Table1334[[#This Row],[ASKC]])/2), TRUE)</f>
        <v>0.01</v>
      </c>
      <c r="I810" t="b">
        <f>IF(     ISNUMBER(Table1334[[#This Row],[Strike]]),RTD("tos.rtd", , "BID", "."&amp;Table1334[[#This Row],[Ticker]]&amp;Table1334[[#This Row],[Expiry]]&amp;""&amp;"C"&amp;Table1334[[#This Row],[Strike]]))</f>
        <v>0</v>
      </c>
      <c r="J810" t="b">
        <f>IF(     ISNUMBER(Table1334[[#This Row],[Strike]]),RTD("tos.rtd", , "ASK", "."&amp;Table1334[[#This Row],[Ticker]]&amp;Table1334[[#This Row],[Expiry]]&amp;""&amp;"C"&amp;Table1334[[#This Row],[Strike]]))</f>
        <v>0</v>
      </c>
      <c r="K810" s="17"/>
      <c r="M810" s="1">
        <f t="shared" si="75"/>
        <v>0</v>
      </c>
      <c r="N810" t="b">
        <f t="shared" si="76"/>
        <v>0</v>
      </c>
      <c r="P810" s="17" cm="1">
        <f t="array" aca="1" ref="P810" ca="1">IndividualLegIVCore($A$4, Table1334[[#This Row],[Strike]], 0.0411, Table1334[[#This Row],[T]], ((Table1334[[#This Row],[BIDP]]+Table1334[[#This Row],[ASKP]])/2), FALSE)</f>
        <v>0.01</v>
      </c>
      <c r="Q810" t="b">
        <f>IF(     ISNUMBER(Table1334[[#This Row],[Strike]]),RTD("tos.rtd", , "BID", "."&amp;Table1334[[#This Row],[Ticker]]&amp;Table1334[[#This Row],[Expiry]]&amp;""&amp;"P"&amp;Table1334[[#This Row],[Strike]]))</f>
        <v>0</v>
      </c>
      <c r="R810" t="b">
        <f>IF(     ISNUMBER(Table1334[[#This Row],[Strike]]),RTD("tos.rtd", , "ASK", "."&amp;Table1334[[#This Row],[Ticker]]&amp;Table1334[[#This Row],[Expiry]]&amp;""&amp;"P"&amp;Table1334[[#This Row],[Strike]]))</f>
        <v>0</v>
      </c>
      <c r="S810" s="17"/>
      <c r="T810" t="b">
        <f>IF(     ISNUMBER(Table1334[[#This Row],[Strike]]),RTD("tos.rtd", , "OPEN_INT", "."&amp;Table1334[[#This Row],[Ticker]]&amp;Table1334[[#This Row],[Expiry]]&amp;""&amp;"P"&amp;Table1334[[#This Row],[Strike]]))</f>
        <v>0</v>
      </c>
      <c r="U81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0" t="b">
        <f>IF(     ISNUMBER(Table1334[[#This Row],[Strike]]),RTD("tos.rtd", , "DELTA", "."&amp;Table1334[[#This Row],[Ticker]]&amp;Table1334[[#This Row],[Expiry]]&amp;""&amp;"P"&amp;Table1334[[#This Row],[Strike]]))</f>
        <v>0</v>
      </c>
      <c r="Y810" s="19">
        <f>45.5* IF($M$1="NDX", 10, IF(OR($M$1="SPX", $M$1="RUT"), 2, 1))</f>
        <v>91</v>
      </c>
      <c r="Z810">
        <f ca="1">IFERROR(Table1334[[#This Row],[call gamma]]*(Table1334[[#This Row],[Open.Int]])*$A$4^2,0)</f>
        <v>0</v>
      </c>
      <c r="AA810">
        <f ca="1">IFERROR(((Table1334[[#This Row],[Open.Int8]])*Table1334[[#This Row],[Put gamma]])*-1*$A$4^2,0)</f>
        <v>0</v>
      </c>
      <c r="AB810">
        <f ca="1">(Table1334[[#This Row],[Call Gex]]+Table1334[[#This Row],[Put Gex]])</f>
        <v>0</v>
      </c>
      <c r="AC810">
        <f ca="1">Table1334[[#This Row],[put delta adj]]+Table1334[[#This Row],[call delta adj]]</f>
        <v>0</v>
      </c>
      <c r="AD810">
        <f ca="1">Table1334[[#This Row],[Put Gex]]*Table1334[[#This Row],[DeltaP]]*-1</f>
        <v>0</v>
      </c>
      <c r="AE810">
        <f ca="1">Table1334[[#This Row],[Call Gex]]*Table1334[[#This Row],[DeltaC]]</f>
        <v>0</v>
      </c>
      <c r="AF810">
        <f>IF(Table1334[[#This Row],[DeltaC]]-ABS(Table1334[[#This Row],[DeltaP]])="0","0.01",Table1334[[#This Row],[DeltaC]]-ABS(Table1334[[#This Row],[DeltaP]]))</f>
        <v>0</v>
      </c>
      <c r="AG81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0" t="e">
        <f ca="1">(EXP(-(AG810^2)/2)/SQRT(2*PI())*EXP(0*SQRT(Table1334[[#This Row],[T]]))/$A$4*18%*SQRT(SQRT(Table1334[[#This Row],[T]])))</f>
        <v>#DIV/0!</v>
      </c>
      <c r="AJ810" t="e">
        <f ca="1">(EXP(-(AH810^2)/2)/SQRT(2*PI())*EXP(0*SQRT(Table1334[[#This Row],[T]]))/$A$4*18%*SQRT(SQRT(Table1334[[#This Row],[T]])))</f>
        <v>#DIV/0!</v>
      </c>
      <c r="AK810" t="e">
        <f ca="1">Table1334[[#This Row],[Call D1]]-Table1334[[#This Row],[IV Calc C]]*SQRT(Table1334[[#This Row],[T]])</f>
        <v>#DIV/0!</v>
      </c>
      <c r="AL810" t="e">
        <f ca="1">Table1334[[#This Row],[Put D1]]-Table1334[[#This Row],[IV Calc P]]*SQRT(Table1334[[#This Row],[T]])</f>
        <v>#DIV/0!</v>
      </c>
      <c r="AM810" t="e">
        <f ca="1">EXP(-0.5*Table1334[[#This Row],[Call D1]]^2)/SQRT(2*PI())</f>
        <v>#DIV/0!</v>
      </c>
      <c r="AN810" t="e">
        <f ca="1">EXP(-0.5*Table1334[[#This Row],[Put D1]]^2)/SQRT(2*PI())</f>
        <v>#DIV/0!</v>
      </c>
      <c r="AO81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0">
        <f ca="1">((Table1334[[#This Row],[call vanna]]+Table1334[[#This Row],[put vanna]])*$A$4)</f>
        <v>0</v>
      </c>
      <c r="AR81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0" s="9" t="str" cm="1">
        <f t="array" ref="AT810">_xlfn.IFS(     $M$1="SPX","SPXW",     $M$1="RUT","RUTW",  $M$1="NDX","NDXP",   TRUE,$M$1 )</f>
        <v>SPXW</v>
      </c>
      <c r="AU810" s="2">
        <f t="shared" si="77"/>
        <v>6915</v>
      </c>
      <c r="AV810" t="str">
        <f t="shared" si="78"/>
        <v>000100</v>
      </c>
      <c r="AY81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0">
        <f>((Table1334[[#This Row],[High C]]+Table1334[[#This Row],[Low C]])/2)*Table1334[[#This Row],[gammac]]*Table1334[[#This Row],[Volume]]</f>
        <v>0</v>
      </c>
      <c r="BD810">
        <f>((Table1334[[#This Row],[High P]]+Table1334[[#This Row],[Low P]])/2)*Table1334[[#This Row],[gammap]]*Table1334[[#This Row],[Volume9]]*-1</f>
        <v>0</v>
      </c>
      <c r="BE810">
        <f>(Table1334[[#This Row],[SgammaC]]+Table1334[[#This Row],[SgammaP]])*$A$4*-100</f>
        <v>0</v>
      </c>
      <c r="BF810">
        <f>Table1334[[#This Row],[DEXc]]+Table1334[[#This Row],[DEXp]]</f>
        <v>0</v>
      </c>
      <c r="BG810">
        <f>IFERROR(Table1334[[#This Row],[DeltaC]]*Table1334[[#This Row],[Open.Int]]*$A$4,0)</f>
        <v>0</v>
      </c>
      <c r="BH810">
        <f>IFERROR(Table1334[[#This Row],[DeltaP]]*Table1334[[#This Row],[Open.Int8]]*$A$4,0)</f>
        <v>0</v>
      </c>
      <c r="BI81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0">
        <f ca="1">Table1334[[#This Row],[charmc]]+Table1334[[#This Row],[charmp]]</f>
        <v>0</v>
      </c>
      <c r="BL810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0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0" s="78">
        <f ca="1">Table1334[[#This Row],[call helper]]+Table1334[[#This Row],[put helper]]</f>
        <v>0</v>
      </c>
      <c r="BP810" t="str">
        <f>RTD("tos.rtd", , "STRIKE", "."&amp;Table1334[[#This Row],[Ticker]]&amp;Table1334[[#This Row],[Expiry]]&amp;""&amp;"C"&amp;Table1334[[#This Row],[Spot]]+Table1334[[#This Row],[step]])</f>
        <v>N/A</v>
      </c>
    </row>
    <row r="811" spans="1:68" x14ac:dyDescent="0.25">
      <c r="A811" s="14">
        <f t="shared" ref="A811:A819" ca="1" si="79">$R$3</f>
        <v>-126.14810350076104</v>
      </c>
      <c r="C811" s="17"/>
      <c r="D811" t="str">
        <f>RTD("tos.rtd", , "OPEN_INT", "."&amp;Table1334[[#This Row],[Ticker]]&amp;Table1334[[#This Row],[Expiry]]&amp;""&amp;"C"&amp;Table1334[[#This Row],[Spot]]+Table1334[[#This Row],[step]])</f>
        <v>N/A</v>
      </c>
      <c r="E81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1" t="b">
        <f>IF(     ISNUMBER(Table1334[[#This Row],[Strike]]),RTD("tos.rtd", , "DELTA", "."&amp;Table1334[[#This Row],[Ticker]]&amp;Table1334[[#This Row],[Expiry]]&amp;""&amp;"C"&amp;Table1334[[#This Row],[Strike]]))</f>
        <v>0</v>
      </c>
      <c r="H811" s="17" cm="1">
        <f t="array" aca="1" ref="H811" ca="1">IndividualLegIVCore($A$4, Table1334[[#This Row],[Strike]], 0.0411, Table1334[[#This Row],[T]], ((Table1334[[#This Row],[BIDC]]+Table1334[[#This Row],[ASKC]])/2), TRUE)</f>
        <v>0.01</v>
      </c>
      <c r="I811" t="b">
        <f>IF(     ISNUMBER(Table1334[[#This Row],[Strike]]),RTD("tos.rtd", , "BID", "."&amp;Table1334[[#This Row],[Ticker]]&amp;Table1334[[#This Row],[Expiry]]&amp;""&amp;"C"&amp;Table1334[[#This Row],[Strike]]))</f>
        <v>0</v>
      </c>
      <c r="J811" t="b">
        <f>IF(     ISNUMBER(Table1334[[#This Row],[Strike]]),RTD("tos.rtd", , "ASK", "."&amp;Table1334[[#This Row],[Ticker]]&amp;Table1334[[#This Row],[Expiry]]&amp;""&amp;"C"&amp;Table1334[[#This Row],[Strike]]))</f>
        <v>0</v>
      </c>
      <c r="K811" s="17"/>
      <c r="M811" s="1">
        <f t="shared" ref="M811:M819" si="80">$R$1</f>
        <v>0</v>
      </c>
      <c r="N811" t="b">
        <f t="shared" ref="N811:N819" si="81">IF(ISNUMBER($BP811), $BP811, FALSE)</f>
        <v>0</v>
      </c>
      <c r="P811" s="17" cm="1">
        <f t="array" aca="1" ref="P811" ca="1">IndividualLegIVCore($A$4, Table1334[[#This Row],[Strike]], 0.0411, Table1334[[#This Row],[T]], ((Table1334[[#This Row],[BIDP]]+Table1334[[#This Row],[ASKP]])/2), FALSE)</f>
        <v>0.01</v>
      </c>
      <c r="Q811" t="b">
        <f>IF(     ISNUMBER(Table1334[[#This Row],[Strike]]),RTD("tos.rtd", , "BID", "."&amp;Table1334[[#This Row],[Ticker]]&amp;Table1334[[#This Row],[Expiry]]&amp;""&amp;"P"&amp;Table1334[[#This Row],[Strike]]))</f>
        <v>0</v>
      </c>
      <c r="R811" t="b">
        <f>IF(     ISNUMBER(Table1334[[#This Row],[Strike]]),RTD("tos.rtd", , "ASK", "."&amp;Table1334[[#This Row],[Ticker]]&amp;Table1334[[#This Row],[Expiry]]&amp;""&amp;"P"&amp;Table1334[[#This Row],[Strike]]))</f>
        <v>0</v>
      </c>
      <c r="S811" s="17"/>
      <c r="T811" t="b">
        <f>IF(     ISNUMBER(Table1334[[#This Row],[Strike]]),RTD("tos.rtd", , "OPEN_INT", "."&amp;Table1334[[#This Row],[Ticker]]&amp;Table1334[[#This Row],[Expiry]]&amp;""&amp;"P"&amp;Table1334[[#This Row],[Strike]]))</f>
        <v>0</v>
      </c>
      <c r="U81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1" t="b">
        <f>IF(     ISNUMBER(Table1334[[#This Row],[Strike]]),RTD("tos.rtd", , "DELTA", "."&amp;Table1334[[#This Row],[Ticker]]&amp;Table1334[[#This Row],[Expiry]]&amp;""&amp;"P"&amp;Table1334[[#This Row],[Strike]]))</f>
        <v>0</v>
      </c>
      <c r="Y811">
        <f>46* IF($M$1="NDX", 10, IF(OR($M$1="SPX", $M$1="RUT"), 2, 1))</f>
        <v>92</v>
      </c>
      <c r="Z811">
        <f ca="1">IFERROR(Table1334[[#This Row],[call gamma]]*(Table1334[[#This Row],[Open.Int]])*$A$4^2,0)</f>
        <v>0</v>
      </c>
      <c r="AA811">
        <f ca="1">IFERROR(((Table1334[[#This Row],[Open.Int8]])*Table1334[[#This Row],[Put gamma]])*-1*$A$4^2,0)</f>
        <v>0</v>
      </c>
      <c r="AB811">
        <f ca="1">(Table1334[[#This Row],[Call Gex]]+Table1334[[#This Row],[Put Gex]])</f>
        <v>0</v>
      </c>
      <c r="AC811">
        <f ca="1">Table1334[[#This Row],[put delta adj]]+Table1334[[#This Row],[call delta adj]]</f>
        <v>0</v>
      </c>
      <c r="AD811">
        <f ca="1">Table1334[[#This Row],[Put Gex]]*Table1334[[#This Row],[DeltaP]]*-1</f>
        <v>0</v>
      </c>
      <c r="AE811">
        <f ca="1">Table1334[[#This Row],[Call Gex]]*Table1334[[#This Row],[DeltaC]]</f>
        <v>0</v>
      </c>
      <c r="AF811">
        <f>IF(Table1334[[#This Row],[DeltaC]]-ABS(Table1334[[#This Row],[DeltaP]])="0","0.01",Table1334[[#This Row],[DeltaC]]-ABS(Table1334[[#This Row],[DeltaP]]))</f>
        <v>0</v>
      </c>
      <c r="AG81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1" t="e">
        <f ca="1">(EXP(-(AG811^2)/2)/SQRT(2*PI())*EXP(0*SQRT(Table1334[[#This Row],[T]]))/$A$4*18%*SQRT(SQRT(Table1334[[#This Row],[T]])))</f>
        <v>#DIV/0!</v>
      </c>
      <c r="AJ811" t="e">
        <f ca="1">(EXP(-(AH811^2)/2)/SQRT(2*PI())*EXP(0*SQRT(Table1334[[#This Row],[T]]))/$A$4*18%*SQRT(SQRT(Table1334[[#This Row],[T]])))</f>
        <v>#DIV/0!</v>
      </c>
      <c r="AK811" t="e">
        <f ca="1">Table1334[[#This Row],[Call D1]]-Table1334[[#This Row],[IV Calc C]]*SQRT(Table1334[[#This Row],[T]])</f>
        <v>#DIV/0!</v>
      </c>
      <c r="AL811" t="e">
        <f ca="1">Table1334[[#This Row],[Put D1]]-Table1334[[#This Row],[IV Calc P]]*SQRT(Table1334[[#This Row],[T]])</f>
        <v>#DIV/0!</v>
      </c>
      <c r="AM811" t="e">
        <f ca="1">EXP(-0.5*Table1334[[#This Row],[Call D1]]^2)/SQRT(2*PI())</f>
        <v>#DIV/0!</v>
      </c>
      <c r="AN811" t="e">
        <f ca="1">EXP(-0.5*Table1334[[#This Row],[Put D1]]^2)/SQRT(2*PI())</f>
        <v>#DIV/0!</v>
      </c>
      <c r="AO81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1">
        <f ca="1">((Table1334[[#This Row],[call vanna]]+Table1334[[#This Row],[put vanna]])*$A$4)</f>
        <v>0</v>
      </c>
      <c r="AR81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1" s="9" t="str" cm="1">
        <f t="array" ref="AT811">_xlfn.IFS(     $M$1="SPX","SPXW",     $M$1="RUT","RUTW",  $M$1="NDX","NDXP",   TRUE,$M$1 )</f>
        <v>SPXW</v>
      </c>
      <c r="AU811" s="2">
        <f t="shared" ref="AU811:AU819" si="82">$N$1</f>
        <v>6915</v>
      </c>
      <c r="AV811" t="str">
        <f t="shared" ref="AV811:AV819" si="83">$R$2</f>
        <v>000100</v>
      </c>
      <c r="AY81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1">
        <f>((Table1334[[#This Row],[High C]]+Table1334[[#This Row],[Low C]])/2)*Table1334[[#This Row],[gammac]]*Table1334[[#This Row],[Volume]]</f>
        <v>0</v>
      </c>
      <c r="BD811">
        <f>((Table1334[[#This Row],[High P]]+Table1334[[#This Row],[Low P]])/2)*Table1334[[#This Row],[gammap]]*Table1334[[#This Row],[Volume9]]*-1</f>
        <v>0</v>
      </c>
      <c r="BE811">
        <f>(Table1334[[#This Row],[SgammaC]]+Table1334[[#This Row],[SgammaP]])*$A$4*-100</f>
        <v>0</v>
      </c>
      <c r="BF811">
        <f>Table1334[[#This Row],[DEXc]]+Table1334[[#This Row],[DEXp]]</f>
        <v>0</v>
      </c>
      <c r="BG811">
        <f>IFERROR(Table1334[[#This Row],[DeltaC]]*Table1334[[#This Row],[Open.Int]]*$A$4,0)</f>
        <v>0</v>
      </c>
      <c r="BH811">
        <f>IFERROR(Table1334[[#This Row],[DeltaP]]*Table1334[[#This Row],[Open.Int8]]*$A$4,0)</f>
        <v>0</v>
      </c>
      <c r="BI81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1">
        <f ca="1">Table1334[[#This Row],[charmc]]+Table1334[[#This Row],[charmp]]</f>
        <v>0</v>
      </c>
      <c r="BL811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1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1" s="78">
        <f ca="1">Table1334[[#This Row],[call helper]]+Table1334[[#This Row],[put helper]]</f>
        <v>0</v>
      </c>
      <c r="BP811" t="str">
        <f>RTD("tos.rtd", , "STRIKE", "."&amp;Table1334[[#This Row],[Ticker]]&amp;Table1334[[#This Row],[Expiry]]&amp;""&amp;"C"&amp;Table1334[[#This Row],[Spot]]+Table1334[[#This Row],[step]])</f>
        <v>N/A</v>
      </c>
    </row>
    <row r="812" spans="1:68" x14ac:dyDescent="0.25">
      <c r="A812" s="14">
        <f t="shared" ca="1" si="79"/>
        <v>-126.14810350076104</v>
      </c>
      <c r="C812" s="17"/>
      <c r="D812" t="str">
        <f>RTD("tos.rtd", , "OPEN_INT", "."&amp;Table1334[[#This Row],[Ticker]]&amp;Table1334[[#This Row],[Expiry]]&amp;""&amp;"C"&amp;Table1334[[#This Row],[Spot]]+Table1334[[#This Row],[step]])</f>
        <v>N/A</v>
      </c>
      <c r="E81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2" t="b">
        <f>IF(     ISNUMBER(Table1334[[#This Row],[Strike]]),RTD("tos.rtd", , "DELTA", "."&amp;Table1334[[#This Row],[Ticker]]&amp;Table1334[[#This Row],[Expiry]]&amp;""&amp;"C"&amp;Table1334[[#This Row],[Strike]]))</f>
        <v>0</v>
      </c>
      <c r="H812" s="17" cm="1">
        <f t="array" aca="1" ref="H812" ca="1">IndividualLegIVCore($A$4, Table1334[[#This Row],[Strike]], 0.0411, Table1334[[#This Row],[T]], ((Table1334[[#This Row],[BIDC]]+Table1334[[#This Row],[ASKC]])/2), TRUE)</f>
        <v>0.01</v>
      </c>
      <c r="I812" t="b">
        <f>IF(     ISNUMBER(Table1334[[#This Row],[Strike]]),RTD("tos.rtd", , "BID", "."&amp;Table1334[[#This Row],[Ticker]]&amp;Table1334[[#This Row],[Expiry]]&amp;""&amp;"C"&amp;Table1334[[#This Row],[Strike]]))</f>
        <v>0</v>
      </c>
      <c r="J812" t="b">
        <f>IF(     ISNUMBER(Table1334[[#This Row],[Strike]]),RTD("tos.rtd", , "ASK", "."&amp;Table1334[[#This Row],[Ticker]]&amp;Table1334[[#This Row],[Expiry]]&amp;""&amp;"C"&amp;Table1334[[#This Row],[Strike]]))</f>
        <v>0</v>
      </c>
      <c r="K812" s="17"/>
      <c r="M812" s="1">
        <f t="shared" si="80"/>
        <v>0</v>
      </c>
      <c r="N812" t="b">
        <f t="shared" si="81"/>
        <v>0</v>
      </c>
      <c r="P812" s="17" cm="1">
        <f t="array" aca="1" ref="P812" ca="1">IndividualLegIVCore($A$4, Table1334[[#This Row],[Strike]], 0.0411, Table1334[[#This Row],[T]], ((Table1334[[#This Row],[BIDP]]+Table1334[[#This Row],[ASKP]])/2), FALSE)</f>
        <v>0.01</v>
      </c>
      <c r="Q812" t="b">
        <f>IF(     ISNUMBER(Table1334[[#This Row],[Strike]]),RTD("tos.rtd", , "BID", "."&amp;Table1334[[#This Row],[Ticker]]&amp;Table1334[[#This Row],[Expiry]]&amp;""&amp;"P"&amp;Table1334[[#This Row],[Strike]]))</f>
        <v>0</v>
      </c>
      <c r="R812" t="b">
        <f>IF(     ISNUMBER(Table1334[[#This Row],[Strike]]),RTD("tos.rtd", , "ASK", "."&amp;Table1334[[#This Row],[Ticker]]&amp;Table1334[[#This Row],[Expiry]]&amp;""&amp;"P"&amp;Table1334[[#This Row],[Strike]]))</f>
        <v>0</v>
      </c>
      <c r="S812" s="17"/>
      <c r="T812" t="b">
        <f>IF(     ISNUMBER(Table1334[[#This Row],[Strike]]),RTD("tos.rtd", , "OPEN_INT", "."&amp;Table1334[[#This Row],[Ticker]]&amp;Table1334[[#This Row],[Expiry]]&amp;""&amp;"P"&amp;Table1334[[#This Row],[Strike]]))</f>
        <v>0</v>
      </c>
      <c r="U81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2" t="b">
        <f>IF(     ISNUMBER(Table1334[[#This Row],[Strike]]),RTD("tos.rtd", , "DELTA", "."&amp;Table1334[[#This Row],[Ticker]]&amp;Table1334[[#This Row],[Expiry]]&amp;""&amp;"P"&amp;Table1334[[#This Row],[Strike]]))</f>
        <v>0</v>
      </c>
      <c r="Y812">
        <f>46.5* IF($M$1="NDX", 10, IF(OR($M$1="SPX", $M$1="RUT"), 2, 1))</f>
        <v>93</v>
      </c>
      <c r="Z812">
        <f ca="1">IFERROR(Table1334[[#This Row],[call gamma]]*(Table1334[[#This Row],[Open.Int]])*$A$4^2,0)</f>
        <v>0</v>
      </c>
      <c r="AA812">
        <f ca="1">IFERROR(((Table1334[[#This Row],[Open.Int8]])*Table1334[[#This Row],[Put gamma]])*-1*$A$4^2,0)</f>
        <v>0</v>
      </c>
      <c r="AB812">
        <f ca="1">(Table1334[[#This Row],[Call Gex]]+Table1334[[#This Row],[Put Gex]])</f>
        <v>0</v>
      </c>
      <c r="AC812">
        <f ca="1">Table1334[[#This Row],[put delta adj]]+Table1334[[#This Row],[call delta adj]]</f>
        <v>0</v>
      </c>
      <c r="AD812">
        <f ca="1">Table1334[[#This Row],[Put Gex]]*Table1334[[#This Row],[DeltaP]]*-1</f>
        <v>0</v>
      </c>
      <c r="AE812">
        <f ca="1">Table1334[[#This Row],[Call Gex]]*Table1334[[#This Row],[DeltaC]]</f>
        <v>0</v>
      </c>
      <c r="AF812">
        <f>IF(Table1334[[#This Row],[DeltaC]]-ABS(Table1334[[#This Row],[DeltaP]])="0","0.01",Table1334[[#This Row],[DeltaC]]-ABS(Table1334[[#This Row],[DeltaP]]))</f>
        <v>0</v>
      </c>
      <c r="AG81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2" t="e">
        <f ca="1">(EXP(-(AG812^2)/2)/SQRT(2*PI())*EXP(0*SQRT(Table1334[[#This Row],[T]]))/$A$4*18%*SQRT(SQRT(Table1334[[#This Row],[T]])))</f>
        <v>#DIV/0!</v>
      </c>
      <c r="AJ812" t="e">
        <f ca="1">(EXP(-(AH812^2)/2)/SQRT(2*PI())*EXP(0*SQRT(Table1334[[#This Row],[T]]))/$A$4*18%*SQRT(SQRT(Table1334[[#This Row],[T]])))</f>
        <v>#DIV/0!</v>
      </c>
      <c r="AK812" t="e">
        <f ca="1">Table1334[[#This Row],[Call D1]]-Table1334[[#This Row],[IV Calc C]]*SQRT(Table1334[[#This Row],[T]])</f>
        <v>#DIV/0!</v>
      </c>
      <c r="AL812" t="e">
        <f ca="1">Table1334[[#This Row],[Put D1]]-Table1334[[#This Row],[IV Calc P]]*SQRT(Table1334[[#This Row],[T]])</f>
        <v>#DIV/0!</v>
      </c>
      <c r="AM812" t="e">
        <f ca="1">EXP(-0.5*Table1334[[#This Row],[Call D1]]^2)/SQRT(2*PI())</f>
        <v>#DIV/0!</v>
      </c>
      <c r="AN812" t="e">
        <f ca="1">EXP(-0.5*Table1334[[#This Row],[Put D1]]^2)/SQRT(2*PI())</f>
        <v>#DIV/0!</v>
      </c>
      <c r="AO81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2">
        <f ca="1">((Table1334[[#This Row],[call vanna]]+Table1334[[#This Row],[put vanna]])*$A$4)</f>
        <v>0</v>
      </c>
      <c r="AR81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2" s="9" t="str" cm="1">
        <f t="array" ref="AT812">_xlfn.IFS(     $M$1="SPX","SPXW",     $M$1="RUT","RUTW",  $M$1="NDX","NDXP",   TRUE,$M$1 )</f>
        <v>SPXW</v>
      </c>
      <c r="AU812" s="2">
        <f t="shared" si="82"/>
        <v>6915</v>
      </c>
      <c r="AV812" t="str">
        <f t="shared" si="83"/>
        <v>000100</v>
      </c>
      <c r="AY81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2">
        <f>((Table1334[[#This Row],[High C]]+Table1334[[#This Row],[Low C]])/2)*Table1334[[#This Row],[gammac]]*Table1334[[#This Row],[Volume]]</f>
        <v>0</v>
      </c>
      <c r="BD812">
        <f>((Table1334[[#This Row],[High P]]+Table1334[[#This Row],[Low P]])/2)*Table1334[[#This Row],[gammap]]*Table1334[[#This Row],[Volume9]]*-1</f>
        <v>0</v>
      </c>
      <c r="BE812">
        <f>(Table1334[[#This Row],[SgammaC]]+Table1334[[#This Row],[SgammaP]])*$A$4*-100</f>
        <v>0</v>
      </c>
      <c r="BF812">
        <f>Table1334[[#This Row],[DEXc]]+Table1334[[#This Row],[DEXp]]</f>
        <v>0</v>
      </c>
      <c r="BG812">
        <f>IFERROR(Table1334[[#This Row],[DeltaC]]*Table1334[[#This Row],[Open.Int]]*$A$4,0)</f>
        <v>0</v>
      </c>
      <c r="BH812">
        <f>IFERROR(Table1334[[#This Row],[DeltaP]]*Table1334[[#This Row],[Open.Int8]]*$A$4,0)</f>
        <v>0</v>
      </c>
      <c r="BI81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2">
        <f ca="1">Table1334[[#This Row],[charmc]]+Table1334[[#This Row],[charmp]]</f>
        <v>0</v>
      </c>
      <c r="BL812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2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2" s="78">
        <f ca="1">Table1334[[#This Row],[call helper]]+Table1334[[#This Row],[put helper]]</f>
        <v>0</v>
      </c>
      <c r="BP812" t="str">
        <f>RTD("tos.rtd", , "STRIKE", "."&amp;Table1334[[#This Row],[Ticker]]&amp;Table1334[[#This Row],[Expiry]]&amp;""&amp;"C"&amp;Table1334[[#This Row],[Spot]]+Table1334[[#This Row],[step]])</f>
        <v>N/A</v>
      </c>
    </row>
    <row r="813" spans="1:68" x14ac:dyDescent="0.25">
      <c r="A813" s="14">
        <f t="shared" ca="1" si="79"/>
        <v>-126.14810350076104</v>
      </c>
      <c r="C813" s="17"/>
      <c r="D813" t="str">
        <f>RTD("tos.rtd", , "OPEN_INT", "."&amp;Table1334[[#This Row],[Ticker]]&amp;Table1334[[#This Row],[Expiry]]&amp;""&amp;"C"&amp;Table1334[[#This Row],[Spot]]+Table1334[[#This Row],[step]])</f>
        <v>N/A</v>
      </c>
      <c r="E81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3" t="b">
        <f>IF(     ISNUMBER(Table1334[[#This Row],[Strike]]),RTD("tos.rtd", , "DELTA", "."&amp;Table1334[[#This Row],[Ticker]]&amp;Table1334[[#This Row],[Expiry]]&amp;""&amp;"C"&amp;Table1334[[#This Row],[Strike]]))</f>
        <v>0</v>
      </c>
      <c r="H813" s="17" cm="1">
        <f t="array" aca="1" ref="H813" ca="1">IndividualLegIVCore($A$4, Table1334[[#This Row],[Strike]], 0.0411, Table1334[[#This Row],[T]], ((Table1334[[#This Row],[BIDC]]+Table1334[[#This Row],[ASKC]])/2), TRUE)</f>
        <v>0.01</v>
      </c>
      <c r="I813" t="b">
        <f>IF(     ISNUMBER(Table1334[[#This Row],[Strike]]),RTD("tos.rtd", , "BID", "."&amp;Table1334[[#This Row],[Ticker]]&amp;Table1334[[#This Row],[Expiry]]&amp;""&amp;"C"&amp;Table1334[[#This Row],[Strike]]))</f>
        <v>0</v>
      </c>
      <c r="J813" t="b">
        <f>IF(     ISNUMBER(Table1334[[#This Row],[Strike]]),RTD("tos.rtd", , "ASK", "."&amp;Table1334[[#This Row],[Ticker]]&amp;Table1334[[#This Row],[Expiry]]&amp;""&amp;"C"&amp;Table1334[[#This Row],[Strike]]))</f>
        <v>0</v>
      </c>
      <c r="K813" s="17"/>
      <c r="M813" s="1">
        <f t="shared" si="80"/>
        <v>0</v>
      </c>
      <c r="N813" t="b">
        <f t="shared" si="81"/>
        <v>0</v>
      </c>
      <c r="P813" s="17" cm="1">
        <f t="array" aca="1" ref="P813" ca="1">IndividualLegIVCore($A$4, Table1334[[#This Row],[Strike]], 0.0411, Table1334[[#This Row],[T]], ((Table1334[[#This Row],[BIDP]]+Table1334[[#This Row],[ASKP]])/2), FALSE)</f>
        <v>0.01</v>
      </c>
      <c r="Q813" t="b">
        <f>IF(     ISNUMBER(Table1334[[#This Row],[Strike]]),RTD("tos.rtd", , "BID", "."&amp;Table1334[[#This Row],[Ticker]]&amp;Table1334[[#This Row],[Expiry]]&amp;""&amp;"P"&amp;Table1334[[#This Row],[Strike]]))</f>
        <v>0</v>
      </c>
      <c r="R813" t="b">
        <f>IF(     ISNUMBER(Table1334[[#This Row],[Strike]]),RTD("tos.rtd", , "ASK", "."&amp;Table1334[[#This Row],[Ticker]]&amp;Table1334[[#This Row],[Expiry]]&amp;""&amp;"P"&amp;Table1334[[#This Row],[Strike]]))</f>
        <v>0</v>
      </c>
      <c r="S813" s="17"/>
      <c r="T813" t="b">
        <f>IF(     ISNUMBER(Table1334[[#This Row],[Strike]]),RTD("tos.rtd", , "OPEN_INT", "."&amp;Table1334[[#This Row],[Ticker]]&amp;Table1334[[#This Row],[Expiry]]&amp;""&amp;"P"&amp;Table1334[[#This Row],[Strike]]))</f>
        <v>0</v>
      </c>
      <c r="U81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3" t="b">
        <f>IF(     ISNUMBER(Table1334[[#This Row],[Strike]]),RTD("tos.rtd", , "DELTA", "."&amp;Table1334[[#This Row],[Ticker]]&amp;Table1334[[#This Row],[Expiry]]&amp;""&amp;"P"&amp;Table1334[[#This Row],[Strike]]))</f>
        <v>0</v>
      </c>
      <c r="Y813">
        <f>47* IF($M$1="NDX", 10, IF(OR($M$1="SPX", $M$1="RUT"), 2, 1))</f>
        <v>94</v>
      </c>
      <c r="Z813">
        <f ca="1">IFERROR(Table1334[[#This Row],[call gamma]]*(Table1334[[#This Row],[Open.Int]])*$A$4^2,0)</f>
        <v>0</v>
      </c>
      <c r="AA813">
        <f ca="1">IFERROR(((Table1334[[#This Row],[Open.Int8]])*Table1334[[#This Row],[Put gamma]])*-1*$A$4^2,0)</f>
        <v>0</v>
      </c>
      <c r="AB813">
        <f ca="1">(Table1334[[#This Row],[Call Gex]]+Table1334[[#This Row],[Put Gex]])</f>
        <v>0</v>
      </c>
      <c r="AC813">
        <f ca="1">Table1334[[#This Row],[put delta adj]]+Table1334[[#This Row],[call delta adj]]</f>
        <v>0</v>
      </c>
      <c r="AD813">
        <f ca="1">Table1334[[#This Row],[Put Gex]]*Table1334[[#This Row],[DeltaP]]*-1</f>
        <v>0</v>
      </c>
      <c r="AE813">
        <f ca="1">Table1334[[#This Row],[Call Gex]]*Table1334[[#This Row],[DeltaC]]</f>
        <v>0</v>
      </c>
      <c r="AF813">
        <f>IF(Table1334[[#This Row],[DeltaC]]-ABS(Table1334[[#This Row],[DeltaP]])="0","0.01",Table1334[[#This Row],[DeltaC]]-ABS(Table1334[[#This Row],[DeltaP]]))</f>
        <v>0</v>
      </c>
      <c r="AG81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3" t="e">
        <f ca="1">(EXP(-(AG813^2)/2)/SQRT(2*PI())*EXP(0*SQRT(Table1334[[#This Row],[T]]))/$A$4*18%*SQRT(SQRT(Table1334[[#This Row],[T]])))</f>
        <v>#DIV/0!</v>
      </c>
      <c r="AJ813" t="e">
        <f ca="1">(EXP(-(AH813^2)/2)/SQRT(2*PI())*EXP(0*SQRT(Table1334[[#This Row],[T]]))/$A$4*18%*SQRT(SQRT(Table1334[[#This Row],[T]])))</f>
        <v>#DIV/0!</v>
      </c>
      <c r="AK813" t="e">
        <f ca="1">Table1334[[#This Row],[Call D1]]-Table1334[[#This Row],[IV Calc C]]*SQRT(Table1334[[#This Row],[T]])</f>
        <v>#DIV/0!</v>
      </c>
      <c r="AL813" t="e">
        <f ca="1">Table1334[[#This Row],[Put D1]]-Table1334[[#This Row],[IV Calc P]]*SQRT(Table1334[[#This Row],[T]])</f>
        <v>#DIV/0!</v>
      </c>
      <c r="AM813" t="e">
        <f ca="1">EXP(-0.5*Table1334[[#This Row],[Call D1]]^2)/SQRT(2*PI())</f>
        <v>#DIV/0!</v>
      </c>
      <c r="AN813" t="e">
        <f ca="1">EXP(-0.5*Table1334[[#This Row],[Put D1]]^2)/SQRT(2*PI())</f>
        <v>#DIV/0!</v>
      </c>
      <c r="AO81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3">
        <f ca="1">((Table1334[[#This Row],[call vanna]]+Table1334[[#This Row],[put vanna]])*$A$4)</f>
        <v>0</v>
      </c>
      <c r="AR81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3" s="9" t="str" cm="1">
        <f t="array" ref="AT813">_xlfn.IFS(     $M$1="SPX","SPXW",     $M$1="RUT","RUTW",  $M$1="NDX","NDXP",   TRUE,$M$1 )</f>
        <v>SPXW</v>
      </c>
      <c r="AU813" s="2">
        <f t="shared" si="82"/>
        <v>6915</v>
      </c>
      <c r="AV813" t="str">
        <f t="shared" si="83"/>
        <v>000100</v>
      </c>
      <c r="AY81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3">
        <f>((Table1334[[#This Row],[High C]]+Table1334[[#This Row],[Low C]])/2)*Table1334[[#This Row],[gammac]]*Table1334[[#This Row],[Volume]]</f>
        <v>0</v>
      </c>
      <c r="BD813">
        <f>((Table1334[[#This Row],[High P]]+Table1334[[#This Row],[Low P]])/2)*Table1334[[#This Row],[gammap]]*Table1334[[#This Row],[Volume9]]*-1</f>
        <v>0</v>
      </c>
      <c r="BE813">
        <f>(Table1334[[#This Row],[SgammaC]]+Table1334[[#This Row],[SgammaP]])*$A$4*-100</f>
        <v>0</v>
      </c>
      <c r="BF813">
        <f>Table1334[[#This Row],[DEXc]]+Table1334[[#This Row],[DEXp]]</f>
        <v>0</v>
      </c>
      <c r="BG813">
        <f>IFERROR(Table1334[[#This Row],[DeltaC]]*Table1334[[#This Row],[Open.Int]]*$A$4,0)</f>
        <v>0</v>
      </c>
      <c r="BH813">
        <f>IFERROR(Table1334[[#This Row],[DeltaP]]*Table1334[[#This Row],[Open.Int8]]*$A$4,0)</f>
        <v>0</v>
      </c>
      <c r="BI81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3">
        <f ca="1">Table1334[[#This Row],[charmc]]+Table1334[[#This Row],[charmp]]</f>
        <v>0</v>
      </c>
      <c r="BL813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3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3" s="78">
        <f ca="1">Table1334[[#This Row],[call helper]]+Table1334[[#This Row],[put helper]]</f>
        <v>0</v>
      </c>
      <c r="BP813" t="str">
        <f>RTD("tos.rtd", , "STRIKE", "."&amp;Table1334[[#This Row],[Ticker]]&amp;Table1334[[#This Row],[Expiry]]&amp;""&amp;"C"&amp;Table1334[[#This Row],[Spot]]+Table1334[[#This Row],[step]])</f>
        <v>N/A</v>
      </c>
    </row>
    <row r="814" spans="1:68" x14ac:dyDescent="0.25">
      <c r="A814" s="14">
        <f t="shared" ca="1" si="79"/>
        <v>-126.14810350076104</v>
      </c>
      <c r="C814" s="17"/>
      <c r="D814" t="str">
        <f>RTD("tos.rtd", , "OPEN_INT", "."&amp;Table1334[[#This Row],[Ticker]]&amp;Table1334[[#This Row],[Expiry]]&amp;""&amp;"C"&amp;Table1334[[#This Row],[Spot]]+Table1334[[#This Row],[step]])</f>
        <v>N/A</v>
      </c>
      <c r="E81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4" t="b">
        <f>IF(     ISNUMBER(Table1334[[#This Row],[Strike]]),RTD("tos.rtd", , "DELTA", "."&amp;Table1334[[#This Row],[Ticker]]&amp;Table1334[[#This Row],[Expiry]]&amp;""&amp;"C"&amp;Table1334[[#This Row],[Strike]]))</f>
        <v>0</v>
      </c>
      <c r="H814" s="17" cm="1">
        <f t="array" aca="1" ref="H814" ca="1">IndividualLegIVCore($A$4, Table1334[[#This Row],[Strike]], 0.0411, Table1334[[#This Row],[T]], ((Table1334[[#This Row],[BIDC]]+Table1334[[#This Row],[ASKC]])/2), TRUE)</f>
        <v>0.01</v>
      </c>
      <c r="I814" t="b">
        <f>IF(     ISNUMBER(Table1334[[#This Row],[Strike]]),RTD("tos.rtd", , "BID", "."&amp;Table1334[[#This Row],[Ticker]]&amp;Table1334[[#This Row],[Expiry]]&amp;""&amp;"C"&amp;Table1334[[#This Row],[Strike]]))</f>
        <v>0</v>
      </c>
      <c r="J814" t="b">
        <f>IF(     ISNUMBER(Table1334[[#This Row],[Strike]]),RTD("tos.rtd", , "ASK", "."&amp;Table1334[[#This Row],[Ticker]]&amp;Table1334[[#This Row],[Expiry]]&amp;""&amp;"C"&amp;Table1334[[#This Row],[Strike]]))</f>
        <v>0</v>
      </c>
      <c r="K814" s="17"/>
      <c r="M814" s="1">
        <f t="shared" si="80"/>
        <v>0</v>
      </c>
      <c r="N814" t="b">
        <f t="shared" si="81"/>
        <v>0</v>
      </c>
      <c r="P814" s="17" cm="1">
        <f t="array" aca="1" ref="P814" ca="1">IndividualLegIVCore($A$4, Table1334[[#This Row],[Strike]], 0.0411, Table1334[[#This Row],[T]], ((Table1334[[#This Row],[BIDP]]+Table1334[[#This Row],[ASKP]])/2), FALSE)</f>
        <v>0.01</v>
      </c>
      <c r="Q814" t="b">
        <f>IF(     ISNUMBER(Table1334[[#This Row],[Strike]]),RTD("tos.rtd", , "BID", "."&amp;Table1334[[#This Row],[Ticker]]&amp;Table1334[[#This Row],[Expiry]]&amp;""&amp;"P"&amp;Table1334[[#This Row],[Strike]]))</f>
        <v>0</v>
      </c>
      <c r="R814" t="b">
        <f>IF(     ISNUMBER(Table1334[[#This Row],[Strike]]),RTD("tos.rtd", , "ASK", "."&amp;Table1334[[#This Row],[Ticker]]&amp;Table1334[[#This Row],[Expiry]]&amp;""&amp;"P"&amp;Table1334[[#This Row],[Strike]]))</f>
        <v>0</v>
      </c>
      <c r="S814" s="17"/>
      <c r="T814" t="b">
        <f>IF(     ISNUMBER(Table1334[[#This Row],[Strike]]),RTD("tos.rtd", , "OPEN_INT", "."&amp;Table1334[[#This Row],[Ticker]]&amp;Table1334[[#This Row],[Expiry]]&amp;""&amp;"P"&amp;Table1334[[#This Row],[Strike]]))</f>
        <v>0</v>
      </c>
      <c r="U81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4" t="b">
        <f>IF(     ISNUMBER(Table1334[[#This Row],[Strike]]),RTD("tos.rtd", , "DELTA", "."&amp;Table1334[[#This Row],[Ticker]]&amp;Table1334[[#This Row],[Expiry]]&amp;""&amp;"P"&amp;Table1334[[#This Row],[Strike]]))</f>
        <v>0</v>
      </c>
      <c r="Y814">
        <f>47.5* IF($M$1="NDX", 10, IF(OR($M$1="SPX", $M$1="RUT"), 2, 1))</f>
        <v>95</v>
      </c>
      <c r="Z814">
        <f ca="1">IFERROR(Table1334[[#This Row],[call gamma]]*(Table1334[[#This Row],[Open.Int]])*$A$4^2,0)</f>
        <v>0</v>
      </c>
      <c r="AA814">
        <f ca="1">IFERROR(((Table1334[[#This Row],[Open.Int8]])*Table1334[[#This Row],[Put gamma]])*-1*$A$4^2,0)</f>
        <v>0</v>
      </c>
      <c r="AB814">
        <f ca="1">(Table1334[[#This Row],[Call Gex]]+Table1334[[#This Row],[Put Gex]])</f>
        <v>0</v>
      </c>
      <c r="AC814">
        <f ca="1">Table1334[[#This Row],[put delta adj]]+Table1334[[#This Row],[call delta adj]]</f>
        <v>0</v>
      </c>
      <c r="AD814">
        <f ca="1">Table1334[[#This Row],[Put Gex]]*Table1334[[#This Row],[DeltaP]]*-1</f>
        <v>0</v>
      </c>
      <c r="AE814">
        <f ca="1">Table1334[[#This Row],[Call Gex]]*Table1334[[#This Row],[DeltaC]]</f>
        <v>0</v>
      </c>
      <c r="AF814">
        <f>IF(Table1334[[#This Row],[DeltaC]]-ABS(Table1334[[#This Row],[DeltaP]])="0","0.01",Table1334[[#This Row],[DeltaC]]-ABS(Table1334[[#This Row],[DeltaP]]))</f>
        <v>0</v>
      </c>
      <c r="AG81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4" t="e">
        <f ca="1">(EXP(-(AG814^2)/2)/SQRT(2*PI())*EXP(0*SQRT(Table1334[[#This Row],[T]]))/$A$4*18%*SQRT(SQRT(Table1334[[#This Row],[T]])))</f>
        <v>#DIV/0!</v>
      </c>
      <c r="AJ814" t="e">
        <f ca="1">(EXP(-(AH814^2)/2)/SQRT(2*PI())*EXP(0*SQRT(Table1334[[#This Row],[T]]))/$A$4*18%*SQRT(SQRT(Table1334[[#This Row],[T]])))</f>
        <v>#DIV/0!</v>
      </c>
      <c r="AK814" t="e">
        <f ca="1">Table1334[[#This Row],[Call D1]]-Table1334[[#This Row],[IV Calc C]]*SQRT(Table1334[[#This Row],[T]])</f>
        <v>#DIV/0!</v>
      </c>
      <c r="AL814" t="e">
        <f ca="1">Table1334[[#This Row],[Put D1]]-Table1334[[#This Row],[IV Calc P]]*SQRT(Table1334[[#This Row],[T]])</f>
        <v>#DIV/0!</v>
      </c>
      <c r="AM814" t="e">
        <f ca="1">EXP(-0.5*Table1334[[#This Row],[Call D1]]^2)/SQRT(2*PI())</f>
        <v>#DIV/0!</v>
      </c>
      <c r="AN814" t="e">
        <f ca="1">EXP(-0.5*Table1334[[#This Row],[Put D1]]^2)/SQRT(2*PI())</f>
        <v>#DIV/0!</v>
      </c>
      <c r="AO81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4">
        <f ca="1">((Table1334[[#This Row],[call vanna]]+Table1334[[#This Row],[put vanna]])*$A$4)</f>
        <v>0</v>
      </c>
      <c r="AR81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4" s="9" t="str" cm="1">
        <f t="array" ref="AT814">_xlfn.IFS(     $M$1="SPX","SPXW",     $M$1="RUT","RUTW",  $M$1="NDX","NDXP",   TRUE,$M$1 )</f>
        <v>SPXW</v>
      </c>
      <c r="AU814" s="2">
        <f t="shared" si="82"/>
        <v>6915</v>
      </c>
      <c r="AV814" t="str">
        <f t="shared" si="83"/>
        <v>000100</v>
      </c>
      <c r="AY81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4">
        <f>((Table1334[[#This Row],[High C]]+Table1334[[#This Row],[Low C]])/2)*Table1334[[#This Row],[gammac]]*Table1334[[#This Row],[Volume]]</f>
        <v>0</v>
      </c>
      <c r="BD814">
        <f>((Table1334[[#This Row],[High P]]+Table1334[[#This Row],[Low P]])/2)*Table1334[[#This Row],[gammap]]*Table1334[[#This Row],[Volume9]]*-1</f>
        <v>0</v>
      </c>
      <c r="BE814">
        <f>(Table1334[[#This Row],[SgammaC]]+Table1334[[#This Row],[SgammaP]])*$A$4*-100</f>
        <v>0</v>
      </c>
      <c r="BF814">
        <f>Table1334[[#This Row],[DEXc]]+Table1334[[#This Row],[DEXp]]</f>
        <v>0</v>
      </c>
      <c r="BG814">
        <f>IFERROR(Table1334[[#This Row],[DeltaC]]*Table1334[[#This Row],[Open.Int]]*$A$4,0)</f>
        <v>0</v>
      </c>
      <c r="BH814">
        <f>IFERROR(Table1334[[#This Row],[DeltaP]]*Table1334[[#This Row],[Open.Int8]]*$A$4,0)</f>
        <v>0</v>
      </c>
      <c r="BI81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4">
        <f ca="1">Table1334[[#This Row],[charmc]]+Table1334[[#This Row],[charmp]]</f>
        <v>0</v>
      </c>
      <c r="BL814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4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4" s="78">
        <f ca="1">Table1334[[#This Row],[call helper]]+Table1334[[#This Row],[put helper]]</f>
        <v>0</v>
      </c>
      <c r="BP814" t="str">
        <f>RTD("tos.rtd", , "STRIKE", "."&amp;Table1334[[#This Row],[Ticker]]&amp;Table1334[[#This Row],[Expiry]]&amp;""&amp;"C"&amp;Table1334[[#This Row],[Spot]]+Table1334[[#This Row],[step]])</f>
        <v>N/A</v>
      </c>
    </row>
    <row r="815" spans="1:68" x14ac:dyDescent="0.25">
      <c r="A815" s="14">
        <f t="shared" ca="1" si="79"/>
        <v>-126.14810350076104</v>
      </c>
      <c r="C815" s="17"/>
      <c r="D815" t="str">
        <f>RTD("tos.rtd", , "OPEN_INT", "."&amp;Table1334[[#This Row],[Ticker]]&amp;Table1334[[#This Row],[Expiry]]&amp;""&amp;"C"&amp;Table1334[[#This Row],[Spot]]+Table1334[[#This Row],[step]])</f>
        <v>N/A</v>
      </c>
      <c r="E81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5" t="b">
        <f>IF(     ISNUMBER(Table1334[[#This Row],[Strike]]),RTD("tos.rtd", , "DELTA", "."&amp;Table1334[[#This Row],[Ticker]]&amp;Table1334[[#This Row],[Expiry]]&amp;""&amp;"C"&amp;Table1334[[#This Row],[Strike]]))</f>
        <v>0</v>
      </c>
      <c r="H815" s="17" cm="1">
        <f t="array" aca="1" ref="H815" ca="1">IndividualLegIVCore($A$4, Table1334[[#This Row],[Strike]], 0.0411, Table1334[[#This Row],[T]], ((Table1334[[#This Row],[BIDC]]+Table1334[[#This Row],[ASKC]])/2), TRUE)</f>
        <v>0.01</v>
      </c>
      <c r="I815" t="b">
        <f>IF(     ISNUMBER(Table1334[[#This Row],[Strike]]),RTD("tos.rtd", , "BID", "."&amp;Table1334[[#This Row],[Ticker]]&amp;Table1334[[#This Row],[Expiry]]&amp;""&amp;"C"&amp;Table1334[[#This Row],[Strike]]))</f>
        <v>0</v>
      </c>
      <c r="J815" t="b">
        <f>IF(     ISNUMBER(Table1334[[#This Row],[Strike]]),RTD("tos.rtd", , "ASK", "."&amp;Table1334[[#This Row],[Ticker]]&amp;Table1334[[#This Row],[Expiry]]&amp;""&amp;"C"&amp;Table1334[[#This Row],[Strike]]))</f>
        <v>0</v>
      </c>
      <c r="K815" s="17"/>
      <c r="M815" s="1">
        <f t="shared" si="80"/>
        <v>0</v>
      </c>
      <c r="N815" t="b">
        <f t="shared" si="81"/>
        <v>0</v>
      </c>
      <c r="P815" s="17" cm="1">
        <f t="array" aca="1" ref="P815" ca="1">IndividualLegIVCore($A$4, Table1334[[#This Row],[Strike]], 0.0411, Table1334[[#This Row],[T]], ((Table1334[[#This Row],[BIDP]]+Table1334[[#This Row],[ASKP]])/2), FALSE)</f>
        <v>0.01</v>
      </c>
      <c r="Q815" t="b">
        <f>IF(     ISNUMBER(Table1334[[#This Row],[Strike]]),RTD("tos.rtd", , "BID", "."&amp;Table1334[[#This Row],[Ticker]]&amp;Table1334[[#This Row],[Expiry]]&amp;""&amp;"P"&amp;Table1334[[#This Row],[Strike]]))</f>
        <v>0</v>
      </c>
      <c r="R815" t="b">
        <f>IF(     ISNUMBER(Table1334[[#This Row],[Strike]]),RTD("tos.rtd", , "ASK", "."&amp;Table1334[[#This Row],[Ticker]]&amp;Table1334[[#This Row],[Expiry]]&amp;""&amp;"P"&amp;Table1334[[#This Row],[Strike]]))</f>
        <v>0</v>
      </c>
      <c r="S815" s="17"/>
      <c r="T815" t="b">
        <f>IF(     ISNUMBER(Table1334[[#This Row],[Strike]]),RTD("tos.rtd", , "OPEN_INT", "."&amp;Table1334[[#This Row],[Ticker]]&amp;Table1334[[#This Row],[Expiry]]&amp;""&amp;"P"&amp;Table1334[[#This Row],[Strike]]))</f>
        <v>0</v>
      </c>
      <c r="U81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5" t="b">
        <f>IF(     ISNUMBER(Table1334[[#This Row],[Strike]]),RTD("tos.rtd", , "DELTA", "."&amp;Table1334[[#This Row],[Ticker]]&amp;Table1334[[#This Row],[Expiry]]&amp;""&amp;"P"&amp;Table1334[[#This Row],[Strike]]))</f>
        <v>0</v>
      </c>
      <c r="Y815">
        <f>48* IF($M$1="NDX", 10, IF(OR($M$1="SPX", $M$1="RUT"), 2, 1))</f>
        <v>96</v>
      </c>
      <c r="Z815">
        <f ca="1">IFERROR(Table1334[[#This Row],[call gamma]]*(Table1334[[#This Row],[Open.Int]])*$A$4^2,0)</f>
        <v>0</v>
      </c>
      <c r="AA815">
        <f ca="1">IFERROR(((Table1334[[#This Row],[Open.Int8]])*Table1334[[#This Row],[Put gamma]])*-1*$A$4^2,0)</f>
        <v>0</v>
      </c>
      <c r="AB815">
        <f ca="1">(Table1334[[#This Row],[Call Gex]]+Table1334[[#This Row],[Put Gex]])</f>
        <v>0</v>
      </c>
      <c r="AC815">
        <f ca="1">Table1334[[#This Row],[put delta adj]]+Table1334[[#This Row],[call delta adj]]</f>
        <v>0</v>
      </c>
      <c r="AD815">
        <f ca="1">Table1334[[#This Row],[Put Gex]]*Table1334[[#This Row],[DeltaP]]*-1</f>
        <v>0</v>
      </c>
      <c r="AE815">
        <f ca="1">Table1334[[#This Row],[Call Gex]]*Table1334[[#This Row],[DeltaC]]</f>
        <v>0</v>
      </c>
      <c r="AF815">
        <f>IF(Table1334[[#This Row],[DeltaC]]-ABS(Table1334[[#This Row],[DeltaP]])="0","0.01",Table1334[[#This Row],[DeltaC]]-ABS(Table1334[[#This Row],[DeltaP]]))</f>
        <v>0</v>
      </c>
      <c r="AG81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5" t="e">
        <f ca="1">(EXP(-(AG815^2)/2)/SQRT(2*PI())*EXP(0*SQRT(Table1334[[#This Row],[T]]))/$A$4*18%*SQRT(SQRT(Table1334[[#This Row],[T]])))</f>
        <v>#DIV/0!</v>
      </c>
      <c r="AJ815" t="e">
        <f ca="1">(EXP(-(AH815^2)/2)/SQRT(2*PI())*EXP(0*SQRT(Table1334[[#This Row],[T]]))/$A$4*18%*SQRT(SQRT(Table1334[[#This Row],[T]])))</f>
        <v>#DIV/0!</v>
      </c>
      <c r="AK815" t="e">
        <f ca="1">Table1334[[#This Row],[Call D1]]-Table1334[[#This Row],[IV Calc C]]*SQRT(Table1334[[#This Row],[T]])</f>
        <v>#DIV/0!</v>
      </c>
      <c r="AL815" t="e">
        <f ca="1">Table1334[[#This Row],[Put D1]]-Table1334[[#This Row],[IV Calc P]]*SQRT(Table1334[[#This Row],[T]])</f>
        <v>#DIV/0!</v>
      </c>
      <c r="AM815" t="e">
        <f ca="1">EXP(-0.5*Table1334[[#This Row],[Call D1]]^2)/SQRT(2*PI())</f>
        <v>#DIV/0!</v>
      </c>
      <c r="AN815" t="e">
        <f ca="1">EXP(-0.5*Table1334[[#This Row],[Put D1]]^2)/SQRT(2*PI())</f>
        <v>#DIV/0!</v>
      </c>
      <c r="AO81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5">
        <f ca="1">((Table1334[[#This Row],[call vanna]]+Table1334[[#This Row],[put vanna]])*$A$4)</f>
        <v>0</v>
      </c>
      <c r="AR81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5" s="9" t="str" cm="1">
        <f t="array" ref="AT815">_xlfn.IFS(     $M$1="SPX","SPXW",     $M$1="RUT","RUTW",  $M$1="NDX","NDXP",   TRUE,$M$1 )</f>
        <v>SPXW</v>
      </c>
      <c r="AU815" s="2">
        <f t="shared" si="82"/>
        <v>6915</v>
      </c>
      <c r="AV815" t="str">
        <f t="shared" si="83"/>
        <v>000100</v>
      </c>
      <c r="AY81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5">
        <f>((Table1334[[#This Row],[High C]]+Table1334[[#This Row],[Low C]])/2)*Table1334[[#This Row],[gammac]]*Table1334[[#This Row],[Volume]]</f>
        <v>0</v>
      </c>
      <c r="BD815">
        <f>((Table1334[[#This Row],[High P]]+Table1334[[#This Row],[Low P]])/2)*Table1334[[#This Row],[gammap]]*Table1334[[#This Row],[Volume9]]*-1</f>
        <v>0</v>
      </c>
      <c r="BE815">
        <f>(Table1334[[#This Row],[SgammaC]]+Table1334[[#This Row],[SgammaP]])*$A$4*-100</f>
        <v>0</v>
      </c>
      <c r="BF815">
        <f>Table1334[[#This Row],[DEXc]]+Table1334[[#This Row],[DEXp]]</f>
        <v>0</v>
      </c>
      <c r="BG815">
        <f>IFERROR(Table1334[[#This Row],[DeltaC]]*Table1334[[#This Row],[Open.Int]]*$A$4,0)</f>
        <v>0</v>
      </c>
      <c r="BH815">
        <f>IFERROR(Table1334[[#This Row],[DeltaP]]*Table1334[[#This Row],[Open.Int8]]*$A$4,0)</f>
        <v>0</v>
      </c>
      <c r="BI81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5">
        <f ca="1">Table1334[[#This Row],[charmc]]+Table1334[[#This Row],[charmp]]</f>
        <v>0</v>
      </c>
      <c r="BL815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5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5" s="78">
        <f ca="1">Table1334[[#This Row],[call helper]]+Table1334[[#This Row],[put helper]]</f>
        <v>0</v>
      </c>
      <c r="BP815" t="str">
        <f>RTD("tos.rtd", , "STRIKE", "."&amp;Table1334[[#This Row],[Ticker]]&amp;Table1334[[#This Row],[Expiry]]&amp;""&amp;"C"&amp;Table1334[[#This Row],[Spot]]+Table1334[[#This Row],[step]])</f>
        <v>N/A</v>
      </c>
    </row>
    <row r="816" spans="1:68" x14ac:dyDescent="0.25">
      <c r="A816" s="14">
        <f t="shared" ca="1" si="79"/>
        <v>-126.14810350076104</v>
      </c>
      <c r="C816" s="17"/>
      <c r="D816" t="str">
        <f>RTD("tos.rtd", , "OPEN_INT", "."&amp;Table1334[[#This Row],[Ticker]]&amp;Table1334[[#This Row],[Expiry]]&amp;""&amp;"C"&amp;Table1334[[#This Row],[Spot]]+Table1334[[#This Row],[step]])</f>
        <v>N/A</v>
      </c>
      <c r="E81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6" t="b">
        <f>IF(     ISNUMBER(Table1334[[#This Row],[Strike]]),RTD("tos.rtd", , "DELTA", "."&amp;Table1334[[#This Row],[Ticker]]&amp;Table1334[[#This Row],[Expiry]]&amp;""&amp;"C"&amp;Table1334[[#This Row],[Strike]]))</f>
        <v>0</v>
      </c>
      <c r="H816" s="17" cm="1">
        <f t="array" aca="1" ref="H816" ca="1">IndividualLegIVCore($A$4, Table1334[[#This Row],[Strike]], 0.0411, Table1334[[#This Row],[T]], ((Table1334[[#This Row],[BIDC]]+Table1334[[#This Row],[ASKC]])/2), TRUE)</f>
        <v>0.01</v>
      </c>
      <c r="I816" t="b">
        <f>IF(     ISNUMBER(Table1334[[#This Row],[Strike]]),RTD("tos.rtd", , "BID", "."&amp;Table1334[[#This Row],[Ticker]]&amp;Table1334[[#This Row],[Expiry]]&amp;""&amp;"C"&amp;Table1334[[#This Row],[Strike]]))</f>
        <v>0</v>
      </c>
      <c r="J816" t="b">
        <f>IF(     ISNUMBER(Table1334[[#This Row],[Strike]]),RTD("tos.rtd", , "ASK", "."&amp;Table1334[[#This Row],[Ticker]]&amp;Table1334[[#This Row],[Expiry]]&amp;""&amp;"C"&amp;Table1334[[#This Row],[Strike]]))</f>
        <v>0</v>
      </c>
      <c r="K816" s="17"/>
      <c r="M816" s="1">
        <f t="shared" si="80"/>
        <v>0</v>
      </c>
      <c r="N816" t="b">
        <f t="shared" si="81"/>
        <v>0</v>
      </c>
      <c r="P816" s="17" cm="1">
        <f t="array" aca="1" ref="P816" ca="1">IndividualLegIVCore($A$4, Table1334[[#This Row],[Strike]], 0.0411, Table1334[[#This Row],[T]], ((Table1334[[#This Row],[BIDP]]+Table1334[[#This Row],[ASKP]])/2), FALSE)</f>
        <v>0.01</v>
      </c>
      <c r="Q816" t="b">
        <f>IF(     ISNUMBER(Table1334[[#This Row],[Strike]]),RTD("tos.rtd", , "BID", "."&amp;Table1334[[#This Row],[Ticker]]&amp;Table1334[[#This Row],[Expiry]]&amp;""&amp;"P"&amp;Table1334[[#This Row],[Strike]]))</f>
        <v>0</v>
      </c>
      <c r="R816" t="b">
        <f>IF(     ISNUMBER(Table1334[[#This Row],[Strike]]),RTD("tos.rtd", , "ASK", "."&amp;Table1334[[#This Row],[Ticker]]&amp;Table1334[[#This Row],[Expiry]]&amp;""&amp;"P"&amp;Table1334[[#This Row],[Strike]]))</f>
        <v>0</v>
      </c>
      <c r="S816" s="17"/>
      <c r="T816" t="b">
        <f>IF(     ISNUMBER(Table1334[[#This Row],[Strike]]),RTD("tos.rtd", , "OPEN_INT", "."&amp;Table1334[[#This Row],[Ticker]]&amp;Table1334[[#This Row],[Expiry]]&amp;""&amp;"P"&amp;Table1334[[#This Row],[Strike]]))</f>
        <v>0</v>
      </c>
      <c r="U81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6" t="b">
        <f>IF(     ISNUMBER(Table1334[[#This Row],[Strike]]),RTD("tos.rtd", , "DELTA", "."&amp;Table1334[[#This Row],[Ticker]]&amp;Table1334[[#This Row],[Expiry]]&amp;""&amp;"P"&amp;Table1334[[#This Row],[Strike]]))</f>
        <v>0</v>
      </c>
      <c r="Y816">
        <f>48.5* IF($M$1="NDX", 10, IF(OR($M$1="SPX", $M$1="RUT"), 2, 1))</f>
        <v>97</v>
      </c>
      <c r="Z816">
        <f ca="1">IFERROR(Table1334[[#This Row],[call gamma]]*(Table1334[[#This Row],[Open.Int]])*$A$4^2,0)</f>
        <v>0</v>
      </c>
      <c r="AA816">
        <f ca="1">IFERROR(((Table1334[[#This Row],[Open.Int8]])*Table1334[[#This Row],[Put gamma]])*-1*$A$4^2,0)</f>
        <v>0</v>
      </c>
      <c r="AB816">
        <f ca="1">(Table1334[[#This Row],[Call Gex]]+Table1334[[#This Row],[Put Gex]])</f>
        <v>0</v>
      </c>
      <c r="AC816">
        <f ca="1">Table1334[[#This Row],[put delta adj]]+Table1334[[#This Row],[call delta adj]]</f>
        <v>0</v>
      </c>
      <c r="AD816">
        <f ca="1">Table1334[[#This Row],[Put Gex]]*Table1334[[#This Row],[DeltaP]]*-1</f>
        <v>0</v>
      </c>
      <c r="AE816">
        <f ca="1">Table1334[[#This Row],[Call Gex]]*Table1334[[#This Row],[DeltaC]]</f>
        <v>0</v>
      </c>
      <c r="AF816">
        <f>IF(Table1334[[#This Row],[DeltaC]]-ABS(Table1334[[#This Row],[DeltaP]])="0","0.01",Table1334[[#This Row],[DeltaC]]-ABS(Table1334[[#This Row],[DeltaP]]))</f>
        <v>0</v>
      </c>
      <c r="AG81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6" t="e">
        <f ca="1">(EXP(-(AG816^2)/2)/SQRT(2*PI())*EXP(0*SQRT(Table1334[[#This Row],[T]]))/$A$4*18%*SQRT(SQRT(Table1334[[#This Row],[T]])))</f>
        <v>#DIV/0!</v>
      </c>
      <c r="AJ816" t="e">
        <f ca="1">(EXP(-(AH816^2)/2)/SQRT(2*PI())*EXP(0*SQRT(Table1334[[#This Row],[T]]))/$A$4*18%*SQRT(SQRT(Table1334[[#This Row],[T]])))</f>
        <v>#DIV/0!</v>
      </c>
      <c r="AK816" t="e">
        <f ca="1">Table1334[[#This Row],[Call D1]]-Table1334[[#This Row],[IV Calc C]]*SQRT(Table1334[[#This Row],[T]])</f>
        <v>#DIV/0!</v>
      </c>
      <c r="AL816" t="e">
        <f ca="1">Table1334[[#This Row],[Put D1]]-Table1334[[#This Row],[IV Calc P]]*SQRT(Table1334[[#This Row],[T]])</f>
        <v>#DIV/0!</v>
      </c>
      <c r="AM816" t="e">
        <f ca="1">EXP(-0.5*Table1334[[#This Row],[Call D1]]^2)/SQRT(2*PI())</f>
        <v>#DIV/0!</v>
      </c>
      <c r="AN816" t="e">
        <f ca="1">EXP(-0.5*Table1334[[#This Row],[Put D1]]^2)/SQRT(2*PI())</f>
        <v>#DIV/0!</v>
      </c>
      <c r="AO81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6">
        <f ca="1">((Table1334[[#This Row],[call vanna]]+Table1334[[#This Row],[put vanna]])*$A$4)</f>
        <v>0</v>
      </c>
      <c r="AR81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6" s="9" t="str" cm="1">
        <f t="array" ref="AT816">_xlfn.IFS(     $M$1="SPX","SPXW",     $M$1="RUT","RUTW",  $M$1="NDX","NDXP",   TRUE,$M$1 )</f>
        <v>SPXW</v>
      </c>
      <c r="AU816" s="2">
        <f t="shared" si="82"/>
        <v>6915</v>
      </c>
      <c r="AV816" t="str">
        <f t="shared" si="83"/>
        <v>000100</v>
      </c>
      <c r="AY81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6">
        <f>((Table1334[[#This Row],[High C]]+Table1334[[#This Row],[Low C]])/2)*Table1334[[#This Row],[gammac]]*Table1334[[#This Row],[Volume]]</f>
        <v>0</v>
      </c>
      <c r="BD816">
        <f>((Table1334[[#This Row],[High P]]+Table1334[[#This Row],[Low P]])/2)*Table1334[[#This Row],[gammap]]*Table1334[[#This Row],[Volume9]]*-1</f>
        <v>0</v>
      </c>
      <c r="BE816">
        <f>(Table1334[[#This Row],[SgammaC]]+Table1334[[#This Row],[SgammaP]])*$A$4*-100</f>
        <v>0</v>
      </c>
      <c r="BF816">
        <f>Table1334[[#This Row],[DEXc]]+Table1334[[#This Row],[DEXp]]</f>
        <v>0</v>
      </c>
      <c r="BG816">
        <f>IFERROR(Table1334[[#This Row],[DeltaC]]*Table1334[[#This Row],[Open.Int]]*$A$4,0)</f>
        <v>0</v>
      </c>
      <c r="BH816">
        <f>IFERROR(Table1334[[#This Row],[DeltaP]]*Table1334[[#This Row],[Open.Int8]]*$A$4,0)</f>
        <v>0</v>
      </c>
      <c r="BI81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6">
        <f ca="1">Table1334[[#This Row],[charmc]]+Table1334[[#This Row],[charmp]]</f>
        <v>0</v>
      </c>
      <c r="BL816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6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6" s="78">
        <f ca="1">Table1334[[#This Row],[call helper]]+Table1334[[#This Row],[put helper]]</f>
        <v>0</v>
      </c>
      <c r="BP816" t="str">
        <f>RTD("tos.rtd", , "STRIKE", "."&amp;Table1334[[#This Row],[Ticker]]&amp;Table1334[[#This Row],[Expiry]]&amp;""&amp;"C"&amp;Table1334[[#This Row],[Spot]]+Table1334[[#This Row],[step]])</f>
        <v>N/A</v>
      </c>
    </row>
    <row r="817" spans="1:69" x14ac:dyDescent="0.25">
      <c r="A817" s="14">
        <f t="shared" ca="1" si="79"/>
        <v>-126.14810350076104</v>
      </c>
      <c r="C817" s="17"/>
      <c r="D817" t="str">
        <f>RTD("tos.rtd", , "OPEN_INT", "."&amp;Table1334[[#This Row],[Ticker]]&amp;Table1334[[#This Row],[Expiry]]&amp;""&amp;"C"&amp;Table1334[[#This Row],[Spot]]+Table1334[[#This Row],[step]])</f>
        <v>N/A</v>
      </c>
      <c r="E81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7" t="b">
        <f>IF(     ISNUMBER(Table1334[[#This Row],[Strike]]),RTD("tos.rtd", , "DELTA", "."&amp;Table1334[[#This Row],[Ticker]]&amp;Table1334[[#This Row],[Expiry]]&amp;""&amp;"C"&amp;Table1334[[#This Row],[Strike]]))</f>
        <v>0</v>
      </c>
      <c r="H817" s="17" cm="1">
        <f t="array" aca="1" ref="H817" ca="1">IndividualLegIVCore($A$4, Table1334[[#This Row],[Strike]], 0.0411, Table1334[[#This Row],[T]], ((Table1334[[#This Row],[BIDC]]+Table1334[[#This Row],[ASKC]])/2), TRUE)</f>
        <v>0.01</v>
      </c>
      <c r="I817" t="b">
        <f>IF(     ISNUMBER(Table1334[[#This Row],[Strike]]),RTD("tos.rtd", , "BID", "."&amp;Table1334[[#This Row],[Ticker]]&amp;Table1334[[#This Row],[Expiry]]&amp;""&amp;"C"&amp;Table1334[[#This Row],[Strike]]))</f>
        <v>0</v>
      </c>
      <c r="J817" t="b">
        <f>IF(     ISNUMBER(Table1334[[#This Row],[Strike]]),RTD("tos.rtd", , "ASK", "."&amp;Table1334[[#This Row],[Ticker]]&amp;Table1334[[#This Row],[Expiry]]&amp;""&amp;"C"&amp;Table1334[[#This Row],[Strike]]))</f>
        <v>0</v>
      </c>
      <c r="K817" s="17"/>
      <c r="M817" s="1">
        <f t="shared" si="80"/>
        <v>0</v>
      </c>
      <c r="N817" t="b">
        <f t="shared" si="81"/>
        <v>0</v>
      </c>
      <c r="P817" s="17" cm="1">
        <f t="array" aca="1" ref="P817" ca="1">IndividualLegIVCore($A$4, Table1334[[#This Row],[Strike]], 0.0411, Table1334[[#This Row],[T]], ((Table1334[[#This Row],[BIDP]]+Table1334[[#This Row],[ASKP]])/2), FALSE)</f>
        <v>0.01</v>
      </c>
      <c r="Q817" t="b">
        <f>IF(     ISNUMBER(Table1334[[#This Row],[Strike]]),RTD("tos.rtd", , "BID", "."&amp;Table1334[[#This Row],[Ticker]]&amp;Table1334[[#This Row],[Expiry]]&amp;""&amp;"P"&amp;Table1334[[#This Row],[Strike]]))</f>
        <v>0</v>
      </c>
      <c r="R817" t="b">
        <f>IF(     ISNUMBER(Table1334[[#This Row],[Strike]]),RTD("tos.rtd", , "ASK", "."&amp;Table1334[[#This Row],[Ticker]]&amp;Table1334[[#This Row],[Expiry]]&amp;""&amp;"P"&amp;Table1334[[#This Row],[Strike]]))</f>
        <v>0</v>
      </c>
      <c r="S817" s="17"/>
      <c r="T817" t="b">
        <f>IF(     ISNUMBER(Table1334[[#This Row],[Strike]]),RTD("tos.rtd", , "OPEN_INT", "."&amp;Table1334[[#This Row],[Ticker]]&amp;Table1334[[#This Row],[Expiry]]&amp;""&amp;"P"&amp;Table1334[[#This Row],[Strike]]))</f>
        <v>0</v>
      </c>
      <c r="U81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7" t="b">
        <f>IF(     ISNUMBER(Table1334[[#This Row],[Strike]]),RTD("tos.rtd", , "DELTA", "."&amp;Table1334[[#This Row],[Ticker]]&amp;Table1334[[#This Row],[Expiry]]&amp;""&amp;"P"&amp;Table1334[[#This Row],[Strike]]))</f>
        <v>0</v>
      </c>
      <c r="Y817">
        <f>49* IF($M$1="NDX", 10, IF(OR($M$1="SPX", $M$1="RUT"), 2, 1))</f>
        <v>98</v>
      </c>
      <c r="Z817">
        <f ca="1">IFERROR(Table1334[[#This Row],[call gamma]]*(Table1334[[#This Row],[Open.Int]])*$A$4^2,0)</f>
        <v>0</v>
      </c>
      <c r="AA817">
        <f ca="1">IFERROR(((Table1334[[#This Row],[Open.Int8]])*Table1334[[#This Row],[Put gamma]])*-1*$A$4^2,0)</f>
        <v>0</v>
      </c>
      <c r="AB817">
        <f ca="1">(Table1334[[#This Row],[Call Gex]]+Table1334[[#This Row],[Put Gex]])</f>
        <v>0</v>
      </c>
      <c r="AC817">
        <f ca="1">Table1334[[#This Row],[put delta adj]]+Table1334[[#This Row],[call delta adj]]</f>
        <v>0</v>
      </c>
      <c r="AD817">
        <f ca="1">Table1334[[#This Row],[Put Gex]]*Table1334[[#This Row],[DeltaP]]*-1</f>
        <v>0</v>
      </c>
      <c r="AE817">
        <f ca="1">Table1334[[#This Row],[Call Gex]]*Table1334[[#This Row],[DeltaC]]</f>
        <v>0</v>
      </c>
      <c r="AF817">
        <f>IF(Table1334[[#This Row],[DeltaC]]-ABS(Table1334[[#This Row],[DeltaP]])="0","0.01",Table1334[[#This Row],[DeltaC]]-ABS(Table1334[[#This Row],[DeltaP]]))</f>
        <v>0</v>
      </c>
      <c r="AG81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7" t="e">
        <f ca="1">(EXP(-(AG817^2)/2)/SQRT(2*PI())*EXP(0*SQRT(Table1334[[#This Row],[T]]))/$A$4*18%*SQRT(SQRT(Table1334[[#This Row],[T]])))</f>
        <v>#DIV/0!</v>
      </c>
      <c r="AJ817" t="e">
        <f ca="1">(EXP(-(AH817^2)/2)/SQRT(2*PI())*EXP(0*SQRT(Table1334[[#This Row],[T]]))/$A$4*18%*SQRT(SQRT(Table1334[[#This Row],[T]])))</f>
        <v>#DIV/0!</v>
      </c>
      <c r="AK817" t="e">
        <f ca="1">Table1334[[#This Row],[Call D1]]-Table1334[[#This Row],[IV Calc C]]*SQRT(Table1334[[#This Row],[T]])</f>
        <v>#DIV/0!</v>
      </c>
      <c r="AL817" t="e">
        <f ca="1">Table1334[[#This Row],[Put D1]]-Table1334[[#This Row],[IV Calc P]]*SQRT(Table1334[[#This Row],[T]])</f>
        <v>#DIV/0!</v>
      </c>
      <c r="AM817" t="e">
        <f ca="1">EXP(-0.5*Table1334[[#This Row],[Call D1]]^2)/SQRT(2*PI())</f>
        <v>#DIV/0!</v>
      </c>
      <c r="AN817" t="e">
        <f ca="1">EXP(-0.5*Table1334[[#This Row],[Put D1]]^2)/SQRT(2*PI())</f>
        <v>#DIV/0!</v>
      </c>
      <c r="AO81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7">
        <f ca="1">((Table1334[[#This Row],[call vanna]]+Table1334[[#This Row],[put vanna]])*$A$4)</f>
        <v>0</v>
      </c>
      <c r="AR81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7" s="9" t="str" cm="1">
        <f t="array" ref="AT817">_xlfn.IFS(     $M$1="SPX","SPXW",     $M$1="RUT","RUTW",  $M$1="NDX","NDXP",   TRUE,$M$1 )</f>
        <v>SPXW</v>
      </c>
      <c r="AU817" s="2">
        <f t="shared" si="82"/>
        <v>6915</v>
      </c>
      <c r="AV817" t="str">
        <f t="shared" si="83"/>
        <v>000100</v>
      </c>
      <c r="AY81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7">
        <f>((Table1334[[#This Row],[High C]]+Table1334[[#This Row],[Low C]])/2)*Table1334[[#This Row],[gammac]]*Table1334[[#This Row],[Volume]]</f>
        <v>0</v>
      </c>
      <c r="BD817">
        <f>((Table1334[[#This Row],[High P]]+Table1334[[#This Row],[Low P]])/2)*Table1334[[#This Row],[gammap]]*Table1334[[#This Row],[Volume9]]*-1</f>
        <v>0</v>
      </c>
      <c r="BE817">
        <f>(Table1334[[#This Row],[SgammaC]]+Table1334[[#This Row],[SgammaP]])*$A$4*-100</f>
        <v>0</v>
      </c>
      <c r="BF817">
        <f>Table1334[[#This Row],[DEXc]]+Table1334[[#This Row],[DEXp]]</f>
        <v>0</v>
      </c>
      <c r="BG817">
        <f>IFERROR(Table1334[[#This Row],[DeltaC]]*Table1334[[#This Row],[Open.Int]]*$A$4,0)</f>
        <v>0</v>
      </c>
      <c r="BH817">
        <f>IFERROR(Table1334[[#This Row],[DeltaP]]*Table1334[[#This Row],[Open.Int8]]*$A$4,0)</f>
        <v>0</v>
      </c>
      <c r="BI81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7">
        <f ca="1">Table1334[[#This Row],[charmc]]+Table1334[[#This Row],[charmp]]</f>
        <v>0</v>
      </c>
      <c r="BL817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7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7" s="78">
        <f ca="1">Table1334[[#This Row],[call helper]]+Table1334[[#This Row],[put helper]]</f>
        <v>0</v>
      </c>
      <c r="BP817" t="str">
        <f>RTD("tos.rtd", , "STRIKE", "."&amp;Table1334[[#This Row],[Ticker]]&amp;Table1334[[#This Row],[Expiry]]&amp;""&amp;"C"&amp;Table1334[[#This Row],[Spot]]+Table1334[[#This Row],[step]])</f>
        <v>N/A</v>
      </c>
    </row>
    <row r="818" spans="1:69" x14ac:dyDescent="0.25">
      <c r="A818" s="14">
        <f t="shared" ca="1" si="79"/>
        <v>-126.14810350076104</v>
      </c>
      <c r="C818" s="17"/>
      <c r="D818" t="str">
        <f>RTD("tos.rtd", , "OPEN_INT", "."&amp;Table1334[[#This Row],[Ticker]]&amp;Table1334[[#This Row],[Expiry]]&amp;""&amp;"C"&amp;Table1334[[#This Row],[Spot]]+Table1334[[#This Row],[step]])</f>
        <v>N/A</v>
      </c>
      <c r="E81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8" t="b">
        <f>IF(     ISNUMBER(Table1334[[#This Row],[Strike]]),RTD("tos.rtd", , "DELTA", "."&amp;Table1334[[#This Row],[Ticker]]&amp;Table1334[[#This Row],[Expiry]]&amp;""&amp;"C"&amp;Table1334[[#This Row],[Strike]]))</f>
        <v>0</v>
      </c>
      <c r="H818" s="17" cm="1">
        <f t="array" aca="1" ref="H818" ca="1">IndividualLegIVCore($A$4, Table1334[[#This Row],[Strike]], 0.0411, Table1334[[#This Row],[T]], ((Table1334[[#This Row],[BIDC]]+Table1334[[#This Row],[ASKC]])/2), TRUE)</f>
        <v>0.01</v>
      </c>
      <c r="I818" t="b">
        <f>IF(     ISNUMBER(Table1334[[#This Row],[Strike]]),RTD("tos.rtd", , "BID", "."&amp;Table1334[[#This Row],[Ticker]]&amp;Table1334[[#This Row],[Expiry]]&amp;""&amp;"C"&amp;Table1334[[#This Row],[Strike]]))</f>
        <v>0</v>
      </c>
      <c r="J818" t="b">
        <f>IF(     ISNUMBER(Table1334[[#This Row],[Strike]]),RTD("tos.rtd", , "ASK", "."&amp;Table1334[[#This Row],[Ticker]]&amp;Table1334[[#This Row],[Expiry]]&amp;""&amp;"C"&amp;Table1334[[#This Row],[Strike]]))</f>
        <v>0</v>
      </c>
      <c r="K818" s="17"/>
      <c r="M818" s="1">
        <f t="shared" si="80"/>
        <v>0</v>
      </c>
      <c r="N818" t="b">
        <f t="shared" si="81"/>
        <v>0</v>
      </c>
      <c r="P818" s="17" cm="1">
        <f t="array" aca="1" ref="P818" ca="1">IndividualLegIVCore($A$4, Table1334[[#This Row],[Strike]], 0.0411, Table1334[[#This Row],[T]], ((Table1334[[#This Row],[BIDP]]+Table1334[[#This Row],[ASKP]])/2), FALSE)</f>
        <v>0.01</v>
      </c>
      <c r="Q818" t="b">
        <f>IF(     ISNUMBER(Table1334[[#This Row],[Strike]]),RTD("tos.rtd", , "BID", "."&amp;Table1334[[#This Row],[Ticker]]&amp;Table1334[[#This Row],[Expiry]]&amp;""&amp;"P"&amp;Table1334[[#This Row],[Strike]]))</f>
        <v>0</v>
      </c>
      <c r="R818" t="b">
        <f>IF(     ISNUMBER(Table1334[[#This Row],[Strike]]),RTD("tos.rtd", , "ASK", "."&amp;Table1334[[#This Row],[Ticker]]&amp;Table1334[[#This Row],[Expiry]]&amp;""&amp;"P"&amp;Table1334[[#This Row],[Strike]]))</f>
        <v>0</v>
      </c>
      <c r="S818" s="17"/>
      <c r="T818" t="b">
        <f>IF(     ISNUMBER(Table1334[[#This Row],[Strike]]),RTD("tos.rtd", , "OPEN_INT", "."&amp;Table1334[[#This Row],[Ticker]]&amp;Table1334[[#This Row],[Expiry]]&amp;""&amp;"P"&amp;Table1334[[#This Row],[Strike]]))</f>
        <v>0</v>
      </c>
      <c r="U81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8" t="b">
        <f>IF(     ISNUMBER(Table1334[[#This Row],[Strike]]),RTD("tos.rtd", , "DELTA", "."&amp;Table1334[[#This Row],[Ticker]]&amp;Table1334[[#This Row],[Expiry]]&amp;""&amp;"P"&amp;Table1334[[#This Row],[Strike]]))</f>
        <v>0</v>
      </c>
      <c r="Y818">
        <f>49.5* IF($M$1="NDX", 10, IF(OR($M$1="SPX", $M$1="RUT"), 2, 1))</f>
        <v>99</v>
      </c>
      <c r="Z818">
        <f ca="1">IFERROR(Table1334[[#This Row],[call gamma]]*(Table1334[[#This Row],[Open.Int]])*$A$4^2,0)</f>
        <v>0</v>
      </c>
      <c r="AA818">
        <f ca="1">IFERROR(((Table1334[[#This Row],[Open.Int8]])*Table1334[[#This Row],[Put gamma]])*-1*$A$4^2,0)</f>
        <v>0</v>
      </c>
      <c r="AB818">
        <f ca="1">(Table1334[[#This Row],[Call Gex]]+Table1334[[#This Row],[Put Gex]])</f>
        <v>0</v>
      </c>
      <c r="AC818">
        <f ca="1">Table1334[[#This Row],[put delta adj]]+Table1334[[#This Row],[call delta adj]]</f>
        <v>0</v>
      </c>
      <c r="AD818">
        <f ca="1">Table1334[[#This Row],[Put Gex]]*Table1334[[#This Row],[DeltaP]]*-1</f>
        <v>0</v>
      </c>
      <c r="AE818">
        <f ca="1">Table1334[[#This Row],[Call Gex]]*Table1334[[#This Row],[DeltaC]]</f>
        <v>0</v>
      </c>
      <c r="AF818">
        <f>IF(Table1334[[#This Row],[DeltaC]]-ABS(Table1334[[#This Row],[DeltaP]])="0","0.01",Table1334[[#This Row],[DeltaC]]-ABS(Table1334[[#This Row],[DeltaP]]))</f>
        <v>0</v>
      </c>
      <c r="AG81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8" t="e">
        <f ca="1">(EXP(-(AG818^2)/2)/SQRT(2*PI())*EXP(0*SQRT(Table1334[[#This Row],[T]]))/$A$4*18%*SQRT(SQRT(Table1334[[#This Row],[T]])))</f>
        <v>#DIV/0!</v>
      </c>
      <c r="AJ818" t="e">
        <f ca="1">(EXP(-(AH818^2)/2)/SQRT(2*PI())*EXP(0*SQRT(Table1334[[#This Row],[T]]))/$A$4*18%*SQRT(SQRT(Table1334[[#This Row],[T]])))</f>
        <v>#DIV/0!</v>
      </c>
      <c r="AK818" t="e">
        <f ca="1">Table1334[[#This Row],[Call D1]]-Table1334[[#This Row],[IV Calc C]]*SQRT(Table1334[[#This Row],[T]])</f>
        <v>#DIV/0!</v>
      </c>
      <c r="AL818" t="e">
        <f ca="1">Table1334[[#This Row],[Put D1]]-Table1334[[#This Row],[IV Calc P]]*SQRT(Table1334[[#This Row],[T]])</f>
        <v>#DIV/0!</v>
      </c>
      <c r="AM818" t="e">
        <f ca="1">EXP(-0.5*Table1334[[#This Row],[Call D1]]^2)/SQRT(2*PI())</f>
        <v>#DIV/0!</v>
      </c>
      <c r="AN818" t="e">
        <f ca="1">EXP(-0.5*Table1334[[#This Row],[Put D1]]^2)/SQRT(2*PI())</f>
        <v>#DIV/0!</v>
      </c>
      <c r="AO81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8">
        <f ca="1">((Table1334[[#This Row],[call vanna]]+Table1334[[#This Row],[put vanna]])*$A$4)</f>
        <v>0</v>
      </c>
      <c r="AR81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8" s="9" t="str" cm="1">
        <f t="array" ref="AT818">_xlfn.IFS(     $M$1="SPX","SPXW",     $M$1="RUT","RUTW",  $M$1="NDX","NDXP",   TRUE,$M$1 )</f>
        <v>SPXW</v>
      </c>
      <c r="AU818" s="2">
        <f t="shared" si="82"/>
        <v>6915</v>
      </c>
      <c r="AV818" t="str">
        <f t="shared" si="83"/>
        <v>000100</v>
      </c>
      <c r="AY81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8">
        <f>((Table1334[[#This Row],[High C]]+Table1334[[#This Row],[Low C]])/2)*Table1334[[#This Row],[gammac]]*Table1334[[#This Row],[Volume]]</f>
        <v>0</v>
      </c>
      <c r="BD818">
        <f>((Table1334[[#This Row],[High P]]+Table1334[[#This Row],[Low P]])/2)*Table1334[[#This Row],[gammap]]*Table1334[[#This Row],[Volume9]]*-1</f>
        <v>0</v>
      </c>
      <c r="BE818">
        <f>(Table1334[[#This Row],[SgammaC]]+Table1334[[#This Row],[SgammaP]])*$A$4*-100</f>
        <v>0</v>
      </c>
      <c r="BF818">
        <f>Table1334[[#This Row],[DEXc]]+Table1334[[#This Row],[DEXp]]</f>
        <v>0</v>
      </c>
      <c r="BG818">
        <f>IFERROR(Table1334[[#This Row],[DeltaC]]*Table1334[[#This Row],[Open.Int]]*$A$4,0)</f>
        <v>0</v>
      </c>
      <c r="BH818">
        <f>IFERROR(Table1334[[#This Row],[DeltaP]]*Table1334[[#This Row],[Open.Int8]]*$A$4,0)</f>
        <v>0</v>
      </c>
      <c r="BI81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8">
        <f ca="1">Table1334[[#This Row],[charmc]]+Table1334[[#This Row],[charmp]]</f>
        <v>0</v>
      </c>
      <c r="BL818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8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8" s="78">
        <f ca="1">Table1334[[#This Row],[call helper]]+Table1334[[#This Row],[put helper]]</f>
        <v>0</v>
      </c>
      <c r="BP818" t="str">
        <f>RTD("tos.rtd", , "STRIKE", "."&amp;Table1334[[#This Row],[Ticker]]&amp;Table1334[[#This Row],[Expiry]]&amp;""&amp;"C"&amp;Table1334[[#This Row],[Spot]]+Table1334[[#This Row],[step]])</f>
        <v>N/A</v>
      </c>
    </row>
    <row r="819" spans="1:69" x14ac:dyDescent="0.25">
      <c r="A819" s="14">
        <f t="shared" ca="1" si="79"/>
        <v>-126.14810350076104</v>
      </c>
      <c r="C819" s="17"/>
      <c r="D819" t="str">
        <f>RTD("tos.rtd", , "OPEN_INT", "."&amp;Table1334[[#This Row],[Ticker]]&amp;Table1334[[#This Row],[Expiry]]&amp;""&amp;"C"&amp;Table1334[[#This Row],[Spot]]+Table1334[[#This Row],[step]])</f>
        <v>N/A</v>
      </c>
      <c r="E8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9" t="b">
        <f>IF(     ISNUMBER(Table1334[[#This Row],[Strike]]),RTD("tos.rtd", , "DELTA", "."&amp;Table1334[[#This Row],[Ticker]]&amp;Table1334[[#This Row],[Expiry]]&amp;""&amp;"C"&amp;Table1334[[#This Row],[Strike]]))</f>
        <v>0</v>
      </c>
      <c r="H819" s="17" cm="1">
        <f t="array" aca="1" ref="H819" ca="1">IFERROR(
  IndividualLegIVCore(
    $A$4,
    Table1334[[#This Row],[Strike]],
    0.0411,
    Table1334[[#This Row],[T]],
    0,
    TRUE,
    0,
    0.001,
    5,
    0.0001,
    40,
    0,
    0.2,
    Table1334[[#This Row],[BIDC]],
    Table1334[[#This Row],[ASKC]],
    Table1334[[#This Row],[Volume]]
  ),
  NA()
)</f>
        <v>0.2</v>
      </c>
      <c r="I819" t="b">
        <f>IF(     ISNUMBER(Table1334[[#This Row],[Strike]]),RTD("tos.rtd", , "BID", "."&amp;Table1334[[#This Row],[Ticker]]&amp;Table1334[[#This Row],[Expiry]]&amp;""&amp;"C"&amp;Table1334[[#This Row],[Strike]]))</f>
        <v>0</v>
      </c>
      <c r="J819" t="b">
        <f>IF(     ISNUMBER(Table1334[[#This Row],[Strike]]),RTD("tos.rtd", , "ASK", "."&amp;Table1334[[#This Row],[Ticker]]&amp;Table1334[[#This Row],[Expiry]]&amp;""&amp;"C"&amp;Table1334[[#This Row],[Strike]]))</f>
        <v>0</v>
      </c>
      <c r="K819" s="17"/>
      <c r="M819" s="1">
        <f t="shared" si="80"/>
        <v>0</v>
      </c>
      <c r="N819" t="b">
        <f t="shared" si="81"/>
        <v>0</v>
      </c>
      <c r="P819" s="17" cm="1">
        <f t="array" aca="1" ref="P819" ca="1">IFERROR(
  IndividualLegIVCore(
    $A$4,
    Table1334[[#This Row],[Strike]],
    0.0411,
    Table1334[[#This Row],[T]],
    0,
    FALSE,
    0,
    0.001,
    5,
    0.0001,
    40,
    0,
    0,
    Table1334[[#This Row],[BIDP]],
    Table1334[[#This Row],[ASKP]],
    Table1334[[#This Row],[Volume9]]
  ),
  NA()
)</f>
        <v>0.01</v>
      </c>
      <c r="Q819" t="b">
        <f>IF(     ISNUMBER(Table1334[[#This Row],[Strike]]),RTD("tos.rtd", , "BID", "."&amp;Table1334[[#This Row],[Ticker]]&amp;Table1334[[#This Row],[Expiry]]&amp;""&amp;"P"&amp;Table1334[[#This Row],[Strike]]))</f>
        <v>0</v>
      </c>
      <c r="R819" t="b">
        <f>IF(     ISNUMBER(Table1334[[#This Row],[Strike]]),RTD("tos.rtd", , "ASK", "."&amp;Table1334[[#This Row],[Ticker]]&amp;Table1334[[#This Row],[Expiry]]&amp;""&amp;"P"&amp;Table1334[[#This Row],[Strike]]))</f>
        <v>0</v>
      </c>
      <c r="S819" s="17"/>
      <c r="T819" t="b">
        <f>IF(     ISNUMBER(Table1334[[#This Row],[Strike]]),RTD("tos.rtd", , "OPEN_INT", "."&amp;Table1334[[#This Row],[Ticker]]&amp;Table1334[[#This Row],[Expiry]]&amp;""&amp;"P"&amp;Table1334[[#This Row],[Strike]]))</f>
        <v>0</v>
      </c>
      <c r="U8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9" t="b">
        <f>IF(     ISNUMBER(Table1334[[#This Row],[Strike]]),RTD("tos.rtd", , "DELTA", "."&amp;Table1334[[#This Row],[Ticker]]&amp;Table1334[[#This Row],[Expiry]]&amp;""&amp;"P"&amp;Table1334[[#This Row],[Strike]]))</f>
        <v>0</v>
      </c>
      <c r="Y819">
        <f>50* IF($M$1="NDX", 10, IF(OR($M$1="SPX", $M$1="RUT"), 2, 1))</f>
        <v>100</v>
      </c>
      <c r="Z819">
        <f ca="1">IFERROR(Table1334[[#This Row],[call gamma]]*(Table1334[[#This Row],[Open.Int]])*$A$4^2,0)</f>
        <v>0</v>
      </c>
      <c r="AA819">
        <f ca="1">IFERROR(((Table1334[[#This Row],[Open.Int8]])*Table1334[[#This Row],[Put gamma]])*-1*$A$4^2,0)</f>
        <v>0</v>
      </c>
      <c r="AB819">
        <f ca="1">(Table1334[[#This Row],[Call Gex]]+Table1334[[#This Row],[Put Gex]])</f>
        <v>0</v>
      </c>
      <c r="AC819">
        <f ca="1">Table1334[[#This Row],[put delta adj]]+Table1334[[#This Row],[call delta adj]]</f>
        <v>0</v>
      </c>
      <c r="AD819">
        <f ca="1">Table1334[[#This Row],[Put Gex]]*Table1334[[#This Row],[DeltaP]]*-1</f>
        <v>0</v>
      </c>
      <c r="AE819">
        <f ca="1">Table1334[[#This Row],[Call Gex]]*Table1334[[#This Row],[DeltaC]]</f>
        <v>0</v>
      </c>
      <c r="AF819">
        <f>IF(Table1334[[#This Row],[DeltaC]]-ABS(Table1334[[#This Row],[DeltaP]])="0","0.01",Table1334[[#This Row],[DeltaC]]-ABS(Table1334[[#This Row],[DeltaP]]))</f>
        <v>0</v>
      </c>
      <c r="AG8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9" t="e">
        <f ca="1">(EXP(-(AG819^2)/2)/SQRT(2*PI())*EXP(0*SQRT(Table1334[[#This Row],[T]]))/$A$4*18%*SQRT(SQRT(Table1334[[#This Row],[T]])))</f>
        <v>#DIV/0!</v>
      </c>
      <c r="AJ819" t="e">
        <f ca="1">(EXP(-(AH819^2)/2)/SQRT(2*PI())*EXP(0*SQRT(Table1334[[#This Row],[T]]))/$A$4*18%*SQRT(SQRT(Table1334[[#This Row],[T]])))</f>
        <v>#DIV/0!</v>
      </c>
      <c r="AK819" t="e">
        <f ca="1">Table1334[[#This Row],[Call D1]]-Table1334[[#This Row],[IV Calc C]]*SQRT(Table1334[[#This Row],[T]])</f>
        <v>#DIV/0!</v>
      </c>
      <c r="AL819" t="e">
        <f ca="1">Table1334[[#This Row],[Put D1]]-Table1334[[#This Row],[IV Calc P]]*SQRT(Table1334[[#This Row],[T]])</f>
        <v>#DIV/0!</v>
      </c>
      <c r="AM819" t="e">
        <f ca="1">EXP(-0.5*Table1334[[#This Row],[Call D1]]^2)/SQRT(2*PI())</f>
        <v>#DIV/0!</v>
      </c>
      <c r="AN819" t="e">
        <f ca="1">EXP(-0.5*Table1334[[#This Row],[Put D1]]^2)/SQRT(2*PI())</f>
        <v>#DIV/0!</v>
      </c>
      <c r="AO8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9">
        <f ca="1">((Table1334[[#This Row],[call vanna]]+Table1334[[#This Row],[put vanna]])*$A$4)</f>
        <v>0</v>
      </c>
      <c r="AR8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9" s="9" t="str" cm="1">
        <f t="array" ref="AT819">_xlfn.IFS(     $M$1="SPX","SPXW",     $M$1="RUT","RUTW",  $M$1="NDX","NDXP",   TRUE,$M$1 )</f>
        <v>SPXW</v>
      </c>
      <c r="AU819" s="2">
        <f t="shared" si="82"/>
        <v>6915</v>
      </c>
      <c r="AV819" t="str">
        <f t="shared" si="83"/>
        <v>000100</v>
      </c>
      <c r="AY8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9">
        <f>((Table1334[[#This Row],[High C]]+Table1334[[#This Row],[Low C]])/2)*Table1334[[#This Row],[gammac]]*Table1334[[#This Row],[Volume]]</f>
        <v>0</v>
      </c>
      <c r="BD819">
        <f>((Table1334[[#This Row],[High P]]+Table1334[[#This Row],[Low P]])/2)*Table1334[[#This Row],[gammap]]*Table1334[[#This Row],[Volume9]]*-1</f>
        <v>0</v>
      </c>
      <c r="BE819">
        <f>(Table1334[[#This Row],[SgammaC]]+Table1334[[#This Row],[SgammaP]])*$A$4*-100</f>
        <v>0</v>
      </c>
      <c r="BF819">
        <f>Table1334[[#This Row],[DEXc]]+Table1334[[#This Row],[DEXp]]</f>
        <v>0</v>
      </c>
      <c r="BG819">
        <f>IFERROR(Table1334[[#This Row],[DeltaC]]*Table1334[[#This Row],[Open.Int]]*$A$4,0)</f>
        <v>0</v>
      </c>
      <c r="BH819">
        <f>IFERROR(Table1334[[#This Row],[DeltaP]]*Table1334[[#This Row],[Open.Int8]]*$A$4,0)</f>
        <v>0</v>
      </c>
      <c r="BI81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9">
        <f ca="1">Table1334[[#This Row],[charmc]]+Table1334[[#This Row],[charmp]]</f>
        <v>0</v>
      </c>
      <c r="BL819" s="78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9" s="78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9" s="78">
        <f ca="1">Table1334[[#This Row],[call helper]]+Table1334[[#This Row],[put helper]]</f>
        <v>0</v>
      </c>
      <c r="BP819" t="str">
        <f>RTD("tos.rtd", , "STRIKE", "."&amp;Table1334[[#This Row],[Ticker]]&amp;Table1334[[#This Row],[Expiry]]&amp;""&amp;"C"&amp;Table1334[[#This Row],[Spot]]+Table1334[[#This Row],[step]])</f>
        <v>N/A</v>
      </c>
    </row>
    <row r="821" spans="1:69" ht="30" x14ac:dyDescent="0.25">
      <c r="A821" t="s">
        <v>53</v>
      </c>
      <c r="B821" t="s">
        <v>12</v>
      </c>
      <c r="C821" t="s">
        <v>11</v>
      </c>
      <c r="D821" t="s">
        <v>2</v>
      </c>
      <c r="E821" t="s">
        <v>1</v>
      </c>
      <c r="F821" t="s">
        <v>29</v>
      </c>
      <c r="G821" t="s">
        <v>36</v>
      </c>
      <c r="H821" t="s">
        <v>43</v>
      </c>
      <c r="I821" t="s">
        <v>34</v>
      </c>
      <c r="J821" t="s">
        <v>33</v>
      </c>
      <c r="K821" t="s">
        <v>47</v>
      </c>
      <c r="L821" s="17" t="s">
        <v>44</v>
      </c>
      <c r="M821" t="s">
        <v>3</v>
      </c>
      <c r="N821" t="s">
        <v>4</v>
      </c>
      <c r="O821" t="s">
        <v>27</v>
      </c>
      <c r="P821" t="s">
        <v>42</v>
      </c>
      <c r="Q821" t="s">
        <v>35</v>
      </c>
      <c r="R821" t="s">
        <v>32</v>
      </c>
      <c r="S821" t="s">
        <v>26</v>
      </c>
      <c r="T821" t="s">
        <v>13</v>
      </c>
      <c r="U821" t="s">
        <v>14</v>
      </c>
      <c r="V821" t="s">
        <v>30</v>
      </c>
      <c r="W821" t="s">
        <v>39</v>
      </c>
      <c r="X821" t="s">
        <v>31</v>
      </c>
      <c r="Y821" t="s">
        <v>10</v>
      </c>
      <c r="Z821" t="s">
        <v>5</v>
      </c>
      <c r="AA821" t="s">
        <v>6</v>
      </c>
      <c r="AB821" t="s">
        <v>7</v>
      </c>
      <c r="AC821" t="s">
        <v>40</v>
      </c>
      <c r="AD821" t="s">
        <v>37</v>
      </c>
      <c r="AE821" t="s">
        <v>38</v>
      </c>
      <c r="AF821" t="s">
        <v>8</v>
      </c>
      <c r="AG821" t="s">
        <v>15</v>
      </c>
      <c r="AH821" t="s">
        <v>16</v>
      </c>
      <c r="AI821" t="s">
        <v>17</v>
      </c>
      <c r="AJ821" t="s">
        <v>18</v>
      </c>
      <c r="AK821" t="s">
        <v>19</v>
      </c>
      <c r="AL821" t="s">
        <v>20</v>
      </c>
      <c r="AM821" t="s">
        <v>21</v>
      </c>
      <c r="AN821" t="s">
        <v>22</v>
      </c>
      <c r="AO821" t="s">
        <v>23</v>
      </c>
      <c r="AP821" t="s">
        <v>24</v>
      </c>
      <c r="AQ821" t="s">
        <v>25</v>
      </c>
      <c r="AR821" t="s">
        <v>45</v>
      </c>
      <c r="AS821" t="s">
        <v>46</v>
      </c>
      <c r="AT821" t="s">
        <v>54</v>
      </c>
      <c r="AU821" t="s">
        <v>55</v>
      </c>
      <c r="AV821" t="s">
        <v>56</v>
      </c>
      <c r="AW821" t="s">
        <v>60</v>
      </c>
      <c r="AX821" t="s">
        <v>61</v>
      </c>
      <c r="AY821" s="61" t="s">
        <v>48</v>
      </c>
      <c r="AZ821" s="61" t="s">
        <v>49</v>
      </c>
      <c r="BA821" s="61" t="s">
        <v>50</v>
      </c>
      <c r="BB821" s="61" t="s">
        <v>51</v>
      </c>
      <c r="BC821" s="61" t="s">
        <v>52</v>
      </c>
      <c r="BD821" s="61" t="s">
        <v>59</v>
      </c>
      <c r="BE821" s="61" t="s">
        <v>62</v>
      </c>
      <c r="BF821" s="61" t="s">
        <v>28</v>
      </c>
      <c r="BG821" s="61" t="s">
        <v>68</v>
      </c>
      <c r="BH821" s="61" t="s">
        <v>69</v>
      </c>
      <c r="BI821" s="61" t="s">
        <v>70</v>
      </c>
      <c r="BJ821" s="61" t="s">
        <v>71</v>
      </c>
      <c r="BK821" s="61" t="s">
        <v>72</v>
      </c>
      <c r="BL821" s="89" t="s">
        <v>78</v>
      </c>
      <c r="BM821" s="89" t="s">
        <v>79</v>
      </c>
      <c r="BN821" s="17" t="s">
        <v>84</v>
      </c>
    </row>
    <row r="822" spans="1:69" x14ac:dyDescent="0.25">
      <c r="A822" s="14">
        <f t="shared" ref="A822:A885" ca="1" si="84">$S$3</f>
        <v>-126.14810350076104</v>
      </c>
      <c r="C822" s="17"/>
      <c r="D822" t="str">
        <f>RTD("tos.rtd", , "OPEN_INT", "."&amp;Table13345[[#This Row],[Ticker]]&amp;Table13345[[#This Row],[Expiry]]&amp;""&amp;"C"&amp;Table13345[[#This Row],[Spot]]+Table13345[[#This Row],[step]])</f>
        <v>N/A</v>
      </c>
      <c r="E8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2" t="b">
        <f>IF(     ISNUMBER(Table13345[[#This Row],[Strike]]),RTD("tos.rtd", , "DELTA", "."&amp;Table13345[[#This Row],[Ticker]]&amp;Table13345[[#This Row],[Expiry]]&amp;""&amp;"C"&amp;Table13345[[#This Row],[Strike]]))</f>
        <v>0</v>
      </c>
      <c r="H822" s="17" cm="1">
        <f t="array" aca="1" ref="H822" ca="1">IndividualLegIVCore($A$4, Table13345[[#This Row],[Strike]], 0.0411, Table13345[[#This Row],[T]], ((Table13345[[#This Row],[BIDC]]+Table13345[[#This Row],[ASKC]])/2), TRUE)</f>
        <v>0.01</v>
      </c>
      <c r="I822" t="b">
        <f>IF(     ISNUMBER(Table13345[[#This Row],[Strike]]),RTD("tos.rtd", , "BID", "."&amp;Table13345[[#This Row],[Ticker]]&amp;Table13345[[#This Row],[Expiry]]&amp;""&amp;"C"&amp;Table13345[[#This Row],[Strike]]))</f>
        <v>0</v>
      </c>
      <c r="J822" t="b">
        <f>IF(     ISNUMBER(Table13345[[#This Row],[Strike]]),RTD("tos.rtd", , "ASK", "."&amp;Table13345[[#This Row],[Ticker]]&amp;Table13345[[#This Row],[Expiry]]&amp;""&amp;"C"&amp;Table13345[[#This Row],[Strike]]))</f>
        <v>0</v>
      </c>
      <c r="K822" s="17"/>
      <c r="M822" s="1">
        <f t="shared" ref="M822:M885" si="85">$S$1</f>
        <v>0</v>
      </c>
      <c r="N822" t="b">
        <f t="shared" ref="N822:N885" si="86">IF(ISNUMBER($BP822), $BP822, FALSE)</f>
        <v>0</v>
      </c>
      <c r="P822" s="17" cm="1">
        <f t="array" aca="1" ref="P822" ca="1">IndividualLegIVCore($A$4, Table13345[[#This Row],[Strike]], 0.0411, Table13345[[#This Row],[T]], ((Table13345[[#This Row],[BIDP]]+Table13345[[#This Row],[ASKP]])/2), FALSE)</f>
        <v>0.01</v>
      </c>
      <c r="Q822" t="b">
        <f>IF(     ISNUMBER(Table13345[[#This Row],[Strike]]),RTD("tos.rtd", , "BID", "."&amp;Table13345[[#This Row],[Ticker]]&amp;Table13345[[#This Row],[Expiry]]&amp;""&amp;"P"&amp;Table13345[[#This Row],[Strike]]))</f>
        <v>0</v>
      </c>
      <c r="R822" t="b">
        <f>IF(     ISNUMBER(Table13345[[#This Row],[Strike]]),RTD("tos.rtd", , "ASK", "."&amp;Table13345[[#This Row],[Ticker]]&amp;Table13345[[#This Row],[Expiry]]&amp;""&amp;"P"&amp;Table13345[[#This Row],[Strike]]))</f>
        <v>0</v>
      </c>
      <c r="S822" s="17"/>
      <c r="T822" t="b">
        <f>IF(     ISNUMBER(Table13345[[#This Row],[Strike]]),RTD("tos.rtd", , "OPEN_INT", "."&amp;Table13345[[#This Row],[Ticker]]&amp;Table13345[[#This Row],[Expiry]]&amp;""&amp;"P"&amp;Table13345[[#This Row],[Strike]]))</f>
        <v>0</v>
      </c>
      <c r="U8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2" t="b">
        <f>IF(     ISNUMBER(Table13345[[#This Row],[Strike]]),RTD("tos.rtd", , "DELTA", "."&amp;Table13345[[#This Row],[Ticker]]&amp;Table13345[[#This Row],[Expiry]]&amp;""&amp;"P"&amp;Table13345[[#This Row],[Strike]]))</f>
        <v>0</v>
      </c>
      <c r="Y822" s="19">
        <f>-50* IF($M$1="NDX", 10, IF(OR($M$1="SPX", $M$1="RUT"), 2, 1))</f>
        <v>-100</v>
      </c>
      <c r="Z822">
        <f ca="1">IFERROR(Table13345[[#This Row],[call gamma]]*(Table13345[[#This Row],[Open.Int]])*$A$4^2,0)</f>
        <v>0</v>
      </c>
      <c r="AA822">
        <f ca="1">IFERROR(((Table13345[[#This Row],[Open.Int8]])*Table13345[[#This Row],[Put gamma]])*-1*$A$4^2,0)</f>
        <v>0</v>
      </c>
      <c r="AB822">
        <f ca="1">(Table13345[[#This Row],[Call Gex]]+Table13345[[#This Row],[Put Gex]])</f>
        <v>0</v>
      </c>
      <c r="AC822">
        <f ca="1">Table13345[[#This Row],[put delta adj]]+Table13345[[#This Row],[call delta adj]]</f>
        <v>0</v>
      </c>
      <c r="AD822">
        <f ca="1">Table13345[[#This Row],[Put Gex]]*Table13345[[#This Row],[DeltaP]]*-1</f>
        <v>0</v>
      </c>
      <c r="AE822">
        <f ca="1">Table13345[[#This Row],[Call Gex]]*Table13345[[#This Row],[DeltaC]]</f>
        <v>0</v>
      </c>
      <c r="AF822">
        <f>IF(Table13345[[#This Row],[DeltaC]]-ABS(Table13345[[#This Row],[DeltaP]])="0","0.01",Table13345[[#This Row],[DeltaC]]-ABS(Table13345[[#This Row],[DeltaP]]))</f>
        <v>0</v>
      </c>
      <c r="AG8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2" t="e">
        <f ca="1">(EXP(-(AG822^2)/2)/SQRT(2*PI())*EXP(0*SQRT(Table13345[[#This Row],[T]]))/$A$4*18%*SQRT(SQRT(Table13345[[#This Row],[T]])))</f>
        <v>#DIV/0!</v>
      </c>
      <c r="AJ822" t="e">
        <f ca="1">(EXP(-(AH822^2)/2)/SQRT(2*PI())*EXP(0*SQRT(Table13345[[#This Row],[T]]))/$A$4*18%*SQRT(SQRT(Table13345[[#This Row],[T]])))</f>
        <v>#DIV/0!</v>
      </c>
      <c r="AK822" t="e">
        <f ca="1">Table13345[[#This Row],[Call D1]]-Table13345[[#This Row],[IV Calc C]]*SQRT(Table13345[[#This Row],[T]])</f>
        <v>#DIV/0!</v>
      </c>
      <c r="AL822" t="e">
        <f ca="1">Table13345[[#This Row],[Put D1]]-Table13345[[#This Row],[IV Calc P]]*SQRT(Table13345[[#This Row],[T]])</f>
        <v>#DIV/0!</v>
      </c>
      <c r="AM822" t="e">
        <f ca="1">EXP(-0.5*Table13345[[#This Row],[Call D1]]^2)/SQRT(2*PI())</f>
        <v>#DIV/0!</v>
      </c>
      <c r="AN822" t="e">
        <f ca="1">EXP(-0.5*Table13345[[#This Row],[Put D1]]^2)/SQRT(2*PI())</f>
        <v>#DIV/0!</v>
      </c>
      <c r="AO8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2">
        <f ca="1">((Table13345[[#This Row],[call vanna]]+Table13345[[#This Row],[put vanna]])*$A$4)</f>
        <v>0</v>
      </c>
      <c r="AR8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2" s="9" t="str" cm="1">
        <f t="array" ref="AT822">_xlfn.IFS(     $M$1="SPX","SPXW",     $M$1="RUT","RUTW",  $M$1="NDX","NDXP",   TRUE,$M$1 )</f>
        <v>SPXW</v>
      </c>
      <c r="AU822" s="2">
        <f t="shared" ref="AU822:AU885" si="87">$N$1</f>
        <v>6915</v>
      </c>
      <c r="AV822" t="str">
        <f t="shared" ref="AV822:AV885" si="88">$S$2</f>
        <v>000100</v>
      </c>
      <c r="AY8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2">
        <f>((Table13345[[#This Row],[High C]]+Table13345[[#This Row],[Low C]])/2)*Table13345[[#This Row],[gammac]]*Table13345[[#This Row],[Volume]]</f>
        <v>0</v>
      </c>
      <c r="BD822">
        <f>((Table13345[[#This Row],[High P]]+Table13345[[#This Row],[Low P]])/2)*Table13345[[#This Row],[gammap]]*Table13345[[#This Row],[Volume9]]*-1</f>
        <v>0</v>
      </c>
      <c r="BE822">
        <f>(Table13345[[#This Row],[SgammaC]]+Table13345[[#This Row],[SgammaP]])*$A$4*-100</f>
        <v>0</v>
      </c>
      <c r="BF822" s="78">
        <f>Table13345[[#This Row],[DEXc]]+Table13345[[#This Row],[DEXp]]</f>
        <v>0</v>
      </c>
      <c r="BG822" s="78">
        <f>IFERROR(Table13345[[#This Row],[DeltaC]]*Table13345[[#This Row],[Open.Int]]*$A$4,0)</f>
        <v>0</v>
      </c>
      <c r="BH822">
        <f>IFERROR(Table13345[[#This Row],[DeltaP]]*Table13345[[#This Row],[Open.Int8]]*$A$4,0)</f>
        <v>0</v>
      </c>
      <c r="BI822" s="6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2">
        <f ca="1">Table13345[[#This Row],[charmc]]+Table13345[[#This Row],[charmp]]</f>
        <v>0</v>
      </c>
      <c r="BL82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2" s="78">
        <f ca="1">Table13345[[#This Row],[call helper]]+Table13345[[#This Row],[put helper]]</f>
        <v>0</v>
      </c>
      <c r="BP822" t="str">
        <f>RTD("tos.rtd", , "STRIKE", "."&amp;Table13345[[#This Row],[Ticker]]&amp;Table13345[[#This Row],[Expiry]]&amp;""&amp;"C"&amp;Table13345[[#This Row],[Spot]]+Table13345[[#This Row],[step]])</f>
        <v>N/A</v>
      </c>
      <c r="BQ822" t="e" cm="1" vm="1">
        <f t="array" ref="BQ822">_xlfn._xlws.FILTER(
    BP822:BP1022,
    ISNUMBER(BP822:BP1022)
)</f>
        <v>#VALUE!</v>
      </c>
    </row>
    <row r="823" spans="1:69" x14ac:dyDescent="0.25">
      <c r="A823" s="14">
        <f t="shared" ca="1" si="84"/>
        <v>-126.14810350076104</v>
      </c>
      <c r="C823" s="17"/>
      <c r="D823" t="str">
        <f>RTD("tos.rtd", , "OPEN_INT", "."&amp;Table13345[[#This Row],[Ticker]]&amp;Table13345[[#This Row],[Expiry]]&amp;""&amp;"C"&amp;Table13345[[#This Row],[Spot]]+Table13345[[#This Row],[step]])</f>
        <v>N/A</v>
      </c>
      <c r="E82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3" t="b">
        <f>IF(     ISNUMBER(Table13345[[#This Row],[Strike]]),RTD("tos.rtd", , "DELTA", "."&amp;Table13345[[#This Row],[Ticker]]&amp;Table13345[[#This Row],[Expiry]]&amp;""&amp;"C"&amp;Table13345[[#This Row],[Strike]]))</f>
        <v>0</v>
      </c>
      <c r="H823" s="17" cm="1">
        <f t="array" aca="1" ref="H823" ca="1">IndividualLegIVCore($A$4, Table13345[[#This Row],[Strike]], 0.0411, Table13345[[#This Row],[T]], ((Table13345[[#This Row],[BIDC]]+Table13345[[#This Row],[ASKC]])/2), TRUE)</f>
        <v>0.01</v>
      </c>
      <c r="I823" t="b">
        <f>IF(     ISNUMBER(Table13345[[#This Row],[Strike]]),RTD("tos.rtd", , "BID", "."&amp;Table13345[[#This Row],[Ticker]]&amp;Table13345[[#This Row],[Expiry]]&amp;""&amp;"C"&amp;Table13345[[#This Row],[Strike]]))</f>
        <v>0</v>
      </c>
      <c r="J823" t="b">
        <f>IF(     ISNUMBER(Table13345[[#This Row],[Strike]]),RTD("tos.rtd", , "ASK", "."&amp;Table13345[[#This Row],[Ticker]]&amp;Table13345[[#This Row],[Expiry]]&amp;""&amp;"C"&amp;Table13345[[#This Row],[Strike]]))</f>
        <v>0</v>
      </c>
      <c r="K823" s="17"/>
      <c r="M823" s="1">
        <f t="shared" si="85"/>
        <v>0</v>
      </c>
      <c r="N823" t="b">
        <f t="shared" si="86"/>
        <v>0</v>
      </c>
      <c r="P823" s="17" cm="1">
        <f t="array" aca="1" ref="P823" ca="1">IndividualLegIVCore($A$4, Table13345[[#This Row],[Strike]], 0.0411, Table13345[[#This Row],[T]], ((Table13345[[#This Row],[BIDP]]+Table13345[[#This Row],[ASKP]])/2), FALSE)</f>
        <v>0.01</v>
      </c>
      <c r="Q823" t="b">
        <f>IF(     ISNUMBER(Table13345[[#This Row],[Strike]]),RTD("tos.rtd", , "BID", "."&amp;Table13345[[#This Row],[Ticker]]&amp;Table13345[[#This Row],[Expiry]]&amp;""&amp;"P"&amp;Table13345[[#This Row],[Strike]]))</f>
        <v>0</v>
      </c>
      <c r="R823" t="b">
        <f>IF(     ISNUMBER(Table13345[[#This Row],[Strike]]),RTD("tos.rtd", , "ASK", "."&amp;Table13345[[#This Row],[Ticker]]&amp;Table13345[[#This Row],[Expiry]]&amp;""&amp;"P"&amp;Table13345[[#This Row],[Strike]]))</f>
        <v>0</v>
      </c>
      <c r="S823" s="17"/>
      <c r="T823" t="b">
        <f>IF(     ISNUMBER(Table13345[[#This Row],[Strike]]),RTD("tos.rtd", , "OPEN_INT", "."&amp;Table13345[[#This Row],[Ticker]]&amp;Table13345[[#This Row],[Expiry]]&amp;""&amp;"P"&amp;Table13345[[#This Row],[Strike]]))</f>
        <v>0</v>
      </c>
      <c r="U82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3" t="b">
        <f>IF(     ISNUMBER(Table13345[[#This Row],[Strike]]),RTD("tos.rtd", , "DELTA", "."&amp;Table13345[[#This Row],[Ticker]]&amp;Table13345[[#This Row],[Expiry]]&amp;""&amp;"P"&amp;Table13345[[#This Row],[Strike]]))</f>
        <v>0</v>
      </c>
      <c r="Y823" s="19">
        <f>-49.5* IF($M$1="NDX", 10, IF(OR($M$1="SPX", $M$1="RUT"), 2, 1))</f>
        <v>-99</v>
      </c>
      <c r="Z823">
        <f ca="1">IFERROR(Table13345[[#This Row],[call gamma]]*(Table13345[[#This Row],[Open.Int]])*$A$4^2,0)</f>
        <v>0</v>
      </c>
      <c r="AA823">
        <f ca="1">IFERROR(((Table13345[[#This Row],[Open.Int8]])*Table13345[[#This Row],[Put gamma]])*-1*$A$4^2,0)</f>
        <v>0</v>
      </c>
      <c r="AB823">
        <f ca="1">(Table13345[[#This Row],[Call Gex]]+Table13345[[#This Row],[Put Gex]])</f>
        <v>0</v>
      </c>
      <c r="AC823">
        <f ca="1">Table13345[[#This Row],[put delta adj]]+Table13345[[#This Row],[call delta adj]]</f>
        <v>0</v>
      </c>
      <c r="AD823">
        <f ca="1">Table13345[[#This Row],[Put Gex]]*Table13345[[#This Row],[DeltaP]]*-1</f>
        <v>0</v>
      </c>
      <c r="AE823">
        <f ca="1">Table13345[[#This Row],[Call Gex]]*Table13345[[#This Row],[DeltaC]]</f>
        <v>0</v>
      </c>
      <c r="AF823">
        <f>IF(Table13345[[#This Row],[DeltaC]]-ABS(Table13345[[#This Row],[DeltaP]])="0","0.01",Table13345[[#This Row],[DeltaC]]-ABS(Table13345[[#This Row],[DeltaP]]))</f>
        <v>0</v>
      </c>
      <c r="AG82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3" t="e">
        <f ca="1">(EXP(-(AG823^2)/2)/SQRT(2*PI())*EXP(0*SQRT(Table13345[[#This Row],[T]]))/$A$4*18%*SQRT(SQRT(Table13345[[#This Row],[T]])))</f>
        <v>#DIV/0!</v>
      </c>
      <c r="AJ823" t="e">
        <f ca="1">(EXP(-(AH823^2)/2)/SQRT(2*PI())*EXP(0*SQRT(Table13345[[#This Row],[T]]))/$A$4*18%*SQRT(SQRT(Table13345[[#This Row],[T]])))</f>
        <v>#DIV/0!</v>
      </c>
      <c r="AK823" t="e">
        <f ca="1">Table13345[[#This Row],[Call D1]]-Table13345[[#This Row],[IV Calc C]]*SQRT(Table13345[[#This Row],[T]])</f>
        <v>#DIV/0!</v>
      </c>
      <c r="AL823" t="e">
        <f ca="1">Table13345[[#This Row],[Put D1]]-Table13345[[#This Row],[IV Calc P]]*SQRT(Table13345[[#This Row],[T]])</f>
        <v>#DIV/0!</v>
      </c>
      <c r="AM823" t="e">
        <f ca="1">EXP(-0.5*Table13345[[#This Row],[Call D1]]^2)/SQRT(2*PI())</f>
        <v>#DIV/0!</v>
      </c>
      <c r="AN823" t="e">
        <f ca="1">EXP(-0.5*Table13345[[#This Row],[Put D1]]^2)/SQRT(2*PI())</f>
        <v>#DIV/0!</v>
      </c>
      <c r="AO82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3">
        <f ca="1">((Table13345[[#This Row],[call vanna]]+Table13345[[#This Row],[put vanna]])*$A$4)</f>
        <v>0</v>
      </c>
      <c r="AR82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3" s="9" t="str" cm="1">
        <f t="array" ref="AT823">_xlfn.IFS(     $M$1="SPX","SPXW",     $M$1="RUT","RUTW",  $M$1="NDX","NDXP",   TRUE,$M$1 )</f>
        <v>SPXW</v>
      </c>
      <c r="AU823" s="2">
        <f t="shared" si="87"/>
        <v>6915</v>
      </c>
      <c r="AV823" t="str">
        <f t="shared" si="88"/>
        <v>000100</v>
      </c>
      <c r="AY82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3">
        <f>((Table13345[[#This Row],[High C]]+Table13345[[#This Row],[Low C]])/2)*Table13345[[#This Row],[gammac]]*Table13345[[#This Row],[Volume]]</f>
        <v>0</v>
      </c>
      <c r="BD823">
        <f>((Table13345[[#This Row],[High P]]+Table13345[[#This Row],[Low P]])/2)*Table13345[[#This Row],[gammap]]*Table13345[[#This Row],[Volume9]]*-1</f>
        <v>0</v>
      </c>
      <c r="BE823">
        <f>(Table13345[[#This Row],[SgammaC]]+Table13345[[#This Row],[SgammaP]])*$A$4*-100</f>
        <v>0</v>
      </c>
      <c r="BF823">
        <f>Table13345[[#This Row],[DEXc]]+Table13345[[#This Row],[DEXp]]</f>
        <v>0</v>
      </c>
      <c r="BG823">
        <f>IFERROR(Table13345[[#This Row],[DeltaC]]*Table13345[[#This Row],[Open.Int]]*$A$4,0)</f>
        <v>0</v>
      </c>
      <c r="BH823">
        <f>IFERROR(Table13345[[#This Row],[DeltaP]]*Table13345[[#This Row],[Open.Int8]]*$A$4,0)</f>
        <v>0</v>
      </c>
      <c r="BI82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3">
        <f ca="1">Table13345[[#This Row],[charmc]]+Table13345[[#This Row],[charmp]]</f>
        <v>0</v>
      </c>
      <c r="BL82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3" s="78">
        <f ca="1">Table13345[[#This Row],[call helper]]+Table13345[[#This Row],[put helper]]</f>
        <v>0</v>
      </c>
      <c r="BP823" t="str">
        <f>RTD("tos.rtd", , "STRIKE", "."&amp;Table13345[[#This Row],[Ticker]]&amp;Table13345[[#This Row],[Expiry]]&amp;""&amp;"C"&amp;Table13345[[#This Row],[Spot]]+Table13345[[#This Row],[step]])</f>
        <v>N/A</v>
      </c>
    </row>
    <row r="824" spans="1:69" x14ac:dyDescent="0.25">
      <c r="A824" s="14">
        <f t="shared" ca="1" si="84"/>
        <v>-126.14810350076104</v>
      </c>
      <c r="C824" s="17"/>
      <c r="D824" t="str">
        <f>RTD("tos.rtd", , "OPEN_INT", "."&amp;Table13345[[#This Row],[Ticker]]&amp;Table13345[[#This Row],[Expiry]]&amp;""&amp;"C"&amp;Table13345[[#This Row],[Spot]]+Table13345[[#This Row],[step]])</f>
        <v>N/A</v>
      </c>
      <c r="E82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4" t="b">
        <f>IF(     ISNUMBER(Table13345[[#This Row],[Strike]]),RTD("tos.rtd", , "DELTA", "."&amp;Table13345[[#This Row],[Ticker]]&amp;Table13345[[#This Row],[Expiry]]&amp;""&amp;"C"&amp;Table13345[[#This Row],[Strike]]))</f>
        <v>0</v>
      </c>
      <c r="H824" s="17" cm="1">
        <f t="array" aca="1" ref="H824" ca="1">IndividualLegIVCore($A$4, Table13345[[#This Row],[Strike]], 0.0411, Table13345[[#This Row],[T]], ((Table13345[[#This Row],[BIDC]]+Table13345[[#This Row],[ASKC]])/2), TRUE)</f>
        <v>0.01</v>
      </c>
      <c r="I824" t="b">
        <f>IF(     ISNUMBER(Table13345[[#This Row],[Strike]]),RTD("tos.rtd", , "BID", "."&amp;Table13345[[#This Row],[Ticker]]&amp;Table13345[[#This Row],[Expiry]]&amp;""&amp;"C"&amp;Table13345[[#This Row],[Strike]]))</f>
        <v>0</v>
      </c>
      <c r="J824" t="b">
        <f>IF(     ISNUMBER(Table13345[[#This Row],[Strike]]),RTD("tos.rtd", , "ASK", "."&amp;Table13345[[#This Row],[Ticker]]&amp;Table13345[[#This Row],[Expiry]]&amp;""&amp;"C"&amp;Table13345[[#This Row],[Strike]]))</f>
        <v>0</v>
      </c>
      <c r="K824" s="17"/>
      <c r="M824" s="1">
        <f t="shared" si="85"/>
        <v>0</v>
      </c>
      <c r="N824" t="b">
        <f t="shared" si="86"/>
        <v>0</v>
      </c>
      <c r="P824" s="17" cm="1">
        <f t="array" aca="1" ref="P824" ca="1">IndividualLegIVCore($A$4, Table13345[[#This Row],[Strike]], 0.0411, Table13345[[#This Row],[T]], ((Table13345[[#This Row],[BIDP]]+Table13345[[#This Row],[ASKP]])/2), FALSE)</f>
        <v>0.01</v>
      </c>
      <c r="Q824" t="b">
        <f>IF(     ISNUMBER(Table13345[[#This Row],[Strike]]),RTD("tos.rtd", , "BID", "."&amp;Table13345[[#This Row],[Ticker]]&amp;Table13345[[#This Row],[Expiry]]&amp;""&amp;"P"&amp;Table13345[[#This Row],[Strike]]))</f>
        <v>0</v>
      </c>
      <c r="R824" t="b">
        <f>IF(     ISNUMBER(Table13345[[#This Row],[Strike]]),RTD("tos.rtd", , "ASK", "."&amp;Table13345[[#This Row],[Ticker]]&amp;Table13345[[#This Row],[Expiry]]&amp;""&amp;"P"&amp;Table13345[[#This Row],[Strike]]))</f>
        <v>0</v>
      </c>
      <c r="S824" s="17"/>
      <c r="T824" t="b">
        <f>IF(     ISNUMBER(Table13345[[#This Row],[Strike]]),RTD("tos.rtd", , "OPEN_INT", "."&amp;Table13345[[#This Row],[Ticker]]&amp;Table13345[[#This Row],[Expiry]]&amp;""&amp;"P"&amp;Table13345[[#This Row],[Strike]]))</f>
        <v>0</v>
      </c>
      <c r="U82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4" t="b">
        <f>IF(     ISNUMBER(Table13345[[#This Row],[Strike]]),RTD("tos.rtd", , "DELTA", "."&amp;Table13345[[#This Row],[Ticker]]&amp;Table13345[[#This Row],[Expiry]]&amp;""&amp;"P"&amp;Table13345[[#This Row],[Strike]]))</f>
        <v>0</v>
      </c>
      <c r="Y824" s="19">
        <f>-49* IF($M$1="NDX", 10, IF(OR($M$1="SPX", $M$1="RUT"), 2, 1))</f>
        <v>-98</v>
      </c>
      <c r="Z824">
        <f ca="1">IFERROR(Table13345[[#This Row],[call gamma]]*(Table13345[[#This Row],[Open.Int]])*$A$4^2,0)</f>
        <v>0</v>
      </c>
      <c r="AA824">
        <f ca="1">IFERROR(((Table13345[[#This Row],[Open.Int8]])*Table13345[[#This Row],[Put gamma]])*-1*$A$4^2,0)</f>
        <v>0</v>
      </c>
      <c r="AB824">
        <f ca="1">(Table13345[[#This Row],[Call Gex]]+Table13345[[#This Row],[Put Gex]])</f>
        <v>0</v>
      </c>
      <c r="AC824">
        <f ca="1">Table13345[[#This Row],[put delta adj]]+Table13345[[#This Row],[call delta adj]]</f>
        <v>0</v>
      </c>
      <c r="AD824">
        <f ca="1">Table13345[[#This Row],[Put Gex]]*Table13345[[#This Row],[DeltaP]]*-1</f>
        <v>0</v>
      </c>
      <c r="AE824">
        <f ca="1">Table13345[[#This Row],[Call Gex]]*Table13345[[#This Row],[DeltaC]]</f>
        <v>0</v>
      </c>
      <c r="AF824">
        <f>IF(Table13345[[#This Row],[DeltaC]]-ABS(Table13345[[#This Row],[DeltaP]])="0","0.01",Table13345[[#This Row],[DeltaC]]-ABS(Table13345[[#This Row],[DeltaP]]))</f>
        <v>0</v>
      </c>
      <c r="AG82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4" t="e">
        <f ca="1">(EXP(-(AG824^2)/2)/SQRT(2*PI())*EXP(0*SQRT(Table13345[[#This Row],[T]]))/$A$4*18%*SQRT(SQRT(Table13345[[#This Row],[T]])))</f>
        <v>#DIV/0!</v>
      </c>
      <c r="AJ824" t="e">
        <f ca="1">(EXP(-(AH824^2)/2)/SQRT(2*PI())*EXP(0*SQRT(Table13345[[#This Row],[T]]))/$A$4*18%*SQRT(SQRT(Table13345[[#This Row],[T]])))</f>
        <v>#DIV/0!</v>
      </c>
      <c r="AK824" t="e">
        <f ca="1">Table13345[[#This Row],[Call D1]]-Table13345[[#This Row],[IV Calc C]]*SQRT(Table13345[[#This Row],[T]])</f>
        <v>#DIV/0!</v>
      </c>
      <c r="AL824" t="e">
        <f ca="1">Table13345[[#This Row],[Put D1]]-Table13345[[#This Row],[IV Calc P]]*SQRT(Table13345[[#This Row],[T]])</f>
        <v>#DIV/0!</v>
      </c>
      <c r="AM824" t="e">
        <f ca="1">EXP(-0.5*Table13345[[#This Row],[Call D1]]^2)/SQRT(2*PI())</f>
        <v>#DIV/0!</v>
      </c>
      <c r="AN824" t="e">
        <f ca="1">EXP(-0.5*Table13345[[#This Row],[Put D1]]^2)/SQRT(2*PI())</f>
        <v>#DIV/0!</v>
      </c>
      <c r="AO82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4">
        <f ca="1">((Table13345[[#This Row],[call vanna]]+Table13345[[#This Row],[put vanna]])*$A$4)</f>
        <v>0</v>
      </c>
      <c r="AR82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4" s="9" t="str" cm="1">
        <f t="array" ref="AT824">_xlfn.IFS(     $M$1="SPX","SPXW",     $M$1="RUT","RUTW",  $M$1="NDX","NDXP",   TRUE,$M$1 )</f>
        <v>SPXW</v>
      </c>
      <c r="AU824" s="2">
        <f t="shared" si="87"/>
        <v>6915</v>
      </c>
      <c r="AV824" t="str">
        <f t="shared" si="88"/>
        <v>000100</v>
      </c>
      <c r="AY82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4">
        <f>((Table13345[[#This Row],[High C]]+Table13345[[#This Row],[Low C]])/2)*Table13345[[#This Row],[gammac]]*Table13345[[#This Row],[Volume]]</f>
        <v>0</v>
      </c>
      <c r="BD824">
        <f>((Table13345[[#This Row],[High P]]+Table13345[[#This Row],[Low P]])/2)*Table13345[[#This Row],[gammap]]*Table13345[[#This Row],[Volume9]]*-1</f>
        <v>0</v>
      </c>
      <c r="BE824">
        <f>(Table13345[[#This Row],[SgammaC]]+Table13345[[#This Row],[SgammaP]])*$A$4*-100</f>
        <v>0</v>
      </c>
      <c r="BF824">
        <f>Table13345[[#This Row],[DEXc]]+Table13345[[#This Row],[DEXp]]</f>
        <v>0</v>
      </c>
      <c r="BG824">
        <f>IFERROR(Table13345[[#This Row],[DeltaC]]*Table13345[[#This Row],[Open.Int]]*$A$4,0)</f>
        <v>0</v>
      </c>
      <c r="BH824">
        <f>IFERROR(Table13345[[#This Row],[DeltaP]]*Table13345[[#This Row],[Open.Int8]]*$A$4,0)</f>
        <v>0</v>
      </c>
      <c r="BI82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4">
        <f ca="1">Table13345[[#This Row],[charmc]]+Table13345[[#This Row],[charmp]]</f>
        <v>0</v>
      </c>
      <c r="BL82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4" s="78">
        <f ca="1">Table13345[[#This Row],[call helper]]+Table13345[[#This Row],[put helper]]</f>
        <v>0</v>
      </c>
      <c r="BP824" t="str">
        <f>RTD("tos.rtd", , "STRIKE", "."&amp;Table13345[[#This Row],[Ticker]]&amp;Table13345[[#This Row],[Expiry]]&amp;""&amp;"C"&amp;Table13345[[#This Row],[Spot]]+Table13345[[#This Row],[step]])</f>
        <v>N/A</v>
      </c>
    </row>
    <row r="825" spans="1:69" x14ac:dyDescent="0.25">
      <c r="A825" s="14">
        <f t="shared" ca="1" si="84"/>
        <v>-126.14810350076104</v>
      </c>
      <c r="C825" s="17"/>
      <c r="D825" t="str">
        <f>RTD("tos.rtd", , "OPEN_INT", "."&amp;Table13345[[#This Row],[Ticker]]&amp;Table13345[[#This Row],[Expiry]]&amp;""&amp;"C"&amp;Table13345[[#This Row],[Spot]]+Table13345[[#This Row],[step]])</f>
        <v>N/A</v>
      </c>
      <c r="E82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5" t="b">
        <f>IF(     ISNUMBER(Table13345[[#This Row],[Strike]]),RTD("tos.rtd", , "DELTA", "."&amp;Table13345[[#This Row],[Ticker]]&amp;Table13345[[#This Row],[Expiry]]&amp;""&amp;"C"&amp;Table13345[[#This Row],[Strike]]))</f>
        <v>0</v>
      </c>
      <c r="H825" s="17" cm="1">
        <f t="array" aca="1" ref="H825" ca="1">IndividualLegIVCore($A$4, Table13345[[#This Row],[Strike]], 0.0411, Table13345[[#This Row],[T]], ((Table13345[[#This Row],[BIDC]]+Table13345[[#This Row],[ASKC]])/2), TRUE)</f>
        <v>0.01</v>
      </c>
      <c r="I825" t="b">
        <f>IF(     ISNUMBER(Table13345[[#This Row],[Strike]]),RTD("tos.rtd", , "BID", "."&amp;Table13345[[#This Row],[Ticker]]&amp;Table13345[[#This Row],[Expiry]]&amp;""&amp;"C"&amp;Table13345[[#This Row],[Strike]]))</f>
        <v>0</v>
      </c>
      <c r="J825" t="b">
        <f>IF(     ISNUMBER(Table13345[[#This Row],[Strike]]),RTD("tos.rtd", , "ASK", "."&amp;Table13345[[#This Row],[Ticker]]&amp;Table13345[[#This Row],[Expiry]]&amp;""&amp;"C"&amp;Table13345[[#This Row],[Strike]]))</f>
        <v>0</v>
      </c>
      <c r="K825" s="17"/>
      <c r="M825" s="1">
        <f t="shared" si="85"/>
        <v>0</v>
      </c>
      <c r="N825" t="b">
        <f t="shared" si="86"/>
        <v>0</v>
      </c>
      <c r="P825" s="17" cm="1">
        <f t="array" aca="1" ref="P825" ca="1">IndividualLegIVCore($A$4, Table13345[[#This Row],[Strike]], 0.0411, Table13345[[#This Row],[T]], ((Table13345[[#This Row],[BIDP]]+Table13345[[#This Row],[ASKP]])/2), FALSE)</f>
        <v>0.01</v>
      </c>
      <c r="Q825" t="b">
        <f>IF(     ISNUMBER(Table13345[[#This Row],[Strike]]),RTD("tos.rtd", , "BID", "."&amp;Table13345[[#This Row],[Ticker]]&amp;Table13345[[#This Row],[Expiry]]&amp;""&amp;"P"&amp;Table13345[[#This Row],[Strike]]))</f>
        <v>0</v>
      </c>
      <c r="R825" t="b">
        <f>IF(     ISNUMBER(Table13345[[#This Row],[Strike]]),RTD("tos.rtd", , "ASK", "."&amp;Table13345[[#This Row],[Ticker]]&amp;Table13345[[#This Row],[Expiry]]&amp;""&amp;"P"&amp;Table13345[[#This Row],[Strike]]))</f>
        <v>0</v>
      </c>
      <c r="S825" s="17"/>
      <c r="T825" t="b">
        <f>IF(     ISNUMBER(Table13345[[#This Row],[Strike]]),RTD("tos.rtd", , "OPEN_INT", "."&amp;Table13345[[#This Row],[Ticker]]&amp;Table13345[[#This Row],[Expiry]]&amp;""&amp;"P"&amp;Table13345[[#This Row],[Strike]]))</f>
        <v>0</v>
      </c>
      <c r="U82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5" t="b">
        <f>IF(     ISNUMBER(Table13345[[#This Row],[Strike]]),RTD("tos.rtd", , "DELTA", "."&amp;Table13345[[#This Row],[Ticker]]&amp;Table13345[[#This Row],[Expiry]]&amp;""&amp;"P"&amp;Table13345[[#This Row],[Strike]]))</f>
        <v>0</v>
      </c>
      <c r="Y825" s="19">
        <f>-48.5* IF($M$1="NDX", 10, IF(OR($M$1="SPX", $M$1="RUT"), 2, 1))</f>
        <v>-97</v>
      </c>
      <c r="Z825">
        <f ca="1">IFERROR(Table13345[[#This Row],[call gamma]]*(Table13345[[#This Row],[Open.Int]])*$A$4^2,0)</f>
        <v>0</v>
      </c>
      <c r="AA825">
        <f ca="1">IFERROR(((Table13345[[#This Row],[Open.Int8]])*Table13345[[#This Row],[Put gamma]])*-1*$A$4^2,0)</f>
        <v>0</v>
      </c>
      <c r="AB825">
        <f ca="1">(Table13345[[#This Row],[Call Gex]]+Table13345[[#This Row],[Put Gex]])</f>
        <v>0</v>
      </c>
      <c r="AC825">
        <f ca="1">Table13345[[#This Row],[put delta adj]]+Table13345[[#This Row],[call delta adj]]</f>
        <v>0</v>
      </c>
      <c r="AD825">
        <f ca="1">Table13345[[#This Row],[Put Gex]]*Table13345[[#This Row],[DeltaP]]*-1</f>
        <v>0</v>
      </c>
      <c r="AE825">
        <f ca="1">Table13345[[#This Row],[Call Gex]]*Table13345[[#This Row],[DeltaC]]</f>
        <v>0</v>
      </c>
      <c r="AF825">
        <f>IF(Table13345[[#This Row],[DeltaC]]-ABS(Table13345[[#This Row],[DeltaP]])="0","0.01",Table13345[[#This Row],[DeltaC]]-ABS(Table13345[[#This Row],[DeltaP]]))</f>
        <v>0</v>
      </c>
      <c r="AG82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5" t="e">
        <f ca="1">(EXP(-(AG825^2)/2)/SQRT(2*PI())*EXP(0*SQRT(Table13345[[#This Row],[T]]))/$A$4*18%*SQRT(SQRT(Table13345[[#This Row],[T]])))</f>
        <v>#DIV/0!</v>
      </c>
      <c r="AJ825" t="e">
        <f ca="1">(EXP(-(AH825^2)/2)/SQRT(2*PI())*EXP(0*SQRT(Table13345[[#This Row],[T]]))/$A$4*18%*SQRT(SQRT(Table13345[[#This Row],[T]])))</f>
        <v>#DIV/0!</v>
      </c>
      <c r="AK825" t="e">
        <f ca="1">Table13345[[#This Row],[Call D1]]-Table13345[[#This Row],[IV Calc C]]*SQRT(Table13345[[#This Row],[T]])</f>
        <v>#DIV/0!</v>
      </c>
      <c r="AL825" t="e">
        <f ca="1">Table13345[[#This Row],[Put D1]]-Table13345[[#This Row],[IV Calc P]]*SQRT(Table13345[[#This Row],[T]])</f>
        <v>#DIV/0!</v>
      </c>
      <c r="AM825" t="e">
        <f ca="1">EXP(-0.5*Table13345[[#This Row],[Call D1]]^2)/SQRT(2*PI())</f>
        <v>#DIV/0!</v>
      </c>
      <c r="AN825" t="e">
        <f ca="1">EXP(-0.5*Table13345[[#This Row],[Put D1]]^2)/SQRT(2*PI())</f>
        <v>#DIV/0!</v>
      </c>
      <c r="AO82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5">
        <f ca="1">((Table13345[[#This Row],[call vanna]]+Table13345[[#This Row],[put vanna]])*$A$4)</f>
        <v>0</v>
      </c>
      <c r="AR82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5" s="9" t="str" cm="1">
        <f t="array" ref="AT825">_xlfn.IFS(     $M$1="SPX","SPXW",     $M$1="RUT","RUTW",  $M$1="NDX","NDXP",   TRUE,$M$1 )</f>
        <v>SPXW</v>
      </c>
      <c r="AU825" s="2">
        <f t="shared" si="87"/>
        <v>6915</v>
      </c>
      <c r="AV825" t="str">
        <f t="shared" si="88"/>
        <v>000100</v>
      </c>
      <c r="AY82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5">
        <f>((Table13345[[#This Row],[High C]]+Table13345[[#This Row],[Low C]])/2)*Table13345[[#This Row],[gammac]]*Table13345[[#This Row],[Volume]]</f>
        <v>0</v>
      </c>
      <c r="BD825">
        <f>((Table13345[[#This Row],[High P]]+Table13345[[#This Row],[Low P]])/2)*Table13345[[#This Row],[gammap]]*Table13345[[#This Row],[Volume9]]*-1</f>
        <v>0</v>
      </c>
      <c r="BE825">
        <f>(Table13345[[#This Row],[SgammaC]]+Table13345[[#This Row],[SgammaP]])*$A$4*-100</f>
        <v>0</v>
      </c>
      <c r="BF825">
        <f>Table13345[[#This Row],[DEXc]]+Table13345[[#This Row],[DEXp]]</f>
        <v>0</v>
      </c>
      <c r="BG825">
        <f>IFERROR(Table13345[[#This Row],[DeltaC]]*Table13345[[#This Row],[Open.Int]]*$A$4,0)</f>
        <v>0</v>
      </c>
      <c r="BH825">
        <f>IFERROR(Table13345[[#This Row],[DeltaP]]*Table13345[[#This Row],[Open.Int8]]*$A$4,0)</f>
        <v>0</v>
      </c>
      <c r="BI82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5">
        <f ca="1">Table13345[[#This Row],[charmc]]+Table13345[[#This Row],[charmp]]</f>
        <v>0</v>
      </c>
      <c r="BL82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5" s="78">
        <f ca="1">Table13345[[#This Row],[call helper]]+Table13345[[#This Row],[put helper]]</f>
        <v>0</v>
      </c>
      <c r="BP825" t="str">
        <f>RTD("tos.rtd", , "STRIKE", "."&amp;Table13345[[#This Row],[Ticker]]&amp;Table13345[[#This Row],[Expiry]]&amp;""&amp;"C"&amp;Table13345[[#This Row],[Spot]]+Table13345[[#This Row],[step]])</f>
        <v>N/A</v>
      </c>
    </row>
    <row r="826" spans="1:69" x14ac:dyDescent="0.25">
      <c r="A826" s="14">
        <f t="shared" ca="1" si="84"/>
        <v>-126.14810350076104</v>
      </c>
      <c r="C826" s="17"/>
      <c r="D826" t="str">
        <f>RTD("tos.rtd", , "OPEN_INT", "."&amp;Table13345[[#This Row],[Ticker]]&amp;Table13345[[#This Row],[Expiry]]&amp;""&amp;"C"&amp;Table13345[[#This Row],[Spot]]+Table13345[[#This Row],[step]])</f>
        <v>N/A</v>
      </c>
      <c r="E82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6" t="b">
        <f>IF(     ISNUMBER(Table13345[[#This Row],[Strike]]),RTD("tos.rtd", , "DELTA", "."&amp;Table13345[[#This Row],[Ticker]]&amp;Table13345[[#This Row],[Expiry]]&amp;""&amp;"C"&amp;Table13345[[#This Row],[Strike]]))</f>
        <v>0</v>
      </c>
      <c r="H826" s="17" cm="1">
        <f t="array" aca="1" ref="H826" ca="1">IndividualLegIVCore($A$4, Table13345[[#This Row],[Strike]], 0.0411, Table13345[[#This Row],[T]], ((Table13345[[#This Row],[BIDC]]+Table13345[[#This Row],[ASKC]])/2), TRUE)</f>
        <v>0.01</v>
      </c>
      <c r="I826" t="b">
        <f>IF(     ISNUMBER(Table13345[[#This Row],[Strike]]),RTD("tos.rtd", , "BID", "."&amp;Table13345[[#This Row],[Ticker]]&amp;Table13345[[#This Row],[Expiry]]&amp;""&amp;"C"&amp;Table13345[[#This Row],[Strike]]))</f>
        <v>0</v>
      </c>
      <c r="J826" t="b">
        <f>IF(     ISNUMBER(Table13345[[#This Row],[Strike]]),RTD("tos.rtd", , "ASK", "."&amp;Table13345[[#This Row],[Ticker]]&amp;Table13345[[#This Row],[Expiry]]&amp;""&amp;"C"&amp;Table13345[[#This Row],[Strike]]))</f>
        <v>0</v>
      </c>
      <c r="K826" s="17"/>
      <c r="M826" s="1">
        <f t="shared" si="85"/>
        <v>0</v>
      </c>
      <c r="N826" t="b">
        <f t="shared" si="86"/>
        <v>0</v>
      </c>
      <c r="P826" s="17" cm="1">
        <f t="array" aca="1" ref="P826" ca="1">IndividualLegIVCore($A$4, Table13345[[#This Row],[Strike]], 0.0411, Table13345[[#This Row],[T]], ((Table13345[[#This Row],[BIDP]]+Table13345[[#This Row],[ASKP]])/2), FALSE)</f>
        <v>0.01</v>
      </c>
      <c r="Q826" t="b">
        <f>IF(     ISNUMBER(Table13345[[#This Row],[Strike]]),RTD("tos.rtd", , "BID", "."&amp;Table13345[[#This Row],[Ticker]]&amp;Table13345[[#This Row],[Expiry]]&amp;""&amp;"P"&amp;Table13345[[#This Row],[Strike]]))</f>
        <v>0</v>
      </c>
      <c r="R826" t="b">
        <f>IF(     ISNUMBER(Table13345[[#This Row],[Strike]]),RTD("tos.rtd", , "ASK", "."&amp;Table13345[[#This Row],[Ticker]]&amp;Table13345[[#This Row],[Expiry]]&amp;""&amp;"P"&amp;Table13345[[#This Row],[Strike]]))</f>
        <v>0</v>
      </c>
      <c r="S826" s="17"/>
      <c r="T826" t="b">
        <f>IF(     ISNUMBER(Table13345[[#This Row],[Strike]]),RTD("tos.rtd", , "OPEN_INT", "."&amp;Table13345[[#This Row],[Ticker]]&amp;Table13345[[#This Row],[Expiry]]&amp;""&amp;"P"&amp;Table13345[[#This Row],[Strike]]))</f>
        <v>0</v>
      </c>
      <c r="U82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6" t="b">
        <f>IF(     ISNUMBER(Table13345[[#This Row],[Strike]]),RTD("tos.rtd", , "DELTA", "."&amp;Table13345[[#This Row],[Ticker]]&amp;Table13345[[#This Row],[Expiry]]&amp;""&amp;"P"&amp;Table13345[[#This Row],[Strike]]))</f>
        <v>0</v>
      </c>
      <c r="Y826" s="19">
        <f>-48* IF($M$1="NDX", 10, IF(OR($M$1="SPX", $M$1="RUT"), 2, 1))</f>
        <v>-96</v>
      </c>
      <c r="Z826">
        <f ca="1">IFERROR(Table13345[[#This Row],[call gamma]]*(Table13345[[#This Row],[Open.Int]])*$A$4^2,0)</f>
        <v>0</v>
      </c>
      <c r="AA826">
        <f ca="1">IFERROR(((Table13345[[#This Row],[Open.Int8]])*Table13345[[#This Row],[Put gamma]])*-1*$A$4^2,0)</f>
        <v>0</v>
      </c>
      <c r="AB826">
        <f ca="1">(Table13345[[#This Row],[Call Gex]]+Table13345[[#This Row],[Put Gex]])</f>
        <v>0</v>
      </c>
      <c r="AC826">
        <f ca="1">Table13345[[#This Row],[put delta adj]]+Table13345[[#This Row],[call delta adj]]</f>
        <v>0</v>
      </c>
      <c r="AD826">
        <f ca="1">Table13345[[#This Row],[Put Gex]]*Table13345[[#This Row],[DeltaP]]*-1</f>
        <v>0</v>
      </c>
      <c r="AE826">
        <f ca="1">Table13345[[#This Row],[Call Gex]]*Table13345[[#This Row],[DeltaC]]</f>
        <v>0</v>
      </c>
      <c r="AF826">
        <f>IF(Table13345[[#This Row],[DeltaC]]-ABS(Table13345[[#This Row],[DeltaP]])="0","0.01",Table13345[[#This Row],[DeltaC]]-ABS(Table13345[[#This Row],[DeltaP]]))</f>
        <v>0</v>
      </c>
      <c r="AG82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6" t="e">
        <f ca="1">(EXP(-(AG826^2)/2)/SQRT(2*PI())*EXP(0*SQRT(Table13345[[#This Row],[T]]))/$A$4*18%*SQRT(SQRT(Table13345[[#This Row],[T]])))</f>
        <v>#DIV/0!</v>
      </c>
      <c r="AJ826" t="e">
        <f ca="1">(EXP(-(AH826^2)/2)/SQRT(2*PI())*EXP(0*SQRT(Table13345[[#This Row],[T]]))/$A$4*18%*SQRT(SQRT(Table13345[[#This Row],[T]])))</f>
        <v>#DIV/0!</v>
      </c>
      <c r="AK826" t="e">
        <f ca="1">Table13345[[#This Row],[Call D1]]-Table13345[[#This Row],[IV Calc C]]*SQRT(Table13345[[#This Row],[T]])</f>
        <v>#DIV/0!</v>
      </c>
      <c r="AL826" t="e">
        <f ca="1">Table13345[[#This Row],[Put D1]]-Table13345[[#This Row],[IV Calc P]]*SQRT(Table13345[[#This Row],[T]])</f>
        <v>#DIV/0!</v>
      </c>
      <c r="AM826" t="e">
        <f ca="1">EXP(-0.5*Table13345[[#This Row],[Call D1]]^2)/SQRT(2*PI())</f>
        <v>#DIV/0!</v>
      </c>
      <c r="AN826" t="e">
        <f ca="1">EXP(-0.5*Table13345[[#This Row],[Put D1]]^2)/SQRT(2*PI())</f>
        <v>#DIV/0!</v>
      </c>
      <c r="AO82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6">
        <f ca="1">((Table13345[[#This Row],[call vanna]]+Table13345[[#This Row],[put vanna]])*$A$4)</f>
        <v>0</v>
      </c>
      <c r="AR82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6" s="9" t="str" cm="1">
        <f t="array" ref="AT826">_xlfn.IFS(     $M$1="SPX","SPXW",     $M$1="RUT","RUTW",  $M$1="NDX","NDXP",   TRUE,$M$1 )</f>
        <v>SPXW</v>
      </c>
      <c r="AU826" s="2">
        <f t="shared" si="87"/>
        <v>6915</v>
      </c>
      <c r="AV826" t="str">
        <f t="shared" si="88"/>
        <v>000100</v>
      </c>
      <c r="AY82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6">
        <f>((Table13345[[#This Row],[High C]]+Table13345[[#This Row],[Low C]])/2)*Table13345[[#This Row],[gammac]]*Table13345[[#This Row],[Volume]]</f>
        <v>0</v>
      </c>
      <c r="BD826">
        <f>((Table13345[[#This Row],[High P]]+Table13345[[#This Row],[Low P]])/2)*Table13345[[#This Row],[gammap]]*Table13345[[#This Row],[Volume9]]*-1</f>
        <v>0</v>
      </c>
      <c r="BE826">
        <f>(Table13345[[#This Row],[SgammaC]]+Table13345[[#This Row],[SgammaP]])*$A$4*-100</f>
        <v>0</v>
      </c>
      <c r="BF826">
        <f>Table13345[[#This Row],[DEXc]]+Table13345[[#This Row],[DEXp]]</f>
        <v>0</v>
      </c>
      <c r="BG826">
        <f>IFERROR(Table13345[[#This Row],[DeltaC]]*Table13345[[#This Row],[Open.Int]]*$A$4,0)</f>
        <v>0</v>
      </c>
      <c r="BH826">
        <f>IFERROR(Table13345[[#This Row],[DeltaP]]*Table13345[[#This Row],[Open.Int8]]*$A$4,0)</f>
        <v>0</v>
      </c>
      <c r="BI82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6">
        <f ca="1">Table13345[[#This Row],[charmc]]+Table13345[[#This Row],[charmp]]</f>
        <v>0</v>
      </c>
      <c r="BL82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6" s="78">
        <f ca="1">Table13345[[#This Row],[call helper]]+Table13345[[#This Row],[put helper]]</f>
        <v>0</v>
      </c>
      <c r="BP826" t="str">
        <f>RTD("tos.rtd", , "STRIKE", "."&amp;Table13345[[#This Row],[Ticker]]&amp;Table13345[[#This Row],[Expiry]]&amp;""&amp;"C"&amp;Table13345[[#This Row],[Spot]]+Table13345[[#This Row],[step]])</f>
        <v>N/A</v>
      </c>
    </row>
    <row r="827" spans="1:69" x14ac:dyDescent="0.25">
      <c r="A827" s="14">
        <f t="shared" ca="1" si="84"/>
        <v>-126.14810350076104</v>
      </c>
      <c r="C827" s="17"/>
      <c r="D827" t="str">
        <f>RTD("tos.rtd", , "OPEN_INT", "."&amp;Table13345[[#This Row],[Ticker]]&amp;Table13345[[#This Row],[Expiry]]&amp;""&amp;"C"&amp;Table13345[[#This Row],[Spot]]+Table13345[[#This Row],[step]])</f>
        <v>N/A</v>
      </c>
      <c r="E82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7" t="b">
        <f>IF(     ISNUMBER(Table13345[[#This Row],[Strike]]),RTD("tos.rtd", , "DELTA", "."&amp;Table13345[[#This Row],[Ticker]]&amp;Table13345[[#This Row],[Expiry]]&amp;""&amp;"C"&amp;Table13345[[#This Row],[Strike]]))</f>
        <v>0</v>
      </c>
      <c r="H827" s="17" cm="1">
        <f t="array" aca="1" ref="H827" ca="1">IndividualLegIVCore($A$4, Table13345[[#This Row],[Strike]], 0.0411, Table13345[[#This Row],[T]], ((Table13345[[#This Row],[BIDC]]+Table13345[[#This Row],[ASKC]])/2), TRUE)</f>
        <v>0.01</v>
      </c>
      <c r="I827" t="b">
        <f>IF(     ISNUMBER(Table13345[[#This Row],[Strike]]),RTD("tos.rtd", , "BID", "."&amp;Table13345[[#This Row],[Ticker]]&amp;Table13345[[#This Row],[Expiry]]&amp;""&amp;"C"&amp;Table13345[[#This Row],[Strike]]))</f>
        <v>0</v>
      </c>
      <c r="J827" t="b">
        <f>IF(     ISNUMBER(Table13345[[#This Row],[Strike]]),RTD("tos.rtd", , "ASK", "."&amp;Table13345[[#This Row],[Ticker]]&amp;Table13345[[#This Row],[Expiry]]&amp;""&amp;"C"&amp;Table13345[[#This Row],[Strike]]))</f>
        <v>0</v>
      </c>
      <c r="K827" s="17"/>
      <c r="M827" s="1">
        <f t="shared" si="85"/>
        <v>0</v>
      </c>
      <c r="N827" t="b">
        <f t="shared" si="86"/>
        <v>0</v>
      </c>
      <c r="P827" s="17" cm="1">
        <f t="array" aca="1" ref="P827" ca="1">IndividualLegIVCore($A$4, Table13345[[#This Row],[Strike]], 0.0411, Table13345[[#This Row],[T]], ((Table13345[[#This Row],[BIDP]]+Table13345[[#This Row],[ASKP]])/2), FALSE)</f>
        <v>0.01</v>
      </c>
      <c r="Q827" t="b">
        <f>IF(     ISNUMBER(Table13345[[#This Row],[Strike]]),RTD("tos.rtd", , "BID", "."&amp;Table13345[[#This Row],[Ticker]]&amp;Table13345[[#This Row],[Expiry]]&amp;""&amp;"P"&amp;Table13345[[#This Row],[Strike]]))</f>
        <v>0</v>
      </c>
      <c r="R827" t="b">
        <f>IF(     ISNUMBER(Table13345[[#This Row],[Strike]]),RTD("tos.rtd", , "ASK", "."&amp;Table13345[[#This Row],[Ticker]]&amp;Table13345[[#This Row],[Expiry]]&amp;""&amp;"P"&amp;Table13345[[#This Row],[Strike]]))</f>
        <v>0</v>
      </c>
      <c r="S827" s="17"/>
      <c r="T827" t="b">
        <f>IF(     ISNUMBER(Table13345[[#This Row],[Strike]]),RTD("tos.rtd", , "OPEN_INT", "."&amp;Table13345[[#This Row],[Ticker]]&amp;Table13345[[#This Row],[Expiry]]&amp;""&amp;"P"&amp;Table13345[[#This Row],[Strike]]))</f>
        <v>0</v>
      </c>
      <c r="U82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7" t="b">
        <f>IF(     ISNUMBER(Table13345[[#This Row],[Strike]]),RTD("tos.rtd", , "DELTA", "."&amp;Table13345[[#This Row],[Ticker]]&amp;Table13345[[#This Row],[Expiry]]&amp;""&amp;"P"&amp;Table13345[[#This Row],[Strike]]))</f>
        <v>0</v>
      </c>
      <c r="Y827" s="19">
        <f>-47.5* IF($M$1="NDX", 10, IF(OR($M$1="SPX", $M$1="RUT"), 2, 1))</f>
        <v>-95</v>
      </c>
      <c r="Z827">
        <f ca="1">IFERROR(Table13345[[#This Row],[call gamma]]*(Table13345[[#This Row],[Open.Int]])*$A$4^2,0)</f>
        <v>0</v>
      </c>
      <c r="AA827">
        <f ca="1">IFERROR(((Table13345[[#This Row],[Open.Int8]])*Table13345[[#This Row],[Put gamma]])*-1*$A$4^2,0)</f>
        <v>0</v>
      </c>
      <c r="AB827">
        <f ca="1">(Table13345[[#This Row],[Call Gex]]+Table13345[[#This Row],[Put Gex]])</f>
        <v>0</v>
      </c>
      <c r="AC827">
        <f ca="1">Table13345[[#This Row],[put delta adj]]+Table13345[[#This Row],[call delta adj]]</f>
        <v>0</v>
      </c>
      <c r="AD827">
        <f ca="1">Table13345[[#This Row],[Put Gex]]*Table13345[[#This Row],[DeltaP]]*-1</f>
        <v>0</v>
      </c>
      <c r="AE827">
        <f ca="1">Table13345[[#This Row],[Call Gex]]*Table13345[[#This Row],[DeltaC]]</f>
        <v>0</v>
      </c>
      <c r="AF827">
        <f>IF(Table13345[[#This Row],[DeltaC]]-ABS(Table13345[[#This Row],[DeltaP]])="0","0.01",Table13345[[#This Row],[DeltaC]]-ABS(Table13345[[#This Row],[DeltaP]]))</f>
        <v>0</v>
      </c>
      <c r="AG82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7" t="e">
        <f ca="1">(EXP(-(AG827^2)/2)/SQRT(2*PI())*EXP(0*SQRT(Table13345[[#This Row],[T]]))/$A$4*18%*SQRT(SQRT(Table13345[[#This Row],[T]])))</f>
        <v>#DIV/0!</v>
      </c>
      <c r="AJ827" t="e">
        <f ca="1">(EXP(-(AH827^2)/2)/SQRT(2*PI())*EXP(0*SQRT(Table13345[[#This Row],[T]]))/$A$4*18%*SQRT(SQRT(Table13345[[#This Row],[T]])))</f>
        <v>#DIV/0!</v>
      </c>
      <c r="AK827" t="e">
        <f ca="1">Table13345[[#This Row],[Call D1]]-Table13345[[#This Row],[IV Calc C]]*SQRT(Table13345[[#This Row],[T]])</f>
        <v>#DIV/0!</v>
      </c>
      <c r="AL827" t="e">
        <f ca="1">Table13345[[#This Row],[Put D1]]-Table13345[[#This Row],[IV Calc P]]*SQRT(Table13345[[#This Row],[T]])</f>
        <v>#DIV/0!</v>
      </c>
      <c r="AM827" t="e">
        <f ca="1">EXP(-0.5*Table13345[[#This Row],[Call D1]]^2)/SQRT(2*PI())</f>
        <v>#DIV/0!</v>
      </c>
      <c r="AN827" t="e">
        <f ca="1">EXP(-0.5*Table13345[[#This Row],[Put D1]]^2)/SQRT(2*PI())</f>
        <v>#DIV/0!</v>
      </c>
      <c r="AO82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7">
        <f ca="1">((Table13345[[#This Row],[call vanna]]+Table13345[[#This Row],[put vanna]])*$A$4)</f>
        <v>0</v>
      </c>
      <c r="AR82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7" s="9" t="str" cm="1">
        <f t="array" ref="AT827">_xlfn.IFS(     $M$1="SPX","SPXW",     $M$1="RUT","RUTW",  $M$1="NDX","NDXP",   TRUE,$M$1 )</f>
        <v>SPXW</v>
      </c>
      <c r="AU827" s="2">
        <f t="shared" si="87"/>
        <v>6915</v>
      </c>
      <c r="AV827" t="str">
        <f t="shared" si="88"/>
        <v>000100</v>
      </c>
      <c r="AY82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7">
        <f>((Table13345[[#This Row],[High C]]+Table13345[[#This Row],[Low C]])/2)*Table13345[[#This Row],[gammac]]*Table13345[[#This Row],[Volume]]</f>
        <v>0</v>
      </c>
      <c r="BD827">
        <f>((Table13345[[#This Row],[High P]]+Table13345[[#This Row],[Low P]])/2)*Table13345[[#This Row],[gammap]]*Table13345[[#This Row],[Volume9]]*-1</f>
        <v>0</v>
      </c>
      <c r="BE827">
        <f>(Table13345[[#This Row],[SgammaC]]+Table13345[[#This Row],[SgammaP]])*$A$4*-100</f>
        <v>0</v>
      </c>
      <c r="BF827">
        <f>Table13345[[#This Row],[DEXc]]+Table13345[[#This Row],[DEXp]]</f>
        <v>0</v>
      </c>
      <c r="BG827">
        <f>IFERROR(Table13345[[#This Row],[DeltaC]]*Table13345[[#This Row],[Open.Int]]*$A$4,0)</f>
        <v>0</v>
      </c>
      <c r="BH827">
        <f>IFERROR(Table13345[[#This Row],[DeltaP]]*Table13345[[#This Row],[Open.Int8]]*$A$4,0)</f>
        <v>0</v>
      </c>
      <c r="BI82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7">
        <f ca="1">Table13345[[#This Row],[charmc]]+Table13345[[#This Row],[charmp]]</f>
        <v>0</v>
      </c>
      <c r="BL82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7" s="78">
        <f ca="1">Table13345[[#This Row],[call helper]]+Table13345[[#This Row],[put helper]]</f>
        <v>0</v>
      </c>
      <c r="BP827" t="str">
        <f>RTD("tos.rtd", , "STRIKE", "."&amp;Table13345[[#This Row],[Ticker]]&amp;Table13345[[#This Row],[Expiry]]&amp;""&amp;"C"&amp;Table13345[[#This Row],[Spot]]+Table13345[[#This Row],[step]])</f>
        <v>N/A</v>
      </c>
    </row>
    <row r="828" spans="1:69" x14ac:dyDescent="0.25">
      <c r="A828" s="14">
        <f t="shared" ca="1" si="84"/>
        <v>-126.14810350076104</v>
      </c>
      <c r="C828" s="17"/>
      <c r="D828" t="str">
        <f>RTD("tos.rtd", , "OPEN_INT", "."&amp;Table13345[[#This Row],[Ticker]]&amp;Table13345[[#This Row],[Expiry]]&amp;""&amp;"C"&amp;Table13345[[#This Row],[Spot]]+Table13345[[#This Row],[step]])</f>
        <v>N/A</v>
      </c>
      <c r="E82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8" t="b">
        <f>IF(     ISNUMBER(Table13345[[#This Row],[Strike]]),RTD("tos.rtd", , "DELTA", "."&amp;Table13345[[#This Row],[Ticker]]&amp;Table13345[[#This Row],[Expiry]]&amp;""&amp;"C"&amp;Table13345[[#This Row],[Strike]]))</f>
        <v>0</v>
      </c>
      <c r="H828" s="17" cm="1">
        <f t="array" aca="1" ref="H828" ca="1">IndividualLegIVCore($A$4, Table13345[[#This Row],[Strike]], 0.0411, Table13345[[#This Row],[T]], ((Table13345[[#This Row],[BIDC]]+Table13345[[#This Row],[ASKC]])/2), TRUE)</f>
        <v>0.01</v>
      </c>
      <c r="I828" t="b">
        <f>IF(     ISNUMBER(Table13345[[#This Row],[Strike]]),RTD("tos.rtd", , "BID", "."&amp;Table13345[[#This Row],[Ticker]]&amp;Table13345[[#This Row],[Expiry]]&amp;""&amp;"C"&amp;Table13345[[#This Row],[Strike]]))</f>
        <v>0</v>
      </c>
      <c r="J828" t="b">
        <f>IF(     ISNUMBER(Table13345[[#This Row],[Strike]]),RTD("tos.rtd", , "ASK", "."&amp;Table13345[[#This Row],[Ticker]]&amp;Table13345[[#This Row],[Expiry]]&amp;""&amp;"C"&amp;Table13345[[#This Row],[Strike]]))</f>
        <v>0</v>
      </c>
      <c r="K828" s="17"/>
      <c r="M828" s="1">
        <f t="shared" si="85"/>
        <v>0</v>
      </c>
      <c r="N828" t="b">
        <f t="shared" si="86"/>
        <v>0</v>
      </c>
      <c r="P828" s="17" cm="1">
        <f t="array" aca="1" ref="P828" ca="1">IndividualLegIVCore($A$4, Table13345[[#This Row],[Strike]], 0.0411, Table13345[[#This Row],[T]], ((Table13345[[#This Row],[BIDP]]+Table13345[[#This Row],[ASKP]])/2), FALSE)</f>
        <v>0.01</v>
      </c>
      <c r="Q828" t="b">
        <f>IF(     ISNUMBER(Table13345[[#This Row],[Strike]]),RTD("tos.rtd", , "BID", "."&amp;Table13345[[#This Row],[Ticker]]&amp;Table13345[[#This Row],[Expiry]]&amp;""&amp;"P"&amp;Table13345[[#This Row],[Strike]]))</f>
        <v>0</v>
      </c>
      <c r="R828" t="b">
        <f>IF(     ISNUMBER(Table13345[[#This Row],[Strike]]),RTD("tos.rtd", , "ASK", "."&amp;Table13345[[#This Row],[Ticker]]&amp;Table13345[[#This Row],[Expiry]]&amp;""&amp;"P"&amp;Table13345[[#This Row],[Strike]]))</f>
        <v>0</v>
      </c>
      <c r="S828" s="17"/>
      <c r="T828" t="b">
        <f>IF(     ISNUMBER(Table13345[[#This Row],[Strike]]),RTD("tos.rtd", , "OPEN_INT", "."&amp;Table13345[[#This Row],[Ticker]]&amp;Table13345[[#This Row],[Expiry]]&amp;""&amp;"P"&amp;Table13345[[#This Row],[Strike]]))</f>
        <v>0</v>
      </c>
      <c r="U82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8" t="b">
        <f>IF(     ISNUMBER(Table13345[[#This Row],[Strike]]),RTD("tos.rtd", , "DELTA", "."&amp;Table13345[[#This Row],[Ticker]]&amp;Table13345[[#This Row],[Expiry]]&amp;""&amp;"P"&amp;Table13345[[#This Row],[Strike]]))</f>
        <v>0</v>
      </c>
      <c r="Y828" s="19">
        <f>-47* IF($M$1="NDX", 10, IF(OR($M$1="SPX", $M$1="RUT"), 2, 1))</f>
        <v>-94</v>
      </c>
      <c r="Z828">
        <f ca="1">IFERROR(Table13345[[#This Row],[call gamma]]*(Table13345[[#This Row],[Open.Int]])*$A$4^2,0)</f>
        <v>0</v>
      </c>
      <c r="AA828">
        <f ca="1">IFERROR(((Table13345[[#This Row],[Open.Int8]])*Table13345[[#This Row],[Put gamma]])*-1*$A$4^2,0)</f>
        <v>0</v>
      </c>
      <c r="AB828">
        <f ca="1">(Table13345[[#This Row],[Call Gex]]+Table13345[[#This Row],[Put Gex]])</f>
        <v>0</v>
      </c>
      <c r="AC828">
        <f ca="1">Table13345[[#This Row],[put delta adj]]+Table13345[[#This Row],[call delta adj]]</f>
        <v>0</v>
      </c>
      <c r="AD828">
        <f ca="1">Table13345[[#This Row],[Put Gex]]*Table13345[[#This Row],[DeltaP]]*-1</f>
        <v>0</v>
      </c>
      <c r="AE828">
        <f ca="1">Table13345[[#This Row],[Call Gex]]*Table13345[[#This Row],[DeltaC]]</f>
        <v>0</v>
      </c>
      <c r="AF828">
        <f>IF(Table13345[[#This Row],[DeltaC]]-ABS(Table13345[[#This Row],[DeltaP]])="0","0.01",Table13345[[#This Row],[DeltaC]]-ABS(Table13345[[#This Row],[DeltaP]]))</f>
        <v>0</v>
      </c>
      <c r="AG82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8" t="e">
        <f ca="1">(EXP(-(AG828^2)/2)/SQRT(2*PI())*EXP(0*SQRT(Table13345[[#This Row],[T]]))/$A$4*18%*SQRT(SQRT(Table13345[[#This Row],[T]])))</f>
        <v>#DIV/0!</v>
      </c>
      <c r="AJ828" t="e">
        <f ca="1">(EXP(-(AH828^2)/2)/SQRT(2*PI())*EXP(0*SQRT(Table13345[[#This Row],[T]]))/$A$4*18%*SQRT(SQRT(Table13345[[#This Row],[T]])))</f>
        <v>#DIV/0!</v>
      </c>
      <c r="AK828" t="e">
        <f ca="1">Table13345[[#This Row],[Call D1]]-Table13345[[#This Row],[IV Calc C]]*SQRT(Table13345[[#This Row],[T]])</f>
        <v>#DIV/0!</v>
      </c>
      <c r="AL828" t="e">
        <f ca="1">Table13345[[#This Row],[Put D1]]-Table13345[[#This Row],[IV Calc P]]*SQRT(Table13345[[#This Row],[T]])</f>
        <v>#DIV/0!</v>
      </c>
      <c r="AM828" t="e">
        <f ca="1">EXP(-0.5*Table13345[[#This Row],[Call D1]]^2)/SQRT(2*PI())</f>
        <v>#DIV/0!</v>
      </c>
      <c r="AN828" t="e">
        <f ca="1">EXP(-0.5*Table13345[[#This Row],[Put D1]]^2)/SQRT(2*PI())</f>
        <v>#DIV/0!</v>
      </c>
      <c r="AO82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8">
        <f ca="1">((Table13345[[#This Row],[call vanna]]+Table13345[[#This Row],[put vanna]])*$A$4)</f>
        <v>0</v>
      </c>
      <c r="AR82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8" s="9" t="str" cm="1">
        <f t="array" ref="AT828">_xlfn.IFS(     $M$1="SPX","SPXW",     $M$1="RUT","RUTW",  $M$1="NDX","NDXP",   TRUE,$M$1 )</f>
        <v>SPXW</v>
      </c>
      <c r="AU828" s="2">
        <f t="shared" si="87"/>
        <v>6915</v>
      </c>
      <c r="AV828" t="str">
        <f t="shared" si="88"/>
        <v>000100</v>
      </c>
      <c r="AY82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8">
        <f>((Table13345[[#This Row],[High C]]+Table13345[[#This Row],[Low C]])/2)*Table13345[[#This Row],[gammac]]*Table13345[[#This Row],[Volume]]</f>
        <v>0</v>
      </c>
      <c r="BD828">
        <f>((Table13345[[#This Row],[High P]]+Table13345[[#This Row],[Low P]])/2)*Table13345[[#This Row],[gammap]]*Table13345[[#This Row],[Volume9]]*-1</f>
        <v>0</v>
      </c>
      <c r="BE828">
        <f>(Table13345[[#This Row],[SgammaC]]+Table13345[[#This Row],[SgammaP]])*$A$4*-100</f>
        <v>0</v>
      </c>
      <c r="BF828">
        <f>Table13345[[#This Row],[DEXc]]+Table13345[[#This Row],[DEXp]]</f>
        <v>0</v>
      </c>
      <c r="BG828">
        <f>IFERROR(Table13345[[#This Row],[DeltaC]]*Table13345[[#This Row],[Open.Int]]*$A$4,0)</f>
        <v>0</v>
      </c>
      <c r="BH828">
        <f>IFERROR(Table13345[[#This Row],[DeltaP]]*Table13345[[#This Row],[Open.Int8]]*$A$4,0)</f>
        <v>0</v>
      </c>
      <c r="BI82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8">
        <f ca="1">Table13345[[#This Row],[charmc]]+Table13345[[#This Row],[charmp]]</f>
        <v>0</v>
      </c>
      <c r="BL82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8" s="78">
        <f ca="1">Table13345[[#This Row],[call helper]]+Table13345[[#This Row],[put helper]]</f>
        <v>0</v>
      </c>
      <c r="BP828" t="str">
        <f>RTD("tos.rtd", , "STRIKE", "."&amp;Table13345[[#This Row],[Ticker]]&amp;Table13345[[#This Row],[Expiry]]&amp;""&amp;"C"&amp;Table13345[[#This Row],[Spot]]+Table13345[[#This Row],[step]])</f>
        <v>N/A</v>
      </c>
    </row>
    <row r="829" spans="1:69" x14ac:dyDescent="0.25">
      <c r="A829" s="14">
        <f t="shared" ca="1" si="84"/>
        <v>-126.14810350076104</v>
      </c>
      <c r="C829" s="17"/>
      <c r="D829" t="str">
        <f>RTD("tos.rtd", , "OPEN_INT", "."&amp;Table13345[[#This Row],[Ticker]]&amp;Table13345[[#This Row],[Expiry]]&amp;""&amp;"C"&amp;Table13345[[#This Row],[Spot]]+Table13345[[#This Row],[step]])</f>
        <v>N/A</v>
      </c>
      <c r="E82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9" t="b">
        <f>IF(     ISNUMBER(Table13345[[#This Row],[Strike]]),RTD("tos.rtd", , "DELTA", "."&amp;Table13345[[#This Row],[Ticker]]&amp;Table13345[[#This Row],[Expiry]]&amp;""&amp;"C"&amp;Table13345[[#This Row],[Strike]]))</f>
        <v>0</v>
      </c>
      <c r="H829" s="17" cm="1">
        <f t="array" aca="1" ref="H829" ca="1">IndividualLegIVCore($A$4, Table13345[[#This Row],[Strike]], 0.0411, Table13345[[#This Row],[T]], ((Table13345[[#This Row],[BIDC]]+Table13345[[#This Row],[ASKC]])/2), TRUE)</f>
        <v>0.01</v>
      </c>
      <c r="I829" t="b">
        <f>IF(     ISNUMBER(Table13345[[#This Row],[Strike]]),RTD("tos.rtd", , "BID", "."&amp;Table13345[[#This Row],[Ticker]]&amp;Table13345[[#This Row],[Expiry]]&amp;""&amp;"C"&amp;Table13345[[#This Row],[Strike]]))</f>
        <v>0</v>
      </c>
      <c r="J829" t="b">
        <f>IF(     ISNUMBER(Table13345[[#This Row],[Strike]]),RTD("tos.rtd", , "ASK", "."&amp;Table13345[[#This Row],[Ticker]]&amp;Table13345[[#This Row],[Expiry]]&amp;""&amp;"C"&amp;Table13345[[#This Row],[Strike]]))</f>
        <v>0</v>
      </c>
      <c r="K829" s="17"/>
      <c r="M829" s="1">
        <f t="shared" si="85"/>
        <v>0</v>
      </c>
      <c r="N829" t="b">
        <f t="shared" si="86"/>
        <v>0</v>
      </c>
      <c r="P829" s="17" cm="1">
        <f t="array" aca="1" ref="P829" ca="1">IndividualLegIVCore($A$4, Table13345[[#This Row],[Strike]], 0.0411, Table13345[[#This Row],[T]], ((Table13345[[#This Row],[BIDP]]+Table13345[[#This Row],[ASKP]])/2), FALSE)</f>
        <v>0.01</v>
      </c>
      <c r="Q829" t="b">
        <f>IF(     ISNUMBER(Table13345[[#This Row],[Strike]]),RTD("tos.rtd", , "BID", "."&amp;Table13345[[#This Row],[Ticker]]&amp;Table13345[[#This Row],[Expiry]]&amp;""&amp;"P"&amp;Table13345[[#This Row],[Strike]]))</f>
        <v>0</v>
      </c>
      <c r="R829" t="b">
        <f>IF(     ISNUMBER(Table13345[[#This Row],[Strike]]),RTD("tos.rtd", , "ASK", "."&amp;Table13345[[#This Row],[Ticker]]&amp;Table13345[[#This Row],[Expiry]]&amp;""&amp;"P"&amp;Table13345[[#This Row],[Strike]]))</f>
        <v>0</v>
      </c>
      <c r="S829" s="17"/>
      <c r="T829" t="b">
        <f>IF(     ISNUMBER(Table13345[[#This Row],[Strike]]),RTD("tos.rtd", , "OPEN_INT", "."&amp;Table13345[[#This Row],[Ticker]]&amp;Table13345[[#This Row],[Expiry]]&amp;""&amp;"P"&amp;Table13345[[#This Row],[Strike]]))</f>
        <v>0</v>
      </c>
      <c r="U82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9" t="b">
        <f>IF(     ISNUMBER(Table13345[[#This Row],[Strike]]),RTD("tos.rtd", , "DELTA", "."&amp;Table13345[[#This Row],[Ticker]]&amp;Table13345[[#This Row],[Expiry]]&amp;""&amp;"P"&amp;Table13345[[#This Row],[Strike]]))</f>
        <v>0</v>
      </c>
      <c r="Y829" s="19">
        <f>-46.5* IF($M$1="NDX", 10, IF(OR($M$1="SPX", $M$1="RUT"), 2, 1))</f>
        <v>-93</v>
      </c>
      <c r="Z829">
        <f ca="1">IFERROR(Table13345[[#This Row],[call gamma]]*(Table13345[[#This Row],[Open.Int]])*$A$4^2,0)</f>
        <v>0</v>
      </c>
      <c r="AA829">
        <f ca="1">IFERROR(((Table13345[[#This Row],[Open.Int8]])*Table13345[[#This Row],[Put gamma]])*-1*$A$4^2,0)</f>
        <v>0</v>
      </c>
      <c r="AB829">
        <f ca="1">(Table13345[[#This Row],[Call Gex]]+Table13345[[#This Row],[Put Gex]])</f>
        <v>0</v>
      </c>
      <c r="AC829">
        <f ca="1">Table13345[[#This Row],[put delta adj]]+Table13345[[#This Row],[call delta adj]]</f>
        <v>0</v>
      </c>
      <c r="AD829">
        <f ca="1">Table13345[[#This Row],[Put Gex]]*Table13345[[#This Row],[DeltaP]]*-1</f>
        <v>0</v>
      </c>
      <c r="AE829">
        <f ca="1">Table13345[[#This Row],[Call Gex]]*Table13345[[#This Row],[DeltaC]]</f>
        <v>0</v>
      </c>
      <c r="AF829">
        <f>IF(Table13345[[#This Row],[DeltaC]]-ABS(Table13345[[#This Row],[DeltaP]])="0","0.01",Table13345[[#This Row],[DeltaC]]-ABS(Table13345[[#This Row],[DeltaP]]))</f>
        <v>0</v>
      </c>
      <c r="AG82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9" t="e">
        <f ca="1">(EXP(-(AG829^2)/2)/SQRT(2*PI())*EXP(0*SQRT(Table13345[[#This Row],[T]]))/$A$4*18%*SQRT(SQRT(Table13345[[#This Row],[T]])))</f>
        <v>#DIV/0!</v>
      </c>
      <c r="AJ829" t="e">
        <f ca="1">(EXP(-(AH829^2)/2)/SQRT(2*PI())*EXP(0*SQRT(Table13345[[#This Row],[T]]))/$A$4*18%*SQRT(SQRT(Table13345[[#This Row],[T]])))</f>
        <v>#DIV/0!</v>
      </c>
      <c r="AK829" t="e">
        <f ca="1">Table13345[[#This Row],[Call D1]]-Table13345[[#This Row],[IV Calc C]]*SQRT(Table13345[[#This Row],[T]])</f>
        <v>#DIV/0!</v>
      </c>
      <c r="AL829" t="e">
        <f ca="1">Table13345[[#This Row],[Put D1]]-Table13345[[#This Row],[IV Calc P]]*SQRT(Table13345[[#This Row],[T]])</f>
        <v>#DIV/0!</v>
      </c>
      <c r="AM829" t="e">
        <f ca="1">EXP(-0.5*Table13345[[#This Row],[Call D1]]^2)/SQRT(2*PI())</f>
        <v>#DIV/0!</v>
      </c>
      <c r="AN829" t="e">
        <f ca="1">EXP(-0.5*Table13345[[#This Row],[Put D1]]^2)/SQRT(2*PI())</f>
        <v>#DIV/0!</v>
      </c>
      <c r="AO82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9">
        <f ca="1">((Table13345[[#This Row],[call vanna]]+Table13345[[#This Row],[put vanna]])*$A$4)</f>
        <v>0</v>
      </c>
      <c r="AR82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9" s="9" t="str" cm="1">
        <f t="array" ref="AT829">_xlfn.IFS(     $M$1="SPX","SPXW",     $M$1="RUT","RUTW",  $M$1="NDX","NDXP",   TRUE,$M$1 )</f>
        <v>SPXW</v>
      </c>
      <c r="AU829" s="2">
        <f t="shared" si="87"/>
        <v>6915</v>
      </c>
      <c r="AV829" t="str">
        <f t="shared" si="88"/>
        <v>000100</v>
      </c>
      <c r="AY82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9">
        <f>((Table13345[[#This Row],[High C]]+Table13345[[#This Row],[Low C]])/2)*Table13345[[#This Row],[gammac]]*Table13345[[#This Row],[Volume]]</f>
        <v>0</v>
      </c>
      <c r="BD829">
        <f>((Table13345[[#This Row],[High P]]+Table13345[[#This Row],[Low P]])/2)*Table13345[[#This Row],[gammap]]*Table13345[[#This Row],[Volume9]]*-1</f>
        <v>0</v>
      </c>
      <c r="BE829">
        <f>(Table13345[[#This Row],[SgammaC]]+Table13345[[#This Row],[SgammaP]])*$A$4*-100</f>
        <v>0</v>
      </c>
      <c r="BF829">
        <f>Table13345[[#This Row],[DEXc]]+Table13345[[#This Row],[DEXp]]</f>
        <v>0</v>
      </c>
      <c r="BG829">
        <f>IFERROR(Table13345[[#This Row],[DeltaC]]*Table13345[[#This Row],[Open.Int]]*$A$4,0)</f>
        <v>0</v>
      </c>
      <c r="BH829">
        <f>IFERROR(Table13345[[#This Row],[DeltaP]]*Table13345[[#This Row],[Open.Int8]]*$A$4,0)</f>
        <v>0</v>
      </c>
      <c r="BI82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9">
        <f ca="1">Table13345[[#This Row],[charmc]]+Table13345[[#This Row],[charmp]]</f>
        <v>0</v>
      </c>
      <c r="BL82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9" s="78">
        <f ca="1">Table13345[[#This Row],[call helper]]+Table13345[[#This Row],[put helper]]</f>
        <v>0</v>
      </c>
      <c r="BP829" t="str">
        <f>RTD("tos.rtd", , "STRIKE", "."&amp;Table13345[[#This Row],[Ticker]]&amp;Table13345[[#This Row],[Expiry]]&amp;""&amp;"C"&amp;Table13345[[#This Row],[Spot]]+Table13345[[#This Row],[step]])</f>
        <v>N/A</v>
      </c>
    </row>
    <row r="830" spans="1:69" x14ac:dyDescent="0.25">
      <c r="A830" s="14">
        <f t="shared" ca="1" si="84"/>
        <v>-126.14810350076104</v>
      </c>
      <c r="C830" s="17"/>
      <c r="D830" t="str">
        <f>RTD("tos.rtd", , "OPEN_INT", "."&amp;Table13345[[#This Row],[Ticker]]&amp;Table13345[[#This Row],[Expiry]]&amp;""&amp;"C"&amp;Table13345[[#This Row],[Spot]]+Table13345[[#This Row],[step]])</f>
        <v>N/A</v>
      </c>
      <c r="E83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0" t="b">
        <f>IF(     ISNUMBER(Table13345[[#This Row],[Strike]]),RTD("tos.rtd", , "DELTA", "."&amp;Table13345[[#This Row],[Ticker]]&amp;Table13345[[#This Row],[Expiry]]&amp;""&amp;"C"&amp;Table13345[[#This Row],[Strike]]))</f>
        <v>0</v>
      </c>
      <c r="H830" s="17" cm="1">
        <f t="array" aca="1" ref="H830" ca="1">IndividualLegIVCore($A$4, Table13345[[#This Row],[Strike]], 0.0411, Table13345[[#This Row],[T]], ((Table13345[[#This Row],[BIDC]]+Table13345[[#This Row],[ASKC]])/2), TRUE)</f>
        <v>0.01</v>
      </c>
      <c r="I830" t="b">
        <f>IF(     ISNUMBER(Table13345[[#This Row],[Strike]]),RTD("tos.rtd", , "BID", "."&amp;Table13345[[#This Row],[Ticker]]&amp;Table13345[[#This Row],[Expiry]]&amp;""&amp;"C"&amp;Table13345[[#This Row],[Strike]]))</f>
        <v>0</v>
      </c>
      <c r="J830" t="b">
        <f>IF(     ISNUMBER(Table13345[[#This Row],[Strike]]),RTD("tos.rtd", , "ASK", "."&amp;Table13345[[#This Row],[Ticker]]&amp;Table13345[[#This Row],[Expiry]]&amp;""&amp;"C"&amp;Table13345[[#This Row],[Strike]]))</f>
        <v>0</v>
      </c>
      <c r="K830" s="17"/>
      <c r="M830" s="1">
        <f t="shared" si="85"/>
        <v>0</v>
      </c>
      <c r="N830" t="b">
        <f t="shared" si="86"/>
        <v>0</v>
      </c>
      <c r="P830" s="17" cm="1">
        <f t="array" aca="1" ref="P830" ca="1">IndividualLegIVCore($A$4, Table13345[[#This Row],[Strike]], 0.0411, Table13345[[#This Row],[T]], ((Table13345[[#This Row],[BIDP]]+Table13345[[#This Row],[ASKP]])/2), FALSE)</f>
        <v>0.01</v>
      </c>
      <c r="Q830" t="b">
        <f>IF(     ISNUMBER(Table13345[[#This Row],[Strike]]),RTD("tos.rtd", , "BID", "."&amp;Table13345[[#This Row],[Ticker]]&amp;Table13345[[#This Row],[Expiry]]&amp;""&amp;"P"&amp;Table13345[[#This Row],[Strike]]))</f>
        <v>0</v>
      </c>
      <c r="R830" t="b">
        <f>IF(     ISNUMBER(Table13345[[#This Row],[Strike]]),RTD("tos.rtd", , "ASK", "."&amp;Table13345[[#This Row],[Ticker]]&amp;Table13345[[#This Row],[Expiry]]&amp;""&amp;"P"&amp;Table13345[[#This Row],[Strike]]))</f>
        <v>0</v>
      </c>
      <c r="S830" s="17"/>
      <c r="T830" t="b">
        <f>IF(     ISNUMBER(Table13345[[#This Row],[Strike]]),RTD("tos.rtd", , "OPEN_INT", "."&amp;Table13345[[#This Row],[Ticker]]&amp;Table13345[[#This Row],[Expiry]]&amp;""&amp;"P"&amp;Table13345[[#This Row],[Strike]]))</f>
        <v>0</v>
      </c>
      <c r="U83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0" t="b">
        <f>IF(     ISNUMBER(Table13345[[#This Row],[Strike]]),RTD("tos.rtd", , "DELTA", "."&amp;Table13345[[#This Row],[Ticker]]&amp;Table13345[[#This Row],[Expiry]]&amp;""&amp;"P"&amp;Table13345[[#This Row],[Strike]]))</f>
        <v>0</v>
      </c>
      <c r="Y830" s="19">
        <f>-46* IF($M$1="NDX", 10, IF(OR($M$1="SPX", $M$1="RUT"), 2, 1))</f>
        <v>-92</v>
      </c>
      <c r="Z830">
        <f ca="1">IFERROR(Table13345[[#This Row],[call gamma]]*(Table13345[[#This Row],[Open.Int]])*$A$4^2,0)</f>
        <v>0</v>
      </c>
      <c r="AA830">
        <f ca="1">IFERROR(((Table13345[[#This Row],[Open.Int8]])*Table13345[[#This Row],[Put gamma]])*-1*$A$4^2,0)</f>
        <v>0</v>
      </c>
      <c r="AB830">
        <f ca="1">(Table13345[[#This Row],[Call Gex]]+Table13345[[#This Row],[Put Gex]])</f>
        <v>0</v>
      </c>
      <c r="AC830">
        <f ca="1">Table13345[[#This Row],[put delta adj]]+Table13345[[#This Row],[call delta adj]]</f>
        <v>0</v>
      </c>
      <c r="AD830">
        <f ca="1">Table13345[[#This Row],[Put Gex]]*Table13345[[#This Row],[DeltaP]]*-1</f>
        <v>0</v>
      </c>
      <c r="AE830">
        <f ca="1">Table13345[[#This Row],[Call Gex]]*Table13345[[#This Row],[DeltaC]]</f>
        <v>0</v>
      </c>
      <c r="AF830">
        <f>IF(Table13345[[#This Row],[DeltaC]]-ABS(Table13345[[#This Row],[DeltaP]])="0","0.01",Table13345[[#This Row],[DeltaC]]-ABS(Table13345[[#This Row],[DeltaP]]))</f>
        <v>0</v>
      </c>
      <c r="AG83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0" t="e">
        <f ca="1">(EXP(-(AG830^2)/2)/SQRT(2*PI())*EXP(0*SQRT(Table13345[[#This Row],[T]]))/$A$4*18%*SQRT(SQRT(Table13345[[#This Row],[T]])))</f>
        <v>#DIV/0!</v>
      </c>
      <c r="AJ830" t="e">
        <f ca="1">(EXP(-(AH830^2)/2)/SQRT(2*PI())*EXP(0*SQRT(Table13345[[#This Row],[T]]))/$A$4*18%*SQRT(SQRT(Table13345[[#This Row],[T]])))</f>
        <v>#DIV/0!</v>
      </c>
      <c r="AK830" t="e">
        <f ca="1">Table13345[[#This Row],[Call D1]]-Table13345[[#This Row],[IV Calc C]]*SQRT(Table13345[[#This Row],[T]])</f>
        <v>#DIV/0!</v>
      </c>
      <c r="AL830" t="e">
        <f ca="1">Table13345[[#This Row],[Put D1]]-Table13345[[#This Row],[IV Calc P]]*SQRT(Table13345[[#This Row],[T]])</f>
        <v>#DIV/0!</v>
      </c>
      <c r="AM830" t="e">
        <f ca="1">EXP(-0.5*Table13345[[#This Row],[Call D1]]^2)/SQRT(2*PI())</f>
        <v>#DIV/0!</v>
      </c>
      <c r="AN830" t="e">
        <f ca="1">EXP(-0.5*Table13345[[#This Row],[Put D1]]^2)/SQRT(2*PI())</f>
        <v>#DIV/0!</v>
      </c>
      <c r="AO83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0">
        <f ca="1">((Table13345[[#This Row],[call vanna]]+Table13345[[#This Row],[put vanna]])*$A$4)</f>
        <v>0</v>
      </c>
      <c r="AR83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0" s="9" t="str" cm="1">
        <f t="array" ref="AT830">_xlfn.IFS(     $M$1="SPX","SPXW",     $M$1="RUT","RUTW",  $M$1="NDX","NDXP",   TRUE,$M$1 )</f>
        <v>SPXW</v>
      </c>
      <c r="AU830" s="2">
        <f t="shared" si="87"/>
        <v>6915</v>
      </c>
      <c r="AV830" t="str">
        <f t="shared" si="88"/>
        <v>000100</v>
      </c>
      <c r="AY83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0">
        <f>((Table13345[[#This Row],[High C]]+Table13345[[#This Row],[Low C]])/2)*Table13345[[#This Row],[gammac]]*Table13345[[#This Row],[Volume]]</f>
        <v>0</v>
      </c>
      <c r="BD830">
        <f>((Table13345[[#This Row],[High P]]+Table13345[[#This Row],[Low P]])/2)*Table13345[[#This Row],[gammap]]*Table13345[[#This Row],[Volume9]]*-1</f>
        <v>0</v>
      </c>
      <c r="BE830">
        <f>(Table13345[[#This Row],[SgammaC]]+Table13345[[#This Row],[SgammaP]])*$A$4*-100</f>
        <v>0</v>
      </c>
      <c r="BF830">
        <f>Table13345[[#This Row],[DEXc]]+Table13345[[#This Row],[DEXp]]</f>
        <v>0</v>
      </c>
      <c r="BG830">
        <f>IFERROR(Table13345[[#This Row],[DeltaC]]*Table13345[[#This Row],[Open.Int]]*$A$4,0)</f>
        <v>0</v>
      </c>
      <c r="BH830">
        <f>IFERROR(Table13345[[#This Row],[DeltaP]]*Table13345[[#This Row],[Open.Int8]]*$A$4,0)</f>
        <v>0</v>
      </c>
      <c r="BI83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0">
        <f ca="1">Table13345[[#This Row],[charmc]]+Table13345[[#This Row],[charmp]]</f>
        <v>0</v>
      </c>
      <c r="BL83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0" s="78">
        <f ca="1">Table13345[[#This Row],[call helper]]+Table13345[[#This Row],[put helper]]</f>
        <v>0</v>
      </c>
      <c r="BP830" t="str">
        <f>RTD("tos.rtd", , "STRIKE", "."&amp;Table13345[[#This Row],[Ticker]]&amp;Table13345[[#This Row],[Expiry]]&amp;""&amp;"C"&amp;Table13345[[#This Row],[Spot]]+Table13345[[#This Row],[step]])</f>
        <v>N/A</v>
      </c>
    </row>
    <row r="831" spans="1:69" x14ac:dyDescent="0.25">
      <c r="A831" s="14">
        <f t="shared" ca="1" si="84"/>
        <v>-126.14810350076104</v>
      </c>
      <c r="C831" s="17"/>
      <c r="D831" t="str">
        <f>RTD("tos.rtd", , "OPEN_INT", "."&amp;Table13345[[#This Row],[Ticker]]&amp;Table13345[[#This Row],[Expiry]]&amp;""&amp;"C"&amp;Table13345[[#This Row],[Spot]]+Table13345[[#This Row],[step]])</f>
        <v>N/A</v>
      </c>
      <c r="E83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1" t="b">
        <f>IF(     ISNUMBER(Table13345[[#This Row],[Strike]]),RTD("tos.rtd", , "DELTA", "."&amp;Table13345[[#This Row],[Ticker]]&amp;Table13345[[#This Row],[Expiry]]&amp;""&amp;"C"&amp;Table13345[[#This Row],[Strike]]))</f>
        <v>0</v>
      </c>
      <c r="H831" s="17" cm="1">
        <f t="array" aca="1" ref="H831" ca="1">IndividualLegIVCore($A$4, Table13345[[#This Row],[Strike]], 0.0411, Table13345[[#This Row],[T]], ((Table13345[[#This Row],[BIDC]]+Table13345[[#This Row],[ASKC]])/2), TRUE)</f>
        <v>0.01</v>
      </c>
      <c r="I831" t="b">
        <f>IF(     ISNUMBER(Table13345[[#This Row],[Strike]]),RTD("tos.rtd", , "BID", "."&amp;Table13345[[#This Row],[Ticker]]&amp;Table13345[[#This Row],[Expiry]]&amp;""&amp;"C"&amp;Table13345[[#This Row],[Strike]]))</f>
        <v>0</v>
      </c>
      <c r="J831" t="b">
        <f>IF(     ISNUMBER(Table13345[[#This Row],[Strike]]),RTD("tos.rtd", , "ASK", "."&amp;Table13345[[#This Row],[Ticker]]&amp;Table13345[[#This Row],[Expiry]]&amp;""&amp;"C"&amp;Table13345[[#This Row],[Strike]]))</f>
        <v>0</v>
      </c>
      <c r="K831" s="17"/>
      <c r="M831" s="1">
        <f t="shared" si="85"/>
        <v>0</v>
      </c>
      <c r="N831" t="b">
        <f t="shared" si="86"/>
        <v>0</v>
      </c>
      <c r="P831" s="17" cm="1">
        <f t="array" aca="1" ref="P831" ca="1">IndividualLegIVCore($A$4, Table13345[[#This Row],[Strike]], 0.0411, Table13345[[#This Row],[T]], ((Table13345[[#This Row],[BIDP]]+Table13345[[#This Row],[ASKP]])/2), FALSE)</f>
        <v>0.01</v>
      </c>
      <c r="Q831" t="b">
        <f>IF(     ISNUMBER(Table13345[[#This Row],[Strike]]),RTD("tos.rtd", , "BID", "."&amp;Table13345[[#This Row],[Ticker]]&amp;Table13345[[#This Row],[Expiry]]&amp;""&amp;"P"&amp;Table13345[[#This Row],[Strike]]))</f>
        <v>0</v>
      </c>
      <c r="R831" t="b">
        <f>IF(     ISNUMBER(Table13345[[#This Row],[Strike]]),RTD("tos.rtd", , "ASK", "."&amp;Table13345[[#This Row],[Ticker]]&amp;Table13345[[#This Row],[Expiry]]&amp;""&amp;"P"&amp;Table13345[[#This Row],[Strike]]))</f>
        <v>0</v>
      </c>
      <c r="S831" s="17"/>
      <c r="T831" t="b">
        <f>IF(     ISNUMBER(Table13345[[#This Row],[Strike]]),RTD("tos.rtd", , "OPEN_INT", "."&amp;Table13345[[#This Row],[Ticker]]&amp;Table13345[[#This Row],[Expiry]]&amp;""&amp;"P"&amp;Table13345[[#This Row],[Strike]]))</f>
        <v>0</v>
      </c>
      <c r="U83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1" t="b">
        <f>IF(     ISNUMBER(Table13345[[#This Row],[Strike]]),RTD("tos.rtd", , "DELTA", "."&amp;Table13345[[#This Row],[Ticker]]&amp;Table13345[[#This Row],[Expiry]]&amp;""&amp;"P"&amp;Table13345[[#This Row],[Strike]]))</f>
        <v>0</v>
      </c>
      <c r="Y831" s="19">
        <f>-45.5* IF($M$1="NDX", 10, IF(OR($M$1="SPX", $M$1="RUT"), 2, 1))</f>
        <v>-91</v>
      </c>
      <c r="Z831">
        <f ca="1">IFERROR(Table13345[[#This Row],[call gamma]]*(Table13345[[#This Row],[Open.Int]])*$A$4^2,0)</f>
        <v>0</v>
      </c>
      <c r="AA831">
        <f ca="1">IFERROR(((Table13345[[#This Row],[Open.Int8]])*Table13345[[#This Row],[Put gamma]])*-1*$A$4^2,0)</f>
        <v>0</v>
      </c>
      <c r="AB831">
        <f ca="1">(Table13345[[#This Row],[Call Gex]]+Table13345[[#This Row],[Put Gex]])</f>
        <v>0</v>
      </c>
      <c r="AC831">
        <f ca="1">Table13345[[#This Row],[put delta adj]]+Table13345[[#This Row],[call delta adj]]</f>
        <v>0</v>
      </c>
      <c r="AD831">
        <f ca="1">Table13345[[#This Row],[Put Gex]]*Table13345[[#This Row],[DeltaP]]*-1</f>
        <v>0</v>
      </c>
      <c r="AE831">
        <f ca="1">Table13345[[#This Row],[Call Gex]]*Table13345[[#This Row],[DeltaC]]</f>
        <v>0</v>
      </c>
      <c r="AF831">
        <f>IF(Table13345[[#This Row],[DeltaC]]-ABS(Table13345[[#This Row],[DeltaP]])="0","0.01",Table13345[[#This Row],[DeltaC]]-ABS(Table13345[[#This Row],[DeltaP]]))</f>
        <v>0</v>
      </c>
      <c r="AG83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1" t="e">
        <f ca="1">(EXP(-(AG831^2)/2)/SQRT(2*PI())*EXP(0*SQRT(Table13345[[#This Row],[T]]))/$A$4*18%*SQRT(SQRT(Table13345[[#This Row],[T]])))</f>
        <v>#DIV/0!</v>
      </c>
      <c r="AJ831" t="e">
        <f ca="1">(EXP(-(AH831^2)/2)/SQRT(2*PI())*EXP(0*SQRT(Table13345[[#This Row],[T]]))/$A$4*18%*SQRT(SQRT(Table13345[[#This Row],[T]])))</f>
        <v>#DIV/0!</v>
      </c>
      <c r="AK831" t="e">
        <f ca="1">Table13345[[#This Row],[Call D1]]-Table13345[[#This Row],[IV Calc C]]*SQRT(Table13345[[#This Row],[T]])</f>
        <v>#DIV/0!</v>
      </c>
      <c r="AL831" t="e">
        <f ca="1">Table13345[[#This Row],[Put D1]]-Table13345[[#This Row],[IV Calc P]]*SQRT(Table13345[[#This Row],[T]])</f>
        <v>#DIV/0!</v>
      </c>
      <c r="AM831" t="e">
        <f ca="1">EXP(-0.5*Table13345[[#This Row],[Call D1]]^2)/SQRT(2*PI())</f>
        <v>#DIV/0!</v>
      </c>
      <c r="AN831" t="e">
        <f ca="1">EXP(-0.5*Table13345[[#This Row],[Put D1]]^2)/SQRT(2*PI())</f>
        <v>#DIV/0!</v>
      </c>
      <c r="AO83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1">
        <f ca="1">((Table13345[[#This Row],[call vanna]]+Table13345[[#This Row],[put vanna]])*$A$4)</f>
        <v>0</v>
      </c>
      <c r="AR83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1" s="9" t="str" cm="1">
        <f t="array" ref="AT831">_xlfn.IFS(     $M$1="SPX","SPXW",     $M$1="RUT","RUTW",  $M$1="NDX","NDXP",   TRUE,$M$1 )</f>
        <v>SPXW</v>
      </c>
      <c r="AU831" s="2">
        <f t="shared" si="87"/>
        <v>6915</v>
      </c>
      <c r="AV831" t="str">
        <f t="shared" si="88"/>
        <v>000100</v>
      </c>
      <c r="AY83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1">
        <f>((Table13345[[#This Row],[High C]]+Table13345[[#This Row],[Low C]])/2)*Table13345[[#This Row],[gammac]]*Table13345[[#This Row],[Volume]]</f>
        <v>0</v>
      </c>
      <c r="BD831">
        <f>((Table13345[[#This Row],[High P]]+Table13345[[#This Row],[Low P]])/2)*Table13345[[#This Row],[gammap]]*Table13345[[#This Row],[Volume9]]*-1</f>
        <v>0</v>
      </c>
      <c r="BE831">
        <f>(Table13345[[#This Row],[SgammaC]]+Table13345[[#This Row],[SgammaP]])*$A$4*-100</f>
        <v>0</v>
      </c>
      <c r="BF831">
        <f>Table13345[[#This Row],[DEXc]]+Table13345[[#This Row],[DEXp]]</f>
        <v>0</v>
      </c>
      <c r="BG831">
        <f>IFERROR(Table13345[[#This Row],[DeltaC]]*Table13345[[#This Row],[Open.Int]]*$A$4,0)</f>
        <v>0</v>
      </c>
      <c r="BH831">
        <f>IFERROR(Table13345[[#This Row],[DeltaP]]*Table13345[[#This Row],[Open.Int8]]*$A$4,0)</f>
        <v>0</v>
      </c>
      <c r="BI83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1">
        <f ca="1">Table13345[[#This Row],[charmc]]+Table13345[[#This Row],[charmp]]</f>
        <v>0</v>
      </c>
      <c r="BL83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1" s="78">
        <f ca="1">Table13345[[#This Row],[call helper]]+Table13345[[#This Row],[put helper]]</f>
        <v>0</v>
      </c>
      <c r="BP831" t="str">
        <f>RTD("tos.rtd", , "STRIKE", "."&amp;Table13345[[#This Row],[Ticker]]&amp;Table13345[[#This Row],[Expiry]]&amp;""&amp;"C"&amp;Table13345[[#This Row],[Spot]]+Table13345[[#This Row],[step]])</f>
        <v>N/A</v>
      </c>
    </row>
    <row r="832" spans="1:69" x14ac:dyDescent="0.25">
      <c r="A832" s="14">
        <f t="shared" ca="1" si="84"/>
        <v>-126.14810350076104</v>
      </c>
      <c r="C832" s="17"/>
      <c r="D832" t="str">
        <f>RTD("tos.rtd", , "OPEN_INT", "."&amp;Table13345[[#This Row],[Ticker]]&amp;Table13345[[#This Row],[Expiry]]&amp;""&amp;"C"&amp;Table13345[[#This Row],[Spot]]+Table13345[[#This Row],[step]])</f>
        <v>N/A</v>
      </c>
      <c r="E83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2" t="b">
        <f>IF(     ISNUMBER(Table13345[[#This Row],[Strike]]),RTD("tos.rtd", , "DELTA", "."&amp;Table13345[[#This Row],[Ticker]]&amp;Table13345[[#This Row],[Expiry]]&amp;""&amp;"C"&amp;Table13345[[#This Row],[Strike]]))</f>
        <v>0</v>
      </c>
      <c r="H832" s="17" cm="1">
        <f t="array" aca="1" ref="H832" ca="1">IndividualLegIVCore($A$4, Table13345[[#This Row],[Strike]], 0.0411, Table13345[[#This Row],[T]], ((Table13345[[#This Row],[BIDC]]+Table13345[[#This Row],[ASKC]])/2), TRUE)</f>
        <v>0.01</v>
      </c>
      <c r="I832" t="b">
        <f>IF(     ISNUMBER(Table13345[[#This Row],[Strike]]),RTD("tos.rtd", , "BID", "."&amp;Table13345[[#This Row],[Ticker]]&amp;Table13345[[#This Row],[Expiry]]&amp;""&amp;"C"&amp;Table13345[[#This Row],[Strike]]))</f>
        <v>0</v>
      </c>
      <c r="J832" t="b">
        <f>IF(     ISNUMBER(Table13345[[#This Row],[Strike]]),RTD("tos.rtd", , "ASK", "."&amp;Table13345[[#This Row],[Ticker]]&amp;Table13345[[#This Row],[Expiry]]&amp;""&amp;"C"&amp;Table13345[[#This Row],[Strike]]))</f>
        <v>0</v>
      </c>
      <c r="K832" s="17"/>
      <c r="M832" s="1">
        <f t="shared" si="85"/>
        <v>0</v>
      </c>
      <c r="N832" t="b">
        <f t="shared" si="86"/>
        <v>0</v>
      </c>
      <c r="P832" s="17" cm="1">
        <f t="array" aca="1" ref="P832" ca="1">IndividualLegIVCore($A$4, Table13345[[#This Row],[Strike]], 0.0411, Table13345[[#This Row],[T]], ((Table13345[[#This Row],[BIDP]]+Table13345[[#This Row],[ASKP]])/2), FALSE)</f>
        <v>0.01</v>
      </c>
      <c r="Q832" t="b">
        <f>IF(     ISNUMBER(Table13345[[#This Row],[Strike]]),RTD("tos.rtd", , "BID", "."&amp;Table13345[[#This Row],[Ticker]]&amp;Table13345[[#This Row],[Expiry]]&amp;""&amp;"P"&amp;Table13345[[#This Row],[Strike]]))</f>
        <v>0</v>
      </c>
      <c r="R832" t="b">
        <f>IF(     ISNUMBER(Table13345[[#This Row],[Strike]]),RTD("tos.rtd", , "ASK", "."&amp;Table13345[[#This Row],[Ticker]]&amp;Table13345[[#This Row],[Expiry]]&amp;""&amp;"P"&amp;Table13345[[#This Row],[Strike]]))</f>
        <v>0</v>
      </c>
      <c r="S832" s="17"/>
      <c r="T832" t="b">
        <f>IF(     ISNUMBER(Table13345[[#This Row],[Strike]]),RTD("tos.rtd", , "OPEN_INT", "."&amp;Table13345[[#This Row],[Ticker]]&amp;Table13345[[#This Row],[Expiry]]&amp;""&amp;"P"&amp;Table13345[[#This Row],[Strike]]))</f>
        <v>0</v>
      </c>
      <c r="U83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2" t="b">
        <f>IF(     ISNUMBER(Table13345[[#This Row],[Strike]]),RTD("tos.rtd", , "DELTA", "."&amp;Table13345[[#This Row],[Ticker]]&amp;Table13345[[#This Row],[Expiry]]&amp;""&amp;"P"&amp;Table13345[[#This Row],[Strike]]))</f>
        <v>0</v>
      </c>
      <c r="Y832" s="19">
        <f>-45* IF($M$1="NDX", 10, IF(OR($M$1="SPX", $M$1="RUT"), 2, 1))</f>
        <v>-90</v>
      </c>
      <c r="Z832">
        <f ca="1">IFERROR(Table13345[[#This Row],[call gamma]]*(Table13345[[#This Row],[Open.Int]])*$A$4^2,0)</f>
        <v>0</v>
      </c>
      <c r="AA832">
        <f ca="1">IFERROR(((Table13345[[#This Row],[Open.Int8]])*Table13345[[#This Row],[Put gamma]])*-1*$A$4^2,0)</f>
        <v>0</v>
      </c>
      <c r="AB832">
        <f ca="1">(Table13345[[#This Row],[Call Gex]]+Table13345[[#This Row],[Put Gex]])</f>
        <v>0</v>
      </c>
      <c r="AC832">
        <f ca="1">Table13345[[#This Row],[put delta adj]]+Table13345[[#This Row],[call delta adj]]</f>
        <v>0</v>
      </c>
      <c r="AD832">
        <f ca="1">Table13345[[#This Row],[Put Gex]]*Table13345[[#This Row],[DeltaP]]*-1</f>
        <v>0</v>
      </c>
      <c r="AE832">
        <f ca="1">Table13345[[#This Row],[Call Gex]]*Table13345[[#This Row],[DeltaC]]</f>
        <v>0</v>
      </c>
      <c r="AF832">
        <f>IF(Table13345[[#This Row],[DeltaC]]-ABS(Table13345[[#This Row],[DeltaP]])="0","0.01",Table13345[[#This Row],[DeltaC]]-ABS(Table13345[[#This Row],[DeltaP]]))</f>
        <v>0</v>
      </c>
      <c r="AG83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2" t="e">
        <f ca="1">(EXP(-(AG832^2)/2)/SQRT(2*PI())*EXP(0*SQRT(Table13345[[#This Row],[T]]))/$A$4*18%*SQRT(SQRT(Table13345[[#This Row],[T]])))</f>
        <v>#DIV/0!</v>
      </c>
      <c r="AJ832" t="e">
        <f ca="1">(EXP(-(AH832^2)/2)/SQRT(2*PI())*EXP(0*SQRT(Table13345[[#This Row],[T]]))/$A$4*18%*SQRT(SQRT(Table13345[[#This Row],[T]])))</f>
        <v>#DIV/0!</v>
      </c>
      <c r="AK832" t="e">
        <f ca="1">Table13345[[#This Row],[Call D1]]-Table13345[[#This Row],[IV Calc C]]*SQRT(Table13345[[#This Row],[T]])</f>
        <v>#DIV/0!</v>
      </c>
      <c r="AL832" t="e">
        <f ca="1">Table13345[[#This Row],[Put D1]]-Table13345[[#This Row],[IV Calc P]]*SQRT(Table13345[[#This Row],[T]])</f>
        <v>#DIV/0!</v>
      </c>
      <c r="AM832" t="e">
        <f ca="1">EXP(-0.5*Table13345[[#This Row],[Call D1]]^2)/SQRT(2*PI())</f>
        <v>#DIV/0!</v>
      </c>
      <c r="AN832" t="e">
        <f ca="1">EXP(-0.5*Table13345[[#This Row],[Put D1]]^2)/SQRT(2*PI())</f>
        <v>#DIV/0!</v>
      </c>
      <c r="AO83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2">
        <f ca="1">((Table13345[[#This Row],[call vanna]]+Table13345[[#This Row],[put vanna]])*$A$4)</f>
        <v>0</v>
      </c>
      <c r="AR83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2" s="9" t="str" cm="1">
        <f t="array" ref="AT832">_xlfn.IFS(     $M$1="SPX","SPXW",     $M$1="RUT","RUTW",  $M$1="NDX","NDXP",   TRUE,$M$1 )</f>
        <v>SPXW</v>
      </c>
      <c r="AU832" s="2">
        <f t="shared" si="87"/>
        <v>6915</v>
      </c>
      <c r="AV832" t="str">
        <f t="shared" si="88"/>
        <v>000100</v>
      </c>
      <c r="AY83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2">
        <f>((Table13345[[#This Row],[High C]]+Table13345[[#This Row],[Low C]])/2)*Table13345[[#This Row],[gammac]]*Table13345[[#This Row],[Volume]]</f>
        <v>0</v>
      </c>
      <c r="BD832">
        <f>((Table13345[[#This Row],[High P]]+Table13345[[#This Row],[Low P]])/2)*Table13345[[#This Row],[gammap]]*Table13345[[#This Row],[Volume9]]*-1</f>
        <v>0</v>
      </c>
      <c r="BE832">
        <f>(Table13345[[#This Row],[SgammaC]]+Table13345[[#This Row],[SgammaP]])*$A$4*-100</f>
        <v>0</v>
      </c>
      <c r="BF832">
        <f>Table13345[[#This Row],[DEXc]]+Table13345[[#This Row],[DEXp]]</f>
        <v>0</v>
      </c>
      <c r="BG832">
        <f>IFERROR(Table13345[[#This Row],[DeltaC]]*Table13345[[#This Row],[Open.Int]]*$A$4,0)</f>
        <v>0</v>
      </c>
      <c r="BH832">
        <f>IFERROR(Table13345[[#This Row],[DeltaP]]*Table13345[[#This Row],[Open.Int8]]*$A$4,0)</f>
        <v>0</v>
      </c>
      <c r="BI83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2">
        <f ca="1">Table13345[[#This Row],[charmc]]+Table13345[[#This Row],[charmp]]</f>
        <v>0</v>
      </c>
      <c r="BL83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2" s="78">
        <f ca="1">Table13345[[#This Row],[call helper]]+Table13345[[#This Row],[put helper]]</f>
        <v>0</v>
      </c>
      <c r="BP832" t="str">
        <f>RTD("tos.rtd", , "STRIKE", "."&amp;Table13345[[#This Row],[Ticker]]&amp;Table13345[[#This Row],[Expiry]]&amp;""&amp;"C"&amp;Table13345[[#This Row],[Spot]]+Table13345[[#This Row],[step]])</f>
        <v>N/A</v>
      </c>
    </row>
    <row r="833" spans="1:68" x14ac:dyDescent="0.25">
      <c r="A833" s="14">
        <f t="shared" ca="1" si="84"/>
        <v>-126.14810350076104</v>
      </c>
      <c r="C833" s="17"/>
      <c r="D833" t="str">
        <f>RTD("tos.rtd", , "OPEN_INT", "."&amp;Table13345[[#This Row],[Ticker]]&amp;Table13345[[#This Row],[Expiry]]&amp;""&amp;"C"&amp;Table13345[[#This Row],[Spot]]+Table13345[[#This Row],[step]])</f>
        <v>N/A</v>
      </c>
      <c r="E83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3" t="b">
        <f>IF(     ISNUMBER(Table13345[[#This Row],[Strike]]),RTD("tos.rtd", , "DELTA", "."&amp;Table13345[[#This Row],[Ticker]]&amp;Table13345[[#This Row],[Expiry]]&amp;""&amp;"C"&amp;Table13345[[#This Row],[Strike]]))</f>
        <v>0</v>
      </c>
      <c r="H833" s="17" cm="1">
        <f t="array" aca="1" ref="H833" ca="1">IndividualLegIVCore($A$4, Table13345[[#This Row],[Strike]], 0.0411, Table13345[[#This Row],[T]], ((Table13345[[#This Row],[BIDC]]+Table13345[[#This Row],[ASKC]])/2), TRUE)</f>
        <v>0.01</v>
      </c>
      <c r="I833" t="b">
        <f>IF(     ISNUMBER(Table13345[[#This Row],[Strike]]),RTD("tos.rtd", , "BID", "."&amp;Table13345[[#This Row],[Ticker]]&amp;Table13345[[#This Row],[Expiry]]&amp;""&amp;"C"&amp;Table13345[[#This Row],[Strike]]))</f>
        <v>0</v>
      </c>
      <c r="J833" t="b">
        <f>IF(     ISNUMBER(Table13345[[#This Row],[Strike]]),RTD("tos.rtd", , "ASK", "."&amp;Table13345[[#This Row],[Ticker]]&amp;Table13345[[#This Row],[Expiry]]&amp;""&amp;"C"&amp;Table13345[[#This Row],[Strike]]))</f>
        <v>0</v>
      </c>
      <c r="K833" s="17"/>
      <c r="M833" s="1">
        <f t="shared" si="85"/>
        <v>0</v>
      </c>
      <c r="N833" t="b">
        <f t="shared" si="86"/>
        <v>0</v>
      </c>
      <c r="P833" s="17" cm="1">
        <f t="array" aca="1" ref="P833" ca="1">IndividualLegIVCore($A$4, Table13345[[#This Row],[Strike]], 0.0411, Table13345[[#This Row],[T]], ((Table13345[[#This Row],[BIDP]]+Table13345[[#This Row],[ASKP]])/2), FALSE)</f>
        <v>0.01</v>
      </c>
      <c r="Q833" t="b">
        <f>IF(     ISNUMBER(Table13345[[#This Row],[Strike]]),RTD("tos.rtd", , "BID", "."&amp;Table13345[[#This Row],[Ticker]]&amp;Table13345[[#This Row],[Expiry]]&amp;""&amp;"P"&amp;Table13345[[#This Row],[Strike]]))</f>
        <v>0</v>
      </c>
      <c r="R833" t="b">
        <f>IF(     ISNUMBER(Table13345[[#This Row],[Strike]]),RTD("tos.rtd", , "ASK", "."&amp;Table13345[[#This Row],[Ticker]]&amp;Table13345[[#This Row],[Expiry]]&amp;""&amp;"P"&amp;Table13345[[#This Row],[Strike]]))</f>
        <v>0</v>
      </c>
      <c r="S833" s="17"/>
      <c r="T833" t="b">
        <f>IF(     ISNUMBER(Table13345[[#This Row],[Strike]]),RTD("tos.rtd", , "OPEN_INT", "."&amp;Table13345[[#This Row],[Ticker]]&amp;Table13345[[#This Row],[Expiry]]&amp;""&amp;"P"&amp;Table13345[[#This Row],[Strike]]))</f>
        <v>0</v>
      </c>
      <c r="U83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3" t="b">
        <f>IF(     ISNUMBER(Table13345[[#This Row],[Strike]]),RTD("tos.rtd", , "DELTA", "."&amp;Table13345[[#This Row],[Ticker]]&amp;Table13345[[#This Row],[Expiry]]&amp;""&amp;"P"&amp;Table13345[[#This Row],[Strike]]))</f>
        <v>0</v>
      </c>
      <c r="Y833" s="19">
        <f>-44.5* IF($M$1="NDX", 10, IF(OR($M$1="SPX", $M$1="RUT"), 2, 1))</f>
        <v>-89</v>
      </c>
      <c r="Z833">
        <f ca="1">IFERROR(Table13345[[#This Row],[call gamma]]*(Table13345[[#This Row],[Open.Int]])*$A$4^2,0)</f>
        <v>0</v>
      </c>
      <c r="AA833">
        <f ca="1">IFERROR(((Table13345[[#This Row],[Open.Int8]])*Table13345[[#This Row],[Put gamma]])*-1*$A$4^2,0)</f>
        <v>0</v>
      </c>
      <c r="AB833">
        <f ca="1">(Table13345[[#This Row],[Call Gex]]+Table13345[[#This Row],[Put Gex]])</f>
        <v>0</v>
      </c>
      <c r="AC833">
        <f ca="1">Table13345[[#This Row],[put delta adj]]+Table13345[[#This Row],[call delta adj]]</f>
        <v>0</v>
      </c>
      <c r="AD833">
        <f ca="1">Table13345[[#This Row],[Put Gex]]*Table13345[[#This Row],[DeltaP]]*-1</f>
        <v>0</v>
      </c>
      <c r="AE833">
        <f ca="1">Table13345[[#This Row],[Call Gex]]*Table13345[[#This Row],[DeltaC]]</f>
        <v>0</v>
      </c>
      <c r="AF833">
        <f>IF(Table13345[[#This Row],[DeltaC]]-ABS(Table13345[[#This Row],[DeltaP]])="0","0.01",Table13345[[#This Row],[DeltaC]]-ABS(Table13345[[#This Row],[DeltaP]]))</f>
        <v>0</v>
      </c>
      <c r="AG83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3" t="e">
        <f ca="1">(EXP(-(AG833^2)/2)/SQRT(2*PI())*EXP(0*SQRT(Table13345[[#This Row],[T]]))/$A$4*18%*SQRT(SQRT(Table13345[[#This Row],[T]])))</f>
        <v>#DIV/0!</v>
      </c>
      <c r="AJ833" t="e">
        <f ca="1">(EXP(-(AH833^2)/2)/SQRT(2*PI())*EXP(0*SQRT(Table13345[[#This Row],[T]]))/$A$4*18%*SQRT(SQRT(Table13345[[#This Row],[T]])))</f>
        <v>#DIV/0!</v>
      </c>
      <c r="AK833" t="e">
        <f ca="1">Table13345[[#This Row],[Call D1]]-Table13345[[#This Row],[IV Calc C]]*SQRT(Table13345[[#This Row],[T]])</f>
        <v>#DIV/0!</v>
      </c>
      <c r="AL833" t="e">
        <f ca="1">Table13345[[#This Row],[Put D1]]-Table13345[[#This Row],[IV Calc P]]*SQRT(Table13345[[#This Row],[T]])</f>
        <v>#DIV/0!</v>
      </c>
      <c r="AM833" t="e">
        <f ca="1">EXP(-0.5*Table13345[[#This Row],[Call D1]]^2)/SQRT(2*PI())</f>
        <v>#DIV/0!</v>
      </c>
      <c r="AN833" t="e">
        <f ca="1">EXP(-0.5*Table13345[[#This Row],[Put D1]]^2)/SQRT(2*PI())</f>
        <v>#DIV/0!</v>
      </c>
      <c r="AO83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3">
        <f ca="1">((Table13345[[#This Row],[call vanna]]+Table13345[[#This Row],[put vanna]])*$A$4)</f>
        <v>0</v>
      </c>
      <c r="AR83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3" s="9" t="str" cm="1">
        <f t="array" ref="AT833">_xlfn.IFS(     $M$1="SPX","SPXW",     $M$1="RUT","RUTW",  $M$1="NDX","NDXP",   TRUE,$M$1 )</f>
        <v>SPXW</v>
      </c>
      <c r="AU833" s="2">
        <f t="shared" si="87"/>
        <v>6915</v>
      </c>
      <c r="AV833" t="str">
        <f t="shared" si="88"/>
        <v>000100</v>
      </c>
      <c r="AY83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3">
        <f>((Table13345[[#This Row],[High C]]+Table13345[[#This Row],[Low C]])/2)*Table13345[[#This Row],[gammac]]*Table13345[[#This Row],[Volume]]</f>
        <v>0</v>
      </c>
      <c r="BD833">
        <f>((Table13345[[#This Row],[High P]]+Table13345[[#This Row],[Low P]])/2)*Table13345[[#This Row],[gammap]]*Table13345[[#This Row],[Volume9]]*-1</f>
        <v>0</v>
      </c>
      <c r="BE833">
        <f>(Table13345[[#This Row],[SgammaC]]+Table13345[[#This Row],[SgammaP]])*$A$4*-100</f>
        <v>0</v>
      </c>
      <c r="BF833">
        <f>Table13345[[#This Row],[DEXc]]+Table13345[[#This Row],[DEXp]]</f>
        <v>0</v>
      </c>
      <c r="BG833">
        <f>IFERROR(Table13345[[#This Row],[DeltaC]]*Table13345[[#This Row],[Open.Int]]*$A$4,0)</f>
        <v>0</v>
      </c>
      <c r="BH833">
        <f>IFERROR(Table13345[[#This Row],[DeltaP]]*Table13345[[#This Row],[Open.Int8]]*$A$4,0)</f>
        <v>0</v>
      </c>
      <c r="BI83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3">
        <f ca="1">Table13345[[#This Row],[charmc]]+Table13345[[#This Row],[charmp]]</f>
        <v>0</v>
      </c>
      <c r="BL83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3" s="78">
        <f ca="1">Table13345[[#This Row],[call helper]]+Table13345[[#This Row],[put helper]]</f>
        <v>0</v>
      </c>
      <c r="BP833" t="str">
        <f>RTD("tos.rtd", , "STRIKE", "."&amp;Table13345[[#This Row],[Ticker]]&amp;Table13345[[#This Row],[Expiry]]&amp;""&amp;"C"&amp;Table13345[[#This Row],[Spot]]+Table13345[[#This Row],[step]])</f>
        <v>N/A</v>
      </c>
    </row>
    <row r="834" spans="1:68" x14ac:dyDescent="0.25">
      <c r="A834" s="14">
        <f t="shared" ca="1" si="84"/>
        <v>-126.14810350076104</v>
      </c>
      <c r="C834" s="17"/>
      <c r="D834" t="str">
        <f>RTD("tos.rtd", , "OPEN_INT", "."&amp;Table13345[[#This Row],[Ticker]]&amp;Table13345[[#This Row],[Expiry]]&amp;""&amp;"C"&amp;Table13345[[#This Row],[Spot]]+Table13345[[#This Row],[step]])</f>
        <v>N/A</v>
      </c>
      <c r="E83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4" t="b">
        <f>IF(     ISNUMBER(Table13345[[#This Row],[Strike]]),RTD("tos.rtd", , "DELTA", "."&amp;Table13345[[#This Row],[Ticker]]&amp;Table13345[[#This Row],[Expiry]]&amp;""&amp;"C"&amp;Table13345[[#This Row],[Strike]]))</f>
        <v>0</v>
      </c>
      <c r="H834" s="17" cm="1">
        <f t="array" aca="1" ref="H834" ca="1">IndividualLegIVCore($A$4, Table13345[[#This Row],[Strike]], 0.0411, Table13345[[#This Row],[T]], ((Table13345[[#This Row],[BIDC]]+Table13345[[#This Row],[ASKC]])/2), TRUE)</f>
        <v>0.01</v>
      </c>
      <c r="I834" t="b">
        <f>IF(     ISNUMBER(Table13345[[#This Row],[Strike]]),RTD("tos.rtd", , "BID", "."&amp;Table13345[[#This Row],[Ticker]]&amp;Table13345[[#This Row],[Expiry]]&amp;""&amp;"C"&amp;Table13345[[#This Row],[Strike]]))</f>
        <v>0</v>
      </c>
      <c r="J834" t="b">
        <f>IF(     ISNUMBER(Table13345[[#This Row],[Strike]]),RTD("tos.rtd", , "ASK", "."&amp;Table13345[[#This Row],[Ticker]]&amp;Table13345[[#This Row],[Expiry]]&amp;""&amp;"C"&amp;Table13345[[#This Row],[Strike]]))</f>
        <v>0</v>
      </c>
      <c r="K834" s="17"/>
      <c r="M834" s="1">
        <f t="shared" si="85"/>
        <v>0</v>
      </c>
      <c r="N834" t="b">
        <f t="shared" si="86"/>
        <v>0</v>
      </c>
      <c r="P834" s="17" cm="1">
        <f t="array" aca="1" ref="P834" ca="1">IndividualLegIVCore($A$4, Table13345[[#This Row],[Strike]], 0.0411, Table13345[[#This Row],[T]], ((Table13345[[#This Row],[BIDP]]+Table13345[[#This Row],[ASKP]])/2), FALSE)</f>
        <v>0.01</v>
      </c>
      <c r="Q834" t="b">
        <f>IF(     ISNUMBER(Table13345[[#This Row],[Strike]]),RTD("tos.rtd", , "BID", "."&amp;Table13345[[#This Row],[Ticker]]&amp;Table13345[[#This Row],[Expiry]]&amp;""&amp;"P"&amp;Table13345[[#This Row],[Strike]]))</f>
        <v>0</v>
      </c>
      <c r="R834" t="b">
        <f>IF(     ISNUMBER(Table13345[[#This Row],[Strike]]),RTD("tos.rtd", , "ASK", "."&amp;Table13345[[#This Row],[Ticker]]&amp;Table13345[[#This Row],[Expiry]]&amp;""&amp;"P"&amp;Table13345[[#This Row],[Strike]]))</f>
        <v>0</v>
      </c>
      <c r="S834" s="17"/>
      <c r="T834" t="b">
        <f>IF(     ISNUMBER(Table13345[[#This Row],[Strike]]),RTD("tos.rtd", , "OPEN_INT", "."&amp;Table13345[[#This Row],[Ticker]]&amp;Table13345[[#This Row],[Expiry]]&amp;""&amp;"P"&amp;Table13345[[#This Row],[Strike]]))</f>
        <v>0</v>
      </c>
      <c r="U83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4" t="b">
        <f>IF(     ISNUMBER(Table13345[[#This Row],[Strike]]),RTD("tos.rtd", , "DELTA", "."&amp;Table13345[[#This Row],[Ticker]]&amp;Table13345[[#This Row],[Expiry]]&amp;""&amp;"P"&amp;Table13345[[#This Row],[Strike]]))</f>
        <v>0</v>
      </c>
      <c r="Y834" s="19">
        <f>-44* IF($M$1="NDX", 10, IF(OR($M$1="SPX", $M$1="RUT"), 2, 1))</f>
        <v>-88</v>
      </c>
      <c r="Z834">
        <f ca="1">IFERROR(Table13345[[#This Row],[call gamma]]*(Table13345[[#This Row],[Open.Int]])*$A$4^2,0)</f>
        <v>0</v>
      </c>
      <c r="AA834">
        <f ca="1">IFERROR(((Table13345[[#This Row],[Open.Int8]])*Table13345[[#This Row],[Put gamma]])*-1*$A$4^2,0)</f>
        <v>0</v>
      </c>
      <c r="AB834">
        <f ca="1">(Table13345[[#This Row],[Call Gex]]+Table13345[[#This Row],[Put Gex]])</f>
        <v>0</v>
      </c>
      <c r="AC834">
        <f ca="1">Table13345[[#This Row],[put delta adj]]+Table13345[[#This Row],[call delta adj]]</f>
        <v>0</v>
      </c>
      <c r="AD834">
        <f ca="1">Table13345[[#This Row],[Put Gex]]*Table13345[[#This Row],[DeltaP]]*-1</f>
        <v>0</v>
      </c>
      <c r="AE834">
        <f ca="1">Table13345[[#This Row],[Call Gex]]*Table13345[[#This Row],[DeltaC]]</f>
        <v>0</v>
      </c>
      <c r="AF834">
        <f>IF(Table13345[[#This Row],[DeltaC]]-ABS(Table13345[[#This Row],[DeltaP]])="0","0.01",Table13345[[#This Row],[DeltaC]]-ABS(Table13345[[#This Row],[DeltaP]]))</f>
        <v>0</v>
      </c>
      <c r="AG83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4" t="e">
        <f ca="1">(EXP(-(AG834^2)/2)/SQRT(2*PI())*EXP(0*SQRT(Table13345[[#This Row],[T]]))/$A$4*18%*SQRT(SQRT(Table13345[[#This Row],[T]])))</f>
        <v>#DIV/0!</v>
      </c>
      <c r="AJ834" t="e">
        <f ca="1">(EXP(-(AH834^2)/2)/SQRT(2*PI())*EXP(0*SQRT(Table13345[[#This Row],[T]]))/$A$4*18%*SQRT(SQRT(Table13345[[#This Row],[T]])))</f>
        <v>#DIV/0!</v>
      </c>
      <c r="AK834" t="e">
        <f ca="1">Table13345[[#This Row],[Call D1]]-Table13345[[#This Row],[IV Calc C]]*SQRT(Table13345[[#This Row],[T]])</f>
        <v>#DIV/0!</v>
      </c>
      <c r="AL834" t="e">
        <f ca="1">Table13345[[#This Row],[Put D1]]-Table13345[[#This Row],[IV Calc P]]*SQRT(Table13345[[#This Row],[T]])</f>
        <v>#DIV/0!</v>
      </c>
      <c r="AM834" t="e">
        <f ca="1">EXP(-0.5*Table13345[[#This Row],[Call D1]]^2)/SQRT(2*PI())</f>
        <v>#DIV/0!</v>
      </c>
      <c r="AN834" t="e">
        <f ca="1">EXP(-0.5*Table13345[[#This Row],[Put D1]]^2)/SQRT(2*PI())</f>
        <v>#DIV/0!</v>
      </c>
      <c r="AO83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4">
        <f ca="1">((Table13345[[#This Row],[call vanna]]+Table13345[[#This Row],[put vanna]])*$A$4)</f>
        <v>0</v>
      </c>
      <c r="AR83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4" s="9" t="str" cm="1">
        <f t="array" ref="AT834">_xlfn.IFS(     $M$1="SPX","SPXW",     $M$1="RUT","RUTW",  $M$1="NDX","NDXP",   TRUE,$M$1 )</f>
        <v>SPXW</v>
      </c>
      <c r="AU834" s="2">
        <f t="shared" si="87"/>
        <v>6915</v>
      </c>
      <c r="AV834" t="str">
        <f t="shared" si="88"/>
        <v>000100</v>
      </c>
      <c r="AY83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4">
        <f>((Table13345[[#This Row],[High C]]+Table13345[[#This Row],[Low C]])/2)*Table13345[[#This Row],[gammac]]*Table13345[[#This Row],[Volume]]</f>
        <v>0</v>
      </c>
      <c r="BD834">
        <f>((Table13345[[#This Row],[High P]]+Table13345[[#This Row],[Low P]])/2)*Table13345[[#This Row],[gammap]]*Table13345[[#This Row],[Volume9]]*-1</f>
        <v>0</v>
      </c>
      <c r="BE834">
        <f>(Table13345[[#This Row],[SgammaC]]+Table13345[[#This Row],[SgammaP]])*$A$4*-100</f>
        <v>0</v>
      </c>
      <c r="BF834">
        <f>Table13345[[#This Row],[DEXc]]+Table13345[[#This Row],[DEXp]]</f>
        <v>0</v>
      </c>
      <c r="BG834">
        <f>IFERROR(Table13345[[#This Row],[DeltaC]]*Table13345[[#This Row],[Open.Int]]*$A$4,0)</f>
        <v>0</v>
      </c>
      <c r="BH834">
        <f>IFERROR(Table13345[[#This Row],[DeltaP]]*Table13345[[#This Row],[Open.Int8]]*$A$4,0)</f>
        <v>0</v>
      </c>
      <c r="BI83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4">
        <f ca="1">Table13345[[#This Row],[charmc]]+Table13345[[#This Row],[charmp]]</f>
        <v>0</v>
      </c>
      <c r="BL83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4" s="78">
        <f ca="1">Table13345[[#This Row],[call helper]]+Table13345[[#This Row],[put helper]]</f>
        <v>0</v>
      </c>
      <c r="BP834" t="str">
        <f>RTD("tos.rtd", , "STRIKE", "."&amp;Table13345[[#This Row],[Ticker]]&amp;Table13345[[#This Row],[Expiry]]&amp;""&amp;"C"&amp;Table13345[[#This Row],[Spot]]+Table13345[[#This Row],[step]])</f>
        <v>N/A</v>
      </c>
    </row>
    <row r="835" spans="1:68" x14ac:dyDescent="0.25">
      <c r="A835" s="14">
        <f t="shared" ca="1" si="84"/>
        <v>-126.14810350076104</v>
      </c>
      <c r="C835" s="17"/>
      <c r="D835" t="str">
        <f>RTD("tos.rtd", , "OPEN_INT", "."&amp;Table13345[[#This Row],[Ticker]]&amp;Table13345[[#This Row],[Expiry]]&amp;""&amp;"C"&amp;Table13345[[#This Row],[Spot]]+Table13345[[#This Row],[step]])</f>
        <v>N/A</v>
      </c>
      <c r="E83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5" t="b">
        <f>IF(     ISNUMBER(Table13345[[#This Row],[Strike]]),RTD("tos.rtd", , "DELTA", "."&amp;Table13345[[#This Row],[Ticker]]&amp;Table13345[[#This Row],[Expiry]]&amp;""&amp;"C"&amp;Table13345[[#This Row],[Strike]]))</f>
        <v>0</v>
      </c>
      <c r="H835" s="17" cm="1">
        <f t="array" aca="1" ref="H835" ca="1">IndividualLegIVCore($A$4, Table13345[[#This Row],[Strike]], 0.0411, Table13345[[#This Row],[T]], ((Table13345[[#This Row],[BIDC]]+Table13345[[#This Row],[ASKC]])/2), TRUE)</f>
        <v>0.01</v>
      </c>
      <c r="I835" t="b">
        <f>IF(     ISNUMBER(Table13345[[#This Row],[Strike]]),RTD("tos.rtd", , "BID", "."&amp;Table13345[[#This Row],[Ticker]]&amp;Table13345[[#This Row],[Expiry]]&amp;""&amp;"C"&amp;Table13345[[#This Row],[Strike]]))</f>
        <v>0</v>
      </c>
      <c r="J835" t="b">
        <f>IF(     ISNUMBER(Table13345[[#This Row],[Strike]]),RTD("tos.rtd", , "ASK", "."&amp;Table13345[[#This Row],[Ticker]]&amp;Table13345[[#This Row],[Expiry]]&amp;""&amp;"C"&amp;Table13345[[#This Row],[Strike]]))</f>
        <v>0</v>
      </c>
      <c r="K835" s="17"/>
      <c r="M835" s="1">
        <f t="shared" si="85"/>
        <v>0</v>
      </c>
      <c r="N835" t="b">
        <f t="shared" si="86"/>
        <v>0</v>
      </c>
      <c r="P835" s="17" cm="1">
        <f t="array" aca="1" ref="P835" ca="1">IndividualLegIVCore($A$4, Table13345[[#This Row],[Strike]], 0.0411, Table13345[[#This Row],[T]], ((Table13345[[#This Row],[BIDP]]+Table13345[[#This Row],[ASKP]])/2), FALSE)</f>
        <v>0.01</v>
      </c>
      <c r="Q835" t="b">
        <f>IF(     ISNUMBER(Table13345[[#This Row],[Strike]]),RTD("tos.rtd", , "BID", "."&amp;Table13345[[#This Row],[Ticker]]&amp;Table13345[[#This Row],[Expiry]]&amp;""&amp;"P"&amp;Table13345[[#This Row],[Strike]]))</f>
        <v>0</v>
      </c>
      <c r="R835" t="b">
        <f>IF(     ISNUMBER(Table13345[[#This Row],[Strike]]),RTD("tos.rtd", , "ASK", "."&amp;Table13345[[#This Row],[Ticker]]&amp;Table13345[[#This Row],[Expiry]]&amp;""&amp;"P"&amp;Table13345[[#This Row],[Strike]]))</f>
        <v>0</v>
      </c>
      <c r="S835" s="17"/>
      <c r="T835" t="b">
        <f>IF(     ISNUMBER(Table13345[[#This Row],[Strike]]),RTD("tos.rtd", , "OPEN_INT", "."&amp;Table13345[[#This Row],[Ticker]]&amp;Table13345[[#This Row],[Expiry]]&amp;""&amp;"P"&amp;Table13345[[#This Row],[Strike]]))</f>
        <v>0</v>
      </c>
      <c r="U83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5" t="b">
        <f>IF(     ISNUMBER(Table13345[[#This Row],[Strike]]),RTD("tos.rtd", , "DELTA", "."&amp;Table13345[[#This Row],[Ticker]]&amp;Table13345[[#This Row],[Expiry]]&amp;""&amp;"P"&amp;Table13345[[#This Row],[Strike]]))</f>
        <v>0</v>
      </c>
      <c r="Y835" s="19">
        <f>-43.5* IF($M$1="NDX", 10, IF(OR($M$1="SPX", $M$1="RUT"), 2, 1))</f>
        <v>-87</v>
      </c>
      <c r="Z835">
        <f ca="1">IFERROR(Table13345[[#This Row],[call gamma]]*(Table13345[[#This Row],[Open.Int]])*$A$4^2,0)</f>
        <v>0</v>
      </c>
      <c r="AA835">
        <f ca="1">IFERROR(((Table13345[[#This Row],[Open.Int8]])*Table13345[[#This Row],[Put gamma]])*-1*$A$4^2,0)</f>
        <v>0</v>
      </c>
      <c r="AB835">
        <f ca="1">(Table13345[[#This Row],[Call Gex]]+Table13345[[#This Row],[Put Gex]])</f>
        <v>0</v>
      </c>
      <c r="AC835">
        <f ca="1">Table13345[[#This Row],[put delta adj]]+Table13345[[#This Row],[call delta adj]]</f>
        <v>0</v>
      </c>
      <c r="AD835">
        <f ca="1">Table13345[[#This Row],[Put Gex]]*Table13345[[#This Row],[DeltaP]]*-1</f>
        <v>0</v>
      </c>
      <c r="AE835">
        <f ca="1">Table13345[[#This Row],[Call Gex]]*Table13345[[#This Row],[DeltaC]]</f>
        <v>0</v>
      </c>
      <c r="AF835">
        <f>IF(Table13345[[#This Row],[DeltaC]]-ABS(Table13345[[#This Row],[DeltaP]])="0","0.01",Table13345[[#This Row],[DeltaC]]-ABS(Table13345[[#This Row],[DeltaP]]))</f>
        <v>0</v>
      </c>
      <c r="AG83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5" t="e">
        <f ca="1">(EXP(-(AG835^2)/2)/SQRT(2*PI())*EXP(0*SQRT(Table13345[[#This Row],[T]]))/$A$4*18%*SQRT(SQRT(Table13345[[#This Row],[T]])))</f>
        <v>#DIV/0!</v>
      </c>
      <c r="AJ835" t="e">
        <f ca="1">(EXP(-(AH835^2)/2)/SQRT(2*PI())*EXP(0*SQRT(Table13345[[#This Row],[T]]))/$A$4*18%*SQRT(SQRT(Table13345[[#This Row],[T]])))</f>
        <v>#DIV/0!</v>
      </c>
      <c r="AK835" t="e">
        <f ca="1">Table13345[[#This Row],[Call D1]]-Table13345[[#This Row],[IV Calc C]]*SQRT(Table13345[[#This Row],[T]])</f>
        <v>#DIV/0!</v>
      </c>
      <c r="AL835" t="e">
        <f ca="1">Table13345[[#This Row],[Put D1]]-Table13345[[#This Row],[IV Calc P]]*SQRT(Table13345[[#This Row],[T]])</f>
        <v>#DIV/0!</v>
      </c>
      <c r="AM835" t="e">
        <f ca="1">EXP(-0.5*Table13345[[#This Row],[Call D1]]^2)/SQRT(2*PI())</f>
        <v>#DIV/0!</v>
      </c>
      <c r="AN835" t="e">
        <f ca="1">EXP(-0.5*Table13345[[#This Row],[Put D1]]^2)/SQRT(2*PI())</f>
        <v>#DIV/0!</v>
      </c>
      <c r="AO83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5">
        <f ca="1">((Table13345[[#This Row],[call vanna]]+Table13345[[#This Row],[put vanna]])*$A$4)</f>
        <v>0</v>
      </c>
      <c r="AR83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5" s="9" t="str" cm="1">
        <f t="array" ref="AT835">_xlfn.IFS(     $M$1="SPX","SPXW",     $M$1="RUT","RUTW",  $M$1="NDX","NDXP",   TRUE,$M$1 )</f>
        <v>SPXW</v>
      </c>
      <c r="AU835" s="2">
        <f t="shared" si="87"/>
        <v>6915</v>
      </c>
      <c r="AV835" t="str">
        <f t="shared" si="88"/>
        <v>000100</v>
      </c>
      <c r="AY83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5">
        <f>((Table13345[[#This Row],[High C]]+Table13345[[#This Row],[Low C]])/2)*Table13345[[#This Row],[gammac]]*Table13345[[#This Row],[Volume]]</f>
        <v>0</v>
      </c>
      <c r="BD835">
        <f>((Table13345[[#This Row],[High P]]+Table13345[[#This Row],[Low P]])/2)*Table13345[[#This Row],[gammap]]*Table13345[[#This Row],[Volume9]]*-1</f>
        <v>0</v>
      </c>
      <c r="BE835">
        <f>(Table13345[[#This Row],[SgammaC]]+Table13345[[#This Row],[SgammaP]])*$A$4*-100</f>
        <v>0</v>
      </c>
      <c r="BF835">
        <f>Table13345[[#This Row],[DEXc]]+Table13345[[#This Row],[DEXp]]</f>
        <v>0</v>
      </c>
      <c r="BG835">
        <f>IFERROR(Table13345[[#This Row],[DeltaC]]*Table13345[[#This Row],[Open.Int]]*$A$4,0)</f>
        <v>0</v>
      </c>
      <c r="BH835">
        <f>IFERROR(Table13345[[#This Row],[DeltaP]]*Table13345[[#This Row],[Open.Int8]]*$A$4,0)</f>
        <v>0</v>
      </c>
      <c r="BI83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5">
        <f ca="1">Table13345[[#This Row],[charmc]]+Table13345[[#This Row],[charmp]]</f>
        <v>0</v>
      </c>
      <c r="BL83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5" s="78">
        <f ca="1">Table13345[[#This Row],[call helper]]+Table13345[[#This Row],[put helper]]</f>
        <v>0</v>
      </c>
      <c r="BP835" t="str">
        <f>RTD("tos.rtd", , "STRIKE", "."&amp;Table13345[[#This Row],[Ticker]]&amp;Table13345[[#This Row],[Expiry]]&amp;""&amp;"C"&amp;Table13345[[#This Row],[Spot]]+Table13345[[#This Row],[step]])</f>
        <v>N/A</v>
      </c>
    </row>
    <row r="836" spans="1:68" x14ac:dyDescent="0.25">
      <c r="A836" s="14">
        <f t="shared" ca="1" si="84"/>
        <v>-126.14810350076104</v>
      </c>
      <c r="C836" s="17"/>
      <c r="D836" t="str">
        <f>RTD("tos.rtd", , "OPEN_INT", "."&amp;Table13345[[#This Row],[Ticker]]&amp;Table13345[[#This Row],[Expiry]]&amp;""&amp;"C"&amp;Table13345[[#This Row],[Spot]]+Table13345[[#This Row],[step]])</f>
        <v>N/A</v>
      </c>
      <c r="E83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6" t="b">
        <f>IF(     ISNUMBER(Table13345[[#This Row],[Strike]]),RTD("tos.rtd", , "DELTA", "."&amp;Table13345[[#This Row],[Ticker]]&amp;Table13345[[#This Row],[Expiry]]&amp;""&amp;"C"&amp;Table13345[[#This Row],[Strike]]))</f>
        <v>0</v>
      </c>
      <c r="H836" s="17" cm="1">
        <f t="array" aca="1" ref="H836" ca="1">IndividualLegIVCore($A$4, Table13345[[#This Row],[Strike]], 0.0411, Table13345[[#This Row],[T]], ((Table13345[[#This Row],[BIDC]]+Table13345[[#This Row],[ASKC]])/2), TRUE)</f>
        <v>0.01</v>
      </c>
      <c r="I836" t="b">
        <f>IF(     ISNUMBER(Table13345[[#This Row],[Strike]]),RTD("tos.rtd", , "BID", "."&amp;Table13345[[#This Row],[Ticker]]&amp;Table13345[[#This Row],[Expiry]]&amp;""&amp;"C"&amp;Table13345[[#This Row],[Strike]]))</f>
        <v>0</v>
      </c>
      <c r="J836" t="b">
        <f>IF(     ISNUMBER(Table13345[[#This Row],[Strike]]),RTD("tos.rtd", , "ASK", "."&amp;Table13345[[#This Row],[Ticker]]&amp;Table13345[[#This Row],[Expiry]]&amp;""&amp;"C"&amp;Table13345[[#This Row],[Strike]]))</f>
        <v>0</v>
      </c>
      <c r="K836" s="17"/>
      <c r="M836" s="1">
        <f t="shared" si="85"/>
        <v>0</v>
      </c>
      <c r="N836" t="b">
        <f t="shared" si="86"/>
        <v>0</v>
      </c>
      <c r="P836" s="17" cm="1">
        <f t="array" aca="1" ref="P836" ca="1">IndividualLegIVCore($A$4, Table13345[[#This Row],[Strike]], 0.0411, Table13345[[#This Row],[T]], ((Table13345[[#This Row],[BIDP]]+Table13345[[#This Row],[ASKP]])/2), FALSE)</f>
        <v>0.01</v>
      </c>
      <c r="Q836" t="b">
        <f>IF(     ISNUMBER(Table13345[[#This Row],[Strike]]),RTD("tos.rtd", , "BID", "."&amp;Table13345[[#This Row],[Ticker]]&amp;Table13345[[#This Row],[Expiry]]&amp;""&amp;"P"&amp;Table13345[[#This Row],[Strike]]))</f>
        <v>0</v>
      </c>
      <c r="R836" t="b">
        <f>IF(     ISNUMBER(Table13345[[#This Row],[Strike]]),RTD("tos.rtd", , "ASK", "."&amp;Table13345[[#This Row],[Ticker]]&amp;Table13345[[#This Row],[Expiry]]&amp;""&amp;"P"&amp;Table13345[[#This Row],[Strike]]))</f>
        <v>0</v>
      </c>
      <c r="S836" s="17"/>
      <c r="T836" t="b">
        <f>IF(     ISNUMBER(Table13345[[#This Row],[Strike]]),RTD("tos.rtd", , "OPEN_INT", "."&amp;Table13345[[#This Row],[Ticker]]&amp;Table13345[[#This Row],[Expiry]]&amp;""&amp;"P"&amp;Table13345[[#This Row],[Strike]]))</f>
        <v>0</v>
      </c>
      <c r="U83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6" t="b">
        <f>IF(     ISNUMBER(Table13345[[#This Row],[Strike]]),RTD("tos.rtd", , "DELTA", "."&amp;Table13345[[#This Row],[Ticker]]&amp;Table13345[[#This Row],[Expiry]]&amp;""&amp;"P"&amp;Table13345[[#This Row],[Strike]]))</f>
        <v>0</v>
      </c>
      <c r="Y836" s="19">
        <f>-43* IF($M$1="NDX", 10, IF(OR($M$1="SPX", $M$1="RUT"), 2, 1))</f>
        <v>-86</v>
      </c>
      <c r="Z836">
        <f ca="1">IFERROR(Table13345[[#This Row],[call gamma]]*(Table13345[[#This Row],[Open.Int]])*$A$4^2,0)</f>
        <v>0</v>
      </c>
      <c r="AA836">
        <f ca="1">IFERROR(((Table13345[[#This Row],[Open.Int8]])*Table13345[[#This Row],[Put gamma]])*-1*$A$4^2,0)</f>
        <v>0</v>
      </c>
      <c r="AB836">
        <f ca="1">(Table13345[[#This Row],[Call Gex]]+Table13345[[#This Row],[Put Gex]])</f>
        <v>0</v>
      </c>
      <c r="AC836">
        <f ca="1">Table13345[[#This Row],[put delta adj]]+Table13345[[#This Row],[call delta adj]]</f>
        <v>0</v>
      </c>
      <c r="AD836">
        <f ca="1">Table13345[[#This Row],[Put Gex]]*Table13345[[#This Row],[DeltaP]]*-1</f>
        <v>0</v>
      </c>
      <c r="AE836">
        <f ca="1">Table13345[[#This Row],[Call Gex]]*Table13345[[#This Row],[DeltaC]]</f>
        <v>0</v>
      </c>
      <c r="AF836">
        <f>IF(Table13345[[#This Row],[DeltaC]]-ABS(Table13345[[#This Row],[DeltaP]])="0","0.01",Table13345[[#This Row],[DeltaC]]-ABS(Table13345[[#This Row],[DeltaP]]))</f>
        <v>0</v>
      </c>
      <c r="AG83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6" t="e">
        <f ca="1">(EXP(-(AG836^2)/2)/SQRT(2*PI())*EXP(0*SQRT(Table13345[[#This Row],[T]]))/$A$4*18%*SQRT(SQRT(Table13345[[#This Row],[T]])))</f>
        <v>#DIV/0!</v>
      </c>
      <c r="AJ836" t="e">
        <f ca="1">(EXP(-(AH836^2)/2)/SQRT(2*PI())*EXP(0*SQRT(Table13345[[#This Row],[T]]))/$A$4*18%*SQRT(SQRT(Table13345[[#This Row],[T]])))</f>
        <v>#DIV/0!</v>
      </c>
      <c r="AK836" t="e">
        <f ca="1">Table13345[[#This Row],[Call D1]]-Table13345[[#This Row],[IV Calc C]]*SQRT(Table13345[[#This Row],[T]])</f>
        <v>#DIV/0!</v>
      </c>
      <c r="AL836" t="e">
        <f ca="1">Table13345[[#This Row],[Put D1]]-Table13345[[#This Row],[IV Calc P]]*SQRT(Table13345[[#This Row],[T]])</f>
        <v>#DIV/0!</v>
      </c>
      <c r="AM836" t="e">
        <f ca="1">EXP(-0.5*Table13345[[#This Row],[Call D1]]^2)/SQRT(2*PI())</f>
        <v>#DIV/0!</v>
      </c>
      <c r="AN836" t="e">
        <f ca="1">EXP(-0.5*Table13345[[#This Row],[Put D1]]^2)/SQRT(2*PI())</f>
        <v>#DIV/0!</v>
      </c>
      <c r="AO83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6">
        <f ca="1">((Table13345[[#This Row],[call vanna]]+Table13345[[#This Row],[put vanna]])*$A$4)</f>
        <v>0</v>
      </c>
      <c r="AR83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6" s="9" t="str" cm="1">
        <f t="array" ref="AT836">_xlfn.IFS(     $M$1="SPX","SPXW",     $M$1="RUT","RUTW",  $M$1="NDX","NDXP",   TRUE,$M$1 )</f>
        <v>SPXW</v>
      </c>
      <c r="AU836" s="2">
        <f t="shared" si="87"/>
        <v>6915</v>
      </c>
      <c r="AV836" t="str">
        <f t="shared" si="88"/>
        <v>000100</v>
      </c>
      <c r="AY83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6">
        <f>((Table13345[[#This Row],[High C]]+Table13345[[#This Row],[Low C]])/2)*Table13345[[#This Row],[gammac]]*Table13345[[#This Row],[Volume]]</f>
        <v>0</v>
      </c>
      <c r="BD836">
        <f>((Table13345[[#This Row],[High P]]+Table13345[[#This Row],[Low P]])/2)*Table13345[[#This Row],[gammap]]*Table13345[[#This Row],[Volume9]]*-1</f>
        <v>0</v>
      </c>
      <c r="BE836">
        <f>(Table13345[[#This Row],[SgammaC]]+Table13345[[#This Row],[SgammaP]])*$A$4*-100</f>
        <v>0</v>
      </c>
      <c r="BF836">
        <f>Table13345[[#This Row],[DEXc]]+Table13345[[#This Row],[DEXp]]</f>
        <v>0</v>
      </c>
      <c r="BG836">
        <f>IFERROR(Table13345[[#This Row],[DeltaC]]*Table13345[[#This Row],[Open.Int]]*$A$4,0)</f>
        <v>0</v>
      </c>
      <c r="BH836">
        <f>IFERROR(Table13345[[#This Row],[DeltaP]]*Table13345[[#This Row],[Open.Int8]]*$A$4,0)</f>
        <v>0</v>
      </c>
      <c r="BI83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6">
        <f ca="1">Table13345[[#This Row],[charmc]]+Table13345[[#This Row],[charmp]]</f>
        <v>0</v>
      </c>
      <c r="BL83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6" s="78">
        <f ca="1">Table13345[[#This Row],[call helper]]+Table13345[[#This Row],[put helper]]</f>
        <v>0</v>
      </c>
      <c r="BP836" t="str">
        <f>RTD("tos.rtd", , "STRIKE", "."&amp;Table13345[[#This Row],[Ticker]]&amp;Table13345[[#This Row],[Expiry]]&amp;""&amp;"C"&amp;Table13345[[#This Row],[Spot]]+Table13345[[#This Row],[step]])</f>
        <v>N/A</v>
      </c>
    </row>
    <row r="837" spans="1:68" x14ac:dyDescent="0.25">
      <c r="A837" s="14">
        <f t="shared" ca="1" si="84"/>
        <v>-126.14810350076104</v>
      </c>
      <c r="C837" s="17"/>
      <c r="D837" t="str">
        <f>RTD("tos.rtd", , "OPEN_INT", "."&amp;Table13345[[#This Row],[Ticker]]&amp;Table13345[[#This Row],[Expiry]]&amp;""&amp;"C"&amp;Table13345[[#This Row],[Spot]]+Table13345[[#This Row],[step]])</f>
        <v>N/A</v>
      </c>
      <c r="E83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7" t="b">
        <f>IF(     ISNUMBER(Table13345[[#This Row],[Strike]]),RTD("tos.rtd", , "DELTA", "."&amp;Table13345[[#This Row],[Ticker]]&amp;Table13345[[#This Row],[Expiry]]&amp;""&amp;"C"&amp;Table13345[[#This Row],[Strike]]))</f>
        <v>0</v>
      </c>
      <c r="H837" s="17" cm="1">
        <f t="array" aca="1" ref="H837" ca="1">IndividualLegIVCore($A$4, Table13345[[#This Row],[Strike]], 0.0411, Table13345[[#This Row],[T]], ((Table13345[[#This Row],[BIDC]]+Table13345[[#This Row],[ASKC]])/2), TRUE)</f>
        <v>0.01</v>
      </c>
      <c r="I837" t="b">
        <f>IF(     ISNUMBER(Table13345[[#This Row],[Strike]]),RTD("tos.rtd", , "BID", "."&amp;Table13345[[#This Row],[Ticker]]&amp;Table13345[[#This Row],[Expiry]]&amp;""&amp;"C"&amp;Table13345[[#This Row],[Strike]]))</f>
        <v>0</v>
      </c>
      <c r="J837" t="b">
        <f>IF(     ISNUMBER(Table13345[[#This Row],[Strike]]),RTD("tos.rtd", , "ASK", "."&amp;Table13345[[#This Row],[Ticker]]&amp;Table13345[[#This Row],[Expiry]]&amp;""&amp;"C"&amp;Table13345[[#This Row],[Strike]]))</f>
        <v>0</v>
      </c>
      <c r="K837" s="17"/>
      <c r="M837" s="1">
        <f t="shared" si="85"/>
        <v>0</v>
      </c>
      <c r="N837" t="b">
        <f t="shared" si="86"/>
        <v>0</v>
      </c>
      <c r="P837" s="17" cm="1">
        <f t="array" aca="1" ref="P837" ca="1">IndividualLegIVCore($A$4, Table13345[[#This Row],[Strike]], 0.0411, Table13345[[#This Row],[T]], ((Table13345[[#This Row],[BIDP]]+Table13345[[#This Row],[ASKP]])/2), FALSE)</f>
        <v>0.01</v>
      </c>
      <c r="Q837" t="b">
        <f>IF(     ISNUMBER(Table13345[[#This Row],[Strike]]),RTD("tos.rtd", , "BID", "."&amp;Table13345[[#This Row],[Ticker]]&amp;Table13345[[#This Row],[Expiry]]&amp;""&amp;"P"&amp;Table13345[[#This Row],[Strike]]))</f>
        <v>0</v>
      </c>
      <c r="R837" t="b">
        <f>IF(     ISNUMBER(Table13345[[#This Row],[Strike]]),RTD("tos.rtd", , "ASK", "."&amp;Table13345[[#This Row],[Ticker]]&amp;Table13345[[#This Row],[Expiry]]&amp;""&amp;"P"&amp;Table13345[[#This Row],[Strike]]))</f>
        <v>0</v>
      </c>
      <c r="S837" s="17"/>
      <c r="T837" t="b">
        <f>IF(     ISNUMBER(Table13345[[#This Row],[Strike]]),RTD("tos.rtd", , "OPEN_INT", "."&amp;Table13345[[#This Row],[Ticker]]&amp;Table13345[[#This Row],[Expiry]]&amp;""&amp;"P"&amp;Table13345[[#This Row],[Strike]]))</f>
        <v>0</v>
      </c>
      <c r="U83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7" t="b">
        <f>IF(     ISNUMBER(Table13345[[#This Row],[Strike]]),RTD("tos.rtd", , "DELTA", "."&amp;Table13345[[#This Row],[Ticker]]&amp;Table13345[[#This Row],[Expiry]]&amp;""&amp;"P"&amp;Table13345[[#This Row],[Strike]]))</f>
        <v>0</v>
      </c>
      <c r="Y837" s="19">
        <f>-42.5* IF($M$1="NDX", 10, IF(OR($M$1="SPX", $M$1="RUT"), 2, 1))</f>
        <v>-85</v>
      </c>
      <c r="Z837">
        <f ca="1">IFERROR(Table13345[[#This Row],[call gamma]]*(Table13345[[#This Row],[Open.Int]])*$A$4^2,0)</f>
        <v>0</v>
      </c>
      <c r="AA837">
        <f ca="1">IFERROR(((Table13345[[#This Row],[Open.Int8]])*Table13345[[#This Row],[Put gamma]])*-1*$A$4^2,0)</f>
        <v>0</v>
      </c>
      <c r="AB837">
        <f ca="1">(Table13345[[#This Row],[Call Gex]]+Table13345[[#This Row],[Put Gex]])</f>
        <v>0</v>
      </c>
      <c r="AC837">
        <f ca="1">Table13345[[#This Row],[put delta adj]]+Table13345[[#This Row],[call delta adj]]</f>
        <v>0</v>
      </c>
      <c r="AD837">
        <f ca="1">Table13345[[#This Row],[Put Gex]]*Table13345[[#This Row],[DeltaP]]*-1</f>
        <v>0</v>
      </c>
      <c r="AE837">
        <f ca="1">Table13345[[#This Row],[Call Gex]]*Table13345[[#This Row],[DeltaC]]</f>
        <v>0</v>
      </c>
      <c r="AF837">
        <f>IF(Table13345[[#This Row],[DeltaC]]-ABS(Table13345[[#This Row],[DeltaP]])="0","0.01",Table13345[[#This Row],[DeltaC]]-ABS(Table13345[[#This Row],[DeltaP]]))</f>
        <v>0</v>
      </c>
      <c r="AG83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7" t="e">
        <f ca="1">(EXP(-(AG837^2)/2)/SQRT(2*PI())*EXP(0*SQRT(Table13345[[#This Row],[T]]))/$A$4*18%*SQRT(SQRT(Table13345[[#This Row],[T]])))</f>
        <v>#DIV/0!</v>
      </c>
      <c r="AJ837" t="e">
        <f ca="1">(EXP(-(AH837^2)/2)/SQRT(2*PI())*EXP(0*SQRT(Table13345[[#This Row],[T]]))/$A$4*18%*SQRT(SQRT(Table13345[[#This Row],[T]])))</f>
        <v>#DIV/0!</v>
      </c>
      <c r="AK837" t="e">
        <f ca="1">Table13345[[#This Row],[Call D1]]-Table13345[[#This Row],[IV Calc C]]*SQRT(Table13345[[#This Row],[T]])</f>
        <v>#DIV/0!</v>
      </c>
      <c r="AL837" t="e">
        <f ca="1">Table13345[[#This Row],[Put D1]]-Table13345[[#This Row],[IV Calc P]]*SQRT(Table13345[[#This Row],[T]])</f>
        <v>#DIV/0!</v>
      </c>
      <c r="AM837" t="e">
        <f ca="1">EXP(-0.5*Table13345[[#This Row],[Call D1]]^2)/SQRT(2*PI())</f>
        <v>#DIV/0!</v>
      </c>
      <c r="AN837" t="e">
        <f ca="1">EXP(-0.5*Table13345[[#This Row],[Put D1]]^2)/SQRT(2*PI())</f>
        <v>#DIV/0!</v>
      </c>
      <c r="AO83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7">
        <f ca="1">((Table13345[[#This Row],[call vanna]]+Table13345[[#This Row],[put vanna]])*$A$4)</f>
        <v>0</v>
      </c>
      <c r="AR83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7" s="9" t="str" cm="1">
        <f t="array" ref="AT837">_xlfn.IFS(     $M$1="SPX","SPXW",     $M$1="RUT","RUTW",  $M$1="NDX","NDXP",   TRUE,$M$1 )</f>
        <v>SPXW</v>
      </c>
      <c r="AU837" s="2">
        <f t="shared" si="87"/>
        <v>6915</v>
      </c>
      <c r="AV837" t="str">
        <f t="shared" si="88"/>
        <v>000100</v>
      </c>
      <c r="AY83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7">
        <f>((Table13345[[#This Row],[High C]]+Table13345[[#This Row],[Low C]])/2)*Table13345[[#This Row],[gammac]]*Table13345[[#This Row],[Volume]]</f>
        <v>0</v>
      </c>
      <c r="BD837">
        <f>((Table13345[[#This Row],[High P]]+Table13345[[#This Row],[Low P]])/2)*Table13345[[#This Row],[gammap]]*Table13345[[#This Row],[Volume9]]*-1</f>
        <v>0</v>
      </c>
      <c r="BE837">
        <f>(Table13345[[#This Row],[SgammaC]]+Table13345[[#This Row],[SgammaP]])*$A$4*-100</f>
        <v>0</v>
      </c>
      <c r="BF837">
        <f>Table13345[[#This Row],[DEXc]]+Table13345[[#This Row],[DEXp]]</f>
        <v>0</v>
      </c>
      <c r="BG837">
        <f>IFERROR(Table13345[[#This Row],[DeltaC]]*Table13345[[#This Row],[Open.Int]]*$A$4,0)</f>
        <v>0</v>
      </c>
      <c r="BH837">
        <f>IFERROR(Table13345[[#This Row],[DeltaP]]*Table13345[[#This Row],[Open.Int8]]*$A$4,0)</f>
        <v>0</v>
      </c>
      <c r="BI83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7">
        <f ca="1">Table13345[[#This Row],[charmc]]+Table13345[[#This Row],[charmp]]</f>
        <v>0</v>
      </c>
      <c r="BL83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7" s="78">
        <f ca="1">Table13345[[#This Row],[call helper]]+Table13345[[#This Row],[put helper]]</f>
        <v>0</v>
      </c>
      <c r="BP837" t="str">
        <f>RTD("tos.rtd", , "STRIKE", "."&amp;Table13345[[#This Row],[Ticker]]&amp;Table13345[[#This Row],[Expiry]]&amp;""&amp;"C"&amp;Table13345[[#This Row],[Spot]]+Table13345[[#This Row],[step]])</f>
        <v>N/A</v>
      </c>
    </row>
    <row r="838" spans="1:68" x14ac:dyDescent="0.25">
      <c r="A838" s="14">
        <f t="shared" ca="1" si="84"/>
        <v>-126.14810350076104</v>
      </c>
      <c r="C838" s="17"/>
      <c r="D838" t="str">
        <f>RTD("tos.rtd", , "OPEN_INT", "."&amp;Table13345[[#This Row],[Ticker]]&amp;Table13345[[#This Row],[Expiry]]&amp;""&amp;"C"&amp;Table13345[[#This Row],[Spot]]+Table13345[[#This Row],[step]])</f>
        <v>N/A</v>
      </c>
      <c r="E83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8" t="b">
        <f>IF(     ISNUMBER(Table13345[[#This Row],[Strike]]),RTD("tos.rtd", , "DELTA", "."&amp;Table13345[[#This Row],[Ticker]]&amp;Table13345[[#This Row],[Expiry]]&amp;""&amp;"C"&amp;Table13345[[#This Row],[Strike]]))</f>
        <v>0</v>
      </c>
      <c r="H838" s="17" cm="1">
        <f t="array" aca="1" ref="H838" ca="1">IndividualLegIVCore($A$4, Table13345[[#This Row],[Strike]], 0.0411, Table13345[[#This Row],[T]], ((Table13345[[#This Row],[BIDC]]+Table13345[[#This Row],[ASKC]])/2), TRUE)</f>
        <v>0.01</v>
      </c>
      <c r="I838" t="b">
        <f>IF(     ISNUMBER(Table13345[[#This Row],[Strike]]),RTD("tos.rtd", , "BID", "."&amp;Table13345[[#This Row],[Ticker]]&amp;Table13345[[#This Row],[Expiry]]&amp;""&amp;"C"&amp;Table13345[[#This Row],[Strike]]))</f>
        <v>0</v>
      </c>
      <c r="J838" t="b">
        <f>IF(     ISNUMBER(Table13345[[#This Row],[Strike]]),RTD("tos.rtd", , "ASK", "."&amp;Table13345[[#This Row],[Ticker]]&amp;Table13345[[#This Row],[Expiry]]&amp;""&amp;"C"&amp;Table13345[[#This Row],[Strike]]))</f>
        <v>0</v>
      </c>
      <c r="K838" s="17"/>
      <c r="M838" s="1">
        <f t="shared" si="85"/>
        <v>0</v>
      </c>
      <c r="N838" t="b">
        <f t="shared" si="86"/>
        <v>0</v>
      </c>
      <c r="P838" s="17" cm="1">
        <f t="array" aca="1" ref="P838" ca="1">IndividualLegIVCore($A$4, Table13345[[#This Row],[Strike]], 0.0411, Table13345[[#This Row],[T]], ((Table13345[[#This Row],[BIDP]]+Table13345[[#This Row],[ASKP]])/2), FALSE)</f>
        <v>0.01</v>
      </c>
      <c r="Q838" t="b">
        <f>IF(     ISNUMBER(Table13345[[#This Row],[Strike]]),RTD("tos.rtd", , "BID", "."&amp;Table13345[[#This Row],[Ticker]]&amp;Table13345[[#This Row],[Expiry]]&amp;""&amp;"P"&amp;Table13345[[#This Row],[Strike]]))</f>
        <v>0</v>
      </c>
      <c r="R838" t="b">
        <f>IF(     ISNUMBER(Table13345[[#This Row],[Strike]]),RTD("tos.rtd", , "ASK", "."&amp;Table13345[[#This Row],[Ticker]]&amp;Table13345[[#This Row],[Expiry]]&amp;""&amp;"P"&amp;Table13345[[#This Row],[Strike]]))</f>
        <v>0</v>
      </c>
      <c r="S838" s="17"/>
      <c r="T838" t="b">
        <f>IF(     ISNUMBER(Table13345[[#This Row],[Strike]]),RTD("tos.rtd", , "OPEN_INT", "."&amp;Table13345[[#This Row],[Ticker]]&amp;Table13345[[#This Row],[Expiry]]&amp;""&amp;"P"&amp;Table13345[[#This Row],[Strike]]))</f>
        <v>0</v>
      </c>
      <c r="U83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8" t="b">
        <f>IF(     ISNUMBER(Table13345[[#This Row],[Strike]]),RTD("tos.rtd", , "DELTA", "."&amp;Table13345[[#This Row],[Ticker]]&amp;Table13345[[#This Row],[Expiry]]&amp;""&amp;"P"&amp;Table13345[[#This Row],[Strike]]))</f>
        <v>0</v>
      </c>
      <c r="Y838" s="19">
        <f>-42* IF($M$1="NDX", 10, IF(OR($M$1="SPX", $M$1="RUT"), 2, 1))</f>
        <v>-84</v>
      </c>
      <c r="Z838">
        <f ca="1">IFERROR(Table13345[[#This Row],[call gamma]]*(Table13345[[#This Row],[Open.Int]])*$A$4^2,0)</f>
        <v>0</v>
      </c>
      <c r="AA838">
        <f ca="1">IFERROR(((Table13345[[#This Row],[Open.Int8]])*Table13345[[#This Row],[Put gamma]])*-1*$A$4^2,0)</f>
        <v>0</v>
      </c>
      <c r="AB838">
        <f ca="1">(Table13345[[#This Row],[Call Gex]]+Table13345[[#This Row],[Put Gex]])</f>
        <v>0</v>
      </c>
      <c r="AC838">
        <f ca="1">Table13345[[#This Row],[put delta adj]]+Table13345[[#This Row],[call delta adj]]</f>
        <v>0</v>
      </c>
      <c r="AD838">
        <f ca="1">Table13345[[#This Row],[Put Gex]]*Table13345[[#This Row],[DeltaP]]*-1</f>
        <v>0</v>
      </c>
      <c r="AE838">
        <f ca="1">Table13345[[#This Row],[Call Gex]]*Table13345[[#This Row],[DeltaC]]</f>
        <v>0</v>
      </c>
      <c r="AF838">
        <f>IF(Table13345[[#This Row],[DeltaC]]-ABS(Table13345[[#This Row],[DeltaP]])="0","0.01",Table13345[[#This Row],[DeltaC]]-ABS(Table13345[[#This Row],[DeltaP]]))</f>
        <v>0</v>
      </c>
      <c r="AG83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8" t="e">
        <f ca="1">(EXP(-(AG838^2)/2)/SQRT(2*PI())*EXP(0*SQRT(Table13345[[#This Row],[T]]))/$A$4*18%*SQRT(SQRT(Table13345[[#This Row],[T]])))</f>
        <v>#DIV/0!</v>
      </c>
      <c r="AJ838" t="e">
        <f ca="1">(EXP(-(AH838^2)/2)/SQRT(2*PI())*EXP(0*SQRT(Table13345[[#This Row],[T]]))/$A$4*18%*SQRT(SQRT(Table13345[[#This Row],[T]])))</f>
        <v>#DIV/0!</v>
      </c>
      <c r="AK838" t="e">
        <f ca="1">Table13345[[#This Row],[Call D1]]-Table13345[[#This Row],[IV Calc C]]*SQRT(Table13345[[#This Row],[T]])</f>
        <v>#DIV/0!</v>
      </c>
      <c r="AL838" t="e">
        <f ca="1">Table13345[[#This Row],[Put D1]]-Table13345[[#This Row],[IV Calc P]]*SQRT(Table13345[[#This Row],[T]])</f>
        <v>#DIV/0!</v>
      </c>
      <c r="AM838" t="e">
        <f ca="1">EXP(-0.5*Table13345[[#This Row],[Call D1]]^2)/SQRT(2*PI())</f>
        <v>#DIV/0!</v>
      </c>
      <c r="AN838" t="e">
        <f ca="1">EXP(-0.5*Table13345[[#This Row],[Put D1]]^2)/SQRT(2*PI())</f>
        <v>#DIV/0!</v>
      </c>
      <c r="AO83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8">
        <f ca="1">((Table13345[[#This Row],[call vanna]]+Table13345[[#This Row],[put vanna]])*$A$4)</f>
        <v>0</v>
      </c>
      <c r="AR83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8" s="9" t="str" cm="1">
        <f t="array" ref="AT838">_xlfn.IFS(     $M$1="SPX","SPXW",     $M$1="RUT","RUTW",  $M$1="NDX","NDXP",   TRUE,$M$1 )</f>
        <v>SPXW</v>
      </c>
      <c r="AU838" s="2">
        <f t="shared" si="87"/>
        <v>6915</v>
      </c>
      <c r="AV838" t="str">
        <f t="shared" si="88"/>
        <v>000100</v>
      </c>
      <c r="AY83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8">
        <f>((Table13345[[#This Row],[High C]]+Table13345[[#This Row],[Low C]])/2)*Table13345[[#This Row],[gammac]]*Table13345[[#This Row],[Volume]]</f>
        <v>0</v>
      </c>
      <c r="BD838">
        <f>((Table13345[[#This Row],[High P]]+Table13345[[#This Row],[Low P]])/2)*Table13345[[#This Row],[gammap]]*Table13345[[#This Row],[Volume9]]*-1</f>
        <v>0</v>
      </c>
      <c r="BE838">
        <f>(Table13345[[#This Row],[SgammaC]]+Table13345[[#This Row],[SgammaP]])*$A$4*-100</f>
        <v>0</v>
      </c>
      <c r="BF838">
        <f>Table13345[[#This Row],[DEXc]]+Table13345[[#This Row],[DEXp]]</f>
        <v>0</v>
      </c>
      <c r="BG838">
        <f>IFERROR(Table13345[[#This Row],[DeltaC]]*Table13345[[#This Row],[Open.Int]]*$A$4,0)</f>
        <v>0</v>
      </c>
      <c r="BH838">
        <f>IFERROR(Table13345[[#This Row],[DeltaP]]*Table13345[[#This Row],[Open.Int8]]*$A$4,0)</f>
        <v>0</v>
      </c>
      <c r="BI83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8">
        <f ca="1">Table13345[[#This Row],[charmc]]+Table13345[[#This Row],[charmp]]</f>
        <v>0</v>
      </c>
      <c r="BL83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8" s="78">
        <f ca="1">Table13345[[#This Row],[call helper]]+Table13345[[#This Row],[put helper]]</f>
        <v>0</v>
      </c>
      <c r="BP838" t="str">
        <f>RTD("tos.rtd", , "STRIKE", "."&amp;Table13345[[#This Row],[Ticker]]&amp;Table13345[[#This Row],[Expiry]]&amp;""&amp;"C"&amp;Table13345[[#This Row],[Spot]]+Table13345[[#This Row],[step]])</f>
        <v>N/A</v>
      </c>
    </row>
    <row r="839" spans="1:68" x14ac:dyDescent="0.25">
      <c r="A839" s="14">
        <f t="shared" ca="1" si="84"/>
        <v>-126.14810350076104</v>
      </c>
      <c r="C839" s="17"/>
      <c r="D839" t="str">
        <f>RTD("tos.rtd", , "OPEN_INT", "."&amp;Table13345[[#This Row],[Ticker]]&amp;Table13345[[#This Row],[Expiry]]&amp;""&amp;"C"&amp;Table13345[[#This Row],[Spot]]+Table13345[[#This Row],[step]])</f>
        <v>N/A</v>
      </c>
      <c r="E83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9" t="b">
        <f>IF(     ISNUMBER(Table13345[[#This Row],[Strike]]),RTD("tos.rtd", , "DELTA", "."&amp;Table13345[[#This Row],[Ticker]]&amp;Table13345[[#This Row],[Expiry]]&amp;""&amp;"C"&amp;Table13345[[#This Row],[Strike]]))</f>
        <v>0</v>
      </c>
      <c r="H839" s="17" cm="1">
        <f t="array" aca="1" ref="H839" ca="1">IndividualLegIVCore($A$4, Table13345[[#This Row],[Strike]], 0.0411, Table13345[[#This Row],[T]], ((Table13345[[#This Row],[BIDC]]+Table13345[[#This Row],[ASKC]])/2), TRUE)</f>
        <v>0.01</v>
      </c>
      <c r="I839" t="b">
        <f>IF(     ISNUMBER(Table13345[[#This Row],[Strike]]),RTD("tos.rtd", , "BID", "."&amp;Table13345[[#This Row],[Ticker]]&amp;Table13345[[#This Row],[Expiry]]&amp;""&amp;"C"&amp;Table13345[[#This Row],[Strike]]))</f>
        <v>0</v>
      </c>
      <c r="J839" t="b">
        <f>IF(     ISNUMBER(Table13345[[#This Row],[Strike]]),RTD("tos.rtd", , "ASK", "."&amp;Table13345[[#This Row],[Ticker]]&amp;Table13345[[#This Row],[Expiry]]&amp;""&amp;"C"&amp;Table13345[[#This Row],[Strike]]))</f>
        <v>0</v>
      </c>
      <c r="K839" s="17"/>
      <c r="M839" s="1">
        <f t="shared" si="85"/>
        <v>0</v>
      </c>
      <c r="N839" t="b">
        <f t="shared" si="86"/>
        <v>0</v>
      </c>
      <c r="P839" s="17" cm="1">
        <f t="array" aca="1" ref="P839" ca="1">IndividualLegIVCore($A$4, Table13345[[#This Row],[Strike]], 0.0411, Table13345[[#This Row],[T]], ((Table13345[[#This Row],[BIDP]]+Table13345[[#This Row],[ASKP]])/2), FALSE)</f>
        <v>0.01</v>
      </c>
      <c r="Q839" t="b">
        <f>IF(     ISNUMBER(Table13345[[#This Row],[Strike]]),RTD("tos.rtd", , "BID", "."&amp;Table13345[[#This Row],[Ticker]]&amp;Table13345[[#This Row],[Expiry]]&amp;""&amp;"P"&amp;Table13345[[#This Row],[Strike]]))</f>
        <v>0</v>
      </c>
      <c r="R839" t="b">
        <f>IF(     ISNUMBER(Table13345[[#This Row],[Strike]]),RTD("tos.rtd", , "ASK", "."&amp;Table13345[[#This Row],[Ticker]]&amp;Table13345[[#This Row],[Expiry]]&amp;""&amp;"P"&amp;Table13345[[#This Row],[Strike]]))</f>
        <v>0</v>
      </c>
      <c r="S839" s="17"/>
      <c r="T839" t="b">
        <f>IF(     ISNUMBER(Table13345[[#This Row],[Strike]]),RTD("tos.rtd", , "OPEN_INT", "."&amp;Table13345[[#This Row],[Ticker]]&amp;Table13345[[#This Row],[Expiry]]&amp;""&amp;"P"&amp;Table13345[[#This Row],[Strike]]))</f>
        <v>0</v>
      </c>
      <c r="U83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9" t="b">
        <f>IF(     ISNUMBER(Table13345[[#This Row],[Strike]]),RTD("tos.rtd", , "DELTA", "."&amp;Table13345[[#This Row],[Ticker]]&amp;Table13345[[#This Row],[Expiry]]&amp;""&amp;"P"&amp;Table13345[[#This Row],[Strike]]))</f>
        <v>0</v>
      </c>
      <c r="Y839" s="19">
        <f>-41.5* IF($M$1="NDX", 10, IF(OR($M$1="SPX", $M$1="RUT"), 2, 1))</f>
        <v>-83</v>
      </c>
      <c r="Z839">
        <f ca="1">IFERROR(Table13345[[#This Row],[call gamma]]*(Table13345[[#This Row],[Open.Int]])*$A$4^2,0)</f>
        <v>0</v>
      </c>
      <c r="AA839">
        <f ca="1">IFERROR(((Table13345[[#This Row],[Open.Int8]])*Table13345[[#This Row],[Put gamma]])*-1*$A$4^2,0)</f>
        <v>0</v>
      </c>
      <c r="AB839">
        <f ca="1">(Table13345[[#This Row],[Call Gex]]+Table13345[[#This Row],[Put Gex]])</f>
        <v>0</v>
      </c>
      <c r="AC839">
        <f ca="1">Table13345[[#This Row],[put delta adj]]+Table13345[[#This Row],[call delta adj]]</f>
        <v>0</v>
      </c>
      <c r="AD839">
        <f ca="1">Table13345[[#This Row],[Put Gex]]*Table13345[[#This Row],[DeltaP]]*-1</f>
        <v>0</v>
      </c>
      <c r="AE839">
        <f ca="1">Table13345[[#This Row],[Call Gex]]*Table13345[[#This Row],[DeltaC]]</f>
        <v>0</v>
      </c>
      <c r="AF839">
        <f>IF(Table13345[[#This Row],[DeltaC]]-ABS(Table13345[[#This Row],[DeltaP]])="0","0.01",Table13345[[#This Row],[DeltaC]]-ABS(Table13345[[#This Row],[DeltaP]]))</f>
        <v>0</v>
      </c>
      <c r="AG83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9" t="e">
        <f ca="1">(EXP(-(AG839^2)/2)/SQRT(2*PI())*EXP(0*SQRT(Table13345[[#This Row],[T]]))/$A$4*18%*SQRT(SQRT(Table13345[[#This Row],[T]])))</f>
        <v>#DIV/0!</v>
      </c>
      <c r="AJ839" t="e">
        <f ca="1">(EXP(-(AH839^2)/2)/SQRT(2*PI())*EXP(0*SQRT(Table13345[[#This Row],[T]]))/$A$4*18%*SQRT(SQRT(Table13345[[#This Row],[T]])))</f>
        <v>#DIV/0!</v>
      </c>
      <c r="AK839" t="e">
        <f ca="1">Table13345[[#This Row],[Call D1]]-Table13345[[#This Row],[IV Calc C]]*SQRT(Table13345[[#This Row],[T]])</f>
        <v>#DIV/0!</v>
      </c>
      <c r="AL839" t="e">
        <f ca="1">Table13345[[#This Row],[Put D1]]-Table13345[[#This Row],[IV Calc P]]*SQRT(Table13345[[#This Row],[T]])</f>
        <v>#DIV/0!</v>
      </c>
      <c r="AM839" t="e">
        <f ca="1">EXP(-0.5*Table13345[[#This Row],[Call D1]]^2)/SQRT(2*PI())</f>
        <v>#DIV/0!</v>
      </c>
      <c r="AN839" t="e">
        <f ca="1">EXP(-0.5*Table13345[[#This Row],[Put D1]]^2)/SQRT(2*PI())</f>
        <v>#DIV/0!</v>
      </c>
      <c r="AO83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9">
        <f ca="1">((Table13345[[#This Row],[call vanna]]+Table13345[[#This Row],[put vanna]])*$A$4)</f>
        <v>0</v>
      </c>
      <c r="AR83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9" s="9" t="str" cm="1">
        <f t="array" ref="AT839">_xlfn.IFS(     $M$1="SPX","SPXW",     $M$1="RUT","RUTW",  $M$1="NDX","NDXP",   TRUE,$M$1 )</f>
        <v>SPXW</v>
      </c>
      <c r="AU839" s="2">
        <f t="shared" si="87"/>
        <v>6915</v>
      </c>
      <c r="AV839" t="str">
        <f t="shared" si="88"/>
        <v>000100</v>
      </c>
      <c r="AY83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9">
        <f>((Table13345[[#This Row],[High C]]+Table13345[[#This Row],[Low C]])/2)*Table13345[[#This Row],[gammac]]*Table13345[[#This Row],[Volume]]</f>
        <v>0</v>
      </c>
      <c r="BD839">
        <f>((Table13345[[#This Row],[High P]]+Table13345[[#This Row],[Low P]])/2)*Table13345[[#This Row],[gammap]]*Table13345[[#This Row],[Volume9]]*-1</f>
        <v>0</v>
      </c>
      <c r="BE839">
        <f>(Table13345[[#This Row],[SgammaC]]+Table13345[[#This Row],[SgammaP]])*$A$4*-100</f>
        <v>0</v>
      </c>
      <c r="BF839">
        <f>Table13345[[#This Row],[DEXc]]+Table13345[[#This Row],[DEXp]]</f>
        <v>0</v>
      </c>
      <c r="BG839">
        <f>IFERROR(Table13345[[#This Row],[DeltaC]]*Table13345[[#This Row],[Open.Int]]*$A$4,0)</f>
        <v>0</v>
      </c>
      <c r="BH839">
        <f>IFERROR(Table13345[[#This Row],[DeltaP]]*Table13345[[#This Row],[Open.Int8]]*$A$4,0)</f>
        <v>0</v>
      </c>
      <c r="BI83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9">
        <f ca="1">Table13345[[#This Row],[charmc]]+Table13345[[#This Row],[charmp]]</f>
        <v>0</v>
      </c>
      <c r="BL83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9" s="78">
        <f ca="1">Table13345[[#This Row],[call helper]]+Table13345[[#This Row],[put helper]]</f>
        <v>0</v>
      </c>
      <c r="BP839" t="str">
        <f>RTD("tos.rtd", , "STRIKE", "."&amp;Table13345[[#This Row],[Ticker]]&amp;Table13345[[#This Row],[Expiry]]&amp;""&amp;"C"&amp;Table13345[[#This Row],[Spot]]+Table13345[[#This Row],[step]])</f>
        <v>N/A</v>
      </c>
    </row>
    <row r="840" spans="1:68" x14ac:dyDescent="0.25">
      <c r="A840" s="14">
        <f t="shared" ca="1" si="84"/>
        <v>-126.14810350076104</v>
      </c>
      <c r="C840" s="17"/>
      <c r="D840" t="str">
        <f>RTD("tos.rtd", , "OPEN_INT", "."&amp;Table13345[[#This Row],[Ticker]]&amp;Table13345[[#This Row],[Expiry]]&amp;""&amp;"C"&amp;Table13345[[#This Row],[Spot]]+Table13345[[#This Row],[step]])</f>
        <v>N/A</v>
      </c>
      <c r="E84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0" t="b">
        <f>IF(     ISNUMBER(Table13345[[#This Row],[Strike]]),RTD("tos.rtd", , "DELTA", "."&amp;Table13345[[#This Row],[Ticker]]&amp;Table13345[[#This Row],[Expiry]]&amp;""&amp;"C"&amp;Table13345[[#This Row],[Strike]]))</f>
        <v>0</v>
      </c>
      <c r="H840" s="17" cm="1">
        <f t="array" aca="1" ref="H840" ca="1">IndividualLegIVCore($A$4, Table13345[[#This Row],[Strike]], 0.0411, Table13345[[#This Row],[T]], ((Table13345[[#This Row],[BIDC]]+Table13345[[#This Row],[ASKC]])/2), TRUE)</f>
        <v>0.01</v>
      </c>
      <c r="I840" t="b">
        <f>IF(     ISNUMBER(Table13345[[#This Row],[Strike]]),RTD("tos.rtd", , "BID", "."&amp;Table13345[[#This Row],[Ticker]]&amp;Table13345[[#This Row],[Expiry]]&amp;""&amp;"C"&amp;Table13345[[#This Row],[Strike]]))</f>
        <v>0</v>
      </c>
      <c r="J840" t="b">
        <f>IF(     ISNUMBER(Table13345[[#This Row],[Strike]]),RTD("tos.rtd", , "ASK", "."&amp;Table13345[[#This Row],[Ticker]]&amp;Table13345[[#This Row],[Expiry]]&amp;""&amp;"C"&amp;Table13345[[#This Row],[Strike]]))</f>
        <v>0</v>
      </c>
      <c r="K840" s="17"/>
      <c r="M840" s="1">
        <f t="shared" si="85"/>
        <v>0</v>
      </c>
      <c r="N840" t="b">
        <f t="shared" si="86"/>
        <v>0</v>
      </c>
      <c r="P840" s="17" cm="1">
        <f t="array" aca="1" ref="P840" ca="1">IndividualLegIVCore($A$4, Table13345[[#This Row],[Strike]], 0.0411, Table13345[[#This Row],[T]], ((Table13345[[#This Row],[BIDP]]+Table13345[[#This Row],[ASKP]])/2), FALSE)</f>
        <v>0.01</v>
      </c>
      <c r="Q840" t="b">
        <f>IF(     ISNUMBER(Table13345[[#This Row],[Strike]]),RTD("tos.rtd", , "BID", "."&amp;Table13345[[#This Row],[Ticker]]&amp;Table13345[[#This Row],[Expiry]]&amp;""&amp;"P"&amp;Table13345[[#This Row],[Strike]]))</f>
        <v>0</v>
      </c>
      <c r="R840" t="b">
        <f>IF(     ISNUMBER(Table13345[[#This Row],[Strike]]),RTD("tos.rtd", , "ASK", "."&amp;Table13345[[#This Row],[Ticker]]&amp;Table13345[[#This Row],[Expiry]]&amp;""&amp;"P"&amp;Table13345[[#This Row],[Strike]]))</f>
        <v>0</v>
      </c>
      <c r="S840" s="17"/>
      <c r="T840" t="b">
        <f>IF(     ISNUMBER(Table13345[[#This Row],[Strike]]),RTD("tos.rtd", , "OPEN_INT", "."&amp;Table13345[[#This Row],[Ticker]]&amp;Table13345[[#This Row],[Expiry]]&amp;""&amp;"P"&amp;Table13345[[#This Row],[Strike]]))</f>
        <v>0</v>
      </c>
      <c r="U84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0" t="b">
        <f>IF(     ISNUMBER(Table13345[[#This Row],[Strike]]),RTD("tos.rtd", , "DELTA", "."&amp;Table13345[[#This Row],[Ticker]]&amp;Table13345[[#This Row],[Expiry]]&amp;""&amp;"P"&amp;Table13345[[#This Row],[Strike]]))</f>
        <v>0</v>
      </c>
      <c r="Y840" s="19">
        <f>-41* IF($M$1="NDX", 10, IF(OR($M$1="SPX", $M$1="RUT"), 2, 1))</f>
        <v>-82</v>
      </c>
      <c r="Z840">
        <f ca="1">IFERROR(Table13345[[#This Row],[call gamma]]*(Table13345[[#This Row],[Open.Int]])*$A$4^2,0)</f>
        <v>0</v>
      </c>
      <c r="AA840">
        <f ca="1">IFERROR(((Table13345[[#This Row],[Open.Int8]])*Table13345[[#This Row],[Put gamma]])*-1*$A$4^2,0)</f>
        <v>0</v>
      </c>
      <c r="AB840">
        <f ca="1">(Table13345[[#This Row],[Call Gex]]+Table13345[[#This Row],[Put Gex]])</f>
        <v>0</v>
      </c>
      <c r="AC840">
        <f ca="1">Table13345[[#This Row],[put delta adj]]+Table13345[[#This Row],[call delta adj]]</f>
        <v>0</v>
      </c>
      <c r="AD840">
        <f ca="1">Table13345[[#This Row],[Put Gex]]*Table13345[[#This Row],[DeltaP]]*-1</f>
        <v>0</v>
      </c>
      <c r="AE840">
        <f ca="1">Table13345[[#This Row],[Call Gex]]*Table13345[[#This Row],[DeltaC]]</f>
        <v>0</v>
      </c>
      <c r="AF840">
        <f>IF(Table13345[[#This Row],[DeltaC]]-ABS(Table13345[[#This Row],[DeltaP]])="0","0.01",Table13345[[#This Row],[DeltaC]]-ABS(Table13345[[#This Row],[DeltaP]]))</f>
        <v>0</v>
      </c>
      <c r="AG84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0" t="e">
        <f ca="1">(EXP(-(AG840^2)/2)/SQRT(2*PI())*EXP(0*SQRT(Table13345[[#This Row],[T]]))/$A$4*18%*SQRT(SQRT(Table13345[[#This Row],[T]])))</f>
        <v>#DIV/0!</v>
      </c>
      <c r="AJ840" t="e">
        <f ca="1">(EXP(-(AH840^2)/2)/SQRT(2*PI())*EXP(0*SQRT(Table13345[[#This Row],[T]]))/$A$4*18%*SQRT(SQRT(Table13345[[#This Row],[T]])))</f>
        <v>#DIV/0!</v>
      </c>
      <c r="AK840" t="e">
        <f ca="1">Table13345[[#This Row],[Call D1]]-Table13345[[#This Row],[IV Calc C]]*SQRT(Table13345[[#This Row],[T]])</f>
        <v>#DIV/0!</v>
      </c>
      <c r="AL840" t="e">
        <f ca="1">Table13345[[#This Row],[Put D1]]-Table13345[[#This Row],[IV Calc P]]*SQRT(Table13345[[#This Row],[T]])</f>
        <v>#DIV/0!</v>
      </c>
      <c r="AM840" t="e">
        <f ca="1">EXP(-0.5*Table13345[[#This Row],[Call D1]]^2)/SQRT(2*PI())</f>
        <v>#DIV/0!</v>
      </c>
      <c r="AN840" t="e">
        <f ca="1">EXP(-0.5*Table13345[[#This Row],[Put D1]]^2)/SQRT(2*PI())</f>
        <v>#DIV/0!</v>
      </c>
      <c r="AO84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0">
        <f ca="1">((Table13345[[#This Row],[call vanna]]+Table13345[[#This Row],[put vanna]])*$A$4)</f>
        <v>0</v>
      </c>
      <c r="AR84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0" s="9" t="str" cm="1">
        <f t="array" ref="AT840">_xlfn.IFS(     $M$1="SPX","SPXW",     $M$1="RUT","RUTW",  $M$1="NDX","NDXP",   TRUE,$M$1 )</f>
        <v>SPXW</v>
      </c>
      <c r="AU840" s="2">
        <f t="shared" si="87"/>
        <v>6915</v>
      </c>
      <c r="AV840" t="str">
        <f t="shared" si="88"/>
        <v>000100</v>
      </c>
      <c r="AY84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0">
        <f>((Table13345[[#This Row],[High C]]+Table13345[[#This Row],[Low C]])/2)*Table13345[[#This Row],[gammac]]*Table13345[[#This Row],[Volume]]</f>
        <v>0</v>
      </c>
      <c r="BD840">
        <f>((Table13345[[#This Row],[High P]]+Table13345[[#This Row],[Low P]])/2)*Table13345[[#This Row],[gammap]]*Table13345[[#This Row],[Volume9]]*-1</f>
        <v>0</v>
      </c>
      <c r="BE840">
        <f>(Table13345[[#This Row],[SgammaC]]+Table13345[[#This Row],[SgammaP]])*$A$4*-100</f>
        <v>0</v>
      </c>
      <c r="BF840">
        <f>Table13345[[#This Row],[DEXc]]+Table13345[[#This Row],[DEXp]]</f>
        <v>0</v>
      </c>
      <c r="BG840">
        <f>IFERROR(Table13345[[#This Row],[DeltaC]]*Table13345[[#This Row],[Open.Int]]*$A$4,0)</f>
        <v>0</v>
      </c>
      <c r="BH840">
        <f>IFERROR(Table13345[[#This Row],[DeltaP]]*Table13345[[#This Row],[Open.Int8]]*$A$4,0)</f>
        <v>0</v>
      </c>
      <c r="BI84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0">
        <f ca="1">Table13345[[#This Row],[charmc]]+Table13345[[#This Row],[charmp]]</f>
        <v>0</v>
      </c>
      <c r="BL84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0" s="78">
        <f ca="1">Table13345[[#This Row],[call helper]]+Table13345[[#This Row],[put helper]]</f>
        <v>0</v>
      </c>
      <c r="BP840" t="str">
        <f>RTD("tos.rtd", , "STRIKE", "."&amp;Table13345[[#This Row],[Ticker]]&amp;Table13345[[#This Row],[Expiry]]&amp;""&amp;"C"&amp;Table13345[[#This Row],[Spot]]+Table13345[[#This Row],[step]])</f>
        <v>N/A</v>
      </c>
    </row>
    <row r="841" spans="1:68" x14ac:dyDescent="0.25">
      <c r="A841" s="14">
        <f t="shared" ca="1" si="84"/>
        <v>-126.14810350076104</v>
      </c>
      <c r="C841" s="17"/>
      <c r="D841" t="str">
        <f>RTD("tos.rtd", , "OPEN_INT", "."&amp;Table13345[[#This Row],[Ticker]]&amp;Table13345[[#This Row],[Expiry]]&amp;""&amp;"C"&amp;Table13345[[#This Row],[Spot]]+Table13345[[#This Row],[step]])</f>
        <v>N/A</v>
      </c>
      <c r="E84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1" t="b">
        <f>IF(     ISNUMBER(Table13345[[#This Row],[Strike]]),RTD("tos.rtd", , "DELTA", "."&amp;Table13345[[#This Row],[Ticker]]&amp;Table13345[[#This Row],[Expiry]]&amp;""&amp;"C"&amp;Table13345[[#This Row],[Strike]]))</f>
        <v>0</v>
      </c>
      <c r="H841" s="17" cm="1">
        <f t="array" aca="1" ref="H841" ca="1">IndividualLegIVCore($A$4, Table13345[[#This Row],[Strike]], 0.0411, Table13345[[#This Row],[T]], ((Table13345[[#This Row],[BIDC]]+Table13345[[#This Row],[ASKC]])/2), TRUE)</f>
        <v>0.01</v>
      </c>
      <c r="I841" t="b">
        <f>IF(     ISNUMBER(Table13345[[#This Row],[Strike]]),RTD("tos.rtd", , "BID", "."&amp;Table13345[[#This Row],[Ticker]]&amp;Table13345[[#This Row],[Expiry]]&amp;""&amp;"C"&amp;Table13345[[#This Row],[Strike]]))</f>
        <v>0</v>
      </c>
      <c r="J841" t="b">
        <f>IF(     ISNUMBER(Table13345[[#This Row],[Strike]]),RTD("tos.rtd", , "ASK", "."&amp;Table13345[[#This Row],[Ticker]]&amp;Table13345[[#This Row],[Expiry]]&amp;""&amp;"C"&amp;Table13345[[#This Row],[Strike]]))</f>
        <v>0</v>
      </c>
      <c r="K841" s="17"/>
      <c r="M841" s="1">
        <f t="shared" si="85"/>
        <v>0</v>
      </c>
      <c r="N841" t="b">
        <f t="shared" si="86"/>
        <v>0</v>
      </c>
      <c r="P841" s="17" cm="1">
        <f t="array" aca="1" ref="P841" ca="1">IndividualLegIVCore($A$4, Table13345[[#This Row],[Strike]], 0.0411, Table13345[[#This Row],[T]], ((Table13345[[#This Row],[BIDP]]+Table13345[[#This Row],[ASKP]])/2), FALSE)</f>
        <v>0.01</v>
      </c>
      <c r="Q841" t="b">
        <f>IF(     ISNUMBER(Table13345[[#This Row],[Strike]]),RTD("tos.rtd", , "BID", "."&amp;Table13345[[#This Row],[Ticker]]&amp;Table13345[[#This Row],[Expiry]]&amp;""&amp;"P"&amp;Table13345[[#This Row],[Strike]]))</f>
        <v>0</v>
      </c>
      <c r="R841" t="b">
        <f>IF(     ISNUMBER(Table13345[[#This Row],[Strike]]),RTD("tos.rtd", , "ASK", "."&amp;Table13345[[#This Row],[Ticker]]&amp;Table13345[[#This Row],[Expiry]]&amp;""&amp;"P"&amp;Table13345[[#This Row],[Strike]]))</f>
        <v>0</v>
      </c>
      <c r="S841" s="17"/>
      <c r="T841" t="b">
        <f>IF(     ISNUMBER(Table13345[[#This Row],[Strike]]),RTD("tos.rtd", , "OPEN_INT", "."&amp;Table13345[[#This Row],[Ticker]]&amp;Table13345[[#This Row],[Expiry]]&amp;""&amp;"P"&amp;Table13345[[#This Row],[Strike]]))</f>
        <v>0</v>
      </c>
      <c r="U84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1" t="b">
        <f>IF(     ISNUMBER(Table13345[[#This Row],[Strike]]),RTD("tos.rtd", , "DELTA", "."&amp;Table13345[[#This Row],[Ticker]]&amp;Table13345[[#This Row],[Expiry]]&amp;""&amp;"P"&amp;Table13345[[#This Row],[Strike]]))</f>
        <v>0</v>
      </c>
      <c r="Y841" s="19">
        <f>-40.5* IF($M$1="NDX", 10, IF(OR($M$1="SPX", $M$1="RUT"), 2, 1))</f>
        <v>-81</v>
      </c>
      <c r="Z841">
        <f ca="1">IFERROR(Table13345[[#This Row],[call gamma]]*(Table13345[[#This Row],[Open.Int]])*$A$4^2,0)</f>
        <v>0</v>
      </c>
      <c r="AA841">
        <f ca="1">IFERROR(((Table13345[[#This Row],[Open.Int8]])*Table13345[[#This Row],[Put gamma]])*-1*$A$4^2,0)</f>
        <v>0</v>
      </c>
      <c r="AB841">
        <f ca="1">(Table13345[[#This Row],[Call Gex]]+Table13345[[#This Row],[Put Gex]])</f>
        <v>0</v>
      </c>
      <c r="AC841">
        <f ca="1">Table13345[[#This Row],[put delta adj]]+Table13345[[#This Row],[call delta adj]]</f>
        <v>0</v>
      </c>
      <c r="AD841">
        <f ca="1">Table13345[[#This Row],[Put Gex]]*Table13345[[#This Row],[DeltaP]]*-1</f>
        <v>0</v>
      </c>
      <c r="AE841">
        <f ca="1">Table13345[[#This Row],[Call Gex]]*Table13345[[#This Row],[DeltaC]]</f>
        <v>0</v>
      </c>
      <c r="AF841">
        <f>IF(Table13345[[#This Row],[DeltaC]]-ABS(Table13345[[#This Row],[DeltaP]])="0","0.01",Table13345[[#This Row],[DeltaC]]-ABS(Table13345[[#This Row],[DeltaP]]))</f>
        <v>0</v>
      </c>
      <c r="AG84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1" t="e">
        <f ca="1">(EXP(-(AG841^2)/2)/SQRT(2*PI())*EXP(0*SQRT(Table13345[[#This Row],[T]]))/$A$4*18%*SQRT(SQRT(Table13345[[#This Row],[T]])))</f>
        <v>#DIV/0!</v>
      </c>
      <c r="AJ841" t="e">
        <f ca="1">(EXP(-(AH841^2)/2)/SQRT(2*PI())*EXP(0*SQRT(Table13345[[#This Row],[T]]))/$A$4*18%*SQRT(SQRT(Table13345[[#This Row],[T]])))</f>
        <v>#DIV/0!</v>
      </c>
      <c r="AK841" t="e">
        <f ca="1">Table13345[[#This Row],[Call D1]]-Table13345[[#This Row],[IV Calc C]]*SQRT(Table13345[[#This Row],[T]])</f>
        <v>#DIV/0!</v>
      </c>
      <c r="AL841" t="e">
        <f ca="1">Table13345[[#This Row],[Put D1]]-Table13345[[#This Row],[IV Calc P]]*SQRT(Table13345[[#This Row],[T]])</f>
        <v>#DIV/0!</v>
      </c>
      <c r="AM841" t="e">
        <f ca="1">EXP(-0.5*Table13345[[#This Row],[Call D1]]^2)/SQRT(2*PI())</f>
        <v>#DIV/0!</v>
      </c>
      <c r="AN841" t="e">
        <f ca="1">EXP(-0.5*Table13345[[#This Row],[Put D1]]^2)/SQRT(2*PI())</f>
        <v>#DIV/0!</v>
      </c>
      <c r="AO84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1">
        <f ca="1">((Table13345[[#This Row],[call vanna]]+Table13345[[#This Row],[put vanna]])*$A$4)</f>
        <v>0</v>
      </c>
      <c r="AR84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1" s="9" t="str" cm="1">
        <f t="array" ref="AT841">_xlfn.IFS(     $M$1="SPX","SPXW",     $M$1="RUT","RUTW",  $M$1="NDX","NDXP",   TRUE,$M$1 )</f>
        <v>SPXW</v>
      </c>
      <c r="AU841" s="2">
        <f t="shared" si="87"/>
        <v>6915</v>
      </c>
      <c r="AV841" t="str">
        <f t="shared" si="88"/>
        <v>000100</v>
      </c>
      <c r="AY84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1">
        <f>((Table13345[[#This Row],[High C]]+Table13345[[#This Row],[Low C]])/2)*Table13345[[#This Row],[gammac]]*Table13345[[#This Row],[Volume]]</f>
        <v>0</v>
      </c>
      <c r="BD841">
        <f>((Table13345[[#This Row],[High P]]+Table13345[[#This Row],[Low P]])/2)*Table13345[[#This Row],[gammap]]*Table13345[[#This Row],[Volume9]]*-1</f>
        <v>0</v>
      </c>
      <c r="BE841">
        <f>(Table13345[[#This Row],[SgammaC]]+Table13345[[#This Row],[SgammaP]])*$A$4*-100</f>
        <v>0</v>
      </c>
      <c r="BF841">
        <f>Table13345[[#This Row],[DEXc]]+Table13345[[#This Row],[DEXp]]</f>
        <v>0</v>
      </c>
      <c r="BG841">
        <f>IFERROR(Table13345[[#This Row],[DeltaC]]*Table13345[[#This Row],[Open.Int]]*$A$4,0)</f>
        <v>0</v>
      </c>
      <c r="BH841">
        <f>IFERROR(Table13345[[#This Row],[DeltaP]]*Table13345[[#This Row],[Open.Int8]]*$A$4,0)</f>
        <v>0</v>
      </c>
      <c r="BI84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1">
        <f ca="1">Table13345[[#This Row],[charmc]]+Table13345[[#This Row],[charmp]]</f>
        <v>0</v>
      </c>
      <c r="BL84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1" s="78">
        <f ca="1">Table13345[[#This Row],[call helper]]+Table13345[[#This Row],[put helper]]</f>
        <v>0</v>
      </c>
      <c r="BP841" t="str">
        <f>RTD("tos.rtd", , "STRIKE", "."&amp;Table13345[[#This Row],[Ticker]]&amp;Table13345[[#This Row],[Expiry]]&amp;""&amp;"C"&amp;Table13345[[#This Row],[Spot]]+Table13345[[#This Row],[step]])</f>
        <v>N/A</v>
      </c>
    </row>
    <row r="842" spans="1:68" x14ac:dyDescent="0.25">
      <c r="A842" s="14">
        <f t="shared" ca="1" si="84"/>
        <v>-126.14810350076104</v>
      </c>
      <c r="C842" s="17"/>
      <c r="D842" t="str">
        <f>RTD("tos.rtd", , "OPEN_INT", "."&amp;Table13345[[#This Row],[Ticker]]&amp;Table13345[[#This Row],[Expiry]]&amp;""&amp;"C"&amp;Table13345[[#This Row],[Spot]]+Table13345[[#This Row],[step]])</f>
        <v>N/A</v>
      </c>
      <c r="E84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2" t="b">
        <f>IF(     ISNUMBER(Table13345[[#This Row],[Strike]]),RTD("tos.rtd", , "DELTA", "."&amp;Table13345[[#This Row],[Ticker]]&amp;Table13345[[#This Row],[Expiry]]&amp;""&amp;"C"&amp;Table13345[[#This Row],[Strike]]))</f>
        <v>0</v>
      </c>
      <c r="H842" s="17" cm="1">
        <f t="array" aca="1" ref="H842" ca="1">IndividualLegIVCore($A$4, Table13345[[#This Row],[Strike]], 0.0411, Table13345[[#This Row],[T]], ((Table13345[[#This Row],[BIDC]]+Table13345[[#This Row],[ASKC]])/2), TRUE)</f>
        <v>0.01</v>
      </c>
      <c r="I842" t="b">
        <f>IF(     ISNUMBER(Table13345[[#This Row],[Strike]]),RTD("tos.rtd", , "BID", "."&amp;Table13345[[#This Row],[Ticker]]&amp;Table13345[[#This Row],[Expiry]]&amp;""&amp;"C"&amp;Table13345[[#This Row],[Strike]]))</f>
        <v>0</v>
      </c>
      <c r="J842" t="b">
        <f>IF(     ISNUMBER(Table13345[[#This Row],[Strike]]),RTD("tos.rtd", , "ASK", "."&amp;Table13345[[#This Row],[Ticker]]&amp;Table13345[[#This Row],[Expiry]]&amp;""&amp;"C"&amp;Table13345[[#This Row],[Strike]]))</f>
        <v>0</v>
      </c>
      <c r="K842" s="17"/>
      <c r="M842" s="1">
        <f t="shared" si="85"/>
        <v>0</v>
      </c>
      <c r="N842" t="b">
        <f t="shared" si="86"/>
        <v>0</v>
      </c>
      <c r="P842" s="17" cm="1">
        <f t="array" aca="1" ref="P842" ca="1">IndividualLegIVCore($A$4, Table13345[[#This Row],[Strike]], 0.0411, Table13345[[#This Row],[T]], ((Table13345[[#This Row],[BIDP]]+Table13345[[#This Row],[ASKP]])/2), FALSE)</f>
        <v>0.01</v>
      </c>
      <c r="Q842" t="b">
        <f>IF(     ISNUMBER(Table13345[[#This Row],[Strike]]),RTD("tos.rtd", , "BID", "."&amp;Table13345[[#This Row],[Ticker]]&amp;Table13345[[#This Row],[Expiry]]&amp;""&amp;"P"&amp;Table13345[[#This Row],[Strike]]))</f>
        <v>0</v>
      </c>
      <c r="R842" t="b">
        <f>IF(     ISNUMBER(Table13345[[#This Row],[Strike]]),RTD("tos.rtd", , "ASK", "."&amp;Table13345[[#This Row],[Ticker]]&amp;Table13345[[#This Row],[Expiry]]&amp;""&amp;"P"&amp;Table13345[[#This Row],[Strike]]))</f>
        <v>0</v>
      </c>
      <c r="S842" s="17"/>
      <c r="T842" t="b">
        <f>IF(     ISNUMBER(Table13345[[#This Row],[Strike]]),RTD("tos.rtd", , "OPEN_INT", "."&amp;Table13345[[#This Row],[Ticker]]&amp;Table13345[[#This Row],[Expiry]]&amp;""&amp;"P"&amp;Table13345[[#This Row],[Strike]]))</f>
        <v>0</v>
      </c>
      <c r="U84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2" t="b">
        <f>IF(     ISNUMBER(Table13345[[#This Row],[Strike]]),RTD("tos.rtd", , "DELTA", "."&amp;Table13345[[#This Row],[Ticker]]&amp;Table13345[[#This Row],[Expiry]]&amp;""&amp;"P"&amp;Table13345[[#This Row],[Strike]]))</f>
        <v>0</v>
      </c>
      <c r="Y842" s="19">
        <f>-40* IF($M$1="NDX", 10, IF(OR($M$1="SPX", $M$1="RUT"), 2, 1))</f>
        <v>-80</v>
      </c>
      <c r="Z842">
        <f ca="1">IFERROR(Table13345[[#This Row],[call gamma]]*(Table13345[[#This Row],[Open.Int]])*$A$4^2,0)</f>
        <v>0</v>
      </c>
      <c r="AA842">
        <f ca="1">IFERROR(((Table13345[[#This Row],[Open.Int8]])*Table13345[[#This Row],[Put gamma]])*-1*$A$4^2,0)</f>
        <v>0</v>
      </c>
      <c r="AB842">
        <f ca="1">(Table13345[[#This Row],[Call Gex]]+Table13345[[#This Row],[Put Gex]])</f>
        <v>0</v>
      </c>
      <c r="AC842">
        <f ca="1">Table13345[[#This Row],[put delta adj]]+Table13345[[#This Row],[call delta adj]]</f>
        <v>0</v>
      </c>
      <c r="AD842">
        <f ca="1">Table13345[[#This Row],[Put Gex]]*Table13345[[#This Row],[DeltaP]]*-1</f>
        <v>0</v>
      </c>
      <c r="AE842">
        <f ca="1">Table13345[[#This Row],[Call Gex]]*Table13345[[#This Row],[DeltaC]]</f>
        <v>0</v>
      </c>
      <c r="AF842">
        <f>IF(Table13345[[#This Row],[DeltaC]]-ABS(Table13345[[#This Row],[DeltaP]])="0","0.01",Table13345[[#This Row],[DeltaC]]-ABS(Table13345[[#This Row],[DeltaP]]))</f>
        <v>0</v>
      </c>
      <c r="AG84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2" t="e">
        <f ca="1">(EXP(-(AG842^2)/2)/SQRT(2*PI())*EXP(0*SQRT(Table13345[[#This Row],[T]]))/$A$4*18%*SQRT(SQRT(Table13345[[#This Row],[T]])))</f>
        <v>#DIV/0!</v>
      </c>
      <c r="AJ842" t="e">
        <f ca="1">(EXP(-(AH842^2)/2)/SQRT(2*PI())*EXP(0*SQRT(Table13345[[#This Row],[T]]))/$A$4*18%*SQRT(SQRT(Table13345[[#This Row],[T]])))</f>
        <v>#DIV/0!</v>
      </c>
      <c r="AK842" t="e">
        <f ca="1">Table13345[[#This Row],[Call D1]]-Table13345[[#This Row],[IV Calc C]]*SQRT(Table13345[[#This Row],[T]])</f>
        <v>#DIV/0!</v>
      </c>
      <c r="AL842" t="e">
        <f ca="1">Table13345[[#This Row],[Put D1]]-Table13345[[#This Row],[IV Calc P]]*SQRT(Table13345[[#This Row],[T]])</f>
        <v>#DIV/0!</v>
      </c>
      <c r="AM842" t="e">
        <f ca="1">EXP(-0.5*Table13345[[#This Row],[Call D1]]^2)/SQRT(2*PI())</f>
        <v>#DIV/0!</v>
      </c>
      <c r="AN842" t="e">
        <f ca="1">EXP(-0.5*Table13345[[#This Row],[Put D1]]^2)/SQRT(2*PI())</f>
        <v>#DIV/0!</v>
      </c>
      <c r="AO84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2">
        <f ca="1">((Table13345[[#This Row],[call vanna]]+Table13345[[#This Row],[put vanna]])*$A$4)</f>
        <v>0</v>
      </c>
      <c r="AR84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2" s="9" t="str" cm="1">
        <f t="array" ref="AT842">_xlfn.IFS(     $M$1="SPX","SPXW",     $M$1="RUT","RUTW",  $M$1="NDX","NDXP",   TRUE,$M$1 )</f>
        <v>SPXW</v>
      </c>
      <c r="AU842" s="2">
        <f t="shared" si="87"/>
        <v>6915</v>
      </c>
      <c r="AV842" t="str">
        <f t="shared" si="88"/>
        <v>000100</v>
      </c>
      <c r="AY84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2">
        <f>((Table13345[[#This Row],[High C]]+Table13345[[#This Row],[Low C]])/2)*Table13345[[#This Row],[gammac]]*Table13345[[#This Row],[Volume]]</f>
        <v>0</v>
      </c>
      <c r="BD842">
        <f>((Table13345[[#This Row],[High P]]+Table13345[[#This Row],[Low P]])/2)*Table13345[[#This Row],[gammap]]*Table13345[[#This Row],[Volume9]]*-1</f>
        <v>0</v>
      </c>
      <c r="BE842">
        <f>(Table13345[[#This Row],[SgammaC]]+Table13345[[#This Row],[SgammaP]])*$A$4*-100</f>
        <v>0</v>
      </c>
      <c r="BF842">
        <f>Table13345[[#This Row],[DEXc]]+Table13345[[#This Row],[DEXp]]</f>
        <v>0</v>
      </c>
      <c r="BG842">
        <f>IFERROR(Table13345[[#This Row],[DeltaC]]*Table13345[[#This Row],[Open.Int]]*$A$4,0)</f>
        <v>0</v>
      </c>
      <c r="BH842">
        <f>IFERROR(Table13345[[#This Row],[DeltaP]]*Table13345[[#This Row],[Open.Int8]]*$A$4,0)</f>
        <v>0</v>
      </c>
      <c r="BI84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2">
        <f ca="1">Table13345[[#This Row],[charmc]]+Table13345[[#This Row],[charmp]]</f>
        <v>0</v>
      </c>
      <c r="BL84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2" s="78">
        <f ca="1">Table13345[[#This Row],[call helper]]+Table13345[[#This Row],[put helper]]</f>
        <v>0</v>
      </c>
      <c r="BP842" t="str">
        <f>RTD("tos.rtd", , "STRIKE", "."&amp;Table13345[[#This Row],[Ticker]]&amp;Table13345[[#This Row],[Expiry]]&amp;""&amp;"C"&amp;Table13345[[#This Row],[Spot]]+Table13345[[#This Row],[step]])</f>
        <v>N/A</v>
      </c>
    </row>
    <row r="843" spans="1:68" x14ac:dyDescent="0.25">
      <c r="A843" s="14">
        <f t="shared" ca="1" si="84"/>
        <v>-126.14810350076104</v>
      </c>
      <c r="C843" s="17"/>
      <c r="D843" t="str">
        <f>RTD("tos.rtd", , "OPEN_INT", "."&amp;Table13345[[#This Row],[Ticker]]&amp;Table13345[[#This Row],[Expiry]]&amp;""&amp;"C"&amp;Table13345[[#This Row],[Spot]]+Table13345[[#This Row],[step]])</f>
        <v>N/A</v>
      </c>
      <c r="E84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3" t="b">
        <f>IF(     ISNUMBER(Table13345[[#This Row],[Strike]]),RTD("tos.rtd", , "DELTA", "."&amp;Table13345[[#This Row],[Ticker]]&amp;Table13345[[#This Row],[Expiry]]&amp;""&amp;"C"&amp;Table13345[[#This Row],[Strike]]))</f>
        <v>0</v>
      </c>
      <c r="H843" s="17" cm="1">
        <f t="array" aca="1" ref="H843" ca="1">IndividualLegIVCore($A$4, Table13345[[#This Row],[Strike]], 0.0411, Table13345[[#This Row],[T]], ((Table13345[[#This Row],[BIDC]]+Table13345[[#This Row],[ASKC]])/2), TRUE)</f>
        <v>0.01</v>
      </c>
      <c r="I843" t="b">
        <f>IF(     ISNUMBER(Table13345[[#This Row],[Strike]]),RTD("tos.rtd", , "BID", "."&amp;Table13345[[#This Row],[Ticker]]&amp;Table13345[[#This Row],[Expiry]]&amp;""&amp;"C"&amp;Table13345[[#This Row],[Strike]]))</f>
        <v>0</v>
      </c>
      <c r="J843" t="b">
        <f>IF(     ISNUMBER(Table13345[[#This Row],[Strike]]),RTD("tos.rtd", , "ASK", "."&amp;Table13345[[#This Row],[Ticker]]&amp;Table13345[[#This Row],[Expiry]]&amp;""&amp;"C"&amp;Table13345[[#This Row],[Strike]]))</f>
        <v>0</v>
      </c>
      <c r="K843" s="17"/>
      <c r="M843" s="1">
        <f t="shared" si="85"/>
        <v>0</v>
      </c>
      <c r="N843" t="b">
        <f t="shared" si="86"/>
        <v>0</v>
      </c>
      <c r="P843" s="17" cm="1">
        <f t="array" aca="1" ref="P843" ca="1">IndividualLegIVCore($A$4, Table13345[[#This Row],[Strike]], 0.0411, Table13345[[#This Row],[T]], ((Table13345[[#This Row],[BIDP]]+Table13345[[#This Row],[ASKP]])/2), FALSE)</f>
        <v>0.01</v>
      </c>
      <c r="Q843" t="b">
        <f>IF(     ISNUMBER(Table13345[[#This Row],[Strike]]),RTD("tos.rtd", , "BID", "."&amp;Table13345[[#This Row],[Ticker]]&amp;Table13345[[#This Row],[Expiry]]&amp;""&amp;"P"&amp;Table13345[[#This Row],[Strike]]))</f>
        <v>0</v>
      </c>
      <c r="R843" t="b">
        <f>IF(     ISNUMBER(Table13345[[#This Row],[Strike]]),RTD("tos.rtd", , "ASK", "."&amp;Table13345[[#This Row],[Ticker]]&amp;Table13345[[#This Row],[Expiry]]&amp;""&amp;"P"&amp;Table13345[[#This Row],[Strike]]))</f>
        <v>0</v>
      </c>
      <c r="S843" s="17"/>
      <c r="T843" t="b">
        <f>IF(     ISNUMBER(Table13345[[#This Row],[Strike]]),RTD("tos.rtd", , "OPEN_INT", "."&amp;Table13345[[#This Row],[Ticker]]&amp;Table13345[[#This Row],[Expiry]]&amp;""&amp;"P"&amp;Table13345[[#This Row],[Strike]]))</f>
        <v>0</v>
      </c>
      <c r="U84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3" t="b">
        <f>IF(     ISNUMBER(Table13345[[#This Row],[Strike]]),RTD("tos.rtd", , "DELTA", "."&amp;Table13345[[#This Row],[Ticker]]&amp;Table13345[[#This Row],[Expiry]]&amp;""&amp;"P"&amp;Table13345[[#This Row],[Strike]]))</f>
        <v>0</v>
      </c>
      <c r="Y843" s="19">
        <f>-39.5* IF($M$1="NDX", 10, IF(OR($M$1="SPX", $M$1="RUT"), 2, 1))</f>
        <v>-79</v>
      </c>
      <c r="Z843">
        <f ca="1">IFERROR(Table13345[[#This Row],[call gamma]]*(Table13345[[#This Row],[Open.Int]])*$A$4^2,0)</f>
        <v>0</v>
      </c>
      <c r="AA843">
        <f ca="1">IFERROR(((Table13345[[#This Row],[Open.Int8]])*Table13345[[#This Row],[Put gamma]])*-1*$A$4^2,0)</f>
        <v>0</v>
      </c>
      <c r="AB843">
        <f ca="1">(Table13345[[#This Row],[Call Gex]]+Table13345[[#This Row],[Put Gex]])</f>
        <v>0</v>
      </c>
      <c r="AC843">
        <f ca="1">Table13345[[#This Row],[put delta adj]]+Table13345[[#This Row],[call delta adj]]</f>
        <v>0</v>
      </c>
      <c r="AD843">
        <f ca="1">Table13345[[#This Row],[Put Gex]]*Table13345[[#This Row],[DeltaP]]*-1</f>
        <v>0</v>
      </c>
      <c r="AE843">
        <f ca="1">Table13345[[#This Row],[Call Gex]]*Table13345[[#This Row],[DeltaC]]</f>
        <v>0</v>
      </c>
      <c r="AF843">
        <f>IF(Table13345[[#This Row],[DeltaC]]-ABS(Table13345[[#This Row],[DeltaP]])="0","0.01",Table13345[[#This Row],[DeltaC]]-ABS(Table13345[[#This Row],[DeltaP]]))</f>
        <v>0</v>
      </c>
      <c r="AG84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3" t="e">
        <f ca="1">(EXP(-(AG843^2)/2)/SQRT(2*PI())*EXP(0*SQRT(Table13345[[#This Row],[T]]))/$A$4*18%*SQRT(SQRT(Table13345[[#This Row],[T]])))</f>
        <v>#DIV/0!</v>
      </c>
      <c r="AJ843" t="e">
        <f ca="1">(EXP(-(AH843^2)/2)/SQRT(2*PI())*EXP(0*SQRT(Table13345[[#This Row],[T]]))/$A$4*18%*SQRT(SQRT(Table13345[[#This Row],[T]])))</f>
        <v>#DIV/0!</v>
      </c>
      <c r="AK843" t="e">
        <f ca="1">Table13345[[#This Row],[Call D1]]-Table13345[[#This Row],[IV Calc C]]*SQRT(Table13345[[#This Row],[T]])</f>
        <v>#DIV/0!</v>
      </c>
      <c r="AL843" t="e">
        <f ca="1">Table13345[[#This Row],[Put D1]]-Table13345[[#This Row],[IV Calc P]]*SQRT(Table13345[[#This Row],[T]])</f>
        <v>#DIV/0!</v>
      </c>
      <c r="AM843" t="e">
        <f ca="1">EXP(-0.5*Table13345[[#This Row],[Call D1]]^2)/SQRT(2*PI())</f>
        <v>#DIV/0!</v>
      </c>
      <c r="AN843" t="e">
        <f ca="1">EXP(-0.5*Table13345[[#This Row],[Put D1]]^2)/SQRT(2*PI())</f>
        <v>#DIV/0!</v>
      </c>
      <c r="AO84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3">
        <f ca="1">((Table13345[[#This Row],[call vanna]]+Table13345[[#This Row],[put vanna]])*$A$4)</f>
        <v>0</v>
      </c>
      <c r="AR84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3" s="9" t="str" cm="1">
        <f t="array" ref="AT843">_xlfn.IFS(     $M$1="SPX","SPXW",     $M$1="RUT","RUTW",  $M$1="NDX","NDXP",   TRUE,$M$1 )</f>
        <v>SPXW</v>
      </c>
      <c r="AU843" s="2">
        <f t="shared" si="87"/>
        <v>6915</v>
      </c>
      <c r="AV843" t="str">
        <f t="shared" si="88"/>
        <v>000100</v>
      </c>
      <c r="AY84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3">
        <f>((Table13345[[#This Row],[High C]]+Table13345[[#This Row],[Low C]])/2)*Table13345[[#This Row],[gammac]]*Table13345[[#This Row],[Volume]]</f>
        <v>0</v>
      </c>
      <c r="BD843">
        <f>((Table13345[[#This Row],[High P]]+Table13345[[#This Row],[Low P]])/2)*Table13345[[#This Row],[gammap]]*Table13345[[#This Row],[Volume9]]*-1</f>
        <v>0</v>
      </c>
      <c r="BE843">
        <f>(Table13345[[#This Row],[SgammaC]]+Table13345[[#This Row],[SgammaP]])*$A$4*-100</f>
        <v>0</v>
      </c>
      <c r="BF843">
        <f>Table13345[[#This Row],[DEXc]]+Table13345[[#This Row],[DEXp]]</f>
        <v>0</v>
      </c>
      <c r="BG843">
        <f>IFERROR(Table13345[[#This Row],[DeltaC]]*Table13345[[#This Row],[Open.Int]]*$A$4,0)</f>
        <v>0</v>
      </c>
      <c r="BH843">
        <f>IFERROR(Table13345[[#This Row],[DeltaP]]*Table13345[[#This Row],[Open.Int8]]*$A$4,0)</f>
        <v>0</v>
      </c>
      <c r="BI84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3">
        <f ca="1">Table13345[[#This Row],[charmc]]+Table13345[[#This Row],[charmp]]</f>
        <v>0</v>
      </c>
      <c r="BL84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3" s="78">
        <f ca="1">Table13345[[#This Row],[call helper]]+Table13345[[#This Row],[put helper]]</f>
        <v>0</v>
      </c>
      <c r="BP843" t="str">
        <f>RTD("tos.rtd", , "STRIKE", "."&amp;Table13345[[#This Row],[Ticker]]&amp;Table13345[[#This Row],[Expiry]]&amp;""&amp;"C"&amp;Table13345[[#This Row],[Spot]]+Table13345[[#This Row],[step]])</f>
        <v>N/A</v>
      </c>
    </row>
    <row r="844" spans="1:68" x14ac:dyDescent="0.25">
      <c r="A844" s="14">
        <f t="shared" ca="1" si="84"/>
        <v>-126.14810350076104</v>
      </c>
      <c r="C844" s="17"/>
      <c r="D844" t="str">
        <f>RTD("tos.rtd", , "OPEN_INT", "."&amp;Table13345[[#This Row],[Ticker]]&amp;Table13345[[#This Row],[Expiry]]&amp;""&amp;"C"&amp;Table13345[[#This Row],[Spot]]+Table13345[[#This Row],[step]])</f>
        <v>N/A</v>
      </c>
      <c r="E84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4" t="b">
        <f>IF(     ISNUMBER(Table13345[[#This Row],[Strike]]),RTD("tos.rtd", , "DELTA", "."&amp;Table13345[[#This Row],[Ticker]]&amp;Table13345[[#This Row],[Expiry]]&amp;""&amp;"C"&amp;Table13345[[#This Row],[Strike]]))</f>
        <v>0</v>
      </c>
      <c r="H844" s="17" cm="1">
        <f t="array" aca="1" ref="H844" ca="1">IndividualLegIVCore($A$4, Table13345[[#This Row],[Strike]], 0.0411, Table13345[[#This Row],[T]], ((Table13345[[#This Row],[BIDC]]+Table13345[[#This Row],[ASKC]])/2), TRUE)</f>
        <v>0.01</v>
      </c>
      <c r="I844" t="b">
        <f>IF(     ISNUMBER(Table13345[[#This Row],[Strike]]),RTD("tos.rtd", , "BID", "."&amp;Table13345[[#This Row],[Ticker]]&amp;Table13345[[#This Row],[Expiry]]&amp;""&amp;"C"&amp;Table13345[[#This Row],[Strike]]))</f>
        <v>0</v>
      </c>
      <c r="J844" t="b">
        <f>IF(     ISNUMBER(Table13345[[#This Row],[Strike]]),RTD("tos.rtd", , "ASK", "."&amp;Table13345[[#This Row],[Ticker]]&amp;Table13345[[#This Row],[Expiry]]&amp;""&amp;"C"&amp;Table13345[[#This Row],[Strike]]))</f>
        <v>0</v>
      </c>
      <c r="K844" s="17"/>
      <c r="M844" s="1">
        <f t="shared" si="85"/>
        <v>0</v>
      </c>
      <c r="N844" t="b">
        <f t="shared" si="86"/>
        <v>0</v>
      </c>
      <c r="P844" s="17" cm="1">
        <f t="array" aca="1" ref="P844" ca="1">IndividualLegIVCore($A$4, Table13345[[#This Row],[Strike]], 0.0411, Table13345[[#This Row],[T]], ((Table13345[[#This Row],[BIDP]]+Table13345[[#This Row],[ASKP]])/2), FALSE)</f>
        <v>0.01</v>
      </c>
      <c r="Q844" t="b">
        <f>IF(     ISNUMBER(Table13345[[#This Row],[Strike]]),RTD("tos.rtd", , "BID", "."&amp;Table13345[[#This Row],[Ticker]]&amp;Table13345[[#This Row],[Expiry]]&amp;""&amp;"P"&amp;Table13345[[#This Row],[Strike]]))</f>
        <v>0</v>
      </c>
      <c r="R844" t="b">
        <f>IF(     ISNUMBER(Table13345[[#This Row],[Strike]]),RTD("tos.rtd", , "ASK", "."&amp;Table13345[[#This Row],[Ticker]]&amp;Table13345[[#This Row],[Expiry]]&amp;""&amp;"P"&amp;Table13345[[#This Row],[Strike]]))</f>
        <v>0</v>
      </c>
      <c r="S844" s="17"/>
      <c r="T844" t="b">
        <f>IF(     ISNUMBER(Table13345[[#This Row],[Strike]]),RTD("tos.rtd", , "OPEN_INT", "."&amp;Table13345[[#This Row],[Ticker]]&amp;Table13345[[#This Row],[Expiry]]&amp;""&amp;"P"&amp;Table13345[[#This Row],[Strike]]))</f>
        <v>0</v>
      </c>
      <c r="U84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4" t="b">
        <f>IF(     ISNUMBER(Table13345[[#This Row],[Strike]]),RTD("tos.rtd", , "DELTA", "."&amp;Table13345[[#This Row],[Ticker]]&amp;Table13345[[#This Row],[Expiry]]&amp;""&amp;"P"&amp;Table13345[[#This Row],[Strike]]))</f>
        <v>0</v>
      </c>
      <c r="Y844" s="19">
        <f>-39* IF($M$1="NDX", 10, IF(OR($M$1="SPX", $M$1="RUT"), 2, 1))</f>
        <v>-78</v>
      </c>
      <c r="Z844">
        <f ca="1">IFERROR(Table13345[[#This Row],[call gamma]]*(Table13345[[#This Row],[Open.Int]])*$A$4^2,0)</f>
        <v>0</v>
      </c>
      <c r="AA844">
        <f ca="1">IFERROR(((Table13345[[#This Row],[Open.Int8]])*Table13345[[#This Row],[Put gamma]])*-1*$A$4^2,0)</f>
        <v>0</v>
      </c>
      <c r="AB844">
        <f ca="1">(Table13345[[#This Row],[Call Gex]]+Table13345[[#This Row],[Put Gex]])</f>
        <v>0</v>
      </c>
      <c r="AC844">
        <f ca="1">Table13345[[#This Row],[put delta adj]]+Table13345[[#This Row],[call delta adj]]</f>
        <v>0</v>
      </c>
      <c r="AD844">
        <f ca="1">Table13345[[#This Row],[Put Gex]]*Table13345[[#This Row],[DeltaP]]*-1</f>
        <v>0</v>
      </c>
      <c r="AE844">
        <f ca="1">Table13345[[#This Row],[Call Gex]]*Table13345[[#This Row],[DeltaC]]</f>
        <v>0</v>
      </c>
      <c r="AF844">
        <f>IF(Table13345[[#This Row],[DeltaC]]-ABS(Table13345[[#This Row],[DeltaP]])="0","0.01",Table13345[[#This Row],[DeltaC]]-ABS(Table13345[[#This Row],[DeltaP]]))</f>
        <v>0</v>
      </c>
      <c r="AG84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4" t="e">
        <f ca="1">(EXP(-(AG844^2)/2)/SQRT(2*PI())*EXP(0*SQRT(Table13345[[#This Row],[T]]))/$A$4*18%*SQRT(SQRT(Table13345[[#This Row],[T]])))</f>
        <v>#DIV/0!</v>
      </c>
      <c r="AJ844" t="e">
        <f ca="1">(EXP(-(AH844^2)/2)/SQRT(2*PI())*EXP(0*SQRT(Table13345[[#This Row],[T]]))/$A$4*18%*SQRT(SQRT(Table13345[[#This Row],[T]])))</f>
        <v>#DIV/0!</v>
      </c>
      <c r="AK844" t="e">
        <f ca="1">Table13345[[#This Row],[Call D1]]-Table13345[[#This Row],[IV Calc C]]*SQRT(Table13345[[#This Row],[T]])</f>
        <v>#DIV/0!</v>
      </c>
      <c r="AL844" t="e">
        <f ca="1">Table13345[[#This Row],[Put D1]]-Table13345[[#This Row],[IV Calc P]]*SQRT(Table13345[[#This Row],[T]])</f>
        <v>#DIV/0!</v>
      </c>
      <c r="AM844" t="e">
        <f ca="1">EXP(-0.5*Table13345[[#This Row],[Call D1]]^2)/SQRT(2*PI())</f>
        <v>#DIV/0!</v>
      </c>
      <c r="AN844" t="e">
        <f ca="1">EXP(-0.5*Table13345[[#This Row],[Put D1]]^2)/SQRT(2*PI())</f>
        <v>#DIV/0!</v>
      </c>
      <c r="AO84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4">
        <f ca="1">((Table13345[[#This Row],[call vanna]]+Table13345[[#This Row],[put vanna]])*$A$4)</f>
        <v>0</v>
      </c>
      <c r="AR84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4" s="9" t="str" cm="1">
        <f t="array" ref="AT844">_xlfn.IFS(     $M$1="SPX","SPXW",     $M$1="RUT","RUTW",  $M$1="NDX","NDXP",   TRUE,$M$1 )</f>
        <v>SPXW</v>
      </c>
      <c r="AU844" s="2">
        <f t="shared" si="87"/>
        <v>6915</v>
      </c>
      <c r="AV844" t="str">
        <f t="shared" si="88"/>
        <v>000100</v>
      </c>
      <c r="AY84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4">
        <f>((Table13345[[#This Row],[High C]]+Table13345[[#This Row],[Low C]])/2)*Table13345[[#This Row],[gammac]]*Table13345[[#This Row],[Volume]]</f>
        <v>0</v>
      </c>
      <c r="BD844">
        <f>((Table13345[[#This Row],[High P]]+Table13345[[#This Row],[Low P]])/2)*Table13345[[#This Row],[gammap]]*Table13345[[#This Row],[Volume9]]*-1</f>
        <v>0</v>
      </c>
      <c r="BE844">
        <f>(Table13345[[#This Row],[SgammaC]]+Table13345[[#This Row],[SgammaP]])*$A$4*-100</f>
        <v>0</v>
      </c>
      <c r="BF844">
        <f>Table13345[[#This Row],[DEXc]]+Table13345[[#This Row],[DEXp]]</f>
        <v>0</v>
      </c>
      <c r="BG844">
        <f>IFERROR(Table13345[[#This Row],[DeltaC]]*Table13345[[#This Row],[Open.Int]]*$A$4,0)</f>
        <v>0</v>
      </c>
      <c r="BH844">
        <f>IFERROR(Table13345[[#This Row],[DeltaP]]*Table13345[[#This Row],[Open.Int8]]*$A$4,0)</f>
        <v>0</v>
      </c>
      <c r="BI84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4">
        <f ca="1">Table13345[[#This Row],[charmc]]+Table13345[[#This Row],[charmp]]</f>
        <v>0</v>
      </c>
      <c r="BL84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4" s="78">
        <f ca="1">Table13345[[#This Row],[call helper]]+Table13345[[#This Row],[put helper]]</f>
        <v>0</v>
      </c>
      <c r="BP844" t="str">
        <f>RTD("tos.rtd", , "STRIKE", "."&amp;Table13345[[#This Row],[Ticker]]&amp;Table13345[[#This Row],[Expiry]]&amp;""&amp;"C"&amp;Table13345[[#This Row],[Spot]]+Table13345[[#This Row],[step]])</f>
        <v>N/A</v>
      </c>
    </row>
    <row r="845" spans="1:68" x14ac:dyDescent="0.25">
      <c r="A845" s="14">
        <f t="shared" ca="1" si="84"/>
        <v>-126.14810350076104</v>
      </c>
      <c r="C845" s="17"/>
      <c r="D845" t="str">
        <f>RTD("tos.rtd", , "OPEN_INT", "."&amp;Table13345[[#This Row],[Ticker]]&amp;Table13345[[#This Row],[Expiry]]&amp;""&amp;"C"&amp;Table13345[[#This Row],[Spot]]+Table13345[[#This Row],[step]])</f>
        <v>N/A</v>
      </c>
      <c r="E84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5" t="b">
        <f>IF(     ISNUMBER(Table13345[[#This Row],[Strike]]),RTD("tos.rtd", , "DELTA", "."&amp;Table13345[[#This Row],[Ticker]]&amp;Table13345[[#This Row],[Expiry]]&amp;""&amp;"C"&amp;Table13345[[#This Row],[Strike]]))</f>
        <v>0</v>
      </c>
      <c r="H845" s="17" cm="1">
        <f t="array" aca="1" ref="H845" ca="1">IndividualLegIVCore($A$4, Table13345[[#This Row],[Strike]], 0.0411, Table13345[[#This Row],[T]], ((Table13345[[#This Row],[BIDC]]+Table13345[[#This Row],[ASKC]])/2), TRUE)</f>
        <v>0.01</v>
      </c>
      <c r="I845" t="b">
        <f>IF(     ISNUMBER(Table13345[[#This Row],[Strike]]),RTD("tos.rtd", , "BID", "."&amp;Table13345[[#This Row],[Ticker]]&amp;Table13345[[#This Row],[Expiry]]&amp;""&amp;"C"&amp;Table13345[[#This Row],[Strike]]))</f>
        <v>0</v>
      </c>
      <c r="J845" t="b">
        <f>IF(     ISNUMBER(Table13345[[#This Row],[Strike]]),RTD("tos.rtd", , "ASK", "."&amp;Table13345[[#This Row],[Ticker]]&amp;Table13345[[#This Row],[Expiry]]&amp;""&amp;"C"&amp;Table13345[[#This Row],[Strike]]))</f>
        <v>0</v>
      </c>
      <c r="K845" s="17"/>
      <c r="M845" s="1">
        <f t="shared" si="85"/>
        <v>0</v>
      </c>
      <c r="N845" t="b">
        <f t="shared" si="86"/>
        <v>0</v>
      </c>
      <c r="P845" s="17" cm="1">
        <f t="array" aca="1" ref="P845" ca="1">IndividualLegIVCore($A$4, Table13345[[#This Row],[Strike]], 0.0411, Table13345[[#This Row],[T]], ((Table13345[[#This Row],[BIDP]]+Table13345[[#This Row],[ASKP]])/2), FALSE)</f>
        <v>0.01</v>
      </c>
      <c r="Q845" t="b">
        <f>IF(     ISNUMBER(Table13345[[#This Row],[Strike]]),RTD("tos.rtd", , "BID", "."&amp;Table13345[[#This Row],[Ticker]]&amp;Table13345[[#This Row],[Expiry]]&amp;""&amp;"P"&amp;Table13345[[#This Row],[Strike]]))</f>
        <v>0</v>
      </c>
      <c r="R845" t="b">
        <f>IF(     ISNUMBER(Table13345[[#This Row],[Strike]]),RTD("tos.rtd", , "ASK", "."&amp;Table13345[[#This Row],[Ticker]]&amp;Table13345[[#This Row],[Expiry]]&amp;""&amp;"P"&amp;Table13345[[#This Row],[Strike]]))</f>
        <v>0</v>
      </c>
      <c r="S845" s="17"/>
      <c r="T845" t="b">
        <f>IF(     ISNUMBER(Table13345[[#This Row],[Strike]]),RTD("tos.rtd", , "OPEN_INT", "."&amp;Table13345[[#This Row],[Ticker]]&amp;Table13345[[#This Row],[Expiry]]&amp;""&amp;"P"&amp;Table13345[[#This Row],[Strike]]))</f>
        <v>0</v>
      </c>
      <c r="U84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5" t="b">
        <f>IF(     ISNUMBER(Table13345[[#This Row],[Strike]]),RTD("tos.rtd", , "DELTA", "."&amp;Table13345[[#This Row],[Ticker]]&amp;Table13345[[#This Row],[Expiry]]&amp;""&amp;"P"&amp;Table13345[[#This Row],[Strike]]))</f>
        <v>0</v>
      </c>
      <c r="Y845" s="19">
        <f>-38.5* IF($M$1="NDX", 10, IF(OR($M$1="SPX", $M$1="RUT"), 2, 1))</f>
        <v>-77</v>
      </c>
      <c r="Z845">
        <f ca="1">IFERROR(Table13345[[#This Row],[call gamma]]*(Table13345[[#This Row],[Open.Int]])*$A$4^2,0)</f>
        <v>0</v>
      </c>
      <c r="AA845">
        <f ca="1">IFERROR(((Table13345[[#This Row],[Open.Int8]])*Table13345[[#This Row],[Put gamma]])*-1*$A$4^2,0)</f>
        <v>0</v>
      </c>
      <c r="AB845">
        <f ca="1">(Table13345[[#This Row],[Call Gex]]+Table13345[[#This Row],[Put Gex]])</f>
        <v>0</v>
      </c>
      <c r="AC845">
        <f ca="1">Table13345[[#This Row],[put delta adj]]+Table13345[[#This Row],[call delta adj]]</f>
        <v>0</v>
      </c>
      <c r="AD845">
        <f ca="1">Table13345[[#This Row],[Put Gex]]*Table13345[[#This Row],[DeltaP]]*-1</f>
        <v>0</v>
      </c>
      <c r="AE845">
        <f ca="1">Table13345[[#This Row],[Call Gex]]*Table13345[[#This Row],[DeltaC]]</f>
        <v>0</v>
      </c>
      <c r="AF845">
        <f>IF(Table13345[[#This Row],[DeltaC]]-ABS(Table13345[[#This Row],[DeltaP]])="0","0.01",Table13345[[#This Row],[DeltaC]]-ABS(Table13345[[#This Row],[DeltaP]]))</f>
        <v>0</v>
      </c>
      <c r="AG84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5" t="e">
        <f ca="1">(EXP(-(AG845^2)/2)/SQRT(2*PI())*EXP(0*SQRT(Table13345[[#This Row],[T]]))/$A$4*18%*SQRT(SQRT(Table13345[[#This Row],[T]])))</f>
        <v>#DIV/0!</v>
      </c>
      <c r="AJ845" t="e">
        <f ca="1">(EXP(-(AH845^2)/2)/SQRT(2*PI())*EXP(0*SQRT(Table13345[[#This Row],[T]]))/$A$4*18%*SQRT(SQRT(Table13345[[#This Row],[T]])))</f>
        <v>#DIV/0!</v>
      </c>
      <c r="AK845" t="e">
        <f ca="1">Table13345[[#This Row],[Call D1]]-Table13345[[#This Row],[IV Calc C]]*SQRT(Table13345[[#This Row],[T]])</f>
        <v>#DIV/0!</v>
      </c>
      <c r="AL845" t="e">
        <f ca="1">Table13345[[#This Row],[Put D1]]-Table13345[[#This Row],[IV Calc P]]*SQRT(Table13345[[#This Row],[T]])</f>
        <v>#DIV/0!</v>
      </c>
      <c r="AM845" t="e">
        <f ca="1">EXP(-0.5*Table13345[[#This Row],[Call D1]]^2)/SQRT(2*PI())</f>
        <v>#DIV/0!</v>
      </c>
      <c r="AN845" t="e">
        <f ca="1">EXP(-0.5*Table13345[[#This Row],[Put D1]]^2)/SQRT(2*PI())</f>
        <v>#DIV/0!</v>
      </c>
      <c r="AO84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5">
        <f ca="1">((Table13345[[#This Row],[call vanna]]+Table13345[[#This Row],[put vanna]])*$A$4)</f>
        <v>0</v>
      </c>
      <c r="AR84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5" s="9" t="str" cm="1">
        <f t="array" ref="AT845">_xlfn.IFS(     $M$1="SPX","SPXW",     $M$1="RUT","RUTW",  $M$1="NDX","NDXP",   TRUE,$M$1 )</f>
        <v>SPXW</v>
      </c>
      <c r="AU845" s="2">
        <f t="shared" si="87"/>
        <v>6915</v>
      </c>
      <c r="AV845" t="str">
        <f t="shared" si="88"/>
        <v>000100</v>
      </c>
      <c r="AY84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5">
        <f>((Table13345[[#This Row],[High C]]+Table13345[[#This Row],[Low C]])/2)*Table13345[[#This Row],[gammac]]*Table13345[[#This Row],[Volume]]</f>
        <v>0</v>
      </c>
      <c r="BD845">
        <f>((Table13345[[#This Row],[High P]]+Table13345[[#This Row],[Low P]])/2)*Table13345[[#This Row],[gammap]]*Table13345[[#This Row],[Volume9]]*-1</f>
        <v>0</v>
      </c>
      <c r="BE845">
        <f>(Table13345[[#This Row],[SgammaC]]+Table13345[[#This Row],[SgammaP]])*$A$4*-100</f>
        <v>0</v>
      </c>
      <c r="BF845">
        <f>Table13345[[#This Row],[DEXc]]+Table13345[[#This Row],[DEXp]]</f>
        <v>0</v>
      </c>
      <c r="BG845">
        <f>IFERROR(Table13345[[#This Row],[DeltaC]]*Table13345[[#This Row],[Open.Int]]*$A$4,0)</f>
        <v>0</v>
      </c>
      <c r="BH845">
        <f>IFERROR(Table13345[[#This Row],[DeltaP]]*Table13345[[#This Row],[Open.Int8]]*$A$4,0)</f>
        <v>0</v>
      </c>
      <c r="BI84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5">
        <f ca="1">Table13345[[#This Row],[charmc]]+Table13345[[#This Row],[charmp]]</f>
        <v>0</v>
      </c>
      <c r="BL84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5" s="78">
        <f ca="1">Table13345[[#This Row],[call helper]]+Table13345[[#This Row],[put helper]]</f>
        <v>0</v>
      </c>
      <c r="BP845" t="str">
        <f>RTD("tos.rtd", , "STRIKE", "."&amp;Table13345[[#This Row],[Ticker]]&amp;Table13345[[#This Row],[Expiry]]&amp;""&amp;"C"&amp;Table13345[[#This Row],[Spot]]+Table13345[[#This Row],[step]])</f>
        <v>N/A</v>
      </c>
    </row>
    <row r="846" spans="1:68" x14ac:dyDescent="0.25">
      <c r="A846" s="14">
        <f t="shared" ca="1" si="84"/>
        <v>-126.14810350076104</v>
      </c>
      <c r="C846" s="17"/>
      <c r="D846" t="str">
        <f>RTD("tos.rtd", , "OPEN_INT", "."&amp;Table13345[[#This Row],[Ticker]]&amp;Table13345[[#This Row],[Expiry]]&amp;""&amp;"C"&amp;Table13345[[#This Row],[Spot]]+Table13345[[#This Row],[step]])</f>
        <v>N/A</v>
      </c>
      <c r="E84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6" t="b">
        <f>IF(     ISNUMBER(Table13345[[#This Row],[Strike]]),RTD("tos.rtd", , "DELTA", "."&amp;Table13345[[#This Row],[Ticker]]&amp;Table13345[[#This Row],[Expiry]]&amp;""&amp;"C"&amp;Table13345[[#This Row],[Strike]]))</f>
        <v>0</v>
      </c>
      <c r="H846" s="17" cm="1">
        <f t="array" aca="1" ref="H846" ca="1">IndividualLegIVCore($A$4, Table13345[[#This Row],[Strike]], 0.0411, Table13345[[#This Row],[T]], ((Table13345[[#This Row],[BIDC]]+Table13345[[#This Row],[ASKC]])/2), TRUE)</f>
        <v>0.01</v>
      </c>
      <c r="I846" t="b">
        <f>IF(     ISNUMBER(Table13345[[#This Row],[Strike]]),RTD("tos.rtd", , "BID", "."&amp;Table13345[[#This Row],[Ticker]]&amp;Table13345[[#This Row],[Expiry]]&amp;""&amp;"C"&amp;Table13345[[#This Row],[Strike]]))</f>
        <v>0</v>
      </c>
      <c r="J846" t="b">
        <f>IF(     ISNUMBER(Table13345[[#This Row],[Strike]]),RTD("tos.rtd", , "ASK", "."&amp;Table13345[[#This Row],[Ticker]]&amp;Table13345[[#This Row],[Expiry]]&amp;""&amp;"C"&amp;Table13345[[#This Row],[Strike]]))</f>
        <v>0</v>
      </c>
      <c r="K846" s="17"/>
      <c r="M846" s="1">
        <f t="shared" si="85"/>
        <v>0</v>
      </c>
      <c r="N846" t="b">
        <f t="shared" si="86"/>
        <v>0</v>
      </c>
      <c r="P846" s="17" cm="1">
        <f t="array" aca="1" ref="P846" ca="1">IndividualLegIVCore($A$4, Table13345[[#This Row],[Strike]], 0.0411, Table13345[[#This Row],[T]], ((Table13345[[#This Row],[BIDP]]+Table13345[[#This Row],[ASKP]])/2), FALSE)</f>
        <v>0.01</v>
      </c>
      <c r="Q846" t="b">
        <f>IF(     ISNUMBER(Table13345[[#This Row],[Strike]]),RTD("tos.rtd", , "BID", "."&amp;Table13345[[#This Row],[Ticker]]&amp;Table13345[[#This Row],[Expiry]]&amp;""&amp;"P"&amp;Table13345[[#This Row],[Strike]]))</f>
        <v>0</v>
      </c>
      <c r="R846" t="b">
        <f>IF(     ISNUMBER(Table13345[[#This Row],[Strike]]),RTD("tos.rtd", , "ASK", "."&amp;Table13345[[#This Row],[Ticker]]&amp;Table13345[[#This Row],[Expiry]]&amp;""&amp;"P"&amp;Table13345[[#This Row],[Strike]]))</f>
        <v>0</v>
      </c>
      <c r="S846" s="17"/>
      <c r="T846" t="b">
        <f>IF(     ISNUMBER(Table13345[[#This Row],[Strike]]),RTD("tos.rtd", , "OPEN_INT", "."&amp;Table13345[[#This Row],[Ticker]]&amp;Table13345[[#This Row],[Expiry]]&amp;""&amp;"P"&amp;Table13345[[#This Row],[Strike]]))</f>
        <v>0</v>
      </c>
      <c r="U84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6" t="b">
        <f>IF(     ISNUMBER(Table13345[[#This Row],[Strike]]),RTD("tos.rtd", , "DELTA", "."&amp;Table13345[[#This Row],[Ticker]]&amp;Table13345[[#This Row],[Expiry]]&amp;""&amp;"P"&amp;Table13345[[#This Row],[Strike]]))</f>
        <v>0</v>
      </c>
      <c r="Y846" s="19">
        <f>-38* IF($M$1="NDX", 10, IF(OR($M$1="SPX", $M$1="RUT"), 2, 1))</f>
        <v>-76</v>
      </c>
      <c r="Z846">
        <f ca="1">IFERROR(Table13345[[#This Row],[call gamma]]*(Table13345[[#This Row],[Open.Int]])*$A$4^2,0)</f>
        <v>0</v>
      </c>
      <c r="AA846">
        <f ca="1">IFERROR(((Table13345[[#This Row],[Open.Int8]])*Table13345[[#This Row],[Put gamma]])*-1*$A$4^2,0)</f>
        <v>0</v>
      </c>
      <c r="AB846">
        <f ca="1">(Table13345[[#This Row],[Call Gex]]+Table13345[[#This Row],[Put Gex]])</f>
        <v>0</v>
      </c>
      <c r="AC846">
        <f ca="1">Table13345[[#This Row],[put delta adj]]+Table13345[[#This Row],[call delta adj]]</f>
        <v>0</v>
      </c>
      <c r="AD846">
        <f ca="1">Table13345[[#This Row],[Put Gex]]*Table13345[[#This Row],[DeltaP]]*-1</f>
        <v>0</v>
      </c>
      <c r="AE846">
        <f ca="1">Table13345[[#This Row],[Call Gex]]*Table13345[[#This Row],[DeltaC]]</f>
        <v>0</v>
      </c>
      <c r="AF846">
        <f>IF(Table13345[[#This Row],[DeltaC]]-ABS(Table13345[[#This Row],[DeltaP]])="0","0.01",Table13345[[#This Row],[DeltaC]]-ABS(Table13345[[#This Row],[DeltaP]]))</f>
        <v>0</v>
      </c>
      <c r="AG84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6" t="e">
        <f ca="1">(EXP(-(AG846^2)/2)/SQRT(2*PI())*EXP(0*SQRT(Table13345[[#This Row],[T]]))/$A$4*18%*SQRT(SQRT(Table13345[[#This Row],[T]])))</f>
        <v>#DIV/0!</v>
      </c>
      <c r="AJ846" t="e">
        <f ca="1">(EXP(-(AH846^2)/2)/SQRT(2*PI())*EXP(0*SQRT(Table13345[[#This Row],[T]]))/$A$4*18%*SQRT(SQRT(Table13345[[#This Row],[T]])))</f>
        <v>#DIV/0!</v>
      </c>
      <c r="AK846" t="e">
        <f ca="1">Table13345[[#This Row],[Call D1]]-Table13345[[#This Row],[IV Calc C]]*SQRT(Table13345[[#This Row],[T]])</f>
        <v>#DIV/0!</v>
      </c>
      <c r="AL846" t="e">
        <f ca="1">Table13345[[#This Row],[Put D1]]-Table13345[[#This Row],[IV Calc P]]*SQRT(Table13345[[#This Row],[T]])</f>
        <v>#DIV/0!</v>
      </c>
      <c r="AM846" t="e">
        <f ca="1">EXP(-0.5*Table13345[[#This Row],[Call D1]]^2)/SQRT(2*PI())</f>
        <v>#DIV/0!</v>
      </c>
      <c r="AN846" t="e">
        <f ca="1">EXP(-0.5*Table13345[[#This Row],[Put D1]]^2)/SQRT(2*PI())</f>
        <v>#DIV/0!</v>
      </c>
      <c r="AO84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6">
        <f ca="1">((Table13345[[#This Row],[call vanna]]+Table13345[[#This Row],[put vanna]])*$A$4)</f>
        <v>0</v>
      </c>
      <c r="AR84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6" s="9" t="str" cm="1">
        <f t="array" ref="AT846">_xlfn.IFS(     $M$1="SPX","SPXW",     $M$1="RUT","RUTW",  $M$1="NDX","NDXP",   TRUE,$M$1 )</f>
        <v>SPXW</v>
      </c>
      <c r="AU846" s="2">
        <f t="shared" si="87"/>
        <v>6915</v>
      </c>
      <c r="AV846" t="str">
        <f t="shared" si="88"/>
        <v>000100</v>
      </c>
      <c r="AY84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6">
        <f>((Table13345[[#This Row],[High C]]+Table13345[[#This Row],[Low C]])/2)*Table13345[[#This Row],[gammac]]*Table13345[[#This Row],[Volume]]</f>
        <v>0</v>
      </c>
      <c r="BD846">
        <f>((Table13345[[#This Row],[High P]]+Table13345[[#This Row],[Low P]])/2)*Table13345[[#This Row],[gammap]]*Table13345[[#This Row],[Volume9]]*-1</f>
        <v>0</v>
      </c>
      <c r="BE846">
        <f>(Table13345[[#This Row],[SgammaC]]+Table13345[[#This Row],[SgammaP]])*$A$4*-100</f>
        <v>0</v>
      </c>
      <c r="BF846">
        <f>Table13345[[#This Row],[DEXc]]+Table13345[[#This Row],[DEXp]]</f>
        <v>0</v>
      </c>
      <c r="BG846">
        <f>IFERROR(Table13345[[#This Row],[DeltaC]]*Table13345[[#This Row],[Open.Int]]*$A$4,0)</f>
        <v>0</v>
      </c>
      <c r="BH846">
        <f>IFERROR(Table13345[[#This Row],[DeltaP]]*Table13345[[#This Row],[Open.Int8]]*$A$4,0)</f>
        <v>0</v>
      </c>
      <c r="BI84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6">
        <f ca="1">Table13345[[#This Row],[charmc]]+Table13345[[#This Row],[charmp]]</f>
        <v>0</v>
      </c>
      <c r="BL84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6" s="78">
        <f ca="1">Table13345[[#This Row],[call helper]]+Table13345[[#This Row],[put helper]]</f>
        <v>0</v>
      </c>
      <c r="BP846" t="str">
        <f>RTD("tos.rtd", , "STRIKE", "."&amp;Table13345[[#This Row],[Ticker]]&amp;Table13345[[#This Row],[Expiry]]&amp;""&amp;"C"&amp;Table13345[[#This Row],[Spot]]+Table13345[[#This Row],[step]])</f>
        <v>N/A</v>
      </c>
    </row>
    <row r="847" spans="1:68" x14ac:dyDescent="0.25">
      <c r="A847" s="14">
        <f t="shared" ca="1" si="84"/>
        <v>-126.14810350076104</v>
      </c>
      <c r="C847" s="17"/>
      <c r="D847" t="str">
        <f>RTD("tos.rtd", , "OPEN_INT", "."&amp;Table13345[[#This Row],[Ticker]]&amp;Table13345[[#This Row],[Expiry]]&amp;""&amp;"C"&amp;Table13345[[#This Row],[Spot]]+Table13345[[#This Row],[step]])</f>
        <v>N/A</v>
      </c>
      <c r="E84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7" t="b">
        <f>IF(     ISNUMBER(Table13345[[#This Row],[Strike]]),RTD("tos.rtd", , "DELTA", "."&amp;Table13345[[#This Row],[Ticker]]&amp;Table13345[[#This Row],[Expiry]]&amp;""&amp;"C"&amp;Table13345[[#This Row],[Strike]]))</f>
        <v>0</v>
      </c>
      <c r="H847" s="17" cm="1">
        <f t="array" aca="1" ref="H847" ca="1">IndividualLegIVCore($A$4, Table13345[[#This Row],[Strike]], 0.0411, Table13345[[#This Row],[T]], ((Table13345[[#This Row],[BIDC]]+Table13345[[#This Row],[ASKC]])/2), TRUE)</f>
        <v>0.01</v>
      </c>
      <c r="I847" t="b">
        <f>IF(     ISNUMBER(Table13345[[#This Row],[Strike]]),RTD("tos.rtd", , "BID", "."&amp;Table13345[[#This Row],[Ticker]]&amp;Table13345[[#This Row],[Expiry]]&amp;""&amp;"C"&amp;Table13345[[#This Row],[Strike]]))</f>
        <v>0</v>
      </c>
      <c r="J847" t="b">
        <f>IF(     ISNUMBER(Table13345[[#This Row],[Strike]]),RTD("tos.rtd", , "ASK", "."&amp;Table13345[[#This Row],[Ticker]]&amp;Table13345[[#This Row],[Expiry]]&amp;""&amp;"C"&amp;Table13345[[#This Row],[Strike]]))</f>
        <v>0</v>
      </c>
      <c r="K847" s="17"/>
      <c r="M847" s="1">
        <f t="shared" si="85"/>
        <v>0</v>
      </c>
      <c r="N847" t="b">
        <f t="shared" si="86"/>
        <v>0</v>
      </c>
      <c r="P847" s="17" cm="1">
        <f t="array" aca="1" ref="P847" ca="1">IndividualLegIVCore($A$4, Table13345[[#This Row],[Strike]], 0.0411, Table13345[[#This Row],[T]], ((Table13345[[#This Row],[BIDP]]+Table13345[[#This Row],[ASKP]])/2), FALSE)</f>
        <v>0.01</v>
      </c>
      <c r="Q847" t="b">
        <f>IF(     ISNUMBER(Table13345[[#This Row],[Strike]]),RTD("tos.rtd", , "BID", "."&amp;Table13345[[#This Row],[Ticker]]&amp;Table13345[[#This Row],[Expiry]]&amp;""&amp;"P"&amp;Table13345[[#This Row],[Strike]]))</f>
        <v>0</v>
      </c>
      <c r="R847" t="b">
        <f>IF(     ISNUMBER(Table13345[[#This Row],[Strike]]),RTD("tos.rtd", , "ASK", "."&amp;Table13345[[#This Row],[Ticker]]&amp;Table13345[[#This Row],[Expiry]]&amp;""&amp;"P"&amp;Table13345[[#This Row],[Strike]]))</f>
        <v>0</v>
      </c>
      <c r="S847" s="17"/>
      <c r="T847" t="b">
        <f>IF(     ISNUMBER(Table13345[[#This Row],[Strike]]),RTD("tos.rtd", , "OPEN_INT", "."&amp;Table13345[[#This Row],[Ticker]]&amp;Table13345[[#This Row],[Expiry]]&amp;""&amp;"P"&amp;Table13345[[#This Row],[Strike]]))</f>
        <v>0</v>
      </c>
      <c r="U84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7" t="b">
        <f>IF(     ISNUMBER(Table13345[[#This Row],[Strike]]),RTD("tos.rtd", , "DELTA", "."&amp;Table13345[[#This Row],[Ticker]]&amp;Table13345[[#This Row],[Expiry]]&amp;""&amp;"P"&amp;Table13345[[#This Row],[Strike]]))</f>
        <v>0</v>
      </c>
      <c r="Y847" s="19">
        <f>-37.5* IF($M$1="NDX", 10, IF(OR($M$1="SPX", $M$1="RUT"), 2, 1))</f>
        <v>-75</v>
      </c>
      <c r="Z847">
        <f ca="1">IFERROR(Table13345[[#This Row],[call gamma]]*(Table13345[[#This Row],[Open.Int]])*$A$4^2,0)</f>
        <v>0</v>
      </c>
      <c r="AA847">
        <f ca="1">IFERROR(((Table13345[[#This Row],[Open.Int8]])*Table13345[[#This Row],[Put gamma]])*-1*$A$4^2,0)</f>
        <v>0</v>
      </c>
      <c r="AB847">
        <f ca="1">(Table13345[[#This Row],[Call Gex]]+Table13345[[#This Row],[Put Gex]])</f>
        <v>0</v>
      </c>
      <c r="AC847">
        <f ca="1">Table13345[[#This Row],[put delta adj]]+Table13345[[#This Row],[call delta adj]]</f>
        <v>0</v>
      </c>
      <c r="AD847">
        <f ca="1">Table13345[[#This Row],[Put Gex]]*Table13345[[#This Row],[DeltaP]]*-1</f>
        <v>0</v>
      </c>
      <c r="AE847">
        <f ca="1">Table13345[[#This Row],[Call Gex]]*Table13345[[#This Row],[DeltaC]]</f>
        <v>0</v>
      </c>
      <c r="AF847">
        <f>IF(Table13345[[#This Row],[DeltaC]]-ABS(Table13345[[#This Row],[DeltaP]])="0","0.01",Table13345[[#This Row],[DeltaC]]-ABS(Table13345[[#This Row],[DeltaP]]))</f>
        <v>0</v>
      </c>
      <c r="AG84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7" t="e">
        <f ca="1">(EXP(-(AG847^2)/2)/SQRT(2*PI())*EXP(0*SQRT(Table13345[[#This Row],[T]]))/$A$4*18%*SQRT(SQRT(Table13345[[#This Row],[T]])))</f>
        <v>#DIV/0!</v>
      </c>
      <c r="AJ847" t="e">
        <f ca="1">(EXP(-(AH847^2)/2)/SQRT(2*PI())*EXP(0*SQRT(Table13345[[#This Row],[T]]))/$A$4*18%*SQRT(SQRT(Table13345[[#This Row],[T]])))</f>
        <v>#DIV/0!</v>
      </c>
      <c r="AK847" t="e">
        <f ca="1">Table13345[[#This Row],[Call D1]]-Table13345[[#This Row],[IV Calc C]]*SQRT(Table13345[[#This Row],[T]])</f>
        <v>#DIV/0!</v>
      </c>
      <c r="AL847" t="e">
        <f ca="1">Table13345[[#This Row],[Put D1]]-Table13345[[#This Row],[IV Calc P]]*SQRT(Table13345[[#This Row],[T]])</f>
        <v>#DIV/0!</v>
      </c>
      <c r="AM847" t="e">
        <f ca="1">EXP(-0.5*Table13345[[#This Row],[Call D1]]^2)/SQRT(2*PI())</f>
        <v>#DIV/0!</v>
      </c>
      <c r="AN847" t="e">
        <f ca="1">EXP(-0.5*Table13345[[#This Row],[Put D1]]^2)/SQRT(2*PI())</f>
        <v>#DIV/0!</v>
      </c>
      <c r="AO84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7">
        <f ca="1">((Table13345[[#This Row],[call vanna]]+Table13345[[#This Row],[put vanna]])*$A$4)</f>
        <v>0</v>
      </c>
      <c r="AR84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7" s="9" t="str" cm="1">
        <f t="array" ref="AT847">_xlfn.IFS(     $M$1="SPX","SPXW",     $M$1="RUT","RUTW",  $M$1="NDX","NDXP",   TRUE,$M$1 )</f>
        <v>SPXW</v>
      </c>
      <c r="AU847" s="2">
        <f t="shared" si="87"/>
        <v>6915</v>
      </c>
      <c r="AV847" t="str">
        <f t="shared" si="88"/>
        <v>000100</v>
      </c>
      <c r="AY84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7">
        <f>((Table13345[[#This Row],[High C]]+Table13345[[#This Row],[Low C]])/2)*Table13345[[#This Row],[gammac]]*Table13345[[#This Row],[Volume]]</f>
        <v>0</v>
      </c>
      <c r="BD847">
        <f>((Table13345[[#This Row],[High P]]+Table13345[[#This Row],[Low P]])/2)*Table13345[[#This Row],[gammap]]*Table13345[[#This Row],[Volume9]]*-1</f>
        <v>0</v>
      </c>
      <c r="BE847">
        <f>(Table13345[[#This Row],[SgammaC]]+Table13345[[#This Row],[SgammaP]])*$A$4*-100</f>
        <v>0</v>
      </c>
      <c r="BF847">
        <f>Table13345[[#This Row],[DEXc]]+Table13345[[#This Row],[DEXp]]</f>
        <v>0</v>
      </c>
      <c r="BG847">
        <f>IFERROR(Table13345[[#This Row],[DeltaC]]*Table13345[[#This Row],[Open.Int]]*$A$4,0)</f>
        <v>0</v>
      </c>
      <c r="BH847">
        <f>IFERROR(Table13345[[#This Row],[DeltaP]]*Table13345[[#This Row],[Open.Int8]]*$A$4,0)</f>
        <v>0</v>
      </c>
      <c r="BI84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7">
        <f ca="1">Table13345[[#This Row],[charmc]]+Table13345[[#This Row],[charmp]]</f>
        <v>0</v>
      </c>
      <c r="BL84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7" s="78">
        <f ca="1">Table13345[[#This Row],[call helper]]+Table13345[[#This Row],[put helper]]</f>
        <v>0</v>
      </c>
      <c r="BP847" t="str">
        <f>RTD("tos.rtd", , "STRIKE", "."&amp;Table13345[[#This Row],[Ticker]]&amp;Table13345[[#This Row],[Expiry]]&amp;""&amp;"C"&amp;Table13345[[#This Row],[Spot]]+Table13345[[#This Row],[step]])</f>
        <v>N/A</v>
      </c>
    </row>
    <row r="848" spans="1:68" x14ac:dyDescent="0.25">
      <c r="A848" s="14">
        <f t="shared" ca="1" si="84"/>
        <v>-126.14810350076104</v>
      </c>
      <c r="C848" s="17"/>
      <c r="D848" t="str">
        <f>RTD("tos.rtd", , "OPEN_INT", "."&amp;Table13345[[#This Row],[Ticker]]&amp;Table13345[[#This Row],[Expiry]]&amp;""&amp;"C"&amp;Table13345[[#This Row],[Spot]]+Table13345[[#This Row],[step]])</f>
        <v>N/A</v>
      </c>
      <c r="E84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8" t="b">
        <f>IF(     ISNUMBER(Table13345[[#This Row],[Strike]]),RTD("tos.rtd", , "DELTA", "."&amp;Table13345[[#This Row],[Ticker]]&amp;Table13345[[#This Row],[Expiry]]&amp;""&amp;"C"&amp;Table13345[[#This Row],[Strike]]))</f>
        <v>0</v>
      </c>
      <c r="H848" s="17" cm="1">
        <f t="array" aca="1" ref="H848" ca="1">IndividualLegIVCore($A$4, Table13345[[#This Row],[Strike]], 0.0411, Table13345[[#This Row],[T]], ((Table13345[[#This Row],[BIDC]]+Table13345[[#This Row],[ASKC]])/2), TRUE)</f>
        <v>0.01</v>
      </c>
      <c r="I848" t="b">
        <f>IF(     ISNUMBER(Table13345[[#This Row],[Strike]]),RTD("tos.rtd", , "BID", "."&amp;Table13345[[#This Row],[Ticker]]&amp;Table13345[[#This Row],[Expiry]]&amp;""&amp;"C"&amp;Table13345[[#This Row],[Strike]]))</f>
        <v>0</v>
      </c>
      <c r="J848" t="b">
        <f>IF(     ISNUMBER(Table13345[[#This Row],[Strike]]),RTD("tos.rtd", , "ASK", "."&amp;Table13345[[#This Row],[Ticker]]&amp;Table13345[[#This Row],[Expiry]]&amp;""&amp;"C"&amp;Table13345[[#This Row],[Strike]]))</f>
        <v>0</v>
      </c>
      <c r="K848" s="17"/>
      <c r="M848" s="1">
        <f t="shared" si="85"/>
        <v>0</v>
      </c>
      <c r="N848" t="b">
        <f t="shared" si="86"/>
        <v>0</v>
      </c>
      <c r="P848" s="17" cm="1">
        <f t="array" aca="1" ref="P848" ca="1">IndividualLegIVCore($A$4, Table13345[[#This Row],[Strike]], 0.0411, Table13345[[#This Row],[T]], ((Table13345[[#This Row],[BIDP]]+Table13345[[#This Row],[ASKP]])/2), FALSE)</f>
        <v>0.01</v>
      </c>
      <c r="Q848" t="b">
        <f>IF(     ISNUMBER(Table13345[[#This Row],[Strike]]),RTD("tos.rtd", , "BID", "."&amp;Table13345[[#This Row],[Ticker]]&amp;Table13345[[#This Row],[Expiry]]&amp;""&amp;"P"&amp;Table13345[[#This Row],[Strike]]))</f>
        <v>0</v>
      </c>
      <c r="R848" t="b">
        <f>IF(     ISNUMBER(Table13345[[#This Row],[Strike]]),RTD("tos.rtd", , "ASK", "."&amp;Table13345[[#This Row],[Ticker]]&amp;Table13345[[#This Row],[Expiry]]&amp;""&amp;"P"&amp;Table13345[[#This Row],[Strike]]))</f>
        <v>0</v>
      </c>
      <c r="S848" s="17"/>
      <c r="T848" t="b">
        <f>IF(     ISNUMBER(Table13345[[#This Row],[Strike]]),RTD("tos.rtd", , "OPEN_INT", "."&amp;Table13345[[#This Row],[Ticker]]&amp;Table13345[[#This Row],[Expiry]]&amp;""&amp;"P"&amp;Table13345[[#This Row],[Strike]]))</f>
        <v>0</v>
      </c>
      <c r="U84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8" t="b">
        <f>IF(     ISNUMBER(Table13345[[#This Row],[Strike]]),RTD("tos.rtd", , "DELTA", "."&amp;Table13345[[#This Row],[Ticker]]&amp;Table13345[[#This Row],[Expiry]]&amp;""&amp;"P"&amp;Table13345[[#This Row],[Strike]]))</f>
        <v>0</v>
      </c>
      <c r="Y848" s="19">
        <f xml:space="preserve"> -37 * IF($M$1="NDX", 10, IF(OR($M$1="SPX", $M$1="RUT"), 2, 1))</f>
        <v>-74</v>
      </c>
      <c r="Z848">
        <f ca="1">IFERROR(Table13345[[#This Row],[call gamma]]*(Table13345[[#This Row],[Open.Int]])*$A$4^2,0)</f>
        <v>0</v>
      </c>
      <c r="AA848">
        <f ca="1">IFERROR(((Table13345[[#This Row],[Open.Int8]])*Table13345[[#This Row],[Put gamma]])*-1*$A$4^2,0)</f>
        <v>0</v>
      </c>
      <c r="AB848">
        <f ca="1">(Table13345[[#This Row],[Call Gex]]+Table13345[[#This Row],[Put Gex]])</f>
        <v>0</v>
      </c>
      <c r="AC848">
        <f ca="1">Table13345[[#This Row],[put delta adj]]+Table13345[[#This Row],[call delta adj]]</f>
        <v>0</v>
      </c>
      <c r="AD848">
        <f ca="1">Table13345[[#This Row],[Put Gex]]*Table13345[[#This Row],[DeltaP]]*-1</f>
        <v>0</v>
      </c>
      <c r="AE848">
        <f ca="1">Table13345[[#This Row],[Call Gex]]*Table13345[[#This Row],[DeltaC]]</f>
        <v>0</v>
      </c>
      <c r="AF848">
        <f>IF(Table13345[[#This Row],[DeltaC]]-ABS(Table13345[[#This Row],[DeltaP]])="0","0.01",Table13345[[#This Row],[DeltaC]]-ABS(Table13345[[#This Row],[DeltaP]]))</f>
        <v>0</v>
      </c>
      <c r="AG84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8" t="e">
        <f ca="1">(EXP(-(AG848^2)/2)/SQRT(2*PI())*EXP(0*SQRT(Table13345[[#This Row],[T]]))/$A$4*18%*SQRT(SQRT(Table13345[[#This Row],[T]])))</f>
        <v>#DIV/0!</v>
      </c>
      <c r="AJ848" t="e">
        <f ca="1">(EXP(-(AH848^2)/2)/SQRT(2*PI())*EXP(0*SQRT(Table13345[[#This Row],[T]]))/$A$4*18%*SQRT(SQRT(Table13345[[#This Row],[T]])))</f>
        <v>#DIV/0!</v>
      </c>
      <c r="AK848" t="e">
        <f ca="1">Table13345[[#This Row],[Call D1]]-Table13345[[#This Row],[IV Calc C]]*SQRT(Table13345[[#This Row],[T]])</f>
        <v>#DIV/0!</v>
      </c>
      <c r="AL848" t="e">
        <f ca="1">Table13345[[#This Row],[Put D1]]-Table13345[[#This Row],[IV Calc P]]*SQRT(Table13345[[#This Row],[T]])</f>
        <v>#DIV/0!</v>
      </c>
      <c r="AM848" t="e">
        <f ca="1">EXP(-0.5*Table13345[[#This Row],[Call D1]]^2)/SQRT(2*PI())</f>
        <v>#DIV/0!</v>
      </c>
      <c r="AN848" t="e">
        <f ca="1">EXP(-0.5*Table13345[[#This Row],[Put D1]]^2)/SQRT(2*PI())</f>
        <v>#DIV/0!</v>
      </c>
      <c r="AO84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8">
        <f ca="1">((Table13345[[#This Row],[call vanna]]+Table13345[[#This Row],[put vanna]])*$A$4)</f>
        <v>0</v>
      </c>
      <c r="AR84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8" s="9" t="str" cm="1">
        <f t="array" ref="AT848">_xlfn.IFS(     $M$1="SPX","SPXW",     $M$1="RUT","RUTW",  $M$1="NDX","NDXP",   TRUE,$M$1 )</f>
        <v>SPXW</v>
      </c>
      <c r="AU848" s="2">
        <f t="shared" si="87"/>
        <v>6915</v>
      </c>
      <c r="AV848" t="str">
        <f t="shared" si="88"/>
        <v>000100</v>
      </c>
      <c r="AY84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8">
        <f>((Table13345[[#This Row],[High C]]+Table13345[[#This Row],[Low C]])/2)*Table13345[[#This Row],[gammac]]*Table13345[[#This Row],[Volume]]</f>
        <v>0</v>
      </c>
      <c r="BD848">
        <f>((Table13345[[#This Row],[High P]]+Table13345[[#This Row],[Low P]])/2)*Table13345[[#This Row],[gammap]]*Table13345[[#This Row],[Volume9]]*-1</f>
        <v>0</v>
      </c>
      <c r="BE848">
        <f>(Table13345[[#This Row],[SgammaC]]+Table13345[[#This Row],[SgammaP]])*$A$4*-100</f>
        <v>0</v>
      </c>
      <c r="BF848">
        <f>Table13345[[#This Row],[DEXc]]+Table13345[[#This Row],[DEXp]]</f>
        <v>0</v>
      </c>
      <c r="BG848">
        <f>IFERROR(Table13345[[#This Row],[DeltaC]]*Table13345[[#This Row],[Open.Int]]*$A$4,0)</f>
        <v>0</v>
      </c>
      <c r="BH848">
        <f>IFERROR(Table13345[[#This Row],[DeltaP]]*Table13345[[#This Row],[Open.Int8]]*$A$4,0)</f>
        <v>0</v>
      </c>
      <c r="BI84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8">
        <f ca="1">Table13345[[#This Row],[charmc]]+Table13345[[#This Row],[charmp]]</f>
        <v>0</v>
      </c>
      <c r="BL84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8" s="78">
        <f ca="1">Table13345[[#This Row],[call helper]]+Table13345[[#This Row],[put helper]]</f>
        <v>0</v>
      </c>
      <c r="BP848" t="str">
        <f>RTD("tos.rtd", , "STRIKE", "."&amp;Table13345[[#This Row],[Ticker]]&amp;Table13345[[#This Row],[Expiry]]&amp;""&amp;"C"&amp;Table13345[[#This Row],[Spot]]+Table13345[[#This Row],[step]])</f>
        <v>N/A</v>
      </c>
    </row>
    <row r="849" spans="1:68" x14ac:dyDescent="0.25">
      <c r="A849" s="14">
        <f t="shared" ca="1" si="84"/>
        <v>-126.14810350076104</v>
      </c>
      <c r="C849" s="17"/>
      <c r="D849" t="str">
        <f>RTD("tos.rtd", , "OPEN_INT", "."&amp;Table13345[[#This Row],[Ticker]]&amp;Table13345[[#This Row],[Expiry]]&amp;""&amp;"C"&amp;Table13345[[#This Row],[Spot]]+Table13345[[#This Row],[step]])</f>
        <v>N/A</v>
      </c>
      <c r="E84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9" t="b">
        <f>IF(     ISNUMBER(Table13345[[#This Row],[Strike]]),RTD("tos.rtd", , "DELTA", "."&amp;Table13345[[#This Row],[Ticker]]&amp;Table13345[[#This Row],[Expiry]]&amp;""&amp;"C"&amp;Table13345[[#This Row],[Strike]]))</f>
        <v>0</v>
      </c>
      <c r="H849" s="17" cm="1">
        <f t="array" aca="1" ref="H849" ca="1">IndividualLegIVCore($A$4, Table13345[[#This Row],[Strike]], 0.0411, Table13345[[#This Row],[T]], ((Table13345[[#This Row],[BIDC]]+Table13345[[#This Row],[ASKC]])/2), TRUE)</f>
        <v>0.01</v>
      </c>
      <c r="I849" t="b">
        <f>IF(     ISNUMBER(Table13345[[#This Row],[Strike]]),RTD("tos.rtd", , "BID", "."&amp;Table13345[[#This Row],[Ticker]]&amp;Table13345[[#This Row],[Expiry]]&amp;""&amp;"C"&amp;Table13345[[#This Row],[Strike]]))</f>
        <v>0</v>
      </c>
      <c r="J849" t="b">
        <f>IF(     ISNUMBER(Table13345[[#This Row],[Strike]]),RTD("tos.rtd", , "ASK", "."&amp;Table13345[[#This Row],[Ticker]]&amp;Table13345[[#This Row],[Expiry]]&amp;""&amp;"C"&amp;Table13345[[#This Row],[Strike]]))</f>
        <v>0</v>
      </c>
      <c r="K849" s="17"/>
      <c r="M849" s="1">
        <f t="shared" si="85"/>
        <v>0</v>
      </c>
      <c r="N849" t="b">
        <f t="shared" si="86"/>
        <v>0</v>
      </c>
      <c r="P849" s="17" cm="1">
        <f t="array" aca="1" ref="P849" ca="1">IndividualLegIVCore($A$4, Table13345[[#This Row],[Strike]], 0.0411, Table13345[[#This Row],[T]], ((Table13345[[#This Row],[BIDP]]+Table13345[[#This Row],[ASKP]])/2), FALSE)</f>
        <v>0.01</v>
      </c>
      <c r="Q849" t="b">
        <f>IF(     ISNUMBER(Table13345[[#This Row],[Strike]]),RTD("tos.rtd", , "BID", "."&amp;Table13345[[#This Row],[Ticker]]&amp;Table13345[[#This Row],[Expiry]]&amp;""&amp;"P"&amp;Table13345[[#This Row],[Strike]]))</f>
        <v>0</v>
      </c>
      <c r="R849" t="b">
        <f>IF(     ISNUMBER(Table13345[[#This Row],[Strike]]),RTD("tos.rtd", , "ASK", "."&amp;Table13345[[#This Row],[Ticker]]&amp;Table13345[[#This Row],[Expiry]]&amp;""&amp;"P"&amp;Table13345[[#This Row],[Strike]]))</f>
        <v>0</v>
      </c>
      <c r="S849" s="17"/>
      <c r="T849" t="b">
        <f>IF(     ISNUMBER(Table13345[[#This Row],[Strike]]),RTD("tos.rtd", , "OPEN_INT", "."&amp;Table13345[[#This Row],[Ticker]]&amp;Table13345[[#This Row],[Expiry]]&amp;""&amp;"P"&amp;Table13345[[#This Row],[Strike]]))</f>
        <v>0</v>
      </c>
      <c r="U84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9" t="b">
        <f>IF(     ISNUMBER(Table13345[[#This Row],[Strike]]),RTD("tos.rtd", , "DELTA", "."&amp;Table13345[[#This Row],[Ticker]]&amp;Table13345[[#This Row],[Expiry]]&amp;""&amp;"P"&amp;Table13345[[#This Row],[Strike]]))</f>
        <v>0</v>
      </c>
      <c r="Y849" s="19">
        <f>-36.5 * IF($M$1="NDX", 10, IF(OR($M$1="SPX", $M$1="RUT"), 2, 1))</f>
        <v>-73</v>
      </c>
      <c r="Z849">
        <f ca="1">IFERROR(Table13345[[#This Row],[call gamma]]*(Table13345[[#This Row],[Open.Int]])*$A$4^2,0)</f>
        <v>0</v>
      </c>
      <c r="AA849">
        <f ca="1">IFERROR(((Table13345[[#This Row],[Open.Int8]])*Table13345[[#This Row],[Put gamma]])*-1*$A$4^2,0)</f>
        <v>0</v>
      </c>
      <c r="AB849">
        <f ca="1">(Table13345[[#This Row],[Call Gex]]+Table13345[[#This Row],[Put Gex]])</f>
        <v>0</v>
      </c>
      <c r="AC849">
        <f ca="1">Table13345[[#This Row],[put delta adj]]+Table13345[[#This Row],[call delta adj]]</f>
        <v>0</v>
      </c>
      <c r="AD849">
        <f ca="1">Table13345[[#This Row],[Put Gex]]*Table13345[[#This Row],[DeltaP]]*-1</f>
        <v>0</v>
      </c>
      <c r="AE849">
        <f ca="1">Table13345[[#This Row],[Call Gex]]*Table13345[[#This Row],[DeltaC]]</f>
        <v>0</v>
      </c>
      <c r="AF849">
        <f>IF(Table13345[[#This Row],[DeltaC]]-ABS(Table13345[[#This Row],[DeltaP]])="0","0.01",Table13345[[#This Row],[DeltaC]]-ABS(Table13345[[#This Row],[DeltaP]]))</f>
        <v>0</v>
      </c>
      <c r="AG84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9" t="e">
        <f ca="1">(EXP(-(AG849^2)/2)/SQRT(2*PI())*EXP(0*SQRT(Table13345[[#This Row],[T]]))/$A$4*18%*SQRT(SQRT(Table13345[[#This Row],[T]])))</f>
        <v>#DIV/0!</v>
      </c>
      <c r="AJ849" t="e">
        <f ca="1">(EXP(-(AH849^2)/2)/SQRT(2*PI())*EXP(0*SQRT(Table13345[[#This Row],[T]]))/$A$4*18%*SQRT(SQRT(Table13345[[#This Row],[T]])))</f>
        <v>#DIV/0!</v>
      </c>
      <c r="AK849" t="e">
        <f ca="1">Table13345[[#This Row],[Call D1]]-Table13345[[#This Row],[IV Calc C]]*SQRT(Table13345[[#This Row],[T]])</f>
        <v>#DIV/0!</v>
      </c>
      <c r="AL849" t="e">
        <f ca="1">Table13345[[#This Row],[Put D1]]-Table13345[[#This Row],[IV Calc P]]*SQRT(Table13345[[#This Row],[T]])</f>
        <v>#DIV/0!</v>
      </c>
      <c r="AM849" t="e">
        <f ca="1">EXP(-0.5*Table13345[[#This Row],[Call D1]]^2)/SQRT(2*PI())</f>
        <v>#DIV/0!</v>
      </c>
      <c r="AN849" t="e">
        <f ca="1">EXP(-0.5*Table13345[[#This Row],[Put D1]]^2)/SQRT(2*PI())</f>
        <v>#DIV/0!</v>
      </c>
      <c r="AO84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9">
        <f ca="1">((Table13345[[#This Row],[call vanna]]+Table13345[[#This Row],[put vanna]])*$A$4)</f>
        <v>0</v>
      </c>
      <c r="AR84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9" s="9" t="str" cm="1">
        <f t="array" ref="AT849">_xlfn.IFS(     $M$1="SPX","SPXW",     $M$1="RUT","RUTW",  $M$1="NDX","NDXP",   TRUE,$M$1 )</f>
        <v>SPXW</v>
      </c>
      <c r="AU849" s="2">
        <f t="shared" si="87"/>
        <v>6915</v>
      </c>
      <c r="AV849" t="str">
        <f t="shared" si="88"/>
        <v>000100</v>
      </c>
      <c r="AY84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9">
        <f>((Table13345[[#This Row],[High C]]+Table13345[[#This Row],[Low C]])/2)*Table13345[[#This Row],[gammac]]*Table13345[[#This Row],[Volume]]</f>
        <v>0</v>
      </c>
      <c r="BD849">
        <f>((Table13345[[#This Row],[High P]]+Table13345[[#This Row],[Low P]])/2)*Table13345[[#This Row],[gammap]]*Table13345[[#This Row],[Volume9]]*-1</f>
        <v>0</v>
      </c>
      <c r="BE849">
        <f>(Table13345[[#This Row],[SgammaC]]+Table13345[[#This Row],[SgammaP]])*$A$4*-100</f>
        <v>0</v>
      </c>
      <c r="BF849">
        <f>Table13345[[#This Row],[DEXc]]+Table13345[[#This Row],[DEXp]]</f>
        <v>0</v>
      </c>
      <c r="BG849">
        <f>IFERROR(Table13345[[#This Row],[DeltaC]]*Table13345[[#This Row],[Open.Int]]*$A$4,0)</f>
        <v>0</v>
      </c>
      <c r="BH849">
        <f>IFERROR(Table13345[[#This Row],[DeltaP]]*Table13345[[#This Row],[Open.Int8]]*$A$4,0)</f>
        <v>0</v>
      </c>
      <c r="BI84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9">
        <f ca="1">Table13345[[#This Row],[charmc]]+Table13345[[#This Row],[charmp]]</f>
        <v>0</v>
      </c>
      <c r="BL84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9" s="78">
        <f ca="1">Table13345[[#This Row],[call helper]]+Table13345[[#This Row],[put helper]]</f>
        <v>0</v>
      </c>
      <c r="BP849" t="str">
        <f>RTD("tos.rtd", , "STRIKE", "."&amp;Table13345[[#This Row],[Ticker]]&amp;Table13345[[#This Row],[Expiry]]&amp;""&amp;"C"&amp;Table13345[[#This Row],[Spot]]+Table13345[[#This Row],[step]])</f>
        <v>N/A</v>
      </c>
    </row>
    <row r="850" spans="1:68" x14ac:dyDescent="0.25">
      <c r="A850" s="14">
        <f t="shared" ca="1" si="84"/>
        <v>-126.14810350076104</v>
      </c>
      <c r="C850" s="17"/>
      <c r="D850" t="str">
        <f>RTD("tos.rtd", , "OPEN_INT", "."&amp;Table13345[[#This Row],[Ticker]]&amp;Table13345[[#This Row],[Expiry]]&amp;""&amp;"C"&amp;Table13345[[#This Row],[Spot]]+Table13345[[#This Row],[step]])</f>
        <v>N/A</v>
      </c>
      <c r="E85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0" t="b">
        <f>IF(     ISNUMBER(Table13345[[#This Row],[Strike]]),RTD("tos.rtd", , "DELTA", "."&amp;Table13345[[#This Row],[Ticker]]&amp;Table13345[[#This Row],[Expiry]]&amp;""&amp;"C"&amp;Table13345[[#This Row],[Strike]]))</f>
        <v>0</v>
      </c>
      <c r="H850" s="17" cm="1">
        <f t="array" aca="1" ref="H850" ca="1">IndividualLegIVCore($A$4, Table13345[[#This Row],[Strike]], 0.0411, Table13345[[#This Row],[T]], ((Table13345[[#This Row],[BIDC]]+Table13345[[#This Row],[ASKC]])/2), TRUE)</f>
        <v>0.01</v>
      </c>
      <c r="I850" t="b">
        <f>IF(     ISNUMBER(Table13345[[#This Row],[Strike]]),RTD("tos.rtd", , "BID", "."&amp;Table13345[[#This Row],[Ticker]]&amp;Table13345[[#This Row],[Expiry]]&amp;""&amp;"C"&amp;Table13345[[#This Row],[Strike]]))</f>
        <v>0</v>
      </c>
      <c r="J850" t="b">
        <f>IF(     ISNUMBER(Table13345[[#This Row],[Strike]]),RTD("tos.rtd", , "ASK", "."&amp;Table13345[[#This Row],[Ticker]]&amp;Table13345[[#This Row],[Expiry]]&amp;""&amp;"C"&amp;Table13345[[#This Row],[Strike]]))</f>
        <v>0</v>
      </c>
      <c r="K850" s="17"/>
      <c r="M850" s="1">
        <f t="shared" si="85"/>
        <v>0</v>
      </c>
      <c r="N850" t="b">
        <f t="shared" si="86"/>
        <v>0</v>
      </c>
      <c r="P850" s="17" cm="1">
        <f t="array" aca="1" ref="P850" ca="1">IndividualLegIVCore($A$4, Table13345[[#This Row],[Strike]], 0.0411, Table13345[[#This Row],[T]], ((Table13345[[#This Row],[BIDP]]+Table13345[[#This Row],[ASKP]])/2), FALSE)</f>
        <v>0.01</v>
      </c>
      <c r="Q850" t="b">
        <f>IF(     ISNUMBER(Table13345[[#This Row],[Strike]]),RTD("tos.rtd", , "BID", "."&amp;Table13345[[#This Row],[Ticker]]&amp;Table13345[[#This Row],[Expiry]]&amp;""&amp;"P"&amp;Table13345[[#This Row],[Strike]]))</f>
        <v>0</v>
      </c>
      <c r="R850" t="b">
        <f>IF(     ISNUMBER(Table13345[[#This Row],[Strike]]),RTD("tos.rtd", , "ASK", "."&amp;Table13345[[#This Row],[Ticker]]&amp;Table13345[[#This Row],[Expiry]]&amp;""&amp;"P"&amp;Table13345[[#This Row],[Strike]]))</f>
        <v>0</v>
      </c>
      <c r="S850" s="17"/>
      <c r="T850" t="b">
        <f>IF(     ISNUMBER(Table13345[[#This Row],[Strike]]),RTD("tos.rtd", , "OPEN_INT", "."&amp;Table13345[[#This Row],[Ticker]]&amp;Table13345[[#This Row],[Expiry]]&amp;""&amp;"P"&amp;Table13345[[#This Row],[Strike]]))</f>
        <v>0</v>
      </c>
      <c r="U85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0" t="b">
        <f>IF(     ISNUMBER(Table13345[[#This Row],[Strike]]),RTD("tos.rtd", , "DELTA", "."&amp;Table13345[[#This Row],[Ticker]]&amp;Table13345[[#This Row],[Expiry]]&amp;""&amp;"P"&amp;Table13345[[#This Row],[Strike]]))</f>
        <v>0</v>
      </c>
      <c r="Y850" s="19">
        <f>-36 * IF($M$1="NDX", 10, IF(OR($M$1="SPX", $M$1="RUT"), 2, 1))</f>
        <v>-72</v>
      </c>
      <c r="Z850">
        <f ca="1">IFERROR(Table13345[[#This Row],[call gamma]]*(Table13345[[#This Row],[Open.Int]])*$A$4^2,0)</f>
        <v>0</v>
      </c>
      <c r="AA850">
        <f ca="1">IFERROR(((Table13345[[#This Row],[Open.Int8]])*Table13345[[#This Row],[Put gamma]])*-1*$A$4^2,0)</f>
        <v>0</v>
      </c>
      <c r="AB850">
        <f ca="1">(Table13345[[#This Row],[Call Gex]]+Table13345[[#This Row],[Put Gex]])</f>
        <v>0</v>
      </c>
      <c r="AC850">
        <f ca="1">Table13345[[#This Row],[put delta adj]]+Table13345[[#This Row],[call delta adj]]</f>
        <v>0</v>
      </c>
      <c r="AD850">
        <f ca="1">Table13345[[#This Row],[Put Gex]]*Table13345[[#This Row],[DeltaP]]*-1</f>
        <v>0</v>
      </c>
      <c r="AE850">
        <f ca="1">Table13345[[#This Row],[Call Gex]]*Table13345[[#This Row],[DeltaC]]</f>
        <v>0</v>
      </c>
      <c r="AF850">
        <f>IF(Table13345[[#This Row],[DeltaC]]-ABS(Table13345[[#This Row],[DeltaP]])="0","0.01",Table13345[[#This Row],[DeltaC]]-ABS(Table13345[[#This Row],[DeltaP]]))</f>
        <v>0</v>
      </c>
      <c r="AG85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0" t="e">
        <f ca="1">(EXP(-(AG850^2)/2)/SQRT(2*PI())*EXP(0*SQRT(Table13345[[#This Row],[T]]))/$A$4*18%*SQRT(SQRT(Table13345[[#This Row],[T]])))</f>
        <v>#DIV/0!</v>
      </c>
      <c r="AJ850" t="e">
        <f ca="1">(EXP(-(AH850^2)/2)/SQRT(2*PI())*EXP(0*SQRT(Table13345[[#This Row],[T]]))/$A$4*18%*SQRT(SQRT(Table13345[[#This Row],[T]])))</f>
        <v>#DIV/0!</v>
      </c>
      <c r="AK850" t="e">
        <f ca="1">Table13345[[#This Row],[Call D1]]-Table13345[[#This Row],[IV Calc C]]*SQRT(Table13345[[#This Row],[T]])</f>
        <v>#DIV/0!</v>
      </c>
      <c r="AL850" t="e">
        <f ca="1">Table13345[[#This Row],[Put D1]]-Table13345[[#This Row],[IV Calc P]]*SQRT(Table13345[[#This Row],[T]])</f>
        <v>#DIV/0!</v>
      </c>
      <c r="AM850" t="e">
        <f ca="1">EXP(-0.5*Table13345[[#This Row],[Call D1]]^2)/SQRT(2*PI())</f>
        <v>#DIV/0!</v>
      </c>
      <c r="AN850" t="e">
        <f ca="1">EXP(-0.5*Table13345[[#This Row],[Put D1]]^2)/SQRT(2*PI())</f>
        <v>#DIV/0!</v>
      </c>
      <c r="AO85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0">
        <f ca="1">((Table13345[[#This Row],[call vanna]]+Table13345[[#This Row],[put vanna]])*$A$4)</f>
        <v>0</v>
      </c>
      <c r="AR85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0" s="9" t="str" cm="1">
        <f t="array" ref="AT850">_xlfn.IFS(     $M$1="SPX","SPXW",     $M$1="RUT","RUTW",  $M$1="NDX","NDXP",   TRUE,$M$1 )</f>
        <v>SPXW</v>
      </c>
      <c r="AU850" s="2">
        <f t="shared" si="87"/>
        <v>6915</v>
      </c>
      <c r="AV850" t="str">
        <f t="shared" si="88"/>
        <v>000100</v>
      </c>
      <c r="AY85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0">
        <f>((Table13345[[#This Row],[High C]]+Table13345[[#This Row],[Low C]])/2)*Table13345[[#This Row],[gammac]]*Table13345[[#This Row],[Volume]]</f>
        <v>0</v>
      </c>
      <c r="BD850">
        <f>((Table13345[[#This Row],[High P]]+Table13345[[#This Row],[Low P]])/2)*Table13345[[#This Row],[gammap]]*Table13345[[#This Row],[Volume9]]*-1</f>
        <v>0</v>
      </c>
      <c r="BE850">
        <f>(Table13345[[#This Row],[SgammaC]]+Table13345[[#This Row],[SgammaP]])*$A$4*-100</f>
        <v>0</v>
      </c>
      <c r="BF850">
        <f>Table13345[[#This Row],[DEXc]]+Table13345[[#This Row],[DEXp]]</f>
        <v>0</v>
      </c>
      <c r="BG850">
        <f>IFERROR(Table13345[[#This Row],[DeltaC]]*Table13345[[#This Row],[Open.Int]]*$A$4,0)</f>
        <v>0</v>
      </c>
      <c r="BH850">
        <f>IFERROR(Table13345[[#This Row],[DeltaP]]*Table13345[[#This Row],[Open.Int8]]*$A$4,0)</f>
        <v>0</v>
      </c>
      <c r="BI85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0">
        <f ca="1">Table13345[[#This Row],[charmc]]+Table13345[[#This Row],[charmp]]</f>
        <v>0</v>
      </c>
      <c r="BL85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0" s="78">
        <f ca="1">Table13345[[#This Row],[call helper]]+Table13345[[#This Row],[put helper]]</f>
        <v>0</v>
      </c>
      <c r="BP850" t="str">
        <f>RTD("tos.rtd", , "STRIKE", "."&amp;Table13345[[#This Row],[Ticker]]&amp;Table13345[[#This Row],[Expiry]]&amp;""&amp;"C"&amp;Table13345[[#This Row],[Spot]]+Table13345[[#This Row],[step]])</f>
        <v>N/A</v>
      </c>
    </row>
    <row r="851" spans="1:68" x14ac:dyDescent="0.25">
      <c r="A851" s="14">
        <f t="shared" ca="1" si="84"/>
        <v>-126.14810350076104</v>
      </c>
      <c r="C851" s="17"/>
      <c r="D851" t="str">
        <f>RTD("tos.rtd", , "OPEN_INT", "."&amp;Table13345[[#This Row],[Ticker]]&amp;Table13345[[#This Row],[Expiry]]&amp;""&amp;"C"&amp;Table13345[[#This Row],[Spot]]+Table13345[[#This Row],[step]])</f>
        <v>N/A</v>
      </c>
      <c r="E85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1" t="b">
        <f>IF(     ISNUMBER(Table13345[[#This Row],[Strike]]),RTD("tos.rtd", , "DELTA", "."&amp;Table13345[[#This Row],[Ticker]]&amp;Table13345[[#This Row],[Expiry]]&amp;""&amp;"C"&amp;Table13345[[#This Row],[Strike]]))</f>
        <v>0</v>
      </c>
      <c r="H851" s="17" cm="1">
        <f t="array" aca="1" ref="H851" ca="1">IndividualLegIVCore($A$4, Table13345[[#This Row],[Strike]], 0.0411, Table13345[[#This Row],[T]], ((Table13345[[#This Row],[BIDC]]+Table13345[[#This Row],[ASKC]])/2), TRUE)</f>
        <v>0.01</v>
      </c>
      <c r="I851" t="b">
        <f>IF(     ISNUMBER(Table13345[[#This Row],[Strike]]),RTD("tos.rtd", , "BID", "."&amp;Table13345[[#This Row],[Ticker]]&amp;Table13345[[#This Row],[Expiry]]&amp;""&amp;"C"&amp;Table13345[[#This Row],[Strike]]))</f>
        <v>0</v>
      </c>
      <c r="J851" t="b">
        <f>IF(     ISNUMBER(Table13345[[#This Row],[Strike]]),RTD("tos.rtd", , "ASK", "."&amp;Table13345[[#This Row],[Ticker]]&amp;Table13345[[#This Row],[Expiry]]&amp;""&amp;"C"&amp;Table13345[[#This Row],[Strike]]))</f>
        <v>0</v>
      </c>
      <c r="K851" s="17"/>
      <c r="M851" s="1">
        <f t="shared" si="85"/>
        <v>0</v>
      </c>
      <c r="N851" t="b">
        <f t="shared" si="86"/>
        <v>0</v>
      </c>
      <c r="P851" s="17" cm="1">
        <f t="array" aca="1" ref="P851" ca="1">IndividualLegIVCore($A$4, Table13345[[#This Row],[Strike]], 0.0411, Table13345[[#This Row],[T]], ((Table13345[[#This Row],[BIDP]]+Table13345[[#This Row],[ASKP]])/2), FALSE)</f>
        <v>0.01</v>
      </c>
      <c r="Q851" t="b">
        <f>IF(     ISNUMBER(Table13345[[#This Row],[Strike]]),RTD("tos.rtd", , "BID", "."&amp;Table13345[[#This Row],[Ticker]]&amp;Table13345[[#This Row],[Expiry]]&amp;""&amp;"P"&amp;Table13345[[#This Row],[Strike]]))</f>
        <v>0</v>
      </c>
      <c r="R851" t="b">
        <f>IF(     ISNUMBER(Table13345[[#This Row],[Strike]]),RTD("tos.rtd", , "ASK", "."&amp;Table13345[[#This Row],[Ticker]]&amp;Table13345[[#This Row],[Expiry]]&amp;""&amp;"P"&amp;Table13345[[#This Row],[Strike]]))</f>
        <v>0</v>
      </c>
      <c r="S851" s="17"/>
      <c r="T851" t="b">
        <f>IF(     ISNUMBER(Table13345[[#This Row],[Strike]]),RTD("tos.rtd", , "OPEN_INT", "."&amp;Table13345[[#This Row],[Ticker]]&amp;Table13345[[#This Row],[Expiry]]&amp;""&amp;"P"&amp;Table13345[[#This Row],[Strike]]))</f>
        <v>0</v>
      </c>
      <c r="U85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1" t="b">
        <f>IF(     ISNUMBER(Table13345[[#This Row],[Strike]]),RTD("tos.rtd", , "DELTA", "."&amp;Table13345[[#This Row],[Ticker]]&amp;Table13345[[#This Row],[Expiry]]&amp;""&amp;"P"&amp;Table13345[[#This Row],[Strike]]))</f>
        <v>0</v>
      </c>
      <c r="Y851" s="19">
        <f>-35.5 * IF($M$1="NDX", 10, IF(OR($M$1="SPX", $M$1="RUT"), 2, 1))</f>
        <v>-71</v>
      </c>
      <c r="Z851">
        <f ca="1">IFERROR(Table13345[[#This Row],[call gamma]]*(Table13345[[#This Row],[Open.Int]])*$A$4^2,0)</f>
        <v>0</v>
      </c>
      <c r="AA851">
        <f ca="1">IFERROR(((Table13345[[#This Row],[Open.Int8]])*Table13345[[#This Row],[Put gamma]])*-1*$A$4^2,0)</f>
        <v>0</v>
      </c>
      <c r="AB851">
        <f ca="1">(Table13345[[#This Row],[Call Gex]]+Table13345[[#This Row],[Put Gex]])</f>
        <v>0</v>
      </c>
      <c r="AC851">
        <f ca="1">Table13345[[#This Row],[put delta adj]]+Table13345[[#This Row],[call delta adj]]</f>
        <v>0</v>
      </c>
      <c r="AD851">
        <f ca="1">Table13345[[#This Row],[Put Gex]]*Table13345[[#This Row],[DeltaP]]*-1</f>
        <v>0</v>
      </c>
      <c r="AE851">
        <f ca="1">Table13345[[#This Row],[Call Gex]]*Table13345[[#This Row],[DeltaC]]</f>
        <v>0</v>
      </c>
      <c r="AF851">
        <f>IF(Table13345[[#This Row],[DeltaC]]-ABS(Table13345[[#This Row],[DeltaP]])="0","0.01",Table13345[[#This Row],[DeltaC]]-ABS(Table13345[[#This Row],[DeltaP]]))</f>
        <v>0</v>
      </c>
      <c r="AG85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1" t="e">
        <f ca="1">(EXP(-(AG851^2)/2)/SQRT(2*PI())*EXP(0*SQRT(Table13345[[#This Row],[T]]))/$A$4*18%*SQRT(SQRT(Table13345[[#This Row],[T]])))</f>
        <v>#DIV/0!</v>
      </c>
      <c r="AJ851" t="e">
        <f ca="1">(EXP(-(AH851^2)/2)/SQRT(2*PI())*EXP(0*SQRT(Table13345[[#This Row],[T]]))/$A$4*18%*SQRT(SQRT(Table13345[[#This Row],[T]])))</f>
        <v>#DIV/0!</v>
      </c>
      <c r="AK851" t="e">
        <f ca="1">Table13345[[#This Row],[Call D1]]-Table13345[[#This Row],[IV Calc C]]*SQRT(Table13345[[#This Row],[T]])</f>
        <v>#DIV/0!</v>
      </c>
      <c r="AL851" t="e">
        <f ca="1">Table13345[[#This Row],[Put D1]]-Table13345[[#This Row],[IV Calc P]]*SQRT(Table13345[[#This Row],[T]])</f>
        <v>#DIV/0!</v>
      </c>
      <c r="AM851" t="e">
        <f ca="1">EXP(-0.5*Table13345[[#This Row],[Call D1]]^2)/SQRT(2*PI())</f>
        <v>#DIV/0!</v>
      </c>
      <c r="AN851" t="e">
        <f ca="1">EXP(-0.5*Table13345[[#This Row],[Put D1]]^2)/SQRT(2*PI())</f>
        <v>#DIV/0!</v>
      </c>
      <c r="AO85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1">
        <f ca="1">((Table13345[[#This Row],[call vanna]]+Table13345[[#This Row],[put vanna]])*$A$4)</f>
        <v>0</v>
      </c>
      <c r="AR85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1" s="9" t="str" cm="1">
        <f t="array" ref="AT851">_xlfn.IFS(     $M$1="SPX","SPXW",     $M$1="RUT","RUTW",  $M$1="NDX","NDXP",   TRUE,$M$1 )</f>
        <v>SPXW</v>
      </c>
      <c r="AU851" s="2">
        <f t="shared" si="87"/>
        <v>6915</v>
      </c>
      <c r="AV851" t="str">
        <f t="shared" si="88"/>
        <v>000100</v>
      </c>
      <c r="AY85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1">
        <f>((Table13345[[#This Row],[High C]]+Table13345[[#This Row],[Low C]])/2)*Table13345[[#This Row],[gammac]]*Table13345[[#This Row],[Volume]]</f>
        <v>0</v>
      </c>
      <c r="BD851">
        <f>((Table13345[[#This Row],[High P]]+Table13345[[#This Row],[Low P]])/2)*Table13345[[#This Row],[gammap]]*Table13345[[#This Row],[Volume9]]*-1</f>
        <v>0</v>
      </c>
      <c r="BE851">
        <f>(Table13345[[#This Row],[SgammaC]]+Table13345[[#This Row],[SgammaP]])*$A$4*-100</f>
        <v>0</v>
      </c>
      <c r="BF851">
        <f>Table13345[[#This Row],[DEXc]]+Table13345[[#This Row],[DEXp]]</f>
        <v>0</v>
      </c>
      <c r="BG851">
        <f>IFERROR(Table13345[[#This Row],[DeltaC]]*Table13345[[#This Row],[Open.Int]]*$A$4,0)</f>
        <v>0</v>
      </c>
      <c r="BH851">
        <f>IFERROR(Table13345[[#This Row],[DeltaP]]*Table13345[[#This Row],[Open.Int8]]*$A$4,0)</f>
        <v>0</v>
      </c>
      <c r="BI85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1">
        <f ca="1">Table13345[[#This Row],[charmc]]+Table13345[[#This Row],[charmp]]</f>
        <v>0</v>
      </c>
      <c r="BL85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1" s="78">
        <f ca="1">Table13345[[#This Row],[call helper]]+Table13345[[#This Row],[put helper]]</f>
        <v>0</v>
      </c>
      <c r="BP851" t="str">
        <f>RTD("tos.rtd", , "STRIKE", "."&amp;Table13345[[#This Row],[Ticker]]&amp;Table13345[[#This Row],[Expiry]]&amp;""&amp;"C"&amp;Table13345[[#This Row],[Spot]]+Table13345[[#This Row],[step]])</f>
        <v>N/A</v>
      </c>
    </row>
    <row r="852" spans="1:68" x14ac:dyDescent="0.25">
      <c r="A852" s="14">
        <f t="shared" ca="1" si="84"/>
        <v>-126.14810350076104</v>
      </c>
      <c r="C852" s="17"/>
      <c r="D852" t="str">
        <f>RTD("tos.rtd", , "OPEN_INT", "."&amp;Table13345[[#This Row],[Ticker]]&amp;Table13345[[#This Row],[Expiry]]&amp;""&amp;"C"&amp;Table13345[[#This Row],[Spot]]+Table13345[[#This Row],[step]])</f>
        <v>N/A</v>
      </c>
      <c r="E85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2" t="b">
        <f>IF(     ISNUMBER(Table13345[[#This Row],[Strike]]),RTD("tos.rtd", , "DELTA", "."&amp;Table13345[[#This Row],[Ticker]]&amp;Table13345[[#This Row],[Expiry]]&amp;""&amp;"C"&amp;Table13345[[#This Row],[Strike]]))</f>
        <v>0</v>
      </c>
      <c r="H852" s="17" cm="1">
        <f t="array" aca="1" ref="H852" ca="1">IndividualLegIVCore($A$4, Table13345[[#This Row],[Strike]], 0.0411, Table13345[[#This Row],[T]], ((Table13345[[#This Row],[BIDC]]+Table13345[[#This Row],[ASKC]])/2), TRUE)</f>
        <v>0.01</v>
      </c>
      <c r="I852" t="b">
        <f>IF(     ISNUMBER(Table13345[[#This Row],[Strike]]),RTD("tos.rtd", , "BID", "."&amp;Table13345[[#This Row],[Ticker]]&amp;Table13345[[#This Row],[Expiry]]&amp;""&amp;"C"&amp;Table13345[[#This Row],[Strike]]))</f>
        <v>0</v>
      </c>
      <c r="J852" t="b">
        <f>IF(     ISNUMBER(Table13345[[#This Row],[Strike]]),RTD("tos.rtd", , "ASK", "."&amp;Table13345[[#This Row],[Ticker]]&amp;Table13345[[#This Row],[Expiry]]&amp;""&amp;"C"&amp;Table13345[[#This Row],[Strike]]))</f>
        <v>0</v>
      </c>
      <c r="K852" s="17"/>
      <c r="M852" s="1">
        <f t="shared" si="85"/>
        <v>0</v>
      </c>
      <c r="N852" t="b">
        <f t="shared" si="86"/>
        <v>0</v>
      </c>
      <c r="P852" s="17" cm="1">
        <f t="array" aca="1" ref="P852" ca="1">IndividualLegIVCore($A$4, Table13345[[#This Row],[Strike]], 0.0411, Table13345[[#This Row],[T]], ((Table13345[[#This Row],[BIDP]]+Table13345[[#This Row],[ASKP]])/2), FALSE)</f>
        <v>0.01</v>
      </c>
      <c r="Q852" t="b">
        <f>IF(     ISNUMBER(Table13345[[#This Row],[Strike]]),RTD("tos.rtd", , "BID", "."&amp;Table13345[[#This Row],[Ticker]]&amp;Table13345[[#This Row],[Expiry]]&amp;""&amp;"P"&amp;Table13345[[#This Row],[Strike]]))</f>
        <v>0</v>
      </c>
      <c r="R852" t="b">
        <f>IF(     ISNUMBER(Table13345[[#This Row],[Strike]]),RTD("tos.rtd", , "ASK", "."&amp;Table13345[[#This Row],[Ticker]]&amp;Table13345[[#This Row],[Expiry]]&amp;""&amp;"P"&amp;Table13345[[#This Row],[Strike]]))</f>
        <v>0</v>
      </c>
      <c r="S852" s="17"/>
      <c r="T852" t="b">
        <f>IF(     ISNUMBER(Table13345[[#This Row],[Strike]]),RTD("tos.rtd", , "OPEN_INT", "."&amp;Table13345[[#This Row],[Ticker]]&amp;Table13345[[#This Row],[Expiry]]&amp;""&amp;"P"&amp;Table13345[[#This Row],[Strike]]))</f>
        <v>0</v>
      </c>
      <c r="U85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2" t="b">
        <f>IF(     ISNUMBER(Table13345[[#This Row],[Strike]]),RTD("tos.rtd", , "DELTA", "."&amp;Table13345[[#This Row],[Ticker]]&amp;Table13345[[#This Row],[Expiry]]&amp;""&amp;"P"&amp;Table13345[[#This Row],[Strike]]))</f>
        <v>0</v>
      </c>
      <c r="Y852" s="19">
        <f>-35 * IF($M$1="NDX", 10, IF(OR($M$1="SPX", $M$1="RUT"), 2, 1))</f>
        <v>-70</v>
      </c>
      <c r="Z852">
        <f ca="1">IFERROR(Table13345[[#This Row],[call gamma]]*(Table13345[[#This Row],[Open.Int]])*$A$4^2,0)</f>
        <v>0</v>
      </c>
      <c r="AA852">
        <f ca="1">IFERROR(((Table13345[[#This Row],[Open.Int8]])*Table13345[[#This Row],[Put gamma]])*-1*$A$4^2,0)</f>
        <v>0</v>
      </c>
      <c r="AB852">
        <f ca="1">(Table13345[[#This Row],[Call Gex]]+Table13345[[#This Row],[Put Gex]])</f>
        <v>0</v>
      </c>
      <c r="AC852">
        <f ca="1">Table13345[[#This Row],[put delta adj]]+Table13345[[#This Row],[call delta adj]]</f>
        <v>0</v>
      </c>
      <c r="AD852">
        <f ca="1">Table13345[[#This Row],[Put Gex]]*Table13345[[#This Row],[DeltaP]]*-1</f>
        <v>0</v>
      </c>
      <c r="AE852">
        <f ca="1">Table13345[[#This Row],[Call Gex]]*Table13345[[#This Row],[DeltaC]]</f>
        <v>0</v>
      </c>
      <c r="AF852">
        <f>IF(Table13345[[#This Row],[DeltaC]]-ABS(Table13345[[#This Row],[DeltaP]])="0","0.01",Table13345[[#This Row],[DeltaC]]-ABS(Table13345[[#This Row],[DeltaP]]))</f>
        <v>0</v>
      </c>
      <c r="AG85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2" t="e">
        <f ca="1">(EXP(-(AG852^2)/2)/SQRT(2*PI())*EXP(0*SQRT(Table13345[[#This Row],[T]]))/$A$4*18%*SQRT(SQRT(Table13345[[#This Row],[T]])))</f>
        <v>#DIV/0!</v>
      </c>
      <c r="AJ852" t="e">
        <f ca="1">(EXP(-(AH852^2)/2)/SQRT(2*PI())*EXP(0*SQRT(Table13345[[#This Row],[T]]))/$A$4*18%*SQRT(SQRT(Table13345[[#This Row],[T]])))</f>
        <v>#DIV/0!</v>
      </c>
      <c r="AK852" t="e">
        <f ca="1">Table13345[[#This Row],[Call D1]]-Table13345[[#This Row],[IV Calc C]]*SQRT(Table13345[[#This Row],[T]])</f>
        <v>#DIV/0!</v>
      </c>
      <c r="AL852" t="e">
        <f ca="1">Table13345[[#This Row],[Put D1]]-Table13345[[#This Row],[IV Calc P]]*SQRT(Table13345[[#This Row],[T]])</f>
        <v>#DIV/0!</v>
      </c>
      <c r="AM852" t="e">
        <f ca="1">EXP(-0.5*Table13345[[#This Row],[Call D1]]^2)/SQRT(2*PI())</f>
        <v>#DIV/0!</v>
      </c>
      <c r="AN852" t="e">
        <f ca="1">EXP(-0.5*Table13345[[#This Row],[Put D1]]^2)/SQRT(2*PI())</f>
        <v>#DIV/0!</v>
      </c>
      <c r="AO85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2">
        <f ca="1">((Table13345[[#This Row],[call vanna]]+Table13345[[#This Row],[put vanna]])*$A$4)</f>
        <v>0</v>
      </c>
      <c r="AR85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2" s="9" t="str" cm="1">
        <f t="array" ref="AT852">_xlfn.IFS(     $M$1="SPX","SPXW",     $M$1="RUT","RUTW",  $M$1="NDX","NDXP",   TRUE,$M$1 )</f>
        <v>SPXW</v>
      </c>
      <c r="AU852" s="2">
        <f t="shared" si="87"/>
        <v>6915</v>
      </c>
      <c r="AV852" t="str">
        <f t="shared" si="88"/>
        <v>000100</v>
      </c>
      <c r="AY85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2">
        <f>((Table13345[[#This Row],[High C]]+Table13345[[#This Row],[Low C]])/2)*Table13345[[#This Row],[gammac]]*Table13345[[#This Row],[Volume]]</f>
        <v>0</v>
      </c>
      <c r="BD852">
        <f>((Table13345[[#This Row],[High P]]+Table13345[[#This Row],[Low P]])/2)*Table13345[[#This Row],[gammap]]*Table13345[[#This Row],[Volume9]]*-1</f>
        <v>0</v>
      </c>
      <c r="BE852">
        <f>(Table13345[[#This Row],[SgammaC]]+Table13345[[#This Row],[SgammaP]])*$A$4*-100</f>
        <v>0</v>
      </c>
      <c r="BF852">
        <f>Table13345[[#This Row],[DEXc]]+Table13345[[#This Row],[DEXp]]</f>
        <v>0</v>
      </c>
      <c r="BG852">
        <f>IFERROR(Table13345[[#This Row],[DeltaC]]*Table13345[[#This Row],[Open.Int]]*$A$4,0)</f>
        <v>0</v>
      </c>
      <c r="BH852">
        <f>IFERROR(Table13345[[#This Row],[DeltaP]]*Table13345[[#This Row],[Open.Int8]]*$A$4,0)</f>
        <v>0</v>
      </c>
      <c r="BI85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2">
        <f ca="1">Table13345[[#This Row],[charmc]]+Table13345[[#This Row],[charmp]]</f>
        <v>0</v>
      </c>
      <c r="BL85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2" s="78">
        <f ca="1">Table13345[[#This Row],[call helper]]+Table13345[[#This Row],[put helper]]</f>
        <v>0</v>
      </c>
      <c r="BP852" t="str">
        <f>RTD("tos.rtd", , "STRIKE", "."&amp;Table13345[[#This Row],[Ticker]]&amp;Table13345[[#This Row],[Expiry]]&amp;""&amp;"C"&amp;Table13345[[#This Row],[Spot]]+Table13345[[#This Row],[step]])</f>
        <v>N/A</v>
      </c>
    </row>
    <row r="853" spans="1:68" x14ac:dyDescent="0.25">
      <c r="A853" s="14">
        <f t="shared" ca="1" si="84"/>
        <v>-126.14810350076104</v>
      </c>
      <c r="C853" s="17"/>
      <c r="D853" t="str">
        <f>RTD("tos.rtd", , "OPEN_INT", "."&amp;Table13345[[#This Row],[Ticker]]&amp;Table13345[[#This Row],[Expiry]]&amp;""&amp;"C"&amp;Table13345[[#This Row],[Spot]]+Table13345[[#This Row],[step]])</f>
        <v>N/A</v>
      </c>
      <c r="E85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3" t="b">
        <f>IF(     ISNUMBER(Table13345[[#This Row],[Strike]]),RTD("tos.rtd", , "DELTA", "."&amp;Table13345[[#This Row],[Ticker]]&amp;Table13345[[#This Row],[Expiry]]&amp;""&amp;"C"&amp;Table13345[[#This Row],[Strike]]))</f>
        <v>0</v>
      </c>
      <c r="H853" s="17" cm="1">
        <f t="array" aca="1" ref="H853" ca="1">IndividualLegIVCore($A$4, Table13345[[#This Row],[Strike]], 0.0411, Table13345[[#This Row],[T]], ((Table13345[[#This Row],[BIDC]]+Table13345[[#This Row],[ASKC]])/2), TRUE)</f>
        <v>0.01</v>
      </c>
      <c r="I853" t="b">
        <f>IF(     ISNUMBER(Table13345[[#This Row],[Strike]]),RTD("tos.rtd", , "BID", "."&amp;Table13345[[#This Row],[Ticker]]&amp;Table13345[[#This Row],[Expiry]]&amp;""&amp;"C"&amp;Table13345[[#This Row],[Strike]]))</f>
        <v>0</v>
      </c>
      <c r="J853" t="b">
        <f>IF(     ISNUMBER(Table13345[[#This Row],[Strike]]),RTD("tos.rtd", , "ASK", "."&amp;Table13345[[#This Row],[Ticker]]&amp;Table13345[[#This Row],[Expiry]]&amp;""&amp;"C"&amp;Table13345[[#This Row],[Strike]]))</f>
        <v>0</v>
      </c>
      <c r="K853" s="17"/>
      <c r="M853" s="1">
        <f t="shared" si="85"/>
        <v>0</v>
      </c>
      <c r="N853" t="b">
        <f t="shared" si="86"/>
        <v>0</v>
      </c>
      <c r="P853" s="17" cm="1">
        <f t="array" aca="1" ref="P853" ca="1">IndividualLegIVCore($A$4, Table13345[[#This Row],[Strike]], 0.0411, Table13345[[#This Row],[T]], ((Table13345[[#This Row],[BIDP]]+Table13345[[#This Row],[ASKP]])/2), FALSE)</f>
        <v>0.01</v>
      </c>
      <c r="Q853" t="b">
        <f>IF(     ISNUMBER(Table13345[[#This Row],[Strike]]),RTD("tos.rtd", , "BID", "."&amp;Table13345[[#This Row],[Ticker]]&amp;Table13345[[#This Row],[Expiry]]&amp;""&amp;"P"&amp;Table13345[[#This Row],[Strike]]))</f>
        <v>0</v>
      </c>
      <c r="R853" t="b">
        <f>IF(     ISNUMBER(Table13345[[#This Row],[Strike]]),RTD("tos.rtd", , "ASK", "."&amp;Table13345[[#This Row],[Ticker]]&amp;Table13345[[#This Row],[Expiry]]&amp;""&amp;"P"&amp;Table13345[[#This Row],[Strike]]))</f>
        <v>0</v>
      </c>
      <c r="S853" s="17"/>
      <c r="T853" t="b">
        <f>IF(     ISNUMBER(Table13345[[#This Row],[Strike]]),RTD("tos.rtd", , "OPEN_INT", "."&amp;Table13345[[#This Row],[Ticker]]&amp;Table13345[[#This Row],[Expiry]]&amp;""&amp;"P"&amp;Table13345[[#This Row],[Strike]]))</f>
        <v>0</v>
      </c>
      <c r="U85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3" t="b">
        <f>IF(     ISNUMBER(Table13345[[#This Row],[Strike]]),RTD("tos.rtd", , "DELTA", "."&amp;Table13345[[#This Row],[Ticker]]&amp;Table13345[[#This Row],[Expiry]]&amp;""&amp;"P"&amp;Table13345[[#This Row],[Strike]]))</f>
        <v>0</v>
      </c>
      <c r="Y853" s="19">
        <f>-34.5 * IF($M$1="NDX", 10, IF(OR($M$1="SPX", $M$1="RUT"), 2, 1))</f>
        <v>-69</v>
      </c>
      <c r="Z853">
        <f ca="1">IFERROR(Table13345[[#This Row],[call gamma]]*(Table13345[[#This Row],[Open.Int]])*$A$4^2,0)</f>
        <v>0</v>
      </c>
      <c r="AA853">
        <f ca="1">IFERROR(((Table13345[[#This Row],[Open.Int8]])*Table13345[[#This Row],[Put gamma]])*-1*$A$4^2,0)</f>
        <v>0</v>
      </c>
      <c r="AB853">
        <f ca="1">(Table13345[[#This Row],[Call Gex]]+Table13345[[#This Row],[Put Gex]])</f>
        <v>0</v>
      </c>
      <c r="AC853">
        <f ca="1">Table13345[[#This Row],[put delta adj]]+Table13345[[#This Row],[call delta adj]]</f>
        <v>0</v>
      </c>
      <c r="AD853">
        <f ca="1">Table13345[[#This Row],[Put Gex]]*Table13345[[#This Row],[DeltaP]]*-1</f>
        <v>0</v>
      </c>
      <c r="AE853">
        <f ca="1">Table13345[[#This Row],[Call Gex]]*Table13345[[#This Row],[DeltaC]]</f>
        <v>0</v>
      </c>
      <c r="AF853">
        <f>IF(Table13345[[#This Row],[DeltaC]]-ABS(Table13345[[#This Row],[DeltaP]])="0","0.01",Table13345[[#This Row],[DeltaC]]-ABS(Table13345[[#This Row],[DeltaP]]))</f>
        <v>0</v>
      </c>
      <c r="AG85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3" t="e">
        <f ca="1">(EXP(-(AG853^2)/2)/SQRT(2*PI())*EXP(0*SQRT(Table13345[[#This Row],[T]]))/$A$4*18%*SQRT(SQRT(Table13345[[#This Row],[T]])))</f>
        <v>#DIV/0!</v>
      </c>
      <c r="AJ853" t="e">
        <f ca="1">(EXP(-(AH853^2)/2)/SQRT(2*PI())*EXP(0*SQRT(Table13345[[#This Row],[T]]))/$A$4*18%*SQRT(SQRT(Table13345[[#This Row],[T]])))</f>
        <v>#DIV/0!</v>
      </c>
      <c r="AK853" t="e">
        <f ca="1">Table13345[[#This Row],[Call D1]]-Table13345[[#This Row],[IV Calc C]]*SQRT(Table13345[[#This Row],[T]])</f>
        <v>#DIV/0!</v>
      </c>
      <c r="AL853" t="e">
        <f ca="1">Table13345[[#This Row],[Put D1]]-Table13345[[#This Row],[IV Calc P]]*SQRT(Table13345[[#This Row],[T]])</f>
        <v>#DIV/0!</v>
      </c>
      <c r="AM853" t="e">
        <f ca="1">EXP(-0.5*Table13345[[#This Row],[Call D1]]^2)/SQRT(2*PI())</f>
        <v>#DIV/0!</v>
      </c>
      <c r="AN853" t="e">
        <f ca="1">EXP(-0.5*Table13345[[#This Row],[Put D1]]^2)/SQRT(2*PI())</f>
        <v>#DIV/0!</v>
      </c>
      <c r="AO85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3">
        <f ca="1">((Table13345[[#This Row],[call vanna]]+Table13345[[#This Row],[put vanna]])*$A$4)</f>
        <v>0</v>
      </c>
      <c r="AR85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3" s="9" t="str" cm="1">
        <f t="array" ref="AT853">_xlfn.IFS(     $M$1="SPX","SPXW",     $M$1="RUT","RUTW",  $M$1="NDX","NDXP",   TRUE,$M$1 )</f>
        <v>SPXW</v>
      </c>
      <c r="AU853" s="2">
        <f t="shared" si="87"/>
        <v>6915</v>
      </c>
      <c r="AV853" t="str">
        <f t="shared" si="88"/>
        <v>000100</v>
      </c>
      <c r="AY85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3">
        <f>((Table13345[[#This Row],[High C]]+Table13345[[#This Row],[Low C]])/2)*Table13345[[#This Row],[gammac]]*Table13345[[#This Row],[Volume]]</f>
        <v>0</v>
      </c>
      <c r="BD853">
        <f>((Table13345[[#This Row],[High P]]+Table13345[[#This Row],[Low P]])/2)*Table13345[[#This Row],[gammap]]*Table13345[[#This Row],[Volume9]]*-1</f>
        <v>0</v>
      </c>
      <c r="BE853">
        <f>(Table13345[[#This Row],[SgammaC]]+Table13345[[#This Row],[SgammaP]])*$A$4*-100</f>
        <v>0</v>
      </c>
      <c r="BF853">
        <f>Table13345[[#This Row],[DEXc]]+Table13345[[#This Row],[DEXp]]</f>
        <v>0</v>
      </c>
      <c r="BG853">
        <f>IFERROR(Table13345[[#This Row],[DeltaC]]*Table13345[[#This Row],[Open.Int]]*$A$4,0)</f>
        <v>0</v>
      </c>
      <c r="BH853">
        <f>IFERROR(Table13345[[#This Row],[DeltaP]]*Table13345[[#This Row],[Open.Int8]]*$A$4,0)</f>
        <v>0</v>
      </c>
      <c r="BI85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3">
        <f ca="1">Table13345[[#This Row],[charmc]]+Table13345[[#This Row],[charmp]]</f>
        <v>0</v>
      </c>
      <c r="BL85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3" s="78">
        <f ca="1">Table13345[[#This Row],[call helper]]+Table13345[[#This Row],[put helper]]</f>
        <v>0</v>
      </c>
      <c r="BP853" t="str">
        <f>RTD("tos.rtd", , "STRIKE", "."&amp;Table13345[[#This Row],[Ticker]]&amp;Table13345[[#This Row],[Expiry]]&amp;""&amp;"C"&amp;Table13345[[#This Row],[Spot]]+Table13345[[#This Row],[step]])</f>
        <v>N/A</v>
      </c>
    </row>
    <row r="854" spans="1:68" x14ac:dyDescent="0.25">
      <c r="A854" s="14">
        <f t="shared" ca="1" si="84"/>
        <v>-126.14810350076104</v>
      </c>
      <c r="C854" s="17"/>
      <c r="D854" t="str">
        <f>RTD("tos.rtd", , "OPEN_INT", "."&amp;Table13345[[#This Row],[Ticker]]&amp;Table13345[[#This Row],[Expiry]]&amp;""&amp;"C"&amp;Table13345[[#This Row],[Spot]]+Table13345[[#This Row],[step]])</f>
        <v>N/A</v>
      </c>
      <c r="E85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4" t="b">
        <f>IF(     ISNUMBER(Table13345[[#This Row],[Strike]]),RTD("tos.rtd", , "DELTA", "."&amp;Table13345[[#This Row],[Ticker]]&amp;Table13345[[#This Row],[Expiry]]&amp;""&amp;"C"&amp;Table13345[[#This Row],[Strike]]))</f>
        <v>0</v>
      </c>
      <c r="H854" s="17" cm="1">
        <f t="array" aca="1" ref="H854" ca="1">IndividualLegIVCore($A$4, Table13345[[#This Row],[Strike]], 0.0411, Table13345[[#This Row],[T]], ((Table13345[[#This Row],[BIDC]]+Table13345[[#This Row],[ASKC]])/2), TRUE)</f>
        <v>0.01</v>
      </c>
      <c r="I854" t="b">
        <f>IF(     ISNUMBER(Table13345[[#This Row],[Strike]]),RTD("tos.rtd", , "BID", "."&amp;Table13345[[#This Row],[Ticker]]&amp;Table13345[[#This Row],[Expiry]]&amp;""&amp;"C"&amp;Table13345[[#This Row],[Strike]]))</f>
        <v>0</v>
      </c>
      <c r="J854" t="b">
        <f>IF(     ISNUMBER(Table13345[[#This Row],[Strike]]),RTD("tos.rtd", , "ASK", "."&amp;Table13345[[#This Row],[Ticker]]&amp;Table13345[[#This Row],[Expiry]]&amp;""&amp;"C"&amp;Table13345[[#This Row],[Strike]]))</f>
        <v>0</v>
      </c>
      <c r="K854" s="17"/>
      <c r="M854" s="1">
        <f t="shared" si="85"/>
        <v>0</v>
      </c>
      <c r="N854" t="b">
        <f t="shared" si="86"/>
        <v>0</v>
      </c>
      <c r="P854" s="17" cm="1">
        <f t="array" aca="1" ref="P854" ca="1">IndividualLegIVCore($A$4, Table13345[[#This Row],[Strike]], 0.0411, Table13345[[#This Row],[T]], ((Table13345[[#This Row],[BIDP]]+Table13345[[#This Row],[ASKP]])/2), FALSE)</f>
        <v>0.01</v>
      </c>
      <c r="Q854" t="b">
        <f>IF(     ISNUMBER(Table13345[[#This Row],[Strike]]),RTD("tos.rtd", , "BID", "."&amp;Table13345[[#This Row],[Ticker]]&amp;Table13345[[#This Row],[Expiry]]&amp;""&amp;"P"&amp;Table13345[[#This Row],[Strike]]))</f>
        <v>0</v>
      </c>
      <c r="R854" t="b">
        <f>IF(     ISNUMBER(Table13345[[#This Row],[Strike]]),RTD("tos.rtd", , "ASK", "."&amp;Table13345[[#This Row],[Ticker]]&amp;Table13345[[#This Row],[Expiry]]&amp;""&amp;"P"&amp;Table13345[[#This Row],[Strike]]))</f>
        <v>0</v>
      </c>
      <c r="S854" s="17"/>
      <c r="T854" t="b">
        <f>IF(     ISNUMBER(Table13345[[#This Row],[Strike]]),RTD("tos.rtd", , "OPEN_INT", "."&amp;Table13345[[#This Row],[Ticker]]&amp;Table13345[[#This Row],[Expiry]]&amp;""&amp;"P"&amp;Table13345[[#This Row],[Strike]]))</f>
        <v>0</v>
      </c>
      <c r="U85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4" t="b">
        <f>IF(     ISNUMBER(Table13345[[#This Row],[Strike]]),RTD("tos.rtd", , "DELTA", "."&amp;Table13345[[#This Row],[Ticker]]&amp;Table13345[[#This Row],[Expiry]]&amp;""&amp;"P"&amp;Table13345[[#This Row],[Strike]]))</f>
        <v>0</v>
      </c>
      <c r="Y854" s="19">
        <f>-34 * IF($M$1="NDX", 10, IF(OR($M$1="SPX", $M$1="RUT"), 2, 1))</f>
        <v>-68</v>
      </c>
      <c r="Z854">
        <f ca="1">IFERROR(Table13345[[#This Row],[call gamma]]*(Table13345[[#This Row],[Open.Int]])*$A$4^2,0)</f>
        <v>0</v>
      </c>
      <c r="AA854">
        <f ca="1">IFERROR(((Table13345[[#This Row],[Open.Int8]])*Table13345[[#This Row],[Put gamma]])*-1*$A$4^2,0)</f>
        <v>0</v>
      </c>
      <c r="AB854">
        <f ca="1">(Table13345[[#This Row],[Call Gex]]+Table13345[[#This Row],[Put Gex]])</f>
        <v>0</v>
      </c>
      <c r="AC854">
        <f ca="1">Table13345[[#This Row],[put delta adj]]+Table13345[[#This Row],[call delta adj]]</f>
        <v>0</v>
      </c>
      <c r="AD854">
        <f ca="1">Table13345[[#This Row],[Put Gex]]*Table13345[[#This Row],[DeltaP]]*-1</f>
        <v>0</v>
      </c>
      <c r="AE854">
        <f ca="1">Table13345[[#This Row],[Call Gex]]*Table13345[[#This Row],[DeltaC]]</f>
        <v>0</v>
      </c>
      <c r="AF854">
        <f>IF(Table13345[[#This Row],[DeltaC]]-ABS(Table13345[[#This Row],[DeltaP]])="0","0.01",Table13345[[#This Row],[DeltaC]]-ABS(Table13345[[#This Row],[DeltaP]]))</f>
        <v>0</v>
      </c>
      <c r="AG85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4" t="e">
        <f ca="1">(EXP(-(AG854^2)/2)/SQRT(2*PI())*EXP(0*SQRT(Table13345[[#This Row],[T]]))/$A$4*18%*SQRT(SQRT(Table13345[[#This Row],[T]])))</f>
        <v>#DIV/0!</v>
      </c>
      <c r="AJ854" t="e">
        <f ca="1">(EXP(-(AH854^2)/2)/SQRT(2*PI())*EXP(0*SQRT(Table13345[[#This Row],[T]]))/$A$4*18%*SQRT(SQRT(Table13345[[#This Row],[T]])))</f>
        <v>#DIV/0!</v>
      </c>
      <c r="AK854" t="e">
        <f ca="1">Table13345[[#This Row],[Call D1]]-Table13345[[#This Row],[IV Calc C]]*SQRT(Table13345[[#This Row],[T]])</f>
        <v>#DIV/0!</v>
      </c>
      <c r="AL854" t="e">
        <f ca="1">Table13345[[#This Row],[Put D1]]-Table13345[[#This Row],[IV Calc P]]*SQRT(Table13345[[#This Row],[T]])</f>
        <v>#DIV/0!</v>
      </c>
      <c r="AM854" t="e">
        <f ca="1">EXP(-0.5*Table13345[[#This Row],[Call D1]]^2)/SQRT(2*PI())</f>
        <v>#DIV/0!</v>
      </c>
      <c r="AN854" t="e">
        <f ca="1">EXP(-0.5*Table13345[[#This Row],[Put D1]]^2)/SQRT(2*PI())</f>
        <v>#DIV/0!</v>
      </c>
      <c r="AO85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4">
        <f ca="1">((Table13345[[#This Row],[call vanna]]+Table13345[[#This Row],[put vanna]])*$A$4)</f>
        <v>0</v>
      </c>
      <c r="AR85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4" s="9" t="str" cm="1">
        <f t="array" ref="AT854">_xlfn.IFS(     $M$1="SPX","SPXW",     $M$1="RUT","RUTW",  $M$1="NDX","NDXP",   TRUE,$M$1 )</f>
        <v>SPXW</v>
      </c>
      <c r="AU854" s="2">
        <f t="shared" si="87"/>
        <v>6915</v>
      </c>
      <c r="AV854" t="str">
        <f t="shared" si="88"/>
        <v>000100</v>
      </c>
      <c r="AY85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4">
        <f>((Table13345[[#This Row],[High C]]+Table13345[[#This Row],[Low C]])/2)*Table13345[[#This Row],[gammac]]*Table13345[[#This Row],[Volume]]</f>
        <v>0</v>
      </c>
      <c r="BD854">
        <f>((Table13345[[#This Row],[High P]]+Table13345[[#This Row],[Low P]])/2)*Table13345[[#This Row],[gammap]]*Table13345[[#This Row],[Volume9]]*-1</f>
        <v>0</v>
      </c>
      <c r="BE854">
        <f>(Table13345[[#This Row],[SgammaC]]+Table13345[[#This Row],[SgammaP]])*$A$4*-100</f>
        <v>0</v>
      </c>
      <c r="BF854">
        <f>Table13345[[#This Row],[DEXc]]+Table13345[[#This Row],[DEXp]]</f>
        <v>0</v>
      </c>
      <c r="BG854">
        <f>IFERROR(Table13345[[#This Row],[DeltaC]]*Table13345[[#This Row],[Open.Int]]*$A$4,0)</f>
        <v>0</v>
      </c>
      <c r="BH854">
        <f>IFERROR(Table13345[[#This Row],[DeltaP]]*Table13345[[#This Row],[Open.Int8]]*$A$4,0)</f>
        <v>0</v>
      </c>
      <c r="BI85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4">
        <f ca="1">Table13345[[#This Row],[charmc]]+Table13345[[#This Row],[charmp]]</f>
        <v>0</v>
      </c>
      <c r="BL85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4" s="78">
        <f ca="1">Table13345[[#This Row],[call helper]]+Table13345[[#This Row],[put helper]]</f>
        <v>0</v>
      </c>
      <c r="BP854" t="str">
        <f>RTD("tos.rtd", , "STRIKE", "."&amp;Table13345[[#This Row],[Ticker]]&amp;Table13345[[#This Row],[Expiry]]&amp;""&amp;"C"&amp;Table13345[[#This Row],[Spot]]+Table13345[[#This Row],[step]])</f>
        <v>N/A</v>
      </c>
    </row>
    <row r="855" spans="1:68" x14ac:dyDescent="0.25">
      <c r="A855" s="14">
        <f t="shared" ca="1" si="84"/>
        <v>-126.14810350076104</v>
      </c>
      <c r="C855" s="17"/>
      <c r="D855" t="str">
        <f>RTD("tos.rtd", , "OPEN_INT", "."&amp;Table13345[[#This Row],[Ticker]]&amp;Table13345[[#This Row],[Expiry]]&amp;""&amp;"C"&amp;Table13345[[#This Row],[Spot]]+Table13345[[#This Row],[step]])</f>
        <v>N/A</v>
      </c>
      <c r="E85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5" t="b">
        <f>IF(     ISNUMBER(Table13345[[#This Row],[Strike]]),RTD("tos.rtd", , "DELTA", "."&amp;Table13345[[#This Row],[Ticker]]&amp;Table13345[[#This Row],[Expiry]]&amp;""&amp;"C"&amp;Table13345[[#This Row],[Strike]]))</f>
        <v>0</v>
      </c>
      <c r="H855" s="17" cm="1">
        <f t="array" aca="1" ref="H855" ca="1">IndividualLegIVCore($A$4, Table13345[[#This Row],[Strike]], 0.0411, Table13345[[#This Row],[T]], ((Table13345[[#This Row],[BIDC]]+Table13345[[#This Row],[ASKC]])/2), TRUE)</f>
        <v>0.01</v>
      </c>
      <c r="I855" t="b">
        <f>IF(     ISNUMBER(Table13345[[#This Row],[Strike]]),RTD("tos.rtd", , "BID", "."&amp;Table13345[[#This Row],[Ticker]]&amp;Table13345[[#This Row],[Expiry]]&amp;""&amp;"C"&amp;Table13345[[#This Row],[Strike]]))</f>
        <v>0</v>
      </c>
      <c r="J855" t="b">
        <f>IF(     ISNUMBER(Table13345[[#This Row],[Strike]]),RTD("tos.rtd", , "ASK", "."&amp;Table13345[[#This Row],[Ticker]]&amp;Table13345[[#This Row],[Expiry]]&amp;""&amp;"C"&amp;Table13345[[#This Row],[Strike]]))</f>
        <v>0</v>
      </c>
      <c r="K855" s="17"/>
      <c r="M855" s="1">
        <f t="shared" si="85"/>
        <v>0</v>
      </c>
      <c r="N855" t="b">
        <f t="shared" si="86"/>
        <v>0</v>
      </c>
      <c r="P855" s="17" cm="1">
        <f t="array" aca="1" ref="P855" ca="1">IndividualLegIVCore($A$4, Table13345[[#This Row],[Strike]], 0.0411, Table13345[[#This Row],[T]], ((Table13345[[#This Row],[BIDP]]+Table13345[[#This Row],[ASKP]])/2), FALSE)</f>
        <v>0.01</v>
      </c>
      <c r="Q855" t="b">
        <f>IF(     ISNUMBER(Table13345[[#This Row],[Strike]]),RTD("tos.rtd", , "BID", "."&amp;Table13345[[#This Row],[Ticker]]&amp;Table13345[[#This Row],[Expiry]]&amp;""&amp;"P"&amp;Table13345[[#This Row],[Strike]]))</f>
        <v>0</v>
      </c>
      <c r="R855" t="b">
        <f>IF(     ISNUMBER(Table13345[[#This Row],[Strike]]),RTD("tos.rtd", , "ASK", "."&amp;Table13345[[#This Row],[Ticker]]&amp;Table13345[[#This Row],[Expiry]]&amp;""&amp;"P"&amp;Table13345[[#This Row],[Strike]]))</f>
        <v>0</v>
      </c>
      <c r="S855" s="17"/>
      <c r="T855" t="b">
        <f>IF(     ISNUMBER(Table13345[[#This Row],[Strike]]),RTD("tos.rtd", , "OPEN_INT", "."&amp;Table13345[[#This Row],[Ticker]]&amp;Table13345[[#This Row],[Expiry]]&amp;""&amp;"P"&amp;Table13345[[#This Row],[Strike]]))</f>
        <v>0</v>
      </c>
      <c r="U85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5" t="b">
        <f>IF(     ISNUMBER(Table13345[[#This Row],[Strike]]),RTD("tos.rtd", , "DELTA", "."&amp;Table13345[[#This Row],[Ticker]]&amp;Table13345[[#This Row],[Expiry]]&amp;""&amp;"P"&amp;Table13345[[#This Row],[Strike]]))</f>
        <v>0</v>
      </c>
      <c r="Y855" s="19">
        <f>-33.5 * IF($M$1="NDX", 10, IF(OR($M$1="SPX", $M$1="RUT"), 2, 1))</f>
        <v>-67</v>
      </c>
      <c r="Z855">
        <f ca="1">IFERROR(Table13345[[#This Row],[call gamma]]*(Table13345[[#This Row],[Open.Int]])*$A$4^2,0)</f>
        <v>0</v>
      </c>
      <c r="AA855">
        <f ca="1">IFERROR(((Table13345[[#This Row],[Open.Int8]])*Table13345[[#This Row],[Put gamma]])*-1*$A$4^2,0)</f>
        <v>0</v>
      </c>
      <c r="AB855">
        <f ca="1">(Table13345[[#This Row],[Call Gex]]+Table13345[[#This Row],[Put Gex]])</f>
        <v>0</v>
      </c>
      <c r="AC855">
        <f ca="1">Table13345[[#This Row],[put delta adj]]+Table13345[[#This Row],[call delta adj]]</f>
        <v>0</v>
      </c>
      <c r="AD855">
        <f ca="1">Table13345[[#This Row],[Put Gex]]*Table13345[[#This Row],[DeltaP]]*-1</f>
        <v>0</v>
      </c>
      <c r="AE855">
        <f ca="1">Table13345[[#This Row],[Call Gex]]*Table13345[[#This Row],[DeltaC]]</f>
        <v>0</v>
      </c>
      <c r="AF855">
        <f>IF(Table13345[[#This Row],[DeltaC]]-ABS(Table13345[[#This Row],[DeltaP]])="0","0.01",Table13345[[#This Row],[DeltaC]]-ABS(Table13345[[#This Row],[DeltaP]]))</f>
        <v>0</v>
      </c>
      <c r="AG85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5" t="e">
        <f ca="1">(EXP(-(AG855^2)/2)/SQRT(2*PI())*EXP(0*SQRT(Table13345[[#This Row],[T]]))/$A$4*18%*SQRT(SQRT(Table13345[[#This Row],[T]])))</f>
        <v>#DIV/0!</v>
      </c>
      <c r="AJ855" t="e">
        <f ca="1">(EXP(-(AH855^2)/2)/SQRT(2*PI())*EXP(0*SQRT(Table13345[[#This Row],[T]]))/$A$4*18%*SQRT(SQRT(Table13345[[#This Row],[T]])))</f>
        <v>#DIV/0!</v>
      </c>
      <c r="AK855" t="e">
        <f ca="1">Table13345[[#This Row],[Call D1]]-Table13345[[#This Row],[IV Calc C]]*SQRT(Table13345[[#This Row],[T]])</f>
        <v>#DIV/0!</v>
      </c>
      <c r="AL855" t="e">
        <f ca="1">Table13345[[#This Row],[Put D1]]-Table13345[[#This Row],[IV Calc P]]*SQRT(Table13345[[#This Row],[T]])</f>
        <v>#DIV/0!</v>
      </c>
      <c r="AM855" t="e">
        <f ca="1">EXP(-0.5*Table13345[[#This Row],[Call D1]]^2)/SQRT(2*PI())</f>
        <v>#DIV/0!</v>
      </c>
      <c r="AN855" t="e">
        <f ca="1">EXP(-0.5*Table13345[[#This Row],[Put D1]]^2)/SQRT(2*PI())</f>
        <v>#DIV/0!</v>
      </c>
      <c r="AO85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5">
        <f ca="1">((Table13345[[#This Row],[call vanna]]+Table13345[[#This Row],[put vanna]])*$A$4)</f>
        <v>0</v>
      </c>
      <c r="AR85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5" s="9" t="str" cm="1">
        <f t="array" ref="AT855">_xlfn.IFS(     $M$1="SPX","SPXW",     $M$1="RUT","RUTW",  $M$1="NDX","NDXP",   TRUE,$M$1 )</f>
        <v>SPXW</v>
      </c>
      <c r="AU855" s="2">
        <f t="shared" si="87"/>
        <v>6915</v>
      </c>
      <c r="AV855" t="str">
        <f t="shared" si="88"/>
        <v>000100</v>
      </c>
      <c r="AY85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5">
        <f>((Table13345[[#This Row],[High C]]+Table13345[[#This Row],[Low C]])/2)*Table13345[[#This Row],[gammac]]*Table13345[[#This Row],[Volume]]</f>
        <v>0</v>
      </c>
      <c r="BD855">
        <f>((Table13345[[#This Row],[High P]]+Table13345[[#This Row],[Low P]])/2)*Table13345[[#This Row],[gammap]]*Table13345[[#This Row],[Volume9]]*-1</f>
        <v>0</v>
      </c>
      <c r="BE855">
        <f>(Table13345[[#This Row],[SgammaC]]+Table13345[[#This Row],[SgammaP]])*$A$4*-100</f>
        <v>0</v>
      </c>
      <c r="BF855">
        <f>Table13345[[#This Row],[DEXc]]+Table13345[[#This Row],[DEXp]]</f>
        <v>0</v>
      </c>
      <c r="BG855">
        <f>IFERROR(Table13345[[#This Row],[DeltaC]]*Table13345[[#This Row],[Open.Int]]*$A$4,0)</f>
        <v>0</v>
      </c>
      <c r="BH855">
        <f>IFERROR(Table13345[[#This Row],[DeltaP]]*Table13345[[#This Row],[Open.Int8]]*$A$4,0)</f>
        <v>0</v>
      </c>
      <c r="BI85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5">
        <f ca="1">Table13345[[#This Row],[charmc]]+Table13345[[#This Row],[charmp]]</f>
        <v>0</v>
      </c>
      <c r="BL85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5" s="78">
        <f ca="1">Table13345[[#This Row],[call helper]]+Table13345[[#This Row],[put helper]]</f>
        <v>0</v>
      </c>
      <c r="BP855" t="str">
        <f>RTD("tos.rtd", , "STRIKE", "."&amp;Table13345[[#This Row],[Ticker]]&amp;Table13345[[#This Row],[Expiry]]&amp;""&amp;"C"&amp;Table13345[[#This Row],[Spot]]+Table13345[[#This Row],[step]])</f>
        <v>N/A</v>
      </c>
    </row>
    <row r="856" spans="1:68" x14ac:dyDescent="0.25">
      <c r="A856" s="14">
        <f t="shared" ca="1" si="84"/>
        <v>-126.14810350076104</v>
      </c>
      <c r="C856" s="17"/>
      <c r="D856" t="str">
        <f>RTD("tos.rtd", , "OPEN_INT", "."&amp;Table13345[[#This Row],[Ticker]]&amp;Table13345[[#This Row],[Expiry]]&amp;""&amp;"C"&amp;Table13345[[#This Row],[Spot]]+Table13345[[#This Row],[step]])</f>
        <v>N/A</v>
      </c>
      <c r="E85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6" t="b">
        <f>IF(     ISNUMBER(Table13345[[#This Row],[Strike]]),RTD("tos.rtd", , "DELTA", "."&amp;Table13345[[#This Row],[Ticker]]&amp;Table13345[[#This Row],[Expiry]]&amp;""&amp;"C"&amp;Table13345[[#This Row],[Strike]]))</f>
        <v>0</v>
      </c>
      <c r="H856" s="17" cm="1">
        <f t="array" aca="1" ref="H856" ca="1">IndividualLegIVCore($A$4, Table13345[[#This Row],[Strike]], 0.0411, Table13345[[#This Row],[T]], ((Table13345[[#This Row],[BIDC]]+Table13345[[#This Row],[ASKC]])/2), TRUE)</f>
        <v>0.01</v>
      </c>
      <c r="I856" t="b">
        <f>IF(     ISNUMBER(Table13345[[#This Row],[Strike]]),RTD("tos.rtd", , "BID", "."&amp;Table13345[[#This Row],[Ticker]]&amp;Table13345[[#This Row],[Expiry]]&amp;""&amp;"C"&amp;Table13345[[#This Row],[Strike]]))</f>
        <v>0</v>
      </c>
      <c r="J856" t="b">
        <f>IF(     ISNUMBER(Table13345[[#This Row],[Strike]]),RTD("tos.rtd", , "ASK", "."&amp;Table13345[[#This Row],[Ticker]]&amp;Table13345[[#This Row],[Expiry]]&amp;""&amp;"C"&amp;Table13345[[#This Row],[Strike]]))</f>
        <v>0</v>
      </c>
      <c r="K856" s="17"/>
      <c r="M856" s="1">
        <f t="shared" si="85"/>
        <v>0</v>
      </c>
      <c r="N856" t="b">
        <f t="shared" si="86"/>
        <v>0</v>
      </c>
      <c r="P856" s="17" cm="1">
        <f t="array" aca="1" ref="P856" ca="1">IndividualLegIVCore($A$4, Table13345[[#This Row],[Strike]], 0.0411, Table13345[[#This Row],[T]], ((Table13345[[#This Row],[BIDP]]+Table13345[[#This Row],[ASKP]])/2), FALSE)</f>
        <v>0.01</v>
      </c>
      <c r="Q856" t="b">
        <f>IF(     ISNUMBER(Table13345[[#This Row],[Strike]]),RTD("tos.rtd", , "BID", "."&amp;Table13345[[#This Row],[Ticker]]&amp;Table13345[[#This Row],[Expiry]]&amp;""&amp;"P"&amp;Table13345[[#This Row],[Strike]]))</f>
        <v>0</v>
      </c>
      <c r="R856" t="b">
        <f>IF(     ISNUMBER(Table13345[[#This Row],[Strike]]),RTD("tos.rtd", , "ASK", "."&amp;Table13345[[#This Row],[Ticker]]&amp;Table13345[[#This Row],[Expiry]]&amp;""&amp;"P"&amp;Table13345[[#This Row],[Strike]]))</f>
        <v>0</v>
      </c>
      <c r="S856" s="17"/>
      <c r="T856" t="b">
        <f>IF(     ISNUMBER(Table13345[[#This Row],[Strike]]),RTD("tos.rtd", , "OPEN_INT", "."&amp;Table13345[[#This Row],[Ticker]]&amp;Table13345[[#This Row],[Expiry]]&amp;""&amp;"P"&amp;Table13345[[#This Row],[Strike]]))</f>
        <v>0</v>
      </c>
      <c r="U85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6" t="b">
        <f>IF(     ISNUMBER(Table13345[[#This Row],[Strike]]),RTD("tos.rtd", , "DELTA", "."&amp;Table13345[[#This Row],[Ticker]]&amp;Table13345[[#This Row],[Expiry]]&amp;""&amp;"P"&amp;Table13345[[#This Row],[Strike]]))</f>
        <v>0</v>
      </c>
      <c r="Y856" s="19">
        <f>-33 * IF($M$1="NDX", 10, IF(OR($M$1="SPX", $M$1="RUT"), 2, 1))</f>
        <v>-66</v>
      </c>
      <c r="Z856">
        <f ca="1">IFERROR(Table13345[[#This Row],[call gamma]]*(Table13345[[#This Row],[Open.Int]])*$A$4^2,0)</f>
        <v>0</v>
      </c>
      <c r="AA856">
        <f ca="1">IFERROR(((Table13345[[#This Row],[Open.Int8]])*Table13345[[#This Row],[Put gamma]])*-1*$A$4^2,0)</f>
        <v>0</v>
      </c>
      <c r="AB856">
        <f ca="1">(Table13345[[#This Row],[Call Gex]]+Table13345[[#This Row],[Put Gex]])</f>
        <v>0</v>
      </c>
      <c r="AC856">
        <f ca="1">Table13345[[#This Row],[put delta adj]]+Table13345[[#This Row],[call delta adj]]</f>
        <v>0</v>
      </c>
      <c r="AD856">
        <f ca="1">Table13345[[#This Row],[Put Gex]]*Table13345[[#This Row],[DeltaP]]*-1</f>
        <v>0</v>
      </c>
      <c r="AE856">
        <f ca="1">Table13345[[#This Row],[Call Gex]]*Table13345[[#This Row],[DeltaC]]</f>
        <v>0</v>
      </c>
      <c r="AF856">
        <f>IF(Table13345[[#This Row],[DeltaC]]-ABS(Table13345[[#This Row],[DeltaP]])="0","0.01",Table13345[[#This Row],[DeltaC]]-ABS(Table13345[[#This Row],[DeltaP]]))</f>
        <v>0</v>
      </c>
      <c r="AG85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6" t="e">
        <f ca="1">(EXP(-(AG856^2)/2)/SQRT(2*PI())*EXP(0*SQRT(Table13345[[#This Row],[T]]))/$A$4*18%*SQRT(SQRT(Table13345[[#This Row],[T]])))</f>
        <v>#DIV/0!</v>
      </c>
      <c r="AJ856" t="e">
        <f ca="1">(EXP(-(AH856^2)/2)/SQRT(2*PI())*EXP(0*SQRT(Table13345[[#This Row],[T]]))/$A$4*18%*SQRT(SQRT(Table13345[[#This Row],[T]])))</f>
        <v>#DIV/0!</v>
      </c>
      <c r="AK856" t="e">
        <f ca="1">Table13345[[#This Row],[Call D1]]-Table13345[[#This Row],[IV Calc C]]*SQRT(Table13345[[#This Row],[T]])</f>
        <v>#DIV/0!</v>
      </c>
      <c r="AL856" t="e">
        <f ca="1">Table13345[[#This Row],[Put D1]]-Table13345[[#This Row],[IV Calc P]]*SQRT(Table13345[[#This Row],[T]])</f>
        <v>#DIV/0!</v>
      </c>
      <c r="AM856" t="e">
        <f ca="1">EXP(-0.5*Table13345[[#This Row],[Call D1]]^2)/SQRT(2*PI())</f>
        <v>#DIV/0!</v>
      </c>
      <c r="AN856" t="e">
        <f ca="1">EXP(-0.5*Table13345[[#This Row],[Put D1]]^2)/SQRT(2*PI())</f>
        <v>#DIV/0!</v>
      </c>
      <c r="AO85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6">
        <f ca="1">((Table13345[[#This Row],[call vanna]]+Table13345[[#This Row],[put vanna]])*$A$4)</f>
        <v>0</v>
      </c>
      <c r="AR85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6" s="9" t="str" cm="1">
        <f t="array" ref="AT856">_xlfn.IFS(     $M$1="SPX","SPXW",     $M$1="RUT","RUTW",  $M$1="NDX","NDXP",   TRUE,$M$1 )</f>
        <v>SPXW</v>
      </c>
      <c r="AU856" s="2">
        <f t="shared" si="87"/>
        <v>6915</v>
      </c>
      <c r="AV856" t="str">
        <f t="shared" si="88"/>
        <v>000100</v>
      </c>
      <c r="AY85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6">
        <f>((Table13345[[#This Row],[High C]]+Table13345[[#This Row],[Low C]])/2)*Table13345[[#This Row],[gammac]]*Table13345[[#This Row],[Volume]]</f>
        <v>0</v>
      </c>
      <c r="BD856">
        <f>((Table13345[[#This Row],[High P]]+Table13345[[#This Row],[Low P]])/2)*Table13345[[#This Row],[gammap]]*Table13345[[#This Row],[Volume9]]*-1</f>
        <v>0</v>
      </c>
      <c r="BE856">
        <f>(Table13345[[#This Row],[SgammaC]]+Table13345[[#This Row],[SgammaP]])*$A$4*-100</f>
        <v>0</v>
      </c>
      <c r="BF856">
        <f>Table13345[[#This Row],[DEXc]]+Table13345[[#This Row],[DEXp]]</f>
        <v>0</v>
      </c>
      <c r="BG856">
        <f>IFERROR(Table13345[[#This Row],[DeltaC]]*Table13345[[#This Row],[Open.Int]]*$A$4,0)</f>
        <v>0</v>
      </c>
      <c r="BH856">
        <f>IFERROR(Table13345[[#This Row],[DeltaP]]*Table13345[[#This Row],[Open.Int8]]*$A$4,0)</f>
        <v>0</v>
      </c>
      <c r="BI85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6">
        <f ca="1">Table13345[[#This Row],[charmc]]+Table13345[[#This Row],[charmp]]</f>
        <v>0</v>
      </c>
      <c r="BL85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6" s="78">
        <f ca="1">Table13345[[#This Row],[call helper]]+Table13345[[#This Row],[put helper]]</f>
        <v>0</v>
      </c>
      <c r="BP856" t="str">
        <f>RTD("tos.rtd", , "STRIKE", "."&amp;Table13345[[#This Row],[Ticker]]&amp;Table13345[[#This Row],[Expiry]]&amp;""&amp;"C"&amp;Table13345[[#This Row],[Spot]]+Table13345[[#This Row],[step]])</f>
        <v>N/A</v>
      </c>
    </row>
    <row r="857" spans="1:68" x14ac:dyDescent="0.25">
      <c r="A857" s="14">
        <f t="shared" ca="1" si="84"/>
        <v>-126.14810350076104</v>
      </c>
      <c r="C857" s="17"/>
      <c r="D857" t="str">
        <f>RTD("tos.rtd", , "OPEN_INT", "."&amp;Table13345[[#This Row],[Ticker]]&amp;Table13345[[#This Row],[Expiry]]&amp;""&amp;"C"&amp;Table13345[[#This Row],[Spot]]+Table13345[[#This Row],[step]])</f>
        <v>N/A</v>
      </c>
      <c r="E85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7" t="b">
        <f>IF(     ISNUMBER(Table13345[[#This Row],[Strike]]),RTD("tos.rtd", , "DELTA", "."&amp;Table13345[[#This Row],[Ticker]]&amp;Table13345[[#This Row],[Expiry]]&amp;""&amp;"C"&amp;Table13345[[#This Row],[Strike]]))</f>
        <v>0</v>
      </c>
      <c r="H857" s="17" cm="1">
        <f t="array" aca="1" ref="H857" ca="1">IndividualLegIVCore($A$4, Table13345[[#This Row],[Strike]], 0.0411, Table13345[[#This Row],[T]], ((Table13345[[#This Row],[BIDC]]+Table13345[[#This Row],[ASKC]])/2), TRUE)</f>
        <v>0.01</v>
      </c>
      <c r="I857" t="b">
        <f>IF(     ISNUMBER(Table13345[[#This Row],[Strike]]),RTD("tos.rtd", , "BID", "."&amp;Table13345[[#This Row],[Ticker]]&amp;Table13345[[#This Row],[Expiry]]&amp;""&amp;"C"&amp;Table13345[[#This Row],[Strike]]))</f>
        <v>0</v>
      </c>
      <c r="J857" t="b">
        <f>IF(     ISNUMBER(Table13345[[#This Row],[Strike]]),RTD("tos.rtd", , "ASK", "."&amp;Table13345[[#This Row],[Ticker]]&amp;Table13345[[#This Row],[Expiry]]&amp;""&amp;"C"&amp;Table13345[[#This Row],[Strike]]))</f>
        <v>0</v>
      </c>
      <c r="K857" s="17"/>
      <c r="M857" s="1">
        <f t="shared" si="85"/>
        <v>0</v>
      </c>
      <c r="N857" t="b">
        <f t="shared" si="86"/>
        <v>0</v>
      </c>
      <c r="P857" s="17" cm="1">
        <f t="array" aca="1" ref="P857" ca="1">IndividualLegIVCore($A$4, Table13345[[#This Row],[Strike]], 0.0411, Table13345[[#This Row],[T]], ((Table13345[[#This Row],[BIDP]]+Table13345[[#This Row],[ASKP]])/2), FALSE)</f>
        <v>0.01</v>
      </c>
      <c r="Q857" t="b">
        <f>IF(     ISNUMBER(Table13345[[#This Row],[Strike]]),RTD("tos.rtd", , "BID", "."&amp;Table13345[[#This Row],[Ticker]]&amp;Table13345[[#This Row],[Expiry]]&amp;""&amp;"P"&amp;Table13345[[#This Row],[Strike]]))</f>
        <v>0</v>
      </c>
      <c r="R857" t="b">
        <f>IF(     ISNUMBER(Table13345[[#This Row],[Strike]]),RTD("tos.rtd", , "ASK", "."&amp;Table13345[[#This Row],[Ticker]]&amp;Table13345[[#This Row],[Expiry]]&amp;""&amp;"P"&amp;Table13345[[#This Row],[Strike]]))</f>
        <v>0</v>
      </c>
      <c r="S857" s="17"/>
      <c r="T857" t="b">
        <f>IF(     ISNUMBER(Table13345[[#This Row],[Strike]]),RTD("tos.rtd", , "OPEN_INT", "."&amp;Table13345[[#This Row],[Ticker]]&amp;Table13345[[#This Row],[Expiry]]&amp;""&amp;"P"&amp;Table13345[[#This Row],[Strike]]))</f>
        <v>0</v>
      </c>
      <c r="U85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7" t="b">
        <f>IF(     ISNUMBER(Table13345[[#This Row],[Strike]]),RTD("tos.rtd", , "DELTA", "."&amp;Table13345[[#This Row],[Ticker]]&amp;Table13345[[#This Row],[Expiry]]&amp;""&amp;"P"&amp;Table13345[[#This Row],[Strike]]))</f>
        <v>0</v>
      </c>
      <c r="Y857" s="19">
        <f>-32.5 * IF($M$1="NDX", 10, IF(OR($M$1="SPX", $M$1="RUT"), 2, 1))</f>
        <v>-65</v>
      </c>
      <c r="Z857">
        <f ca="1">IFERROR(Table13345[[#This Row],[call gamma]]*(Table13345[[#This Row],[Open.Int]])*$A$4^2,0)</f>
        <v>0</v>
      </c>
      <c r="AA857">
        <f ca="1">IFERROR(((Table13345[[#This Row],[Open.Int8]])*Table13345[[#This Row],[Put gamma]])*-1*$A$4^2,0)</f>
        <v>0</v>
      </c>
      <c r="AB857">
        <f ca="1">(Table13345[[#This Row],[Call Gex]]+Table13345[[#This Row],[Put Gex]])</f>
        <v>0</v>
      </c>
      <c r="AC857">
        <f ca="1">Table13345[[#This Row],[put delta adj]]+Table13345[[#This Row],[call delta adj]]</f>
        <v>0</v>
      </c>
      <c r="AD857">
        <f ca="1">Table13345[[#This Row],[Put Gex]]*Table13345[[#This Row],[DeltaP]]*-1</f>
        <v>0</v>
      </c>
      <c r="AE857">
        <f ca="1">Table13345[[#This Row],[Call Gex]]*Table13345[[#This Row],[DeltaC]]</f>
        <v>0</v>
      </c>
      <c r="AF857">
        <f>IF(Table13345[[#This Row],[DeltaC]]-ABS(Table13345[[#This Row],[DeltaP]])="0","0.01",Table13345[[#This Row],[DeltaC]]-ABS(Table13345[[#This Row],[DeltaP]]))</f>
        <v>0</v>
      </c>
      <c r="AG85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7" t="e">
        <f ca="1">(EXP(-(AG857^2)/2)/SQRT(2*PI())*EXP(0*SQRT(Table13345[[#This Row],[T]]))/$A$4*18%*SQRT(SQRT(Table13345[[#This Row],[T]])))</f>
        <v>#DIV/0!</v>
      </c>
      <c r="AJ857" t="e">
        <f ca="1">(EXP(-(AH857^2)/2)/SQRT(2*PI())*EXP(0*SQRT(Table13345[[#This Row],[T]]))/$A$4*18%*SQRT(SQRT(Table13345[[#This Row],[T]])))</f>
        <v>#DIV/0!</v>
      </c>
      <c r="AK857" t="e">
        <f ca="1">Table13345[[#This Row],[Call D1]]-Table13345[[#This Row],[IV Calc C]]*SQRT(Table13345[[#This Row],[T]])</f>
        <v>#DIV/0!</v>
      </c>
      <c r="AL857" t="e">
        <f ca="1">Table13345[[#This Row],[Put D1]]-Table13345[[#This Row],[IV Calc P]]*SQRT(Table13345[[#This Row],[T]])</f>
        <v>#DIV/0!</v>
      </c>
      <c r="AM857" t="e">
        <f ca="1">EXP(-0.5*Table13345[[#This Row],[Call D1]]^2)/SQRT(2*PI())</f>
        <v>#DIV/0!</v>
      </c>
      <c r="AN857" t="e">
        <f ca="1">EXP(-0.5*Table13345[[#This Row],[Put D1]]^2)/SQRT(2*PI())</f>
        <v>#DIV/0!</v>
      </c>
      <c r="AO85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7">
        <f ca="1">((Table13345[[#This Row],[call vanna]]+Table13345[[#This Row],[put vanna]])*$A$4)</f>
        <v>0</v>
      </c>
      <c r="AR85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7" s="9" t="str" cm="1">
        <f t="array" ref="AT857">_xlfn.IFS(     $M$1="SPX","SPXW",     $M$1="RUT","RUTW",  $M$1="NDX","NDXP",   TRUE,$M$1 )</f>
        <v>SPXW</v>
      </c>
      <c r="AU857" s="2">
        <f t="shared" si="87"/>
        <v>6915</v>
      </c>
      <c r="AV857" t="str">
        <f t="shared" si="88"/>
        <v>000100</v>
      </c>
      <c r="AY85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7">
        <f>((Table13345[[#This Row],[High C]]+Table13345[[#This Row],[Low C]])/2)*Table13345[[#This Row],[gammac]]*Table13345[[#This Row],[Volume]]</f>
        <v>0</v>
      </c>
      <c r="BD857">
        <f>((Table13345[[#This Row],[High P]]+Table13345[[#This Row],[Low P]])/2)*Table13345[[#This Row],[gammap]]*Table13345[[#This Row],[Volume9]]*-1</f>
        <v>0</v>
      </c>
      <c r="BE857">
        <f>(Table13345[[#This Row],[SgammaC]]+Table13345[[#This Row],[SgammaP]])*$A$4*-100</f>
        <v>0</v>
      </c>
      <c r="BF857">
        <f>Table13345[[#This Row],[DEXc]]+Table13345[[#This Row],[DEXp]]</f>
        <v>0</v>
      </c>
      <c r="BG857">
        <f>IFERROR(Table13345[[#This Row],[DeltaC]]*Table13345[[#This Row],[Open.Int]]*$A$4,0)</f>
        <v>0</v>
      </c>
      <c r="BH857">
        <f>IFERROR(Table13345[[#This Row],[DeltaP]]*Table13345[[#This Row],[Open.Int8]]*$A$4,0)</f>
        <v>0</v>
      </c>
      <c r="BI85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7">
        <f ca="1">Table13345[[#This Row],[charmc]]+Table13345[[#This Row],[charmp]]</f>
        <v>0</v>
      </c>
      <c r="BL85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7" s="78">
        <f ca="1">Table13345[[#This Row],[call helper]]+Table13345[[#This Row],[put helper]]</f>
        <v>0</v>
      </c>
      <c r="BP857" t="str">
        <f>RTD("tos.rtd", , "STRIKE", "."&amp;Table13345[[#This Row],[Ticker]]&amp;Table13345[[#This Row],[Expiry]]&amp;""&amp;"C"&amp;Table13345[[#This Row],[Spot]]+Table13345[[#This Row],[step]])</f>
        <v>N/A</v>
      </c>
    </row>
    <row r="858" spans="1:68" x14ac:dyDescent="0.25">
      <c r="A858" s="14">
        <f t="shared" ca="1" si="84"/>
        <v>-126.14810350076104</v>
      </c>
      <c r="C858" s="17"/>
      <c r="D858" t="str">
        <f>RTD("tos.rtd", , "OPEN_INT", "."&amp;Table13345[[#This Row],[Ticker]]&amp;Table13345[[#This Row],[Expiry]]&amp;""&amp;"C"&amp;Table13345[[#This Row],[Spot]]+Table13345[[#This Row],[step]])</f>
        <v>N/A</v>
      </c>
      <c r="E85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8" t="b">
        <f>IF(     ISNUMBER(Table13345[[#This Row],[Strike]]),RTD("tos.rtd", , "DELTA", "."&amp;Table13345[[#This Row],[Ticker]]&amp;Table13345[[#This Row],[Expiry]]&amp;""&amp;"C"&amp;Table13345[[#This Row],[Strike]]))</f>
        <v>0</v>
      </c>
      <c r="H858" s="17" cm="1">
        <f t="array" aca="1" ref="H858" ca="1">IndividualLegIVCore($A$4, Table13345[[#This Row],[Strike]], 0.0411, Table13345[[#This Row],[T]], ((Table13345[[#This Row],[BIDC]]+Table13345[[#This Row],[ASKC]])/2), TRUE)</f>
        <v>0.01</v>
      </c>
      <c r="I858" t="b">
        <f>IF(     ISNUMBER(Table13345[[#This Row],[Strike]]),RTD("tos.rtd", , "BID", "."&amp;Table13345[[#This Row],[Ticker]]&amp;Table13345[[#This Row],[Expiry]]&amp;""&amp;"C"&amp;Table13345[[#This Row],[Strike]]))</f>
        <v>0</v>
      </c>
      <c r="J858" t="b">
        <f>IF(     ISNUMBER(Table13345[[#This Row],[Strike]]),RTD("tos.rtd", , "ASK", "."&amp;Table13345[[#This Row],[Ticker]]&amp;Table13345[[#This Row],[Expiry]]&amp;""&amp;"C"&amp;Table13345[[#This Row],[Strike]]))</f>
        <v>0</v>
      </c>
      <c r="K858" s="17"/>
      <c r="M858" s="1">
        <f t="shared" si="85"/>
        <v>0</v>
      </c>
      <c r="N858" t="b">
        <f t="shared" si="86"/>
        <v>0</v>
      </c>
      <c r="P858" s="17" cm="1">
        <f t="array" aca="1" ref="P858" ca="1">IndividualLegIVCore($A$4, Table13345[[#This Row],[Strike]], 0.0411, Table13345[[#This Row],[T]], ((Table13345[[#This Row],[BIDP]]+Table13345[[#This Row],[ASKP]])/2), FALSE)</f>
        <v>0.01</v>
      </c>
      <c r="Q858" t="b">
        <f>IF(     ISNUMBER(Table13345[[#This Row],[Strike]]),RTD("tos.rtd", , "BID", "."&amp;Table13345[[#This Row],[Ticker]]&amp;Table13345[[#This Row],[Expiry]]&amp;""&amp;"P"&amp;Table13345[[#This Row],[Strike]]))</f>
        <v>0</v>
      </c>
      <c r="R858" t="b">
        <f>IF(     ISNUMBER(Table13345[[#This Row],[Strike]]),RTD("tos.rtd", , "ASK", "."&amp;Table13345[[#This Row],[Ticker]]&amp;Table13345[[#This Row],[Expiry]]&amp;""&amp;"P"&amp;Table13345[[#This Row],[Strike]]))</f>
        <v>0</v>
      </c>
      <c r="S858" s="17"/>
      <c r="T858" t="b">
        <f>IF(     ISNUMBER(Table13345[[#This Row],[Strike]]),RTD("tos.rtd", , "OPEN_INT", "."&amp;Table13345[[#This Row],[Ticker]]&amp;Table13345[[#This Row],[Expiry]]&amp;""&amp;"P"&amp;Table13345[[#This Row],[Strike]]))</f>
        <v>0</v>
      </c>
      <c r="U85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8" t="b">
        <f>IF(     ISNUMBER(Table13345[[#This Row],[Strike]]),RTD("tos.rtd", , "DELTA", "."&amp;Table13345[[#This Row],[Ticker]]&amp;Table13345[[#This Row],[Expiry]]&amp;""&amp;"P"&amp;Table13345[[#This Row],[Strike]]))</f>
        <v>0</v>
      </c>
      <c r="Y858" s="19">
        <f>-32 * IF($M$1="NDX", 10, IF(OR($M$1="SPX", $M$1="RUT"), 2, 1))</f>
        <v>-64</v>
      </c>
      <c r="Z858">
        <f ca="1">IFERROR(Table13345[[#This Row],[call gamma]]*(Table13345[[#This Row],[Open.Int]])*$A$4^2,0)</f>
        <v>0</v>
      </c>
      <c r="AA858">
        <f ca="1">IFERROR(((Table13345[[#This Row],[Open.Int8]])*Table13345[[#This Row],[Put gamma]])*-1*$A$4^2,0)</f>
        <v>0</v>
      </c>
      <c r="AB858">
        <f ca="1">(Table13345[[#This Row],[Call Gex]]+Table13345[[#This Row],[Put Gex]])</f>
        <v>0</v>
      </c>
      <c r="AC858">
        <f ca="1">Table13345[[#This Row],[put delta adj]]+Table13345[[#This Row],[call delta adj]]</f>
        <v>0</v>
      </c>
      <c r="AD858">
        <f ca="1">Table13345[[#This Row],[Put Gex]]*Table13345[[#This Row],[DeltaP]]*-1</f>
        <v>0</v>
      </c>
      <c r="AE858">
        <f ca="1">Table13345[[#This Row],[Call Gex]]*Table13345[[#This Row],[DeltaC]]</f>
        <v>0</v>
      </c>
      <c r="AF858">
        <f>IF(Table13345[[#This Row],[DeltaC]]-ABS(Table13345[[#This Row],[DeltaP]])="0","0.01",Table13345[[#This Row],[DeltaC]]-ABS(Table13345[[#This Row],[DeltaP]]))</f>
        <v>0</v>
      </c>
      <c r="AG85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8" t="e">
        <f ca="1">(EXP(-(AG858^2)/2)/SQRT(2*PI())*EXP(0*SQRT(Table13345[[#This Row],[T]]))/$A$4*18%*SQRT(SQRT(Table13345[[#This Row],[T]])))</f>
        <v>#DIV/0!</v>
      </c>
      <c r="AJ858" t="e">
        <f ca="1">(EXP(-(AH858^2)/2)/SQRT(2*PI())*EXP(0*SQRT(Table13345[[#This Row],[T]]))/$A$4*18%*SQRT(SQRT(Table13345[[#This Row],[T]])))</f>
        <v>#DIV/0!</v>
      </c>
      <c r="AK858" t="e">
        <f ca="1">Table13345[[#This Row],[Call D1]]-Table13345[[#This Row],[IV Calc C]]*SQRT(Table13345[[#This Row],[T]])</f>
        <v>#DIV/0!</v>
      </c>
      <c r="AL858" t="e">
        <f ca="1">Table13345[[#This Row],[Put D1]]-Table13345[[#This Row],[IV Calc P]]*SQRT(Table13345[[#This Row],[T]])</f>
        <v>#DIV/0!</v>
      </c>
      <c r="AM858" t="e">
        <f ca="1">EXP(-0.5*Table13345[[#This Row],[Call D1]]^2)/SQRT(2*PI())</f>
        <v>#DIV/0!</v>
      </c>
      <c r="AN858" t="e">
        <f ca="1">EXP(-0.5*Table13345[[#This Row],[Put D1]]^2)/SQRT(2*PI())</f>
        <v>#DIV/0!</v>
      </c>
      <c r="AO85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8">
        <f ca="1">((Table13345[[#This Row],[call vanna]]+Table13345[[#This Row],[put vanna]])*$A$4)</f>
        <v>0</v>
      </c>
      <c r="AR85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8" s="9" t="str" cm="1">
        <f t="array" ref="AT858">_xlfn.IFS(     $M$1="SPX","SPXW",     $M$1="RUT","RUTW",  $M$1="NDX","NDXP",   TRUE,$M$1 )</f>
        <v>SPXW</v>
      </c>
      <c r="AU858" s="2">
        <f t="shared" si="87"/>
        <v>6915</v>
      </c>
      <c r="AV858" t="str">
        <f t="shared" si="88"/>
        <v>000100</v>
      </c>
      <c r="AY85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8">
        <f>((Table13345[[#This Row],[High C]]+Table13345[[#This Row],[Low C]])/2)*Table13345[[#This Row],[gammac]]*Table13345[[#This Row],[Volume]]</f>
        <v>0</v>
      </c>
      <c r="BD858">
        <f>((Table13345[[#This Row],[High P]]+Table13345[[#This Row],[Low P]])/2)*Table13345[[#This Row],[gammap]]*Table13345[[#This Row],[Volume9]]*-1</f>
        <v>0</v>
      </c>
      <c r="BE858">
        <f>(Table13345[[#This Row],[SgammaC]]+Table13345[[#This Row],[SgammaP]])*$A$4*-100</f>
        <v>0</v>
      </c>
      <c r="BF858">
        <f>Table13345[[#This Row],[DEXc]]+Table13345[[#This Row],[DEXp]]</f>
        <v>0</v>
      </c>
      <c r="BG858">
        <f>IFERROR(Table13345[[#This Row],[DeltaC]]*Table13345[[#This Row],[Open.Int]]*$A$4,0)</f>
        <v>0</v>
      </c>
      <c r="BH858">
        <f>IFERROR(Table13345[[#This Row],[DeltaP]]*Table13345[[#This Row],[Open.Int8]]*$A$4,0)</f>
        <v>0</v>
      </c>
      <c r="BI85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8">
        <f ca="1">Table13345[[#This Row],[charmc]]+Table13345[[#This Row],[charmp]]</f>
        <v>0</v>
      </c>
      <c r="BL85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8" s="78">
        <f ca="1">Table13345[[#This Row],[call helper]]+Table13345[[#This Row],[put helper]]</f>
        <v>0</v>
      </c>
      <c r="BP858" t="str">
        <f>RTD("tos.rtd", , "STRIKE", "."&amp;Table13345[[#This Row],[Ticker]]&amp;Table13345[[#This Row],[Expiry]]&amp;""&amp;"C"&amp;Table13345[[#This Row],[Spot]]+Table13345[[#This Row],[step]])</f>
        <v>N/A</v>
      </c>
    </row>
    <row r="859" spans="1:68" x14ac:dyDescent="0.25">
      <c r="A859" s="14">
        <f t="shared" ca="1" si="84"/>
        <v>-126.14810350076104</v>
      </c>
      <c r="C859" s="17"/>
      <c r="D859" t="str">
        <f>RTD("tos.rtd", , "OPEN_INT", "."&amp;Table13345[[#This Row],[Ticker]]&amp;Table13345[[#This Row],[Expiry]]&amp;""&amp;"C"&amp;Table13345[[#This Row],[Spot]]+Table13345[[#This Row],[step]])</f>
        <v>N/A</v>
      </c>
      <c r="E85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9" t="b">
        <f>IF(     ISNUMBER(Table13345[[#This Row],[Strike]]),RTD("tos.rtd", , "DELTA", "."&amp;Table13345[[#This Row],[Ticker]]&amp;Table13345[[#This Row],[Expiry]]&amp;""&amp;"C"&amp;Table13345[[#This Row],[Strike]]))</f>
        <v>0</v>
      </c>
      <c r="H859" s="17" cm="1">
        <f t="array" aca="1" ref="H859" ca="1">IndividualLegIVCore($A$4, Table13345[[#This Row],[Strike]], 0.0411, Table13345[[#This Row],[T]], ((Table13345[[#This Row],[BIDC]]+Table13345[[#This Row],[ASKC]])/2), TRUE)</f>
        <v>0.01</v>
      </c>
      <c r="I859" t="b">
        <f>IF(     ISNUMBER(Table13345[[#This Row],[Strike]]),RTD("tos.rtd", , "BID", "."&amp;Table13345[[#This Row],[Ticker]]&amp;Table13345[[#This Row],[Expiry]]&amp;""&amp;"C"&amp;Table13345[[#This Row],[Strike]]))</f>
        <v>0</v>
      </c>
      <c r="J859" t="b">
        <f>IF(     ISNUMBER(Table13345[[#This Row],[Strike]]),RTD("tos.rtd", , "ASK", "."&amp;Table13345[[#This Row],[Ticker]]&amp;Table13345[[#This Row],[Expiry]]&amp;""&amp;"C"&amp;Table13345[[#This Row],[Strike]]))</f>
        <v>0</v>
      </c>
      <c r="K859" s="17"/>
      <c r="M859" s="1">
        <f t="shared" si="85"/>
        <v>0</v>
      </c>
      <c r="N859" t="b">
        <f t="shared" si="86"/>
        <v>0</v>
      </c>
      <c r="P859" s="17" cm="1">
        <f t="array" aca="1" ref="P859" ca="1">IndividualLegIVCore($A$4, Table13345[[#This Row],[Strike]], 0.0411, Table13345[[#This Row],[T]], ((Table13345[[#This Row],[BIDP]]+Table13345[[#This Row],[ASKP]])/2), FALSE)</f>
        <v>0.01</v>
      </c>
      <c r="Q859" t="b">
        <f>IF(     ISNUMBER(Table13345[[#This Row],[Strike]]),RTD("tos.rtd", , "BID", "."&amp;Table13345[[#This Row],[Ticker]]&amp;Table13345[[#This Row],[Expiry]]&amp;""&amp;"P"&amp;Table13345[[#This Row],[Strike]]))</f>
        <v>0</v>
      </c>
      <c r="R859" t="b">
        <f>IF(     ISNUMBER(Table13345[[#This Row],[Strike]]),RTD("tos.rtd", , "ASK", "."&amp;Table13345[[#This Row],[Ticker]]&amp;Table13345[[#This Row],[Expiry]]&amp;""&amp;"P"&amp;Table13345[[#This Row],[Strike]]))</f>
        <v>0</v>
      </c>
      <c r="S859" s="17"/>
      <c r="T859" t="b">
        <f>IF(     ISNUMBER(Table13345[[#This Row],[Strike]]),RTD("tos.rtd", , "OPEN_INT", "."&amp;Table13345[[#This Row],[Ticker]]&amp;Table13345[[#This Row],[Expiry]]&amp;""&amp;"P"&amp;Table13345[[#This Row],[Strike]]))</f>
        <v>0</v>
      </c>
      <c r="U85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9" t="b">
        <f>IF(     ISNUMBER(Table13345[[#This Row],[Strike]]),RTD("tos.rtd", , "DELTA", "."&amp;Table13345[[#This Row],[Ticker]]&amp;Table13345[[#This Row],[Expiry]]&amp;""&amp;"P"&amp;Table13345[[#This Row],[Strike]]))</f>
        <v>0</v>
      </c>
      <c r="Y859" s="19">
        <f>-31.5 * IF($M$1="NDX", 10, IF(OR($M$1="SPX", $M$1="RUT"), 2, 1))</f>
        <v>-63</v>
      </c>
      <c r="Z859">
        <f ca="1">IFERROR(Table13345[[#This Row],[call gamma]]*(Table13345[[#This Row],[Open.Int]])*$A$4^2,0)</f>
        <v>0</v>
      </c>
      <c r="AA859">
        <f ca="1">IFERROR(((Table13345[[#This Row],[Open.Int8]])*Table13345[[#This Row],[Put gamma]])*-1*$A$4^2,0)</f>
        <v>0</v>
      </c>
      <c r="AB859">
        <f ca="1">(Table13345[[#This Row],[Call Gex]]+Table13345[[#This Row],[Put Gex]])</f>
        <v>0</v>
      </c>
      <c r="AC859">
        <f ca="1">Table13345[[#This Row],[put delta adj]]+Table13345[[#This Row],[call delta adj]]</f>
        <v>0</v>
      </c>
      <c r="AD859">
        <f ca="1">Table13345[[#This Row],[Put Gex]]*Table13345[[#This Row],[DeltaP]]*-1</f>
        <v>0</v>
      </c>
      <c r="AE859">
        <f ca="1">Table13345[[#This Row],[Call Gex]]*Table13345[[#This Row],[DeltaC]]</f>
        <v>0</v>
      </c>
      <c r="AF859">
        <f>IF(Table13345[[#This Row],[DeltaC]]-ABS(Table13345[[#This Row],[DeltaP]])="0","0.01",Table13345[[#This Row],[DeltaC]]-ABS(Table13345[[#This Row],[DeltaP]]))</f>
        <v>0</v>
      </c>
      <c r="AG85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9" t="e">
        <f ca="1">(EXP(-(AG859^2)/2)/SQRT(2*PI())*EXP(0*SQRT(Table13345[[#This Row],[T]]))/$A$4*18%*SQRT(SQRT(Table13345[[#This Row],[T]])))</f>
        <v>#DIV/0!</v>
      </c>
      <c r="AJ859" t="e">
        <f ca="1">(EXP(-(AH859^2)/2)/SQRT(2*PI())*EXP(0*SQRT(Table13345[[#This Row],[T]]))/$A$4*18%*SQRT(SQRT(Table13345[[#This Row],[T]])))</f>
        <v>#DIV/0!</v>
      </c>
      <c r="AK859" t="e">
        <f ca="1">Table13345[[#This Row],[Call D1]]-Table13345[[#This Row],[IV Calc C]]*SQRT(Table13345[[#This Row],[T]])</f>
        <v>#DIV/0!</v>
      </c>
      <c r="AL859" t="e">
        <f ca="1">Table13345[[#This Row],[Put D1]]-Table13345[[#This Row],[IV Calc P]]*SQRT(Table13345[[#This Row],[T]])</f>
        <v>#DIV/0!</v>
      </c>
      <c r="AM859" t="e">
        <f ca="1">EXP(-0.5*Table13345[[#This Row],[Call D1]]^2)/SQRT(2*PI())</f>
        <v>#DIV/0!</v>
      </c>
      <c r="AN859" t="e">
        <f ca="1">EXP(-0.5*Table13345[[#This Row],[Put D1]]^2)/SQRT(2*PI())</f>
        <v>#DIV/0!</v>
      </c>
      <c r="AO85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9">
        <f ca="1">((Table13345[[#This Row],[call vanna]]+Table13345[[#This Row],[put vanna]])*$A$4)</f>
        <v>0</v>
      </c>
      <c r="AR85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9" s="9" t="str" cm="1">
        <f t="array" ref="AT859">_xlfn.IFS(     $M$1="SPX","SPXW",     $M$1="RUT","RUTW",  $M$1="NDX","NDXP",   TRUE,$M$1 )</f>
        <v>SPXW</v>
      </c>
      <c r="AU859" s="2">
        <f t="shared" si="87"/>
        <v>6915</v>
      </c>
      <c r="AV859" t="str">
        <f t="shared" si="88"/>
        <v>000100</v>
      </c>
      <c r="AY85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9">
        <f>((Table13345[[#This Row],[High C]]+Table13345[[#This Row],[Low C]])/2)*Table13345[[#This Row],[gammac]]*Table13345[[#This Row],[Volume]]</f>
        <v>0</v>
      </c>
      <c r="BD859">
        <f>((Table13345[[#This Row],[High P]]+Table13345[[#This Row],[Low P]])/2)*Table13345[[#This Row],[gammap]]*Table13345[[#This Row],[Volume9]]*-1</f>
        <v>0</v>
      </c>
      <c r="BE859">
        <f>(Table13345[[#This Row],[SgammaC]]+Table13345[[#This Row],[SgammaP]])*$A$4*-100</f>
        <v>0</v>
      </c>
      <c r="BF859">
        <f>Table13345[[#This Row],[DEXc]]+Table13345[[#This Row],[DEXp]]</f>
        <v>0</v>
      </c>
      <c r="BG859">
        <f>IFERROR(Table13345[[#This Row],[DeltaC]]*Table13345[[#This Row],[Open.Int]]*$A$4,0)</f>
        <v>0</v>
      </c>
      <c r="BH859">
        <f>IFERROR(Table13345[[#This Row],[DeltaP]]*Table13345[[#This Row],[Open.Int8]]*$A$4,0)</f>
        <v>0</v>
      </c>
      <c r="BI85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9">
        <f ca="1">Table13345[[#This Row],[charmc]]+Table13345[[#This Row],[charmp]]</f>
        <v>0</v>
      </c>
      <c r="BL85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9" s="78">
        <f ca="1">Table13345[[#This Row],[call helper]]+Table13345[[#This Row],[put helper]]</f>
        <v>0</v>
      </c>
      <c r="BP859" t="str">
        <f>RTD("tos.rtd", , "STRIKE", "."&amp;Table13345[[#This Row],[Ticker]]&amp;Table13345[[#This Row],[Expiry]]&amp;""&amp;"C"&amp;Table13345[[#This Row],[Spot]]+Table13345[[#This Row],[step]])</f>
        <v>N/A</v>
      </c>
    </row>
    <row r="860" spans="1:68" x14ac:dyDescent="0.25">
      <c r="A860" s="14">
        <f t="shared" ca="1" si="84"/>
        <v>-126.14810350076104</v>
      </c>
      <c r="C860" s="17"/>
      <c r="D860" t="str">
        <f>RTD("tos.rtd", , "OPEN_INT", "."&amp;Table13345[[#This Row],[Ticker]]&amp;Table13345[[#This Row],[Expiry]]&amp;""&amp;"C"&amp;Table13345[[#This Row],[Spot]]+Table13345[[#This Row],[step]])</f>
        <v>N/A</v>
      </c>
      <c r="E86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0" t="b">
        <f>IF(     ISNUMBER(Table13345[[#This Row],[Strike]]),RTD("tos.rtd", , "DELTA", "."&amp;Table13345[[#This Row],[Ticker]]&amp;Table13345[[#This Row],[Expiry]]&amp;""&amp;"C"&amp;Table13345[[#This Row],[Strike]]))</f>
        <v>0</v>
      </c>
      <c r="H860" s="17" cm="1">
        <f t="array" aca="1" ref="H860" ca="1">IndividualLegIVCore($A$4, Table13345[[#This Row],[Strike]], 0.0411, Table13345[[#This Row],[T]], ((Table13345[[#This Row],[BIDC]]+Table13345[[#This Row],[ASKC]])/2), TRUE)</f>
        <v>0.01</v>
      </c>
      <c r="I860" t="b">
        <f>IF(     ISNUMBER(Table13345[[#This Row],[Strike]]),RTD("tos.rtd", , "BID", "."&amp;Table13345[[#This Row],[Ticker]]&amp;Table13345[[#This Row],[Expiry]]&amp;""&amp;"C"&amp;Table13345[[#This Row],[Strike]]))</f>
        <v>0</v>
      </c>
      <c r="J860" t="b">
        <f>IF(     ISNUMBER(Table13345[[#This Row],[Strike]]),RTD("tos.rtd", , "ASK", "."&amp;Table13345[[#This Row],[Ticker]]&amp;Table13345[[#This Row],[Expiry]]&amp;""&amp;"C"&amp;Table13345[[#This Row],[Strike]]))</f>
        <v>0</v>
      </c>
      <c r="K860" s="17"/>
      <c r="M860" s="1">
        <f t="shared" si="85"/>
        <v>0</v>
      </c>
      <c r="N860" t="b">
        <f t="shared" si="86"/>
        <v>0</v>
      </c>
      <c r="P860" s="17" cm="1">
        <f t="array" aca="1" ref="P860" ca="1">IndividualLegIVCore($A$4, Table13345[[#This Row],[Strike]], 0.0411, Table13345[[#This Row],[T]], ((Table13345[[#This Row],[BIDP]]+Table13345[[#This Row],[ASKP]])/2), FALSE)</f>
        <v>0.01</v>
      </c>
      <c r="Q860" t="b">
        <f>IF(     ISNUMBER(Table13345[[#This Row],[Strike]]),RTD("tos.rtd", , "BID", "."&amp;Table13345[[#This Row],[Ticker]]&amp;Table13345[[#This Row],[Expiry]]&amp;""&amp;"P"&amp;Table13345[[#This Row],[Strike]]))</f>
        <v>0</v>
      </c>
      <c r="R860" t="b">
        <f>IF(     ISNUMBER(Table13345[[#This Row],[Strike]]),RTD("tos.rtd", , "ASK", "."&amp;Table13345[[#This Row],[Ticker]]&amp;Table13345[[#This Row],[Expiry]]&amp;""&amp;"P"&amp;Table13345[[#This Row],[Strike]]))</f>
        <v>0</v>
      </c>
      <c r="S860" s="17"/>
      <c r="T860" t="b">
        <f>IF(     ISNUMBER(Table13345[[#This Row],[Strike]]),RTD("tos.rtd", , "OPEN_INT", "."&amp;Table13345[[#This Row],[Ticker]]&amp;Table13345[[#This Row],[Expiry]]&amp;""&amp;"P"&amp;Table13345[[#This Row],[Strike]]))</f>
        <v>0</v>
      </c>
      <c r="U86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0" t="b">
        <f>IF(     ISNUMBER(Table13345[[#This Row],[Strike]]),RTD("tos.rtd", , "DELTA", "."&amp;Table13345[[#This Row],[Ticker]]&amp;Table13345[[#This Row],[Expiry]]&amp;""&amp;"P"&amp;Table13345[[#This Row],[Strike]]))</f>
        <v>0</v>
      </c>
      <c r="Y860" s="19">
        <f>-31 * IF($M$1="NDX", 10, IF(OR($M$1="SPX", $M$1="RUT"), 2, 1))</f>
        <v>-62</v>
      </c>
      <c r="Z860">
        <f ca="1">IFERROR(Table13345[[#This Row],[call gamma]]*(Table13345[[#This Row],[Open.Int]])*$A$4^2,0)</f>
        <v>0</v>
      </c>
      <c r="AA860">
        <f ca="1">IFERROR(((Table13345[[#This Row],[Open.Int8]])*Table13345[[#This Row],[Put gamma]])*-1*$A$4^2,0)</f>
        <v>0</v>
      </c>
      <c r="AB860">
        <f ca="1">(Table13345[[#This Row],[Call Gex]]+Table13345[[#This Row],[Put Gex]])</f>
        <v>0</v>
      </c>
      <c r="AC860">
        <f ca="1">Table13345[[#This Row],[put delta adj]]+Table13345[[#This Row],[call delta adj]]</f>
        <v>0</v>
      </c>
      <c r="AD860">
        <f ca="1">Table13345[[#This Row],[Put Gex]]*Table13345[[#This Row],[DeltaP]]*-1</f>
        <v>0</v>
      </c>
      <c r="AE860">
        <f ca="1">Table13345[[#This Row],[Call Gex]]*Table13345[[#This Row],[DeltaC]]</f>
        <v>0</v>
      </c>
      <c r="AF860">
        <f>IF(Table13345[[#This Row],[DeltaC]]-ABS(Table13345[[#This Row],[DeltaP]])="0","0.01",Table13345[[#This Row],[DeltaC]]-ABS(Table13345[[#This Row],[DeltaP]]))</f>
        <v>0</v>
      </c>
      <c r="AG86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0" t="e">
        <f ca="1">(EXP(-(AG860^2)/2)/SQRT(2*PI())*EXP(0*SQRT(Table13345[[#This Row],[T]]))/$A$4*18%*SQRT(SQRT(Table13345[[#This Row],[T]])))</f>
        <v>#DIV/0!</v>
      </c>
      <c r="AJ860" t="e">
        <f ca="1">(EXP(-(AH860^2)/2)/SQRT(2*PI())*EXP(0*SQRT(Table13345[[#This Row],[T]]))/$A$4*18%*SQRT(SQRT(Table13345[[#This Row],[T]])))</f>
        <v>#DIV/0!</v>
      </c>
      <c r="AK860" t="e">
        <f ca="1">Table13345[[#This Row],[Call D1]]-Table13345[[#This Row],[IV Calc C]]*SQRT(Table13345[[#This Row],[T]])</f>
        <v>#DIV/0!</v>
      </c>
      <c r="AL860" t="e">
        <f ca="1">Table13345[[#This Row],[Put D1]]-Table13345[[#This Row],[IV Calc P]]*SQRT(Table13345[[#This Row],[T]])</f>
        <v>#DIV/0!</v>
      </c>
      <c r="AM860" t="e">
        <f ca="1">EXP(-0.5*Table13345[[#This Row],[Call D1]]^2)/SQRT(2*PI())</f>
        <v>#DIV/0!</v>
      </c>
      <c r="AN860" t="e">
        <f ca="1">EXP(-0.5*Table13345[[#This Row],[Put D1]]^2)/SQRT(2*PI())</f>
        <v>#DIV/0!</v>
      </c>
      <c r="AO86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0">
        <f ca="1">((Table13345[[#This Row],[call vanna]]+Table13345[[#This Row],[put vanna]])*$A$4)</f>
        <v>0</v>
      </c>
      <c r="AR86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0" s="9" t="str" cm="1">
        <f t="array" ref="AT860">_xlfn.IFS(     $M$1="SPX","SPXW",     $M$1="RUT","RUTW",  $M$1="NDX","NDXP",   TRUE,$M$1 )</f>
        <v>SPXW</v>
      </c>
      <c r="AU860" s="2">
        <f t="shared" si="87"/>
        <v>6915</v>
      </c>
      <c r="AV860" t="str">
        <f t="shared" si="88"/>
        <v>000100</v>
      </c>
      <c r="AY86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0">
        <f>((Table13345[[#This Row],[High C]]+Table13345[[#This Row],[Low C]])/2)*Table13345[[#This Row],[gammac]]*Table13345[[#This Row],[Volume]]</f>
        <v>0</v>
      </c>
      <c r="BD860">
        <f>((Table13345[[#This Row],[High P]]+Table13345[[#This Row],[Low P]])/2)*Table13345[[#This Row],[gammap]]*Table13345[[#This Row],[Volume9]]*-1</f>
        <v>0</v>
      </c>
      <c r="BE860">
        <f>(Table13345[[#This Row],[SgammaC]]+Table13345[[#This Row],[SgammaP]])*$A$4*-100</f>
        <v>0</v>
      </c>
      <c r="BF860">
        <f>Table13345[[#This Row],[DEXc]]+Table13345[[#This Row],[DEXp]]</f>
        <v>0</v>
      </c>
      <c r="BG860">
        <f>IFERROR(Table13345[[#This Row],[DeltaC]]*Table13345[[#This Row],[Open.Int]]*$A$4,0)</f>
        <v>0</v>
      </c>
      <c r="BH860">
        <f>IFERROR(Table13345[[#This Row],[DeltaP]]*Table13345[[#This Row],[Open.Int8]]*$A$4,0)</f>
        <v>0</v>
      </c>
      <c r="BI86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0">
        <f ca="1">Table13345[[#This Row],[charmc]]+Table13345[[#This Row],[charmp]]</f>
        <v>0</v>
      </c>
      <c r="BL86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0" s="78">
        <f ca="1">Table13345[[#This Row],[call helper]]+Table13345[[#This Row],[put helper]]</f>
        <v>0</v>
      </c>
      <c r="BP860" t="str">
        <f>RTD("tos.rtd", , "STRIKE", "."&amp;Table13345[[#This Row],[Ticker]]&amp;Table13345[[#This Row],[Expiry]]&amp;""&amp;"C"&amp;Table13345[[#This Row],[Spot]]+Table13345[[#This Row],[step]])</f>
        <v>N/A</v>
      </c>
    </row>
    <row r="861" spans="1:68" x14ac:dyDescent="0.25">
      <c r="A861" s="14">
        <f t="shared" ca="1" si="84"/>
        <v>-126.14810350076104</v>
      </c>
      <c r="C861" s="17"/>
      <c r="D861" t="str">
        <f>RTD("tos.rtd", , "OPEN_INT", "."&amp;Table13345[[#This Row],[Ticker]]&amp;Table13345[[#This Row],[Expiry]]&amp;""&amp;"C"&amp;Table13345[[#This Row],[Spot]]+Table13345[[#This Row],[step]])</f>
        <v>N/A</v>
      </c>
      <c r="E86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1" t="b">
        <f>IF(     ISNUMBER(Table13345[[#This Row],[Strike]]),RTD("tos.rtd", , "DELTA", "."&amp;Table13345[[#This Row],[Ticker]]&amp;Table13345[[#This Row],[Expiry]]&amp;""&amp;"C"&amp;Table13345[[#This Row],[Strike]]))</f>
        <v>0</v>
      </c>
      <c r="H861" s="17" cm="1">
        <f t="array" aca="1" ref="H861" ca="1">IndividualLegIVCore($A$4, Table13345[[#This Row],[Strike]], 0.0411, Table13345[[#This Row],[T]], ((Table13345[[#This Row],[BIDC]]+Table13345[[#This Row],[ASKC]])/2), TRUE)</f>
        <v>0.01</v>
      </c>
      <c r="I861" t="b">
        <f>IF(     ISNUMBER(Table13345[[#This Row],[Strike]]),RTD("tos.rtd", , "BID", "."&amp;Table13345[[#This Row],[Ticker]]&amp;Table13345[[#This Row],[Expiry]]&amp;""&amp;"C"&amp;Table13345[[#This Row],[Strike]]))</f>
        <v>0</v>
      </c>
      <c r="J861" t="b">
        <f>IF(     ISNUMBER(Table13345[[#This Row],[Strike]]),RTD("tos.rtd", , "ASK", "."&amp;Table13345[[#This Row],[Ticker]]&amp;Table13345[[#This Row],[Expiry]]&amp;""&amp;"C"&amp;Table13345[[#This Row],[Strike]]))</f>
        <v>0</v>
      </c>
      <c r="K861" s="17"/>
      <c r="M861" s="1">
        <f t="shared" si="85"/>
        <v>0</v>
      </c>
      <c r="N861" t="b">
        <f t="shared" si="86"/>
        <v>0</v>
      </c>
      <c r="P861" s="17" cm="1">
        <f t="array" aca="1" ref="P861" ca="1">IndividualLegIVCore($A$4, Table13345[[#This Row],[Strike]], 0.0411, Table13345[[#This Row],[T]], ((Table13345[[#This Row],[BIDP]]+Table13345[[#This Row],[ASKP]])/2), FALSE)</f>
        <v>0.01</v>
      </c>
      <c r="Q861" t="b">
        <f>IF(     ISNUMBER(Table13345[[#This Row],[Strike]]),RTD("tos.rtd", , "BID", "."&amp;Table13345[[#This Row],[Ticker]]&amp;Table13345[[#This Row],[Expiry]]&amp;""&amp;"P"&amp;Table13345[[#This Row],[Strike]]))</f>
        <v>0</v>
      </c>
      <c r="R861" t="b">
        <f>IF(     ISNUMBER(Table13345[[#This Row],[Strike]]),RTD("tos.rtd", , "ASK", "."&amp;Table13345[[#This Row],[Ticker]]&amp;Table13345[[#This Row],[Expiry]]&amp;""&amp;"P"&amp;Table13345[[#This Row],[Strike]]))</f>
        <v>0</v>
      </c>
      <c r="S861" s="17"/>
      <c r="T861" t="b">
        <f>IF(     ISNUMBER(Table13345[[#This Row],[Strike]]),RTD("tos.rtd", , "OPEN_INT", "."&amp;Table13345[[#This Row],[Ticker]]&amp;Table13345[[#This Row],[Expiry]]&amp;""&amp;"P"&amp;Table13345[[#This Row],[Strike]]))</f>
        <v>0</v>
      </c>
      <c r="U86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1" t="b">
        <f>IF(     ISNUMBER(Table13345[[#This Row],[Strike]]),RTD("tos.rtd", , "DELTA", "."&amp;Table13345[[#This Row],[Ticker]]&amp;Table13345[[#This Row],[Expiry]]&amp;""&amp;"P"&amp;Table13345[[#This Row],[Strike]]))</f>
        <v>0</v>
      </c>
      <c r="Y861" s="19">
        <f>-30.5* IF($M$1="NDX", 10, IF(OR($M$1="SPX", $M$1="RUT"), 2, 1))</f>
        <v>-61</v>
      </c>
      <c r="Z861">
        <f ca="1">IFERROR(Table13345[[#This Row],[call gamma]]*(Table13345[[#This Row],[Open.Int]])*$A$4^2,0)</f>
        <v>0</v>
      </c>
      <c r="AA861">
        <f ca="1">IFERROR(((Table13345[[#This Row],[Open.Int8]])*Table13345[[#This Row],[Put gamma]])*-1*$A$4^2,0)</f>
        <v>0</v>
      </c>
      <c r="AB861">
        <f ca="1">(Table13345[[#This Row],[Call Gex]]+Table13345[[#This Row],[Put Gex]])</f>
        <v>0</v>
      </c>
      <c r="AC861">
        <f ca="1">Table13345[[#This Row],[put delta adj]]+Table13345[[#This Row],[call delta adj]]</f>
        <v>0</v>
      </c>
      <c r="AD861">
        <f ca="1">Table13345[[#This Row],[Put Gex]]*Table13345[[#This Row],[DeltaP]]*-1</f>
        <v>0</v>
      </c>
      <c r="AE861">
        <f ca="1">Table13345[[#This Row],[Call Gex]]*Table13345[[#This Row],[DeltaC]]</f>
        <v>0</v>
      </c>
      <c r="AF861">
        <f>IF(Table13345[[#This Row],[DeltaC]]-ABS(Table13345[[#This Row],[DeltaP]])="0","0.01",Table13345[[#This Row],[DeltaC]]-ABS(Table13345[[#This Row],[DeltaP]]))</f>
        <v>0</v>
      </c>
      <c r="AG86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1" t="e">
        <f ca="1">(EXP(-(AG861^2)/2)/SQRT(2*PI())*EXP(0*SQRT(Table13345[[#This Row],[T]]))/$A$4*18%*SQRT(SQRT(Table13345[[#This Row],[T]])))</f>
        <v>#DIV/0!</v>
      </c>
      <c r="AJ861" t="e">
        <f ca="1">(EXP(-(AH861^2)/2)/SQRT(2*PI())*EXP(0*SQRT(Table13345[[#This Row],[T]]))/$A$4*18%*SQRT(SQRT(Table13345[[#This Row],[T]])))</f>
        <v>#DIV/0!</v>
      </c>
      <c r="AK861" t="e">
        <f ca="1">Table13345[[#This Row],[Call D1]]-Table13345[[#This Row],[IV Calc C]]*SQRT(Table13345[[#This Row],[T]])</f>
        <v>#DIV/0!</v>
      </c>
      <c r="AL861" t="e">
        <f ca="1">Table13345[[#This Row],[Put D1]]-Table13345[[#This Row],[IV Calc P]]*SQRT(Table13345[[#This Row],[T]])</f>
        <v>#DIV/0!</v>
      </c>
      <c r="AM861" t="e">
        <f ca="1">EXP(-0.5*Table13345[[#This Row],[Call D1]]^2)/SQRT(2*PI())</f>
        <v>#DIV/0!</v>
      </c>
      <c r="AN861" t="e">
        <f ca="1">EXP(-0.5*Table13345[[#This Row],[Put D1]]^2)/SQRT(2*PI())</f>
        <v>#DIV/0!</v>
      </c>
      <c r="AO86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1">
        <f ca="1">((Table13345[[#This Row],[call vanna]]+Table13345[[#This Row],[put vanna]])*$A$4)</f>
        <v>0</v>
      </c>
      <c r="AR86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1" s="9" t="str" cm="1">
        <f t="array" ref="AT861">_xlfn.IFS(     $M$1="SPX","SPXW",     $M$1="RUT","RUTW",  $M$1="NDX","NDXP",   TRUE,$M$1 )</f>
        <v>SPXW</v>
      </c>
      <c r="AU861" s="2">
        <f t="shared" si="87"/>
        <v>6915</v>
      </c>
      <c r="AV861" t="str">
        <f t="shared" si="88"/>
        <v>000100</v>
      </c>
      <c r="AY86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1">
        <f>((Table13345[[#This Row],[High C]]+Table13345[[#This Row],[Low C]])/2)*Table13345[[#This Row],[gammac]]*Table13345[[#This Row],[Volume]]</f>
        <v>0</v>
      </c>
      <c r="BD861">
        <f>((Table13345[[#This Row],[High P]]+Table13345[[#This Row],[Low P]])/2)*Table13345[[#This Row],[gammap]]*Table13345[[#This Row],[Volume9]]*-1</f>
        <v>0</v>
      </c>
      <c r="BE861">
        <f>(Table13345[[#This Row],[SgammaC]]+Table13345[[#This Row],[SgammaP]])*$A$4*-100</f>
        <v>0</v>
      </c>
      <c r="BF861">
        <f>Table13345[[#This Row],[DEXc]]+Table13345[[#This Row],[DEXp]]</f>
        <v>0</v>
      </c>
      <c r="BG861">
        <f>IFERROR(Table13345[[#This Row],[DeltaC]]*Table13345[[#This Row],[Open.Int]]*$A$4,0)</f>
        <v>0</v>
      </c>
      <c r="BH861">
        <f>IFERROR(Table13345[[#This Row],[DeltaP]]*Table13345[[#This Row],[Open.Int8]]*$A$4,0)</f>
        <v>0</v>
      </c>
      <c r="BI86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1">
        <f ca="1">Table13345[[#This Row],[charmc]]+Table13345[[#This Row],[charmp]]</f>
        <v>0</v>
      </c>
      <c r="BL86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1" s="78">
        <f ca="1">Table13345[[#This Row],[call helper]]+Table13345[[#This Row],[put helper]]</f>
        <v>0</v>
      </c>
      <c r="BP861" t="str">
        <f>RTD("tos.rtd", , "STRIKE", "."&amp;Table13345[[#This Row],[Ticker]]&amp;Table13345[[#This Row],[Expiry]]&amp;""&amp;"C"&amp;Table13345[[#This Row],[Spot]]+Table13345[[#This Row],[step]])</f>
        <v>N/A</v>
      </c>
    </row>
    <row r="862" spans="1:68" x14ac:dyDescent="0.25">
      <c r="A862" s="14">
        <f t="shared" ca="1" si="84"/>
        <v>-126.14810350076104</v>
      </c>
      <c r="C862" s="17"/>
      <c r="D862" t="str">
        <f>RTD("tos.rtd", , "OPEN_INT", "."&amp;Table13345[[#This Row],[Ticker]]&amp;Table13345[[#This Row],[Expiry]]&amp;""&amp;"C"&amp;Table13345[[#This Row],[Spot]]+Table13345[[#This Row],[step]])</f>
        <v>N/A</v>
      </c>
      <c r="E86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2" t="b">
        <f>IF(     ISNUMBER(Table13345[[#This Row],[Strike]]),RTD("tos.rtd", , "DELTA", "."&amp;Table13345[[#This Row],[Ticker]]&amp;Table13345[[#This Row],[Expiry]]&amp;""&amp;"C"&amp;Table13345[[#This Row],[Strike]]))</f>
        <v>0</v>
      </c>
      <c r="H862" s="17" cm="1">
        <f t="array" aca="1" ref="H862" ca="1">IndividualLegIVCore($A$4, Table13345[[#This Row],[Strike]], 0.0411, Table13345[[#This Row],[T]], ((Table13345[[#This Row],[BIDC]]+Table13345[[#This Row],[ASKC]])/2), TRUE)</f>
        <v>0.01</v>
      </c>
      <c r="I862" t="b">
        <f>IF(     ISNUMBER(Table13345[[#This Row],[Strike]]),RTD("tos.rtd", , "BID", "."&amp;Table13345[[#This Row],[Ticker]]&amp;Table13345[[#This Row],[Expiry]]&amp;""&amp;"C"&amp;Table13345[[#This Row],[Strike]]))</f>
        <v>0</v>
      </c>
      <c r="J862" t="b">
        <f>IF(     ISNUMBER(Table13345[[#This Row],[Strike]]),RTD("tos.rtd", , "ASK", "."&amp;Table13345[[#This Row],[Ticker]]&amp;Table13345[[#This Row],[Expiry]]&amp;""&amp;"C"&amp;Table13345[[#This Row],[Strike]]))</f>
        <v>0</v>
      </c>
      <c r="K862" s="17"/>
      <c r="M862" s="1">
        <f t="shared" si="85"/>
        <v>0</v>
      </c>
      <c r="N862" t="b">
        <f t="shared" si="86"/>
        <v>0</v>
      </c>
      <c r="P862" s="17" cm="1">
        <f t="array" aca="1" ref="P862" ca="1">IndividualLegIVCore($A$4, Table13345[[#This Row],[Strike]], 0.0411, Table13345[[#This Row],[T]], ((Table13345[[#This Row],[BIDP]]+Table13345[[#This Row],[ASKP]])/2), FALSE)</f>
        <v>0.01</v>
      </c>
      <c r="Q862" t="b">
        <f>IF(     ISNUMBER(Table13345[[#This Row],[Strike]]),RTD("tos.rtd", , "BID", "."&amp;Table13345[[#This Row],[Ticker]]&amp;Table13345[[#This Row],[Expiry]]&amp;""&amp;"P"&amp;Table13345[[#This Row],[Strike]]))</f>
        <v>0</v>
      </c>
      <c r="R862" t="b">
        <f>IF(     ISNUMBER(Table13345[[#This Row],[Strike]]),RTD("tos.rtd", , "ASK", "."&amp;Table13345[[#This Row],[Ticker]]&amp;Table13345[[#This Row],[Expiry]]&amp;""&amp;"P"&amp;Table13345[[#This Row],[Strike]]))</f>
        <v>0</v>
      </c>
      <c r="S862" s="17"/>
      <c r="T862" t="b">
        <f>IF(     ISNUMBER(Table13345[[#This Row],[Strike]]),RTD("tos.rtd", , "OPEN_INT", "."&amp;Table13345[[#This Row],[Ticker]]&amp;Table13345[[#This Row],[Expiry]]&amp;""&amp;"P"&amp;Table13345[[#This Row],[Strike]]))</f>
        <v>0</v>
      </c>
      <c r="U86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2" t="b">
        <f>IF(     ISNUMBER(Table13345[[#This Row],[Strike]]),RTD("tos.rtd", , "DELTA", "."&amp;Table13345[[#This Row],[Ticker]]&amp;Table13345[[#This Row],[Expiry]]&amp;""&amp;"P"&amp;Table13345[[#This Row],[Strike]]))</f>
        <v>0</v>
      </c>
      <c r="Y862" s="19">
        <f>-30* IF($M$1="NDX", 10, IF(OR($M$1="SPX", $M$1="RUT"), 2, 1))</f>
        <v>-60</v>
      </c>
      <c r="Z862">
        <f ca="1">IFERROR(Table13345[[#This Row],[call gamma]]*(Table13345[[#This Row],[Open.Int]])*$A$4^2,0)</f>
        <v>0</v>
      </c>
      <c r="AA862">
        <f ca="1">IFERROR(((Table13345[[#This Row],[Open.Int8]])*Table13345[[#This Row],[Put gamma]])*-1*$A$4^2,0)</f>
        <v>0</v>
      </c>
      <c r="AB862">
        <f ca="1">(Table13345[[#This Row],[Call Gex]]+Table13345[[#This Row],[Put Gex]])</f>
        <v>0</v>
      </c>
      <c r="AC862">
        <f ca="1">Table13345[[#This Row],[put delta adj]]+Table13345[[#This Row],[call delta adj]]</f>
        <v>0</v>
      </c>
      <c r="AD862">
        <f ca="1">Table13345[[#This Row],[Put Gex]]*Table13345[[#This Row],[DeltaP]]*-1</f>
        <v>0</v>
      </c>
      <c r="AE862">
        <f ca="1">Table13345[[#This Row],[Call Gex]]*Table13345[[#This Row],[DeltaC]]</f>
        <v>0</v>
      </c>
      <c r="AF862">
        <f>IF(Table13345[[#This Row],[DeltaC]]-ABS(Table13345[[#This Row],[DeltaP]])="0","0.01",Table13345[[#This Row],[DeltaC]]-ABS(Table13345[[#This Row],[DeltaP]]))</f>
        <v>0</v>
      </c>
      <c r="AG86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2" t="e">
        <f ca="1">(EXP(-(AG862^2)/2)/SQRT(2*PI())*EXP(0*SQRT(Table13345[[#This Row],[T]]))/$A$4*18%*SQRT(SQRT(Table13345[[#This Row],[T]])))</f>
        <v>#DIV/0!</v>
      </c>
      <c r="AJ862" t="e">
        <f ca="1">(EXP(-(AH862^2)/2)/SQRT(2*PI())*EXP(0*SQRT(Table13345[[#This Row],[T]]))/$A$4*18%*SQRT(SQRT(Table13345[[#This Row],[T]])))</f>
        <v>#DIV/0!</v>
      </c>
      <c r="AK862" t="e">
        <f ca="1">Table13345[[#This Row],[Call D1]]-Table13345[[#This Row],[IV Calc C]]*SQRT(Table13345[[#This Row],[T]])</f>
        <v>#DIV/0!</v>
      </c>
      <c r="AL862" t="e">
        <f ca="1">Table13345[[#This Row],[Put D1]]-Table13345[[#This Row],[IV Calc P]]*SQRT(Table13345[[#This Row],[T]])</f>
        <v>#DIV/0!</v>
      </c>
      <c r="AM862" t="e">
        <f ca="1">EXP(-0.5*Table13345[[#This Row],[Call D1]]^2)/SQRT(2*PI())</f>
        <v>#DIV/0!</v>
      </c>
      <c r="AN862" t="e">
        <f ca="1">EXP(-0.5*Table13345[[#This Row],[Put D1]]^2)/SQRT(2*PI())</f>
        <v>#DIV/0!</v>
      </c>
      <c r="AO86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2">
        <f ca="1">((Table13345[[#This Row],[call vanna]]+Table13345[[#This Row],[put vanna]])*$A$4)</f>
        <v>0</v>
      </c>
      <c r="AR86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2" s="9" t="str" cm="1">
        <f t="array" ref="AT862">_xlfn.IFS(     $M$1="SPX","SPXW",     $M$1="RUT","RUTW",  $M$1="NDX","NDXP",   TRUE,$M$1 )</f>
        <v>SPXW</v>
      </c>
      <c r="AU862" s="2">
        <f t="shared" si="87"/>
        <v>6915</v>
      </c>
      <c r="AV862" t="str">
        <f t="shared" si="88"/>
        <v>000100</v>
      </c>
      <c r="AY86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2">
        <f>((Table13345[[#This Row],[High C]]+Table13345[[#This Row],[Low C]])/2)*Table13345[[#This Row],[gammac]]*Table13345[[#This Row],[Volume]]</f>
        <v>0</v>
      </c>
      <c r="BD862">
        <f>((Table13345[[#This Row],[High P]]+Table13345[[#This Row],[Low P]])/2)*Table13345[[#This Row],[gammap]]*Table13345[[#This Row],[Volume9]]*-1</f>
        <v>0</v>
      </c>
      <c r="BE862">
        <f>(Table13345[[#This Row],[SgammaC]]+Table13345[[#This Row],[SgammaP]])*$A$4*-100</f>
        <v>0</v>
      </c>
      <c r="BF862">
        <f>Table13345[[#This Row],[DEXc]]+Table13345[[#This Row],[DEXp]]</f>
        <v>0</v>
      </c>
      <c r="BG862">
        <f>IFERROR(Table13345[[#This Row],[DeltaC]]*Table13345[[#This Row],[Open.Int]]*$A$4,0)</f>
        <v>0</v>
      </c>
      <c r="BH862">
        <f>IFERROR(Table13345[[#This Row],[DeltaP]]*Table13345[[#This Row],[Open.Int8]]*$A$4,0)</f>
        <v>0</v>
      </c>
      <c r="BI86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2">
        <f ca="1">Table13345[[#This Row],[charmc]]+Table13345[[#This Row],[charmp]]</f>
        <v>0</v>
      </c>
      <c r="BL86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2" s="78">
        <f ca="1">Table13345[[#This Row],[call helper]]+Table13345[[#This Row],[put helper]]</f>
        <v>0</v>
      </c>
      <c r="BP862" t="str">
        <f>RTD("tos.rtd", , "STRIKE", "."&amp;Table13345[[#This Row],[Ticker]]&amp;Table13345[[#This Row],[Expiry]]&amp;""&amp;"C"&amp;Table13345[[#This Row],[Spot]]+Table13345[[#This Row],[step]])</f>
        <v>N/A</v>
      </c>
    </row>
    <row r="863" spans="1:68" x14ac:dyDescent="0.25">
      <c r="A863" s="14">
        <f t="shared" ca="1" si="84"/>
        <v>-126.14810350076104</v>
      </c>
      <c r="C863" s="17"/>
      <c r="D863" t="str">
        <f>RTD("tos.rtd", , "OPEN_INT", "."&amp;Table13345[[#This Row],[Ticker]]&amp;Table13345[[#This Row],[Expiry]]&amp;""&amp;"C"&amp;Table13345[[#This Row],[Spot]]+Table13345[[#This Row],[step]])</f>
        <v>N/A</v>
      </c>
      <c r="E86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3" t="b">
        <f>IF(     ISNUMBER(Table13345[[#This Row],[Strike]]),RTD("tos.rtd", , "DELTA", "."&amp;Table13345[[#This Row],[Ticker]]&amp;Table13345[[#This Row],[Expiry]]&amp;""&amp;"C"&amp;Table13345[[#This Row],[Strike]]))</f>
        <v>0</v>
      </c>
      <c r="H863" s="17" cm="1">
        <f t="array" aca="1" ref="H863" ca="1">IndividualLegIVCore($A$4, Table13345[[#This Row],[Strike]], 0.0411, Table13345[[#This Row],[T]], ((Table13345[[#This Row],[BIDC]]+Table13345[[#This Row],[ASKC]])/2), TRUE)</f>
        <v>0.01</v>
      </c>
      <c r="I863" t="b">
        <f>IF(     ISNUMBER(Table13345[[#This Row],[Strike]]),RTD("tos.rtd", , "BID", "."&amp;Table13345[[#This Row],[Ticker]]&amp;Table13345[[#This Row],[Expiry]]&amp;""&amp;"C"&amp;Table13345[[#This Row],[Strike]]))</f>
        <v>0</v>
      </c>
      <c r="J863" t="b">
        <f>IF(     ISNUMBER(Table13345[[#This Row],[Strike]]),RTD("tos.rtd", , "ASK", "."&amp;Table13345[[#This Row],[Ticker]]&amp;Table13345[[#This Row],[Expiry]]&amp;""&amp;"C"&amp;Table13345[[#This Row],[Strike]]))</f>
        <v>0</v>
      </c>
      <c r="K863" s="17"/>
      <c r="M863" s="1">
        <f t="shared" si="85"/>
        <v>0</v>
      </c>
      <c r="N863" t="b">
        <f t="shared" si="86"/>
        <v>0</v>
      </c>
      <c r="P863" s="17" cm="1">
        <f t="array" aca="1" ref="P863" ca="1">IndividualLegIVCore($A$4, Table13345[[#This Row],[Strike]], 0.0411, Table13345[[#This Row],[T]], ((Table13345[[#This Row],[BIDP]]+Table13345[[#This Row],[ASKP]])/2), FALSE)</f>
        <v>0.01</v>
      </c>
      <c r="Q863" t="b">
        <f>IF(     ISNUMBER(Table13345[[#This Row],[Strike]]),RTD("tos.rtd", , "BID", "."&amp;Table13345[[#This Row],[Ticker]]&amp;Table13345[[#This Row],[Expiry]]&amp;""&amp;"P"&amp;Table13345[[#This Row],[Strike]]))</f>
        <v>0</v>
      </c>
      <c r="R863" t="b">
        <f>IF(     ISNUMBER(Table13345[[#This Row],[Strike]]),RTD("tos.rtd", , "ASK", "."&amp;Table13345[[#This Row],[Ticker]]&amp;Table13345[[#This Row],[Expiry]]&amp;""&amp;"P"&amp;Table13345[[#This Row],[Strike]]))</f>
        <v>0</v>
      </c>
      <c r="S863" s="17"/>
      <c r="T863" t="b">
        <f>IF(     ISNUMBER(Table13345[[#This Row],[Strike]]),RTD("tos.rtd", , "OPEN_INT", "."&amp;Table13345[[#This Row],[Ticker]]&amp;Table13345[[#This Row],[Expiry]]&amp;""&amp;"P"&amp;Table13345[[#This Row],[Strike]]))</f>
        <v>0</v>
      </c>
      <c r="U86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3" t="b">
        <f>IF(     ISNUMBER(Table13345[[#This Row],[Strike]]),RTD("tos.rtd", , "DELTA", "."&amp;Table13345[[#This Row],[Ticker]]&amp;Table13345[[#This Row],[Expiry]]&amp;""&amp;"P"&amp;Table13345[[#This Row],[Strike]]))</f>
        <v>0</v>
      </c>
      <c r="Y863" s="19">
        <f>-29.5* IF($M$1="NDX", 10, IF(OR($M$1="SPX", $M$1="RUT"), 2, 1))</f>
        <v>-59</v>
      </c>
      <c r="Z863">
        <f ca="1">IFERROR(Table13345[[#This Row],[call gamma]]*(Table13345[[#This Row],[Open.Int]])*$A$4^2,0)</f>
        <v>0</v>
      </c>
      <c r="AA863">
        <f ca="1">IFERROR(((Table13345[[#This Row],[Open.Int8]])*Table13345[[#This Row],[Put gamma]])*-1*$A$4^2,0)</f>
        <v>0</v>
      </c>
      <c r="AB863">
        <f ca="1">(Table13345[[#This Row],[Call Gex]]+Table13345[[#This Row],[Put Gex]])</f>
        <v>0</v>
      </c>
      <c r="AC863">
        <f ca="1">Table13345[[#This Row],[put delta adj]]+Table13345[[#This Row],[call delta adj]]</f>
        <v>0</v>
      </c>
      <c r="AD863">
        <f ca="1">Table13345[[#This Row],[Put Gex]]*Table13345[[#This Row],[DeltaP]]*-1</f>
        <v>0</v>
      </c>
      <c r="AE863">
        <f ca="1">Table13345[[#This Row],[Call Gex]]*Table13345[[#This Row],[DeltaC]]</f>
        <v>0</v>
      </c>
      <c r="AF863">
        <f>IF(Table13345[[#This Row],[DeltaC]]-ABS(Table13345[[#This Row],[DeltaP]])="0","0.01",Table13345[[#This Row],[DeltaC]]-ABS(Table13345[[#This Row],[DeltaP]]))</f>
        <v>0</v>
      </c>
      <c r="AG86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3" t="e">
        <f ca="1">(EXP(-(AG863^2)/2)/SQRT(2*PI())*EXP(0*SQRT(Table13345[[#This Row],[T]]))/$A$4*18%*SQRT(SQRT(Table13345[[#This Row],[T]])))</f>
        <v>#DIV/0!</v>
      </c>
      <c r="AJ863" t="e">
        <f ca="1">(EXP(-(AH863^2)/2)/SQRT(2*PI())*EXP(0*SQRT(Table13345[[#This Row],[T]]))/$A$4*18%*SQRT(SQRT(Table13345[[#This Row],[T]])))</f>
        <v>#DIV/0!</v>
      </c>
      <c r="AK863" t="e">
        <f ca="1">Table13345[[#This Row],[Call D1]]-Table13345[[#This Row],[IV Calc C]]*SQRT(Table13345[[#This Row],[T]])</f>
        <v>#DIV/0!</v>
      </c>
      <c r="AL863" t="e">
        <f ca="1">Table13345[[#This Row],[Put D1]]-Table13345[[#This Row],[IV Calc P]]*SQRT(Table13345[[#This Row],[T]])</f>
        <v>#DIV/0!</v>
      </c>
      <c r="AM863" t="e">
        <f ca="1">EXP(-0.5*Table13345[[#This Row],[Call D1]]^2)/SQRT(2*PI())</f>
        <v>#DIV/0!</v>
      </c>
      <c r="AN863" t="e">
        <f ca="1">EXP(-0.5*Table13345[[#This Row],[Put D1]]^2)/SQRT(2*PI())</f>
        <v>#DIV/0!</v>
      </c>
      <c r="AO86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3">
        <f ca="1">((Table13345[[#This Row],[call vanna]]+Table13345[[#This Row],[put vanna]])*$A$4)</f>
        <v>0</v>
      </c>
      <c r="AR86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3" s="9" t="str" cm="1">
        <f t="array" ref="AT863">_xlfn.IFS(     $M$1="SPX","SPXW",     $M$1="RUT","RUTW",  $M$1="NDX","NDXP",   TRUE,$M$1 )</f>
        <v>SPXW</v>
      </c>
      <c r="AU863" s="2">
        <f t="shared" si="87"/>
        <v>6915</v>
      </c>
      <c r="AV863" t="str">
        <f t="shared" si="88"/>
        <v>000100</v>
      </c>
      <c r="AY86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3">
        <f>((Table13345[[#This Row],[High C]]+Table13345[[#This Row],[Low C]])/2)*Table13345[[#This Row],[gammac]]*Table13345[[#This Row],[Volume]]</f>
        <v>0</v>
      </c>
      <c r="BD863">
        <f>((Table13345[[#This Row],[High P]]+Table13345[[#This Row],[Low P]])/2)*Table13345[[#This Row],[gammap]]*Table13345[[#This Row],[Volume9]]*-1</f>
        <v>0</v>
      </c>
      <c r="BE863">
        <f>(Table13345[[#This Row],[SgammaC]]+Table13345[[#This Row],[SgammaP]])*$A$4*-100</f>
        <v>0</v>
      </c>
      <c r="BF863">
        <f>Table13345[[#This Row],[DEXc]]+Table13345[[#This Row],[DEXp]]</f>
        <v>0</v>
      </c>
      <c r="BG863">
        <f>IFERROR(Table13345[[#This Row],[DeltaC]]*Table13345[[#This Row],[Open.Int]]*$A$4,0)</f>
        <v>0</v>
      </c>
      <c r="BH863">
        <f>IFERROR(Table13345[[#This Row],[DeltaP]]*Table13345[[#This Row],[Open.Int8]]*$A$4,0)</f>
        <v>0</v>
      </c>
      <c r="BI86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3">
        <f ca="1">Table13345[[#This Row],[charmc]]+Table13345[[#This Row],[charmp]]</f>
        <v>0</v>
      </c>
      <c r="BL86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3" s="78">
        <f ca="1">Table13345[[#This Row],[call helper]]+Table13345[[#This Row],[put helper]]</f>
        <v>0</v>
      </c>
      <c r="BP863" t="str">
        <f>RTD("tos.rtd", , "STRIKE", "."&amp;Table13345[[#This Row],[Ticker]]&amp;Table13345[[#This Row],[Expiry]]&amp;""&amp;"C"&amp;Table13345[[#This Row],[Spot]]+Table13345[[#This Row],[step]])</f>
        <v>N/A</v>
      </c>
    </row>
    <row r="864" spans="1:68" x14ac:dyDescent="0.25">
      <c r="A864" s="14">
        <f t="shared" ca="1" si="84"/>
        <v>-126.14810350076104</v>
      </c>
      <c r="C864" s="17"/>
      <c r="D864" t="str">
        <f>RTD("tos.rtd", , "OPEN_INT", "."&amp;Table13345[[#This Row],[Ticker]]&amp;Table13345[[#This Row],[Expiry]]&amp;""&amp;"C"&amp;Table13345[[#This Row],[Spot]]+Table13345[[#This Row],[step]])</f>
        <v>N/A</v>
      </c>
      <c r="E86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4" t="b">
        <f>IF(     ISNUMBER(Table13345[[#This Row],[Strike]]),RTD("tos.rtd", , "DELTA", "."&amp;Table13345[[#This Row],[Ticker]]&amp;Table13345[[#This Row],[Expiry]]&amp;""&amp;"C"&amp;Table13345[[#This Row],[Strike]]))</f>
        <v>0</v>
      </c>
      <c r="H864" s="17" cm="1">
        <f t="array" aca="1" ref="H864" ca="1">IndividualLegIVCore($A$4, Table13345[[#This Row],[Strike]], 0.0411, Table13345[[#This Row],[T]], ((Table13345[[#This Row],[BIDC]]+Table13345[[#This Row],[ASKC]])/2), TRUE)</f>
        <v>0.01</v>
      </c>
      <c r="I864" t="b">
        <f>IF(     ISNUMBER(Table13345[[#This Row],[Strike]]),RTD("tos.rtd", , "BID", "."&amp;Table13345[[#This Row],[Ticker]]&amp;Table13345[[#This Row],[Expiry]]&amp;""&amp;"C"&amp;Table13345[[#This Row],[Strike]]))</f>
        <v>0</v>
      </c>
      <c r="J864" t="b">
        <f>IF(     ISNUMBER(Table13345[[#This Row],[Strike]]),RTD("tos.rtd", , "ASK", "."&amp;Table13345[[#This Row],[Ticker]]&amp;Table13345[[#This Row],[Expiry]]&amp;""&amp;"C"&amp;Table13345[[#This Row],[Strike]]))</f>
        <v>0</v>
      </c>
      <c r="K864" s="17"/>
      <c r="M864" s="1">
        <f t="shared" si="85"/>
        <v>0</v>
      </c>
      <c r="N864" t="b">
        <f t="shared" si="86"/>
        <v>0</v>
      </c>
      <c r="P864" s="17" cm="1">
        <f t="array" aca="1" ref="P864" ca="1">IndividualLegIVCore($A$4, Table13345[[#This Row],[Strike]], 0.0411, Table13345[[#This Row],[T]], ((Table13345[[#This Row],[BIDP]]+Table13345[[#This Row],[ASKP]])/2), FALSE)</f>
        <v>0.01</v>
      </c>
      <c r="Q864" t="b">
        <f>IF(     ISNUMBER(Table13345[[#This Row],[Strike]]),RTD("tos.rtd", , "BID", "."&amp;Table13345[[#This Row],[Ticker]]&amp;Table13345[[#This Row],[Expiry]]&amp;""&amp;"P"&amp;Table13345[[#This Row],[Strike]]))</f>
        <v>0</v>
      </c>
      <c r="R864" t="b">
        <f>IF(     ISNUMBER(Table13345[[#This Row],[Strike]]),RTD("tos.rtd", , "ASK", "."&amp;Table13345[[#This Row],[Ticker]]&amp;Table13345[[#This Row],[Expiry]]&amp;""&amp;"P"&amp;Table13345[[#This Row],[Strike]]))</f>
        <v>0</v>
      </c>
      <c r="S864" s="17"/>
      <c r="T864" t="b">
        <f>IF(     ISNUMBER(Table13345[[#This Row],[Strike]]),RTD("tos.rtd", , "OPEN_INT", "."&amp;Table13345[[#This Row],[Ticker]]&amp;Table13345[[#This Row],[Expiry]]&amp;""&amp;"P"&amp;Table13345[[#This Row],[Strike]]))</f>
        <v>0</v>
      </c>
      <c r="U86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4" t="b">
        <f>IF(     ISNUMBER(Table13345[[#This Row],[Strike]]),RTD("tos.rtd", , "DELTA", "."&amp;Table13345[[#This Row],[Ticker]]&amp;Table13345[[#This Row],[Expiry]]&amp;""&amp;"P"&amp;Table13345[[#This Row],[Strike]]))</f>
        <v>0</v>
      </c>
      <c r="Y864" s="19">
        <f>-29* IF($M$1="NDX", 10, IF(OR($M$1="SPX", $M$1="RUT"), 2, 1))</f>
        <v>-58</v>
      </c>
      <c r="Z864">
        <f ca="1">IFERROR(Table13345[[#This Row],[call gamma]]*(Table13345[[#This Row],[Open.Int]])*$A$4^2,0)</f>
        <v>0</v>
      </c>
      <c r="AA864">
        <f ca="1">IFERROR(((Table13345[[#This Row],[Open.Int8]])*Table13345[[#This Row],[Put gamma]])*-1*$A$4^2,0)</f>
        <v>0</v>
      </c>
      <c r="AB864">
        <f ca="1">(Table13345[[#This Row],[Call Gex]]+Table13345[[#This Row],[Put Gex]])</f>
        <v>0</v>
      </c>
      <c r="AC864">
        <f ca="1">Table13345[[#This Row],[put delta adj]]+Table13345[[#This Row],[call delta adj]]</f>
        <v>0</v>
      </c>
      <c r="AD864">
        <f ca="1">Table13345[[#This Row],[Put Gex]]*Table13345[[#This Row],[DeltaP]]*-1</f>
        <v>0</v>
      </c>
      <c r="AE864">
        <f ca="1">Table13345[[#This Row],[Call Gex]]*Table13345[[#This Row],[DeltaC]]</f>
        <v>0</v>
      </c>
      <c r="AF864">
        <f>IF(Table13345[[#This Row],[DeltaC]]-ABS(Table13345[[#This Row],[DeltaP]])="0","0.01",Table13345[[#This Row],[DeltaC]]-ABS(Table13345[[#This Row],[DeltaP]]))</f>
        <v>0</v>
      </c>
      <c r="AG86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4" t="e">
        <f ca="1">(EXP(-(AG864^2)/2)/SQRT(2*PI())*EXP(0*SQRT(Table13345[[#This Row],[T]]))/$A$4*18%*SQRT(SQRT(Table13345[[#This Row],[T]])))</f>
        <v>#DIV/0!</v>
      </c>
      <c r="AJ864" t="e">
        <f ca="1">(EXP(-(AH864^2)/2)/SQRT(2*PI())*EXP(0*SQRT(Table13345[[#This Row],[T]]))/$A$4*18%*SQRT(SQRT(Table13345[[#This Row],[T]])))</f>
        <v>#DIV/0!</v>
      </c>
      <c r="AK864" t="e">
        <f ca="1">Table13345[[#This Row],[Call D1]]-Table13345[[#This Row],[IV Calc C]]*SQRT(Table13345[[#This Row],[T]])</f>
        <v>#DIV/0!</v>
      </c>
      <c r="AL864" t="e">
        <f ca="1">Table13345[[#This Row],[Put D1]]-Table13345[[#This Row],[IV Calc P]]*SQRT(Table13345[[#This Row],[T]])</f>
        <v>#DIV/0!</v>
      </c>
      <c r="AM864" t="e">
        <f ca="1">EXP(-0.5*Table13345[[#This Row],[Call D1]]^2)/SQRT(2*PI())</f>
        <v>#DIV/0!</v>
      </c>
      <c r="AN864" t="e">
        <f ca="1">EXP(-0.5*Table13345[[#This Row],[Put D1]]^2)/SQRT(2*PI())</f>
        <v>#DIV/0!</v>
      </c>
      <c r="AO86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4">
        <f ca="1">((Table13345[[#This Row],[call vanna]]+Table13345[[#This Row],[put vanna]])*$A$4)</f>
        <v>0</v>
      </c>
      <c r="AR86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4" s="9" t="str" cm="1">
        <f t="array" ref="AT864">_xlfn.IFS(     $M$1="SPX","SPXW",     $M$1="RUT","RUTW",  $M$1="NDX","NDXP",   TRUE,$M$1 )</f>
        <v>SPXW</v>
      </c>
      <c r="AU864" s="2">
        <f t="shared" si="87"/>
        <v>6915</v>
      </c>
      <c r="AV864" t="str">
        <f t="shared" si="88"/>
        <v>000100</v>
      </c>
      <c r="AY86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4">
        <f>((Table13345[[#This Row],[High C]]+Table13345[[#This Row],[Low C]])/2)*Table13345[[#This Row],[gammac]]*Table13345[[#This Row],[Volume]]</f>
        <v>0</v>
      </c>
      <c r="BD864">
        <f>((Table13345[[#This Row],[High P]]+Table13345[[#This Row],[Low P]])/2)*Table13345[[#This Row],[gammap]]*Table13345[[#This Row],[Volume9]]*-1</f>
        <v>0</v>
      </c>
      <c r="BE864">
        <f>(Table13345[[#This Row],[SgammaC]]+Table13345[[#This Row],[SgammaP]])*$A$4*-100</f>
        <v>0</v>
      </c>
      <c r="BF864">
        <f>Table13345[[#This Row],[DEXc]]+Table13345[[#This Row],[DEXp]]</f>
        <v>0</v>
      </c>
      <c r="BG864">
        <f>IFERROR(Table13345[[#This Row],[DeltaC]]*Table13345[[#This Row],[Open.Int]]*$A$4,0)</f>
        <v>0</v>
      </c>
      <c r="BH864">
        <f>IFERROR(Table13345[[#This Row],[DeltaP]]*Table13345[[#This Row],[Open.Int8]]*$A$4,0)</f>
        <v>0</v>
      </c>
      <c r="BI86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4">
        <f ca="1">Table13345[[#This Row],[charmc]]+Table13345[[#This Row],[charmp]]</f>
        <v>0</v>
      </c>
      <c r="BL86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4" s="78">
        <f ca="1">Table13345[[#This Row],[call helper]]+Table13345[[#This Row],[put helper]]</f>
        <v>0</v>
      </c>
      <c r="BP864" t="str">
        <f>RTD("tos.rtd", , "STRIKE", "."&amp;Table13345[[#This Row],[Ticker]]&amp;Table13345[[#This Row],[Expiry]]&amp;""&amp;"C"&amp;Table13345[[#This Row],[Spot]]+Table13345[[#This Row],[step]])</f>
        <v>N/A</v>
      </c>
    </row>
    <row r="865" spans="1:68" x14ac:dyDescent="0.25">
      <c r="A865" s="14">
        <f t="shared" ca="1" si="84"/>
        <v>-126.14810350076104</v>
      </c>
      <c r="C865" s="17"/>
      <c r="D865" t="str">
        <f>RTD("tos.rtd", , "OPEN_INT", "."&amp;Table13345[[#This Row],[Ticker]]&amp;Table13345[[#This Row],[Expiry]]&amp;""&amp;"C"&amp;Table13345[[#This Row],[Spot]]+Table13345[[#This Row],[step]])</f>
        <v>N/A</v>
      </c>
      <c r="E86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5" t="b">
        <f>IF(     ISNUMBER(Table13345[[#This Row],[Strike]]),RTD("tos.rtd", , "DELTA", "."&amp;Table13345[[#This Row],[Ticker]]&amp;Table13345[[#This Row],[Expiry]]&amp;""&amp;"C"&amp;Table13345[[#This Row],[Strike]]))</f>
        <v>0</v>
      </c>
      <c r="H865" s="17" cm="1">
        <f t="array" aca="1" ref="H865" ca="1">IndividualLegIVCore($A$4, Table13345[[#This Row],[Strike]], 0.0411, Table13345[[#This Row],[T]], ((Table13345[[#This Row],[BIDC]]+Table13345[[#This Row],[ASKC]])/2), TRUE)</f>
        <v>0.01</v>
      </c>
      <c r="I865" t="b">
        <f>IF(     ISNUMBER(Table13345[[#This Row],[Strike]]),RTD("tos.rtd", , "BID", "."&amp;Table13345[[#This Row],[Ticker]]&amp;Table13345[[#This Row],[Expiry]]&amp;""&amp;"C"&amp;Table13345[[#This Row],[Strike]]))</f>
        <v>0</v>
      </c>
      <c r="J865" t="b">
        <f>IF(     ISNUMBER(Table13345[[#This Row],[Strike]]),RTD("tos.rtd", , "ASK", "."&amp;Table13345[[#This Row],[Ticker]]&amp;Table13345[[#This Row],[Expiry]]&amp;""&amp;"C"&amp;Table13345[[#This Row],[Strike]]))</f>
        <v>0</v>
      </c>
      <c r="K865" s="17"/>
      <c r="M865" s="1">
        <f t="shared" si="85"/>
        <v>0</v>
      </c>
      <c r="N865" t="b">
        <f t="shared" si="86"/>
        <v>0</v>
      </c>
      <c r="P865" s="17" cm="1">
        <f t="array" aca="1" ref="P865" ca="1">IndividualLegIVCore($A$4, Table13345[[#This Row],[Strike]], 0.0411, Table13345[[#This Row],[T]], ((Table13345[[#This Row],[BIDP]]+Table13345[[#This Row],[ASKP]])/2), FALSE)</f>
        <v>0.01</v>
      </c>
      <c r="Q865" t="b">
        <f>IF(     ISNUMBER(Table13345[[#This Row],[Strike]]),RTD("tos.rtd", , "BID", "."&amp;Table13345[[#This Row],[Ticker]]&amp;Table13345[[#This Row],[Expiry]]&amp;""&amp;"P"&amp;Table13345[[#This Row],[Strike]]))</f>
        <v>0</v>
      </c>
      <c r="R865" t="b">
        <f>IF(     ISNUMBER(Table13345[[#This Row],[Strike]]),RTD("tos.rtd", , "ASK", "."&amp;Table13345[[#This Row],[Ticker]]&amp;Table13345[[#This Row],[Expiry]]&amp;""&amp;"P"&amp;Table13345[[#This Row],[Strike]]))</f>
        <v>0</v>
      </c>
      <c r="S865" s="17"/>
      <c r="T865" t="b">
        <f>IF(     ISNUMBER(Table13345[[#This Row],[Strike]]),RTD("tos.rtd", , "OPEN_INT", "."&amp;Table13345[[#This Row],[Ticker]]&amp;Table13345[[#This Row],[Expiry]]&amp;""&amp;"P"&amp;Table13345[[#This Row],[Strike]]))</f>
        <v>0</v>
      </c>
      <c r="U86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5" t="b">
        <f>IF(     ISNUMBER(Table13345[[#This Row],[Strike]]),RTD("tos.rtd", , "DELTA", "."&amp;Table13345[[#This Row],[Ticker]]&amp;Table13345[[#This Row],[Expiry]]&amp;""&amp;"P"&amp;Table13345[[#This Row],[Strike]]))</f>
        <v>0</v>
      </c>
      <c r="Y865" s="19">
        <f>-28.5* IF($M$1="NDX", 10, IF(OR($M$1="SPX", $M$1="RUT"), 2, 1))</f>
        <v>-57</v>
      </c>
      <c r="Z865">
        <f ca="1">IFERROR(Table13345[[#This Row],[call gamma]]*(Table13345[[#This Row],[Open.Int]])*$A$4^2,0)</f>
        <v>0</v>
      </c>
      <c r="AA865">
        <f ca="1">IFERROR(((Table13345[[#This Row],[Open.Int8]])*Table13345[[#This Row],[Put gamma]])*-1*$A$4^2,0)</f>
        <v>0</v>
      </c>
      <c r="AB865">
        <f ca="1">(Table13345[[#This Row],[Call Gex]]+Table13345[[#This Row],[Put Gex]])</f>
        <v>0</v>
      </c>
      <c r="AC865">
        <f ca="1">Table13345[[#This Row],[put delta adj]]+Table13345[[#This Row],[call delta adj]]</f>
        <v>0</v>
      </c>
      <c r="AD865">
        <f ca="1">Table13345[[#This Row],[Put Gex]]*Table13345[[#This Row],[DeltaP]]*-1</f>
        <v>0</v>
      </c>
      <c r="AE865">
        <f ca="1">Table13345[[#This Row],[Call Gex]]*Table13345[[#This Row],[DeltaC]]</f>
        <v>0</v>
      </c>
      <c r="AF865">
        <f>IF(Table13345[[#This Row],[DeltaC]]-ABS(Table13345[[#This Row],[DeltaP]])="0","0.01",Table13345[[#This Row],[DeltaC]]-ABS(Table13345[[#This Row],[DeltaP]]))</f>
        <v>0</v>
      </c>
      <c r="AG86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5" t="e">
        <f ca="1">(EXP(-(AG865^2)/2)/SQRT(2*PI())*EXP(0*SQRT(Table13345[[#This Row],[T]]))/$A$4*18%*SQRT(SQRT(Table13345[[#This Row],[T]])))</f>
        <v>#DIV/0!</v>
      </c>
      <c r="AJ865" t="e">
        <f ca="1">(EXP(-(AH865^2)/2)/SQRT(2*PI())*EXP(0*SQRT(Table13345[[#This Row],[T]]))/$A$4*18%*SQRT(SQRT(Table13345[[#This Row],[T]])))</f>
        <v>#DIV/0!</v>
      </c>
      <c r="AK865" t="e">
        <f ca="1">Table13345[[#This Row],[Call D1]]-Table13345[[#This Row],[IV Calc C]]*SQRT(Table13345[[#This Row],[T]])</f>
        <v>#DIV/0!</v>
      </c>
      <c r="AL865" t="e">
        <f ca="1">Table13345[[#This Row],[Put D1]]-Table13345[[#This Row],[IV Calc P]]*SQRT(Table13345[[#This Row],[T]])</f>
        <v>#DIV/0!</v>
      </c>
      <c r="AM865" t="e">
        <f ca="1">EXP(-0.5*Table13345[[#This Row],[Call D1]]^2)/SQRT(2*PI())</f>
        <v>#DIV/0!</v>
      </c>
      <c r="AN865" t="e">
        <f ca="1">EXP(-0.5*Table13345[[#This Row],[Put D1]]^2)/SQRT(2*PI())</f>
        <v>#DIV/0!</v>
      </c>
      <c r="AO86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5">
        <f ca="1">((Table13345[[#This Row],[call vanna]]+Table13345[[#This Row],[put vanna]])*$A$4)</f>
        <v>0</v>
      </c>
      <c r="AR86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5" s="9" t="str" cm="1">
        <f t="array" ref="AT865">_xlfn.IFS(     $M$1="SPX","SPXW",     $M$1="RUT","RUTW",  $M$1="NDX","NDXP",   TRUE,$M$1 )</f>
        <v>SPXW</v>
      </c>
      <c r="AU865" s="2">
        <f t="shared" si="87"/>
        <v>6915</v>
      </c>
      <c r="AV865" t="str">
        <f t="shared" si="88"/>
        <v>000100</v>
      </c>
      <c r="AY86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5">
        <f>((Table13345[[#This Row],[High C]]+Table13345[[#This Row],[Low C]])/2)*Table13345[[#This Row],[gammac]]*Table13345[[#This Row],[Volume]]</f>
        <v>0</v>
      </c>
      <c r="BD865">
        <f>((Table13345[[#This Row],[High P]]+Table13345[[#This Row],[Low P]])/2)*Table13345[[#This Row],[gammap]]*Table13345[[#This Row],[Volume9]]*-1</f>
        <v>0</v>
      </c>
      <c r="BE865">
        <f>(Table13345[[#This Row],[SgammaC]]+Table13345[[#This Row],[SgammaP]])*$A$4*-100</f>
        <v>0</v>
      </c>
      <c r="BF865">
        <f>Table13345[[#This Row],[DEXc]]+Table13345[[#This Row],[DEXp]]</f>
        <v>0</v>
      </c>
      <c r="BG865">
        <f>IFERROR(Table13345[[#This Row],[DeltaC]]*Table13345[[#This Row],[Open.Int]]*$A$4,0)</f>
        <v>0</v>
      </c>
      <c r="BH865">
        <f>IFERROR(Table13345[[#This Row],[DeltaP]]*Table13345[[#This Row],[Open.Int8]]*$A$4,0)</f>
        <v>0</v>
      </c>
      <c r="BI86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5">
        <f ca="1">Table13345[[#This Row],[charmc]]+Table13345[[#This Row],[charmp]]</f>
        <v>0</v>
      </c>
      <c r="BL86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5" s="78">
        <f ca="1">Table13345[[#This Row],[call helper]]+Table13345[[#This Row],[put helper]]</f>
        <v>0</v>
      </c>
      <c r="BP865" t="str">
        <f>RTD("tos.rtd", , "STRIKE", "."&amp;Table13345[[#This Row],[Ticker]]&amp;Table13345[[#This Row],[Expiry]]&amp;""&amp;"C"&amp;Table13345[[#This Row],[Spot]]+Table13345[[#This Row],[step]])</f>
        <v>N/A</v>
      </c>
    </row>
    <row r="866" spans="1:68" x14ac:dyDescent="0.25">
      <c r="A866" s="14">
        <f t="shared" ca="1" si="84"/>
        <v>-126.14810350076104</v>
      </c>
      <c r="C866" s="17"/>
      <c r="D866" t="str">
        <f>RTD("tos.rtd", , "OPEN_INT", "."&amp;Table13345[[#This Row],[Ticker]]&amp;Table13345[[#This Row],[Expiry]]&amp;""&amp;"C"&amp;Table13345[[#This Row],[Spot]]+Table13345[[#This Row],[step]])</f>
        <v>N/A</v>
      </c>
      <c r="E86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6" t="b">
        <f>IF(     ISNUMBER(Table13345[[#This Row],[Strike]]),RTD("tos.rtd", , "DELTA", "."&amp;Table13345[[#This Row],[Ticker]]&amp;Table13345[[#This Row],[Expiry]]&amp;""&amp;"C"&amp;Table13345[[#This Row],[Strike]]))</f>
        <v>0</v>
      </c>
      <c r="H866" s="17" cm="1">
        <f t="array" aca="1" ref="H866" ca="1">IndividualLegIVCore($A$4, Table13345[[#This Row],[Strike]], 0.0411, Table13345[[#This Row],[T]], ((Table13345[[#This Row],[BIDC]]+Table13345[[#This Row],[ASKC]])/2), TRUE)</f>
        <v>0.01</v>
      </c>
      <c r="I866" t="b">
        <f>IF(     ISNUMBER(Table13345[[#This Row],[Strike]]),RTD("tos.rtd", , "BID", "."&amp;Table13345[[#This Row],[Ticker]]&amp;Table13345[[#This Row],[Expiry]]&amp;""&amp;"C"&amp;Table13345[[#This Row],[Strike]]))</f>
        <v>0</v>
      </c>
      <c r="J866" t="b">
        <f>IF(     ISNUMBER(Table13345[[#This Row],[Strike]]),RTD("tos.rtd", , "ASK", "."&amp;Table13345[[#This Row],[Ticker]]&amp;Table13345[[#This Row],[Expiry]]&amp;""&amp;"C"&amp;Table13345[[#This Row],[Strike]]))</f>
        <v>0</v>
      </c>
      <c r="K866" s="17"/>
      <c r="M866" s="1">
        <f t="shared" si="85"/>
        <v>0</v>
      </c>
      <c r="N866" t="b">
        <f t="shared" si="86"/>
        <v>0</v>
      </c>
      <c r="P866" s="17" cm="1">
        <f t="array" aca="1" ref="P866" ca="1">IndividualLegIVCore($A$4, Table13345[[#This Row],[Strike]], 0.0411, Table13345[[#This Row],[T]], ((Table13345[[#This Row],[BIDP]]+Table13345[[#This Row],[ASKP]])/2), FALSE)</f>
        <v>0.01</v>
      </c>
      <c r="Q866" t="b">
        <f>IF(     ISNUMBER(Table13345[[#This Row],[Strike]]),RTD("tos.rtd", , "BID", "."&amp;Table13345[[#This Row],[Ticker]]&amp;Table13345[[#This Row],[Expiry]]&amp;""&amp;"P"&amp;Table13345[[#This Row],[Strike]]))</f>
        <v>0</v>
      </c>
      <c r="R866" t="b">
        <f>IF(     ISNUMBER(Table13345[[#This Row],[Strike]]),RTD("tos.rtd", , "ASK", "."&amp;Table13345[[#This Row],[Ticker]]&amp;Table13345[[#This Row],[Expiry]]&amp;""&amp;"P"&amp;Table13345[[#This Row],[Strike]]))</f>
        <v>0</v>
      </c>
      <c r="S866" s="17"/>
      <c r="T866" t="b">
        <f>IF(     ISNUMBER(Table13345[[#This Row],[Strike]]),RTD("tos.rtd", , "OPEN_INT", "."&amp;Table13345[[#This Row],[Ticker]]&amp;Table13345[[#This Row],[Expiry]]&amp;""&amp;"P"&amp;Table13345[[#This Row],[Strike]]))</f>
        <v>0</v>
      </c>
      <c r="U86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6" t="b">
        <f>IF(     ISNUMBER(Table13345[[#This Row],[Strike]]),RTD("tos.rtd", , "DELTA", "."&amp;Table13345[[#This Row],[Ticker]]&amp;Table13345[[#This Row],[Expiry]]&amp;""&amp;"P"&amp;Table13345[[#This Row],[Strike]]))</f>
        <v>0</v>
      </c>
      <c r="Y866" s="19">
        <f>-28* IF($M$1="NDX", 10, IF(OR($M$1="SPX", $M$1="RUT"), 2, 1))</f>
        <v>-56</v>
      </c>
      <c r="Z866">
        <f ca="1">IFERROR(Table13345[[#This Row],[call gamma]]*(Table13345[[#This Row],[Open.Int]])*$A$4^2,0)</f>
        <v>0</v>
      </c>
      <c r="AA866">
        <f ca="1">IFERROR(((Table13345[[#This Row],[Open.Int8]])*Table13345[[#This Row],[Put gamma]])*-1*$A$4^2,0)</f>
        <v>0</v>
      </c>
      <c r="AB866">
        <f ca="1">(Table13345[[#This Row],[Call Gex]]+Table13345[[#This Row],[Put Gex]])</f>
        <v>0</v>
      </c>
      <c r="AC866">
        <f ca="1">Table13345[[#This Row],[put delta adj]]+Table13345[[#This Row],[call delta adj]]</f>
        <v>0</v>
      </c>
      <c r="AD866">
        <f ca="1">Table13345[[#This Row],[Put Gex]]*Table13345[[#This Row],[DeltaP]]*-1</f>
        <v>0</v>
      </c>
      <c r="AE866">
        <f ca="1">Table13345[[#This Row],[Call Gex]]*Table13345[[#This Row],[DeltaC]]</f>
        <v>0</v>
      </c>
      <c r="AF866">
        <f>IF(Table13345[[#This Row],[DeltaC]]-ABS(Table13345[[#This Row],[DeltaP]])="0","0.01",Table13345[[#This Row],[DeltaC]]-ABS(Table13345[[#This Row],[DeltaP]]))</f>
        <v>0</v>
      </c>
      <c r="AG86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6" t="e">
        <f ca="1">(EXP(-(AG866^2)/2)/SQRT(2*PI())*EXP(0*SQRT(Table13345[[#This Row],[T]]))/$A$4*18%*SQRT(SQRT(Table13345[[#This Row],[T]])))</f>
        <v>#DIV/0!</v>
      </c>
      <c r="AJ866" t="e">
        <f ca="1">(EXP(-(AH866^2)/2)/SQRT(2*PI())*EXP(0*SQRT(Table13345[[#This Row],[T]]))/$A$4*18%*SQRT(SQRT(Table13345[[#This Row],[T]])))</f>
        <v>#DIV/0!</v>
      </c>
      <c r="AK866" t="e">
        <f ca="1">Table13345[[#This Row],[Call D1]]-Table13345[[#This Row],[IV Calc C]]*SQRT(Table13345[[#This Row],[T]])</f>
        <v>#DIV/0!</v>
      </c>
      <c r="AL866" t="e">
        <f ca="1">Table13345[[#This Row],[Put D1]]-Table13345[[#This Row],[IV Calc P]]*SQRT(Table13345[[#This Row],[T]])</f>
        <v>#DIV/0!</v>
      </c>
      <c r="AM866" t="e">
        <f ca="1">EXP(-0.5*Table13345[[#This Row],[Call D1]]^2)/SQRT(2*PI())</f>
        <v>#DIV/0!</v>
      </c>
      <c r="AN866" t="e">
        <f ca="1">EXP(-0.5*Table13345[[#This Row],[Put D1]]^2)/SQRT(2*PI())</f>
        <v>#DIV/0!</v>
      </c>
      <c r="AO86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6">
        <f ca="1">((Table13345[[#This Row],[call vanna]]+Table13345[[#This Row],[put vanna]])*$A$4)</f>
        <v>0</v>
      </c>
      <c r="AR86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6" s="9" t="str" cm="1">
        <f t="array" ref="AT866">_xlfn.IFS(     $M$1="SPX","SPXW",     $M$1="RUT","RUTW",  $M$1="NDX","NDXP",   TRUE,$M$1 )</f>
        <v>SPXW</v>
      </c>
      <c r="AU866" s="2">
        <f t="shared" si="87"/>
        <v>6915</v>
      </c>
      <c r="AV866" t="str">
        <f t="shared" si="88"/>
        <v>000100</v>
      </c>
      <c r="AY86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6">
        <f>((Table13345[[#This Row],[High C]]+Table13345[[#This Row],[Low C]])/2)*Table13345[[#This Row],[gammac]]*Table13345[[#This Row],[Volume]]</f>
        <v>0</v>
      </c>
      <c r="BD866">
        <f>((Table13345[[#This Row],[High P]]+Table13345[[#This Row],[Low P]])/2)*Table13345[[#This Row],[gammap]]*Table13345[[#This Row],[Volume9]]*-1</f>
        <v>0</v>
      </c>
      <c r="BE866">
        <f>(Table13345[[#This Row],[SgammaC]]+Table13345[[#This Row],[SgammaP]])*$A$4*-100</f>
        <v>0</v>
      </c>
      <c r="BF866">
        <f>Table13345[[#This Row],[DEXc]]+Table13345[[#This Row],[DEXp]]</f>
        <v>0</v>
      </c>
      <c r="BG866">
        <f>IFERROR(Table13345[[#This Row],[DeltaC]]*Table13345[[#This Row],[Open.Int]]*$A$4,0)</f>
        <v>0</v>
      </c>
      <c r="BH866">
        <f>IFERROR(Table13345[[#This Row],[DeltaP]]*Table13345[[#This Row],[Open.Int8]]*$A$4,0)</f>
        <v>0</v>
      </c>
      <c r="BI86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6">
        <f ca="1">Table13345[[#This Row],[charmc]]+Table13345[[#This Row],[charmp]]</f>
        <v>0</v>
      </c>
      <c r="BL86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6" s="78">
        <f ca="1">Table13345[[#This Row],[call helper]]+Table13345[[#This Row],[put helper]]</f>
        <v>0</v>
      </c>
      <c r="BP866" t="str">
        <f>RTD("tos.rtd", , "STRIKE", "."&amp;Table13345[[#This Row],[Ticker]]&amp;Table13345[[#This Row],[Expiry]]&amp;""&amp;"C"&amp;Table13345[[#This Row],[Spot]]+Table13345[[#This Row],[step]])</f>
        <v>N/A</v>
      </c>
    </row>
    <row r="867" spans="1:68" x14ac:dyDescent="0.25">
      <c r="A867" s="14">
        <f t="shared" ca="1" si="84"/>
        <v>-126.14810350076104</v>
      </c>
      <c r="C867" s="17"/>
      <c r="D867" t="str">
        <f>RTD("tos.rtd", , "OPEN_INT", "."&amp;Table13345[[#This Row],[Ticker]]&amp;Table13345[[#This Row],[Expiry]]&amp;""&amp;"C"&amp;Table13345[[#This Row],[Spot]]+Table13345[[#This Row],[step]])</f>
        <v>N/A</v>
      </c>
      <c r="E86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7" t="b">
        <f>IF(     ISNUMBER(Table13345[[#This Row],[Strike]]),RTD("tos.rtd", , "DELTA", "."&amp;Table13345[[#This Row],[Ticker]]&amp;Table13345[[#This Row],[Expiry]]&amp;""&amp;"C"&amp;Table13345[[#This Row],[Strike]]))</f>
        <v>0</v>
      </c>
      <c r="H867" s="17" cm="1">
        <f t="array" aca="1" ref="H867" ca="1">IndividualLegIVCore($A$4, Table13345[[#This Row],[Strike]], 0.0411, Table13345[[#This Row],[T]], ((Table13345[[#This Row],[BIDC]]+Table13345[[#This Row],[ASKC]])/2), TRUE)</f>
        <v>0.01</v>
      </c>
      <c r="I867" t="b">
        <f>IF(     ISNUMBER(Table13345[[#This Row],[Strike]]),RTD("tos.rtd", , "BID", "."&amp;Table13345[[#This Row],[Ticker]]&amp;Table13345[[#This Row],[Expiry]]&amp;""&amp;"C"&amp;Table13345[[#This Row],[Strike]]))</f>
        <v>0</v>
      </c>
      <c r="J867" t="b">
        <f>IF(     ISNUMBER(Table13345[[#This Row],[Strike]]),RTD("tos.rtd", , "ASK", "."&amp;Table13345[[#This Row],[Ticker]]&amp;Table13345[[#This Row],[Expiry]]&amp;""&amp;"C"&amp;Table13345[[#This Row],[Strike]]))</f>
        <v>0</v>
      </c>
      <c r="K867" s="17"/>
      <c r="M867" s="1">
        <f t="shared" si="85"/>
        <v>0</v>
      </c>
      <c r="N867" t="b">
        <f t="shared" si="86"/>
        <v>0</v>
      </c>
      <c r="P867" s="17" cm="1">
        <f t="array" aca="1" ref="P867" ca="1">IndividualLegIVCore($A$4, Table13345[[#This Row],[Strike]], 0.0411, Table13345[[#This Row],[T]], ((Table13345[[#This Row],[BIDP]]+Table13345[[#This Row],[ASKP]])/2), FALSE)</f>
        <v>0.01</v>
      </c>
      <c r="Q867" t="b">
        <f>IF(     ISNUMBER(Table13345[[#This Row],[Strike]]),RTD("tos.rtd", , "BID", "."&amp;Table13345[[#This Row],[Ticker]]&amp;Table13345[[#This Row],[Expiry]]&amp;""&amp;"P"&amp;Table13345[[#This Row],[Strike]]))</f>
        <v>0</v>
      </c>
      <c r="R867" t="b">
        <f>IF(     ISNUMBER(Table13345[[#This Row],[Strike]]),RTD("tos.rtd", , "ASK", "."&amp;Table13345[[#This Row],[Ticker]]&amp;Table13345[[#This Row],[Expiry]]&amp;""&amp;"P"&amp;Table13345[[#This Row],[Strike]]))</f>
        <v>0</v>
      </c>
      <c r="S867" s="17"/>
      <c r="T867" t="b">
        <f>IF(     ISNUMBER(Table13345[[#This Row],[Strike]]),RTD("tos.rtd", , "OPEN_INT", "."&amp;Table13345[[#This Row],[Ticker]]&amp;Table13345[[#This Row],[Expiry]]&amp;""&amp;"P"&amp;Table13345[[#This Row],[Strike]]))</f>
        <v>0</v>
      </c>
      <c r="U86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7" t="b">
        <f>IF(     ISNUMBER(Table13345[[#This Row],[Strike]]),RTD("tos.rtd", , "DELTA", "."&amp;Table13345[[#This Row],[Ticker]]&amp;Table13345[[#This Row],[Expiry]]&amp;""&amp;"P"&amp;Table13345[[#This Row],[Strike]]))</f>
        <v>0</v>
      </c>
      <c r="Y867" s="19">
        <f>-27.5* IF($M$1="NDX", 10, IF(OR($M$1="SPX", $M$1="RUT"), 2, 1))</f>
        <v>-55</v>
      </c>
      <c r="Z867">
        <f ca="1">IFERROR(Table13345[[#This Row],[call gamma]]*(Table13345[[#This Row],[Open.Int]])*$A$4^2,0)</f>
        <v>0</v>
      </c>
      <c r="AA867">
        <f ca="1">IFERROR(((Table13345[[#This Row],[Open.Int8]])*Table13345[[#This Row],[Put gamma]])*-1*$A$4^2,0)</f>
        <v>0</v>
      </c>
      <c r="AB867">
        <f ca="1">(Table13345[[#This Row],[Call Gex]]+Table13345[[#This Row],[Put Gex]])</f>
        <v>0</v>
      </c>
      <c r="AC867">
        <f ca="1">Table13345[[#This Row],[put delta adj]]+Table13345[[#This Row],[call delta adj]]</f>
        <v>0</v>
      </c>
      <c r="AD867">
        <f ca="1">Table13345[[#This Row],[Put Gex]]*Table13345[[#This Row],[DeltaP]]*-1</f>
        <v>0</v>
      </c>
      <c r="AE867">
        <f ca="1">Table13345[[#This Row],[Call Gex]]*Table13345[[#This Row],[DeltaC]]</f>
        <v>0</v>
      </c>
      <c r="AF867">
        <f>IF(Table13345[[#This Row],[DeltaC]]-ABS(Table13345[[#This Row],[DeltaP]])="0","0.01",Table13345[[#This Row],[DeltaC]]-ABS(Table13345[[#This Row],[DeltaP]]))</f>
        <v>0</v>
      </c>
      <c r="AG86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7" t="e">
        <f ca="1">(EXP(-(AG867^2)/2)/SQRT(2*PI())*EXP(0*SQRT(Table13345[[#This Row],[T]]))/$A$4*18%*SQRT(SQRT(Table13345[[#This Row],[T]])))</f>
        <v>#DIV/0!</v>
      </c>
      <c r="AJ867" t="e">
        <f ca="1">(EXP(-(AH867^2)/2)/SQRT(2*PI())*EXP(0*SQRT(Table13345[[#This Row],[T]]))/$A$4*18%*SQRT(SQRT(Table13345[[#This Row],[T]])))</f>
        <v>#DIV/0!</v>
      </c>
      <c r="AK867" t="e">
        <f ca="1">Table13345[[#This Row],[Call D1]]-Table13345[[#This Row],[IV Calc C]]*SQRT(Table13345[[#This Row],[T]])</f>
        <v>#DIV/0!</v>
      </c>
      <c r="AL867" t="e">
        <f ca="1">Table13345[[#This Row],[Put D1]]-Table13345[[#This Row],[IV Calc P]]*SQRT(Table13345[[#This Row],[T]])</f>
        <v>#DIV/0!</v>
      </c>
      <c r="AM867" t="e">
        <f ca="1">EXP(-0.5*Table13345[[#This Row],[Call D1]]^2)/SQRT(2*PI())</f>
        <v>#DIV/0!</v>
      </c>
      <c r="AN867" t="e">
        <f ca="1">EXP(-0.5*Table13345[[#This Row],[Put D1]]^2)/SQRT(2*PI())</f>
        <v>#DIV/0!</v>
      </c>
      <c r="AO86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7">
        <f ca="1">((Table13345[[#This Row],[call vanna]]+Table13345[[#This Row],[put vanna]])*$A$4)</f>
        <v>0</v>
      </c>
      <c r="AR86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7" s="9" t="str" cm="1">
        <f t="array" ref="AT867">_xlfn.IFS(     $M$1="SPX","SPXW",     $M$1="RUT","RUTW",  $M$1="NDX","NDXP",   TRUE,$M$1 )</f>
        <v>SPXW</v>
      </c>
      <c r="AU867" s="2">
        <f t="shared" si="87"/>
        <v>6915</v>
      </c>
      <c r="AV867" t="str">
        <f t="shared" si="88"/>
        <v>000100</v>
      </c>
      <c r="AY86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7">
        <f>((Table13345[[#This Row],[High C]]+Table13345[[#This Row],[Low C]])/2)*Table13345[[#This Row],[gammac]]*Table13345[[#This Row],[Volume]]</f>
        <v>0</v>
      </c>
      <c r="BD867">
        <f>((Table13345[[#This Row],[High P]]+Table13345[[#This Row],[Low P]])/2)*Table13345[[#This Row],[gammap]]*Table13345[[#This Row],[Volume9]]*-1</f>
        <v>0</v>
      </c>
      <c r="BE867">
        <f>(Table13345[[#This Row],[SgammaC]]+Table13345[[#This Row],[SgammaP]])*$A$4*-100</f>
        <v>0</v>
      </c>
      <c r="BF867">
        <f>Table13345[[#This Row],[DEXc]]+Table13345[[#This Row],[DEXp]]</f>
        <v>0</v>
      </c>
      <c r="BG867">
        <f>IFERROR(Table13345[[#This Row],[DeltaC]]*Table13345[[#This Row],[Open.Int]]*$A$4,0)</f>
        <v>0</v>
      </c>
      <c r="BH867">
        <f>IFERROR(Table13345[[#This Row],[DeltaP]]*Table13345[[#This Row],[Open.Int8]]*$A$4,0)</f>
        <v>0</v>
      </c>
      <c r="BI86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7">
        <f ca="1">Table13345[[#This Row],[charmc]]+Table13345[[#This Row],[charmp]]</f>
        <v>0</v>
      </c>
      <c r="BL86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7" s="78">
        <f ca="1">Table13345[[#This Row],[call helper]]+Table13345[[#This Row],[put helper]]</f>
        <v>0</v>
      </c>
      <c r="BP867" t="str">
        <f>RTD("tos.rtd", , "STRIKE", "."&amp;Table13345[[#This Row],[Ticker]]&amp;Table13345[[#This Row],[Expiry]]&amp;""&amp;"C"&amp;Table13345[[#This Row],[Spot]]+Table13345[[#This Row],[step]])</f>
        <v>N/A</v>
      </c>
    </row>
    <row r="868" spans="1:68" x14ac:dyDescent="0.25">
      <c r="A868" s="14">
        <f t="shared" ca="1" si="84"/>
        <v>-126.14810350076104</v>
      </c>
      <c r="C868" s="17"/>
      <c r="D868" t="str">
        <f>RTD("tos.rtd", , "OPEN_INT", "."&amp;Table13345[[#This Row],[Ticker]]&amp;Table13345[[#This Row],[Expiry]]&amp;""&amp;"C"&amp;Table13345[[#This Row],[Spot]]+Table13345[[#This Row],[step]])</f>
        <v>N/A</v>
      </c>
      <c r="E86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8" t="b">
        <f>IF(     ISNUMBER(Table13345[[#This Row],[Strike]]),RTD("tos.rtd", , "DELTA", "."&amp;Table13345[[#This Row],[Ticker]]&amp;Table13345[[#This Row],[Expiry]]&amp;""&amp;"C"&amp;Table13345[[#This Row],[Strike]]))</f>
        <v>0</v>
      </c>
      <c r="H868" s="17" cm="1">
        <f t="array" aca="1" ref="H868" ca="1">IndividualLegIVCore($A$4, Table13345[[#This Row],[Strike]], 0.0411, Table13345[[#This Row],[T]], ((Table13345[[#This Row],[BIDC]]+Table13345[[#This Row],[ASKC]])/2), TRUE)</f>
        <v>0.01</v>
      </c>
      <c r="I868" t="b">
        <f>IF(     ISNUMBER(Table13345[[#This Row],[Strike]]),RTD("tos.rtd", , "BID", "."&amp;Table13345[[#This Row],[Ticker]]&amp;Table13345[[#This Row],[Expiry]]&amp;""&amp;"C"&amp;Table13345[[#This Row],[Strike]]))</f>
        <v>0</v>
      </c>
      <c r="J868" t="b">
        <f>IF(     ISNUMBER(Table13345[[#This Row],[Strike]]),RTD("tos.rtd", , "ASK", "."&amp;Table13345[[#This Row],[Ticker]]&amp;Table13345[[#This Row],[Expiry]]&amp;""&amp;"C"&amp;Table13345[[#This Row],[Strike]]))</f>
        <v>0</v>
      </c>
      <c r="K868" s="17"/>
      <c r="M868" s="1">
        <f t="shared" si="85"/>
        <v>0</v>
      </c>
      <c r="N868" t="b">
        <f t="shared" si="86"/>
        <v>0</v>
      </c>
      <c r="P868" s="17" cm="1">
        <f t="array" aca="1" ref="P868" ca="1">IndividualLegIVCore($A$4, Table13345[[#This Row],[Strike]], 0.0411, Table13345[[#This Row],[T]], ((Table13345[[#This Row],[BIDP]]+Table13345[[#This Row],[ASKP]])/2), FALSE)</f>
        <v>0.01</v>
      </c>
      <c r="Q868" t="b">
        <f>IF(     ISNUMBER(Table13345[[#This Row],[Strike]]),RTD("tos.rtd", , "BID", "."&amp;Table13345[[#This Row],[Ticker]]&amp;Table13345[[#This Row],[Expiry]]&amp;""&amp;"P"&amp;Table13345[[#This Row],[Strike]]))</f>
        <v>0</v>
      </c>
      <c r="R868" t="b">
        <f>IF(     ISNUMBER(Table13345[[#This Row],[Strike]]),RTD("tos.rtd", , "ASK", "."&amp;Table13345[[#This Row],[Ticker]]&amp;Table13345[[#This Row],[Expiry]]&amp;""&amp;"P"&amp;Table13345[[#This Row],[Strike]]))</f>
        <v>0</v>
      </c>
      <c r="S868" s="17"/>
      <c r="T868" t="b">
        <f>IF(     ISNUMBER(Table13345[[#This Row],[Strike]]),RTD("tos.rtd", , "OPEN_INT", "."&amp;Table13345[[#This Row],[Ticker]]&amp;Table13345[[#This Row],[Expiry]]&amp;""&amp;"P"&amp;Table13345[[#This Row],[Strike]]))</f>
        <v>0</v>
      </c>
      <c r="U86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8" t="b">
        <f>IF(     ISNUMBER(Table13345[[#This Row],[Strike]]),RTD("tos.rtd", , "DELTA", "."&amp;Table13345[[#This Row],[Ticker]]&amp;Table13345[[#This Row],[Expiry]]&amp;""&amp;"P"&amp;Table13345[[#This Row],[Strike]]))</f>
        <v>0</v>
      </c>
      <c r="Y868" s="19">
        <f>-27* IF($M$1="NDX", 10, IF(OR($M$1="SPX", $M$1="RUT"), 2, 1))</f>
        <v>-54</v>
      </c>
      <c r="Z868">
        <f ca="1">IFERROR(Table13345[[#This Row],[call gamma]]*(Table13345[[#This Row],[Open.Int]])*$A$4^2,0)</f>
        <v>0</v>
      </c>
      <c r="AA868">
        <f ca="1">IFERROR(((Table13345[[#This Row],[Open.Int8]])*Table13345[[#This Row],[Put gamma]])*-1*$A$4^2,0)</f>
        <v>0</v>
      </c>
      <c r="AB868">
        <f ca="1">(Table13345[[#This Row],[Call Gex]]+Table13345[[#This Row],[Put Gex]])</f>
        <v>0</v>
      </c>
      <c r="AC868">
        <f ca="1">Table13345[[#This Row],[put delta adj]]+Table13345[[#This Row],[call delta adj]]</f>
        <v>0</v>
      </c>
      <c r="AD868">
        <f ca="1">Table13345[[#This Row],[Put Gex]]*Table13345[[#This Row],[DeltaP]]*-1</f>
        <v>0</v>
      </c>
      <c r="AE868">
        <f ca="1">Table13345[[#This Row],[Call Gex]]*Table13345[[#This Row],[DeltaC]]</f>
        <v>0</v>
      </c>
      <c r="AF868">
        <f>IF(Table13345[[#This Row],[DeltaC]]-ABS(Table13345[[#This Row],[DeltaP]])="0","0.01",Table13345[[#This Row],[DeltaC]]-ABS(Table13345[[#This Row],[DeltaP]]))</f>
        <v>0</v>
      </c>
      <c r="AG86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8" t="e">
        <f ca="1">(EXP(-(AG868^2)/2)/SQRT(2*PI())*EXP(0*SQRT(Table13345[[#This Row],[T]]))/$A$4*18%*SQRT(SQRT(Table13345[[#This Row],[T]])))</f>
        <v>#DIV/0!</v>
      </c>
      <c r="AJ868" t="e">
        <f ca="1">(EXP(-(AH868^2)/2)/SQRT(2*PI())*EXP(0*SQRT(Table13345[[#This Row],[T]]))/$A$4*18%*SQRT(SQRT(Table13345[[#This Row],[T]])))</f>
        <v>#DIV/0!</v>
      </c>
      <c r="AK868" t="e">
        <f ca="1">Table13345[[#This Row],[Call D1]]-Table13345[[#This Row],[IV Calc C]]*SQRT(Table13345[[#This Row],[T]])</f>
        <v>#DIV/0!</v>
      </c>
      <c r="AL868" t="e">
        <f ca="1">Table13345[[#This Row],[Put D1]]-Table13345[[#This Row],[IV Calc P]]*SQRT(Table13345[[#This Row],[T]])</f>
        <v>#DIV/0!</v>
      </c>
      <c r="AM868" t="e">
        <f ca="1">EXP(-0.5*Table13345[[#This Row],[Call D1]]^2)/SQRT(2*PI())</f>
        <v>#DIV/0!</v>
      </c>
      <c r="AN868" t="e">
        <f ca="1">EXP(-0.5*Table13345[[#This Row],[Put D1]]^2)/SQRT(2*PI())</f>
        <v>#DIV/0!</v>
      </c>
      <c r="AO86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8">
        <f ca="1">((Table13345[[#This Row],[call vanna]]+Table13345[[#This Row],[put vanna]])*$A$4)</f>
        <v>0</v>
      </c>
      <c r="AR86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8" s="9" t="str" cm="1">
        <f t="array" ref="AT868">_xlfn.IFS(     $M$1="SPX","SPXW",     $M$1="RUT","RUTW",  $M$1="NDX","NDXP",   TRUE,$M$1 )</f>
        <v>SPXW</v>
      </c>
      <c r="AU868" s="2">
        <f t="shared" si="87"/>
        <v>6915</v>
      </c>
      <c r="AV868" t="str">
        <f t="shared" si="88"/>
        <v>000100</v>
      </c>
      <c r="AY86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8">
        <f>((Table13345[[#This Row],[High C]]+Table13345[[#This Row],[Low C]])/2)*Table13345[[#This Row],[gammac]]*Table13345[[#This Row],[Volume]]</f>
        <v>0</v>
      </c>
      <c r="BD868">
        <f>((Table13345[[#This Row],[High P]]+Table13345[[#This Row],[Low P]])/2)*Table13345[[#This Row],[gammap]]*Table13345[[#This Row],[Volume9]]*-1</f>
        <v>0</v>
      </c>
      <c r="BE868">
        <f>(Table13345[[#This Row],[SgammaC]]+Table13345[[#This Row],[SgammaP]])*$A$4*-100</f>
        <v>0</v>
      </c>
      <c r="BF868">
        <f>Table13345[[#This Row],[DEXc]]+Table13345[[#This Row],[DEXp]]</f>
        <v>0</v>
      </c>
      <c r="BG868">
        <f>IFERROR(Table13345[[#This Row],[DeltaC]]*Table13345[[#This Row],[Open.Int]]*$A$4,0)</f>
        <v>0</v>
      </c>
      <c r="BH868">
        <f>IFERROR(Table13345[[#This Row],[DeltaP]]*Table13345[[#This Row],[Open.Int8]]*$A$4,0)</f>
        <v>0</v>
      </c>
      <c r="BI86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8">
        <f ca="1">Table13345[[#This Row],[charmc]]+Table13345[[#This Row],[charmp]]</f>
        <v>0</v>
      </c>
      <c r="BL86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8" s="78">
        <f ca="1">Table13345[[#This Row],[call helper]]+Table13345[[#This Row],[put helper]]</f>
        <v>0</v>
      </c>
      <c r="BP868" t="str">
        <f>RTD("tos.rtd", , "STRIKE", "."&amp;Table13345[[#This Row],[Ticker]]&amp;Table13345[[#This Row],[Expiry]]&amp;""&amp;"C"&amp;Table13345[[#This Row],[Spot]]+Table13345[[#This Row],[step]])</f>
        <v>N/A</v>
      </c>
    </row>
    <row r="869" spans="1:68" x14ac:dyDescent="0.25">
      <c r="A869" s="14">
        <f t="shared" ca="1" si="84"/>
        <v>-126.14810350076104</v>
      </c>
      <c r="C869" s="17"/>
      <c r="D869" t="str">
        <f>RTD("tos.rtd", , "OPEN_INT", "."&amp;Table13345[[#This Row],[Ticker]]&amp;Table13345[[#This Row],[Expiry]]&amp;""&amp;"C"&amp;Table13345[[#This Row],[Spot]]+Table13345[[#This Row],[step]])</f>
        <v>N/A</v>
      </c>
      <c r="E86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9" t="b">
        <f>IF(     ISNUMBER(Table13345[[#This Row],[Strike]]),RTD("tos.rtd", , "DELTA", "."&amp;Table13345[[#This Row],[Ticker]]&amp;Table13345[[#This Row],[Expiry]]&amp;""&amp;"C"&amp;Table13345[[#This Row],[Strike]]))</f>
        <v>0</v>
      </c>
      <c r="H869" s="17" cm="1">
        <f t="array" aca="1" ref="H869" ca="1">IndividualLegIVCore($A$4, Table13345[[#This Row],[Strike]], 0.0411, Table13345[[#This Row],[T]], ((Table13345[[#This Row],[BIDC]]+Table13345[[#This Row],[ASKC]])/2), TRUE)</f>
        <v>0.01</v>
      </c>
      <c r="I869" t="b">
        <f>IF(     ISNUMBER(Table13345[[#This Row],[Strike]]),RTD("tos.rtd", , "BID", "."&amp;Table13345[[#This Row],[Ticker]]&amp;Table13345[[#This Row],[Expiry]]&amp;""&amp;"C"&amp;Table13345[[#This Row],[Strike]]))</f>
        <v>0</v>
      </c>
      <c r="J869" t="b">
        <f>IF(     ISNUMBER(Table13345[[#This Row],[Strike]]),RTD("tos.rtd", , "ASK", "."&amp;Table13345[[#This Row],[Ticker]]&amp;Table13345[[#This Row],[Expiry]]&amp;""&amp;"C"&amp;Table13345[[#This Row],[Strike]]))</f>
        <v>0</v>
      </c>
      <c r="K869" s="17"/>
      <c r="M869" s="1">
        <f t="shared" si="85"/>
        <v>0</v>
      </c>
      <c r="N869" t="b">
        <f t="shared" si="86"/>
        <v>0</v>
      </c>
      <c r="P869" s="17" cm="1">
        <f t="array" aca="1" ref="P869" ca="1">IndividualLegIVCore($A$4, Table13345[[#This Row],[Strike]], 0.0411, Table13345[[#This Row],[T]], ((Table13345[[#This Row],[BIDP]]+Table13345[[#This Row],[ASKP]])/2), FALSE)</f>
        <v>0.01</v>
      </c>
      <c r="Q869" t="b">
        <f>IF(     ISNUMBER(Table13345[[#This Row],[Strike]]),RTD("tos.rtd", , "BID", "."&amp;Table13345[[#This Row],[Ticker]]&amp;Table13345[[#This Row],[Expiry]]&amp;""&amp;"P"&amp;Table13345[[#This Row],[Strike]]))</f>
        <v>0</v>
      </c>
      <c r="R869" t="b">
        <f>IF(     ISNUMBER(Table13345[[#This Row],[Strike]]),RTD("tos.rtd", , "ASK", "."&amp;Table13345[[#This Row],[Ticker]]&amp;Table13345[[#This Row],[Expiry]]&amp;""&amp;"P"&amp;Table13345[[#This Row],[Strike]]))</f>
        <v>0</v>
      </c>
      <c r="S869" s="17"/>
      <c r="T869" t="b">
        <f>IF(     ISNUMBER(Table13345[[#This Row],[Strike]]),RTD("tos.rtd", , "OPEN_INT", "."&amp;Table13345[[#This Row],[Ticker]]&amp;Table13345[[#This Row],[Expiry]]&amp;""&amp;"P"&amp;Table13345[[#This Row],[Strike]]))</f>
        <v>0</v>
      </c>
      <c r="U86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9" t="b">
        <f>IF(     ISNUMBER(Table13345[[#This Row],[Strike]]),RTD("tos.rtd", , "DELTA", "."&amp;Table13345[[#This Row],[Ticker]]&amp;Table13345[[#This Row],[Expiry]]&amp;""&amp;"P"&amp;Table13345[[#This Row],[Strike]]))</f>
        <v>0</v>
      </c>
      <c r="Y869" s="19">
        <f>-26.5* IF($M$1="NDX", 10, IF(OR($M$1="SPX", $M$1="RUT"), 2, 1))</f>
        <v>-53</v>
      </c>
      <c r="Z869">
        <f ca="1">IFERROR(Table13345[[#This Row],[call gamma]]*(Table13345[[#This Row],[Open.Int]])*$A$4^2,0)</f>
        <v>0</v>
      </c>
      <c r="AA869">
        <f ca="1">IFERROR(((Table13345[[#This Row],[Open.Int8]])*Table13345[[#This Row],[Put gamma]])*-1*$A$4^2,0)</f>
        <v>0</v>
      </c>
      <c r="AB869">
        <f ca="1">(Table13345[[#This Row],[Call Gex]]+Table13345[[#This Row],[Put Gex]])</f>
        <v>0</v>
      </c>
      <c r="AC869">
        <f ca="1">Table13345[[#This Row],[put delta adj]]+Table13345[[#This Row],[call delta adj]]</f>
        <v>0</v>
      </c>
      <c r="AD869">
        <f ca="1">Table13345[[#This Row],[Put Gex]]*Table13345[[#This Row],[DeltaP]]*-1</f>
        <v>0</v>
      </c>
      <c r="AE869">
        <f ca="1">Table13345[[#This Row],[Call Gex]]*Table13345[[#This Row],[DeltaC]]</f>
        <v>0</v>
      </c>
      <c r="AF869">
        <f>IF(Table13345[[#This Row],[DeltaC]]-ABS(Table13345[[#This Row],[DeltaP]])="0","0.01",Table13345[[#This Row],[DeltaC]]-ABS(Table13345[[#This Row],[DeltaP]]))</f>
        <v>0</v>
      </c>
      <c r="AG86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9" t="e">
        <f ca="1">(EXP(-(AG869^2)/2)/SQRT(2*PI())*EXP(0*SQRT(Table13345[[#This Row],[T]]))/$A$4*18%*SQRT(SQRT(Table13345[[#This Row],[T]])))</f>
        <v>#DIV/0!</v>
      </c>
      <c r="AJ869" t="e">
        <f ca="1">(EXP(-(AH869^2)/2)/SQRT(2*PI())*EXP(0*SQRT(Table13345[[#This Row],[T]]))/$A$4*18%*SQRT(SQRT(Table13345[[#This Row],[T]])))</f>
        <v>#DIV/0!</v>
      </c>
      <c r="AK869" t="e">
        <f ca="1">Table13345[[#This Row],[Call D1]]-Table13345[[#This Row],[IV Calc C]]*SQRT(Table13345[[#This Row],[T]])</f>
        <v>#DIV/0!</v>
      </c>
      <c r="AL869" t="e">
        <f ca="1">Table13345[[#This Row],[Put D1]]-Table13345[[#This Row],[IV Calc P]]*SQRT(Table13345[[#This Row],[T]])</f>
        <v>#DIV/0!</v>
      </c>
      <c r="AM869" t="e">
        <f ca="1">EXP(-0.5*Table13345[[#This Row],[Call D1]]^2)/SQRT(2*PI())</f>
        <v>#DIV/0!</v>
      </c>
      <c r="AN869" t="e">
        <f ca="1">EXP(-0.5*Table13345[[#This Row],[Put D1]]^2)/SQRT(2*PI())</f>
        <v>#DIV/0!</v>
      </c>
      <c r="AO86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9">
        <f ca="1">((Table13345[[#This Row],[call vanna]]+Table13345[[#This Row],[put vanna]])*$A$4)</f>
        <v>0</v>
      </c>
      <c r="AR86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9" s="9" t="str" cm="1">
        <f t="array" ref="AT869">_xlfn.IFS(     $M$1="SPX","SPXW",     $M$1="RUT","RUTW",  $M$1="NDX","NDXP",   TRUE,$M$1 )</f>
        <v>SPXW</v>
      </c>
      <c r="AU869" s="2">
        <f t="shared" si="87"/>
        <v>6915</v>
      </c>
      <c r="AV869" t="str">
        <f t="shared" si="88"/>
        <v>000100</v>
      </c>
      <c r="AY86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9">
        <f>((Table13345[[#This Row],[High C]]+Table13345[[#This Row],[Low C]])/2)*Table13345[[#This Row],[gammac]]*Table13345[[#This Row],[Volume]]</f>
        <v>0</v>
      </c>
      <c r="BD869">
        <f>((Table13345[[#This Row],[High P]]+Table13345[[#This Row],[Low P]])/2)*Table13345[[#This Row],[gammap]]*Table13345[[#This Row],[Volume9]]*-1</f>
        <v>0</v>
      </c>
      <c r="BE869">
        <f>(Table13345[[#This Row],[SgammaC]]+Table13345[[#This Row],[SgammaP]])*$A$4*-100</f>
        <v>0</v>
      </c>
      <c r="BF869">
        <f>Table13345[[#This Row],[DEXc]]+Table13345[[#This Row],[DEXp]]</f>
        <v>0</v>
      </c>
      <c r="BG869">
        <f>IFERROR(Table13345[[#This Row],[DeltaC]]*Table13345[[#This Row],[Open.Int]]*$A$4,0)</f>
        <v>0</v>
      </c>
      <c r="BH869">
        <f>IFERROR(Table13345[[#This Row],[DeltaP]]*Table13345[[#This Row],[Open.Int8]]*$A$4,0)</f>
        <v>0</v>
      </c>
      <c r="BI86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9">
        <f ca="1">Table13345[[#This Row],[charmc]]+Table13345[[#This Row],[charmp]]</f>
        <v>0</v>
      </c>
      <c r="BL86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9" s="78">
        <f ca="1">Table13345[[#This Row],[call helper]]+Table13345[[#This Row],[put helper]]</f>
        <v>0</v>
      </c>
      <c r="BP869" t="str">
        <f>RTD("tos.rtd", , "STRIKE", "."&amp;Table13345[[#This Row],[Ticker]]&amp;Table13345[[#This Row],[Expiry]]&amp;""&amp;"C"&amp;Table13345[[#This Row],[Spot]]+Table13345[[#This Row],[step]])</f>
        <v>N/A</v>
      </c>
    </row>
    <row r="870" spans="1:68" x14ac:dyDescent="0.25">
      <c r="A870" s="14">
        <f t="shared" ca="1" si="84"/>
        <v>-126.14810350076104</v>
      </c>
      <c r="C870" s="17"/>
      <c r="D870" t="str">
        <f>RTD("tos.rtd", , "OPEN_INT", "."&amp;Table13345[[#This Row],[Ticker]]&amp;Table13345[[#This Row],[Expiry]]&amp;""&amp;"C"&amp;Table13345[[#This Row],[Spot]]+Table13345[[#This Row],[step]])</f>
        <v>N/A</v>
      </c>
      <c r="E87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0" t="b">
        <f>IF(     ISNUMBER(Table13345[[#This Row],[Strike]]),RTD("tos.rtd", , "DELTA", "."&amp;Table13345[[#This Row],[Ticker]]&amp;Table13345[[#This Row],[Expiry]]&amp;""&amp;"C"&amp;Table13345[[#This Row],[Strike]]))</f>
        <v>0</v>
      </c>
      <c r="H870" s="17" cm="1">
        <f t="array" aca="1" ref="H870" ca="1">IndividualLegIVCore($A$4, Table13345[[#This Row],[Strike]], 0.0411, Table13345[[#This Row],[T]], ((Table13345[[#This Row],[BIDC]]+Table13345[[#This Row],[ASKC]])/2), TRUE)</f>
        <v>0.01</v>
      </c>
      <c r="I870" t="b">
        <f>IF(     ISNUMBER(Table13345[[#This Row],[Strike]]),RTD("tos.rtd", , "BID", "."&amp;Table13345[[#This Row],[Ticker]]&amp;Table13345[[#This Row],[Expiry]]&amp;""&amp;"C"&amp;Table13345[[#This Row],[Strike]]))</f>
        <v>0</v>
      </c>
      <c r="J870" t="b">
        <f>IF(     ISNUMBER(Table13345[[#This Row],[Strike]]),RTD("tos.rtd", , "ASK", "."&amp;Table13345[[#This Row],[Ticker]]&amp;Table13345[[#This Row],[Expiry]]&amp;""&amp;"C"&amp;Table13345[[#This Row],[Strike]]))</f>
        <v>0</v>
      </c>
      <c r="K870" s="17"/>
      <c r="M870" s="1">
        <f t="shared" si="85"/>
        <v>0</v>
      </c>
      <c r="N870" t="b">
        <f t="shared" si="86"/>
        <v>0</v>
      </c>
      <c r="P870" s="17" cm="1">
        <f t="array" aca="1" ref="P870" ca="1">IndividualLegIVCore($A$4, Table13345[[#This Row],[Strike]], 0.0411, Table13345[[#This Row],[T]], ((Table13345[[#This Row],[BIDP]]+Table13345[[#This Row],[ASKP]])/2), FALSE)</f>
        <v>0.01</v>
      </c>
      <c r="Q870" t="b">
        <f>IF(     ISNUMBER(Table13345[[#This Row],[Strike]]),RTD("tos.rtd", , "BID", "."&amp;Table13345[[#This Row],[Ticker]]&amp;Table13345[[#This Row],[Expiry]]&amp;""&amp;"P"&amp;Table13345[[#This Row],[Strike]]))</f>
        <v>0</v>
      </c>
      <c r="R870" t="b">
        <f>IF(     ISNUMBER(Table13345[[#This Row],[Strike]]),RTD("tos.rtd", , "ASK", "."&amp;Table13345[[#This Row],[Ticker]]&amp;Table13345[[#This Row],[Expiry]]&amp;""&amp;"P"&amp;Table13345[[#This Row],[Strike]]))</f>
        <v>0</v>
      </c>
      <c r="S870" s="17"/>
      <c r="T870" t="b">
        <f>IF(     ISNUMBER(Table13345[[#This Row],[Strike]]),RTD("tos.rtd", , "OPEN_INT", "."&amp;Table13345[[#This Row],[Ticker]]&amp;Table13345[[#This Row],[Expiry]]&amp;""&amp;"P"&amp;Table13345[[#This Row],[Strike]]))</f>
        <v>0</v>
      </c>
      <c r="U87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0" t="b">
        <f>IF(     ISNUMBER(Table13345[[#This Row],[Strike]]),RTD("tos.rtd", , "DELTA", "."&amp;Table13345[[#This Row],[Ticker]]&amp;Table13345[[#This Row],[Expiry]]&amp;""&amp;"P"&amp;Table13345[[#This Row],[Strike]]))</f>
        <v>0</v>
      </c>
      <c r="Y870" s="19">
        <f>-26* IF($M$1="NDX", 10, IF(OR($M$1="SPX", $M$1="RUT"), 2, 1))</f>
        <v>-52</v>
      </c>
      <c r="Z870">
        <f ca="1">IFERROR(Table13345[[#This Row],[call gamma]]*(Table13345[[#This Row],[Open.Int]])*$A$4^2,0)</f>
        <v>0</v>
      </c>
      <c r="AA870">
        <f ca="1">IFERROR(((Table13345[[#This Row],[Open.Int8]])*Table13345[[#This Row],[Put gamma]])*-1*$A$4^2,0)</f>
        <v>0</v>
      </c>
      <c r="AB870">
        <f ca="1">(Table13345[[#This Row],[Call Gex]]+Table13345[[#This Row],[Put Gex]])</f>
        <v>0</v>
      </c>
      <c r="AC870">
        <f ca="1">Table13345[[#This Row],[put delta adj]]+Table13345[[#This Row],[call delta adj]]</f>
        <v>0</v>
      </c>
      <c r="AD870">
        <f ca="1">Table13345[[#This Row],[Put Gex]]*Table13345[[#This Row],[DeltaP]]*-1</f>
        <v>0</v>
      </c>
      <c r="AE870">
        <f ca="1">Table13345[[#This Row],[Call Gex]]*Table13345[[#This Row],[DeltaC]]</f>
        <v>0</v>
      </c>
      <c r="AF870">
        <f>IF(Table13345[[#This Row],[DeltaC]]-ABS(Table13345[[#This Row],[DeltaP]])="0","0.01",Table13345[[#This Row],[DeltaC]]-ABS(Table13345[[#This Row],[DeltaP]]))</f>
        <v>0</v>
      </c>
      <c r="AG87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0" t="e">
        <f ca="1">(EXP(-(AG870^2)/2)/SQRT(2*PI())*EXP(0*SQRT(Table13345[[#This Row],[T]]))/$A$4*18%*SQRT(SQRT(Table13345[[#This Row],[T]])))</f>
        <v>#DIV/0!</v>
      </c>
      <c r="AJ870" t="e">
        <f ca="1">(EXP(-(AH870^2)/2)/SQRT(2*PI())*EXP(0*SQRT(Table13345[[#This Row],[T]]))/$A$4*18%*SQRT(SQRT(Table13345[[#This Row],[T]])))</f>
        <v>#DIV/0!</v>
      </c>
      <c r="AK870" t="e">
        <f ca="1">Table13345[[#This Row],[Call D1]]-Table13345[[#This Row],[IV Calc C]]*SQRT(Table13345[[#This Row],[T]])</f>
        <v>#DIV/0!</v>
      </c>
      <c r="AL870" t="e">
        <f ca="1">Table13345[[#This Row],[Put D1]]-Table13345[[#This Row],[IV Calc P]]*SQRT(Table13345[[#This Row],[T]])</f>
        <v>#DIV/0!</v>
      </c>
      <c r="AM870" t="e">
        <f ca="1">EXP(-0.5*Table13345[[#This Row],[Call D1]]^2)/SQRT(2*PI())</f>
        <v>#DIV/0!</v>
      </c>
      <c r="AN870" t="e">
        <f ca="1">EXP(-0.5*Table13345[[#This Row],[Put D1]]^2)/SQRT(2*PI())</f>
        <v>#DIV/0!</v>
      </c>
      <c r="AO87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0">
        <f ca="1">((Table13345[[#This Row],[call vanna]]+Table13345[[#This Row],[put vanna]])*$A$4)</f>
        <v>0</v>
      </c>
      <c r="AR87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0" s="9" t="str" cm="1">
        <f t="array" ref="AT870">_xlfn.IFS(     $M$1="SPX","SPXW",     $M$1="RUT","RUTW",  $M$1="NDX","NDXP",   TRUE,$M$1 )</f>
        <v>SPXW</v>
      </c>
      <c r="AU870" s="2">
        <f t="shared" si="87"/>
        <v>6915</v>
      </c>
      <c r="AV870" t="str">
        <f t="shared" si="88"/>
        <v>000100</v>
      </c>
      <c r="AY87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0">
        <f>((Table13345[[#This Row],[High C]]+Table13345[[#This Row],[Low C]])/2)*Table13345[[#This Row],[gammac]]*Table13345[[#This Row],[Volume]]</f>
        <v>0</v>
      </c>
      <c r="BD870">
        <f>((Table13345[[#This Row],[High P]]+Table13345[[#This Row],[Low P]])/2)*Table13345[[#This Row],[gammap]]*Table13345[[#This Row],[Volume9]]*-1</f>
        <v>0</v>
      </c>
      <c r="BE870">
        <f>(Table13345[[#This Row],[SgammaC]]+Table13345[[#This Row],[SgammaP]])*$A$4*-100</f>
        <v>0</v>
      </c>
      <c r="BF870">
        <f>Table13345[[#This Row],[DEXc]]+Table13345[[#This Row],[DEXp]]</f>
        <v>0</v>
      </c>
      <c r="BG870">
        <f>IFERROR(Table13345[[#This Row],[DeltaC]]*Table13345[[#This Row],[Open.Int]]*$A$4,0)</f>
        <v>0</v>
      </c>
      <c r="BH870">
        <f>IFERROR(Table13345[[#This Row],[DeltaP]]*Table13345[[#This Row],[Open.Int8]]*$A$4,0)</f>
        <v>0</v>
      </c>
      <c r="BI87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0">
        <f ca="1">Table13345[[#This Row],[charmc]]+Table13345[[#This Row],[charmp]]</f>
        <v>0</v>
      </c>
      <c r="BL87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0" s="78">
        <f ca="1">Table13345[[#This Row],[call helper]]+Table13345[[#This Row],[put helper]]</f>
        <v>0</v>
      </c>
      <c r="BP870" t="str">
        <f>RTD("tos.rtd", , "STRIKE", "."&amp;Table13345[[#This Row],[Ticker]]&amp;Table13345[[#This Row],[Expiry]]&amp;""&amp;"C"&amp;Table13345[[#This Row],[Spot]]+Table13345[[#This Row],[step]])</f>
        <v>N/A</v>
      </c>
    </row>
    <row r="871" spans="1:68" x14ac:dyDescent="0.25">
      <c r="A871" s="14">
        <f t="shared" ca="1" si="84"/>
        <v>-126.14810350076104</v>
      </c>
      <c r="C871" s="17"/>
      <c r="D871" t="str">
        <f>RTD("tos.rtd", , "OPEN_INT", "."&amp;Table13345[[#This Row],[Ticker]]&amp;Table13345[[#This Row],[Expiry]]&amp;""&amp;"C"&amp;Table13345[[#This Row],[Spot]]+Table13345[[#This Row],[step]])</f>
        <v>N/A</v>
      </c>
      <c r="E87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1" t="b">
        <f>IF(     ISNUMBER(Table13345[[#This Row],[Strike]]),RTD("tos.rtd", , "DELTA", "."&amp;Table13345[[#This Row],[Ticker]]&amp;Table13345[[#This Row],[Expiry]]&amp;""&amp;"C"&amp;Table13345[[#This Row],[Strike]]))</f>
        <v>0</v>
      </c>
      <c r="H871" s="17" cm="1">
        <f t="array" aca="1" ref="H871" ca="1">IndividualLegIVCore($A$4, Table13345[[#This Row],[Strike]], 0.0411, Table13345[[#This Row],[T]], ((Table13345[[#This Row],[BIDC]]+Table13345[[#This Row],[ASKC]])/2), TRUE)</f>
        <v>0.01</v>
      </c>
      <c r="I871" t="b">
        <f>IF(     ISNUMBER(Table13345[[#This Row],[Strike]]),RTD("tos.rtd", , "BID", "."&amp;Table13345[[#This Row],[Ticker]]&amp;Table13345[[#This Row],[Expiry]]&amp;""&amp;"C"&amp;Table13345[[#This Row],[Strike]]))</f>
        <v>0</v>
      </c>
      <c r="J871" t="b">
        <f>IF(     ISNUMBER(Table13345[[#This Row],[Strike]]),RTD("tos.rtd", , "ASK", "."&amp;Table13345[[#This Row],[Ticker]]&amp;Table13345[[#This Row],[Expiry]]&amp;""&amp;"C"&amp;Table13345[[#This Row],[Strike]]))</f>
        <v>0</v>
      </c>
      <c r="K871" s="17"/>
      <c r="M871" s="1">
        <f t="shared" si="85"/>
        <v>0</v>
      </c>
      <c r="N871" t="b">
        <f t="shared" si="86"/>
        <v>0</v>
      </c>
      <c r="P871" s="17" cm="1">
        <f t="array" aca="1" ref="P871" ca="1">IndividualLegIVCore($A$4, Table13345[[#This Row],[Strike]], 0.0411, Table13345[[#This Row],[T]], ((Table13345[[#This Row],[BIDP]]+Table13345[[#This Row],[ASKP]])/2), FALSE)</f>
        <v>0.01</v>
      </c>
      <c r="Q871" t="b">
        <f>IF(     ISNUMBER(Table13345[[#This Row],[Strike]]),RTD("tos.rtd", , "BID", "."&amp;Table13345[[#This Row],[Ticker]]&amp;Table13345[[#This Row],[Expiry]]&amp;""&amp;"P"&amp;Table13345[[#This Row],[Strike]]))</f>
        <v>0</v>
      </c>
      <c r="R871" t="b">
        <f>IF(     ISNUMBER(Table13345[[#This Row],[Strike]]),RTD("tos.rtd", , "ASK", "."&amp;Table13345[[#This Row],[Ticker]]&amp;Table13345[[#This Row],[Expiry]]&amp;""&amp;"P"&amp;Table13345[[#This Row],[Strike]]))</f>
        <v>0</v>
      </c>
      <c r="S871" s="17"/>
      <c r="T871" t="b">
        <f>IF(     ISNUMBER(Table13345[[#This Row],[Strike]]),RTD("tos.rtd", , "OPEN_INT", "."&amp;Table13345[[#This Row],[Ticker]]&amp;Table13345[[#This Row],[Expiry]]&amp;""&amp;"P"&amp;Table13345[[#This Row],[Strike]]))</f>
        <v>0</v>
      </c>
      <c r="U87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1" t="b">
        <f>IF(     ISNUMBER(Table13345[[#This Row],[Strike]]),RTD("tos.rtd", , "DELTA", "."&amp;Table13345[[#This Row],[Ticker]]&amp;Table13345[[#This Row],[Expiry]]&amp;""&amp;"P"&amp;Table13345[[#This Row],[Strike]]))</f>
        <v>0</v>
      </c>
      <c r="Y871" s="19">
        <f>-25.5* IF($M$1="NDX", 10, IF(OR($M$1="SPX", $M$1="RUT"), 2, 1))</f>
        <v>-51</v>
      </c>
      <c r="Z871">
        <f ca="1">IFERROR(Table13345[[#This Row],[call gamma]]*(Table13345[[#This Row],[Open.Int]])*$A$4^2,0)</f>
        <v>0</v>
      </c>
      <c r="AA871">
        <f ca="1">IFERROR(((Table13345[[#This Row],[Open.Int8]])*Table13345[[#This Row],[Put gamma]])*-1*$A$4^2,0)</f>
        <v>0</v>
      </c>
      <c r="AB871">
        <f ca="1">(Table13345[[#This Row],[Call Gex]]+Table13345[[#This Row],[Put Gex]])</f>
        <v>0</v>
      </c>
      <c r="AC871">
        <f ca="1">Table13345[[#This Row],[put delta adj]]+Table13345[[#This Row],[call delta adj]]</f>
        <v>0</v>
      </c>
      <c r="AD871">
        <f ca="1">Table13345[[#This Row],[Put Gex]]*Table13345[[#This Row],[DeltaP]]*-1</f>
        <v>0</v>
      </c>
      <c r="AE871">
        <f ca="1">Table13345[[#This Row],[Call Gex]]*Table13345[[#This Row],[DeltaC]]</f>
        <v>0</v>
      </c>
      <c r="AF871">
        <f>IF(Table13345[[#This Row],[DeltaC]]-ABS(Table13345[[#This Row],[DeltaP]])="0","0.01",Table13345[[#This Row],[DeltaC]]-ABS(Table13345[[#This Row],[DeltaP]]))</f>
        <v>0</v>
      </c>
      <c r="AG87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1" t="e">
        <f ca="1">(EXP(-(AG871^2)/2)/SQRT(2*PI())*EXP(0*SQRT(Table13345[[#This Row],[T]]))/$A$4*18%*SQRT(SQRT(Table13345[[#This Row],[T]])))</f>
        <v>#DIV/0!</v>
      </c>
      <c r="AJ871" t="e">
        <f ca="1">(EXP(-(AH871^2)/2)/SQRT(2*PI())*EXP(0*SQRT(Table13345[[#This Row],[T]]))/$A$4*18%*SQRT(SQRT(Table13345[[#This Row],[T]])))</f>
        <v>#DIV/0!</v>
      </c>
      <c r="AK871" t="e">
        <f ca="1">Table13345[[#This Row],[Call D1]]-Table13345[[#This Row],[IV Calc C]]*SQRT(Table13345[[#This Row],[T]])</f>
        <v>#DIV/0!</v>
      </c>
      <c r="AL871" t="e">
        <f ca="1">Table13345[[#This Row],[Put D1]]-Table13345[[#This Row],[IV Calc P]]*SQRT(Table13345[[#This Row],[T]])</f>
        <v>#DIV/0!</v>
      </c>
      <c r="AM871" t="e">
        <f ca="1">EXP(-0.5*Table13345[[#This Row],[Call D1]]^2)/SQRT(2*PI())</f>
        <v>#DIV/0!</v>
      </c>
      <c r="AN871" t="e">
        <f ca="1">EXP(-0.5*Table13345[[#This Row],[Put D1]]^2)/SQRT(2*PI())</f>
        <v>#DIV/0!</v>
      </c>
      <c r="AO87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1">
        <f ca="1">((Table13345[[#This Row],[call vanna]]+Table13345[[#This Row],[put vanna]])*$A$4)</f>
        <v>0</v>
      </c>
      <c r="AR87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1" s="9" t="str" cm="1">
        <f t="array" ref="AT871">_xlfn.IFS(     $M$1="SPX","SPXW",     $M$1="RUT","RUTW",  $M$1="NDX","NDXP",   TRUE,$M$1 )</f>
        <v>SPXW</v>
      </c>
      <c r="AU871" s="2">
        <f t="shared" si="87"/>
        <v>6915</v>
      </c>
      <c r="AV871" t="str">
        <f t="shared" si="88"/>
        <v>000100</v>
      </c>
      <c r="AY87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1">
        <f>((Table13345[[#This Row],[High C]]+Table13345[[#This Row],[Low C]])/2)*Table13345[[#This Row],[gammac]]*Table13345[[#This Row],[Volume]]</f>
        <v>0</v>
      </c>
      <c r="BD871">
        <f>((Table13345[[#This Row],[High P]]+Table13345[[#This Row],[Low P]])/2)*Table13345[[#This Row],[gammap]]*Table13345[[#This Row],[Volume9]]*-1</f>
        <v>0</v>
      </c>
      <c r="BE871">
        <f>(Table13345[[#This Row],[SgammaC]]+Table13345[[#This Row],[SgammaP]])*$A$4*-100</f>
        <v>0</v>
      </c>
      <c r="BF871">
        <f>Table13345[[#This Row],[DEXc]]+Table13345[[#This Row],[DEXp]]</f>
        <v>0</v>
      </c>
      <c r="BG871">
        <f>IFERROR(Table13345[[#This Row],[DeltaC]]*Table13345[[#This Row],[Open.Int]]*$A$4,0)</f>
        <v>0</v>
      </c>
      <c r="BH871">
        <f>IFERROR(Table13345[[#This Row],[DeltaP]]*Table13345[[#This Row],[Open.Int8]]*$A$4,0)</f>
        <v>0</v>
      </c>
      <c r="BI87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1">
        <f ca="1">Table13345[[#This Row],[charmc]]+Table13345[[#This Row],[charmp]]</f>
        <v>0</v>
      </c>
      <c r="BL87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1" s="78">
        <f ca="1">Table13345[[#This Row],[call helper]]+Table13345[[#This Row],[put helper]]</f>
        <v>0</v>
      </c>
      <c r="BP871" t="str">
        <f>RTD("tos.rtd", , "STRIKE", "."&amp;Table13345[[#This Row],[Ticker]]&amp;Table13345[[#This Row],[Expiry]]&amp;""&amp;"C"&amp;Table13345[[#This Row],[Spot]]+Table13345[[#This Row],[step]])</f>
        <v>N/A</v>
      </c>
    </row>
    <row r="872" spans="1:68" x14ac:dyDescent="0.25">
      <c r="A872" s="14">
        <f t="shared" ca="1" si="84"/>
        <v>-126.14810350076104</v>
      </c>
      <c r="C872" s="17"/>
      <c r="D872" t="str">
        <f>RTD("tos.rtd", , "OPEN_INT", "."&amp;Table13345[[#This Row],[Ticker]]&amp;Table13345[[#This Row],[Expiry]]&amp;""&amp;"C"&amp;Table13345[[#This Row],[Spot]]+Table13345[[#This Row],[step]])</f>
        <v>N/A</v>
      </c>
      <c r="E87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2" t="b">
        <f>IF(     ISNUMBER(Table13345[[#This Row],[Strike]]),RTD("tos.rtd", , "DELTA", "."&amp;Table13345[[#This Row],[Ticker]]&amp;Table13345[[#This Row],[Expiry]]&amp;""&amp;"C"&amp;Table13345[[#This Row],[Strike]]))</f>
        <v>0</v>
      </c>
      <c r="H872" s="17" cm="1">
        <f t="array" aca="1" ref="H872" ca="1">IndividualLegIVCore($A$4, Table13345[[#This Row],[Strike]], 0.0411, Table13345[[#This Row],[T]], ((Table13345[[#This Row],[BIDC]]+Table13345[[#This Row],[ASKC]])/2), TRUE)</f>
        <v>0.01</v>
      </c>
      <c r="I872" t="b">
        <f>IF(     ISNUMBER(Table13345[[#This Row],[Strike]]),RTD("tos.rtd", , "BID", "."&amp;Table13345[[#This Row],[Ticker]]&amp;Table13345[[#This Row],[Expiry]]&amp;""&amp;"C"&amp;Table13345[[#This Row],[Strike]]))</f>
        <v>0</v>
      </c>
      <c r="J872" t="b">
        <f>IF(     ISNUMBER(Table13345[[#This Row],[Strike]]),RTD("tos.rtd", , "ASK", "."&amp;Table13345[[#This Row],[Ticker]]&amp;Table13345[[#This Row],[Expiry]]&amp;""&amp;"C"&amp;Table13345[[#This Row],[Strike]]))</f>
        <v>0</v>
      </c>
      <c r="K872" s="17"/>
      <c r="M872" s="1">
        <f t="shared" si="85"/>
        <v>0</v>
      </c>
      <c r="N872" t="b">
        <f t="shared" si="86"/>
        <v>0</v>
      </c>
      <c r="P872" s="17" cm="1">
        <f t="array" aca="1" ref="P872" ca="1">IndividualLegIVCore($A$4, Table13345[[#This Row],[Strike]], 0.0411, Table13345[[#This Row],[T]], ((Table13345[[#This Row],[BIDP]]+Table13345[[#This Row],[ASKP]])/2), FALSE)</f>
        <v>0.01</v>
      </c>
      <c r="Q872" t="b">
        <f>IF(     ISNUMBER(Table13345[[#This Row],[Strike]]),RTD("tos.rtd", , "BID", "."&amp;Table13345[[#This Row],[Ticker]]&amp;Table13345[[#This Row],[Expiry]]&amp;""&amp;"P"&amp;Table13345[[#This Row],[Strike]]))</f>
        <v>0</v>
      </c>
      <c r="R872" t="b">
        <f>IF(     ISNUMBER(Table13345[[#This Row],[Strike]]),RTD("tos.rtd", , "ASK", "."&amp;Table13345[[#This Row],[Ticker]]&amp;Table13345[[#This Row],[Expiry]]&amp;""&amp;"P"&amp;Table13345[[#This Row],[Strike]]))</f>
        <v>0</v>
      </c>
      <c r="S872" s="17"/>
      <c r="T872" t="b">
        <f>IF(     ISNUMBER(Table13345[[#This Row],[Strike]]),RTD("tos.rtd", , "OPEN_INT", "."&amp;Table13345[[#This Row],[Ticker]]&amp;Table13345[[#This Row],[Expiry]]&amp;""&amp;"P"&amp;Table13345[[#This Row],[Strike]]))</f>
        <v>0</v>
      </c>
      <c r="U87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2" t="b">
        <f>IF(     ISNUMBER(Table13345[[#This Row],[Strike]]),RTD("tos.rtd", , "DELTA", "."&amp;Table13345[[#This Row],[Ticker]]&amp;Table13345[[#This Row],[Expiry]]&amp;""&amp;"P"&amp;Table13345[[#This Row],[Strike]]))</f>
        <v>0</v>
      </c>
      <c r="Y872" s="19">
        <f>-25* IF($M$1="NDX", 10, IF(OR($M$1="SPX", $M$1="RUT"), 2, 1))</f>
        <v>-50</v>
      </c>
      <c r="Z872">
        <f ca="1">IFERROR(Table13345[[#This Row],[call gamma]]*(Table13345[[#This Row],[Open.Int]])*$A$4^2,0)</f>
        <v>0</v>
      </c>
      <c r="AA872">
        <f ca="1">IFERROR(((Table13345[[#This Row],[Open.Int8]])*Table13345[[#This Row],[Put gamma]])*-1*$A$4^2,0)</f>
        <v>0</v>
      </c>
      <c r="AB872">
        <f ca="1">(Table13345[[#This Row],[Call Gex]]+Table13345[[#This Row],[Put Gex]])</f>
        <v>0</v>
      </c>
      <c r="AC872">
        <f ca="1">Table13345[[#This Row],[put delta adj]]+Table13345[[#This Row],[call delta adj]]</f>
        <v>0</v>
      </c>
      <c r="AD872">
        <f ca="1">Table13345[[#This Row],[Put Gex]]*Table13345[[#This Row],[DeltaP]]*-1</f>
        <v>0</v>
      </c>
      <c r="AE872">
        <f ca="1">Table13345[[#This Row],[Call Gex]]*Table13345[[#This Row],[DeltaC]]</f>
        <v>0</v>
      </c>
      <c r="AF872">
        <f>IF(Table13345[[#This Row],[DeltaC]]-ABS(Table13345[[#This Row],[DeltaP]])="0","0.01",Table13345[[#This Row],[DeltaC]]-ABS(Table13345[[#This Row],[DeltaP]]))</f>
        <v>0</v>
      </c>
      <c r="AG87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2" t="e">
        <f ca="1">(EXP(-(AG872^2)/2)/SQRT(2*PI())*EXP(0*SQRT(Table13345[[#This Row],[T]]))/$A$4*18%*SQRT(SQRT(Table13345[[#This Row],[T]])))</f>
        <v>#DIV/0!</v>
      </c>
      <c r="AJ872" t="e">
        <f ca="1">(EXP(-(AH872^2)/2)/SQRT(2*PI())*EXP(0*SQRT(Table13345[[#This Row],[T]]))/$A$4*18%*SQRT(SQRT(Table13345[[#This Row],[T]])))</f>
        <v>#DIV/0!</v>
      </c>
      <c r="AK872" t="e">
        <f ca="1">Table13345[[#This Row],[Call D1]]-Table13345[[#This Row],[IV Calc C]]*SQRT(Table13345[[#This Row],[T]])</f>
        <v>#DIV/0!</v>
      </c>
      <c r="AL872" t="e">
        <f ca="1">Table13345[[#This Row],[Put D1]]-Table13345[[#This Row],[IV Calc P]]*SQRT(Table13345[[#This Row],[T]])</f>
        <v>#DIV/0!</v>
      </c>
      <c r="AM872" t="e">
        <f ca="1">EXP(-0.5*Table13345[[#This Row],[Call D1]]^2)/SQRT(2*PI())</f>
        <v>#DIV/0!</v>
      </c>
      <c r="AN872" t="e">
        <f ca="1">EXP(-0.5*Table13345[[#This Row],[Put D1]]^2)/SQRT(2*PI())</f>
        <v>#DIV/0!</v>
      </c>
      <c r="AO87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2">
        <f ca="1">((Table13345[[#This Row],[call vanna]]+Table13345[[#This Row],[put vanna]])*$A$4)</f>
        <v>0</v>
      </c>
      <c r="AR87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2" s="9" t="str" cm="1">
        <f t="array" ref="AT872">_xlfn.IFS(     $M$1="SPX","SPXW",     $M$1="RUT","RUTW",  $M$1="NDX","NDXP",   TRUE,$M$1 )</f>
        <v>SPXW</v>
      </c>
      <c r="AU872" s="2">
        <f t="shared" si="87"/>
        <v>6915</v>
      </c>
      <c r="AV872" t="str">
        <f t="shared" si="88"/>
        <v>000100</v>
      </c>
      <c r="AY87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2">
        <f>((Table13345[[#This Row],[High C]]+Table13345[[#This Row],[Low C]])/2)*Table13345[[#This Row],[gammac]]*Table13345[[#This Row],[Volume]]</f>
        <v>0</v>
      </c>
      <c r="BD872">
        <f>((Table13345[[#This Row],[High P]]+Table13345[[#This Row],[Low P]])/2)*Table13345[[#This Row],[gammap]]*Table13345[[#This Row],[Volume9]]*-1</f>
        <v>0</v>
      </c>
      <c r="BE872">
        <f>(Table13345[[#This Row],[SgammaC]]+Table13345[[#This Row],[SgammaP]])*$A$4*-100</f>
        <v>0</v>
      </c>
      <c r="BF872">
        <f>Table13345[[#This Row],[DEXc]]+Table13345[[#This Row],[DEXp]]</f>
        <v>0</v>
      </c>
      <c r="BG872">
        <f>IFERROR(Table13345[[#This Row],[DeltaC]]*Table13345[[#This Row],[Open.Int]]*$A$4,0)</f>
        <v>0</v>
      </c>
      <c r="BH872">
        <f>IFERROR(Table13345[[#This Row],[DeltaP]]*Table13345[[#This Row],[Open.Int8]]*$A$4,0)</f>
        <v>0</v>
      </c>
      <c r="BI87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2">
        <f ca="1">Table13345[[#This Row],[charmc]]+Table13345[[#This Row],[charmp]]</f>
        <v>0</v>
      </c>
      <c r="BL87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2" s="78">
        <f ca="1">Table13345[[#This Row],[call helper]]+Table13345[[#This Row],[put helper]]</f>
        <v>0</v>
      </c>
      <c r="BP872" t="str">
        <f>RTD("tos.rtd", , "STRIKE", "."&amp;Table13345[[#This Row],[Ticker]]&amp;Table13345[[#This Row],[Expiry]]&amp;""&amp;"C"&amp;Table13345[[#This Row],[Spot]]+Table13345[[#This Row],[step]])</f>
        <v>N/A</v>
      </c>
    </row>
    <row r="873" spans="1:68" x14ac:dyDescent="0.25">
      <c r="A873" s="14">
        <f t="shared" ca="1" si="84"/>
        <v>-126.14810350076104</v>
      </c>
      <c r="C873" s="17"/>
      <c r="D873" t="str">
        <f>RTD("tos.rtd", , "OPEN_INT", "."&amp;Table13345[[#This Row],[Ticker]]&amp;Table13345[[#This Row],[Expiry]]&amp;""&amp;"C"&amp;Table13345[[#This Row],[Spot]]+Table13345[[#This Row],[step]])</f>
        <v>N/A</v>
      </c>
      <c r="E87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3" t="b">
        <f>IF(     ISNUMBER(Table13345[[#This Row],[Strike]]),RTD("tos.rtd", , "DELTA", "."&amp;Table13345[[#This Row],[Ticker]]&amp;Table13345[[#This Row],[Expiry]]&amp;""&amp;"C"&amp;Table13345[[#This Row],[Strike]]))</f>
        <v>0</v>
      </c>
      <c r="H873" s="17" cm="1">
        <f t="array" aca="1" ref="H873" ca="1">IndividualLegIVCore($A$4, Table13345[[#This Row],[Strike]], 0.0411, Table13345[[#This Row],[T]], ((Table13345[[#This Row],[BIDC]]+Table13345[[#This Row],[ASKC]])/2), TRUE)</f>
        <v>0.01</v>
      </c>
      <c r="I873" t="b">
        <f>IF(     ISNUMBER(Table13345[[#This Row],[Strike]]),RTD("tos.rtd", , "BID", "."&amp;Table13345[[#This Row],[Ticker]]&amp;Table13345[[#This Row],[Expiry]]&amp;""&amp;"C"&amp;Table13345[[#This Row],[Strike]]))</f>
        <v>0</v>
      </c>
      <c r="J873" t="b">
        <f>IF(     ISNUMBER(Table13345[[#This Row],[Strike]]),RTD("tos.rtd", , "ASK", "."&amp;Table13345[[#This Row],[Ticker]]&amp;Table13345[[#This Row],[Expiry]]&amp;""&amp;"C"&amp;Table13345[[#This Row],[Strike]]))</f>
        <v>0</v>
      </c>
      <c r="K873" s="17"/>
      <c r="M873" s="1">
        <f t="shared" si="85"/>
        <v>0</v>
      </c>
      <c r="N873" t="b">
        <f t="shared" si="86"/>
        <v>0</v>
      </c>
      <c r="P873" s="17" cm="1">
        <f t="array" aca="1" ref="P873" ca="1">IndividualLegIVCore($A$4, Table13345[[#This Row],[Strike]], 0.0411, Table13345[[#This Row],[T]], ((Table13345[[#This Row],[BIDP]]+Table13345[[#This Row],[ASKP]])/2), FALSE)</f>
        <v>0.01</v>
      </c>
      <c r="Q873" t="b">
        <f>IF(     ISNUMBER(Table13345[[#This Row],[Strike]]),RTD("tos.rtd", , "BID", "."&amp;Table13345[[#This Row],[Ticker]]&amp;Table13345[[#This Row],[Expiry]]&amp;""&amp;"P"&amp;Table13345[[#This Row],[Strike]]))</f>
        <v>0</v>
      </c>
      <c r="R873" t="b">
        <f>IF(     ISNUMBER(Table13345[[#This Row],[Strike]]),RTD("tos.rtd", , "ASK", "."&amp;Table13345[[#This Row],[Ticker]]&amp;Table13345[[#This Row],[Expiry]]&amp;""&amp;"P"&amp;Table13345[[#This Row],[Strike]]))</f>
        <v>0</v>
      </c>
      <c r="S873" s="17"/>
      <c r="T873" t="b">
        <f>IF(     ISNUMBER(Table13345[[#This Row],[Strike]]),RTD("tos.rtd", , "OPEN_INT", "."&amp;Table13345[[#This Row],[Ticker]]&amp;Table13345[[#This Row],[Expiry]]&amp;""&amp;"P"&amp;Table13345[[#This Row],[Strike]]))</f>
        <v>0</v>
      </c>
      <c r="U87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3" t="b">
        <f>IF(     ISNUMBER(Table13345[[#This Row],[Strike]]),RTD("tos.rtd", , "DELTA", "."&amp;Table13345[[#This Row],[Ticker]]&amp;Table13345[[#This Row],[Expiry]]&amp;""&amp;"P"&amp;Table13345[[#This Row],[Strike]]))</f>
        <v>0</v>
      </c>
      <c r="Y873" s="19">
        <f>-24.5* IF($M$1="NDX", 10, IF(OR($M$1="SPX", $M$1="RUT"), 2, 1))</f>
        <v>-49</v>
      </c>
      <c r="Z873">
        <f ca="1">IFERROR(Table13345[[#This Row],[call gamma]]*(Table13345[[#This Row],[Open.Int]])*$A$4^2,0)</f>
        <v>0</v>
      </c>
      <c r="AA873">
        <f ca="1">IFERROR(((Table13345[[#This Row],[Open.Int8]])*Table13345[[#This Row],[Put gamma]])*-1*$A$4^2,0)</f>
        <v>0</v>
      </c>
      <c r="AB873">
        <f ca="1">(Table13345[[#This Row],[Call Gex]]+Table13345[[#This Row],[Put Gex]])</f>
        <v>0</v>
      </c>
      <c r="AC873">
        <f ca="1">Table13345[[#This Row],[put delta adj]]+Table13345[[#This Row],[call delta adj]]</f>
        <v>0</v>
      </c>
      <c r="AD873">
        <f ca="1">Table13345[[#This Row],[Put Gex]]*Table13345[[#This Row],[DeltaP]]*-1</f>
        <v>0</v>
      </c>
      <c r="AE873">
        <f ca="1">Table13345[[#This Row],[Call Gex]]*Table13345[[#This Row],[DeltaC]]</f>
        <v>0</v>
      </c>
      <c r="AF873">
        <f>IF(Table13345[[#This Row],[DeltaC]]-ABS(Table13345[[#This Row],[DeltaP]])="0","0.01",Table13345[[#This Row],[DeltaC]]-ABS(Table13345[[#This Row],[DeltaP]]))</f>
        <v>0</v>
      </c>
      <c r="AG87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3" t="e">
        <f ca="1">(EXP(-(AG873^2)/2)/SQRT(2*PI())*EXP(0*SQRT(Table13345[[#This Row],[T]]))/$A$4*18%*SQRT(SQRT(Table13345[[#This Row],[T]])))</f>
        <v>#DIV/0!</v>
      </c>
      <c r="AJ873" t="e">
        <f ca="1">(EXP(-(AH873^2)/2)/SQRT(2*PI())*EXP(0*SQRT(Table13345[[#This Row],[T]]))/$A$4*18%*SQRT(SQRT(Table13345[[#This Row],[T]])))</f>
        <v>#DIV/0!</v>
      </c>
      <c r="AK873" t="e">
        <f ca="1">Table13345[[#This Row],[Call D1]]-Table13345[[#This Row],[IV Calc C]]*SQRT(Table13345[[#This Row],[T]])</f>
        <v>#DIV/0!</v>
      </c>
      <c r="AL873" t="e">
        <f ca="1">Table13345[[#This Row],[Put D1]]-Table13345[[#This Row],[IV Calc P]]*SQRT(Table13345[[#This Row],[T]])</f>
        <v>#DIV/0!</v>
      </c>
      <c r="AM873" t="e">
        <f ca="1">EXP(-0.5*Table13345[[#This Row],[Call D1]]^2)/SQRT(2*PI())</f>
        <v>#DIV/0!</v>
      </c>
      <c r="AN873" t="e">
        <f ca="1">EXP(-0.5*Table13345[[#This Row],[Put D1]]^2)/SQRT(2*PI())</f>
        <v>#DIV/0!</v>
      </c>
      <c r="AO87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3">
        <f ca="1">((Table13345[[#This Row],[call vanna]]+Table13345[[#This Row],[put vanna]])*$A$4)</f>
        <v>0</v>
      </c>
      <c r="AR87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3" s="9" t="str" cm="1">
        <f t="array" ref="AT873">_xlfn.IFS(     $M$1="SPX","SPXW",     $M$1="RUT","RUTW",  $M$1="NDX","NDXP",   TRUE,$M$1 )</f>
        <v>SPXW</v>
      </c>
      <c r="AU873" s="2">
        <f t="shared" si="87"/>
        <v>6915</v>
      </c>
      <c r="AV873" t="str">
        <f t="shared" si="88"/>
        <v>000100</v>
      </c>
      <c r="AY87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3">
        <f>((Table13345[[#This Row],[High C]]+Table13345[[#This Row],[Low C]])/2)*Table13345[[#This Row],[gammac]]*Table13345[[#This Row],[Volume]]</f>
        <v>0</v>
      </c>
      <c r="BD873">
        <f>((Table13345[[#This Row],[High P]]+Table13345[[#This Row],[Low P]])/2)*Table13345[[#This Row],[gammap]]*Table13345[[#This Row],[Volume9]]*-1</f>
        <v>0</v>
      </c>
      <c r="BE873">
        <f>(Table13345[[#This Row],[SgammaC]]+Table13345[[#This Row],[SgammaP]])*$A$4*-100</f>
        <v>0</v>
      </c>
      <c r="BF873">
        <f>Table13345[[#This Row],[DEXc]]+Table13345[[#This Row],[DEXp]]</f>
        <v>0</v>
      </c>
      <c r="BG873">
        <f>IFERROR(Table13345[[#This Row],[DeltaC]]*Table13345[[#This Row],[Open.Int]]*$A$4,0)</f>
        <v>0</v>
      </c>
      <c r="BH873">
        <f>IFERROR(Table13345[[#This Row],[DeltaP]]*Table13345[[#This Row],[Open.Int8]]*$A$4,0)</f>
        <v>0</v>
      </c>
      <c r="BI87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3">
        <f ca="1">Table13345[[#This Row],[charmc]]+Table13345[[#This Row],[charmp]]</f>
        <v>0</v>
      </c>
      <c r="BL87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3" s="78">
        <f ca="1">Table13345[[#This Row],[call helper]]+Table13345[[#This Row],[put helper]]</f>
        <v>0</v>
      </c>
      <c r="BP873" t="str">
        <f>RTD("tos.rtd", , "STRIKE", "."&amp;Table13345[[#This Row],[Ticker]]&amp;Table13345[[#This Row],[Expiry]]&amp;""&amp;"C"&amp;Table13345[[#This Row],[Spot]]+Table13345[[#This Row],[step]])</f>
        <v>N/A</v>
      </c>
    </row>
    <row r="874" spans="1:68" x14ac:dyDescent="0.25">
      <c r="A874" s="14">
        <f t="shared" ca="1" si="84"/>
        <v>-126.14810350076104</v>
      </c>
      <c r="C874" s="17"/>
      <c r="D874" t="str">
        <f>RTD("tos.rtd", , "OPEN_INT", "."&amp;Table13345[[#This Row],[Ticker]]&amp;Table13345[[#This Row],[Expiry]]&amp;""&amp;"C"&amp;Table13345[[#This Row],[Spot]]+Table13345[[#This Row],[step]])</f>
        <v>N/A</v>
      </c>
      <c r="E87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4" t="b">
        <f>IF(     ISNUMBER(Table13345[[#This Row],[Strike]]),RTD("tos.rtd", , "DELTA", "."&amp;Table13345[[#This Row],[Ticker]]&amp;Table13345[[#This Row],[Expiry]]&amp;""&amp;"C"&amp;Table13345[[#This Row],[Strike]]))</f>
        <v>0</v>
      </c>
      <c r="H874" s="17" cm="1">
        <f t="array" aca="1" ref="H874" ca="1">IndividualLegIVCore($A$4, Table13345[[#This Row],[Strike]], 0.0411, Table13345[[#This Row],[T]], ((Table13345[[#This Row],[BIDC]]+Table13345[[#This Row],[ASKC]])/2), TRUE)</f>
        <v>0.01</v>
      </c>
      <c r="I874" t="b">
        <f>IF(     ISNUMBER(Table13345[[#This Row],[Strike]]),RTD("tos.rtd", , "BID", "."&amp;Table13345[[#This Row],[Ticker]]&amp;Table13345[[#This Row],[Expiry]]&amp;""&amp;"C"&amp;Table13345[[#This Row],[Strike]]))</f>
        <v>0</v>
      </c>
      <c r="J874" t="b">
        <f>IF(     ISNUMBER(Table13345[[#This Row],[Strike]]),RTD("tos.rtd", , "ASK", "."&amp;Table13345[[#This Row],[Ticker]]&amp;Table13345[[#This Row],[Expiry]]&amp;""&amp;"C"&amp;Table13345[[#This Row],[Strike]]))</f>
        <v>0</v>
      </c>
      <c r="K874" s="17"/>
      <c r="M874" s="1">
        <f t="shared" si="85"/>
        <v>0</v>
      </c>
      <c r="N874" t="b">
        <f t="shared" si="86"/>
        <v>0</v>
      </c>
      <c r="P874" s="17" cm="1">
        <f t="array" aca="1" ref="P874" ca="1">IndividualLegIVCore($A$4, Table13345[[#This Row],[Strike]], 0.0411, Table13345[[#This Row],[T]], ((Table13345[[#This Row],[BIDP]]+Table13345[[#This Row],[ASKP]])/2), FALSE)</f>
        <v>0.01</v>
      </c>
      <c r="Q874" t="b">
        <f>IF(     ISNUMBER(Table13345[[#This Row],[Strike]]),RTD("tos.rtd", , "BID", "."&amp;Table13345[[#This Row],[Ticker]]&amp;Table13345[[#This Row],[Expiry]]&amp;""&amp;"P"&amp;Table13345[[#This Row],[Strike]]))</f>
        <v>0</v>
      </c>
      <c r="R874" t="b">
        <f>IF(     ISNUMBER(Table13345[[#This Row],[Strike]]),RTD("tos.rtd", , "ASK", "."&amp;Table13345[[#This Row],[Ticker]]&amp;Table13345[[#This Row],[Expiry]]&amp;""&amp;"P"&amp;Table13345[[#This Row],[Strike]]))</f>
        <v>0</v>
      </c>
      <c r="S874" s="17"/>
      <c r="T874" t="b">
        <f>IF(     ISNUMBER(Table13345[[#This Row],[Strike]]),RTD("tos.rtd", , "OPEN_INT", "."&amp;Table13345[[#This Row],[Ticker]]&amp;Table13345[[#This Row],[Expiry]]&amp;""&amp;"P"&amp;Table13345[[#This Row],[Strike]]))</f>
        <v>0</v>
      </c>
      <c r="U87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4" t="b">
        <f>IF(     ISNUMBER(Table13345[[#This Row],[Strike]]),RTD("tos.rtd", , "DELTA", "."&amp;Table13345[[#This Row],[Ticker]]&amp;Table13345[[#This Row],[Expiry]]&amp;""&amp;"P"&amp;Table13345[[#This Row],[Strike]]))</f>
        <v>0</v>
      </c>
      <c r="Y874" s="19">
        <f>-24* IF($M$1="NDX", 10, IF(OR($M$1="SPX", $M$1="RUT"), 2, 1))</f>
        <v>-48</v>
      </c>
      <c r="Z874">
        <f ca="1">IFERROR(Table13345[[#This Row],[call gamma]]*(Table13345[[#This Row],[Open.Int]])*$A$4^2,0)</f>
        <v>0</v>
      </c>
      <c r="AA874">
        <f ca="1">IFERROR(((Table13345[[#This Row],[Open.Int8]])*Table13345[[#This Row],[Put gamma]])*-1*$A$4^2,0)</f>
        <v>0</v>
      </c>
      <c r="AB874">
        <f ca="1">(Table13345[[#This Row],[Call Gex]]+Table13345[[#This Row],[Put Gex]])</f>
        <v>0</v>
      </c>
      <c r="AC874">
        <f ca="1">Table13345[[#This Row],[put delta adj]]+Table13345[[#This Row],[call delta adj]]</f>
        <v>0</v>
      </c>
      <c r="AD874">
        <f ca="1">Table13345[[#This Row],[Put Gex]]*Table13345[[#This Row],[DeltaP]]*-1</f>
        <v>0</v>
      </c>
      <c r="AE874">
        <f ca="1">Table13345[[#This Row],[Call Gex]]*Table13345[[#This Row],[DeltaC]]</f>
        <v>0</v>
      </c>
      <c r="AF874">
        <f>IF(Table13345[[#This Row],[DeltaC]]-ABS(Table13345[[#This Row],[DeltaP]])="0","0.01",Table13345[[#This Row],[DeltaC]]-ABS(Table13345[[#This Row],[DeltaP]]))</f>
        <v>0</v>
      </c>
      <c r="AG87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4" t="e">
        <f ca="1">(EXP(-(AG874^2)/2)/SQRT(2*PI())*EXP(0*SQRT(Table13345[[#This Row],[T]]))/$A$4*18%*SQRT(SQRT(Table13345[[#This Row],[T]])))</f>
        <v>#DIV/0!</v>
      </c>
      <c r="AJ874" t="e">
        <f ca="1">(EXP(-(AH874^2)/2)/SQRT(2*PI())*EXP(0*SQRT(Table13345[[#This Row],[T]]))/$A$4*18%*SQRT(SQRT(Table13345[[#This Row],[T]])))</f>
        <v>#DIV/0!</v>
      </c>
      <c r="AK874" t="e">
        <f ca="1">Table13345[[#This Row],[Call D1]]-Table13345[[#This Row],[IV Calc C]]*SQRT(Table13345[[#This Row],[T]])</f>
        <v>#DIV/0!</v>
      </c>
      <c r="AL874" t="e">
        <f ca="1">Table13345[[#This Row],[Put D1]]-Table13345[[#This Row],[IV Calc P]]*SQRT(Table13345[[#This Row],[T]])</f>
        <v>#DIV/0!</v>
      </c>
      <c r="AM874" t="e">
        <f ca="1">EXP(-0.5*Table13345[[#This Row],[Call D1]]^2)/SQRT(2*PI())</f>
        <v>#DIV/0!</v>
      </c>
      <c r="AN874" t="e">
        <f ca="1">EXP(-0.5*Table13345[[#This Row],[Put D1]]^2)/SQRT(2*PI())</f>
        <v>#DIV/0!</v>
      </c>
      <c r="AO87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4">
        <f ca="1">((Table13345[[#This Row],[call vanna]]+Table13345[[#This Row],[put vanna]])*$A$4)</f>
        <v>0</v>
      </c>
      <c r="AR87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4" s="9" t="str" cm="1">
        <f t="array" ref="AT874">_xlfn.IFS(     $M$1="SPX","SPXW",     $M$1="RUT","RUTW",  $M$1="NDX","NDXP",   TRUE,$M$1 )</f>
        <v>SPXW</v>
      </c>
      <c r="AU874" s="2">
        <f t="shared" si="87"/>
        <v>6915</v>
      </c>
      <c r="AV874" t="str">
        <f t="shared" si="88"/>
        <v>000100</v>
      </c>
      <c r="AY87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4">
        <f>((Table13345[[#This Row],[High C]]+Table13345[[#This Row],[Low C]])/2)*Table13345[[#This Row],[gammac]]*Table13345[[#This Row],[Volume]]</f>
        <v>0</v>
      </c>
      <c r="BD874">
        <f>((Table13345[[#This Row],[High P]]+Table13345[[#This Row],[Low P]])/2)*Table13345[[#This Row],[gammap]]*Table13345[[#This Row],[Volume9]]*-1</f>
        <v>0</v>
      </c>
      <c r="BE874">
        <f>(Table13345[[#This Row],[SgammaC]]+Table13345[[#This Row],[SgammaP]])*$A$4*-100</f>
        <v>0</v>
      </c>
      <c r="BF874">
        <f>Table13345[[#This Row],[DEXc]]+Table13345[[#This Row],[DEXp]]</f>
        <v>0</v>
      </c>
      <c r="BG874">
        <f>IFERROR(Table13345[[#This Row],[DeltaC]]*Table13345[[#This Row],[Open.Int]]*$A$4,0)</f>
        <v>0</v>
      </c>
      <c r="BH874">
        <f>IFERROR(Table13345[[#This Row],[DeltaP]]*Table13345[[#This Row],[Open.Int8]]*$A$4,0)</f>
        <v>0</v>
      </c>
      <c r="BI87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4">
        <f ca="1">Table13345[[#This Row],[charmc]]+Table13345[[#This Row],[charmp]]</f>
        <v>0</v>
      </c>
      <c r="BL87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4" s="78">
        <f ca="1">Table13345[[#This Row],[call helper]]+Table13345[[#This Row],[put helper]]</f>
        <v>0</v>
      </c>
      <c r="BP874" t="str">
        <f>RTD("tos.rtd", , "STRIKE", "."&amp;Table13345[[#This Row],[Ticker]]&amp;Table13345[[#This Row],[Expiry]]&amp;""&amp;"C"&amp;Table13345[[#This Row],[Spot]]+Table13345[[#This Row],[step]])</f>
        <v>N/A</v>
      </c>
    </row>
    <row r="875" spans="1:68" x14ac:dyDescent="0.25">
      <c r="A875" s="14">
        <f t="shared" ca="1" si="84"/>
        <v>-126.14810350076104</v>
      </c>
      <c r="C875" s="17"/>
      <c r="D875" t="str">
        <f>RTD("tos.rtd", , "OPEN_INT", "."&amp;Table13345[[#This Row],[Ticker]]&amp;Table13345[[#This Row],[Expiry]]&amp;""&amp;"C"&amp;Table13345[[#This Row],[Spot]]+Table13345[[#This Row],[step]])</f>
        <v>N/A</v>
      </c>
      <c r="E87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5" t="b">
        <f>IF(     ISNUMBER(Table13345[[#This Row],[Strike]]),RTD("tos.rtd", , "DELTA", "."&amp;Table13345[[#This Row],[Ticker]]&amp;Table13345[[#This Row],[Expiry]]&amp;""&amp;"C"&amp;Table13345[[#This Row],[Strike]]))</f>
        <v>0</v>
      </c>
      <c r="H875" s="17" cm="1">
        <f t="array" aca="1" ref="H875" ca="1">IndividualLegIVCore($A$4, Table13345[[#This Row],[Strike]], 0.0411, Table13345[[#This Row],[T]], ((Table13345[[#This Row],[BIDC]]+Table13345[[#This Row],[ASKC]])/2), TRUE)</f>
        <v>0.01</v>
      </c>
      <c r="I875" t="b">
        <f>IF(     ISNUMBER(Table13345[[#This Row],[Strike]]),RTD("tos.rtd", , "BID", "."&amp;Table13345[[#This Row],[Ticker]]&amp;Table13345[[#This Row],[Expiry]]&amp;""&amp;"C"&amp;Table13345[[#This Row],[Strike]]))</f>
        <v>0</v>
      </c>
      <c r="J875" t="b">
        <f>IF(     ISNUMBER(Table13345[[#This Row],[Strike]]),RTD("tos.rtd", , "ASK", "."&amp;Table13345[[#This Row],[Ticker]]&amp;Table13345[[#This Row],[Expiry]]&amp;""&amp;"C"&amp;Table13345[[#This Row],[Strike]]))</f>
        <v>0</v>
      </c>
      <c r="K875" s="17"/>
      <c r="M875" s="1">
        <f t="shared" si="85"/>
        <v>0</v>
      </c>
      <c r="N875" t="b">
        <f t="shared" si="86"/>
        <v>0</v>
      </c>
      <c r="P875" s="17" cm="1">
        <f t="array" aca="1" ref="P875" ca="1">IndividualLegIVCore($A$4, Table13345[[#This Row],[Strike]], 0.0411, Table13345[[#This Row],[T]], ((Table13345[[#This Row],[BIDP]]+Table13345[[#This Row],[ASKP]])/2), FALSE)</f>
        <v>0.01</v>
      </c>
      <c r="Q875" t="b">
        <f>IF(     ISNUMBER(Table13345[[#This Row],[Strike]]),RTD("tos.rtd", , "BID", "."&amp;Table13345[[#This Row],[Ticker]]&amp;Table13345[[#This Row],[Expiry]]&amp;""&amp;"P"&amp;Table13345[[#This Row],[Strike]]))</f>
        <v>0</v>
      </c>
      <c r="R875" t="b">
        <f>IF(     ISNUMBER(Table13345[[#This Row],[Strike]]),RTD("tos.rtd", , "ASK", "."&amp;Table13345[[#This Row],[Ticker]]&amp;Table13345[[#This Row],[Expiry]]&amp;""&amp;"P"&amp;Table13345[[#This Row],[Strike]]))</f>
        <v>0</v>
      </c>
      <c r="S875" s="17"/>
      <c r="T875" t="b">
        <f>IF(     ISNUMBER(Table13345[[#This Row],[Strike]]),RTD("tos.rtd", , "OPEN_INT", "."&amp;Table13345[[#This Row],[Ticker]]&amp;Table13345[[#This Row],[Expiry]]&amp;""&amp;"P"&amp;Table13345[[#This Row],[Strike]]))</f>
        <v>0</v>
      </c>
      <c r="U87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5" t="b">
        <f>IF(     ISNUMBER(Table13345[[#This Row],[Strike]]),RTD("tos.rtd", , "DELTA", "."&amp;Table13345[[#This Row],[Ticker]]&amp;Table13345[[#This Row],[Expiry]]&amp;""&amp;"P"&amp;Table13345[[#This Row],[Strike]]))</f>
        <v>0</v>
      </c>
      <c r="Y875" s="19">
        <f>-23.5* IF($M$1="NDX", 10, IF(OR($M$1="SPX", $M$1="RUT"), 2, 1))</f>
        <v>-47</v>
      </c>
      <c r="Z875">
        <f ca="1">IFERROR(Table13345[[#This Row],[call gamma]]*(Table13345[[#This Row],[Open.Int]])*$A$4^2,0)</f>
        <v>0</v>
      </c>
      <c r="AA875">
        <f ca="1">IFERROR(((Table13345[[#This Row],[Open.Int8]])*Table13345[[#This Row],[Put gamma]])*-1*$A$4^2,0)</f>
        <v>0</v>
      </c>
      <c r="AB875">
        <f ca="1">(Table13345[[#This Row],[Call Gex]]+Table13345[[#This Row],[Put Gex]])</f>
        <v>0</v>
      </c>
      <c r="AC875">
        <f ca="1">Table13345[[#This Row],[put delta adj]]+Table13345[[#This Row],[call delta adj]]</f>
        <v>0</v>
      </c>
      <c r="AD875">
        <f ca="1">Table13345[[#This Row],[Put Gex]]*Table13345[[#This Row],[DeltaP]]*-1</f>
        <v>0</v>
      </c>
      <c r="AE875">
        <f ca="1">Table13345[[#This Row],[Call Gex]]*Table13345[[#This Row],[DeltaC]]</f>
        <v>0</v>
      </c>
      <c r="AF875">
        <f>IF(Table13345[[#This Row],[DeltaC]]-ABS(Table13345[[#This Row],[DeltaP]])="0","0.01",Table13345[[#This Row],[DeltaC]]-ABS(Table13345[[#This Row],[DeltaP]]))</f>
        <v>0</v>
      </c>
      <c r="AG87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5" t="e">
        <f ca="1">(EXP(-(AG875^2)/2)/SQRT(2*PI())*EXP(0*SQRT(Table13345[[#This Row],[T]]))/$A$4*18%*SQRT(SQRT(Table13345[[#This Row],[T]])))</f>
        <v>#DIV/0!</v>
      </c>
      <c r="AJ875" t="e">
        <f ca="1">(EXP(-(AH875^2)/2)/SQRT(2*PI())*EXP(0*SQRT(Table13345[[#This Row],[T]]))/$A$4*18%*SQRT(SQRT(Table13345[[#This Row],[T]])))</f>
        <v>#DIV/0!</v>
      </c>
      <c r="AK875" t="e">
        <f ca="1">Table13345[[#This Row],[Call D1]]-Table13345[[#This Row],[IV Calc C]]*SQRT(Table13345[[#This Row],[T]])</f>
        <v>#DIV/0!</v>
      </c>
      <c r="AL875" t="e">
        <f ca="1">Table13345[[#This Row],[Put D1]]-Table13345[[#This Row],[IV Calc P]]*SQRT(Table13345[[#This Row],[T]])</f>
        <v>#DIV/0!</v>
      </c>
      <c r="AM875" t="e">
        <f ca="1">EXP(-0.5*Table13345[[#This Row],[Call D1]]^2)/SQRT(2*PI())</f>
        <v>#DIV/0!</v>
      </c>
      <c r="AN875" t="e">
        <f ca="1">EXP(-0.5*Table13345[[#This Row],[Put D1]]^2)/SQRT(2*PI())</f>
        <v>#DIV/0!</v>
      </c>
      <c r="AO87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5">
        <f ca="1">((Table13345[[#This Row],[call vanna]]+Table13345[[#This Row],[put vanna]])*$A$4)</f>
        <v>0</v>
      </c>
      <c r="AR87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5" s="9" t="str" cm="1">
        <f t="array" ref="AT875">_xlfn.IFS(     $M$1="SPX","SPXW",     $M$1="RUT","RUTW",  $M$1="NDX","NDXP",   TRUE,$M$1 )</f>
        <v>SPXW</v>
      </c>
      <c r="AU875" s="2">
        <f t="shared" si="87"/>
        <v>6915</v>
      </c>
      <c r="AV875" t="str">
        <f t="shared" si="88"/>
        <v>000100</v>
      </c>
      <c r="AY87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5">
        <f>((Table13345[[#This Row],[High C]]+Table13345[[#This Row],[Low C]])/2)*Table13345[[#This Row],[gammac]]*Table13345[[#This Row],[Volume]]</f>
        <v>0</v>
      </c>
      <c r="BD875">
        <f>((Table13345[[#This Row],[High P]]+Table13345[[#This Row],[Low P]])/2)*Table13345[[#This Row],[gammap]]*Table13345[[#This Row],[Volume9]]*-1</f>
        <v>0</v>
      </c>
      <c r="BE875">
        <f>(Table13345[[#This Row],[SgammaC]]+Table13345[[#This Row],[SgammaP]])*$A$4*-100</f>
        <v>0</v>
      </c>
      <c r="BF875">
        <f>Table13345[[#This Row],[DEXc]]+Table13345[[#This Row],[DEXp]]</f>
        <v>0</v>
      </c>
      <c r="BG875">
        <f>IFERROR(Table13345[[#This Row],[DeltaC]]*Table13345[[#This Row],[Open.Int]]*$A$4,0)</f>
        <v>0</v>
      </c>
      <c r="BH875">
        <f>IFERROR(Table13345[[#This Row],[DeltaP]]*Table13345[[#This Row],[Open.Int8]]*$A$4,0)</f>
        <v>0</v>
      </c>
      <c r="BI87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5">
        <f ca="1">Table13345[[#This Row],[charmc]]+Table13345[[#This Row],[charmp]]</f>
        <v>0</v>
      </c>
      <c r="BL87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5" s="78">
        <f ca="1">Table13345[[#This Row],[call helper]]+Table13345[[#This Row],[put helper]]</f>
        <v>0</v>
      </c>
      <c r="BP875" t="str">
        <f>RTD("tos.rtd", , "STRIKE", "."&amp;Table13345[[#This Row],[Ticker]]&amp;Table13345[[#This Row],[Expiry]]&amp;""&amp;"C"&amp;Table13345[[#This Row],[Spot]]+Table13345[[#This Row],[step]])</f>
        <v>N/A</v>
      </c>
    </row>
    <row r="876" spans="1:68" x14ac:dyDescent="0.25">
      <c r="A876" s="14">
        <f t="shared" ca="1" si="84"/>
        <v>-126.14810350076104</v>
      </c>
      <c r="C876" s="17"/>
      <c r="D876" t="str">
        <f>RTD("tos.rtd", , "OPEN_INT", "."&amp;Table13345[[#This Row],[Ticker]]&amp;Table13345[[#This Row],[Expiry]]&amp;""&amp;"C"&amp;Table13345[[#This Row],[Spot]]+Table13345[[#This Row],[step]])</f>
        <v>N/A</v>
      </c>
      <c r="E87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6" t="b">
        <f>IF(     ISNUMBER(Table13345[[#This Row],[Strike]]),RTD("tos.rtd", , "DELTA", "."&amp;Table13345[[#This Row],[Ticker]]&amp;Table13345[[#This Row],[Expiry]]&amp;""&amp;"C"&amp;Table13345[[#This Row],[Strike]]))</f>
        <v>0</v>
      </c>
      <c r="H876" s="17" cm="1">
        <f t="array" aca="1" ref="H876" ca="1">IndividualLegIVCore($A$4, Table13345[[#This Row],[Strike]], 0.0411, Table13345[[#This Row],[T]], ((Table13345[[#This Row],[BIDC]]+Table13345[[#This Row],[ASKC]])/2), TRUE)</f>
        <v>0.01</v>
      </c>
      <c r="I876" t="b">
        <f>IF(     ISNUMBER(Table13345[[#This Row],[Strike]]),RTD("tos.rtd", , "BID", "."&amp;Table13345[[#This Row],[Ticker]]&amp;Table13345[[#This Row],[Expiry]]&amp;""&amp;"C"&amp;Table13345[[#This Row],[Strike]]))</f>
        <v>0</v>
      </c>
      <c r="J876" t="b">
        <f>IF(     ISNUMBER(Table13345[[#This Row],[Strike]]),RTD("tos.rtd", , "ASK", "."&amp;Table13345[[#This Row],[Ticker]]&amp;Table13345[[#This Row],[Expiry]]&amp;""&amp;"C"&amp;Table13345[[#This Row],[Strike]]))</f>
        <v>0</v>
      </c>
      <c r="K876" s="17"/>
      <c r="M876" s="1">
        <f t="shared" si="85"/>
        <v>0</v>
      </c>
      <c r="N876" t="b">
        <f t="shared" si="86"/>
        <v>0</v>
      </c>
      <c r="P876" s="17" cm="1">
        <f t="array" aca="1" ref="P876" ca="1">IndividualLegIVCore($A$4, Table13345[[#This Row],[Strike]], 0.0411, Table13345[[#This Row],[T]], ((Table13345[[#This Row],[BIDP]]+Table13345[[#This Row],[ASKP]])/2), FALSE)</f>
        <v>0.01</v>
      </c>
      <c r="Q876" t="b">
        <f>IF(     ISNUMBER(Table13345[[#This Row],[Strike]]),RTD("tos.rtd", , "BID", "."&amp;Table13345[[#This Row],[Ticker]]&amp;Table13345[[#This Row],[Expiry]]&amp;""&amp;"P"&amp;Table13345[[#This Row],[Strike]]))</f>
        <v>0</v>
      </c>
      <c r="R876" t="b">
        <f>IF(     ISNUMBER(Table13345[[#This Row],[Strike]]),RTD("tos.rtd", , "ASK", "."&amp;Table13345[[#This Row],[Ticker]]&amp;Table13345[[#This Row],[Expiry]]&amp;""&amp;"P"&amp;Table13345[[#This Row],[Strike]]))</f>
        <v>0</v>
      </c>
      <c r="S876" s="17"/>
      <c r="T876" t="b">
        <f>IF(     ISNUMBER(Table13345[[#This Row],[Strike]]),RTD("tos.rtd", , "OPEN_INT", "."&amp;Table13345[[#This Row],[Ticker]]&amp;Table13345[[#This Row],[Expiry]]&amp;""&amp;"P"&amp;Table13345[[#This Row],[Strike]]))</f>
        <v>0</v>
      </c>
      <c r="U87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6" t="b">
        <f>IF(     ISNUMBER(Table13345[[#This Row],[Strike]]),RTD("tos.rtd", , "DELTA", "."&amp;Table13345[[#This Row],[Ticker]]&amp;Table13345[[#This Row],[Expiry]]&amp;""&amp;"P"&amp;Table13345[[#This Row],[Strike]]))</f>
        <v>0</v>
      </c>
      <c r="Y876" s="19">
        <f>-23* IF($M$1="NDX", 10, IF(OR($M$1="SPX", $M$1="RUT"), 2, 1))</f>
        <v>-46</v>
      </c>
      <c r="Z876">
        <f ca="1">IFERROR(Table13345[[#This Row],[call gamma]]*(Table13345[[#This Row],[Open.Int]])*$A$4^2,0)</f>
        <v>0</v>
      </c>
      <c r="AA876">
        <f ca="1">IFERROR(((Table13345[[#This Row],[Open.Int8]])*Table13345[[#This Row],[Put gamma]])*-1*$A$4^2,0)</f>
        <v>0</v>
      </c>
      <c r="AB876">
        <f ca="1">(Table13345[[#This Row],[Call Gex]]+Table13345[[#This Row],[Put Gex]])</f>
        <v>0</v>
      </c>
      <c r="AC876">
        <f ca="1">Table13345[[#This Row],[put delta adj]]+Table13345[[#This Row],[call delta adj]]</f>
        <v>0</v>
      </c>
      <c r="AD876">
        <f ca="1">Table13345[[#This Row],[Put Gex]]*Table13345[[#This Row],[DeltaP]]*-1</f>
        <v>0</v>
      </c>
      <c r="AE876">
        <f ca="1">Table13345[[#This Row],[Call Gex]]*Table13345[[#This Row],[DeltaC]]</f>
        <v>0</v>
      </c>
      <c r="AF876">
        <f>IF(Table13345[[#This Row],[DeltaC]]-ABS(Table13345[[#This Row],[DeltaP]])="0","0.01",Table13345[[#This Row],[DeltaC]]-ABS(Table13345[[#This Row],[DeltaP]]))</f>
        <v>0</v>
      </c>
      <c r="AG87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6" t="e">
        <f ca="1">(EXP(-(AG876^2)/2)/SQRT(2*PI())*EXP(0*SQRT(Table13345[[#This Row],[T]]))/$A$4*18%*SQRT(SQRT(Table13345[[#This Row],[T]])))</f>
        <v>#DIV/0!</v>
      </c>
      <c r="AJ876" t="e">
        <f ca="1">(EXP(-(AH876^2)/2)/SQRT(2*PI())*EXP(0*SQRT(Table13345[[#This Row],[T]]))/$A$4*18%*SQRT(SQRT(Table13345[[#This Row],[T]])))</f>
        <v>#DIV/0!</v>
      </c>
      <c r="AK876" t="e">
        <f ca="1">Table13345[[#This Row],[Call D1]]-Table13345[[#This Row],[IV Calc C]]*SQRT(Table13345[[#This Row],[T]])</f>
        <v>#DIV/0!</v>
      </c>
      <c r="AL876" t="e">
        <f ca="1">Table13345[[#This Row],[Put D1]]-Table13345[[#This Row],[IV Calc P]]*SQRT(Table13345[[#This Row],[T]])</f>
        <v>#DIV/0!</v>
      </c>
      <c r="AM876" t="e">
        <f ca="1">EXP(-0.5*Table13345[[#This Row],[Call D1]]^2)/SQRT(2*PI())</f>
        <v>#DIV/0!</v>
      </c>
      <c r="AN876" t="e">
        <f ca="1">EXP(-0.5*Table13345[[#This Row],[Put D1]]^2)/SQRT(2*PI())</f>
        <v>#DIV/0!</v>
      </c>
      <c r="AO87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6">
        <f ca="1">((Table13345[[#This Row],[call vanna]]+Table13345[[#This Row],[put vanna]])*$A$4)</f>
        <v>0</v>
      </c>
      <c r="AR87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6" s="9" t="str" cm="1">
        <f t="array" ref="AT876">_xlfn.IFS(     $M$1="SPX","SPXW",     $M$1="RUT","RUTW",  $M$1="NDX","NDXP",   TRUE,$M$1 )</f>
        <v>SPXW</v>
      </c>
      <c r="AU876" s="2">
        <f t="shared" si="87"/>
        <v>6915</v>
      </c>
      <c r="AV876" t="str">
        <f t="shared" si="88"/>
        <v>000100</v>
      </c>
      <c r="AY87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6">
        <f>((Table13345[[#This Row],[High C]]+Table13345[[#This Row],[Low C]])/2)*Table13345[[#This Row],[gammac]]*Table13345[[#This Row],[Volume]]</f>
        <v>0</v>
      </c>
      <c r="BD876">
        <f>((Table13345[[#This Row],[High P]]+Table13345[[#This Row],[Low P]])/2)*Table13345[[#This Row],[gammap]]*Table13345[[#This Row],[Volume9]]*-1</f>
        <v>0</v>
      </c>
      <c r="BE876">
        <f>(Table13345[[#This Row],[SgammaC]]+Table13345[[#This Row],[SgammaP]])*$A$4*-100</f>
        <v>0</v>
      </c>
      <c r="BF876">
        <f>Table13345[[#This Row],[DEXc]]+Table13345[[#This Row],[DEXp]]</f>
        <v>0</v>
      </c>
      <c r="BG876">
        <f>IFERROR(Table13345[[#This Row],[DeltaC]]*Table13345[[#This Row],[Open.Int]]*$A$4,0)</f>
        <v>0</v>
      </c>
      <c r="BH876">
        <f>IFERROR(Table13345[[#This Row],[DeltaP]]*Table13345[[#This Row],[Open.Int8]]*$A$4,0)</f>
        <v>0</v>
      </c>
      <c r="BI87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6">
        <f ca="1">Table13345[[#This Row],[charmc]]+Table13345[[#This Row],[charmp]]</f>
        <v>0</v>
      </c>
      <c r="BL87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6" s="78">
        <f ca="1">Table13345[[#This Row],[call helper]]+Table13345[[#This Row],[put helper]]</f>
        <v>0</v>
      </c>
      <c r="BP876" t="str">
        <f>RTD("tos.rtd", , "STRIKE", "."&amp;Table13345[[#This Row],[Ticker]]&amp;Table13345[[#This Row],[Expiry]]&amp;""&amp;"C"&amp;Table13345[[#This Row],[Spot]]+Table13345[[#This Row],[step]])</f>
        <v>N/A</v>
      </c>
    </row>
    <row r="877" spans="1:68" x14ac:dyDescent="0.25">
      <c r="A877" s="14">
        <f t="shared" ca="1" si="84"/>
        <v>-126.14810350076104</v>
      </c>
      <c r="C877" s="17"/>
      <c r="D877" t="str">
        <f>RTD("tos.rtd", , "OPEN_INT", "."&amp;Table13345[[#This Row],[Ticker]]&amp;Table13345[[#This Row],[Expiry]]&amp;""&amp;"C"&amp;Table13345[[#This Row],[Spot]]+Table13345[[#This Row],[step]])</f>
        <v>N/A</v>
      </c>
      <c r="E87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7" t="b">
        <f>IF(     ISNUMBER(Table13345[[#This Row],[Strike]]),RTD("tos.rtd", , "DELTA", "."&amp;Table13345[[#This Row],[Ticker]]&amp;Table13345[[#This Row],[Expiry]]&amp;""&amp;"C"&amp;Table13345[[#This Row],[Strike]]))</f>
        <v>0</v>
      </c>
      <c r="H877" s="17" cm="1">
        <f t="array" aca="1" ref="H877" ca="1">IndividualLegIVCore($A$4, Table13345[[#This Row],[Strike]], 0.0411, Table13345[[#This Row],[T]], ((Table13345[[#This Row],[BIDC]]+Table13345[[#This Row],[ASKC]])/2), TRUE)</f>
        <v>0.01</v>
      </c>
      <c r="I877" t="b">
        <f>IF(     ISNUMBER(Table13345[[#This Row],[Strike]]),RTD("tos.rtd", , "BID", "."&amp;Table13345[[#This Row],[Ticker]]&amp;Table13345[[#This Row],[Expiry]]&amp;""&amp;"C"&amp;Table13345[[#This Row],[Strike]]))</f>
        <v>0</v>
      </c>
      <c r="J877" t="b">
        <f>IF(     ISNUMBER(Table13345[[#This Row],[Strike]]),RTD("tos.rtd", , "ASK", "."&amp;Table13345[[#This Row],[Ticker]]&amp;Table13345[[#This Row],[Expiry]]&amp;""&amp;"C"&amp;Table13345[[#This Row],[Strike]]))</f>
        <v>0</v>
      </c>
      <c r="K877" s="17"/>
      <c r="M877" s="1">
        <f t="shared" si="85"/>
        <v>0</v>
      </c>
      <c r="N877" t="b">
        <f t="shared" si="86"/>
        <v>0</v>
      </c>
      <c r="P877" s="17" cm="1">
        <f t="array" aca="1" ref="P877" ca="1">IndividualLegIVCore($A$4, Table13345[[#This Row],[Strike]], 0.0411, Table13345[[#This Row],[T]], ((Table13345[[#This Row],[BIDP]]+Table13345[[#This Row],[ASKP]])/2), FALSE)</f>
        <v>0.01</v>
      </c>
      <c r="Q877" t="b">
        <f>IF(     ISNUMBER(Table13345[[#This Row],[Strike]]),RTD("tos.rtd", , "BID", "."&amp;Table13345[[#This Row],[Ticker]]&amp;Table13345[[#This Row],[Expiry]]&amp;""&amp;"P"&amp;Table13345[[#This Row],[Strike]]))</f>
        <v>0</v>
      </c>
      <c r="R877" t="b">
        <f>IF(     ISNUMBER(Table13345[[#This Row],[Strike]]),RTD("tos.rtd", , "ASK", "."&amp;Table13345[[#This Row],[Ticker]]&amp;Table13345[[#This Row],[Expiry]]&amp;""&amp;"P"&amp;Table13345[[#This Row],[Strike]]))</f>
        <v>0</v>
      </c>
      <c r="S877" s="17"/>
      <c r="T877" t="b">
        <f>IF(     ISNUMBER(Table13345[[#This Row],[Strike]]),RTD("tos.rtd", , "OPEN_INT", "."&amp;Table13345[[#This Row],[Ticker]]&amp;Table13345[[#This Row],[Expiry]]&amp;""&amp;"P"&amp;Table13345[[#This Row],[Strike]]))</f>
        <v>0</v>
      </c>
      <c r="U87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7" t="b">
        <f>IF(     ISNUMBER(Table13345[[#This Row],[Strike]]),RTD("tos.rtd", , "DELTA", "."&amp;Table13345[[#This Row],[Ticker]]&amp;Table13345[[#This Row],[Expiry]]&amp;""&amp;"P"&amp;Table13345[[#This Row],[Strike]]))</f>
        <v>0</v>
      </c>
      <c r="Y877" s="19">
        <f>-22.5* IF($M$1="NDX", 10, IF(OR($M$1="SPX", $M$1="RUT"), 2, 1))</f>
        <v>-45</v>
      </c>
      <c r="Z877">
        <f ca="1">IFERROR(Table13345[[#This Row],[call gamma]]*(Table13345[[#This Row],[Open.Int]])*$A$4^2,0)</f>
        <v>0</v>
      </c>
      <c r="AA877">
        <f ca="1">IFERROR(((Table13345[[#This Row],[Open.Int8]])*Table13345[[#This Row],[Put gamma]])*-1*$A$4^2,0)</f>
        <v>0</v>
      </c>
      <c r="AB877">
        <f ca="1">(Table13345[[#This Row],[Call Gex]]+Table13345[[#This Row],[Put Gex]])</f>
        <v>0</v>
      </c>
      <c r="AC877">
        <f ca="1">Table13345[[#This Row],[put delta adj]]+Table13345[[#This Row],[call delta adj]]</f>
        <v>0</v>
      </c>
      <c r="AD877">
        <f ca="1">Table13345[[#This Row],[Put Gex]]*Table13345[[#This Row],[DeltaP]]*-1</f>
        <v>0</v>
      </c>
      <c r="AE877">
        <f ca="1">Table13345[[#This Row],[Call Gex]]*Table13345[[#This Row],[DeltaC]]</f>
        <v>0</v>
      </c>
      <c r="AF877">
        <f>IF(Table13345[[#This Row],[DeltaC]]-ABS(Table13345[[#This Row],[DeltaP]])="0","0.01",Table13345[[#This Row],[DeltaC]]-ABS(Table13345[[#This Row],[DeltaP]]))</f>
        <v>0</v>
      </c>
      <c r="AG87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7" t="e">
        <f ca="1">(EXP(-(AG877^2)/2)/SQRT(2*PI())*EXP(0*SQRT(Table13345[[#This Row],[T]]))/$A$4*18%*SQRT(SQRT(Table13345[[#This Row],[T]])))</f>
        <v>#DIV/0!</v>
      </c>
      <c r="AJ877" t="e">
        <f ca="1">(EXP(-(AH877^2)/2)/SQRT(2*PI())*EXP(0*SQRT(Table13345[[#This Row],[T]]))/$A$4*18%*SQRT(SQRT(Table13345[[#This Row],[T]])))</f>
        <v>#DIV/0!</v>
      </c>
      <c r="AK877" t="e">
        <f ca="1">Table13345[[#This Row],[Call D1]]-Table13345[[#This Row],[IV Calc C]]*SQRT(Table13345[[#This Row],[T]])</f>
        <v>#DIV/0!</v>
      </c>
      <c r="AL877" t="e">
        <f ca="1">Table13345[[#This Row],[Put D1]]-Table13345[[#This Row],[IV Calc P]]*SQRT(Table13345[[#This Row],[T]])</f>
        <v>#DIV/0!</v>
      </c>
      <c r="AM877" t="e">
        <f ca="1">EXP(-0.5*Table13345[[#This Row],[Call D1]]^2)/SQRT(2*PI())</f>
        <v>#DIV/0!</v>
      </c>
      <c r="AN877" t="e">
        <f ca="1">EXP(-0.5*Table13345[[#This Row],[Put D1]]^2)/SQRT(2*PI())</f>
        <v>#DIV/0!</v>
      </c>
      <c r="AO87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7">
        <f ca="1">((Table13345[[#This Row],[call vanna]]+Table13345[[#This Row],[put vanna]])*$A$4)</f>
        <v>0</v>
      </c>
      <c r="AR87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7" s="9" t="str" cm="1">
        <f t="array" ref="AT877">_xlfn.IFS(     $M$1="SPX","SPXW",     $M$1="RUT","RUTW",  $M$1="NDX","NDXP",   TRUE,$M$1 )</f>
        <v>SPXW</v>
      </c>
      <c r="AU877" s="2">
        <f t="shared" si="87"/>
        <v>6915</v>
      </c>
      <c r="AV877" t="str">
        <f t="shared" si="88"/>
        <v>000100</v>
      </c>
      <c r="AY87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7">
        <f>((Table13345[[#This Row],[High C]]+Table13345[[#This Row],[Low C]])/2)*Table13345[[#This Row],[gammac]]*Table13345[[#This Row],[Volume]]</f>
        <v>0</v>
      </c>
      <c r="BD877">
        <f>((Table13345[[#This Row],[High P]]+Table13345[[#This Row],[Low P]])/2)*Table13345[[#This Row],[gammap]]*Table13345[[#This Row],[Volume9]]*-1</f>
        <v>0</v>
      </c>
      <c r="BE877">
        <f>(Table13345[[#This Row],[SgammaC]]+Table13345[[#This Row],[SgammaP]])*$A$4*-100</f>
        <v>0</v>
      </c>
      <c r="BF877">
        <f>Table13345[[#This Row],[DEXc]]+Table13345[[#This Row],[DEXp]]</f>
        <v>0</v>
      </c>
      <c r="BG877">
        <f>IFERROR(Table13345[[#This Row],[DeltaC]]*Table13345[[#This Row],[Open.Int]]*$A$4,0)</f>
        <v>0</v>
      </c>
      <c r="BH877">
        <f>IFERROR(Table13345[[#This Row],[DeltaP]]*Table13345[[#This Row],[Open.Int8]]*$A$4,0)</f>
        <v>0</v>
      </c>
      <c r="BI87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7">
        <f ca="1">Table13345[[#This Row],[charmc]]+Table13345[[#This Row],[charmp]]</f>
        <v>0</v>
      </c>
      <c r="BL87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7" s="78">
        <f ca="1">Table13345[[#This Row],[call helper]]+Table13345[[#This Row],[put helper]]</f>
        <v>0</v>
      </c>
      <c r="BP877" t="str">
        <f>RTD("tos.rtd", , "STRIKE", "."&amp;Table13345[[#This Row],[Ticker]]&amp;Table13345[[#This Row],[Expiry]]&amp;""&amp;"C"&amp;Table13345[[#This Row],[Spot]]+Table13345[[#This Row],[step]])</f>
        <v>N/A</v>
      </c>
    </row>
    <row r="878" spans="1:68" x14ac:dyDescent="0.25">
      <c r="A878" s="14">
        <f t="shared" ca="1" si="84"/>
        <v>-126.14810350076104</v>
      </c>
      <c r="C878" s="17"/>
      <c r="D878" t="str">
        <f>RTD("tos.rtd", , "OPEN_INT", "."&amp;Table13345[[#This Row],[Ticker]]&amp;Table13345[[#This Row],[Expiry]]&amp;""&amp;"C"&amp;Table13345[[#This Row],[Spot]]+Table13345[[#This Row],[step]])</f>
        <v>N/A</v>
      </c>
      <c r="E87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8" t="b">
        <f>IF(     ISNUMBER(Table13345[[#This Row],[Strike]]),RTD("tos.rtd", , "DELTA", "."&amp;Table13345[[#This Row],[Ticker]]&amp;Table13345[[#This Row],[Expiry]]&amp;""&amp;"C"&amp;Table13345[[#This Row],[Strike]]))</f>
        <v>0</v>
      </c>
      <c r="H878" s="17" cm="1">
        <f t="array" aca="1" ref="H878" ca="1">IndividualLegIVCore($A$4, Table13345[[#This Row],[Strike]], 0.0411, Table13345[[#This Row],[T]], ((Table13345[[#This Row],[BIDC]]+Table13345[[#This Row],[ASKC]])/2), TRUE)</f>
        <v>0.01</v>
      </c>
      <c r="I878" t="b">
        <f>IF(     ISNUMBER(Table13345[[#This Row],[Strike]]),RTD("tos.rtd", , "BID", "."&amp;Table13345[[#This Row],[Ticker]]&amp;Table13345[[#This Row],[Expiry]]&amp;""&amp;"C"&amp;Table13345[[#This Row],[Strike]]))</f>
        <v>0</v>
      </c>
      <c r="J878" t="b">
        <f>IF(     ISNUMBER(Table13345[[#This Row],[Strike]]),RTD("tos.rtd", , "ASK", "."&amp;Table13345[[#This Row],[Ticker]]&amp;Table13345[[#This Row],[Expiry]]&amp;""&amp;"C"&amp;Table13345[[#This Row],[Strike]]))</f>
        <v>0</v>
      </c>
      <c r="K878" s="17"/>
      <c r="M878" s="1">
        <f t="shared" si="85"/>
        <v>0</v>
      </c>
      <c r="N878" t="b">
        <f t="shared" si="86"/>
        <v>0</v>
      </c>
      <c r="P878" s="17" cm="1">
        <f t="array" aca="1" ref="P878" ca="1">IndividualLegIVCore($A$4, Table13345[[#This Row],[Strike]], 0.0411, Table13345[[#This Row],[T]], ((Table13345[[#This Row],[BIDP]]+Table13345[[#This Row],[ASKP]])/2), FALSE)</f>
        <v>0.01</v>
      </c>
      <c r="Q878" t="b">
        <f>IF(     ISNUMBER(Table13345[[#This Row],[Strike]]),RTD("tos.rtd", , "BID", "."&amp;Table13345[[#This Row],[Ticker]]&amp;Table13345[[#This Row],[Expiry]]&amp;""&amp;"P"&amp;Table13345[[#This Row],[Strike]]))</f>
        <v>0</v>
      </c>
      <c r="R878" t="b">
        <f>IF(     ISNUMBER(Table13345[[#This Row],[Strike]]),RTD("tos.rtd", , "ASK", "."&amp;Table13345[[#This Row],[Ticker]]&amp;Table13345[[#This Row],[Expiry]]&amp;""&amp;"P"&amp;Table13345[[#This Row],[Strike]]))</f>
        <v>0</v>
      </c>
      <c r="S878" s="17"/>
      <c r="T878" t="b">
        <f>IF(     ISNUMBER(Table13345[[#This Row],[Strike]]),RTD("tos.rtd", , "OPEN_INT", "."&amp;Table13345[[#This Row],[Ticker]]&amp;Table13345[[#This Row],[Expiry]]&amp;""&amp;"P"&amp;Table13345[[#This Row],[Strike]]))</f>
        <v>0</v>
      </c>
      <c r="U87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8" t="b">
        <f>IF(     ISNUMBER(Table13345[[#This Row],[Strike]]),RTD("tos.rtd", , "DELTA", "."&amp;Table13345[[#This Row],[Ticker]]&amp;Table13345[[#This Row],[Expiry]]&amp;""&amp;"P"&amp;Table13345[[#This Row],[Strike]]))</f>
        <v>0</v>
      </c>
      <c r="Y878" s="19">
        <f>-22* IF($M$1="NDX", 10, IF(OR($M$1="SPX", $M$1="RUT"), 2, 1))</f>
        <v>-44</v>
      </c>
      <c r="Z878">
        <f ca="1">IFERROR(Table13345[[#This Row],[call gamma]]*(Table13345[[#This Row],[Open.Int]])*$A$4^2,0)</f>
        <v>0</v>
      </c>
      <c r="AA878">
        <f ca="1">IFERROR(((Table13345[[#This Row],[Open.Int8]])*Table13345[[#This Row],[Put gamma]])*-1*$A$4^2,0)</f>
        <v>0</v>
      </c>
      <c r="AB878">
        <f ca="1">(Table13345[[#This Row],[Call Gex]]+Table13345[[#This Row],[Put Gex]])</f>
        <v>0</v>
      </c>
      <c r="AC878">
        <f ca="1">Table13345[[#This Row],[put delta adj]]+Table13345[[#This Row],[call delta adj]]</f>
        <v>0</v>
      </c>
      <c r="AD878">
        <f ca="1">Table13345[[#This Row],[Put Gex]]*Table13345[[#This Row],[DeltaP]]*-1</f>
        <v>0</v>
      </c>
      <c r="AE878">
        <f ca="1">Table13345[[#This Row],[Call Gex]]*Table13345[[#This Row],[DeltaC]]</f>
        <v>0</v>
      </c>
      <c r="AF878">
        <f>IF(Table13345[[#This Row],[DeltaC]]-ABS(Table13345[[#This Row],[DeltaP]])="0","0.01",Table13345[[#This Row],[DeltaC]]-ABS(Table13345[[#This Row],[DeltaP]]))</f>
        <v>0</v>
      </c>
      <c r="AG87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8" t="e">
        <f ca="1">(EXP(-(AG878^2)/2)/SQRT(2*PI())*EXP(0*SQRT(Table13345[[#This Row],[T]]))/$A$4*18%*SQRT(SQRT(Table13345[[#This Row],[T]])))</f>
        <v>#DIV/0!</v>
      </c>
      <c r="AJ878" t="e">
        <f ca="1">(EXP(-(AH878^2)/2)/SQRT(2*PI())*EXP(0*SQRT(Table13345[[#This Row],[T]]))/$A$4*18%*SQRT(SQRT(Table13345[[#This Row],[T]])))</f>
        <v>#DIV/0!</v>
      </c>
      <c r="AK878" t="e">
        <f ca="1">Table13345[[#This Row],[Call D1]]-Table13345[[#This Row],[IV Calc C]]*SQRT(Table13345[[#This Row],[T]])</f>
        <v>#DIV/0!</v>
      </c>
      <c r="AL878" t="e">
        <f ca="1">Table13345[[#This Row],[Put D1]]-Table13345[[#This Row],[IV Calc P]]*SQRT(Table13345[[#This Row],[T]])</f>
        <v>#DIV/0!</v>
      </c>
      <c r="AM878" t="e">
        <f ca="1">EXP(-0.5*Table13345[[#This Row],[Call D1]]^2)/SQRT(2*PI())</f>
        <v>#DIV/0!</v>
      </c>
      <c r="AN878" t="e">
        <f ca="1">EXP(-0.5*Table13345[[#This Row],[Put D1]]^2)/SQRT(2*PI())</f>
        <v>#DIV/0!</v>
      </c>
      <c r="AO87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8">
        <f ca="1">((Table13345[[#This Row],[call vanna]]+Table13345[[#This Row],[put vanna]])*$A$4)</f>
        <v>0</v>
      </c>
      <c r="AR87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8" s="9" t="str" cm="1">
        <f t="array" ref="AT878">_xlfn.IFS(     $M$1="SPX","SPXW",     $M$1="RUT","RUTW",  $M$1="NDX","NDXP",   TRUE,$M$1 )</f>
        <v>SPXW</v>
      </c>
      <c r="AU878" s="2">
        <f t="shared" si="87"/>
        <v>6915</v>
      </c>
      <c r="AV878" t="str">
        <f t="shared" si="88"/>
        <v>000100</v>
      </c>
      <c r="AY87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8">
        <f>((Table13345[[#This Row],[High C]]+Table13345[[#This Row],[Low C]])/2)*Table13345[[#This Row],[gammac]]*Table13345[[#This Row],[Volume]]</f>
        <v>0</v>
      </c>
      <c r="BD878">
        <f>((Table13345[[#This Row],[High P]]+Table13345[[#This Row],[Low P]])/2)*Table13345[[#This Row],[gammap]]*Table13345[[#This Row],[Volume9]]*-1</f>
        <v>0</v>
      </c>
      <c r="BE878">
        <f>(Table13345[[#This Row],[SgammaC]]+Table13345[[#This Row],[SgammaP]])*$A$4*-100</f>
        <v>0</v>
      </c>
      <c r="BF878">
        <f>Table13345[[#This Row],[DEXc]]+Table13345[[#This Row],[DEXp]]</f>
        <v>0</v>
      </c>
      <c r="BG878">
        <f>IFERROR(Table13345[[#This Row],[DeltaC]]*Table13345[[#This Row],[Open.Int]]*$A$4,0)</f>
        <v>0</v>
      </c>
      <c r="BH878">
        <f>IFERROR(Table13345[[#This Row],[DeltaP]]*Table13345[[#This Row],[Open.Int8]]*$A$4,0)</f>
        <v>0</v>
      </c>
      <c r="BI87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8">
        <f ca="1">Table13345[[#This Row],[charmc]]+Table13345[[#This Row],[charmp]]</f>
        <v>0</v>
      </c>
      <c r="BL87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8" s="78">
        <f ca="1">Table13345[[#This Row],[call helper]]+Table13345[[#This Row],[put helper]]</f>
        <v>0</v>
      </c>
      <c r="BP878" t="str">
        <f>RTD("tos.rtd", , "STRIKE", "."&amp;Table13345[[#This Row],[Ticker]]&amp;Table13345[[#This Row],[Expiry]]&amp;""&amp;"C"&amp;Table13345[[#This Row],[Spot]]+Table13345[[#This Row],[step]])</f>
        <v>N/A</v>
      </c>
    </row>
    <row r="879" spans="1:68" x14ac:dyDescent="0.25">
      <c r="A879" s="14">
        <f t="shared" ca="1" si="84"/>
        <v>-126.14810350076104</v>
      </c>
      <c r="C879" s="17"/>
      <c r="D879" t="str">
        <f>RTD("tos.rtd", , "OPEN_INT", "."&amp;Table13345[[#This Row],[Ticker]]&amp;Table13345[[#This Row],[Expiry]]&amp;""&amp;"C"&amp;Table13345[[#This Row],[Spot]]+Table13345[[#This Row],[step]])</f>
        <v>N/A</v>
      </c>
      <c r="E87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9" t="b">
        <f>IF(     ISNUMBER(Table13345[[#This Row],[Strike]]),RTD("tos.rtd", , "DELTA", "."&amp;Table13345[[#This Row],[Ticker]]&amp;Table13345[[#This Row],[Expiry]]&amp;""&amp;"C"&amp;Table13345[[#This Row],[Strike]]))</f>
        <v>0</v>
      </c>
      <c r="H879" s="17" cm="1">
        <f t="array" aca="1" ref="H879" ca="1">IndividualLegIVCore($A$4, Table13345[[#This Row],[Strike]], 0.0411, Table13345[[#This Row],[T]], ((Table13345[[#This Row],[BIDC]]+Table13345[[#This Row],[ASKC]])/2), TRUE)</f>
        <v>0.01</v>
      </c>
      <c r="I879" t="b">
        <f>IF(     ISNUMBER(Table13345[[#This Row],[Strike]]),RTD("tos.rtd", , "BID", "."&amp;Table13345[[#This Row],[Ticker]]&amp;Table13345[[#This Row],[Expiry]]&amp;""&amp;"C"&amp;Table13345[[#This Row],[Strike]]))</f>
        <v>0</v>
      </c>
      <c r="J879" t="b">
        <f>IF(     ISNUMBER(Table13345[[#This Row],[Strike]]),RTD("tos.rtd", , "ASK", "."&amp;Table13345[[#This Row],[Ticker]]&amp;Table13345[[#This Row],[Expiry]]&amp;""&amp;"C"&amp;Table13345[[#This Row],[Strike]]))</f>
        <v>0</v>
      </c>
      <c r="K879" s="17"/>
      <c r="M879" s="1">
        <f t="shared" si="85"/>
        <v>0</v>
      </c>
      <c r="N879" t="b">
        <f t="shared" si="86"/>
        <v>0</v>
      </c>
      <c r="P879" s="17" cm="1">
        <f t="array" aca="1" ref="P879" ca="1">IndividualLegIVCore($A$4, Table13345[[#This Row],[Strike]], 0.0411, Table13345[[#This Row],[T]], ((Table13345[[#This Row],[BIDP]]+Table13345[[#This Row],[ASKP]])/2), FALSE)</f>
        <v>0.01</v>
      </c>
      <c r="Q879" t="b">
        <f>IF(     ISNUMBER(Table13345[[#This Row],[Strike]]),RTD("tos.rtd", , "BID", "."&amp;Table13345[[#This Row],[Ticker]]&amp;Table13345[[#This Row],[Expiry]]&amp;""&amp;"P"&amp;Table13345[[#This Row],[Strike]]))</f>
        <v>0</v>
      </c>
      <c r="R879" t="b">
        <f>IF(     ISNUMBER(Table13345[[#This Row],[Strike]]),RTD("tos.rtd", , "ASK", "."&amp;Table13345[[#This Row],[Ticker]]&amp;Table13345[[#This Row],[Expiry]]&amp;""&amp;"P"&amp;Table13345[[#This Row],[Strike]]))</f>
        <v>0</v>
      </c>
      <c r="S879" s="17"/>
      <c r="T879" t="b">
        <f>IF(     ISNUMBER(Table13345[[#This Row],[Strike]]),RTD("tos.rtd", , "OPEN_INT", "."&amp;Table13345[[#This Row],[Ticker]]&amp;Table13345[[#This Row],[Expiry]]&amp;""&amp;"P"&amp;Table13345[[#This Row],[Strike]]))</f>
        <v>0</v>
      </c>
      <c r="U87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9" t="b">
        <f>IF(     ISNUMBER(Table13345[[#This Row],[Strike]]),RTD("tos.rtd", , "DELTA", "."&amp;Table13345[[#This Row],[Ticker]]&amp;Table13345[[#This Row],[Expiry]]&amp;""&amp;"P"&amp;Table13345[[#This Row],[Strike]]))</f>
        <v>0</v>
      </c>
      <c r="Y879" s="19">
        <f>-21.5* IF($M$1="NDX", 10, IF(OR($M$1="SPX", $M$1="RUT"), 2, 1))</f>
        <v>-43</v>
      </c>
      <c r="Z879">
        <f ca="1">IFERROR(Table13345[[#This Row],[call gamma]]*(Table13345[[#This Row],[Open.Int]])*$A$4^2,0)</f>
        <v>0</v>
      </c>
      <c r="AA879">
        <f ca="1">IFERROR(((Table13345[[#This Row],[Open.Int8]])*Table13345[[#This Row],[Put gamma]])*-1*$A$4^2,0)</f>
        <v>0</v>
      </c>
      <c r="AB879">
        <f ca="1">(Table13345[[#This Row],[Call Gex]]+Table13345[[#This Row],[Put Gex]])</f>
        <v>0</v>
      </c>
      <c r="AC879">
        <f ca="1">Table13345[[#This Row],[put delta adj]]+Table13345[[#This Row],[call delta adj]]</f>
        <v>0</v>
      </c>
      <c r="AD879">
        <f ca="1">Table13345[[#This Row],[Put Gex]]*Table13345[[#This Row],[DeltaP]]*-1</f>
        <v>0</v>
      </c>
      <c r="AE879">
        <f ca="1">Table13345[[#This Row],[Call Gex]]*Table13345[[#This Row],[DeltaC]]</f>
        <v>0</v>
      </c>
      <c r="AF879">
        <f>IF(Table13345[[#This Row],[DeltaC]]-ABS(Table13345[[#This Row],[DeltaP]])="0","0.01",Table13345[[#This Row],[DeltaC]]-ABS(Table13345[[#This Row],[DeltaP]]))</f>
        <v>0</v>
      </c>
      <c r="AG87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9" t="e">
        <f ca="1">(EXP(-(AG879^2)/2)/SQRT(2*PI())*EXP(0*SQRT(Table13345[[#This Row],[T]]))/$A$4*18%*SQRT(SQRT(Table13345[[#This Row],[T]])))</f>
        <v>#DIV/0!</v>
      </c>
      <c r="AJ879" t="e">
        <f ca="1">(EXP(-(AH879^2)/2)/SQRT(2*PI())*EXP(0*SQRT(Table13345[[#This Row],[T]]))/$A$4*18%*SQRT(SQRT(Table13345[[#This Row],[T]])))</f>
        <v>#DIV/0!</v>
      </c>
      <c r="AK879" t="e">
        <f ca="1">Table13345[[#This Row],[Call D1]]-Table13345[[#This Row],[IV Calc C]]*SQRT(Table13345[[#This Row],[T]])</f>
        <v>#DIV/0!</v>
      </c>
      <c r="AL879" t="e">
        <f ca="1">Table13345[[#This Row],[Put D1]]-Table13345[[#This Row],[IV Calc P]]*SQRT(Table13345[[#This Row],[T]])</f>
        <v>#DIV/0!</v>
      </c>
      <c r="AM879" t="e">
        <f ca="1">EXP(-0.5*Table13345[[#This Row],[Call D1]]^2)/SQRT(2*PI())</f>
        <v>#DIV/0!</v>
      </c>
      <c r="AN879" t="e">
        <f ca="1">EXP(-0.5*Table13345[[#This Row],[Put D1]]^2)/SQRT(2*PI())</f>
        <v>#DIV/0!</v>
      </c>
      <c r="AO87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9">
        <f ca="1">((Table13345[[#This Row],[call vanna]]+Table13345[[#This Row],[put vanna]])*$A$4)</f>
        <v>0</v>
      </c>
      <c r="AR87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9" s="9" t="str" cm="1">
        <f t="array" ref="AT879">_xlfn.IFS(     $M$1="SPX","SPXW",     $M$1="RUT","RUTW",  $M$1="NDX","NDXP",   TRUE,$M$1 )</f>
        <v>SPXW</v>
      </c>
      <c r="AU879" s="2">
        <f t="shared" si="87"/>
        <v>6915</v>
      </c>
      <c r="AV879" t="str">
        <f t="shared" si="88"/>
        <v>000100</v>
      </c>
      <c r="AY87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9">
        <f>((Table13345[[#This Row],[High C]]+Table13345[[#This Row],[Low C]])/2)*Table13345[[#This Row],[gammac]]*Table13345[[#This Row],[Volume]]</f>
        <v>0</v>
      </c>
      <c r="BD879">
        <f>((Table13345[[#This Row],[High P]]+Table13345[[#This Row],[Low P]])/2)*Table13345[[#This Row],[gammap]]*Table13345[[#This Row],[Volume9]]*-1</f>
        <v>0</v>
      </c>
      <c r="BE879">
        <f>(Table13345[[#This Row],[SgammaC]]+Table13345[[#This Row],[SgammaP]])*$A$4*-100</f>
        <v>0</v>
      </c>
      <c r="BF879">
        <f>Table13345[[#This Row],[DEXc]]+Table13345[[#This Row],[DEXp]]</f>
        <v>0</v>
      </c>
      <c r="BG879">
        <f>IFERROR(Table13345[[#This Row],[DeltaC]]*Table13345[[#This Row],[Open.Int]]*$A$4,0)</f>
        <v>0</v>
      </c>
      <c r="BH879">
        <f>IFERROR(Table13345[[#This Row],[DeltaP]]*Table13345[[#This Row],[Open.Int8]]*$A$4,0)</f>
        <v>0</v>
      </c>
      <c r="BI87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9">
        <f ca="1">Table13345[[#This Row],[charmc]]+Table13345[[#This Row],[charmp]]</f>
        <v>0</v>
      </c>
      <c r="BL87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9" s="78">
        <f ca="1">Table13345[[#This Row],[call helper]]+Table13345[[#This Row],[put helper]]</f>
        <v>0</v>
      </c>
      <c r="BP879" t="str">
        <f>RTD("tos.rtd", , "STRIKE", "."&amp;Table13345[[#This Row],[Ticker]]&amp;Table13345[[#This Row],[Expiry]]&amp;""&amp;"C"&amp;Table13345[[#This Row],[Spot]]+Table13345[[#This Row],[step]])</f>
        <v>N/A</v>
      </c>
    </row>
    <row r="880" spans="1:68" x14ac:dyDescent="0.25">
      <c r="A880" s="14">
        <f t="shared" ca="1" si="84"/>
        <v>-126.14810350076104</v>
      </c>
      <c r="C880" s="17"/>
      <c r="D880" t="str">
        <f>RTD("tos.rtd", , "OPEN_INT", "."&amp;Table13345[[#This Row],[Ticker]]&amp;Table13345[[#This Row],[Expiry]]&amp;""&amp;"C"&amp;Table13345[[#This Row],[Spot]]+Table13345[[#This Row],[step]])</f>
        <v>N/A</v>
      </c>
      <c r="E88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0" t="b">
        <f>IF(     ISNUMBER(Table13345[[#This Row],[Strike]]),RTD("tos.rtd", , "DELTA", "."&amp;Table13345[[#This Row],[Ticker]]&amp;Table13345[[#This Row],[Expiry]]&amp;""&amp;"C"&amp;Table13345[[#This Row],[Strike]]))</f>
        <v>0</v>
      </c>
      <c r="H880" s="17" cm="1">
        <f t="array" aca="1" ref="H880" ca="1">IndividualLegIVCore($A$4, Table13345[[#This Row],[Strike]], 0.0411, Table13345[[#This Row],[T]], ((Table13345[[#This Row],[BIDC]]+Table13345[[#This Row],[ASKC]])/2), TRUE)</f>
        <v>0.01</v>
      </c>
      <c r="I880" t="b">
        <f>IF(     ISNUMBER(Table13345[[#This Row],[Strike]]),RTD("tos.rtd", , "BID", "."&amp;Table13345[[#This Row],[Ticker]]&amp;Table13345[[#This Row],[Expiry]]&amp;""&amp;"C"&amp;Table13345[[#This Row],[Strike]]))</f>
        <v>0</v>
      </c>
      <c r="J880" t="b">
        <f>IF(     ISNUMBER(Table13345[[#This Row],[Strike]]),RTD("tos.rtd", , "ASK", "."&amp;Table13345[[#This Row],[Ticker]]&amp;Table13345[[#This Row],[Expiry]]&amp;""&amp;"C"&amp;Table13345[[#This Row],[Strike]]))</f>
        <v>0</v>
      </c>
      <c r="K880" s="17"/>
      <c r="M880" s="1">
        <f t="shared" si="85"/>
        <v>0</v>
      </c>
      <c r="N880" t="b">
        <f t="shared" si="86"/>
        <v>0</v>
      </c>
      <c r="P880" s="17" cm="1">
        <f t="array" aca="1" ref="P880" ca="1">IndividualLegIVCore($A$4, Table13345[[#This Row],[Strike]], 0.0411, Table13345[[#This Row],[T]], ((Table13345[[#This Row],[BIDP]]+Table13345[[#This Row],[ASKP]])/2), FALSE)</f>
        <v>0.01</v>
      </c>
      <c r="Q880" t="b">
        <f>IF(     ISNUMBER(Table13345[[#This Row],[Strike]]),RTD("tos.rtd", , "BID", "."&amp;Table13345[[#This Row],[Ticker]]&amp;Table13345[[#This Row],[Expiry]]&amp;""&amp;"P"&amp;Table13345[[#This Row],[Strike]]))</f>
        <v>0</v>
      </c>
      <c r="R880" t="b">
        <f>IF(     ISNUMBER(Table13345[[#This Row],[Strike]]),RTD("tos.rtd", , "ASK", "."&amp;Table13345[[#This Row],[Ticker]]&amp;Table13345[[#This Row],[Expiry]]&amp;""&amp;"P"&amp;Table13345[[#This Row],[Strike]]))</f>
        <v>0</v>
      </c>
      <c r="S880" s="17"/>
      <c r="T880" t="b">
        <f>IF(     ISNUMBER(Table13345[[#This Row],[Strike]]),RTD("tos.rtd", , "OPEN_INT", "."&amp;Table13345[[#This Row],[Ticker]]&amp;Table13345[[#This Row],[Expiry]]&amp;""&amp;"P"&amp;Table13345[[#This Row],[Strike]]))</f>
        <v>0</v>
      </c>
      <c r="U88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0" t="b">
        <f>IF(     ISNUMBER(Table13345[[#This Row],[Strike]]),RTD("tos.rtd", , "DELTA", "."&amp;Table13345[[#This Row],[Ticker]]&amp;Table13345[[#This Row],[Expiry]]&amp;""&amp;"P"&amp;Table13345[[#This Row],[Strike]]))</f>
        <v>0</v>
      </c>
      <c r="Y880" s="19">
        <f>-21* IF($M$1="NDX", 10, IF(OR($M$1="SPX", $M$1="RUT"), 2, 1))</f>
        <v>-42</v>
      </c>
      <c r="Z880">
        <f ca="1">IFERROR(Table13345[[#This Row],[call gamma]]*(Table13345[[#This Row],[Open.Int]])*$A$4^2,0)</f>
        <v>0</v>
      </c>
      <c r="AA880">
        <f ca="1">IFERROR(((Table13345[[#This Row],[Open.Int8]])*Table13345[[#This Row],[Put gamma]])*-1*$A$4^2,0)</f>
        <v>0</v>
      </c>
      <c r="AB880">
        <f ca="1">(Table13345[[#This Row],[Call Gex]]+Table13345[[#This Row],[Put Gex]])</f>
        <v>0</v>
      </c>
      <c r="AC880">
        <f ca="1">Table13345[[#This Row],[put delta adj]]+Table13345[[#This Row],[call delta adj]]</f>
        <v>0</v>
      </c>
      <c r="AD880">
        <f ca="1">Table13345[[#This Row],[Put Gex]]*Table13345[[#This Row],[DeltaP]]*-1</f>
        <v>0</v>
      </c>
      <c r="AE880">
        <f ca="1">Table13345[[#This Row],[Call Gex]]*Table13345[[#This Row],[DeltaC]]</f>
        <v>0</v>
      </c>
      <c r="AF880">
        <f>IF(Table13345[[#This Row],[DeltaC]]-ABS(Table13345[[#This Row],[DeltaP]])="0","0.01",Table13345[[#This Row],[DeltaC]]-ABS(Table13345[[#This Row],[DeltaP]]))</f>
        <v>0</v>
      </c>
      <c r="AG88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0" t="e">
        <f ca="1">(EXP(-(AG880^2)/2)/SQRT(2*PI())*EXP(0*SQRT(Table13345[[#This Row],[T]]))/$A$4*18%*SQRT(SQRT(Table13345[[#This Row],[T]])))</f>
        <v>#DIV/0!</v>
      </c>
      <c r="AJ880" t="e">
        <f ca="1">(EXP(-(AH880^2)/2)/SQRT(2*PI())*EXP(0*SQRT(Table13345[[#This Row],[T]]))/$A$4*18%*SQRT(SQRT(Table13345[[#This Row],[T]])))</f>
        <v>#DIV/0!</v>
      </c>
      <c r="AK880" t="e">
        <f ca="1">Table13345[[#This Row],[Call D1]]-Table13345[[#This Row],[IV Calc C]]*SQRT(Table13345[[#This Row],[T]])</f>
        <v>#DIV/0!</v>
      </c>
      <c r="AL880" t="e">
        <f ca="1">Table13345[[#This Row],[Put D1]]-Table13345[[#This Row],[IV Calc P]]*SQRT(Table13345[[#This Row],[T]])</f>
        <v>#DIV/0!</v>
      </c>
      <c r="AM880" t="e">
        <f ca="1">EXP(-0.5*Table13345[[#This Row],[Call D1]]^2)/SQRT(2*PI())</f>
        <v>#DIV/0!</v>
      </c>
      <c r="AN880" t="e">
        <f ca="1">EXP(-0.5*Table13345[[#This Row],[Put D1]]^2)/SQRT(2*PI())</f>
        <v>#DIV/0!</v>
      </c>
      <c r="AO88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0">
        <f ca="1">((Table13345[[#This Row],[call vanna]]+Table13345[[#This Row],[put vanna]])*$A$4)</f>
        <v>0</v>
      </c>
      <c r="AR88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0" s="9" t="str" cm="1">
        <f t="array" ref="AT880">_xlfn.IFS(     $M$1="SPX","SPXW",     $M$1="RUT","RUTW",  $M$1="NDX","NDXP",   TRUE,$M$1 )</f>
        <v>SPXW</v>
      </c>
      <c r="AU880" s="2">
        <f t="shared" si="87"/>
        <v>6915</v>
      </c>
      <c r="AV880" t="str">
        <f t="shared" si="88"/>
        <v>000100</v>
      </c>
      <c r="AY88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0">
        <f>((Table13345[[#This Row],[High C]]+Table13345[[#This Row],[Low C]])/2)*Table13345[[#This Row],[gammac]]*Table13345[[#This Row],[Volume]]</f>
        <v>0</v>
      </c>
      <c r="BD880">
        <f>((Table13345[[#This Row],[High P]]+Table13345[[#This Row],[Low P]])/2)*Table13345[[#This Row],[gammap]]*Table13345[[#This Row],[Volume9]]*-1</f>
        <v>0</v>
      </c>
      <c r="BE880">
        <f>(Table13345[[#This Row],[SgammaC]]+Table13345[[#This Row],[SgammaP]])*$A$4*-100</f>
        <v>0</v>
      </c>
      <c r="BF880">
        <f>Table13345[[#This Row],[DEXc]]+Table13345[[#This Row],[DEXp]]</f>
        <v>0</v>
      </c>
      <c r="BG880">
        <f>IFERROR(Table13345[[#This Row],[DeltaC]]*Table13345[[#This Row],[Open.Int]]*$A$4,0)</f>
        <v>0</v>
      </c>
      <c r="BH880">
        <f>IFERROR(Table13345[[#This Row],[DeltaP]]*Table13345[[#This Row],[Open.Int8]]*$A$4,0)</f>
        <v>0</v>
      </c>
      <c r="BI88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0">
        <f ca="1">Table13345[[#This Row],[charmc]]+Table13345[[#This Row],[charmp]]</f>
        <v>0</v>
      </c>
      <c r="BL88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0" s="78">
        <f ca="1">Table13345[[#This Row],[call helper]]+Table13345[[#This Row],[put helper]]</f>
        <v>0</v>
      </c>
      <c r="BP880" t="str">
        <f>RTD("tos.rtd", , "STRIKE", "."&amp;Table13345[[#This Row],[Ticker]]&amp;Table13345[[#This Row],[Expiry]]&amp;""&amp;"C"&amp;Table13345[[#This Row],[Spot]]+Table13345[[#This Row],[step]])</f>
        <v>N/A</v>
      </c>
    </row>
    <row r="881" spans="1:68" x14ac:dyDescent="0.25">
      <c r="A881" s="24">
        <f t="shared" ca="1" si="84"/>
        <v>-126.14810350076104</v>
      </c>
      <c r="B881" s="13"/>
      <c r="C881" s="17"/>
      <c r="D881" t="str">
        <f>RTD("tos.rtd", , "OPEN_INT", "."&amp;Table13345[[#This Row],[Ticker]]&amp;Table13345[[#This Row],[Expiry]]&amp;""&amp;"C"&amp;Table13345[[#This Row],[Spot]]+Table13345[[#This Row],[step]])</f>
        <v>N/A</v>
      </c>
      <c r="E88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1" t="b">
        <f>IF(     ISNUMBER(Table13345[[#This Row],[Strike]]),RTD("tos.rtd", , "DELTA", "."&amp;Table13345[[#This Row],[Ticker]]&amp;Table13345[[#This Row],[Expiry]]&amp;""&amp;"C"&amp;Table13345[[#This Row],[Strike]]))</f>
        <v>0</v>
      </c>
      <c r="H881" s="17" cm="1">
        <f t="array" aca="1" ref="H881" ca="1">IndividualLegIVCore($A$4, Table13345[[#This Row],[Strike]], 0.0411, Table13345[[#This Row],[T]], ((Table13345[[#This Row],[BIDC]]+Table13345[[#This Row],[ASKC]])/2), TRUE)</f>
        <v>0.01</v>
      </c>
      <c r="I881" t="b">
        <f>IF(     ISNUMBER(Table13345[[#This Row],[Strike]]),RTD("tos.rtd", , "BID", "."&amp;Table13345[[#This Row],[Ticker]]&amp;Table13345[[#This Row],[Expiry]]&amp;""&amp;"C"&amp;Table13345[[#This Row],[Strike]]))</f>
        <v>0</v>
      </c>
      <c r="J881" t="b">
        <f>IF(     ISNUMBER(Table13345[[#This Row],[Strike]]),RTD("tos.rtd", , "ASK", "."&amp;Table13345[[#This Row],[Ticker]]&amp;Table13345[[#This Row],[Expiry]]&amp;""&amp;"C"&amp;Table13345[[#This Row],[Strike]]))</f>
        <v>0</v>
      </c>
      <c r="K881" s="17"/>
      <c r="M881" s="1">
        <f t="shared" si="85"/>
        <v>0</v>
      </c>
      <c r="N881" t="b">
        <f t="shared" si="86"/>
        <v>0</v>
      </c>
      <c r="P881" s="17" cm="1">
        <f t="array" aca="1" ref="P881" ca="1">IndividualLegIVCore($A$4, Table13345[[#This Row],[Strike]], 0.0411, Table13345[[#This Row],[T]], ((Table13345[[#This Row],[BIDP]]+Table13345[[#This Row],[ASKP]])/2), FALSE)</f>
        <v>0.01</v>
      </c>
      <c r="Q881" t="b">
        <f>IF(     ISNUMBER(Table13345[[#This Row],[Strike]]),RTD("tos.rtd", , "BID", "."&amp;Table13345[[#This Row],[Ticker]]&amp;Table13345[[#This Row],[Expiry]]&amp;""&amp;"P"&amp;Table13345[[#This Row],[Strike]]))</f>
        <v>0</v>
      </c>
      <c r="R881" t="b">
        <f>IF(     ISNUMBER(Table13345[[#This Row],[Strike]]),RTD("tos.rtd", , "ASK", "."&amp;Table13345[[#This Row],[Ticker]]&amp;Table13345[[#This Row],[Expiry]]&amp;""&amp;"P"&amp;Table13345[[#This Row],[Strike]]))</f>
        <v>0</v>
      </c>
      <c r="S881" s="17"/>
      <c r="T881" t="b">
        <f>IF(     ISNUMBER(Table13345[[#This Row],[Strike]]),RTD("tos.rtd", , "OPEN_INT", "."&amp;Table13345[[#This Row],[Ticker]]&amp;Table13345[[#This Row],[Expiry]]&amp;""&amp;"P"&amp;Table13345[[#This Row],[Strike]]))</f>
        <v>0</v>
      </c>
      <c r="U88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1" t="b">
        <f>IF(     ISNUMBER(Table13345[[#This Row],[Strike]]),RTD("tos.rtd", , "DELTA", "."&amp;Table13345[[#This Row],[Ticker]]&amp;Table13345[[#This Row],[Expiry]]&amp;""&amp;"P"&amp;Table13345[[#This Row],[Strike]]))</f>
        <v>0</v>
      </c>
      <c r="X881" s="13"/>
      <c r="Y881" s="19">
        <f>-20.5* IF($M$1="NDX", 10, IF(OR($M$1="SPX", $M$1="RUT"), 2, 1))</f>
        <v>-41</v>
      </c>
      <c r="Z881">
        <f ca="1">IFERROR(Table13345[[#This Row],[call gamma]]*(Table13345[[#This Row],[Open.Int]])*$A$4^2,0)</f>
        <v>0</v>
      </c>
      <c r="AA881">
        <f ca="1">IFERROR(((Table13345[[#This Row],[Open.Int8]])*Table13345[[#This Row],[Put gamma]])*-1*$A$4^2,0)</f>
        <v>0</v>
      </c>
      <c r="AB881">
        <f ca="1">(Table13345[[#This Row],[Call Gex]]+Table13345[[#This Row],[Put Gex]])</f>
        <v>0</v>
      </c>
      <c r="AC881">
        <f ca="1">Table13345[[#This Row],[put delta adj]]+Table13345[[#This Row],[call delta adj]]</f>
        <v>0</v>
      </c>
      <c r="AD881">
        <f ca="1">Table13345[[#This Row],[Put Gex]]*Table13345[[#This Row],[DeltaP]]*-1</f>
        <v>0</v>
      </c>
      <c r="AE881">
        <f ca="1">Table13345[[#This Row],[Call Gex]]*Table13345[[#This Row],[DeltaC]]</f>
        <v>0</v>
      </c>
      <c r="AF881">
        <f>IF(Table13345[[#This Row],[DeltaC]]-ABS(Table13345[[#This Row],[DeltaP]])="0","0.01",Table13345[[#This Row],[DeltaC]]-ABS(Table13345[[#This Row],[DeltaP]]))</f>
        <v>0</v>
      </c>
      <c r="AG88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1" t="e">
        <f ca="1">(EXP(-(AG881^2)/2)/SQRT(2*PI())*EXP(0*SQRT(Table13345[[#This Row],[T]]))/$A$4*18%*SQRT(SQRT(Table13345[[#This Row],[T]])))</f>
        <v>#DIV/0!</v>
      </c>
      <c r="AJ881" t="e">
        <f ca="1">(EXP(-(AH881^2)/2)/SQRT(2*PI())*EXP(0*SQRT(Table13345[[#This Row],[T]]))/$A$4*18%*SQRT(SQRT(Table13345[[#This Row],[T]])))</f>
        <v>#DIV/0!</v>
      </c>
      <c r="AK881" t="e">
        <f ca="1">Table13345[[#This Row],[Call D1]]-Table13345[[#This Row],[IV Calc C]]*SQRT(Table13345[[#This Row],[T]])</f>
        <v>#DIV/0!</v>
      </c>
      <c r="AL881" t="e">
        <f ca="1">Table13345[[#This Row],[Put D1]]-Table13345[[#This Row],[IV Calc P]]*SQRT(Table13345[[#This Row],[T]])</f>
        <v>#DIV/0!</v>
      </c>
      <c r="AM881" t="e">
        <f ca="1">EXP(-0.5*Table13345[[#This Row],[Call D1]]^2)/SQRT(2*PI())</f>
        <v>#DIV/0!</v>
      </c>
      <c r="AN881" t="e">
        <f ca="1">EXP(-0.5*Table13345[[#This Row],[Put D1]]^2)/SQRT(2*PI())</f>
        <v>#DIV/0!</v>
      </c>
      <c r="AO88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1">
        <f ca="1">((Table13345[[#This Row],[call vanna]]+Table13345[[#This Row],[put vanna]])*$A$4)</f>
        <v>0</v>
      </c>
      <c r="AR88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1" s="22" t="str" cm="1">
        <f t="array" ref="AT881">_xlfn.IFS(     $M$1="SPX","SPXW",     $M$1="RUT","RUTW",  $M$1="NDX","NDXP",   TRUE,$M$1 )</f>
        <v>SPXW</v>
      </c>
      <c r="AU881" s="2">
        <f t="shared" si="87"/>
        <v>6915</v>
      </c>
      <c r="AV881" t="str">
        <f t="shared" si="88"/>
        <v>000100</v>
      </c>
      <c r="AY88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1">
        <f>((Table13345[[#This Row],[High C]]+Table13345[[#This Row],[Low C]])/2)*Table13345[[#This Row],[gammac]]*Table13345[[#This Row],[Volume]]</f>
        <v>0</v>
      </c>
      <c r="BD881">
        <f>((Table13345[[#This Row],[High P]]+Table13345[[#This Row],[Low P]])/2)*Table13345[[#This Row],[gammap]]*Table13345[[#This Row],[Volume9]]*-1</f>
        <v>0</v>
      </c>
      <c r="BE881">
        <f>(Table13345[[#This Row],[SgammaC]]+Table13345[[#This Row],[SgammaP]])*$A$4*-100</f>
        <v>0</v>
      </c>
      <c r="BF881">
        <f>Table13345[[#This Row],[DEXc]]+Table13345[[#This Row],[DEXp]]</f>
        <v>0</v>
      </c>
      <c r="BG881">
        <f>IFERROR(Table13345[[#This Row],[DeltaC]]*Table13345[[#This Row],[Open.Int]]*$A$4,0)</f>
        <v>0</v>
      </c>
      <c r="BH881">
        <f>IFERROR(Table13345[[#This Row],[DeltaP]]*Table13345[[#This Row],[Open.Int8]]*$A$4,0)</f>
        <v>0</v>
      </c>
      <c r="BI88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1">
        <f ca="1">Table13345[[#This Row],[charmc]]+Table13345[[#This Row],[charmp]]</f>
        <v>0</v>
      </c>
      <c r="BL88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1" s="78">
        <f ca="1">Table13345[[#This Row],[call helper]]+Table13345[[#This Row],[put helper]]</f>
        <v>0</v>
      </c>
      <c r="BP881" t="str">
        <f>RTD("tos.rtd", , "STRIKE", "."&amp;Table13345[[#This Row],[Ticker]]&amp;Table13345[[#This Row],[Expiry]]&amp;""&amp;"C"&amp;Table13345[[#This Row],[Spot]]+Table13345[[#This Row],[step]])</f>
        <v>N/A</v>
      </c>
    </row>
    <row r="882" spans="1:68" x14ac:dyDescent="0.25">
      <c r="A882" s="14">
        <f t="shared" ca="1" si="84"/>
        <v>-126.14810350076104</v>
      </c>
      <c r="C882" s="17"/>
      <c r="D882" t="str">
        <f>RTD("tos.rtd", , "OPEN_INT", "."&amp;Table13345[[#This Row],[Ticker]]&amp;Table13345[[#This Row],[Expiry]]&amp;""&amp;"C"&amp;Table13345[[#This Row],[Spot]]+Table13345[[#This Row],[step]])</f>
        <v>N/A</v>
      </c>
      <c r="E88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2" t="b">
        <f>IF(     ISNUMBER(Table13345[[#This Row],[Strike]]),RTD("tos.rtd", , "DELTA", "."&amp;Table13345[[#This Row],[Ticker]]&amp;Table13345[[#This Row],[Expiry]]&amp;""&amp;"C"&amp;Table13345[[#This Row],[Strike]]))</f>
        <v>0</v>
      </c>
      <c r="H882" s="17" cm="1">
        <f t="array" aca="1" ref="H882" ca="1">IndividualLegIVCore($A$4, Table13345[[#This Row],[Strike]], 0.0411, Table13345[[#This Row],[T]], ((Table13345[[#This Row],[BIDC]]+Table13345[[#This Row],[ASKC]])/2), TRUE)</f>
        <v>0.01</v>
      </c>
      <c r="I882" t="b">
        <f>IF(     ISNUMBER(Table13345[[#This Row],[Strike]]),RTD("tos.rtd", , "BID", "."&amp;Table13345[[#This Row],[Ticker]]&amp;Table13345[[#This Row],[Expiry]]&amp;""&amp;"C"&amp;Table13345[[#This Row],[Strike]]))</f>
        <v>0</v>
      </c>
      <c r="J882" t="b">
        <f>IF(     ISNUMBER(Table13345[[#This Row],[Strike]]),RTD("tos.rtd", , "ASK", "."&amp;Table13345[[#This Row],[Ticker]]&amp;Table13345[[#This Row],[Expiry]]&amp;""&amp;"C"&amp;Table13345[[#This Row],[Strike]]))</f>
        <v>0</v>
      </c>
      <c r="K882" s="17"/>
      <c r="M882" s="1">
        <f t="shared" si="85"/>
        <v>0</v>
      </c>
      <c r="N882" t="b">
        <f t="shared" si="86"/>
        <v>0</v>
      </c>
      <c r="P882" s="17" cm="1">
        <f t="array" aca="1" ref="P882" ca="1">IndividualLegIVCore($A$4, Table13345[[#This Row],[Strike]], 0.0411, Table13345[[#This Row],[T]], ((Table13345[[#This Row],[BIDP]]+Table13345[[#This Row],[ASKP]])/2), FALSE)</f>
        <v>0.01</v>
      </c>
      <c r="Q882" t="b">
        <f>IF(     ISNUMBER(Table13345[[#This Row],[Strike]]),RTD("tos.rtd", , "BID", "."&amp;Table13345[[#This Row],[Ticker]]&amp;Table13345[[#This Row],[Expiry]]&amp;""&amp;"P"&amp;Table13345[[#This Row],[Strike]]))</f>
        <v>0</v>
      </c>
      <c r="R882" t="b">
        <f>IF(     ISNUMBER(Table13345[[#This Row],[Strike]]),RTD("tos.rtd", , "ASK", "."&amp;Table13345[[#This Row],[Ticker]]&amp;Table13345[[#This Row],[Expiry]]&amp;""&amp;"P"&amp;Table13345[[#This Row],[Strike]]))</f>
        <v>0</v>
      </c>
      <c r="S882" s="17"/>
      <c r="T882" t="b">
        <f>IF(     ISNUMBER(Table13345[[#This Row],[Strike]]),RTD("tos.rtd", , "OPEN_INT", "."&amp;Table13345[[#This Row],[Ticker]]&amp;Table13345[[#This Row],[Expiry]]&amp;""&amp;"P"&amp;Table13345[[#This Row],[Strike]]))</f>
        <v>0</v>
      </c>
      <c r="U88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2" t="b">
        <f>IF(     ISNUMBER(Table13345[[#This Row],[Strike]]),RTD("tos.rtd", , "DELTA", "."&amp;Table13345[[#This Row],[Ticker]]&amp;Table13345[[#This Row],[Expiry]]&amp;""&amp;"P"&amp;Table13345[[#This Row],[Strike]]))</f>
        <v>0</v>
      </c>
      <c r="Y882" s="19">
        <f>-20* IF($M$1="NDX", 10, IF(OR($M$1="SPX", $M$1="RUT"), 2, 1))</f>
        <v>-40</v>
      </c>
      <c r="Z882">
        <f ca="1">IFERROR(Table13345[[#This Row],[call gamma]]*(Table13345[[#This Row],[Open.Int]])*$A$4^2,0)</f>
        <v>0</v>
      </c>
      <c r="AA882">
        <f ca="1">IFERROR(((Table13345[[#This Row],[Open.Int8]])*Table13345[[#This Row],[Put gamma]])*-1*$A$4^2,0)</f>
        <v>0</v>
      </c>
      <c r="AB882">
        <f ca="1">(Table13345[[#This Row],[Call Gex]]+Table13345[[#This Row],[Put Gex]])</f>
        <v>0</v>
      </c>
      <c r="AC882">
        <f ca="1">Table13345[[#This Row],[put delta adj]]+Table13345[[#This Row],[call delta adj]]</f>
        <v>0</v>
      </c>
      <c r="AD882">
        <f ca="1">Table13345[[#This Row],[Put Gex]]*Table13345[[#This Row],[DeltaP]]*-1</f>
        <v>0</v>
      </c>
      <c r="AE882">
        <f ca="1">Table13345[[#This Row],[Call Gex]]*Table13345[[#This Row],[DeltaC]]</f>
        <v>0</v>
      </c>
      <c r="AF882">
        <f>IF(Table13345[[#This Row],[DeltaC]]-ABS(Table13345[[#This Row],[DeltaP]])="0","0.01",Table13345[[#This Row],[DeltaC]]-ABS(Table13345[[#This Row],[DeltaP]]))</f>
        <v>0</v>
      </c>
      <c r="AG88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2" t="e">
        <f ca="1">(EXP(-(AG882^2)/2)/SQRT(2*PI())*EXP(0*SQRT(Table13345[[#This Row],[T]]))/$A$4*18%*SQRT(SQRT(Table13345[[#This Row],[T]])))</f>
        <v>#DIV/0!</v>
      </c>
      <c r="AJ882" t="e">
        <f ca="1">(EXP(-(AH882^2)/2)/SQRT(2*PI())*EXP(0*SQRT(Table13345[[#This Row],[T]]))/$A$4*18%*SQRT(SQRT(Table13345[[#This Row],[T]])))</f>
        <v>#DIV/0!</v>
      </c>
      <c r="AK882" t="e">
        <f ca="1">Table13345[[#This Row],[Call D1]]-Table13345[[#This Row],[IV Calc C]]*SQRT(Table13345[[#This Row],[T]])</f>
        <v>#DIV/0!</v>
      </c>
      <c r="AL882" t="e">
        <f ca="1">Table13345[[#This Row],[Put D1]]-Table13345[[#This Row],[IV Calc P]]*SQRT(Table13345[[#This Row],[T]])</f>
        <v>#DIV/0!</v>
      </c>
      <c r="AM882" t="e">
        <f ca="1">EXP(-0.5*Table13345[[#This Row],[Call D1]]^2)/SQRT(2*PI())</f>
        <v>#DIV/0!</v>
      </c>
      <c r="AN882" t="e">
        <f ca="1">EXP(-0.5*Table13345[[#This Row],[Put D1]]^2)/SQRT(2*PI())</f>
        <v>#DIV/0!</v>
      </c>
      <c r="AO88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2">
        <f ca="1">((Table13345[[#This Row],[call vanna]]+Table13345[[#This Row],[put vanna]])*$A$4)</f>
        <v>0</v>
      </c>
      <c r="AR88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2" s="9" t="str" cm="1">
        <f t="array" ref="AT882">_xlfn.IFS(     $M$1="SPX","SPXW",     $M$1="RUT","RUTW",  $M$1="NDX","NDXP",   TRUE,$M$1 )</f>
        <v>SPXW</v>
      </c>
      <c r="AU882" s="2">
        <f t="shared" si="87"/>
        <v>6915</v>
      </c>
      <c r="AV882" t="str">
        <f t="shared" si="88"/>
        <v>000100</v>
      </c>
      <c r="AY88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2">
        <f>((Table13345[[#This Row],[High C]]+Table13345[[#This Row],[Low C]])/2)*Table13345[[#This Row],[gammac]]*Table13345[[#This Row],[Volume]]</f>
        <v>0</v>
      </c>
      <c r="BD882">
        <f>((Table13345[[#This Row],[High P]]+Table13345[[#This Row],[Low P]])/2)*Table13345[[#This Row],[gammap]]*Table13345[[#This Row],[Volume9]]*-1</f>
        <v>0</v>
      </c>
      <c r="BE882">
        <f>(Table13345[[#This Row],[SgammaC]]+Table13345[[#This Row],[SgammaP]])*$A$4*-100</f>
        <v>0</v>
      </c>
      <c r="BF882">
        <f>Table13345[[#This Row],[DEXc]]+Table13345[[#This Row],[DEXp]]</f>
        <v>0</v>
      </c>
      <c r="BG882">
        <f>IFERROR(Table13345[[#This Row],[DeltaC]]*Table13345[[#This Row],[Open.Int]]*$A$4,0)</f>
        <v>0</v>
      </c>
      <c r="BH882">
        <f>IFERROR(Table13345[[#This Row],[DeltaP]]*Table13345[[#This Row],[Open.Int8]]*$A$4,0)</f>
        <v>0</v>
      </c>
      <c r="BI88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2">
        <f ca="1">Table13345[[#This Row],[charmc]]+Table13345[[#This Row],[charmp]]</f>
        <v>0</v>
      </c>
      <c r="BL88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2" s="78">
        <f ca="1">Table13345[[#This Row],[call helper]]+Table13345[[#This Row],[put helper]]</f>
        <v>0</v>
      </c>
      <c r="BP882" t="str">
        <f>RTD("tos.rtd", , "STRIKE", "."&amp;Table13345[[#This Row],[Ticker]]&amp;Table13345[[#This Row],[Expiry]]&amp;""&amp;"C"&amp;Table13345[[#This Row],[Spot]]+Table13345[[#This Row],[step]])</f>
        <v>N/A</v>
      </c>
    </row>
    <row r="883" spans="1:68" x14ac:dyDescent="0.25">
      <c r="A883" s="14">
        <f t="shared" ca="1" si="84"/>
        <v>-126.14810350076104</v>
      </c>
      <c r="C883" s="17"/>
      <c r="D883" t="str">
        <f>RTD("tos.rtd", , "OPEN_INT", "."&amp;Table13345[[#This Row],[Ticker]]&amp;Table13345[[#This Row],[Expiry]]&amp;""&amp;"C"&amp;Table13345[[#This Row],[Spot]]+Table13345[[#This Row],[step]])</f>
        <v>N/A</v>
      </c>
      <c r="E88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3" t="b">
        <f>IF(     ISNUMBER(Table13345[[#This Row],[Strike]]),RTD("tos.rtd", , "DELTA", "."&amp;Table13345[[#This Row],[Ticker]]&amp;Table13345[[#This Row],[Expiry]]&amp;""&amp;"C"&amp;Table13345[[#This Row],[Strike]]))</f>
        <v>0</v>
      </c>
      <c r="H883" s="17" cm="1">
        <f t="array" aca="1" ref="H883" ca="1">IndividualLegIVCore($A$4, Table13345[[#This Row],[Strike]], 0.0411, Table13345[[#This Row],[T]], ((Table13345[[#This Row],[BIDC]]+Table13345[[#This Row],[ASKC]])/2), TRUE)</f>
        <v>0.01</v>
      </c>
      <c r="I883" t="b">
        <f>IF(     ISNUMBER(Table13345[[#This Row],[Strike]]),RTD("tos.rtd", , "BID", "."&amp;Table13345[[#This Row],[Ticker]]&amp;Table13345[[#This Row],[Expiry]]&amp;""&amp;"C"&amp;Table13345[[#This Row],[Strike]]))</f>
        <v>0</v>
      </c>
      <c r="J883" t="b">
        <f>IF(     ISNUMBER(Table13345[[#This Row],[Strike]]),RTD("tos.rtd", , "ASK", "."&amp;Table13345[[#This Row],[Ticker]]&amp;Table13345[[#This Row],[Expiry]]&amp;""&amp;"C"&amp;Table13345[[#This Row],[Strike]]))</f>
        <v>0</v>
      </c>
      <c r="K883" s="17"/>
      <c r="M883" s="1">
        <f t="shared" si="85"/>
        <v>0</v>
      </c>
      <c r="N883" t="b">
        <f t="shared" si="86"/>
        <v>0</v>
      </c>
      <c r="P883" s="17" cm="1">
        <f t="array" aca="1" ref="P883" ca="1">IndividualLegIVCore($A$4, Table13345[[#This Row],[Strike]], 0.0411, Table13345[[#This Row],[T]], ((Table13345[[#This Row],[BIDP]]+Table13345[[#This Row],[ASKP]])/2), FALSE)</f>
        <v>0.01</v>
      </c>
      <c r="Q883" t="b">
        <f>IF(     ISNUMBER(Table13345[[#This Row],[Strike]]),RTD("tos.rtd", , "BID", "."&amp;Table13345[[#This Row],[Ticker]]&amp;Table13345[[#This Row],[Expiry]]&amp;""&amp;"P"&amp;Table13345[[#This Row],[Strike]]))</f>
        <v>0</v>
      </c>
      <c r="R883" t="b">
        <f>IF(     ISNUMBER(Table13345[[#This Row],[Strike]]),RTD("tos.rtd", , "ASK", "."&amp;Table13345[[#This Row],[Ticker]]&amp;Table13345[[#This Row],[Expiry]]&amp;""&amp;"P"&amp;Table13345[[#This Row],[Strike]]))</f>
        <v>0</v>
      </c>
      <c r="S883" s="17"/>
      <c r="T883" t="b">
        <f>IF(     ISNUMBER(Table13345[[#This Row],[Strike]]),RTD("tos.rtd", , "OPEN_INT", "."&amp;Table13345[[#This Row],[Ticker]]&amp;Table13345[[#This Row],[Expiry]]&amp;""&amp;"P"&amp;Table13345[[#This Row],[Strike]]))</f>
        <v>0</v>
      </c>
      <c r="U88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3" t="b">
        <f>IF(     ISNUMBER(Table13345[[#This Row],[Strike]]),RTD("tos.rtd", , "DELTA", "."&amp;Table13345[[#This Row],[Ticker]]&amp;Table13345[[#This Row],[Expiry]]&amp;""&amp;"P"&amp;Table13345[[#This Row],[Strike]]))</f>
        <v>0</v>
      </c>
      <c r="Y883" s="19">
        <f>-19.5* IF($M$1="NDX", 10, IF(OR($M$1="SPX", $M$1="RUT"), 2, 1))</f>
        <v>-39</v>
      </c>
      <c r="Z883">
        <f ca="1">IFERROR(Table13345[[#This Row],[call gamma]]*(Table13345[[#This Row],[Open.Int]])*$A$4^2,0)</f>
        <v>0</v>
      </c>
      <c r="AA883">
        <f ca="1">IFERROR(((Table13345[[#This Row],[Open.Int8]])*Table13345[[#This Row],[Put gamma]])*-1*$A$4^2,0)</f>
        <v>0</v>
      </c>
      <c r="AB883">
        <f ca="1">(Table13345[[#This Row],[Call Gex]]+Table13345[[#This Row],[Put Gex]])</f>
        <v>0</v>
      </c>
      <c r="AC883">
        <f ca="1">Table13345[[#This Row],[put delta adj]]+Table13345[[#This Row],[call delta adj]]</f>
        <v>0</v>
      </c>
      <c r="AD883">
        <f ca="1">Table13345[[#This Row],[Put Gex]]*Table13345[[#This Row],[DeltaP]]*-1</f>
        <v>0</v>
      </c>
      <c r="AE883">
        <f ca="1">Table13345[[#This Row],[Call Gex]]*Table13345[[#This Row],[DeltaC]]</f>
        <v>0</v>
      </c>
      <c r="AF883">
        <f>IF(Table13345[[#This Row],[DeltaC]]-ABS(Table13345[[#This Row],[DeltaP]])="0","0.01",Table13345[[#This Row],[DeltaC]]-ABS(Table13345[[#This Row],[DeltaP]]))</f>
        <v>0</v>
      </c>
      <c r="AG88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3" t="e">
        <f ca="1">(EXP(-(AG883^2)/2)/SQRT(2*PI())*EXP(0*SQRT(Table13345[[#This Row],[T]]))/$A$4*18%*SQRT(SQRT(Table13345[[#This Row],[T]])))</f>
        <v>#DIV/0!</v>
      </c>
      <c r="AJ883" t="e">
        <f ca="1">(EXP(-(AH883^2)/2)/SQRT(2*PI())*EXP(0*SQRT(Table13345[[#This Row],[T]]))/$A$4*18%*SQRT(SQRT(Table13345[[#This Row],[T]])))</f>
        <v>#DIV/0!</v>
      </c>
      <c r="AK883" t="e">
        <f ca="1">Table13345[[#This Row],[Call D1]]-Table13345[[#This Row],[IV Calc C]]*SQRT(Table13345[[#This Row],[T]])</f>
        <v>#DIV/0!</v>
      </c>
      <c r="AL883" t="e">
        <f ca="1">Table13345[[#This Row],[Put D1]]-Table13345[[#This Row],[IV Calc P]]*SQRT(Table13345[[#This Row],[T]])</f>
        <v>#DIV/0!</v>
      </c>
      <c r="AM883" t="e">
        <f ca="1">EXP(-0.5*Table13345[[#This Row],[Call D1]]^2)/SQRT(2*PI())</f>
        <v>#DIV/0!</v>
      </c>
      <c r="AN883" t="e">
        <f ca="1">EXP(-0.5*Table13345[[#This Row],[Put D1]]^2)/SQRT(2*PI())</f>
        <v>#DIV/0!</v>
      </c>
      <c r="AO88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3">
        <f ca="1">((Table13345[[#This Row],[call vanna]]+Table13345[[#This Row],[put vanna]])*$A$4)</f>
        <v>0</v>
      </c>
      <c r="AR88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3" s="9" t="str" cm="1">
        <f t="array" ref="AT883">_xlfn.IFS(     $M$1="SPX","SPXW",     $M$1="RUT","RUTW",  $M$1="NDX","NDXP",   TRUE,$M$1 )</f>
        <v>SPXW</v>
      </c>
      <c r="AU883" s="2">
        <f t="shared" si="87"/>
        <v>6915</v>
      </c>
      <c r="AV883" t="str">
        <f t="shared" si="88"/>
        <v>000100</v>
      </c>
      <c r="AY88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3">
        <f>((Table13345[[#This Row],[High C]]+Table13345[[#This Row],[Low C]])/2)*Table13345[[#This Row],[gammac]]*Table13345[[#This Row],[Volume]]</f>
        <v>0</v>
      </c>
      <c r="BD883">
        <f>((Table13345[[#This Row],[High P]]+Table13345[[#This Row],[Low P]])/2)*Table13345[[#This Row],[gammap]]*Table13345[[#This Row],[Volume9]]*-1</f>
        <v>0</v>
      </c>
      <c r="BE883">
        <f>(Table13345[[#This Row],[SgammaC]]+Table13345[[#This Row],[SgammaP]])*$A$4*-100</f>
        <v>0</v>
      </c>
      <c r="BF883">
        <f>Table13345[[#This Row],[DEXc]]+Table13345[[#This Row],[DEXp]]</f>
        <v>0</v>
      </c>
      <c r="BG883">
        <f>IFERROR(Table13345[[#This Row],[DeltaC]]*Table13345[[#This Row],[Open.Int]]*$A$4,0)</f>
        <v>0</v>
      </c>
      <c r="BH883">
        <f>IFERROR(Table13345[[#This Row],[DeltaP]]*Table13345[[#This Row],[Open.Int8]]*$A$4,0)</f>
        <v>0</v>
      </c>
      <c r="BI88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3">
        <f ca="1">Table13345[[#This Row],[charmc]]+Table13345[[#This Row],[charmp]]</f>
        <v>0</v>
      </c>
      <c r="BL88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3" s="78">
        <f ca="1">Table13345[[#This Row],[call helper]]+Table13345[[#This Row],[put helper]]</f>
        <v>0</v>
      </c>
      <c r="BP883" t="str">
        <f>RTD("tos.rtd", , "STRIKE", "."&amp;Table13345[[#This Row],[Ticker]]&amp;Table13345[[#This Row],[Expiry]]&amp;""&amp;"C"&amp;Table13345[[#This Row],[Spot]]+Table13345[[#This Row],[step]])</f>
        <v>N/A</v>
      </c>
    </row>
    <row r="884" spans="1:68" x14ac:dyDescent="0.25">
      <c r="A884" s="14">
        <f t="shared" ca="1" si="84"/>
        <v>-126.14810350076104</v>
      </c>
      <c r="C884" s="17"/>
      <c r="D884" t="str">
        <f>RTD("tos.rtd", , "OPEN_INT", "."&amp;Table13345[[#This Row],[Ticker]]&amp;Table13345[[#This Row],[Expiry]]&amp;""&amp;"C"&amp;Table13345[[#This Row],[Spot]]+Table13345[[#This Row],[step]])</f>
        <v>N/A</v>
      </c>
      <c r="E88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4" t="b">
        <f>IF(     ISNUMBER(Table13345[[#This Row],[Strike]]),RTD("tos.rtd", , "DELTA", "."&amp;Table13345[[#This Row],[Ticker]]&amp;Table13345[[#This Row],[Expiry]]&amp;""&amp;"C"&amp;Table13345[[#This Row],[Strike]]))</f>
        <v>0</v>
      </c>
      <c r="H884" s="17" cm="1">
        <f t="array" aca="1" ref="H884" ca="1">IndividualLegIVCore($A$4, Table13345[[#This Row],[Strike]], 0.0411, Table13345[[#This Row],[T]], ((Table13345[[#This Row],[BIDC]]+Table13345[[#This Row],[ASKC]])/2), TRUE)</f>
        <v>0.01</v>
      </c>
      <c r="I884" t="b">
        <f>IF(     ISNUMBER(Table13345[[#This Row],[Strike]]),RTD("tos.rtd", , "BID", "."&amp;Table13345[[#This Row],[Ticker]]&amp;Table13345[[#This Row],[Expiry]]&amp;""&amp;"C"&amp;Table13345[[#This Row],[Strike]]))</f>
        <v>0</v>
      </c>
      <c r="J884" t="b">
        <f>IF(     ISNUMBER(Table13345[[#This Row],[Strike]]),RTD("tos.rtd", , "ASK", "."&amp;Table13345[[#This Row],[Ticker]]&amp;Table13345[[#This Row],[Expiry]]&amp;""&amp;"C"&amp;Table13345[[#This Row],[Strike]]))</f>
        <v>0</v>
      </c>
      <c r="K884" s="17"/>
      <c r="M884" s="1">
        <f t="shared" si="85"/>
        <v>0</v>
      </c>
      <c r="N884" t="b">
        <f t="shared" si="86"/>
        <v>0</v>
      </c>
      <c r="P884" s="17" cm="1">
        <f t="array" aca="1" ref="P884" ca="1">IndividualLegIVCore($A$4, Table13345[[#This Row],[Strike]], 0.0411, Table13345[[#This Row],[T]], ((Table13345[[#This Row],[BIDP]]+Table13345[[#This Row],[ASKP]])/2), FALSE)</f>
        <v>0.01</v>
      </c>
      <c r="Q884" t="b">
        <f>IF(     ISNUMBER(Table13345[[#This Row],[Strike]]),RTD("tos.rtd", , "BID", "."&amp;Table13345[[#This Row],[Ticker]]&amp;Table13345[[#This Row],[Expiry]]&amp;""&amp;"P"&amp;Table13345[[#This Row],[Strike]]))</f>
        <v>0</v>
      </c>
      <c r="R884" t="b">
        <f>IF(     ISNUMBER(Table13345[[#This Row],[Strike]]),RTD("tos.rtd", , "ASK", "."&amp;Table13345[[#This Row],[Ticker]]&amp;Table13345[[#This Row],[Expiry]]&amp;""&amp;"P"&amp;Table13345[[#This Row],[Strike]]))</f>
        <v>0</v>
      </c>
      <c r="S884" s="17"/>
      <c r="T884" t="b">
        <f>IF(     ISNUMBER(Table13345[[#This Row],[Strike]]),RTD("tos.rtd", , "OPEN_INT", "."&amp;Table13345[[#This Row],[Ticker]]&amp;Table13345[[#This Row],[Expiry]]&amp;""&amp;"P"&amp;Table13345[[#This Row],[Strike]]))</f>
        <v>0</v>
      </c>
      <c r="U88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4" t="b">
        <f>IF(     ISNUMBER(Table13345[[#This Row],[Strike]]),RTD("tos.rtd", , "DELTA", "."&amp;Table13345[[#This Row],[Ticker]]&amp;Table13345[[#This Row],[Expiry]]&amp;""&amp;"P"&amp;Table13345[[#This Row],[Strike]]))</f>
        <v>0</v>
      </c>
      <c r="Y884" s="19">
        <f>-19* IF($M$1="NDX", 10, IF(OR($M$1="SPX", $M$1="RUT"), 2, 1))</f>
        <v>-38</v>
      </c>
      <c r="Z884">
        <f ca="1">IFERROR(Table13345[[#This Row],[call gamma]]*(Table13345[[#This Row],[Open.Int]])*$A$4^2,0)</f>
        <v>0</v>
      </c>
      <c r="AA884">
        <f ca="1">IFERROR(((Table13345[[#This Row],[Open.Int8]])*Table13345[[#This Row],[Put gamma]])*-1*$A$4^2,0)</f>
        <v>0</v>
      </c>
      <c r="AB884">
        <f ca="1">(Table13345[[#This Row],[Call Gex]]+Table13345[[#This Row],[Put Gex]])</f>
        <v>0</v>
      </c>
      <c r="AC884">
        <f ca="1">Table13345[[#This Row],[put delta adj]]+Table13345[[#This Row],[call delta adj]]</f>
        <v>0</v>
      </c>
      <c r="AD884">
        <f ca="1">Table13345[[#This Row],[Put Gex]]*Table13345[[#This Row],[DeltaP]]*-1</f>
        <v>0</v>
      </c>
      <c r="AE884">
        <f ca="1">Table13345[[#This Row],[Call Gex]]*Table13345[[#This Row],[DeltaC]]</f>
        <v>0</v>
      </c>
      <c r="AF884">
        <f>IF(Table13345[[#This Row],[DeltaC]]-ABS(Table13345[[#This Row],[DeltaP]])="0","0.01",Table13345[[#This Row],[DeltaC]]-ABS(Table13345[[#This Row],[DeltaP]]))</f>
        <v>0</v>
      </c>
      <c r="AG88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4" t="e">
        <f ca="1">(EXP(-(AG884^2)/2)/SQRT(2*PI())*EXP(0*SQRT(Table13345[[#This Row],[T]]))/$A$4*18%*SQRT(SQRT(Table13345[[#This Row],[T]])))</f>
        <v>#DIV/0!</v>
      </c>
      <c r="AJ884" t="e">
        <f ca="1">(EXP(-(AH884^2)/2)/SQRT(2*PI())*EXP(0*SQRT(Table13345[[#This Row],[T]]))/$A$4*18%*SQRT(SQRT(Table13345[[#This Row],[T]])))</f>
        <v>#DIV/0!</v>
      </c>
      <c r="AK884" t="e">
        <f ca="1">Table13345[[#This Row],[Call D1]]-Table13345[[#This Row],[IV Calc C]]*SQRT(Table13345[[#This Row],[T]])</f>
        <v>#DIV/0!</v>
      </c>
      <c r="AL884" t="e">
        <f ca="1">Table13345[[#This Row],[Put D1]]-Table13345[[#This Row],[IV Calc P]]*SQRT(Table13345[[#This Row],[T]])</f>
        <v>#DIV/0!</v>
      </c>
      <c r="AM884" t="e">
        <f ca="1">EXP(-0.5*Table13345[[#This Row],[Call D1]]^2)/SQRT(2*PI())</f>
        <v>#DIV/0!</v>
      </c>
      <c r="AN884" t="e">
        <f ca="1">EXP(-0.5*Table13345[[#This Row],[Put D1]]^2)/SQRT(2*PI())</f>
        <v>#DIV/0!</v>
      </c>
      <c r="AO88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4">
        <f ca="1">((Table13345[[#This Row],[call vanna]]+Table13345[[#This Row],[put vanna]])*$A$4)</f>
        <v>0</v>
      </c>
      <c r="AR88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4" s="9" t="str" cm="1">
        <f t="array" ref="AT884">_xlfn.IFS(     $M$1="SPX","SPXW",     $M$1="RUT","RUTW",  $M$1="NDX","NDXP",   TRUE,$M$1 )</f>
        <v>SPXW</v>
      </c>
      <c r="AU884" s="2">
        <f t="shared" si="87"/>
        <v>6915</v>
      </c>
      <c r="AV884" t="str">
        <f t="shared" si="88"/>
        <v>000100</v>
      </c>
      <c r="AY88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4">
        <f>((Table13345[[#This Row],[High C]]+Table13345[[#This Row],[Low C]])/2)*Table13345[[#This Row],[gammac]]*Table13345[[#This Row],[Volume]]</f>
        <v>0</v>
      </c>
      <c r="BD884">
        <f>((Table13345[[#This Row],[High P]]+Table13345[[#This Row],[Low P]])/2)*Table13345[[#This Row],[gammap]]*Table13345[[#This Row],[Volume9]]*-1</f>
        <v>0</v>
      </c>
      <c r="BE884">
        <f>(Table13345[[#This Row],[SgammaC]]+Table13345[[#This Row],[SgammaP]])*$A$4*-100</f>
        <v>0</v>
      </c>
      <c r="BF884">
        <f>Table13345[[#This Row],[DEXc]]+Table13345[[#This Row],[DEXp]]</f>
        <v>0</v>
      </c>
      <c r="BG884">
        <f>IFERROR(Table13345[[#This Row],[DeltaC]]*Table13345[[#This Row],[Open.Int]]*$A$4,0)</f>
        <v>0</v>
      </c>
      <c r="BH884">
        <f>IFERROR(Table13345[[#This Row],[DeltaP]]*Table13345[[#This Row],[Open.Int8]]*$A$4,0)</f>
        <v>0</v>
      </c>
      <c r="BI88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4">
        <f ca="1">Table13345[[#This Row],[charmc]]+Table13345[[#This Row],[charmp]]</f>
        <v>0</v>
      </c>
      <c r="BL88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4" s="78">
        <f ca="1">Table13345[[#This Row],[call helper]]+Table13345[[#This Row],[put helper]]</f>
        <v>0</v>
      </c>
      <c r="BP884" t="str">
        <f>RTD("tos.rtd", , "STRIKE", "."&amp;Table13345[[#This Row],[Ticker]]&amp;Table13345[[#This Row],[Expiry]]&amp;""&amp;"C"&amp;Table13345[[#This Row],[Spot]]+Table13345[[#This Row],[step]])</f>
        <v>N/A</v>
      </c>
    </row>
    <row r="885" spans="1:68" x14ac:dyDescent="0.25">
      <c r="A885" s="14">
        <f t="shared" ca="1" si="84"/>
        <v>-126.14810350076104</v>
      </c>
      <c r="C885" s="17"/>
      <c r="D885" t="str">
        <f>RTD("tos.rtd", , "OPEN_INT", "."&amp;Table13345[[#This Row],[Ticker]]&amp;Table13345[[#This Row],[Expiry]]&amp;""&amp;"C"&amp;Table13345[[#This Row],[Spot]]+Table13345[[#This Row],[step]])</f>
        <v>N/A</v>
      </c>
      <c r="E88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5" t="b">
        <f>IF(     ISNUMBER(Table13345[[#This Row],[Strike]]),RTD("tos.rtd", , "DELTA", "."&amp;Table13345[[#This Row],[Ticker]]&amp;Table13345[[#This Row],[Expiry]]&amp;""&amp;"C"&amp;Table13345[[#This Row],[Strike]]))</f>
        <v>0</v>
      </c>
      <c r="H885" s="17" cm="1">
        <f t="array" aca="1" ref="H885" ca="1">IndividualLegIVCore($A$4, Table13345[[#This Row],[Strike]], 0.0411, Table13345[[#This Row],[T]], ((Table13345[[#This Row],[BIDC]]+Table13345[[#This Row],[ASKC]])/2), TRUE)</f>
        <v>0.01</v>
      </c>
      <c r="I885" t="b">
        <f>IF(     ISNUMBER(Table13345[[#This Row],[Strike]]),RTD("tos.rtd", , "BID", "."&amp;Table13345[[#This Row],[Ticker]]&amp;Table13345[[#This Row],[Expiry]]&amp;""&amp;"C"&amp;Table13345[[#This Row],[Strike]]))</f>
        <v>0</v>
      </c>
      <c r="J885" t="b">
        <f>IF(     ISNUMBER(Table13345[[#This Row],[Strike]]),RTD("tos.rtd", , "ASK", "."&amp;Table13345[[#This Row],[Ticker]]&amp;Table13345[[#This Row],[Expiry]]&amp;""&amp;"C"&amp;Table13345[[#This Row],[Strike]]))</f>
        <v>0</v>
      </c>
      <c r="K885" s="17"/>
      <c r="M885" s="1">
        <f t="shared" si="85"/>
        <v>0</v>
      </c>
      <c r="N885" t="b">
        <f t="shared" si="86"/>
        <v>0</v>
      </c>
      <c r="P885" s="17" cm="1">
        <f t="array" aca="1" ref="P885" ca="1">IndividualLegIVCore($A$4, Table13345[[#This Row],[Strike]], 0.0411, Table13345[[#This Row],[T]], ((Table13345[[#This Row],[BIDP]]+Table13345[[#This Row],[ASKP]])/2), FALSE)</f>
        <v>0.01</v>
      </c>
      <c r="Q885" t="b">
        <f>IF(     ISNUMBER(Table13345[[#This Row],[Strike]]),RTD("tos.rtd", , "BID", "."&amp;Table13345[[#This Row],[Ticker]]&amp;Table13345[[#This Row],[Expiry]]&amp;""&amp;"P"&amp;Table13345[[#This Row],[Strike]]))</f>
        <v>0</v>
      </c>
      <c r="R885" t="b">
        <f>IF(     ISNUMBER(Table13345[[#This Row],[Strike]]),RTD("tos.rtd", , "ASK", "."&amp;Table13345[[#This Row],[Ticker]]&amp;Table13345[[#This Row],[Expiry]]&amp;""&amp;"P"&amp;Table13345[[#This Row],[Strike]]))</f>
        <v>0</v>
      </c>
      <c r="S885" s="17"/>
      <c r="T885" t="b">
        <f>IF(     ISNUMBER(Table13345[[#This Row],[Strike]]),RTD("tos.rtd", , "OPEN_INT", "."&amp;Table13345[[#This Row],[Ticker]]&amp;Table13345[[#This Row],[Expiry]]&amp;""&amp;"P"&amp;Table13345[[#This Row],[Strike]]))</f>
        <v>0</v>
      </c>
      <c r="U88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5" t="b">
        <f>IF(     ISNUMBER(Table13345[[#This Row],[Strike]]),RTD("tos.rtd", , "DELTA", "."&amp;Table13345[[#This Row],[Ticker]]&amp;Table13345[[#This Row],[Expiry]]&amp;""&amp;"P"&amp;Table13345[[#This Row],[Strike]]))</f>
        <v>0</v>
      </c>
      <c r="Y885" s="19">
        <f>-18.5* IF($M$1="NDX", 10, IF(OR($M$1="SPX", $M$1="RUT"), 2, 1))</f>
        <v>-37</v>
      </c>
      <c r="Z885">
        <f ca="1">IFERROR(Table13345[[#This Row],[call gamma]]*(Table13345[[#This Row],[Open.Int]])*$A$4^2,0)</f>
        <v>0</v>
      </c>
      <c r="AA885">
        <f ca="1">IFERROR(((Table13345[[#This Row],[Open.Int8]])*Table13345[[#This Row],[Put gamma]])*-1*$A$4^2,0)</f>
        <v>0</v>
      </c>
      <c r="AB885">
        <f ca="1">(Table13345[[#This Row],[Call Gex]]+Table13345[[#This Row],[Put Gex]])</f>
        <v>0</v>
      </c>
      <c r="AC885">
        <f ca="1">Table13345[[#This Row],[put delta adj]]+Table13345[[#This Row],[call delta adj]]</f>
        <v>0</v>
      </c>
      <c r="AD885">
        <f ca="1">Table13345[[#This Row],[Put Gex]]*Table13345[[#This Row],[DeltaP]]*-1</f>
        <v>0</v>
      </c>
      <c r="AE885">
        <f ca="1">Table13345[[#This Row],[Call Gex]]*Table13345[[#This Row],[DeltaC]]</f>
        <v>0</v>
      </c>
      <c r="AF885">
        <f>IF(Table13345[[#This Row],[DeltaC]]-ABS(Table13345[[#This Row],[DeltaP]])="0","0.01",Table13345[[#This Row],[DeltaC]]-ABS(Table13345[[#This Row],[DeltaP]]))</f>
        <v>0</v>
      </c>
      <c r="AG88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5" t="e">
        <f ca="1">(EXP(-(AG885^2)/2)/SQRT(2*PI())*EXP(0*SQRT(Table13345[[#This Row],[T]]))/$A$4*18%*SQRT(SQRT(Table13345[[#This Row],[T]])))</f>
        <v>#DIV/0!</v>
      </c>
      <c r="AJ885" t="e">
        <f ca="1">(EXP(-(AH885^2)/2)/SQRT(2*PI())*EXP(0*SQRT(Table13345[[#This Row],[T]]))/$A$4*18%*SQRT(SQRT(Table13345[[#This Row],[T]])))</f>
        <v>#DIV/0!</v>
      </c>
      <c r="AK885" t="e">
        <f ca="1">Table13345[[#This Row],[Call D1]]-Table13345[[#This Row],[IV Calc C]]*SQRT(Table13345[[#This Row],[T]])</f>
        <v>#DIV/0!</v>
      </c>
      <c r="AL885" t="e">
        <f ca="1">Table13345[[#This Row],[Put D1]]-Table13345[[#This Row],[IV Calc P]]*SQRT(Table13345[[#This Row],[T]])</f>
        <v>#DIV/0!</v>
      </c>
      <c r="AM885" t="e">
        <f ca="1">EXP(-0.5*Table13345[[#This Row],[Call D1]]^2)/SQRT(2*PI())</f>
        <v>#DIV/0!</v>
      </c>
      <c r="AN885" t="e">
        <f ca="1">EXP(-0.5*Table13345[[#This Row],[Put D1]]^2)/SQRT(2*PI())</f>
        <v>#DIV/0!</v>
      </c>
      <c r="AO88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5">
        <f ca="1">((Table13345[[#This Row],[call vanna]]+Table13345[[#This Row],[put vanna]])*$A$4)</f>
        <v>0</v>
      </c>
      <c r="AR88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5" s="9" t="str" cm="1">
        <f t="array" ref="AT885">_xlfn.IFS(     $M$1="SPX","SPXW",     $M$1="RUT","RUTW",  $M$1="NDX","NDXP",   TRUE,$M$1 )</f>
        <v>SPXW</v>
      </c>
      <c r="AU885" s="2">
        <f t="shared" si="87"/>
        <v>6915</v>
      </c>
      <c r="AV885" t="str">
        <f t="shared" si="88"/>
        <v>000100</v>
      </c>
      <c r="AY88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5">
        <f>((Table13345[[#This Row],[High C]]+Table13345[[#This Row],[Low C]])/2)*Table13345[[#This Row],[gammac]]*Table13345[[#This Row],[Volume]]</f>
        <v>0</v>
      </c>
      <c r="BD885">
        <f>((Table13345[[#This Row],[High P]]+Table13345[[#This Row],[Low P]])/2)*Table13345[[#This Row],[gammap]]*Table13345[[#This Row],[Volume9]]*-1</f>
        <v>0</v>
      </c>
      <c r="BE885">
        <f>(Table13345[[#This Row],[SgammaC]]+Table13345[[#This Row],[SgammaP]])*$A$4*-100</f>
        <v>0</v>
      </c>
      <c r="BF885">
        <f>Table13345[[#This Row],[DEXc]]+Table13345[[#This Row],[DEXp]]</f>
        <v>0</v>
      </c>
      <c r="BG885">
        <f>IFERROR(Table13345[[#This Row],[DeltaC]]*Table13345[[#This Row],[Open.Int]]*$A$4,0)</f>
        <v>0</v>
      </c>
      <c r="BH885">
        <f>IFERROR(Table13345[[#This Row],[DeltaP]]*Table13345[[#This Row],[Open.Int8]]*$A$4,0)</f>
        <v>0</v>
      </c>
      <c r="BI88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5">
        <f ca="1">Table13345[[#This Row],[charmc]]+Table13345[[#This Row],[charmp]]</f>
        <v>0</v>
      </c>
      <c r="BL88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5" s="78">
        <f ca="1">Table13345[[#This Row],[call helper]]+Table13345[[#This Row],[put helper]]</f>
        <v>0</v>
      </c>
      <c r="BP885" t="str">
        <f>RTD("tos.rtd", , "STRIKE", "."&amp;Table13345[[#This Row],[Ticker]]&amp;Table13345[[#This Row],[Expiry]]&amp;""&amp;"C"&amp;Table13345[[#This Row],[Spot]]+Table13345[[#This Row],[step]])</f>
        <v>N/A</v>
      </c>
    </row>
    <row r="886" spans="1:68" x14ac:dyDescent="0.25">
      <c r="A886" s="14">
        <f t="shared" ref="A886:A949" ca="1" si="89">$S$3</f>
        <v>-126.14810350076104</v>
      </c>
      <c r="C886" s="17"/>
      <c r="D886" t="str">
        <f>RTD("tos.rtd", , "OPEN_INT", "."&amp;Table13345[[#This Row],[Ticker]]&amp;Table13345[[#This Row],[Expiry]]&amp;""&amp;"C"&amp;Table13345[[#This Row],[Spot]]+Table13345[[#This Row],[step]])</f>
        <v>N/A</v>
      </c>
      <c r="E88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6" t="b">
        <f>IF(     ISNUMBER(Table13345[[#This Row],[Strike]]),RTD("tos.rtd", , "DELTA", "."&amp;Table13345[[#This Row],[Ticker]]&amp;Table13345[[#This Row],[Expiry]]&amp;""&amp;"C"&amp;Table13345[[#This Row],[Strike]]))</f>
        <v>0</v>
      </c>
      <c r="H886" s="17" cm="1">
        <f t="array" aca="1" ref="H886" ca="1">IndividualLegIVCore($A$4, Table13345[[#This Row],[Strike]], 0.0411, Table13345[[#This Row],[T]], ((Table13345[[#This Row],[BIDC]]+Table13345[[#This Row],[ASKC]])/2), TRUE)</f>
        <v>0.01</v>
      </c>
      <c r="I886" t="b">
        <f>IF(     ISNUMBER(Table13345[[#This Row],[Strike]]),RTD("tos.rtd", , "BID", "."&amp;Table13345[[#This Row],[Ticker]]&amp;Table13345[[#This Row],[Expiry]]&amp;""&amp;"C"&amp;Table13345[[#This Row],[Strike]]))</f>
        <v>0</v>
      </c>
      <c r="J886" t="b">
        <f>IF(     ISNUMBER(Table13345[[#This Row],[Strike]]),RTD("tos.rtd", , "ASK", "."&amp;Table13345[[#This Row],[Ticker]]&amp;Table13345[[#This Row],[Expiry]]&amp;""&amp;"C"&amp;Table13345[[#This Row],[Strike]]))</f>
        <v>0</v>
      </c>
      <c r="K886" s="17"/>
      <c r="M886" s="1">
        <f t="shared" ref="M886:M949" si="90">$S$1</f>
        <v>0</v>
      </c>
      <c r="N886" t="b">
        <f t="shared" ref="N886:N949" si="91">IF(ISNUMBER($BP886), $BP886, FALSE)</f>
        <v>0</v>
      </c>
      <c r="P886" s="17" cm="1">
        <f t="array" aca="1" ref="P886" ca="1">IndividualLegIVCore($A$4, Table13345[[#This Row],[Strike]], 0.0411, Table13345[[#This Row],[T]], ((Table13345[[#This Row],[BIDP]]+Table13345[[#This Row],[ASKP]])/2), FALSE)</f>
        <v>0.01</v>
      </c>
      <c r="Q886" t="b">
        <f>IF(     ISNUMBER(Table13345[[#This Row],[Strike]]),RTD("tos.rtd", , "BID", "."&amp;Table13345[[#This Row],[Ticker]]&amp;Table13345[[#This Row],[Expiry]]&amp;""&amp;"P"&amp;Table13345[[#This Row],[Strike]]))</f>
        <v>0</v>
      </c>
      <c r="R886" t="b">
        <f>IF(     ISNUMBER(Table13345[[#This Row],[Strike]]),RTD("tos.rtd", , "ASK", "."&amp;Table13345[[#This Row],[Ticker]]&amp;Table13345[[#This Row],[Expiry]]&amp;""&amp;"P"&amp;Table13345[[#This Row],[Strike]]))</f>
        <v>0</v>
      </c>
      <c r="S886" s="17"/>
      <c r="T886" t="b">
        <f>IF(     ISNUMBER(Table13345[[#This Row],[Strike]]),RTD("tos.rtd", , "OPEN_INT", "."&amp;Table13345[[#This Row],[Ticker]]&amp;Table13345[[#This Row],[Expiry]]&amp;""&amp;"P"&amp;Table13345[[#This Row],[Strike]]))</f>
        <v>0</v>
      </c>
      <c r="U88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6" t="b">
        <f>IF(     ISNUMBER(Table13345[[#This Row],[Strike]]),RTD("tos.rtd", , "DELTA", "."&amp;Table13345[[#This Row],[Ticker]]&amp;Table13345[[#This Row],[Expiry]]&amp;""&amp;"P"&amp;Table13345[[#This Row],[Strike]]))</f>
        <v>0</v>
      </c>
      <c r="Y886" s="19">
        <f>-18* IF($M$1="NDX", 10, IF(OR($M$1="SPX", $M$1="RUT"), 2, 1))</f>
        <v>-36</v>
      </c>
      <c r="Z886">
        <f ca="1">IFERROR(Table13345[[#This Row],[call gamma]]*(Table13345[[#This Row],[Open.Int]])*$A$4^2,0)</f>
        <v>0</v>
      </c>
      <c r="AA886">
        <f ca="1">IFERROR(((Table13345[[#This Row],[Open.Int8]])*Table13345[[#This Row],[Put gamma]])*-1*$A$4^2,0)</f>
        <v>0</v>
      </c>
      <c r="AB886">
        <f ca="1">(Table13345[[#This Row],[Call Gex]]+Table13345[[#This Row],[Put Gex]])</f>
        <v>0</v>
      </c>
      <c r="AC886">
        <f ca="1">Table13345[[#This Row],[put delta adj]]+Table13345[[#This Row],[call delta adj]]</f>
        <v>0</v>
      </c>
      <c r="AD886">
        <f ca="1">Table13345[[#This Row],[Put Gex]]*Table13345[[#This Row],[DeltaP]]*-1</f>
        <v>0</v>
      </c>
      <c r="AE886">
        <f ca="1">Table13345[[#This Row],[Call Gex]]*Table13345[[#This Row],[DeltaC]]</f>
        <v>0</v>
      </c>
      <c r="AF886">
        <f>IF(Table13345[[#This Row],[DeltaC]]-ABS(Table13345[[#This Row],[DeltaP]])="0","0.01",Table13345[[#This Row],[DeltaC]]-ABS(Table13345[[#This Row],[DeltaP]]))</f>
        <v>0</v>
      </c>
      <c r="AG88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6" t="e">
        <f ca="1">(EXP(-(AG886^2)/2)/SQRT(2*PI())*EXP(0*SQRT(Table13345[[#This Row],[T]]))/$A$4*18%*SQRT(SQRT(Table13345[[#This Row],[T]])))</f>
        <v>#DIV/0!</v>
      </c>
      <c r="AJ886" t="e">
        <f ca="1">(EXP(-(AH886^2)/2)/SQRT(2*PI())*EXP(0*SQRT(Table13345[[#This Row],[T]]))/$A$4*18%*SQRT(SQRT(Table13345[[#This Row],[T]])))</f>
        <v>#DIV/0!</v>
      </c>
      <c r="AK886" t="e">
        <f ca="1">Table13345[[#This Row],[Call D1]]-Table13345[[#This Row],[IV Calc C]]*SQRT(Table13345[[#This Row],[T]])</f>
        <v>#DIV/0!</v>
      </c>
      <c r="AL886" t="e">
        <f ca="1">Table13345[[#This Row],[Put D1]]-Table13345[[#This Row],[IV Calc P]]*SQRT(Table13345[[#This Row],[T]])</f>
        <v>#DIV/0!</v>
      </c>
      <c r="AM886" t="e">
        <f ca="1">EXP(-0.5*Table13345[[#This Row],[Call D1]]^2)/SQRT(2*PI())</f>
        <v>#DIV/0!</v>
      </c>
      <c r="AN886" t="e">
        <f ca="1">EXP(-0.5*Table13345[[#This Row],[Put D1]]^2)/SQRT(2*PI())</f>
        <v>#DIV/0!</v>
      </c>
      <c r="AO88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6">
        <f ca="1">((Table13345[[#This Row],[call vanna]]+Table13345[[#This Row],[put vanna]])*$A$4)</f>
        <v>0</v>
      </c>
      <c r="AR88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6" s="9" t="str" cm="1">
        <f t="array" ref="AT886">_xlfn.IFS(     $M$1="SPX","SPXW",     $M$1="RUT","RUTW",  $M$1="NDX","NDXP",   TRUE,$M$1 )</f>
        <v>SPXW</v>
      </c>
      <c r="AU886" s="2">
        <f t="shared" ref="AU886:AU949" si="92">$N$1</f>
        <v>6915</v>
      </c>
      <c r="AV886" t="str">
        <f t="shared" ref="AV886:AV949" si="93">$S$2</f>
        <v>000100</v>
      </c>
      <c r="AY88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6">
        <f>((Table13345[[#This Row],[High C]]+Table13345[[#This Row],[Low C]])/2)*Table13345[[#This Row],[gammac]]*Table13345[[#This Row],[Volume]]</f>
        <v>0</v>
      </c>
      <c r="BD886">
        <f>((Table13345[[#This Row],[High P]]+Table13345[[#This Row],[Low P]])/2)*Table13345[[#This Row],[gammap]]*Table13345[[#This Row],[Volume9]]*-1</f>
        <v>0</v>
      </c>
      <c r="BE886">
        <f>(Table13345[[#This Row],[SgammaC]]+Table13345[[#This Row],[SgammaP]])*$A$4*-100</f>
        <v>0</v>
      </c>
      <c r="BF886">
        <f>Table13345[[#This Row],[DEXc]]+Table13345[[#This Row],[DEXp]]</f>
        <v>0</v>
      </c>
      <c r="BG886">
        <f>IFERROR(Table13345[[#This Row],[DeltaC]]*Table13345[[#This Row],[Open.Int]]*$A$4,0)</f>
        <v>0</v>
      </c>
      <c r="BH886">
        <f>IFERROR(Table13345[[#This Row],[DeltaP]]*Table13345[[#This Row],[Open.Int8]]*$A$4,0)</f>
        <v>0</v>
      </c>
      <c r="BI88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6">
        <f ca="1">Table13345[[#This Row],[charmc]]+Table13345[[#This Row],[charmp]]</f>
        <v>0</v>
      </c>
      <c r="BL88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6" s="78">
        <f ca="1">Table13345[[#This Row],[call helper]]+Table13345[[#This Row],[put helper]]</f>
        <v>0</v>
      </c>
      <c r="BP886" t="str">
        <f>RTD("tos.rtd", , "STRIKE", "."&amp;Table13345[[#This Row],[Ticker]]&amp;Table13345[[#This Row],[Expiry]]&amp;""&amp;"C"&amp;Table13345[[#This Row],[Spot]]+Table13345[[#This Row],[step]])</f>
        <v>N/A</v>
      </c>
    </row>
    <row r="887" spans="1:68" x14ac:dyDescent="0.25">
      <c r="A887" s="14">
        <f t="shared" ca="1" si="89"/>
        <v>-126.14810350076104</v>
      </c>
      <c r="C887" s="17"/>
      <c r="D887" t="str">
        <f>RTD("tos.rtd", , "OPEN_INT", "."&amp;Table13345[[#This Row],[Ticker]]&amp;Table13345[[#This Row],[Expiry]]&amp;""&amp;"C"&amp;Table13345[[#This Row],[Spot]]+Table13345[[#This Row],[step]])</f>
        <v>N/A</v>
      </c>
      <c r="E88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7" t="b">
        <f>IF(     ISNUMBER(Table13345[[#This Row],[Strike]]),RTD("tos.rtd", , "DELTA", "."&amp;Table13345[[#This Row],[Ticker]]&amp;Table13345[[#This Row],[Expiry]]&amp;""&amp;"C"&amp;Table13345[[#This Row],[Strike]]))</f>
        <v>0</v>
      </c>
      <c r="H887" s="17" cm="1">
        <f t="array" aca="1" ref="H887" ca="1">IndividualLegIVCore($A$4, Table13345[[#This Row],[Strike]], 0.0411, Table13345[[#This Row],[T]], ((Table13345[[#This Row],[BIDC]]+Table13345[[#This Row],[ASKC]])/2), TRUE)</f>
        <v>0.01</v>
      </c>
      <c r="I887" t="b">
        <f>IF(     ISNUMBER(Table13345[[#This Row],[Strike]]),RTD("tos.rtd", , "BID", "."&amp;Table13345[[#This Row],[Ticker]]&amp;Table13345[[#This Row],[Expiry]]&amp;""&amp;"C"&amp;Table13345[[#This Row],[Strike]]))</f>
        <v>0</v>
      </c>
      <c r="J887" t="b">
        <f>IF(     ISNUMBER(Table13345[[#This Row],[Strike]]),RTD("tos.rtd", , "ASK", "."&amp;Table13345[[#This Row],[Ticker]]&amp;Table13345[[#This Row],[Expiry]]&amp;""&amp;"C"&amp;Table13345[[#This Row],[Strike]]))</f>
        <v>0</v>
      </c>
      <c r="K887" s="17"/>
      <c r="M887" s="1">
        <f t="shared" si="90"/>
        <v>0</v>
      </c>
      <c r="N887" t="b">
        <f t="shared" si="91"/>
        <v>0</v>
      </c>
      <c r="P887" s="17" cm="1">
        <f t="array" aca="1" ref="P887" ca="1">IndividualLegIVCore($A$4, Table13345[[#This Row],[Strike]], 0.0411, Table13345[[#This Row],[T]], ((Table13345[[#This Row],[BIDP]]+Table13345[[#This Row],[ASKP]])/2), FALSE)</f>
        <v>0.01</v>
      </c>
      <c r="Q887" t="b">
        <f>IF(     ISNUMBER(Table13345[[#This Row],[Strike]]),RTD("tos.rtd", , "BID", "."&amp;Table13345[[#This Row],[Ticker]]&amp;Table13345[[#This Row],[Expiry]]&amp;""&amp;"P"&amp;Table13345[[#This Row],[Strike]]))</f>
        <v>0</v>
      </c>
      <c r="R887" t="b">
        <f>IF(     ISNUMBER(Table13345[[#This Row],[Strike]]),RTD("tos.rtd", , "ASK", "."&amp;Table13345[[#This Row],[Ticker]]&amp;Table13345[[#This Row],[Expiry]]&amp;""&amp;"P"&amp;Table13345[[#This Row],[Strike]]))</f>
        <v>0</v>
      </c>
      <c r="S887" s="17"/>
      <c r="T887" t="b">
        <f>IF(     ISNUMBER(Table13345[[#This Row],[Strike]]),RTD("tos.rtd", , "OPEN_INT", "."&amp;Table13345[[#This Row],[Ticker]]&amp;Table13345[[#This Row],[Expiry]]&amp;""&amp;"P"&amp;Table13345[[#This Row],[Strike]]))</f>
        <v>0</v>
      </c>
      <c r="U88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7" t="b">
        <f>IF(     ISNUMBER(Table13345[[#This Row],[Strike]]),RTD("tos.rtd", , "DELTA", "."&amp;Table13345[[#This Row],[Ticker]]&amp;Table13345[[#This Row],[Expiry]]&amp;""&amp;"P"&amp;Table13345[[#This Row],[Strike]]))</f>
        <v>0</v>
      </c>
      <c r="Y887" s="19">
        <f>-17.5* IF($M$1="NDX", 10, IF(OR($M$1="SPX", $M$1="RUT"), 2, 1))</f>
        <v>-35</v>
      </c>
      <c r="Z887">
        <f ca="1">IFERROR(Table13345[[#This Row],[call gamma]]*(Table13345[[#This Row],[Open.Int]])*$A$4^2,0)</f>
        <v>0</v>
      </c>
      <c r="AA887">
        <f ca="1">IFERROR(((Table13345[[#This Row],[Open.Int8]])*Table13345[[#This Row],[Put gamma]])*-1*$A$4^2,0)</f>
        <v>0</v>
      </c>
      <c r="AB887">
        <f ca="1">(Table13345[[#This Row],[Call Gex]]+Table13345[[#This Row],[Put Gex]])</f>
        <v>0</v>
      </c>
      <c r="AC887">
        <f ca="1">Table13345[[#This Row],[put delta adj]]+Table13345[[#This Row],[call delta adj]]</f>
        <v>0</v>
      </c>
      <c r="AD887">
        <f ca="1">Table13345[[#This Row],[Put Gex]]*Table13345[[#This Row],[DeltaP]]*-1</f>
        <v>0</v>
      </c>
      <c r="AE887">
        <f ca="1">Table13345[[#This Row],[Call Gex]]*Table13345[[#This Row],[DeltaC]]</f>
        <v>0</v>
      </c>
      <c r="AF887">
        <f>IF(Table13345[[#This Row],[DeltaC]]-ABS(Table13345[[#This Row],[DeltaP]])="0","0.01",Table13345[[#This Row],[DeltaC]]-ABS(Table13345[[#This Row],[DeltaP]]))</f>
        <v>0</v>
      </c>
      <c r="AG88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7" t="e">
        <f ca="1">(EXP(-(AG887^2)/2)/SQRT(2*PI())*EXP(0*SQRT(Table13345[[#This Row],[T]]))/$A$4*18%*SQRT(SQRT(Table13345[[#This Row],[T]])))</f>
        <v>#DIV/0!</v>
      </c>
      <c r="AJ887" t="e">
        <f ca="1">(EXP(-(AH887^2)/2)/SQRT(2*PI())*EXP(0*SQRT(Table13345[[#This Row],[T]]))/$A$4*18%*SQRT(SQRT(Table13345[[#This Row],[T]])))</f>
        <v>#DIV/0!</v>
      </c>
      <c r="AK887" t="e">
        <f ca="1">Table13345[[#This Row],[Call D1]]-Table13345[[#This Row],[IV Calc C]]*SQRT(Table13345[[#This Row],[T]])</f>
        <v>#DIV/0!</v>
      </c>
      <c r="AL887" t="e">
        <f ca="1">Table13345[[#This Row],[Put D1]]-Table13345[[#This Row],[IV Calc P]]*SQRT(Table13345[[#This Row],[T]])</f>
        <v>#DIV/0!</v>
      </c>
      <c r="AM887" t="e">
        <f ca="1">EXP(-0.5*Table13345[[#This Row],[Call D1]]^2)/SQRT(2*PI())</f>
        <v>#DIV/0!</v>
      </c>
      <c r="AN887" t="e">
        <f ca="1">EXP(-0.5*Table13345[[#This Row],[Put D1]]^2)/SQRT(2*PI())</f>
        <v>#DIV/0!</v>
      </c>
      <c r="AO88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7">
        <f ca="1">((Table13345[[#This Row],[call vanna]]+Table13345[[#This Row],[put vanna]])*$A$4)</f>
        <v>0</v>
      </c>
      <c r="AR88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7" s="9" t="str" cm="1">
        <f t="array" ref="AT887">_xlfn.IFS(     $M$1="SPX","SPXW",     $M$1="RUT","RUTW",  $M$1="NDX","NDXP",   TRUE,$M$1 )</f>
        <v>SPXW</v>
      </c>
      <c r="AU887" s="2">
        <f t="shared" si="92"/>
        <v>6915</v>
      </c>
      <c r="AV887" t="str">
        <f t="shared" si="93"/>
        <v>000100</v>
      </c>
      <c r="AY88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7">
        <f>((Table13345[[#This Row],[High C]]+Table13345[[#This Row],[Low C]])/2)*Table13345[[#This Row],[gammac]]*Table13345[[#This Row],[Volume]]</f>
        <v>0</v>
      </c>
      <c r="BD887">
        <f>((Table13345[[#This Row],[High P]]+Table13345[[#This Row],[Low P]])/2)*Table13345[[#This Row],[gammap]]*Table13345[[#This Row],[Volume9]]*-1</f>
        <v>0</v>
      </c>
      <c r="BE887">
        <f>(Table13345[[#This Row],[SgammaC]]+Table13345[[#This Row],[SgammaP]])*$A$4*-100</f>
        <v>0</v>
      </c>
      <c r="BF887">
        <f>Table13345[[#This Row],[DEXc]]+Table13345[[#This Row],[DEXp]]</f>
        <v>0</v>
      </c>
      <c r="BG887">
        <f>IFERROR(Table13345[[#This Row],[DeltaC]]*Table13345[[#This Row],[Open.Int]]*$A$4,0)</f>
        <v>0</v>
      </c>
      <c r="BH887">
        <f>IFERROR(Table13345[[#This Row],[DeltaP]]*Table13345[[#This Row],[Open.Int8]]*$A$4,0)</f>
        <v>0</v>
      </c>
      <c r="BI88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7">
        <f ca="1">Table13345[[#This Row],[charmc]]+Table13345[[#This Row],[charmp]]</f>
        <v>0</v>
      </c>
      <c r="BL88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7" s="78">
        <f ca="1">Table13345[[#This Row],[call helper]]+Table13345[[#This Row],[put helper]]</f>
        <v>0</v>
      </c>
      <c r="BP887" t="str">
        <f>RTD("tos.rtd", , "STRIKE", "."&amp;Table13345[[#This Row],[Ticker]]&amp;Table13345[[#This Row],[Expiry]]&amp;""&amp;"C"&amp;Table13345[[#This Row],[Spot]]+Table13345[[#This Row],[step]])</f>
        <v>N/A</v>
      </c>
    </row>
    <row r="888" spans="1:68" x14ac:dyDescent="0.25">
      <c r="A888" s="14">
        <f t="shared" ca="1" si="89"/>
        <v>-126.14810350076104</v>
      </c>
      <c r="C888" s="17"/>
      <c r="D888" t="str">
        <f>RTD("tos.rtd", , "OPEN_INT", "."&amp;Table13345[[#This Row],[Ticker]]&amp;Table13345[[#This Row],[Expiry]]&amp;""&amp;"C"&amp;Table13345[[#This Row],[Spot]]+Table13345[[#This Row],[step]])</f>
        <v>N/A</v>
      </c>
      <c r="E88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8" t="b">
        <f>IF(     ISNUMBER(Table13345[[#This Row],[Strike]]),RTD("tos.rtd", , "DELTA", "."&amp;Table13345[[#This Row],[Ticker]]&amp;Table13345[[#This Row],[Expiry]]&amp;""&amp;"C"&amp;Table13345[[#This Row],[Strike]]))</f>
        <v>0</v>
      </c>
      <c r="H888" s="17" cm="1">
        <f t="array" aca="1" ref="H888" ca="1">IndividualLegIVCore($A$4, Table13345[[#This Row],[Strike]], 0.0411, Table13345[[#This Row],[T]], ((Table13345[[#This Row],[BIDC]]+Table13345[[#This Row],[ASKC]])/2), TRUE)</f>
        <v>0.01</v>
      </c>
      <c r="I888" t="b">
        <f>IF(     ISNUMBER(Table13345[[#This Row],[Strike]]),RTD("tos.rtd", , "BID", "."&amp;Table13345[[#This Row],[Ticker]]&amp;Table13345[[#This Row],[Expiry]]&amp;""&amp;"C"&amp;Table13345[[#This Row],[Strike]]))</f>
        <v>0</v>
      </c>
      <c r="J888" t="b">
        <f>IF(     ISNUMBER(Table13345[[#This Row],[Strike]]),RTD("tos.rtd", , "ASK", "."&amp;Table13345[[#This Row],[Ticker]]&amp;Table13345[[#This Row],[Expiry]]&amp;""&amp;"C"&amp;Table13345[[#This Row],[Strike]]))</f>
        <v>0</v>
      </c>
      <c r="K888" s="17"/>
      <c r="M888" s="1">
        <f t="shared" si="90"/>
        <v>0</v>
      </c>
      <c r="N888" t="b">
        <f t="shared" si="91"/>
        <v>0</v>
      </c>
      <c r="P888" s="17" cm="1">
        <f t="array" aca="1" ref="P888" ca="1">IndividualLegIVCore($A$4, Table13345[[#This Row],[Strike]], 0.0411, Table13345[[#This Row],[T]], ((Table13345[[#This Row],[BIDP]]+Table13345[[#This Row],[ASKP]])/2), FALSE)</f>
        <v>0.01</v>
      </c>
      <c r="Q888" t="b">
        <f>IF(     ISNUMBER(Table13345[[#This Row],[Strike]]),RTD("tos.rtd", , "BID", "."&amp;Table13345[[#This Row],[Ticker]]&amp;Table13345[[#This Row],[Expiry]]&amp;""&amp;"P"&amp;Table13345[[#This Row],[Strike]]))</f>
        <v>0</v>
      </c>
      <c r="R888" t="b">
        <f>IF(     ISNUMBER(Table13345[[#This Row],[Strike]]),RTD("tos.rtd", , "ASK", "."&amp;Table13345[[#This Row],[Ticker]]&amp;Table13345[[#This Row],[Expiry]]&amp;""&amp;"P"&amp;Table13345[[#This Row],[Strike]]))</f>
        <v>0</v>
      </c>
      <c r="S888" s="17"/>
      <c r="T888" t="b">
        <f>IF(     ISNUMBER(Table13345[[#This Row],[Strike]]),RTD("tos.rtd", , "OPEN_INT", "."&amp;Table13345[[#This Row],[Ticker]]&amp;Table13345[[#This Row],[Expiry]]&amp;""&amp;"P"&amp;Table13345[[#This Row],[Strike]]))</f>
        <v>0</v>
      </c>
      <c r="U88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8" t="b">
        <f>IF(     ISNUMBER(Table13345[[#This Row],[Strike]]),RTD("tos.rtd", , "DELTA", "."&amp;Table13345[[#This Row],[Ticker]]&amp;Table13345[[#This Row],[Expiry]]&amp;""&amp;"P"&amp;Table13345[[#This Row],[Strike]]))</f>
        <v>0</v>
      </c>
      <c r="Y888" s="19">
        <f>-17* IF($M$1="NDX", 10, IF(OR($M$1="SPX", $M$1="RUT"), 2, 1))</f>
        <v>-34</v>
      </c>
      <c r="Z888">
        <f ca="1">IFERROR(Table13345[[#This Row],[call gamma]]*(Table13345[[#This Row],[Open.Int]])*$A$4^2,0)</f>
        <v>0</v>
      </c>
      <c r="AA888">
        <f ca="1">IFERROR(((Table13345[[#This Row],[Open.Int8]])*Table13345[[#This Row],[Put gamma]])*-1*$A$4^2,0)</f>
        <v>0</v>
      </c>
      <c r="AB888">
        <f ca="1">(Table13345[[#This Row],[Call Gex]]+Table13345[[#This Row],[Put Gex]])</f>
        <v>0</v>
      </c>
      <c r="AC888">
        <f ca="1">Table13345[[#This Row],[put delta adj]]+Table13345[[#This Row],[call delta adj]]</f>
        <v>0</v>
      </c>
      <c r="AD888">
        <f ca="1">Table13345[[#This Row],[Put Gex]]*Table13345[[#This Row],[DeltaP]]*-1</f>
        <v>0</v>
      </c>
      <c r="AE888">
        <f ca="1">Table13345[[#This Row],[Call Gex]]*Table13345[[#This Row],[DeltaC]]</f>
        <v>0</v>
      </c>
      <c r="AF888">
        <f>IF(Table13345[[#This Row],[DeltaC]]-ABS(Table13345[[#This Row],[DeltaP]])="0","0.01",Table13345[[#This Row],[DeltaC]]-ABS(Table13345[[#This Row],[DeltaP]]))</f>
        <v>0</v>
      </c>
      <c r="AG88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8" t="e">
        <f ca="1">(EXP(-(AG888^2)/2)/SQRT(2*PI())*EXP(0*SQRT(Table13345[[#This Row],[T]]))/$A$4*18%*SQRT(SQRT(Table13345[[#This Row],[T]])))</f>
        <v>#DIV/0!</v>
      </c>
      <c r="AJ888" t="e">
        <f ca="1">(EXP(-(AH888^2)/2)/SQRT(2*PI())*EXP(0*SQRT(Table13345[[#This Row],[T]]))/$A$4*18%*SQRT(SQRT(Table13345[[#This Row],[T]])))</f>
        <v>#DIV/0!</v>
      </c>
      <c r="AK888" t="e">
        <f ca="1">Table13345[[#This Row],[Call D1]]-Table13345[[#This Row],[IV Calc C]]*SQRT(Table13345[[#This Row],[T]])</f>
        <v>#DIV/0!</v>
      </c>
      <c r="AL888" t="e">
        <f ca="1">Table13345[[#This Row],[Put D1]]-Table13345[[#This Row],[IV Calc P]]*SQRT(Table13345[[#This Row],[T]])</f>
        <v>#DIV/0!</v>
      </c>
      <c r="AM888" t="e">
        <f ca="1">EXP(-0.5*Table13345[[#This Row],[Call D1]]^2)/SQRT(2*PI())</f>
        <v>#DIV/0!</v>
      </c>
      <c r="AN888" t="e">
        <f ca="1">EXP(-0.5*Table13345[[#This Row],[Put D1]]^2)/SQRT(2*PI())</f>
        <v>#DIV/0!</v>
      </c>
      <c r="AO88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8">
        <f ca="1">((Table13345[[#This Row],[call vanna]]+Table13345[[#This Row],[put vanna]])*$A$4)</f>
        <v>0</v>
      </c>
      <c r="AR88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8" s="9" t="str" cm="1">
        <f t="array" ref="AT888">_xlfn.IFS(     $M$1="SPX","SPXW",     $M$1="RUT","RUTW",  $M$1="NDX","NDXP",   TRUE,$M$1 )</f>
        <v>SPXW</v>
      </c>
      <c r="AU888" s="2">
        <f t="shared" si="92"/>
        <v>6915</v>
      </c>
      <c r="AV888" t="str">
        <f t="shared" si="93"/>
        <v>000100</v>
      </c>
      <c r="AY88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8">
        <f>((Table13345[[#This Row],[High C]]+Table13345[[#This Row],[Low C]])/2)*Table13345[[#This Row],[gammac]]*Table13345[[#This Row],[Volume]]</f>
        <v>0</v>
      </c>
      <c r="BD888">
        <f>((Table13345[[#This Row],[High P]]+Table13345[[#This Row],[Low P]])/2)*Table13345[[#This Row],[gammap]]*Table13345[[#This Row],[Volume9]]*-1</f>
        <v>0</v>
      </c>
      <c r="BE888">
        <f>(Table13345[[#This Row],[SgammaC]]+Table13345[[#This Row],[SgammaP]])*$A$4*-100</f>
        <v>0</v>
      </c>
      <c r="BF888">
        <f>Table13345[[#This Row],[DEXc]]+Table13345[[#This Row],[DEXp]]</f>
        <v>0</v>
      </c>
      <c r="BG888">
        <f>IFERROR(Table13345[[#This Row],[DeltaC]]*Table13345[[#This Row],[Open.Int]]*$A$4,0)</f>
        <v>0</v>
      </c>
      <c r="BH888">
        <f>IFERROR(Table13345[[#This Row],[DeltaP]]*Table13345[[#This Row],[Open.Int8]]*$A$4,0)</f>
        <v>0</v>
      </c>
      <c r="BI88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8">
        <f ca="1">Table13345[[#This Row],[charmc]]+Table13345[[#This Row],[charmp]]</f>
        <v>0</v>
      </c>
      <c r="BL88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8" s="78">
        <f ca="1">Table13345[[#This Row],[call helper]]+Table13345[[#This Row],[put helper]]</f>
        <v>0</v>
      </c>
      <c r="BP888" t="str">
        <f>RTD("tos.rtd", , "STRIKE", "."&amp;Table13345[[#This Row],[Ticker]]&amp;Table13345[[#This Row],[Expiry]]&amp;""&amp;"C"&amp;Table13345[[#This Row],[Spot]]+Table13345[[#This Row],[step]])</f>
        <v>N/A</v>
      </c>
    </row>
    <row r="889" spans="1:68" x14ac:dyDescent="0.25">
      <c r="A889" s="14">
        <f t="shared" ca="1" si="89"/>
        <v>-126.14810350076104</v>
      </c>
      <c r="C889" s="17"/>
      <c r="D889" t="str">
        <f>RTD("tos.rtd", , "OPEN_INT", "."&amp;Table13345[[#This Row],[Ticker]]&amp;Table13345[[#This Row],[Expiry]]&amp;""&amp;"C"&amp;Table13345[[#This Row],[Spot]]+Table13345[[#This Row],[step]])</f>
        <v>N/A</v>
      </c>
      <c r="E88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9" t="b">
        <f>IF(     ISNUMBER(Table13345[[#This Row],[Strike]]),RTD("tos.rtd", , "DELTA", "."&amp;Table13345[[#This Row],[Ticker]]&amp;Table13345[[#This Row],[Expiry]]&amp;""&amp;"C"&amp;Table13345[[#This Row],[Strike]]))</f>
        <v>0</v>
      </c>
      <c r="H889" s="17" cm="1">
        <f t="array" aca="1" ref="H889" ca="1">IndividualLegIVCore($A$4, Table13345[[#This Row],[Strike]], 0.0411, Table13345[[#This Row],[T]], ((Table13345[[#This Row],[BIDC]]+Table13345[[#This Row],[ASKC]])/2), TRUE)</f>
        <v>0.01</v>
      </c>
      <c r="I889" t="b">
        <f>IF(     ISNUMBER(Table13345[[#This Row],[Strike]]),RTD("tos.rtd", , "BID", "."&amp;Table13345[[#This Row],[Ticker]]&amp;Table13345[[#This Row],[Expiry]]&amp;""&amp;"C"&amp;Table13345[[#This Row],[Strike]]))</f>
        <v>0</v>
      </c>
      <c r="J889" t="b">
        <f>IF(     ISNUMBER(Table13345[[#This Row],[Strike]]),RTD("tos.rtd", , "ASK", "."&amp;Table13345[[#This Row],[Ticker]]&amp;Table13345[[#This Row],[Expiry]]&amp;""&amp;"C"&amp;Table13345[[#This Row],[Strike]]))</f>
        <v>0</v>
      </c>
      <c r="K889" s="17"/>
      <c r="M889" s="1">
        <f t="shared" si="90"/>
        <v>0</v>
      </c>
      <c r="N889" t="b">
        <f t="shared" si="91"/>
        <v>0</v>
      </c>
      <c r="P889" s="17" cm="1">
        <f t="array" aca="1" ref="P889" ca="1">IndividualLegIVCore($A$4, Table13345[[#This Row],[Strike]], 0.0411, Table13345[[#This Row],[T]], ((Table13345[[#This Row],[BIDP]]+Table13345[[#This Row],[ASKP]])/2), FALSE)</f>
        <v>0.01</v>
      </c>
      <c r="Q889" t="b">
        <f>IF(     ISNUMBER(Table13345[[#This Row],[Strike]]),RTD("tos.rtd", , "BID", "."&amp;Table13345[[#This Row],[Ticker]]&amp;Table13345[[#This Row],[Expiry]]&amp;""&amp;"P"&amp;Table13345[[#This Row],[Strike]]))</f>
        <v>0</v>
      </c>
      <c r="R889" t="b">
        <f>IF(     ISNUMBER(Table13345[[#This Row],[Strike]]),RTD("tos.rtd", , "ASK", "."&amp;Table13345[[#This Row],[Ticker]]&amp;Table13345[[#This Row],[Expiry]]&amp;""&amp;"P"&amp;Table13345[[#This Row],[Strike]]))</f>
        <v>0</v>
      </c>
      <c r="S889" s="17"/>
      <c r="T889" t="b">
        <f>IF(     ISNUMBER(Table13345[[#This Row],[Strike]]),RTD("tos.rtd", , "OPEN_INT", "."&amp;Table13345[[#This Row],[Ticker]]&amp;Table13345[[#This Row],[Expiry]]&amp;""&amp;"P"&amp;Table13345[[#This Row],[Strike]]))</f>
        <v>0</v>
      </c>
      <c r="U88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9" t="b">
        <f>IF(     ISNUMBER(Table13345[[#This Row],[Strike]]),RTD("tos.rtd", , "DELTA", "."&amp;Table13345[[#This Row],[Ticker]]&amp;Table13345[[#This Row],[Expiry]]&amp;""&amp;"P"&amp;Table13345[[#This Row],[Strike]]))</f>
        <v>0</v>
      </c>
      <c r="Y889" s="19">
        <f>-16.5* IF($M$1="NDX", 10, IF(OR($M$1="SPX", $M$1="RUT"), 2, 1))</f>
        <v>-33</v>
      </c>
      <c r="Z889">
        <f ca="1">IFERROR(Table13345[[#This Row],[call gamma]]*(Table13345[[#This Row],[Open.Int]])*$A$4^2,0)</f>
        <v>0</v>
      </c>
      <c r="AA889">
        <f ca="1">IFERROR(((Table13345[[#This Row],[Open.Int8]])*Table13345[[#This Row],[Put gamma]])*-1*$A$4^2,0)</f>
        <v>0</v>
      </c>
      <c r="AB889">
        <f ca="1">(Table13345[[#This Row],[Call Gex]]+Table13345[[#This Row],[Put Gex]])</f>
        <v>0</v>
      </c>
      <c r="AC889">
        <f ca="1">Table13345[[#This Row],[put delta adj]]+Table13345[[#This Row],[call delta adj]]</f>
        <v>0</v>
      </c>
      <c r="AD889">
        <f ca="1">Table13345[[#This Row],[Put Gex]]*Table13345[[#This Row],[DeltaP]]*-1</f>
        <v>0</v>
      </c>
      <c r="AE889">
        <f ca="1">Table13345[[#This Row],[Call Gex]]*Table13345[[#This Row],[DeltaC]]</f>
        <v>0</v>
      </c>
      <c r="AF889">
        <f>IF(Table13345[[#This Row],[DeltaC]]-ABS(Table13345[[#This Row],[DeltaP]])="0","0.01",Table13345[[#This Row],[DeltaC]]-ABS(Table13345[[#This Row],[DeltaP]]))</f>
        <v>0</v>
      </c>
      <c r="AG88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9" t="e">
        <f ca="1">(EXP(-(AG889^2)/2)/SQRT(2*PI())*EXP(0*SQRT(Table13345[[#This Row],[T]]))/$A$4*18%*SQRT(SQRT(Table13345[[#This Row],[T]])))</f>
        <v>#DIV/0!</v>
      </c>
      <c r="AJ889" t="e">
        <f ca="1">(EXP(-(AH889^2)/2)/SQRT(2*PI())*EXP(0*SQRT(Table13345[[#This Row],[T]]))/$A$4*18%*SQRT(SQRT(Table13345[[#This Row],[T]])))</f>
        <v>#DIV/0!</v>
      </c>
      <c r="AK889" t="e">
        <f ca="1">Table13345[[#This Row],[Call D1]]-Table13345[[#This Row],[IV Calc C]]*SQRT(Table13345[[#This Row],[T]])</f>
        <v>#DIV/0!</v>
      </c>
      <c r="AL889" t="e">
        <f ca="1">Table13345[[#This Row],[Put D1]]-Table13345[[#This Row],[IV Calc P]]*SQRT(Table13345[[#This Row],[T]])</f>
        <v>#DIV/0!</v>
      </c>
      <c r="AM889" t="e">
        <f ca="1">EXP(-0.5*Table13345[[#This Row],[Call D1]]^2)/SQRT(2*PI())</f>
        <v>#DIV/0!</v>
      </c>
      <c r="AN889" t="e">
        <f ca="1">EXP(-0.5*Table13345[[#This Row],[Put D1]]^2)/SQRT(2*PI())</f>
        <v>#DIV/0!</v>
      </c>
      <c r="AO88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9">
        <f ca="1">((Table13345[[#This Row],[call vanna]]+Table13345[[#This Row],[put vanna]])*$A$4)</f>
        <v>0</v>
      </c>
      <c r="AR88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9" s="9" t="str" cm="1">
        <f t="array" ref="AT889">_xlfn.IFS(     $M$1="SPX","SPXW",     $M$1="RUT","RUTW",  $M$1="NDX","NDXP",   TRUE,$M$1 )</f>
        <v>SPXW</v>
      </c>
      <c r="AU889" s="2">
        <f t="shared" si="92"/>
        <v>6915</v>
      </c>
      <c r="AV889" t="str">
        <f t="shared" si="93"/>
        <v>000100</v>
      </c>
      <c r="AY88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9">
        <f>((Table13345[[#This Row],[High C]]+Table13345[[#This Row],[Low C]])/2)*Table13345[[#This Row],[gammac]]*Table13345[[#This Row],[Volume]]</f>
        <v>0</v>
      </c>
      <c r="BD889">
        <f>((Table13345[[#This Row],[High P]]+Table13345[[#This Row],[Low P]])/2)*Table13345[[#This Row],[gammap]]*Table13345[[#This Row],[Volume9]]*-1</f>
        <v>0</v>
      </c>
      <c r="BE889">
        <f>(Table13345[[#This Row],[SgammaC]]+Table13345[[#This Row],[SgammaP]])*$A$4*-100</f>
        <v>0</v>
      </c>
      <c r="BF889">
        <f>Table13345[[#This Row],[DEXc]]+Table13345[[#This Row],[DEXp]]</f>
        <v>0</v>
      </c>
      <c r="BG889">
        <f>IFERROR(Table13345[[#This Row],[DeltaC]]*Table13345[[#This Row],[Open.Int]]*$A$4,0)</f>
        <v>0</v>
      </c>
      <c r="BH889">
        <f>IFERROR(Table13345[[#This Row],[DeltaP]]*Table13345[[#This Row],[Open.Int8]]*$A$4,0)</f>
        <v>0</v>
      </c>
      <c r="BI88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9">
        <f ca="1">Table13345[[#This Row],[charmc]]+Table13345[[#This Row],[charmp]]</f>
        <v>0</v>
      </c>
      <c r="BL88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9" s="78">
        <f ca="1">Table13345[[#This Row],[call helper]]+Table13345[[#This Row],[put helper]]</f>
        <v>0</v>
      </c>
      <c r="BP889" t="str">
        <f>RTD("tos.rtd", , "STRIKE", "."&amp;Table13345[[#This Row],[Ticker]]&amp;Table13345[[#This Row],[Expiry]]&amp;""&amp;"C"&amp;Table13345[[#This Row],[Spot]]+Table13345[[#This Row],[step]])</f>
        <v>N/A</v>
      </c>
    </row>
    <row r="890" spans="1:68" x14ac:dyDescent="0.25">
      <c r="A890" s="14">
        <f t="shared" ca="1" si="89"/>
        <v>-126.14810350076104</v>
      </c>
      <c r="C890" s="17"/>
      <c r="D890" t="str">
        <f>RTD("tos.rtd", , "OPEN_INT", "."&amp;Table13345[[#This Row],[Ticker]]&amp;Table13345[[#This Row],[Expiry]]&amp;""&amp;"C"&amp;Table13345[[#This Row],[Spot]]+Table13345[[#This Row],[step]])</f>
        <v>N/A</v>
      </c>
      <c r="E89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0" t="b">
        <f>IF(     ISNUMBER(Table13345[[#This Row],[Strike]]),RTD("tos.rtd", , "DELTA", "."&amp;Table13345[[#This Row],[Ticker]]&amp;Table13345[[#This Row],[Expiry]]&amp;""&amp;"C"&amp;Table13345[[#This Row],[Strike]]))</f>
        <v>0</v>
      </c>
      <c r="H890" s="17" cm="1">
        <f t="array" aca="1" ref="H890" ca="1">IndividualLegIVCore($A$4, Table13345[[#This Row],[Strike]], 0.0411, Table13345[[#This Row],[T]], ((Table13345[[#This Row],[BIDC]]+Table13345[[#This Row],[ASKC]])/2), TRUE)</f>
        <v>0.01</v>
      </c>
      <c r="I890" t="b">
        <f>IF(     ISNUMBER(Table13345[[#This Row],[Strike]]),RTD("tos.rtd", , "BID", "."&amp;Table13345[[#This Row],[Ticker]]&amp;Table13345[[#This Row],[Expiry]]&amp;""&amp;"C"&amp;Table13345[[#This Row],[Strike]]))</f>
        <v>0</v>
      </c>
      <c r="J890" t="b">
        <f>IF(     ISNUMBER(Table13345[[#This Row],[Strike]]),RTD("tos.rtd", , "ASK", "."&amp;Table13345[[#This Row],[Ticker]]&amp;Table13345[[#This Row],[Expiry]]&amp;""&amp;"C"&amp;Table13345[[#This Row],[Strike]]))</f>
        <v>0</v>
      </c>
      <c r="K890" s="17"/>
      <c r="M890" s="1">
        <f t="shared" si="90"/>
        <v>0</v>
      </c>
      <c r="N890" t="b">
        <f t="shared" si="91"/>
        <v>0</v>
      </c>
      <c r="P890" s="17" cm="1">
        <f t="array" aca="1" ref="P890" ca="1">IndividualLegIVCore($A$4, Table13345[[#This Row],[Strike]], 0.0411, Table13345[[#This Row],[T]], ((Table13345[[#This Row],[BIDP]]+Table13345[[#This Row],[ASKP]])/2), FALSE)</f>
        <v>0.01</v>
      </c>
      <c r="Q890" t="b">
        <f>IF(     ISNUMBER(Table13345[[#This Row],[Strike]]),RTD("tos.rtd", , "BID", "."&amp;Table13345[[#This Row],[Ticker]]&amp;Table13345[[#This Row],[Expiry]]&amp;""&amp;"P"&amp;Table13345[[#This Row],[Strike]]))</f>
        <v>0</v>
      </c>
      <c r="R890" t="b">
        <f>IF(     ISNUMBER(Table13345[[#This Row],[Strike]]),RTD("tos.rtd", , "ASK", "."&amp;Table13345[[#This Row],[Ticker]]&amp;Table13345[[#This Row],[Expiry]]&amp;""&amp;"P"&amp;Table13345[[#This Row],[Strike]]))</f>
        <v>0</v>
      </c>
      <c r="S890" s="17"/>
      <c r="T890" t="b">
        <f>IF(     ISNUMBER(Table13345[[#This Row],[Strike]]),RTD("tos.rtd", , "OPEN_INT", "."&amp;Table13345[[#This Row],[Ticker]]&amp;Table13345[[#This Row],[Expiry]]&amp;""&amp;"P"&amp;Table13345[[#This Row],[Strike]]))</f>
        <v>0</v>
      </c>
      <c r="U89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0" t="b">
        <f>IF(     ISNUMBER(Table13345[[#This Row],[Strike]]),RTD("tos.rtd", , "DELTA", "."&amp;Table13345[[#This Row],[Ticker]]&amp;Table13345[[#This Row],[Expiry]]&amp;""&amp;"P"&amp;Table13345[[#This Row],[Strike]]))</f>
        <v>0</v>
      </c>
      <c r="Y890" s="19">
        <f>-16* IF($M$1="NDX", 10, IF(OR($M$1="SPX", $M$1="RUT"), 2, 1))</f>
        <v>-32</v>
      </c>
      <c r="Z890">
        <f ca="1">IFERROR(Table13345[[#This Row],[call gamma]]*(Table13345[[#This Row],[Open.Int]])*$A$4^2,0)</f>
        <v>0</v>
      </c>
      <c r="AA890">
        <f ca="1">IFERROR(((Table13345[[#This Row],[Open.Int8]])*Table13345[[#This Row],[Put gamma]])*-1*$A$4^2,0)</f>
        <v>0</v>
      </c>
      <c r="AB890">
        <f ca="1">(Table13345[[#This Row],[Call Gex]]+Table13345[[#This Row],[Put Gex]])</f>
        <v>0</v>
      </c>
      <c r="AC890">
        <f ca="1">Table13345[[#This Row],[put delta adj]]+Table13345[[#This Row],[call delta adj]]</f>
        <v>0</v>
      </c>
      <c r="AD890">
        <f ca="1">Table13345[[#This Row],[Put Gex]]*Table13345[[#This Row],[DeltaP]]*-1</f>
        <v>0</v>
      </c>
      <c r="AE890">
        <f ca="1">Table13345[[#This Row],[Call Gex]]*Table13345[[#This Row],[DeltaC]]</f>
        <v>0</v>
      </c>
      <c r="AF890">
        <f>IF(Table13345[[#This Row],[DeltaC]]-ABS(Table13345[[#This Row],[DeltaP]])="0","0.01",Table13345[[#This Row],[DeltaC]]-ABS(Table13345[[#This Row],[DeltaP]]))</f>
        <v>0</v>
      </c>
      <c r="AG89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0" t="e">
        <f ca="1">(EXP(-(AG890^2)/2)/SQRT(2*PI())*EXP(0*SQRT(Table13345[[#This Row],[T]]))/$A$4*18%*SQRT(SQRT(Table13345[[#This Row],[T]])))</f>
        <v>#DIV/0!</v>
      </c>
      <c r="AJ890" t="e">
        <f ca="1">(EXP(-(AH890^2)/2)/SQRT(2*PI())*EXP(0*SQRT(Table13345[[#This Row],[T]]))/$A$4*18%*SQRT(SQRT(Table13345[[#This Row],[T]])))</f>
        <v>#DIV/0!</v>
      </c>
      <c r="AK890" t="e">
        <f ca="1">Table13345[[#This Row],[Call D1]]-Table13345[[#This Row],[IV Calc C]]*SQRT(Table13345[[#This Row],[T]])</f>
        <v>#DIV/0!</v>
      </c>
      <c r="AL890" t="e">
        <f ca="1">Table13345[[#This Row],[Put D1]]-Table13345[[#This Row],[IV Calc P]]*SQRT(Table13345[[#This Row],[T]])</f>
        <v>#DIV/0!</v>
      </c>
      <c r="AM890" t="e">
        <f ca="1">EXP(-0.5*Table13345[[#This Row],[Call D1]]^2)/SQRT(2*PI())</f>
        <v>#DIV/0!</v>
      </c>
      <c r="AN890" t="e">
        <f ca="1">EXP(-0.5*Table13345[[#This Row],[Put D1]]^2)/SQRT(2*PI())</f>
        <v>#DIV/0!</v>
      </c>
      <c r="AO89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0">
        <f ca="1">((Table13345[[#This Row],[call vanna]]+Table13345[[#This Row],[put vanna]])*$A$4)</f>
        <v>0</v>
      </c>
      <c r="AR89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0" s="9" t="str" cm="1">
        <f t="array" ref="AT890">_xlfn.IFS(     $M$1="SPX","SPXW",     $M$1="RUT","RUTW",  $M$1="NDX","NDXP",   TRUE,$M$1 )</f>
        <v>SPXW</v>
      </c>
      <c r="AU890" s="2">
        <f t="shared" si="92"/>
        <v>6915</v>
      </c>
      <c r="AV890" t="str">
        <f t="shared" si="93"/>
        <v>000100</v>
      </c>
      <c r="AY89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0">
        <f>((Table13345[[#This Row],[High C]]+Table13345[[#This Row],[Low C]])/2)*Table13345[[#This Row],[gammac]]*Table13345[[#This Row],[Volume]]</f>
        <v>0</v>
      </c>
      <c r="BD890">
        <f>((Table13345[[#This Row],[High P]]+Table13345[[#This Row],[Low P]])/2)*Table13345[[#This Row],[gammap]]*Table13345[[#This Row],[Volume9]]*-1</f>
        <v>0</v>
      </c>
      <c r="BE890">
        <f>(Table13345[[#This Row],[SgammaC]]+Table13345[[#This Row],[SgammaP]])*$A$4*-100</f>
        <v>0</v>
      </c>
      <c r="BF890">
        <f>Table13345[[#This Row],[DEXc]]+Table13345[[#This Row],[DEXp]]</f>
        <v>0</v>
      </c>
      <c r="BG890">
        <f>IFERROR(Table13345[[#This Row],[DeltaC]]*Table13345[[#This Row],[Open.Int]]*$A$4,0)</f>
        <v>0</v>
      </c>
      <c r="BH890">
        <f>IFERROR(Table13345[[#This Row],[DeltaP]]*Table13345[[#This Row],[Open.Int8]]*$A$4,0)</f>
        <v>0</v>
      </c>
      <c r="BI89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0">
        <f ca="1">Table13345[[#This Row],[charmc]]+Table13345[[#This Row],[charmp]]</f>
        <v>0</v>
      </c>
      <c r="BL89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0" s="78">
        <f ca="1">Table13345[[#This Row],[call helper]]+Table13345[[#This Row],[put helper]]</f>
        <v>0</v>
      </c>
      <c r="BP890" t="str">
        <f>RTD("tos.rtd", , "STRIKE", "."&amp;Table13345[[#This Row],[Ticker]]&amp;Table13345[[#This Row],[Expiry]]&amp;""&amp;"C"&amp;Table13345[[#This Row],[Spot]]+Table13345[[#This Row],[step]])</f>
        <v>N/A</v>
      </c>
    </row>
    <row r="891" spans="1:68" x14ac:dyDescent="0.25">
      <c r="A891" s="14">
        <f t="shared" ca="1" si="89"/>
        <v>-126.14810350076104</v>
      </c>
      <c r="C891" s="17"/>
      <c r="D891" t="str">
        <f>RTD("tos.rtd", , "OPEN_INT", "."&amp;Table13345[[#This Row],[Ticker]]&amp;Table13345[[#This Row],[Expiry]]&amp;""&amp;"C"&amp;Table13345[[#This Row],[Spot]]+Table13345[[#This Row],[step]])</f>
        <v>N/A</v>
      </c>
      <c r="E89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1" t="b">
        <f>IF(     ISNUMBER(Table13345[[#This Row],[Strike]]),RTD("tos.rtd", , "DELTA", "."&amp;Table13345[[#This Row],[Ticker]]&amp;Table13345[[#This Row],[Expiry]]&amp;""&amp;"C"&amp;Table13345[[#This Row],[Strike]]))</f>
        <v>0</v>
      </c>
      <c r="H891" s="17" cm="1">
        <f t="array" aca="1" ref="H891" ca="1">IndividualLegIVCore($A$4, Table13345[[#This Row],[Strike]], 0.0411, Table13345[[#This Row],[T]], ((Table13345[[#This Row],[BIDC]]+Table13345[[#This Row],[ASKC]])/2), TRUE)</f>
        <v>0.01</v>
      </c>
      <c r="I891" t="b">
        <f>IF(     ISNUMBER(Table13345[[#This Row],[Strike]]),RTD("tos.rtd", , "BID", "."&amp;Table13345[[#This Row],[Ticker]]&amp;Table13345[[#This Row],[Expiry]]&amp;""&amp;"C"&amp;Table13345[[#This Row],[Strike]]))</f>
        <v>0</v>
      </c>
      <c r="J891" t="b">
        <f>IF(     ISNUMBER(Table13345[[#This Row],[Strike]]),RTD("tos.rtd", , "ASK", "."&amp;Table13345[[#This Row],[Ticker]]&amp;Table13345[[#This Row],[Expiry]]&amp;""&amp;"C"&amp;Table13345[[#This Row],[Strike]]))</f>
        <v>0</v>
      </c>
      <c r="K891" s="17"/>
      <c r="M891" s="1">
        <f t="shared" si="90"/>
        <v>0</v>
      </c>
      <c r="N891" t="b">
        <f t="shared" si="91"/>
        <v>0</v>
      </c>
      <c r="P891" s="17" cm="1">
        <f t="array" aca="1" ref="P891" ca="1">IndividualLegIVCore($A$4, Table13345[[#This Row],[Strike]], 0.0411, Table13345[[#This Row],[T]], ((Table13345[[#This Row],[BIDP]]+Table13345[[#This Row],[ASKP]])/2), FALSE)</f>
        <v>0.01</v>
      </c>
      <c r="Q891" t="b">
        <f>IF(     ISNUMBER(Table13345[[#This Row],[Strike]]),RTD("tos.rtd", , "BID", "."&amp;Table13345[[#This Row],[Ticker]]&amp;Table13345[[#This Row],[Expiry]]&amp;""&amp;"P"&amp;Table13345[[#This Row],[Strike]]))</f>
        <v>0</v>
      </c>
      <c r="R891" t="b">
        <f>IF(     ISNUMBER(Table13345[[#This Row],[Strike]]),RTD("tos.rtd", , "ASK", "."&amp;Table13345[[#This Row],[Ticker]]&amp;Table13345[[#This Row],[Expiry]]&amp;""&amp;"P"&amp;Table13345[[#This Row],[Strike]]))</f>
        <v>0</v>
      </c>
      <c r="S891" s="17"/>
      <c r="T891" t="b">
        <f>IF(     ISNUMBER(Table13345[[#This Row],[Strike]]),RTD("tos.rtd", , "OPEN_INT", "."&amp;Table13345[[#This Row],[Ticker]]&amp;Table13345[[#This Row],[Expiry]]&amp;""&amp;"P"&amp;Table13345[[#This Row],[Strike]]))</f>
        <v>0</v>
      </c>
      <c r="U89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1" t="b">
        <f>IF(     ISNUMBER(Table13345[[#This Row],[Strike]]),RTD("tos.rtd", , "DELTA", "."&amp;Table13345[[#This Row],[Ticker]]&amp;Table13345[[#This Row],[Expiry]]&amp;""&amp;"P"&amp;Table13345[[#This Row],[Strike]]))</f>
        <v>0</v>
      </c>
      <c r="Y891" s="21">
        <f>-15.5* IF($M$1="NDX", 10, IF(OR($M$1="SPX", $M$1="RUT"), 2, 1))</f>
        <v>-31</v>
      </c>
      <c r="Z891">
        <f ca="1">IFERROR(Table13345[[#This Row],[call gamma]]*(Table13345[[#This Row],[Open.Int]])*$A$4^2,0)</f>
        <v>0</v>
      </c>
      <c r="AA891">
        <f ca="1">IFERROR(((Table13345[[#This Row],[Open.Int8]])*Table13345[[#This Row],[Put gamma]])*-1*$A$4^2,0)</f>
        <v>0</v>
      </c>
      <c r="AB891">
        <f ca="1">(Table13345[[#This Row],[Call Gex]]+Table13345[[#This Row],[Put Gex]])</f>
        <v>0</v>
      </c>
      <c r="AC891">
        <f ca="1">Table13345[[#This Row],[put delta adj]]+Table13345[[#This Row],[call delta adj]]</f>
        <v>0</v>
      </c>
      <c r="AD891">
        <f ca="1">Table13345[[#This Row],[Put Gex]]*Table13345[[#This Row],[DeltaP]]*-1</f>
        <v>0</v>
      </c>
      <c r="AE891">
        <f ca="1">Table13345[[#This Row],[Call Gex]]*Table13345[[#This Row],[DeltaC]]</f>
        <v>0</v>
      </c>
      <c r="AF891">
        <f>IF(Table13345[[#This Row],[DeltaC]]-ABS(Table13345[[#This Row],[DeltaP]])="0","0.01",Table13345[[#This Row],[DeltaC]]-ABS(Table13345[[#This Row],[DeltaP]]))</f>
        <v>0</v>
      </c>
      <c r="AG89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1" t="e">
        <f ca="1">(EXP(-(AG891^2)/2)/SQRT(2*PI())*EXP(0*SQRT(Table13345[[#This Row],[T]]))/$A$4*18%*SQRT(SQRT(Table13345[[#This Row],[T]])))</f>
        <v>#DIV/0!</v>
      </c>
      <c r="AJ891" t="e">
        <f ca="1">(EXP(-(AH891^2)/2)/SQRT(2*PI())*EXP(0*SQRT(Table13345[[#This Row],[T]]))/$A$4*18%*SQRT(SQRT(Table13345[[#This Row],[T]])))</f>
        <v>#DIV/0!</v>
      </c>
      <c r="AK891" t="e">
        <f ca="1">Table13345[[#This Row],[Call D1]]-Table13345[[#This Row],[IV Calc C]]*SQRT(Table13345[[#This Row],[T]])</f>
        <v>#DIV/0!</v>
      </c>
      <c r="AL891" t="e">
        <f ca="1">Table13345[[#This Row],[Put D1]]-Table13345[[#This Row],[IV Calc P]]*SQRT(Table13345[[#This Row],[T]])</f>
        <v>#DIV/0!</v>
      </c>
      <c r="AM891" t="e">
        <f ca="1">EXP(-0.5*Table13345[[#This Row],[Call D1]]^2)/SQRT(2*PI())</f>
        <v>#DIV/0!</v>
      </c>
      <c r="AN891" t="e">
        <f ca="1">EXP(-0.5*Table13345[[#This Row],[Put D1]]^2)/SQRT(2*PI())</f>
        <v>#DIV/0!</v>
      </c>
      <c r="AO89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1">
        <f ca="1">((Table13345[[#This Row],[call vanna]]+Table13345[[#This Row],[put vanna]])*$A$4)</f>
        <v>0</v>
      </c>
      <c r="AR89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1" s="9" t="str" cm="1">
        <f t="array" ref="AT891">_xlfn.IFS(     $M$1="SPX","SPXW",     $M$1="RUT","RUTW",  $M$1="NDX","NDXP",   TRUE,$M$1 )</f>
        <v>SPXW</v>
      </c>
      <c r="AU891" s="2">
        <f t="shared" si="92"/>
        <v>6915</v>
      </c>
      <c r="AV891" t="str">
        <f t="shared" si="93"/>
        <v>000100</v>
      </c>
      <c r="AY89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1">
        <f>((Table13345[[#This Row],[High C]]+Table13345[[#This Row],[Low C]])/2)*Table13345[[#This Row],[gammac]]*Table13345[[#This Row],[Volume]]</f>
        <v>0</v>
      </c>
      <c r="BD891">
        <f>((Table13345[[#This Row],[High P]]+Table13345[[#This Row],[Low P]])/2)*Table13345[[#This Row],[gammap]]*Table13345[[#This Row],[Volume9]]*-1</f>
        <v>0</v>
      </c>
      <c r="BE891">
        <f>(Table13345[[#This Row],[SgammaC]]+Table13345[[#This Row],[SgammaP]])*$A$4*-100</f>
        <v>0</v>
      </c>
      <c r="BF891">
        <f>Table13345[[#This Row],[DEXc]]+Table13345[[#This Row],[DEXp]]</f>
        <v>0</v>
      </c>
      <c r="BG891">
        <f>IFERROR(Table13345[[#This Row],[DeltaC]]*Table13345[[#This Row],[Open.Int]]*$A$4,0)</f>
        <v>0</v>
      </c>
      <c r="BH891">
        <f>IFERROR(Table13345[[#This Row],[DeltaP]]*Table13345[[#This Row],[Open.Int8]]*$A$4,0)</f>
        <v>0</v>
      </c>
      <c r="BI89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1">
        <f ca="1">Table13345[[#This Row],[charmc]]+Table13345[[#This Row],[charmp]]</f>
        <v>0</v>
      </c>
      <c r="BL89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1" s="78">
        <f ca="1">Table13345[[#This Row],[call helper]]+Table13345[[#This Row],[put helper]]</f>
        <v>0</v>
      </c>
      <c r="BP891" t="str">
        <f>RTD("tos.rtd", , "STRIKE", "."&amp;Table13345[[#This Row],[Ticker]]&amp;Table13345[[#This Row],[Expiry]]&amp;""&amp;"C"&amp;Table13345[[#This Row],[Spot]]+Table13345[[#This Row],[step]])</f>
        <v>N/A</v>
      </c>
    </row>
    <row r="892" spans="1:68" x14ac:dyDescent="0.25">
      <c r="A892" s="14">
        <f t="shared" ca="1" si="89"/>
        <v>-126.14810350076104</v>
      </c>
      <c r="C892" s="17"/>
      <c r="D892" t="str">
        <f>RTD("tos.rtd", , "OPEN_INT", "."&amp;Table13345[[#This Row],[Ticker]]&amp;Table13345[[#This Row],[Expiry]]&amp;""&amp;"C"&amp;Table13345[[#This Row],[Spot]]+Table13345[[#This Row],[step]])</f>
        <v>N/A</v>
      </c>
      <c r="E89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2" t="b">
        <f>IF(     ISNUMBER(Table13345[[#This Row],[Strike]]),RTD("tos.rtd", , "DELTA", "."&amp;Table13345[[#This Row],[Ticker]]&amp;Table13345[[#This Row],[Expiry]]&amp;""&amp;"C"&amp;Table13345[[#This Row],[Strike]]))</f>
        <v>0</v>
      </c>
      <c r="H892" s="17" cm="1">
        <f t="array" aca="1" ref="H892" ca="1">IndividualLegIVCore($A$4, Table13345[[#This Row],[Strike]], 0.0411, Table13345[[#This Row],[T]], ((Table13345[[#This Row],[BIDC]]+Table13345[[#This Row],[ASKC]])/2), TRUE)</f>
        <v>0.01</v>
      </c>
      <c r="I892" t="b">
        <f>IF(     ISNUMBER(Table13345[[#This Row],[Strike]]),RTD("tos.rtd", , "BID", "."&amp;Table13345[[#This Row],[Ticker]]&amp;Table13345[[#This Row],[Expiry]]&amp;""&amp;"C"&amp;Table13345[[#This Row],[Strike]]))</f>
        <v>0</v>
      </c>
      <c r="J892" t="b">
        <f>IF(     ISNUMBER(Table13345[[#This Row],[Strike]]),RTD("tos.rtd", , "ASK", "."&amp;Table13345[[#This Row],[Ticker]]&amp;Table13345[[#This Row],[Expiry]]&amp;""&amp;"C"&amp;Table13345[[#This Row],[Strike]]))</f>
        <v>0</v>
      </c>
      <c r="K892" s="17"/>
      <c r="M892" s="1">
        <f t="shared" si="90"/>
        <v>0</v>
      </c>
      <c r="N892" t="b">
        <f t="shared" si="91"/>
        <v>0</v>
      </c>
      <c r="P892" s="17" cm="1">
        <f t="array" aca="1" ref="P892" ca="1">IndividualLegIVCore($A$4, Table13345[[#This Row],[Strike]], 0.0411, Table13345[[#This Row],[T]], ((Table13345[[#This Row],[BIDP]]+Table13345[[#This Row],[ASKP]])/2), FALSE)</f>
        <v>0.01</v>
      </c>
      <c r="Q892" t="b">
        <f>IF(     ISNUMBER(Table13345[[#This Row],[Strike]]),RTD("tos.rtd", , "BID", "."&amp;Table13345[[#This Row],[Ticker]]&amp;Table13345[[#This Row],[Expiry]]&amp;""&amp;"P"&amp;Table13345[[#This Row],[Strike]]))</f>
        <v>0</v>
      </c>
      <c r="R892" t="b">
        <f>IF(     ISNUMBER(Table13345[[#This Row],[Strike]]),RTD("tos.rtd", , "ASK", "."&amp;Table13345[[#This Row],[Ticker]]&amp;Table13345[[#This Row],[Expiry]]&amp;""&amp;"P"&amp;Table13345[[#This Row],[Strike]]))</f>
        <v>0</v>
      </c>
      <c r="S892" s="17"/>
      <c r="T892" t="b">
        <f>IF(     ISNUMBER(Table13345[[#This Row],[Strike]]),RTD("tos.rtd", , "OPEN_INT", "."&amp;Table13345[[#This Row],[Ticker]]&amp;Table13345[[#This Row],[Expiry]]&amp;""&amp;"P"&amp;Table13345[[#This Row],[Strike]]))</f>
        <v>0</v>
      </c>
      <c r="U89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2" t="b">
        <f>IF(     ISNUMBER(Table13345[[#This Row],[Strike]]),RTD("tos.rtd", , "DELTA", "."&amp;Table13345[[#This Row],[Ticker]]&amp;Table13345[[#This Row],[Expiry]]&amp;""&amp;"P"&amp;Table13345[[#This Row],[Strike]]))</f>
        <v>0</v>
      </c>
      <c r="Y892" s="19">
        <f>-15* IF($M$1="NDX", 10, IF(OR($M$1="SPX", $M$1="RUT"), 2, 1))</f>
        <v>-30</v>
      </c>
      <c r="Z892">
        <f ca="1">IFERROR(Table13345[[#This Row],[call gamma]]*(Table13345[[#This Row],[Open.Int]])*$A$4^2,0)</f>
        <v>0</v>
      </c>
      <c r="AA892">
        <f ca="1">IFERROR(((Table13345[[#This Row],[Open.Int8]])*Table13345[[#This Row],[Put gamma]])*-1*$A$4^2,0)</f>
        <v>0</v>
      </c>
      <c r="AB892">
        <f ca="1">(Table13345[[#This Row],[Call Gex]]+Table13345[[#This Row],[Put Gex]])</f>
        <v>0</v>
      </c>
      <c r="AC892">
        <f ca="1">Table13345[[#This Row],[put delta adj]]+Table13345[[#This Row],[call delta adj]]</f>
        <v>0</v>
      </c>
      <c r="AD892">
        <f ca="1">Table13345[[#This Row],[Put Gex]]*Table13345[[#This Row],[DeltaP]]*-1</f>
        <v>0</v>
      </c>
      <c r="AE892">
        <f ca="1">Table13345[[#This Row],[Call Gex]]*Table13345[[#This Row],[DeltaC]]</f>
        <v>0</v>
      </c>
      <c r="AF892">
        <f>IF(Table13345[[#This Row],[DeltaC]]-ABS(Table13345[[#This Row],[DeltaP]])="0","0.01",Table13345[[#This Row],[DeltaC]]-ABS(Table13345[[#This Row],[DeltaP]]))</f>
        <v>0</v>
      </c>
      <c r="AG89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2" t="e">
        <f ca="1">(EXP(-(AG892^2)/2)/SQRT(2*PI())*EXP(0*SQRT(Table13345[[#This Row],[T]]))/$A$4*18%*SQRT(SQRT(Table13345[[#This Row],[T]])))</f>
        <v>#DIV/0!</v>
      </c>
      <c r="AJ892" t="e">
        <f ca="1">(EXP(-(AH892^2)/2)/SQRT(2*PI())*EXP(0*SQRT(Table13345[[#This Row],[T]]))/$A$4*18%*SQRT(SQRT(Table13345[[#This Row],[T]])))</f>
        <v>#DIV/0!</v>
      </c>
      <c r="AK892" t="e">
        <f ca="1">Table13345[[#This Row],[Call D1]]-Table13345[[#This Row],[IV Calc C]]*SQRT(Table13345[[#This Row],[T]])</f>
        <v>#DIV/0!</v>
      </c>
      <c r="AL892" t="e">
        <f ca="1">Table13345[[#This Row],[Put D1]]-Table13345[[#This Row],[IV Calc P]]*SQRT(Table13345[[#This Row],[T]])</f>
        <v>#DIV/0!</v>
      </c>
      <c r="AM892" t="e">
        <f ca="1">EXP(-0.5*Table13345[[#This Row],[Call D1]]^2)/SQRT(2*PI())</f>
        <v>#DIV/0!</v>
      </c>
      <c r="AN892" t="e">
        <f ca="1">EXP(-0.5*Table13345[[#This Row],[Put D1]]^2)/SQRT(2*PI())</f>
        <v>#DIV/0!</v>
      </c>
      <c r="AO89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2">
        <f ca="1">((Table13345[[#This Row],[call vanna]]+Table13345[[#This Row],[put vanna]])*$A$4)</f>
        <v>0</v>
      </c>
      <c r="AR89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2" s="9" t="str" cm="1">
        <f t="array" ref="AT892">_xlfn.IFS(     $M$1="SPX","SPXW",     $M$1="RUT","RUTW",  $M$1="NDX","NDXP",   TRUE,$M$1 )</f>
        <v>SPXW</v>
      </c>
      <c r="AU892" s="2">
        <f t="shared" si="92"/>
        <v>6915</v>
      </c>
      <c r="AV892" t="str">
        <f t="shared" si="93"/>
        <v>000100</v>
      </c>
      <c r="AY89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2">
        <f>((Table13345[[#This Row],[High C]]+Table13345[[#This Row],[Low C]])/2)*Table13345[[#This Row],[gammac]]*Table13345[[#This Row],[Volume]]</f>
        <v>0</v>
      </c>
      <c r="BD892">
        <f>((Table13345[[#This Row],[High P]]+Table13345[[#This Row],[Low P]])/2)*Table13345[[#This Row],[gammap]]*Table13345[[#This Row],[Volume9]]*-1</f>
        <v>0</v>
      </c>
      <c r="BE892">
        <f>(Table13345[[#This Row],[SgammaC]]+Table13345[[#This Row],[SgammaP]])*$A$4*-100</f>
        <v>0</v>
      </c>
      <c r="BF892">
        <f>Table13345[[#This Row],[DEXc]]+Table13345[[#This Row],[DEXp]]</f>
        <v>0</v>
      </c>
      <c r="BG892">
        <f>IFERROR(Table13345[[#This Row],[DeltaC]]*Table13345[[#This Row],[Open.Int]]*$A$4,0)</f>
        <v>0</v>
      </c>
      <c r="BH892">
        <f>IFERROR(Table13345[[#This Row],[DeltaP]]*Table13345[[#This Row],[Open.Int8]]*$A$4,0)</f>
        <v>0</v>
      </c>
      <c r="BI89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2">
        <f ca="1">Table13345[[#This Row],[charmc]]+Table13345[[#This Row],[charmp]]</f>
        <v>0</v>
      </c>
      <c r="BL89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2" s="78">
        <f ca="1">Table13345[[#This Row],[call helper]]+Table13345[[#This Row],[put helper]]</f>
        <v>0</v>
      </c>
      <c r="BP892" t="str">
        <f>RTD("tos.rtd", , "STRIKE", "."&amp;Table13345[[#This Row],[Ticker]]&amp;Table13345[[#This Row],[Expiry]]&amp;""&amp;"C"&amp;Table13345[[#This Row],[Spot]]+Table13345[[#This Row],[step]])</f>
        <v>N/A</v>
      </c>
    </row>
    <row r="893" spans="1:68" x14ac:dyDescent="0.25">
      <c r="A893" s="24">
        <f t="shared" ca="1" si="89"/>
        <v>-126.14810350076104</v>
      </c>
      <c r="B893" s="13"/>
      <c r="C893" s="17"/>
      <c r="D893" t="str">
        <f>RTD("tos.rtd", , "OPEN_INT", "."&amp;Table13345[[#This Row],[Ticker]]&amp;Table13345[[#This Row],[Expiry]]&amp;""&amp;"C"&amp;Table13345[[#This Row],[Spot]]+Table13345[[#This Row],[step]])</f>
        <v>N/A</v>
      </c>
      <c r="E89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3" t="b">
        <f>IF(     ISNUMBER(Table13345[[#This Row],[Strike]]),RTD("tos.rtd", , "DELTA", "."&amp;Table13345[[#This Row],[Ticker]]&amp;Table13345[[#This Row],[Expiry]]&amp;""&amp;"C"&amp;Table13345[[#This Row],[Strike]]))</f>
        <v>0</v>
      </c>
      <c r="H893" s="17" cm="1">
        <f t="array" aca="1" ref="H893" ca="1">IndividualLegIVCore($A$4, Table13345[[#This Row],[Strike]], 0.0411, Table13345[[#This Row],[T]], ((Table13345[[#This Row],[BIDC]]+Table13345[[#This Row],[ASKC]])/2), TRUE)</f>
        <v>0.01</v>
      </c>
      <c r="I893" t="b">
        <f>IF(     ISNUMBER(Table13345[[#This Row],[Strike]]),RTD("tos.rtd", , "BID", "."&amp;Table13345[[#This Row],[Ticker]]&amp;Table13345[[#This Row],[Expiry]]&amp;""&amp;"C"&amp;Table13345[[#This Row],[Strike]]))</f>
        <v>0</v>
      </c>
      <c r="J893" t="b">
        <f>IF(     ISNUMBER(Table13345[[#This Row],[Strike]]),RTD("tos.rtd", , "ASK", "."&amp;Table13345[[#This Row],[Ticker]]&amp;Table13345[[#This Row],[Expiry]]&amp;""&amp;"C"&amp;Table13345[[#This Row],[Strike]]))</f>
        <v>0</v>
      </c>
      <c r="K893" s="17"/>
      <c r="M893" s="1">
        <f t="shared" si="90"/>
        <v>0</v>
      </c>
      <c r="N893" t="b">
        <f t="shared" si="91"/>
        <v>0</v>
      </c>
      <c r="P893" s="17" cm="1">
        <f t="array" aca="1" ref="P893" ca="1">IndividualLegIVCore($A$4, Table13345[[#This Row],[Strike]], 0.0411, Table13345[[#This Row],[T]], ((Table13345[[#This Row],[BIDP]]+Table13345[[#This Row],[ASKP]])/2), FALSE)</f>
        <v>0.01</v>
      </c>
      <c r="Q893" t="b">
        <f>IF(     ISNUMBER(Table13345[[#This Row],[Strike]]),RTD("tos.rtd", , "BID", "."&amp;Table13345[[#This Row],[Ticker]]&amp;Table13345[[#This Row],[Expiry]]&amp;""&amp;"P"&amp;Table13345[[#This Row],[Strike]]))</f>
        <v>0</v>
      </c>
      <c r="R893" t="b">
        <f>IF(     ISNUMBER(Table13345[[#This Row],[Strike]]),RTD("tos.rtd", , "ASK", "."&amp;Table13345[[#This Row],[Ticker]]&amp;Table13345[[#This Row],[Expiry]]&amp;""&amp;"P"&amp;Table13345[[#This Row],[Strike]]))</f>
        <v>0</v>
      </c>
      <c r="S893" s="17"/>
      <c r="T893" t="b">
        <f>IF(     ISNUMBER(Table13345[[#This Row],[Strike]]),RTD("tos.rtd", , "OPEN_INT", "."&amp;Table13345[[#This Row],[Ticker]]&amp;Table13345[[#This Row],[Expiry]]&amp;""&amp;"P"&amp;Table13345[[#This Row],[Strike]]))</f>
        <v>0</v>
      </c>
      <c r="U89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3" t="b">
        <f>IF(     ISNUMBER(Table13345[[#This Row],[Strike]]),RTD("tos.rtd", , "DELTA", "."&amp;Table13345[[#This Row],[Ticker]]&amp;Table13345[[#This Row],[Expiry]]&amp;""&amp;"P"&amp;Table13345[[#This Row],[Strike]]))</f>
        <v>0</v>
      </c>
      <c r="X893" s="13"/>
      <c r="Y893" s="19">
        <f>-14.5* IF($M$1="NDX", 10, IF(OR($M$1="SPX", $M$1="RUT"), 2, 1))</f>
        <v>-29</v>
      </c>
      <c r="Z893">
        <f ca="1">IFERROR(Table13345[[#This Row],[call gamma]]*(Table13345[[#This Row],[Open.Int]])*$A$4^2,0)</f>
        <v>0</v>
      </c>
      <c r="AA893">
        <f ca="1">IFERROR(((Table13345[[#This Row],[Open.Int8]])*Table13345[[#This Row],[Put gamma]])*-1*$A$4^2,0)</f>
        <v>0</v>
      </c>
      <c r="AB893">
        <f ca="1">(Table13345[[#This Row],[Call Gex]]+Table13345[[#This Row],[Put Gex]])</f>
        <v>0</v>
      </c>
      <c r="AC893">
        <f ca="1">Table13345[[#This Row],[put delta adj]]+Table13345[[#This Row],[call delta adj]]</f>
        <v>0</v>
      </c>
      <c r="AD893">
        <f ca="1">Table13345[[#This Row],[Put Gex]]*Table13345[[#This Row],[DeltaP]]*-1</f>
        <v>0</v>
      </c>
      <c r="AE893">
        <f ca="1">Table13345[[#This Row],[Call Gex]]*Table13345[[#This Row],[DeltaC]]</f>
        <v>0</v>
      </c>
      <c r="AF893">
        <f>IF(Table13345[[#This Row],[DeltaC]]-ABS(Table13345[[#This Row],[DeltaP]])="0","0.01",Table13345[[#This Row],[DeltaC]]-ABS(Table13345[[#This Row],[DeltaP]]))</f>
        <v>0</v>
      </c>
      <c r="AG89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3" t="e">
        <f ca="1">(EXP(-(AG893^2)/2)/SQRT(2*PI())*EXP(0*SQRT(Table13345[[#This Row],[T]]))/$A$4*18%*SQRT(SQRT(Table13345[[#This Row],[T]])))</f>
        <v>#DIV/0!</v>
      </c>
      <c r="AJ893" t="e">
        <f ca="1">(EXP(-(AH893^2)/2)/SQRT(2*PI())*EXP(0*SQRT(Table13345[[#This Row],[T]]))/$A$4*18%*SQRT(SQRT(Table13345[[#This Row],[T]])))</f>
        <v>#DIV/0!</v>
      </c>
      <c r="AK893" t="e">
        <f ca="1">Table13345[[#This Row],[Call D1]]-Table13345[[#This Row],[IV Calc C]]*SQRT(Table13345[[#This Row],[T]])</f>
        <v>#DIV/0!</v>
      </c>
      <c r="AL893" t="e">
        <f ca="1">Table13345[[#This Row],[Put D1]]-Table13345[[#This Row],[IV Calc P]]*SQRT(Table13345[[#This Row],[T]])</f>
        <v>#DIV/0!</v>
      </c>
      <c r="AM893" t="e">
        <f ca="1">EXP(-0.5*Table13345[[#This Row],[Call D1]]^2)/SQRT(2*PI())</f>
        <v>#DIV/0!</v>
      </c>
      <c r="AN893" t="e">
        <f ca="1">EXP(-0.5*Table13345[[#This Row],[Put D1]]^2)/SQRT(2*PI())</f>
        <v>#DIV/0!</v>
      </c>
      <c r="AO89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3">
        <f ca="1">((Table13345[[#This Row],[call vanna]]+Table13345[[#This Row],[put vanna]])*$A$4)</f>
        <v>0</v>
      </c>
      <c r="AR89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3" s="22" t="str" cm="1">
        <f t="array" ref="AT893">_xlfn.IFS(     $M$1="SPX","SPXW",     $M$1="RUT","RUTW",  $M$1="NDX","NDXP",   TRUE,$M$1 )</f>
        <v>SPXW</v>
      </c>
      <c r="AU893" s="2">
        <f t="shared" si="92"/>
        <v>6915</v>
      </c>
      <c r="AV893" t="str">
        <f t="shared" si="93"/>
        <v>000100</v>
      </c>
      <c r="AY89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3">
        <f>((Table13345[[#This Row],[High C]]+Table13345[[#This Row],[Low C]])/2)*Table13345[[#This Row],[gammac]]*Table13345[[#This Row],[Volume]]</f>
        <v>0</v>
      </c>
      <c r="BD893">
        <f>((Table13345[[#This Row],[High P]]+Table13345[[#This Row],[Low P]])/2)*Table13345[[#This Row],[gammap]]*Table13345[[#This Row],[Volume9]]*-1</f>
        <v>0</v>
      </c>
      <c r="BE893">
        <f>(Table13345[[#This Row],[SgammaC]]+Table13345[[#This Row],[SgammaP]])*$A$4*-100</f>
        <v>0</v>
      </c>
      <c r="BF893">
        <f>Table13345[[#This Row],[DEXc]]+Table13345[[#This Row],[DEXp]]</f>
        <v>0</v>
      </c>
      <c r="BG893">
        <f>IFERROR(Table13345[[#This Row],[DeltaC]]*Table13345[[#This Row],[Open.Int]]*$A$4,0)</f>
        <v>0</v>
      </c>
      <c r="BH893">
        <f>IFERROR(Table13345[[#This Row],[DeltaP]]*Table13345[[#This Row],[Open.Int8]]*$A$4,0)</f>
        <v>0</v>
      </c>
      <c r="BI89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3">
        <f ca="1">Table13345[[#This Row],[charmc]]+Table13345[[#This Row],[charmp]]</f>
        <v>0</v>
      </c>
      <c r="BL89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3" s="78">
        <f ca="1">Table13345[[#This Row],[call helper]]+Table13345[[#This Row],[put helper]]</f>
        <v>0</v>
      </c>
      <c r="BP893" t="str">
        <f>RTD("tos.rtd", , "STRIKE", "."&amp;Table13345[[#This Row],[Ticker]]&amp;Table13345[[#This Row],[Expiry]]&amp;""&amp;"C"&amp;Table13345[[#This Row],[Spot]]+Table13345[[#This Row],[step]])</f>
        <v>N/A</v>
      </c>
    </row>
    <row r="894" spans="1:68" x14ac:dyDescent="0.25">
      <c r="A894" s="14">
        <f t="shared" ca="1" si="89"/>
        <v>-126.14810350076104</v>
      </c>
      <c r="C894" s="17"/>
      <c r="D894" t="str">
        <f>RTD("tos.rtd", , "OPEN_INT", "."&amp;Table13345[[#This Row],[Ticker]]&amp;Table13345[[#This Row],[Expiry]]&amp;""&amp;"C"&amp;Table13345[[#This Row],[Spot]]+Table13345[[#This Row],[step]])</f>
        <v>N/A</v>
      </c>
      <c r="E89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4" t="b">
        <f>IF(     ISNUMBER(Table13345[[#This Row],[Strike]]),RTD("tos.rtd", , "DELTA", "."&amp;Table13345[[#This Row],[Ticker]]&amp;Table13345[[#This Row],[Expiry]]&amp;""&amp;"C"&amp;Table13345[[#This Row],[Strike]]))</f>
        <v>0</v>
      </c>
      <c r="H894" s="17" cm="1">
        <f t="array" aca="1" ref="H894" ca="1">IndividualLegIVCore($A$4, Table13345[[#This Row],[Strike]], 0.0411, Table13345[[#This Row],[T]], ((Table13345[[#This Row],[BIDC]]+Table13345[[#This Row],[ASKC]])/2), TRUE)</f>
        <v>0.01</v>
      </c>
      <c r="I894" t="b">
        <f>IF(     ISNUMBER(Table13345[[#This Row],[Strike]]),RTD("tos.rtd", , "BID", "."&amp;Table13345[[#This Row],[Ticker]]&amp;Table13345[[#This Row],[Expiry]]&amp;""&amp;"C"&amp;Table13345[[#This Row],[Strike]]))</f>
        <v>0</v>
      </c>
      <c r="J894" t="b">
        <f>IF(     ISNUMBER(Table13345[[#This Row],[Strike]]),RTD("tos.rtd", , "ASK", "."&amp;Table13345[[#This Row],[Ticker]]&amp;Table13345[[#This Row],[Expiry]]&amp;""&amp;"C"&amp;Table13345[[#This Row],[Strike]]))</f>
        <v>0</v>
      </c>
      <c r="K894" s="17"/>
      <c r="M894" s="1">
        <f t="shared" si="90"/>
        <v>0</v>
      </c>
      <c r="N894" t="b">
        <f t="shared" si="91"/>
        <v>0</v>
      </c>
      <c r="P894" s="17" cm="1">
        <f t="array" aca="1" ref="P894" ca="1">IndividualLegIVCore($A$4, Table13345[[#This Row],[Strike]], 0.0411, Table13345[[#This Row],[T]], ((Table13345[[#This Row],[BIDP]]+Table13345[[#This Row],[ASKP]])/2), FALSE)</f>
        <v>0.01</v>
      </c>
      <c r="Q894" t="b">
        <f>IF(     ISNUMBER(Table13345[[#This Row],[Strike]]),RTD("tos.rtd", , "BID", "."&amp;Table13345[[#This Row],[Ticker]]&amp;Table13345[[#This Row],[Expiry]]&amp;""&amp;"P"&amp;Table13345[[#This Row],[Strike]]))</f>
        <v>0</v>
      </c>
      <c r="R894" t="b">
        <f>IF(     ISNUMBER(Table13345[[#This Row],[Strike]]),RTD("tos.rtd", , "ASK", "."&amp;Table13345[[#This Row],[Ticker]]&amp;Table13345[[#This Row],[Expiry]]&amp;""&amp;"P"&amp;Table13345[[#This Row],[Strike]]))</f>
        <v>0</v>
      </c>
      <c r="S894" s="17"/>
      <c r="T894" t="b">
        <f>IF(     ISNUMBER(Table13345[[#This Row],[Strike]]),RTD("tos.rtd", , "OPEN_INT", "."&amp;Table13345[[#This Row],[Ticker]]&amp;Table13345[[#This Row],[Expiry]]&amp;""&amp;"P"&amp;Table13345[[#This Row],[Strike]]))</f>
        <v>0</v>
      </c>
      <c r="U89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4" t="b">
        <f>IF(     ISNUMBER(Table13345[[#This Row],[Strike]]),RTD("tos.rtd", , "DELTA", "."&amp;Table13345[[#This Row],[Ticker]]&amp;Table13345[[#This Row],[Expiry]]&amp;""&amp;"P"&amp;Table13345[[#This Row],[Strike]]))</f>
        <v>0</v>
      </c>
      <c r="Y894" s="19">
        <f>-14* IF($M$1="NDX", 10, IF(OR($M$1="SPX", $M$1="RUT"), 2, 1))</f>
        <v>-28</v>
      </c>
      <c r="Z894">
        <f ca="1">IFERROR(Table13345[[#This Row],[call gamma]]*(Table13345[[#This Row],[Open.Int]])*$A$4^2,0)</f>
        <v>0</v>
      </c>
      <c r="AA894">
        <f ca="1">IFERROR(((Table13345[[#This Row],[Open.Int8]])*Table13345[[#This Row],[Put gamma]])*-1*$A$4^2,0)</f>
        <v>0</v>
      </c>
      <c r="AB894">
        <f ca="1">(Table13345[[#This Row],[Call Gex]]+Table13345[[#This Row],[Put Gex]])</f>
        <v>0</v>
      </c>
      <c r="AC894">
        <f ca="1">Table13345[[#This Row],[put delta adj]]+Table13345[[#This Row],[call delta adj]]</f>
        <v>0</v>
      </c>
      <c r="AD894">
        <f ca="1">Table13345[[#This Row],[Put Gex]]*Table13345[[#This Row],[DeltaP]]*-1</f>
        <v>0</v>
      </c>
      <c r="AE894">
        <f ca="1">Table13345[[#This Row],[Call Gex]]*Table13345[[#This Row],[DeltaC]]</f>
        <v>0</v>
      </c>
      <c r="AF894">
        <f>IF(Table13345[[#This Row],[DeltaC]]-ABS(Table13345[[#This Row],[DeltaP]])="0","0.01",Table13345[[#This Row],[DeltaC]]-ABS(Table13345[[#This Row],[DeltaP]]))</f>
        <v>0</v>
      </c>
      <c r="AG89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4" t="e">
        <f ca="1">(EXP(-(AG894^2)/2)/SQRT(2*PI())*EXP(0*SQRT(Table13345[[#This Row],[T]]))/$A$4*18%*SQRT(SQRT(Table13345[[#This Row],[T]])))</f>
        <v>#DIV/0!</v>
      </c>
      <c r="AJ894" t="e">
        <f ca="1">(EXP(-(AH894^2)/2)/SQRT(2*PI())*EXP(0*SQRT(Table13345[[#This Row],[T]]))/$A$4*18%*SQRT(SQRT(Table13345[[#This Row],[T]])))</f>
        <v>#DIV/0!</v>
      </c>
      <c r="AK894" t="e">
        <f ca="1">Table13345[[#This Row],[Call D1]]-Table13345[[#This Row],[IV Calc C]]*SQRT(Table13345[[#This Row],[T]])</f>
        <v>#DIV/0!</v>
      </c>
      <c r="AL894" t="e">
        <f ca="1">Table13345[[#This Row],[Put D1]]-Table13345[[#This Row],[IV Calc P]]*SQRT(Table13345[[#This Row],[T]])</f>
        <v>#DIV/0!</v>
      </c>
      <c r="AM894" t="e">
        <f ca="1">EXP(-0.5*Table13345[[#This Row],[Call D1]]^2)/SQRT(2*PI())</f>
        <v>#DIV/0!</v>
      </c>
      <c r="AN894" t="e">
        <f ca="1">EXP(-0.5*Table13345[[#This Row],[Put D1]]^2)/SQRT(2*PI())</f>
        <v>#DIV/0!</v>
      </c>
      <c r="AO89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4">
        <f ca="1">((Table13345[[#This Row],[call vanna]]+Table13345[[#This Row],[put vanna]])*$A$4)</f>
        <v>0</v>
      </c>
      <c r="AR89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4" s="9" t="str" cm="1">
        <f t="array" ref="AT894">_xlfn.IFS(     $M$1="SPX","SPXW",     $M$1="RUT","RUTW",  $M$1="NDX","NDXP",   TRUE,$M$1 )</f>
        <v>SPXW</v>
      </c>
      <c r="AU894" s="2">
        <f t="shared" si="92"/>
        <v>6915</v>
      </c>
      <c r="AV894" t="str">
        <f t="shared" si="93"/>
        <v>000100</v>
      </c>
      <c r="AY89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4">
        <f>((Table13345[[#This Row],[High C]]+Table13345[[#This Row],[Low C]])/2)*Table13345[[#This Row],[gammac]]*Table13345[[#This Row],[Volume]]</f>
        <v>0</v>
      </c>
      <c r="BD894">
        <f>((Table13345[[#This Row],[High P]]+Table13345[[#This Row],[Low P]])/2)*Table13345[[#This Row],[gammap]]*Table13345[[#This Row],[Volume9]]*-1</f>
        <v>0</v>
      </c>
      <c r="BE894">
        <f>(Table13345[[#This Row],[SgammaC]]+Table13345[[#This Row],[SgammaP]])*$A$4*-100</f>
        <v>0</v>
      </c>
      <c r="BF894">
        <f>Table13345[[#This Row],[DEXc]]+Table13345[[#This Row],[DEXp]]</f>
        <v>0</v>
      </c>
      <c r="BG894">
        <f>IFERROR(Table13345[[#This Row],[DeltaC]]*Table13345[[#This Row],[Open.Int]]*$A$4,0)</f>
        <v>0</v>
      </c>
      <c r="BH894">
        <f>IFERROR(Table13345[[#This Row],[DeltaP]]*Table13345[[#This Row],[Open.Int8]]*$A$4,0)</f>
        <v>0</v>
      </c>
      <c r="BI89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4">
        <f ca="1">Table13345[[#This Row],[charmc]]+Table13345[[#This Row],[charmp]]</f>
        <v>0</v>
      </c>
      <c r="BL89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4" s="78">
        <f ca="1">Table13345[[#This Row],[call helper]]+Table13345[[#This Row],[put helper]]</f>
        <v>0</v>
      </c>
      <c r="BP894" t="str">
        <f>RTD("tos.rtd", , "STRIKE", "."&amp;Table13345[[#This Row],[Ticker]]&amp;Table13345[[#This Row],[Expiry]]&amp;""&amp;"C"&amp;Table13345[[#This Row],[Spot]]+Table13345[[#This Row],[step]])</f>
        <v>N/A</v>
      </c>
    </row>
    <row r="895" spans="1:68" x14ac:dyDescent="0.25">
      <c r="A895" s="14">
        <f t="shared" ca="1" si="89"/>
        <v>-126.14810350076104</v>
      </c>
      <c r="C895" s="17"/>
      <c r="D895" t="str">
        <f>RTD("tos.rtd", , "OPEN_INT", "."&amp;Table13345[[#This Row],[Ticker]]&amp;Table13345[[#This Row],[Expiry]]&amp;""&amp;"C"&amp;Table13345[[#This Row],[Spot]]+Table13345[[#This Row],[step]])</f>
        <v>N/A</v>
      </c>
      <c r="E89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5" t="b">
        <f>IF(     ISNUMBER(Table13345[[#This Row],[Strike]]),RTD("tos.rtd", , "DELTA", "."&amp;Table13345[[#This Row],[Ticker]]&amp;Table13345[[#This Row],[Expiry]]&amp;""&amp;"C"&amp;Table13345[[#This Row],[Strike]]))</f>
        <v>0</v>
      </c>
      <c r="H895" s="17" cm="1">
        <f t="array" aca="1" ref="H895" ca="1">IndividualLegIVCore($A$4, Table13345[[#This Row],[Strike]], 0.0411, Table13345[[#This Row],[T]], ((Table13345[[#This Row],[BIDC]]+Table13345[[#This Row],[ASKC]])/2), TRUE)</f>
        <v>0.01</v>
      </c>
      <c r="I895" t="b">
        <f>IF(     ISNUMBER(Table13345[[#This Row],[Strike]]),RTD("tos.rtd", , "BID", "."&amp;Table13345[[#This Row],[Ticker]]&amp;Table13345[[#This Row],[Expiry]]&amp;""&amp;"C"&amp;Table13345[[#This Row],[Strike]]))</f>
        <v>0</v>
      </c>
      <c r="J895" t="b">
        <f>IF(     ISNUMBER(Table13345[[#This Row],[Strike]]),RTD("tos.rtd", , "ASK", "."&amp;Table13345[[#This Row],[Ticker]]&amp;Table13345[[#This Row],[Expiry]]&amp;""&amp;"C"&amp;Table13345[[#This Row],[Strike]]))</f>
        <v>0</v>
      </c>
      <c r="K895" s="17"/>
      <c r="M895" s="1">
        <f t="shared" si="90"/>
        <v>0</v>
      </c>
      <c r="N895" t="b">
        <f t="shared" si="91"/>
        <v>0</v>
      </c>
      <c r="P895" s="17" cm="1">
        <f t="array" aca="1" ref="P895" ca="1">IndividualLegIVCore($A$4, Table13345[[#This Row],[Strike]], 0.0411, Table13345[[#This Row],[T]], ((Table13345[[#This Row],[BIDP]]+Table13345[[#This Row],[ASKP]])/2), FALSE)</f>
        <v>0.01</v>
      </c>
      <c r="Q895" t="b">
        <f>IF(     ISNUMBER(Table13345[[#This Row],[Strike]]),RTD("tos.rtd", , "BID", "."&amp;Table13345[[#This Row],[Ticker]]&amp;Table13345[[#This Row],[Expiry]]&amp;""&amp;"P"&amp;Table13345[[#This Row],[Strike]]))</f>
        <v>0</v>
      </c>
      <c r="R895" t="b">
        <f>IF(     ISNUMBER(Table13345[[#This Row],[Strike]]),RTD("tos.rtd", , "ASK", "."&amp;Table13345[[#This Row],[Ticker]]&amp;Table13345[[#This Row],[Expiry]]&amp;""&amp;"P"&amp;Table13345[[#This Row],[Strike]]))</f>
        <v>0</v>
      </c>
      <c r="S895" s="17"/>
      <c r="T895" t="b">
        <f>IF(     ISNUMBER(Table13345[[#This Row],[Strike]]),RTD("tos.rtd", , "OPEN_INT", "."&amp;Table13345[[#This Row],[Ticker]]&amp;Table13345[[#This Row],[Expiry]]&amp;""&amp;"P"&amp;Table13345[[#This Row],[Strike]]))</f>
        <v>0</v>
      </c>
      <c r="U89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5" t="b">
        <f>IF(     ISNUMBER(Table13345[[#This Row],[Strike]]),RTD("tos.rtd", , "DELTA", "."&amp;Table13345[[#This Row],[Ticker]]&amp;Table13345[[#This Row],[Expiry]]&amp;""&amp;"P"&amp;Table13345[[#This Row],[Strike]]))</f>
        <v>0</v>
      </c>
      <c r="Y895" s="19">
        <f>-13.5* IF($M$1="NDX", 10, IF(OR($M$1="SPX", $M$1="RUT"), 2, 1))</f>
        <v>-27</v>
      </c>
      <c r="Z895">
        <f ca="1">IFERROR(Table13345[[#This Row],[call gamma]]*(Table13345[[#This Row],[Open.Int]])*$A$4^2,0)</f>
        <v>0</v>
      </c>
      <c r="AA895">
        <f ca="1">IFERROR(((Table13345[[#This Row],[Open.Int8]])*Table13345[[#This Row],[Put gamma]])*-1*$A$4^2,0)</f>
        <v>0</v>
      </c>
      <c r="AB895">
        <f ca="1">(Table13345[[#This Row],[Call Gex]]+Table13345[[#This Row],[Put Gex]])</f>
        <v>0</v>
      </c>
      <c r="AC895">
        <f ca="1">Table13345[[#This Row],[put delta adj]]+Table13345[[#This Row],[call delta adj]]</f>
        <v>0</v>
      </c>
      <c r="AD895">
        <f ca="1">Table13345[[#This Row],[Put Gex]]*Table13345[[#This Row],[DeltaP]]*-1</f>
        <v>0</v>
      </c>
      <c r="AE895">
        <f ca="1">Table13345[[#This Row],[Call Gex]]*Table13345[[#This Row],[DeltaC]]</f>
        <v>0</v>
      </c>
      <c r="AF895">
        <f>IF(Table13345[[#This Row],[DeltaC]]-ABS(Table13345[[#This Row],[DeltaP]])="0","0.01",Table13345[[#This Row],[DeltaC]]-ABS(Table13345[[#This Row],[DeltaP]]))</f>
        <v>0</v>
      </c>
      <c r="AG89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5" t="e">
        <f ca="1">(EXP(-(AG895^2)/2)/SQRT(2*PI())*EXP(0*SQRT(Table13345[[#This Row],[T]]))/$A$4*18%*SQRT(SQRT(Table13345[[#This Row],[T]])))</f>
        <v>#DIV/0!</v>
      </c>
      <c r="AJ895" t="e">
        <f ca="1">(EXP(-(AH895^2)/2)/SQRT(2*PI())*EXP(0*SQRT(Table13345[[#This Row],[T]]))/$A$4*18%*SQRT(SQRT(Table13345[[#This Row],[T]])))</f>
        <v>#DIV/0!</v>
      </c>
      <c r="AK895" t="e">
        <f ca="1">Table13345[[#This Row],[Call D1]]-Table13345[[#This Row],[IV Calc C]]*SQRT(Table13345[[#This Row],[T]])</f>
        <v>#DIV/0!</v>
      </c>
      <c r="AL895" t="e">
        <f ca="1">Table13345[[#This Row],[Put D1]]-Table13345[[#This Row],[IV Calc P]]*SQRT(Table13345[[#This Row],[T]])</f>
        <v>#DIV/0!</v>
      </c>
      <c r="AM895" t="e">
        <f ca="1">EXP(-0.5*Table13345[[#This Row],[Call D1]]^2)/SQRT(2*PI())</f>
        <v>#DIV/0!</v>
      </c>
      <c r="AN895" t="e">
        <f ca="1">EXP(-0.5*Table13345[[#This Row],[Put D1]]^2)/SQRT(2*PI())</f>
        <v>#DIV/0!</v>
      </c>
      <c r="AO89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5">
        <f ca="1">((Table13345[[#This Row],[call vanna]]+Table13345[[#This Row],[put vanna]])*$A$4)</f>
        <v>0</v>
      </c>
      <c r="AR89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5" s="9" t="str" cm="1">
        <f t="array" ref="AT895">_xlfn.IFS(     $M$1="SPX","SPXW",     $M$1="RUT","RUTW",  $M$1="NDX","NDXP",   TRUE,$M$1 )</f>
        <v>SPXW</v>
      </c>
      <c r="AU895" s="2">
        <f t="shared" si="92"/>
        <v>6915</v>
      </c>
      <c r="AV895" t="str">
        <f t="shared" si="93"/>
        <v>000100</v>
      </c>
      <c r="AY89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5">
        <f>((Table13345[[#This Row],[High C]]+Table13345[[#This Row],[Low C]])/2)*Table13345[[#This Row],[gammac]]*Table13345[[#This Row],[Volume]]</f>
        <v>0</v>
      </c>
      <c r="BD895">
        <f>((Table13345[[#This Row],[High P]]+Table13345[[#This Row],[Low P]])/2)*Table13345[[#This Row],[gammap]]*Table13345[[#This Row],[Volume9]]*-1</f>
        <v>0</v>
      </c>
      <c r="BE895">
        <f>(Table13345[[#This Row],[SgammaC]]+Table13345[[#This Row],[SgammaP]])*$A$4*-100</f>
        <v>0</v>
      </c>
      <c r="BF895">
        <f>Table13345[[#This Row],[DEXc]]+Table13345[[#This Row],[DEXp]]</f>
        <v>0</v>
      </c>
      <c r="BG895">
        <f>IFERROR(Table13345[[#This Row],[DeltaC]]*Table13345[[#This Row],[Open.Int]]*$A$4,0)</f>
        <v>0</v>
      </c>
      <c r="BH895">
        <f>IFERROR(Table13345[[#This Row],[DeltaP]]*Table13345[[#This Row],[Open.Int8]]*$A$4,0)</f>
        <v>0</v>
      </c>
      <c r="BI89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5">
        <f ca="1">Table13345[[#This Row],[charmc]]+Table13345[[#This Row],[charmp]]</f>
        <v>0</v>
      </c>
      <c r="BL89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5" s="78">
        <f ca="1">Table13345[[#This Row],[call helper]]+Table13345[[#This Row],[put helper]]</f>
        <v>0</v>
      </c>
      <c r="BP895" t="str">
        <f>RTD("tos.rtd", , "STRIKE", "."&amp;Table13345[[#This Row],[Ticker]]&amp;Table13345[[#This Row],[Expiry]]&amp;""&amp;"C"&amp;Table13345[[#This Row],[Spot]]+Table13345[[#This Row],[step]])</f>
        <v>N/A</v>
      </c>
    </row>
    <row r="896" spans="1:68" x14ac:dyDescent="0.25">
      <c r="A896" s="14">
        <f t="shared" ca="1" si="89"/>
        <v>-126.14810350076104</v>
      </c>
      <c r="C896" s="17"/>
      <c r="D896" t="str">
        <f>RTD("tos.rtd", , "OPEN_INT", "."&amp;Table13345[[#This Row],[Ticker]]&amp;Table13345[[#This Row],[Expiry]]&amp;""&amp;"C"&amp;Table13345[[#This Row],[Spot]]+Table13345[[#This Row],[step]])</f>
        <v>N/A</v>
      </c>
      <c r="E89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6" t="b">
        <f>IF(     ISNUMBER(Table13345[[#This Row],[Strike]]),RTD("tos.rtd", , "DELTA", "."&amp;Table13345[[#This Row],[Ticker]]&amp;Table13345[[#This Row],[Expiry]]&amp;""&amp;"C"&amp;Table13345[[#This Row],[Strike]]))</f>
        <v>0</v>
      </c>
      <c r="H896" s="17" cm="1">
        <f t="array" aca="1" ref="H896" ca="1">IndividualLegIVCore($A$4, Table13345[[#This Row],[Strike]], 0.0411, Table13345[[#This Row],[T]], ((Table13345[[#This Row],[BIDC]]+Table13345[[#This Row],[ASKC]])/2), TRUE)</f>
        <v>0.01</v>
      </c>
      <c r="I896" t="b">
        <f>IF(     ISNUMBER(Table13345[[#This Row],[Strike]]),RTD("tos.rtd", , "BID", "."&amp;Table13345[[#This Row],[Ticker]]&amp;Table13345[[#This Row],[Expiry]]&amp;""&amp;"C"&amp;Table13345[[#This Row],[Strike]]))</f>
        <v>0</v>
      </c>
      <c r="J896" t="b">
        <f>IF(     ISNUMBER(Table13345[[#This Row],[Strike]]),RTD("tos.rtd", , "ASK", "."&amp;Table13345[[#This Row],[Ticker]]&amp;Table13345[[#This Row],[Expiry]]&amp;""&amp;"C"&amp;Table13345[[#This Row],[Strike]]))</f>
        <v>0</v>
      </c>
      <c r="K896" s="17"/>
      <c r="M896" s="1">
        <f t="shared" si="90"/>
        <v>0</v>
      </c>
      <c r="N896" t="b">
        <f t="shared" si="91"/>
        <v>0</v>
      </c>
      <c r="P896" s="17" cm="1">
        <f t="array" aca="1" ref="P896" ca="1">IndividualLegIVCore($A$4, Table13345[[#This Row],[Strike]], 0.0411, Table13345[[#This Row],[T]], ((Table13345[[#This Row],[BIDP]]+Table13345[[#This Row],[ASKP]])/2), FALSE)</f>
        <v>0.01</v>
      </c>
      <c r="Q896" t="b">
        <f>IF(     ISNUMBER(Table13345[[#This Row],[Strike]]),RTD("tos.rtd", , "BID", "."&amp;Table13345[[#This Row],[Ticker]]&amp;Table13345[[#This Row],[Expiry]]&amp;""&amp;"P"&amp;Table13345[[#This Row],[Strike]]))</f>
        <v>0</v>
      </c>
      <c r="R896" t="b">
        <f>IF(     ISNUMBER(Table13345[[#This Row],[Strike]]),RTD("tos.rtd", , "ASK", "."&amp;Table13345[[#This Row],[Ticker]]&amp;Table13345[[#This Row],[Expiry]]&amp;""&amp;"P"&amp;Table13345[[#This Row],[Strike]]))</f>
        <v>0</v>
      </c>
      <c r="S896" s="17"/>
      <c r="T896" t="b">
        <f>IF(     ISNUMBER(Table13345[[#This Row],[Strike]]),RTD("tos.rtd", , "OPEN_INT", "."&amp;Table13345[[#This Row],[Ticker]]&amp;Table13345[[#This Row],[Expiry]]&amp;""&amp;"P"&amp;Table13345[[#This Row],[Strike]]))</f>
        <v>0</v>
      </c>
      <c r="U89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6" t="b">
        <f>IF(     ISNUMBER(Table13345[[#This Row],[Strike]]),RTD("tos.rtd", , "DELTA", "."&amp;Table13345[[#This Row],[Ticker]]&amp;Table13345[[#This Row],[Expiry]]&amp;""&amp;"P"&amp;Table13345[[#This Row],[Strike]]))</f>
        <v>0</v>
      </c>
      <c r="Y896" s="19">
        <f>-13* IF($M$1="NDX", 10, IF(OR($M$1="SPX", $M$1="RUT"), 2, 1))</f>
        <v>-26</v>
      </c>
      <c r="Z896">
        <f ca="1">IFERROR(Table13345[[#This Row],[call gamma]]*(Table13345[[#This Row],[Open.Int]])*$A$4^2,0)</f>
        <v>0</v>
      </c>
      <c r="AA896">
        <f ca="1">IFERROR(((Table13345[[#This Row],[Open.Int8]])*Table13345[[#This Row],[Put gamma]])*-1*$A$4^2,0)</f>
        <v>0</v>
      </c>
      <c r="AB896">
        <f ca="1">(Table13345[[#This Row],[Call Gex]]+Table13345[[#This Row],[Put Gex]])</f>
        <v>0</v>
      </c>
      <c r="AC896">
        <f ca="1">Table13345[[#This Row],[put delta adj]]+Table13345[[#This Row],[call delta adj]]</f>
        <v>0</v>
      </c>
      <c r="AD896">
        <f ca="1">Table13345[[#This Row],[Put Gex]]*Table13345[[#This Row],[DeltaP]]*-1</f>
        <v>0</v>
      </c>
      <c r="AE896">
        <f ca="1">Table13345[[#This Row],[Call Gex]]*Table13345[[#This Row],[DeltaC]]</f>
        <v>0</v>
      </c>
      <c r="AF896">
        <f>IF(Table13345[[#This Row],[DeltaC]]-ABS(Table13345[[#This Row],[DeltaP]])="0","0.01",Table13345[[#This Row],[DeltaC]]-ABS(Table13345[[#This Row],[DeltaP]]))</f>
        <v>0</v>
      </c>
      <c r="AG89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6" t="e">
        <f ca="1">(EXP(-(AG896^2)/2)/SQRT(2*PI())*EXP(0*SQRT(Table13345[[#This Row],[T]]))/$A$4*18%*SQRT(SQRT(Table13345[[#This Row],[T]])))</f>
        <v>#DIV/0!</v>
      </c>
      <c r="AJ896" t="e">
        <f ca="1">(EXP(-(AH896^2)/2)/SQRT(2*PI())*EXP(0*SQRT(Table13345[[#This Row],[T]]))/$A$4*18%*SQRT(SQRT(Table13345[[#This Row],[T]])))</f>
        <v>#DIV/0!</v>
      </c>
      <c r="AK896" t="e">
        <f ca="1">Table13345[[#This Row],[Call D1]]-Table13345[[#This Row],[IV Calc C]]*SQRT(Table13345[[#This Row],[T]])</f>
        <v>#DIV/0!</v>
      </c>
      <c r="AL896" t="e">
        <f ca="1">Table13345[[#This Row],[Put D1]]-Table13345[[#This Row],[IV Calc P]]*SQRT(Table13345[[#This Row],[T]])</f>
        <v>#DIV/0!</v>
      </c>
      <c r="AM896" t="e">
        <f ca="1">EXP(-0.5*Table13345[[#This Row],[Call D1]]^2)/SQRT(2*PI())</f>
        <v>#DIV/0!</v>
      </c>
      <c r="AN896" t="e">
        <f ca="1">EXP(-0.5*Table13345[[#This Row],[Put D1]]^2)/SQRT(2*PI())</f>
        <v>#DIV/0!</v>
      </c>
      <c r="AO89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6">
        <f ca="1">((Table13345[[#This Row],[call vanna]]+Table13345[[#This Row],[put vanna]])*$A$4)</f>
        <v>0</v>
      </c>
      <c r="AR89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6" s="9" t="str" cm="1">
        <f t="array" ref="AT896">_xlfn.IFS(     $M$1="SPX","SPXW",     $M$1="RUT","RUTW",  $M$1="NDX","NDXP",   TRUE,$M$1 )</f>
        <v>SPXW</v>
      </c>
      <c r="AU896" s="2">
        <f t="shared" si="92"/>
        <v>6915</v>
      </c>
      <c r="AV896" t="str">
        <f t="shared" si="93"/>
        <v>000100</v>
      </c>
      <c r="AY89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6">
        <f>((Table13345[[#This Row],[High C]]+Table13345[[#This Row],[Low C]])/2)*Table13345[[#This Row],[gammac]]*Table13345[[#This Row],[Volume]]</f>
        <v>0</v>
      </c>
      <c r="BD896">
        <f>((Table13345[[#This Row],[High P]]+Table13345[[#This Row],[Low P]])/2)*Table13345[[#This Row],[gammap]]*Table13345[[#This Row],[Volume9]]*-1</f>
        <v>0</v>
      </c>
      <c r="BE896">
        <f>(Table13345[[#This Row],[SgammaC]]+Table13345[[#This Row],[SgammaP]])*$A$4*-100</f>
        <v>0</v>
      </c>
      <c r="BF896">
        <f>Table13345[[#This Row],[DEXc]]+Table13345[[#This Row],[DEXp]]</f>
        <v>0</v>
      </c>
      <c r="BG896">
        <f>IFERROR(Table13345[[#This Row],[DeltaC]]*Table13345[[#This Row],[Open.Int]]*$A$4,0)</f>
        <v>0</v>
      </c>
      <c r="BH896">
        <f>IFERROR(Table13345[[#This Row],[DeltaP]]*Table13345[[#This Row],[Open.Int8]]*$A$4,0)</f>
        <v>0</v>
      </c>
      <c r="BI89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6">
        <f ca="1">Table13345[[#This Row],[charmc]]+Table13345[[#This Row],[charmp]]</f>
        <v>0</v>
      </c>
      <c r="BL89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6" s="78">
        <f ca="1">Table13345[[#This Row],[call helper]]+Table13345[[#This Row],[put helper]]</f>
        <v>0</v>
      </c>
      <c r="BP896" t="str">
        <f>RTD("tos.rtd", , "STRIKE", "."&amp;Table13345[[#This Row],[Ticker]]&amp;Table13345[[#This Row],[Expiry]]&amp;""&amp;"C"&amp;Table13345[[#This Row],[Spot]]+Table13345[[#This Row],[step]])</f>
        <v>N/A</v>
      </c>
    </row>
    <row r="897" spans="1:68" x14ac:dyDescent="0.25">
      <c r="A897" s="14">
        <f t="shared" ca="1" si="89"/>
        <v>-126.14810350076104</v>
      </c>
      <c r="C897" s="17"/>
      <c r="D897" t="str">
        <f>RTD("tos.rtd", , "OPEN_INT", "."&amp;Table13345[[#This Row],[Ticker]]&amp;Table13345[[#This Row],[Expiry]]&amp;""&amp;"C"&amp;Table13345[[#This Row],[Spot]]+Table13345[[#This Row],[step]])</f>
        <v>N/A</v>
      </c>
      <c r="E89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7" t="b">
        <f>IF(     ISNUMBER(Table13345[[#This Row],[Strike]]),RTD("tos.rtd", , "DELTA", "."&amp;Table13345[[#This Row],[Ticker]]&amp;Table13345[[#This Row],[Expiry]]&amp;""&amp;"C"&amp;Table13345[[#This Row],[Strike]]))</f>
        <v>0</v>
      </c>
      <c r="H897" s="17" cm="1">
        <f t="array" aca="1" ref="H897" ca="1">IndividualLegIVCore($A$4, Table13345[[#This Row],[Strike]], 0.0411, Table13345[[#This Row],[T]], ((Table13345[[#This Row],[BIDC]]+Table13345[[#This Row],[ASKC]])/2), TRUE)</f>
        <v>0.01</v>
      </c>
      <c r="I897" t="b">
        <f>IF(     ISNUMBER(Table13345[[#This Row],[Strike]]),RTD("tos.rtd", , "BID", "."&amp;Table13345[[#This Row],[Ticker]]&amp;Table13345[[#This Row],[Expiry]]&amp;""&amp;"C"&amp;Table13345[[#This Row],[Strike]]))</f>
        <v>0</v>
      </c>
      <c r="J897" t="b">
        <f>IF(     ISNUMBER(Table13345[[#This Row],[Strike]]),RTD("tos.rtd", , "ASK", "."&amp;Table13345[[#This Row],[Ticker]]&amp;Table13345[[#This Row],[Expiry]]&amp;""&amp;"C"&amp;Table13345[[#This Row],[Strike]]))</f>
        <v>0</v>
      </c>
      <c r="K897" s="17"/>
      <c r="M897" s="1">
        <f t="shared" si="90"/>
        <v>0</v>
      </c>
      <c r="N897" t="b">
        <f t="shared" si="91"/>
        <v>0</v>
      </c>
      <c r="P897" s="17" cm="1">
        <f t="array" aca="1" ref="P897" ca="1">IndividualLegIVCore($A$4, Table13345[[#This Row],[Strike]], 0.0411, Table13345[[#This Row],[T]], ((Table13345[[#This Row],[BIDP]]+Table13345[[#This Row],[ASKP]])/2), FALSE)</f>
        <v>0.01</v>
      </c>
      <c r="Q897" t="b">
        <f>IF(     ISNUMBER(Table13345[[#This Row],[Strike]]),RTD("tos.rtd", , "BID", "."&amp;Table13345[[#This Row],[Ticker]]&amp;Table13345[[#This Row],[Expiry]]&amp;""&amp;"P"&amp;Table13345[[#This Row],[Strike]]))</f>
        <v>0</v>
      </c>
      <c r="R897" t="b">
        <f>IF(     ISNUMBER(Table13345[[#This Row],[Strike]]),RTD("tos.rtd", , "ASK", "."&amp;Table13345[[#This Row],[Ticker]]&amp;Table13345[[#This Row],[Expiry]]&amp;""&amp;"P"&amp;Table13345[[#This Row],[Strike]]))</f>
        <v>0</v>
      </c>
      <c r="S897" s="17"/>
      <c r="T897" t="b">
        <f>IF(     ISNUMBER(Table13345[[#This Row],[Strike]]),RTD("tos.rtd", , "OPEN_INT", "."&amp;Table13345[[#This Row],[Ticker]]&amp;Table13345[[#This Row],[Expiry]]&amp;""&amp;"P"&amp;Table13345[[#This Row],[Strike]]))</f>
        <v>0</v>
      </c>
      <c r="U89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7" t="b">
        <f>IF(     ISNUMBER(Table13345[[#This Row],[Strike]]),RTD("tos.rtd", , "DELTA", "."&amp;Table13345[[#This Row],[Ticker]]&amp;Table13345[[#This Row],[Expiry]]&amp;""&amp;"P"&amp;Table13345[[#This Row],[Strike]]))</f>
        <v>0</v>
      </c>
      <c r="Y897" s="19">
        <f>-12.5* IF($M$1="NDX", 10, IF(OR($M$1="SPX", $M$1="RUT"), 2, 1))</f>
        <v>-25</v>
      </c>
      <c r="Z897">
        <f ca="1">IFERROR(Table13345[[#This Row],[call gamma]]*(Table13345[[#This Row],[Open.Int]])*$A$4^2,0)</f>
        <v>0</v>
      </c>
      <c r="AA897">
        <f ca="1">IFERROR(((Table13345[[#This Row],[Open.Int8]])*Table13345[[#This Row],[Put gamma]])*-1*$A$4^2,0)</f>
        <v>0</v>
      </c>
      <c r="AB897">
        <f ca="1">(Table13345[[#This Row],[Call Gex]]+Table13345[[#This Row],[Put Gex]])</f>
        <v>0</v>
      </c>
      <c r="AC897">
        <f ca="1">Table13345[[#This Row],[put delta adj]]+Table13345[[#This Row],[call delta adj]]</f>
        <v>0</v>
      </c>
      <c r="AD897">
        <f ca="1">Table13345[[#This Row],[Put Gex]]*Table13345[[#This Row],[DeltaP]]*-1</f>
        <v>0</v>
      </c>
      <c r="AE897">
        <f ca="1">Table13345[[#This Row],[Call Gex]]*Table13345[[#This Row],[DeltaC]]</f>
        <v>0</v>
      </c>
      <c r="AF897">
        <f>IF(Table13345[[#This Row],[DeltaC]]-ABS(Table13345[[#This Row],[DeltaP]])="0","0.01",Table13345[[#This Row],[DeltaC]]-ABS(Table13345[[#This Row],[DeltaP]]))</f>
        <v>0</v>
      </c>
      <c r="AG89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7" t="e">
        <f ca="1">(EXP(-(AG897^2)/2)/SQRT(2*PI())*EXP(0*SQRT(Table13345[[#This Row],[T]]))/$A$4*18%*SQRT(SQRT(Table13345[[#This Row],[T]])))</f>
        <v>#DIV/0!</v>
      </c>
      <c r="AJ897" t="e">
        <f ca="1">(EXP(-(AH897^2)/2)/SQRT(2*PI())*EXP(0*SQRT(Table13345[[#This Row],[T]]))/$A$4*18%*SQRT(SQRT(Table13345[[#This Row],[T]])))</f>
        <v>#DIV/0!</v>
      </c>
      <c r="AK897" t="e">
        <f ca="1">Table13345[[#This Row],[Call D1]]-Table13345[[#This Row],[IV Calc C]]*SQRT(Table13345[[#This Row],[T]])</f>
        <v>#DIV/0!</v>
      </c>
      <c r="AL897" t="e">
        <f ca="1">Table13345[[#This Row],[Put D1]]-Table13345[[#This Row],[IV Calc P]]*SQRT(Table13345[[#This Row],[T]])</f>
        <v>#DIV/0!</v>
      </c>
      <c r="AM897" t="e">
        <f ca="1">EXP(-0.5*Table13345[[#This Row],[Call D1]]^2)/SQRT(2*PI())</f>
        <v>#DIV/0!</v>
      </c>
      <c r="AN897" t="e">
        <f ca="1">EXP(-0.5*Table13345[[#This Row],[Put D1]]^2)/SQRT(2*PI())</f>
        <v>#DIV/0!</v>
      </c>
      <c r="AO89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7">
        <f ca="1">((Table13345[[#This Row],[call vanna]]+Table13345[[#This Row],[put vanna]])*$A$4)</f>
        <v>0</v>
      </c>
      <c r="AR89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7" s="9" t="str" cm="1">
        <f t="array" ref="AT897">_xlfn.IFS(     $M$1="SPX","SPXW",     $M$1="RUT","RUTW",  $M$1="NDX","NDXP",   TRUE,$M$1 )</f>
        <v>SPXW</v>
      </c>
      <c r="AU897" s="2">
        <f t="shared" si="92"/>
        <v>6915</v>
      </c>
      <c r="AV897" t="str">
        <f t="shared" si="93"/>
        <v>000100</v>
      </c>
      <c r="AY89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7">
        <f>((Table13345[[#This Row],[High C]]+Table13345[[#This Row],[Low C]])/2)*Table13345[[#This Row],[gammac]]*Table13345[[#This Row],[Volume]]</f>
        <v>0</v>
      </c>
      <c r="BD897">
        <f>((Table13345[[#This Row],[High P]]+Table13345[[#This Row],[Low P]])/2)*Table13345[[#This Row],[gammap]]*Table13345[[#This Row],[Volume9]]*-1</f>
        <v>0</v>
      </c>
      <c r="BE897">
        <f>(Table13345[[#This Row],[SgammaC]]+Table13345[[#This Row],[SgammaP]])*$A$4*-100</f>
        <v>0</v>
      </c>
      <c r="BF897">
        <f>Table13345[[#This Row],[DEXc]]+Table13345[[#This Row],[DEXp]]</f>
        <v>0</v>
      </c>
      <c r="BG897">
        <f>IFERROR(Table13345[[#This Row],[DeltaC]]*Table13345[[#This Row],[Open.Int]]*$A$4,0)</f>
        <v>0</v>
      </c>
      <c r="BH897">
        <f>IFERROR(Table13345[[#This Row],[DeltaP]]*Table13345[[#This Row],[Open.Int8]]*$A$4,0)</f>
        <v>0</v>
      </c>
      <c r="BI89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7">
        <f ca="1">Table13345[[#This Row],[charmc]]+Table13345[[#This Row],[charmp]]</f>
        <v>0</v>
      </c>
      <c r="BL89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7" s="78">
        <f ca="1">Table13345[[#This Row],[call helper]]+Table13345[[#This Row],[put helper]]</f>
        <v>0</v>
      </c>
      <c r="BP897" t="str">
        <f>RTD("tos.rtd", , "STRIKE", "."&amp;Table13345[[#This Row],[Ticker]]&amp;Table13345[[#This Row],[Expiry]]&amp;""&amp;"C"&amp;Table13345[[#This Row],[Spot]]+Table13345[[#This Row],[step]])</f>
        <v>N/A</v>
      </c>
    </row>
    <row r="898" spans="1:68" x14ac:dyDescent="0.25">
      <c r="A898" s="14">
        <f t="shared" ca="1" si="89"/>
        <v>-126.14810350076104</v>
      </c>
      <c r="C898" s="17"/>
      <c r="D898" t="str">
        <f>RTD("tos.rtd", , "OPEN_INT", "."&amp;Table13345[[#This Row],[Ticker]]&amp;Table13345[[#This Row],[Expiry]]&amp;""&amp;"C"&amp;Table13345[[#This Row],[Spot]]+Table13345[[#This Row],[step]])</f>
        <v>N/A</v>
      </c>
      <c r="E89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8" t="b">
        <f>IF(     ISNUMBER(Table13345[[#This Row],[Strike]]),RTD("tos.rtd", , "DELTA", "."&amp;Table13345[[#This Row],[Ticker]]&amp;Table13345[[#This Row],[Expiry]]&amp;""&amp;"C"&amp;Table13345[[#This Row],[Strike]]))</f>
        <v>0</v>
      </c>
      <c r="H898" s="17" cm="1">
        <f t="array" aca="1" ref="H898" ca="1">IndividualLegIVCore($A$4, Table13345[[#This Row],[Strike]], 0.0411, Table13345[[#This Row],[T]], ((Table13345[[#This Row],[BIDC]]+Table13345[[#This Row],[ASKC]])/2), TRUE)</f>
        <v>0.01</v>
      </c>
      <c r="I898" t="b">
        <f>IF(     ISNUMBER(Table13345[[#This Row],[Strike]]),RTD("tos.rtd", , "BID", "."&amp;Table13345[[#This Row],[Ticker]]&amp;Table13345[[#This Row],[Expiry]]&amp;""&amp;"C"&amp;Table13345[[#This Row],[Strike]]))</f>
        <v>0</v>
      </c>
      <c r="J898" t="b">
        <f>IF(     ISNUMBER(Table13345[[#This Row],[Strike]]),RTD("tos.rtd", , "ASK", "."&amp;Table13345[[#This Row],[Ticker]]&amp;Table13345[[#This Row],[Expiry]]&amp;""&amp;"C"&amp;Table13345[[#This Row],[Strike]]))</f>
        <v>0</v>
      </c>
      <c r="K898" s="17"/>
      <c r="M898" s="1">
        <f t="shared" si="90"/>
        <v>0</v>
      </c>
      <c r="N898" t="b">
        <f t="shared" si="91"/>
        <v>0</v>
      </c>
      <c r="P898" s="17" cm="1">
        <f t="array" aca="1" ref="P898" ca="1">IndividualLegIVCore($A$4, Table13345[[#This Row],[Strike]], 0.0411, Table13345[[#This Row],[T]], ((Table13345[[#This Row],[BIDP]]+Table13345[[#This Row],[ASKP]])/2), FALSE)</f>
        <v>0.01</v>
      </c>
      <c r="Q898" t="b">
        <f>IF(     ISNUMBER(Table13345[[#This Row],[Strike]]),RTD("tos.rtd", , "BID", "."&amp;Table13345[[#This Row],[Ticker]]&amp;Table13345[[#This Row],[Expiry]]&amp;""&amp;"P"&amp;Table13345[[#This Row],[Strike]]))</f>
        <v>0</v>
      </c>
      <c r="R898" t="b">
        <f>IF(     ISNUMBER(Table13345[[#This Row],[Strike]]),RTD("tos.rtd", , "ASK", "."&amp;Table13345[[#This Row],[Ticker]]&amp;Table13345[[#This Row],[Expiry]]&amp;""&amp;"P"&amp;Table13345[[#This Row],[Strike]]))</f>
        <v>0</v>
      </c>
      <c r="S898" s="17"/>
      <c r="T898" t="b">
        <f>IF(     ISNUMBER(Table13345[[#This Row],[Strike]]),RTD("tos.rtd", , "OPEN_INT", "."&amp;Table13345[[#This Row],[Ticker]]&amp;Table13345[[#This Row],[Expiry]]&amp;""&amp;"P"&amp;Table13345[[#This Row],[Strike]]))</f>
        <v>0</v>
      </c>
      <c r="U89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8" t="b">
        <f>IF(     ISNUMBER(Table13345[[#This Row],[Strike]]),RTD("tos.rtd", , "DELTA", "."&amp;Table13345[[#This Row],[Ticker]]&amp;Table13345[[#This Row],[Expiry]]&amp;""&amp;"P"&amp;Table13345[[#This Row],[Strike]]))</f>
        <v>0</v>
      </c>
      <c r="Y898" s="19">
        <f>-12* IF($M$1="NDX", 10, IF(OR($M$1="SPX", $M$1="RUT"), 2, 1))</f>
        <v>-24</v>
      </c>
      <c r="Z898">
        <f ca="1">IFERROR(Table13345[[#This Row],[call gamma]]*(Table13345[[#This Row],[Open.Int]])*$A$4^2,0)</f>
        <v>0</v>
      </c>
      <c r="AA898">
        <f ca="1">IFERROR(((Table13345[[#This Row],[Open.Int8]])*Table13345[[#This Row],[Put gamma]])*-1*$A$4^2,0)</f>
        <v>0</v>
      </c>
      <c r="AB898">
        <f ca="1">(Table13345[[#This Row],[Call Gex]]+Table13345[[#This Row],[Put Gex]])</f>
        <v>0</v>
      </c>
      <c r="AC898">
        <f ca="1">Table13345[[#This Row],[put delta adj]]+Table13345[[#This Row],[call delta adj]]</f>
        <v>0</v>
      </c>
      <c r="AD898">
        <f ca="1">Table13345[[#This Row],[Put Gex]]*Table13345[[#This Row],[DeltaP]]*-1</f>
        <v>0</v>
      </c>
      <c r="AE898">
        <f ca="1">Table13345[[#This Row],[Call Gex]]*Table13345[[#This Row],[DeltaC]]</f>
        <v>0</v>
      </c>
      <c r="AF898">
        <f>IF(Table13345[[#This Row],[DeltaC]]-ABS(Table13345[[#This Row],[DeltaP]])="0","0.01",Table13345[[#This Row],[DeltaC]]-ABS(Table13345[[#This Row],[DeltaP]]))</f>
        <v>0</v>
      </c>
      <c r="AG89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8" t="e">
        <f ca="1">(EXP(-(AG898^2)/2)/SQRT(2*PI())*EXP(0*SQRT(Table13345[[#This Row],[T]]))/$A$4*18%*SQRT(SQRT(Table13345[[#This Row],[T]])))</f>
        <v>#DIV/0!</v>
      </c>
      <c r="AJ898" t="e">
        <f ca="1">(EXP(-(AH898^2)/2)/SQRT(2*PI())*EXP(0*SQRT(Table13345[[#This Row],[T]]))/$A$4*18%*SQRT(SQRT(Table13345[[#This Row],[T]])))</f>
        <v>#DIV/0!</v>
      </c>
      <c r="AK898" t="e">
        <f ca="1">Table13345[[#This Row],[Call D1]]-Table13345[[#This Row],[IV Calc C]]*SQRT(Table13345[[#This Row],[T]])</f>
        <v>#DIV/0!</v>
      </c>
      <c r="AL898" t="e">
        <f ca="1">Table13345[[#This Row],[Put D1]]-Table13345[[#This Row],[IV Calc P]]*SQRT(Table13345[[#This Row],[T]])</f>
        <v>#DIV/0!</v>
      </c>
      <c r="AM898" t="e">
        <f ca="1">EXP(-0.5*Table13345[[#This Row],[Call D1]]^2)/SQRT(2*PI())</f>
        <v>#DIV/0!</v>
      </c>
      <c r="AN898" t="e">
        <f ca="1">EXP(-0.5*Table13345[[#This Row],[Put D1]]^2)/SQRT(2*PI())</f>
        <v>#DIV/0!</v>
      </c>
      <c r="AO89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8">
        <f ca="1">((Table13345[[#This Row],[call vanna]]+Table13345[[#This Row],[put vanna]])*$A$4)</f>
        <v>0</v>
      </c>
      <c r="AR89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8" s="9" t="str" cm="1">
        <f t="array" ref="AT898">_xlfn.IFS(     $M$1="SPX","SPXW",     $M$1="RUT","RUTW",  $M$1="NDX","NDXP",   TRUE,$M$1 )</f>
        <v>SPXW</v>
      </c>
      <c r="AU898" s="2">
        <f t="shared" si="92"/>
        <v>6915</v>
      </c>
      <c r="AV898" t="str">
        <f t="shared" si="93"/>
        <v>000100</v>
      </c>
      <c r="AY89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8">
        <f>((Table13345[[#This Row],[High C]]+Table13345[[#This Row],[Low C]])/2)*Table13345[[#This Row],[gammac]]*Table13345[[#This Row],[Volume]]</f>
        <v>0</v>
      </c>
      <c r="BD898">
        <f>((Table13345[[#This Row],[High P]]+Table13345[[#This Row],[Low P]])/2)*Table13345[[#This Row],[gammap]]*Table13345[[#This Row],[Volume9]]*-1</f>
        <v>0</v>
      </c>
      <c r="BE898">
        <f>(Table13345[[#This Row],[SgammaC]]+Table13345[[#This Row],[SgammaP]])*$A$4*-100</f>
        <v>0</v>
      </c>
      <c r="BF898">
        <f>Table13345[[#This Row],[DEXc]]+Table13345[[#This Row],[DEXp]]</f>
        <v>0</v>
      </c>
      <c r="BG898">
        <f>IFERROR(Table13345[[#This Row],[DeltaC]]*Table13345[[#This Row],[Open.Int]]*$A$4,0)</f>
        <v>0</v>
      </c>
      <c r="BH898">
        <f>IFERROR(Table13345[[#This Row],[DeltaP]]*Table13345[[#This Row],[Open.Int8]]*$A$4,0)</f>
        <v>0</v>
      </c>
      <c r="BI89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8">
        <f ca="1">Table13345[[#This Row],[charmc]]+Table13345[[#This Row],[charmp]]</f>
        <v>0</v>
      </c>
      <c r="BL89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8" s="78">
        <f ca="1">Table13345[[#This Row],[call helper]]+Table13345[[#This Row],[put helper]]</f>
        <v>0</v>
      </c>
      <c r="BP898" t="str">
        <f>RTD("tos.rtd", , "STRIKE", "."&amp;Table13345[[#This Row],[Ticker]]&amp;Table13345[[#This Row],[Expiry]]&amp;""&amp;"C"&amp;Table13345[[#This Row],[Spot]]+Table13345[[#This Row],[step]])</f>
        <v>N/A</v>
      </c>
    </row>
    <row r="899" spans="1:68" x14ac:dyDescent="0.25">
      <c r="A899" s="14">
        <f t="shared" ca="1" si="89"/>
        <v>-126.14810350076104</v>
      </c>
      <c r="C899" s="17"/>
      <c r="D899" t="str">
        <f>RTD("tos.rtd", , "OPEN_INT", "."&amp;Table13345[[#This Row],[Ticker]]&amp;Table13345[[#This Row],[Expiry]]&amp;""&amp;"C"&amp;Table13345[[#This Row],[Spot]]+Table13345[[#This Row],[step]])</f>
        <v>N/A</v>
      </c>
      <c r="E89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9" t="b">
        <f>IF(     ISNUMBER(Table13345[[#This Row],[Strike]]),RTD("tos.rtd", , "DELTA", "."&amp;Table13345[[#This Row],[Ticker]]&amp;Table13345[[#This Row],[Expiry]]&amp;""&amp;"C"&amp;Table13345[[#This Row],[Strike]]))</f>
        <v>0</v>
      </c>
      <c r="H899" s="17" cm="1">
        <f t="array" aca="1" ref="H899" ca="1">IndividualLegIVCore($A$4, Table13345[[#This Row],[Strike]], 0.0411, Table13345[[#This Row],[T]], ((Table13345[[#This Row],[BIDC]]+Table13345[[#This Row],[ASKC]])/2), TRUE)</f>
        <v>0.01</v>
      </c>
      <c r="I899" t="b">
        <f>IF(     ISNUMBER(Table13345[[#This Row],[Strike]]),RTD("tos.rtd", , "BID", "."&amp;Table13345[[#This Row],[Ticker]]&amp;Table13345[[#This Row],[Expiry]]&amp;""&amp;"C"&amp;Table13345[[#This Row],[Strike]]))</f>
        <v>0</v>
      </c>
      <c r="J899" t="b">
        <f>IF(     ISNUMBER(Table13345[[#This Row],[Strike]]),RTD("tos.rtd", , "ASK", "."&amp;Table13345[[#This Row],[Ticker]]&amp;Table13345[[#This Row],[Expiry]]&amp;""&amp;"C"&amp;Table13345[[#This Row],[Strike]]))</f>
        <v>0</v>
      </c>
      <c r="K899" s="17"/>
      <c r="M899" s="1">
        <f t="shared" si="90"/>
        <v>0</v>
      </c>
      <c r="N899" t="b">
        <f t="shared" si="91"/>
        <v>0</v>
      </c>
      <c r="P899" s="17" cm="1">
        <f t="array" aca="1" ref="P899" ca="1">IndividualLegIVCore($A$4, Table13345[[#This Row],[Strike]], 0.0411, Table13345[[#This Row],[T]], ((Table13345[[#This Row],[BIDP]]+Table13345[[#This Row],[ASKP]])/2), FALSE)</f>
        <v>0.01</v>
      </c>
      <c r="Q899" t="b">
        <f>IF(     ISNUMBER(Table13345[[#This Row],[Strike]]),RTD("tos.rtd", , "BID", "."&amp;Table13345[[#This Row],[Ticker]]&amp;Table13345[[#This Row],[Expiry]]&amp;""&amp;"P"&amp;Table13345[[#This Row],[Strike]]))</f>
        <v>0</v>
      </c>
      <c r="R899" t="b">
        <f>IF(     ISNUMBER(Table13345[[#This Row],[Strike]]),RTD("tos.rtd", , "ASK", "."&amp;Table13345[[#This Row],[Ticker]]&amp;Table13345[[#This Row],[Expiry]]&amp;""&amp;"P"&amp;Table13345[[#This Row],[Strike]]))</f>
        <v>0</v>
      </c>
      <c r="S899" s="17"/>
      <c r="T899" t="b">
        <f>IF(     ISNUMBER(Table13345[[#This Row],[Strike]]),RTD("tos.rtd", , "OPEN_INT", "."&amp;Table13345[[#This Row],[Ticker]]&amp;Table13345[[#This Row],[Expiry]]&amp;""&amp;"P"&amp;Table13345[[#This Row],[Strike]]))</f>
        <v>0</v>
      </c>
      <c r="U89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9" t="b">
        <f>IF(     ISNUMBER(Table13345[[#This Row],[Strike]]),RTD("tos.rtd", , "DELTA", "."&amp;Table13345[[#This Row],[Ticker]]&amp;Table13345[[#This Row],[Expiry]]&amp;""&amp;"P"&amp;Table13345[[#This Row],[Strike]]))</f>
        <v>0</v>
      </c>
      <c r="Y899" s="19">
        <f>-11.5* IF($M$1="NDX", 10, IF(OR($M$1="SPX", $M$1="RUT"), 2, 1))</f>
        <v>-23</v>
      </c>
      <c r="Z899">
        <f ca="1">IFERROR(Table13345[[#This Row],[call gamma]]*(Table13345[[#This Row],[Open.Int]])*$A$4^2,0)</f>
        <v>0</v>
      </c>
      <c r="AA899">
        <f ca="1">IFERROR(((Table13345[[#This Row],[Open.Int8]])*Table13345[[#This Row],[Put gamma]])*-1*$A$4^2,0)</f>
        <v>0</v>
      </c>
      <c r="AB899">
        <f ca="1">(Table13345[[#This Row],[Call Gex]]+Table13345[[#This Row],[Put Gex]])</f>
        <v>0</v>
      </c>
      <c r="AC899">
        <f ca="1">Table13345[[#This Row],[put delta adj]]+Table13345[[#This Row],[call delta adj]]</f>
        <v>0</v>
      </c>
      <c r="AD899">
        <f ca="1">Table13345[[#This Row],[Put Gex]]*Table13345[[#This Row],[DeltaP]]*-1</f>
        <v>0</v>
      </c>
      <c r="AE899">
        <f ca="1">Table13345[[#This Row],[Call Gex]]*Table13345[[#This Row],[DeltaC]]</f>
        <v>0</v>
      </c>
      <c r="AF899">
        <f>IF(Table13345[[#This Row],[DeltaC]]-ABS(Table13345[[#This Row],[DeltaP]])="0","0.01",Table13345[[#This Row],[DeltaC]]-ABS(Table13345[[#This Row],[DeltaP]]))</f>
        <v>0</v>
      </c>
      <c r="AG89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9" t="e">
        <f ca="1">(EXP(-(AG899^2)/2)/SQRT(2*PI())*EXP(0*SQRT(Table13345[[#This Row],[T]]))/$A$4*18%*SQRT(SQRT(Table13345[[#This Row],[T]])))</f>
        <v>#DIV/0!</v>
      </c>
      <c r="AJ899" t="e">
        <f ca="1">(EXP(-(AH899^2)/2)/SQRT(2*PI())*EXP(0*SQRT(Table13345[[#This Row],[T]]))/$A$4*18%*SQRT(SQRT(Table13345[[#This Row],[T]])))</f>
        <v>#DIV/0!</v>
      </c>
      <c r="AK899" t="e">
        <f ca="1">Table13345[[#This Row],[Call D1]]-Table13345[[#This Row],[IV Calc C]]*SQRT(Table13345[[#This Row],[T]])</f>
        <v>#DIV/0!</v>
      </c>
      <c r="AL899" t="e">
        <f ca="1">Table13345[[#This Row],[Put D1]]-Table13345[[#This Row],[IV Calc P]]*SQRT(Table13345[[#This Row],[T]])</f>
        <v>#DIV/0!</v>
      </c>
      <c r="AM899" t="e">
        <f ca="1">EXP(-0.5*Table13345[[#This Row],[Call D1]]^2)/SQRT(2*PI())</f>
        <v>#DIV/0!</v>
      </c>
      <c r="AN899" t="e">
        <f ca="1">EXP(-0.5*Table13345[[#This Row],[Put D1]]^2)/SQRT(2*PI())</f>
        <v>#DIV/0!</v>
      </c>
      <c r="AO89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9">
        <f ca="1">((Table13345[[#This Row],[call vanna]]+Table13345[[#This Row],[put vanna]])*$A$4)</f>
        <v>0</v>
      </c>
      <c r="AR89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9" s="9" t="str" cm="1">
        <f t="array" ref="AT899">_xlfn.IFS(     $M$1="SPX","SPXW",     $M$1="RUT","RUTW",  $M$1="NDX","NDXP",   TRUE,$M$1 )</f>
        <v>SPXW</v>
      </c>
      <c r="AU899" s="2">
        <f t="shared" si="92"/>
        <v>6915</v>
      </c>
      <c r="AV899" t="str">
        <f t="shared" si="93"/>
        <v>000100</v>
      </c>
      <c r="AY89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9">
        <f>((Table13345[[#This Row],[High C]]+Table13345[[#This Row],[Low C]])/2)*Table13345[[#This Row],[gammac]]*Table13345[[#This Row],[Volume]]</f>
        <v>0</v>
      </c>
      <c r="BD899">
        <f>((Table13345[[#This Row],[High P]]+Table13345[[#This Row],[Low P]])/2)*Table13345[[#This Row],[gammap]]*Table13345[[#This Row],[Volume9]]*-1</f>
        <v>0</v>
      </c>
      <c r="BE899">
        <f>(Table13345[[#This Row],[SgammaC]]+Table13345[[#This Row],[SgammaP]])*$A$4*-100</f>
        <v>0</v>
      </c>
      <c r="BF899">
        <f>Table13345[[#This Row],[DEXc]]+Table13345[[#This Row],[DEXp]]</f>
        <v>0</v>
      </c>
      <c r="BG899">
        <f>IFERROR(Table13345[[#This Row],[DeltaC]]*Table13345[[#This Row],[Open.Int]]*$A$4,0)</f>
        <v>0</v>
      </c>
      <c r="BH899">
        <f>IFERROR(Table13345[[#This Row],[DeltaP]]*Table13345[[#This Row],[Open.Int8]]*$A$4,0)</f>
        <v>0</v>
      </c>
      <c r="BI89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9">
        <f ca="1">Table13345[[#This Row],[charmc]]+Table13345[[#This Row],[charmp]]</f>
        <v>0</v>
      </c>
      <c r="BL89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9" s="78">
        <f ca="1">Table13345[[#This Row],[call helper]]+Table13345[[#This Row],[put helper]]</f>
        <v>0</v>
      </c>
      <c r="BP899" t="str">
        <f>RTD("tos.rtd", , "STRIKE", "."&amp;Table13345[[#This Row],[Ticker]]&amp;Table13345[[#This Row],[Expiry]]&amp;""&amp;"C"&amp;Table13345[[#This Row],[Spot]]+Table13345[[#This Row],[step]])</f>
        <v>N/A</v>
      </c>
    </row>
    <row r="900" spans="1:68" x14ac:dyDescent="0.25">
      <c r="A900" s="14">
        <f t="shared" ca="1" si="89"/>
        <v>-126.14810350076104</v>
      </c>
      <c r="C900" s="17"/>
      <c r="D900" t="str">
        <f>RTD("tos.rtd", , "OPEN_INT", "."&amp;Table13345[[#This Row],[Ticker]]&amp;Table13345[[#This Row],[Expiry]]&amp;""&amp;"C"&amp;Table13345[[#This Row],[Spot]]+Table13345[[#This Row],[step]])</f>
        <v>N/A</v>
      </c>
      <c r="E90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0" t="b">
        <f>IF(     ISNUMBER(Table13345[[#This Row],[Strike]]),RTD("tos.rtd", , "DELTA", "."&amp;Table13345[[#This Row],[Ticker]]&amp;Table13345[[#This Row],[Expiry]]&amp;""&amp;"C"&amp;Table13345[[#This Row],[Strike]]))</f>
        <v>0</v>
      </c>
      <c r="H900" s="17" cm="1">
        <f t="array" aca="1" ref="H900" ca="1">IndividualLegIVCore($A$4, Table13345[[#This Row],[Strike]], 0.0411, Table13345[[#This Row],[T]], ((Table13345[[#This Row],[BIDC]]+Table13345[[#This Row],[ASKC]])/2), TRUE)</f>
        <v>0.01</v>
      </c>
      <c r="I900" t="b">
        <f>IF(     ISNUMBER(Table13345[[#This Row],[Strike]]),RTD("tos.rtd", , "BID", "."&amp;Table13345[[#This Row],[Ticker]]&amp;Table13345[[#This Row],[Expiry]]&amp;""&amp;"C"&amp;Table13345[[#This Row],[Strike]]))</f>
        <v>0</v>
      </c>
      <c r="J900" t="b">
        <f>IF(     ISNUMBER(Table13345[[#This Row],[Strike]]),RTD("tos.rtd", , "ASK", "."&amp;Table13345[[#This Row],[Ticker]]&amp;Table13345[[#This Row],[Expiry]]&amp;""&amp;"C"&amp;Table13345[[#This Row],[Strike]]))</f>
        <v>0</v>
      </c>
      <c r="K900" s="17"/>
      <c r="M900" s="1">
        <f t="shared" si="90"/>
        <v>0</v>
      </c>
      <c r="N900" t="b">
        <f t="shared" si="91"/>
        <v>0</v>
      </c>
      <c r="P900" s="17" cm="1">
        <f t="array" aca="1" ref="P900" ca="1">IndividualLegIVCore($A$4, Table13345[[#This Row],[Strike]], 0.0411, Table13345[[#This Row],[T]], ((Table13345[[#This Row],[BIDP]]+Table13345[[#This Row],[ASKP]])/2), FALSE)</f>
        <v>0.01</v>
      </c>
      <c r="Q900" t="b">
        <f>IF(     ISNUMBER(Table13345[[#This Row],[Strike]]),RTD("tos.rtd", , "BID", "."&amp;Table13345[[#This Row],[Ticker]]&amp;Table13345[[#This Row],[Expiry]]&amp;""&amp;"P"&amp;Table13345[[#This Row],[Strike]]))</f>
        <v>0</v>
      </c>
      <c r="R900" t="b">
        <f>IF(     ISNUMBER(Table13345[[#This Row],[Strike]]),RTD("tos.rtd", , "ASK", "."&amp;Table13345[[#This Row],[Ticker]]&amp;Table13345[[#This Row],[Expiry]]&amp;""&amp;"P"&amp;Table13345[[#This Row],[Strike]]))</f>
        <v>0</v>
      </c>
      <c r="S900" s="17"/>
      <c r="T900" t="b">
        <f>IF(     ISNUMBER(Table13345[[#This Row],[Strike]]),RTD("tos.rtd", , "OPEN_INT", "."&amp;Table13345[[#This Row],[Ticker]]&amp;Table13345[[#This Row],[Expiry]]&amp;""&amp;"P"&amp;Table13345[[#This Row],[Strike]]))</f>
        <v>0</v>
      </c>
      <c r="U90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0" t="b">
        <f>IF(     ISNUMBER(Table13345[[#This Row],[Strike]]),RTD("tos.rtd", , "DELTA", "."&amp;Table13345[[#This Row],[Ticker]]&amp;Table13345[[#This Row],[Expiry]]&amp;""&amp;"P"&amp;Table13345[[#This Row],[Strike]]))</f>
        <v>0</v>
      </c>
      <c r="Y900" s="19">
        <f>-11* IF($M$1="NDX", 10, IF(OR($M$1="SPX", $M$1="RUT"), 2, 1))</f>
        <v>-22</v>
      </c>
      <c r="Z900">
        <f ca="1">IFERROR(Table13345[[#This Row],[call gamma]]*(Table13345[[#This Row],[Open.Int]])*$A$4^2,0)</f>
        <v>0</v>
      </c>
      <c r="AA900">
        <f ca="1">IFERROR(((Table13345[[#This Row],[Open.Int8]])*Table13345[[#This Row],[Put gamma]])*-1*$A$4^2,0)</f>
        <v>0</v>
      </c>
      <c r="AB900">
        <f ca="1">(Table13345[[#This Row],[Call Gex]]+Table13345[[#This Row],[Put Gex]])</f>
        <v>0</v>
      </c>
      <c r="AC900">
        <f ca="1">Table13345[[#This Row],[put delta adj]]+Table13345[[#This Row],[call delta adj]]</f>
        <v>0</v>
      </c>
      <c r="AD900">
        <f ca="1">Table13345[[#This Row],[Put Gex]]*Table13345[[#This Row],[DeltaP]]*-1</f>
        <v>0</v>
      </c>
      <c r="AE900">
        <f ca="1">Table13345[[#This Row],[Call Gex]]*Table13345[[#This Row],[DeltaC]]</f>
        <v>0</v>
      </c>
      <c r="AF900">
        <f>IF(Table13345[[#This Row],[DeltaC]]-ABS(Table13345[[#This Row],[DeltaP]])="0","0.01",Table13345[[#This Row],[DeltaC]]-ABS(Table13345[[#This Row],[DeltaP]]))</f>
        <v>0</v>
      </c>
      <c r="AG90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0" t="e">
        <f ca="1">(EXP(-(AG900^2)/2)/SQRT(2*PI())*EXP(0*SQRT(Table13345[[#This Row],[T]]))/$A$4*18%*SQRT(SQRT(Table13345[[#This Row],[T]])))</f>
        <v>#DIV/0!</v>
      </c>
      <c r="AJ900" t="e">
        <f ca="1">(EXP(-(AH900^2)/2)/SQRT(2*PI())*EXP(0*SQRT(Table13345[[#This Row],[T]]))/$A$4*18%*SQRT(SQRT(Table13345[[#This Row],[T]])))</f>
        <v>#DIV/0!</v>
      </c>
      <c r="AK900" t="e">
        <f ca="1">Table13345[[#This Row],[Call D1]]-Table13345[[#This Row],[IV Calc C]]*SQRT(Table13345[[#This Row],[T]])</f>
        <v>#DIV/0!</v>
      </c>
      <c r="AL900" t="e">
        <f ca="1">Table13345[[#This Row],[Put D1]]-Table13345[[#This Row],[IV Calc P]]*SQRT(Table13345[[#This Row],[T]])</f>
        <v>#DIV/0!</v>
      </c>
      <c r="AM900" t="e">
        <f ca="1">EXP(-0.5*Table13345[[#This Row],[Call D1]]^2)/SQRT(2*PI())</f>
        <v>#DIV/0!</v>
      </c>
      <c r="AN900" t="e">
        <f ca="1">EXP(-0.5*Table13345[[#This Row],[Put D1]]^2)/SQRT(2*PI())</f>
        <v>#DIV/0!</v>
      </c>
      <c r="AO90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0">
        <f ca="1">((Table13345[[#This Row],[call vanna]]+Table13345[[#This Row],[put vanna]])*$A$4)</f>
        <v>0</v>
      </c>
      <c r="AR90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0" s="9" t="str" cm="1">
        <f t="array" ref="AT900">_xlfn.IFS(     $M$1="SPX","SPXW",     $M$1="RUT","RUTW",  $M$1="NDX","NDXP",   TRUE,$M$1 )</f>
        <v>SPXW</v>
      </c>
      <c r="AU900" s="2">
        <f t="shared" si="92"/>
        <v>6915</v>
      </c>
      <c r="AV900" t="str">
        <f t="shared" si="93"/>
        <v>000100</v>
      </c>
      <c r="AY90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0">
        <f>((Table13345[[#This Row],[High C]]+Table13345[[#This Row],[Low C]])/2)*Table13345[[#This Row],[gammac]]*Table13345[[#This Row],[Volume]]</f>
        <v>0</v>
      </c>
      <c r="BD900">
        <f>((Table13345[[#This Row],[High P]]+Table13345[[#This Row],[Low P]])/2)*Table13345[[#This Row],[gammap]]*Table13345[[#This Row],[Volume9]]*-1</f>
        <v>0</v>
      </c>
      <c r="BE900">
        <f>(Table13345[[#This Row],[SgammaC]]+Table13345[[#This Row],[SgammaP]])*$A$4*-100</f>
        <v>0</v>
      </c>
      <c r="BF900">
        <f>Table13345[[#This Row],[DEXc]]+Table13345[[#This Row],[DEXp]]</f>
        <v>0</v>
      </c>
      <c r="BG900">
        <f>IFERROR(Table13345[[#This Row],[DeltaC]]*Table13345[[#This Row],[Open.Int]]*$A$4,0)</f>
        <v>0</v>
      </c>
      <c r="BH900">
        <f>IFERROR(Table13345[[#This Row],[DeltaP]]*Table13345[[#This Row],[Open.Int8]]*$A$4,0)</f>
        <v>0</v>
      </c>
      <c r="BI90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0">
        <f ca="1">Table13345[[#This Row],[charmc]]+Table13345[[#This Row],[charmp]]</f>
        <v>0</v>
      </c>
      <c r="BL90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0" s="78">
        <f ca="1">Table13345[[#This Row],[call helper]]+Table13345[[#This Row],[put helper]]</f>
        <v>0</v>
      </c>
      <c r="BP900" t="str">
        <f>RTD("tos.rtd", , "STRIKE", "."&amp;Table13345[[#This Row],[Ticker]]&amp;Table13345[[#This Row],[Expiry]]&amp;""&amp;"C"&amp;Table13345[[#This Row],[Spot]]+Table13345[[#This Row],[step]])</f>
        <v>N/A</v>
      </c>
    </row>
    <row r="901" spans="1:68" x14ac:dyDescent="0.25">
      <c r="A901" s="14">
        <f t="shared" ca="1" si="89"/>
        <v>-126.14810350076104</v>
      </c>
      <c r="C901" s="17"/>
      <c r="D901" t="str">
        <f>RTD("tos.rtd", , "OPEN_INT", "."&amp;Table13345[[#This Row],[Ticker]]&amp;Table13345[[#This Row],[Expiry]]&amp;""&amp;"C"&amp;Table13345[[#This Row],[Spot]]+Table13345[[#This Row],[step]])</f>
        <v>N/A</v>
      </c>
      <c r="E90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1" t="b">
        <f>IF(     ISNUMBER(Table13345[[#This Row],[Strike]]),RTD("tos.rtd", , "DELTA", "."&amp;Table13345[[#This Row],[Ticker]]&amp;Table13345[[#This Row],[Expiry]]&amp;""&amp;"C"&amp;Table13345[[#This Row],[Strike]]))</f>
        <v>0</v>
      </c>
      <c r="H901" s="17" cm="1">
        <f t="array" aca="1" ref="H901" ca="1">IndividualLegIVCore($A$4, Table13345[[#This Row],[Strike]], 0.0411, Table13345[[#This Row],[T]], ((Table13345[[#This Row],[BIDC]]+Table13345[[#This Row],[ASKC]])/2), TRUE)</f>
        <v>0.01</v>
      </c>
      <c r="I901" t="b">
        <f>IF(     ISNUMBER(Table13345[[#This Row],[Strike]]),RTD("tos.rtd", , "BID", "."&amp;Table13345[[#This Row],[Ticker]]&amp;Table13345[[#This Row],[Expiry]]&amp;""&amp;"C"&amp;Table13345[[#This Row],[Strike]]))</f>
        <v>0</v>
      </c>
      <c r="J901" t="b">
        <f>IF(     ISNUMBER(Table13345[[#This Row],[Strike]]),RTD("tos.rtd", , "ASK", "."&amp;Table13345[[#This Row],[Ticker]]&amp;Table13345[[#This Row],[Expiry]]&amp;""&amp;"C"&amp;Table13345[[#This Row],[Strike]]))</f>
        <v>0</v>
      </c>
      <c r="K901" s="17"/>
      <c r="M901" s="1">
        <f t="shared" si="90"/>
        <v>0</v>
      </c>
      <c r="N901" t="b">
        <f t="shared" si="91"/>
        <v>0</v>
      </c>
      <c r="P901" s="17" cm="1">
        <f t="array" aca="1" ref="P901" ca="1">IndividualLegIVCore($A$4, Table13345[[#This Row],[Strike]], 0.0411, Table13345[[#This Row],[T]], ((Table13345[[#This Row],[BIDP]]+Table13345[[#This Row],[ASKP]])/2), FALSE)</f>
        <v>0.01</v>
      </c>
      <c r="Q901" t="b">
        <f>IF(     ISNUMBER(Table13345[[#This Row],[Strike]]),RTD("tos.rtd", , "BID", "."&amp;Table13345[[#This Row],[Ticker]]&amp;Table13345[[#This Row],[Expiry]]&amp;""&amp;"P"&amp;Table13345[[#This Row],[Strike]]))</f>
        <v>0</v>
      </c>
      <c r="R901" t="b">
        <f>IF(     ISNUMBER(Table13345[[#This Row],[Strike]]),RTD("tos.rtd", , "ASK", "."&amp;Table13345[[#This Row],[Ticker]]&amp;Table13345[[#This Row],[Expiry]]&amp;""&amp;"P"&amp;Table13345[[#This Row],[Strike]]))</f>
        <v>0</v>
      </c>
      <c r="S901" s="17"/>
      <c r="T901" t="b">
        <f>IF(     ISNUMBER(Table13345[[#This Row],[Strike]]),RTD("tos.rtd", , "OPEN_INT", "."&amp;Table13345[[#This Row],[Ticker]]&amp;Table13345[[#This Row],[Expiry]]&amp;""&amp;"P"&amp;Table13345[[#This Row],[Strike]]))</f>
        <v>0</v>
      </c>
      <c r="U90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1" t="b">
        <f>IF(     ISNUMBER(Table13345[[#This Row],[Strike]]),RTD("tos.rtd", , "DELTA", "."&amp;Table13345[[#This Row],[Ticker]]&amp;Table13345[[#This Row],[Expiry]]&amp;""&amp;"P"&amp;Table13345[[#This Row],[Strike]]))</f>
        <v>0</v>
      </c>
      <c r="Y901" s="19">
        <f>-10.5* IF($M$1="NDX", 10, IF(OR($M$1="SPX", $M$1="RUT"), 2, 1))</f>
        <v>-21</v>
      </c>
      <c r="Z901">
        <f ca="1">IFERROR(Table13345[[#This Row],[call gamma]]*(Table13345[[#This Row],[Open.Int]])*$A$4^2,0)</f>
        <v>0</v>
      </c>
      <c r="AA901">
        <f ca="1">IFERROR(((Table13345[[#This Row],[Open.Int8]])*Table13345[[#This Row],[Put gamma]])*-1*$A$4^2,0)</f>
        <v>0</v>
      </c>
      <c r="AB901">
        <f ca="1">(Table13345[[#This Row],[Call Gex]]+Table13345[[#This Row],[Put Gex]])</f>
        <v>0</v>
      </c>
      <c r="AC901">
        <f ca="1">Table13345[[#This Row],[put delta adj]]+Table13345[[#This Row],[call delta adj]]</f>
        <v>0</v>
      </c>
      <c r="AD901">
        <f ca="1">Table13345[[#This Row],[Put Gex]]*Table13345[[#This Row],[DeltaP]]*-1</f>
        <v>0</v>
      </c>
      <c r="AE901">
        <f ca="1">Table13345[[#This Row],[Call Gex]]*Table13345[[#This Row],[DeltaC]]</f>
        <v>0</v>
      </c>
      <c r="AF901">
        <f>IF(Table13345[[#This Row],[DeltaC]]-ABS(Table13345[[#This Row],[DeltaP]])="0","0.01",Table13345[[#This Row],[DeltaC]]-ABS(Table13345[[#This Row],[DeltaP]]))</f>
        <v>0</v>
      </c>
      <c r="AG90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1" t="e">
        <f ca="1">(EXP(-(AG901^2)/2)/SQRT(2*PI())*EXP(0*SQRT(Table13345[[#This Row],[T]]))/$A$4*18%*SQRT(SQRT(Table13345[[#This Row],[T]])))</f>
        <v>#DIV/0!</v>
      </c>
      <c r="AJ901" t="e">
        <f ca="1">(EXP(-(AH901^2)/2)/SQRT(2*PI())*EXP(0*SQRT(Table13345[[#This Row],[T]]))/$A$4*18%*SQRT(SQRT(Table13345[[#This Row],[T]])))</f>
        <v>#DIV/0!</v>
      </c>
      <c r="AK901" t="e">
        <f ca="1">Table13345[[#This Row],[Call D1]]-Table13345[[#This Row],[IV Calc C]]*SQRT(Table13345[[#This Row],[T]])</f>
        <v>#DIV/0!</v>
      </c>
      <c r="AL901" t="e">
        <f ca="1">Table13345[[#This Row],[Put D1]]-Table13345[[#This Row],[IV Calc P]]*SQRT(Table13345[[#This Row],[T]])</f>
        <v>#DIV/0!</v>
      </c>
      <c r="AM901" t="e">
        <f ca="1">EXP(-0.5*Table13345[[#This Row],[Call D1]]^2)/SQRT(2*PI())</f>
        <v>#DIV/0!</v>
      </c>
      <c r="AN901" t="e">
        <f ca="1">EXP(-0.5*Table13345[[#This Row],[Put D1]]^2)/SQRT(2*PI())</f>
        <v>#DIV/0!</v>
      </c>
      <c r="AO90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1">
        <f ca="1">((Table13345[[#This Row],[call vanna]]+Table13345[[#This Row],[put vanna]])*$A$4)</f>
        <v>0</v>
      </c>
      <c r="AR90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1" s="9" t="str" cm="1">
        <f t="array" ref="AT901">_xlfn.IFS(     $M$1="SPX","SPXW",     $M$1="RUT","RUTW",  $M$1="NDX","NDXP",   TRUE,$M$1 )</f>
        <v>SPXW</v>
      </c>
      <c r="AU901" s="2">
        <f t="shared" si="92"/>
        <v>6915</v>
      </c>
      <c r="AV901" t="str">
        <f t="shared" si="93"/>
        <v>000100</v>
      </c>
      <c r="AY90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1">
        <f>((Table13345[[#This Row],[High C]]+Table13345[[#This Row],[Low C]])/2)*Table13345[[#This Row],[gammac]]*Table13345[[#This Row],[Volume]]</f>
        <v>0</v>
      </c>
      <c r="BD901">
        <f>((Table13345[[#This Row],[High P]]+Table13345[[#This Row],[Low P]])/2)*Table13345[[#This Row],[gammap]]*Table13345[[#This Row],[Volume9]]*-1</f>
        <v>0</v>
      </c>
      <c r="BE901">
        <f>(Table13345[[#This Row],[SgammaC]]+Table13345[[#This Row],[SgammaP]])*$A$4*-100</f>
        <v>0</v>
      </c>
      <c r="BF901">
        <f>Table13345[[#This Row],[DEXc]]+Table13345[[#This Row],[DEXp]]</f>
        <v>0</v>
      </c>
      <c r="BG901">
        <f>IFERROR(Table13345[[#This Row],[DeltaC]]*Table13345[[#This Row],[Open.Int]]*$A$4,0)</f>
        <v>0</v>
      </c>
      <c r="BH901">
        <f>IFERROR(Table13345[[#This Row],[DeltaP]]*Table13345[[#This Row],[Open.Int8]]*$A$4,0)</f>
        <v>0</v>
      </c>
      <c r="BI90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1">
        <f ca="1">Table13345[[#This Row],[charmc]]+Table13345[[#This Row],[charmp]]</f>
        <v>0</v>
      </c>
      <c r="BL90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1" s="78">
        <f ca="1">Table13345[[#This Row],[call helper]]+Table13345[[#This Row],[put helper]]</f>
        <v>0</v>
      </c>
      <c r="BP901" t="str">
        <f>RTD("tos.rtd", , "STRIKE", "."&amp;Table13345[[#This Row],[Ticker]]&amp;Table13345[[#This Row],[Expiry]]&amp;""&amp;"C"&amp;Table13345[[#This Row],[Spot]]+Table13345[[#This Row],[step]])</f>
        <v>N/A</v>
      </c>
    </row>
    <row r="902" spans="1:68" x14ac:dyDescent="0.25">
      <c r="A902" s="14">
        <f t="shared" ca="1" si="89"/>
        <v>-126.14810350076104</v>
      </c>
      <c r="C902" s="17"/>
      <c r="D902" t="str">
        <f>RTD("tos.rtd", , "OPEN_INT", "."&amp;Table13345[[#This Row],[Ticker]]&amp;Table13345[[#This Row],[Expiry]]&amp;""&amp;"C"&amp;Table13345[[#This Row],[Spot]]+Table13345[[#This Row],[step]])</f>
        <v>N/A</v>
      </c>
      <c r="E90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2" t="b">
        <f>IF(     ISNUMBER(Table13345[[#This Row],[Strike]]),RTD("tos.rtd", , "DELTA", "."&amp;Table13345[[#This Row],[Ticker]]&amp;Table13345[[#This Row],[Expiry]]&amp;""&amp;"C"&amp;Table13345[[#This Row],[Strike]]))</f>
        <v>0</v>
      </c>
      <c r="H902" s="17" cm="1">
        <f t="array" aca="1" ref="H902" ca="1">IndividualLegIVCore($A$4, Table13345[[#This Row],[Strike]], 0.0411, Table13345[[#This Row],[T]], ((Table13345[[#This Row],[BIDC]]+Table13345[[#This Row],[ASKC]])/2), TRUE)</f>
        <v>0.01</v>
      </c>
      <c r="I902" t="b">
        <f>IF(     ISNUMBER(Table13345[[#This Row],[Strike]]),RTD("tos.rtd", , "BID", "."&amp;Table13345[[#This Row],[Ticker]]&amp;Table13345[[#This Row],[Expiry]]&amp;""&amp;"C"&amp;Table13345[[#This Row],[Strike]]))</f>
        <v>0</v>
      </c>
      <c r="J902" t="b">
        <f>IF(     ISNUMBER(Table13345[[#This Row],[Strike]]),RTD("tos.rtd", , "ASK", "."&amp;Table13345[[#This Row],[Ticker]]&amp;Table13345[[#This Row],[Expiry]]&amp;""&amp;"C"&amp;Table13345[[#This Row],[Strike]]))</f>
        <v>0</v>
      </c>
      <c r="K902" s="17"/>
      <c r="M902" s="1">
        <f t="shared" si="90"/>
        <v>0</v>
      </c>
      <c r="N902" t="b">
        <f t="shared" si="91"/>
        <v>0</v>
      </c>
      <c r="P902" s="17" cm="1">
        <f t="array" aca="1" ref="P902" ca="1">IndividualLegIVCore($A$4, Table13345[[#This Row],[Strike]], 0.0411, Table13345[[#This Row],[T]], ((Table13345[[#This Row],[BIDP]]+Table13345[[#This Row],[ASKP]])/2), FALSE)</f>
        <v>0.01</v>
      </c>
      <c r="Q902" t="b">
        <f>IF(     ISNUMBER(Table13345[[#This Row],[Strike]]),RTD("tos.rtd", , "BID", "."&amp;Table13345[[#This Row],[Ticker]]&amp;Table13345[[#This Row],[Expiry]]&amp;""&amp;"P"&amp;Table13345[[#This Row],[Strike]]))</f>
        <v>0</v>
      </c>
      <c r="R902" t="b">
        <f>IF(     ISNUMBER(Table13345[[#This Row],[Strike]]),RTD("tos.rtd", , "ASK", "."&amp;Table13345[[#This Row],[Ticker]]&amp;Table13345[[#This Row],[Expiry]]&amp;""&amp;"P"&amp;Table13345[[#This Row],[Strike]]))</f>
        <v>0</v>
      </c>
      <c r="S902" s="17"/>
      <c r="T902" t="b">
        <f>IF(     ISNUMBER(Table13345[[#This Row],[Strike]]),RTD("tos.rtd", , "OPEN_INT", "."&amp;Table13345[[#This Row],[Ticker]]&amp;Table13345[[#This Row],[Expiry]]&amp;""&amp;"P"&amp;Table13345[[#This Row],[Strike]]))</f>
        <v>0</v>
      </c>
      <c r="U90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2" t="b">
        <f>IF(     ISNUMBER(Table13345[[#This Row],[Strike]]),RTD("tos.rtd", , "DELTA", "."&amp;Table13345[[#This Row],[Ticker]]&amp;Table13345[[#This Row],[Expiry]]&amp;""&amp;"P"&amp;Table13345[[#This Row],[Strike]]))</f>
        <v>0</v>
      </c>
      <c r="Y902" s="19">
        <f>-10* IF($M$1="NDX", 10, IF(OR($M$1="SPX", $M$1="RUT"), 2, 1))</f>
        <v>-20</v>
      </c>
      <c r="Z902">
        <f ca="1">IFERROR(Table13345[[#This Row],[call gamma]]*(Table13345[[#This Row],[Open.Int]])*$A$4^2,0)</f>
        <v>0</v>
      </c>
      <c r="AA902">
        <f ca="1">IFERROR(((Table13345[[#This Row],[Open.Int8]])*Table13345[[#This Row],[Put gamma]])*-1*$A$4^2,0)</f>
        <v>0</v>
      </c>
      <c r="AB902">
        <f ca="1">(Table13345[[#This Row],[Call Gex]]+Table13345[[#This Row],[Put Gex]])</f>
        <v>0</v>
      </c>
      <c r="AC902">
        <f ca="1">Table13345[[#This Row],[put delta adj]]+Table13345[[#This Row],[call delta adj]]</f>
        <v>0</v>
      </c>
      <c r="AD902">
        <f ca="1">Table13345[[#This Row],[Put Gex]]*Table13345[[#This Row],[DeltaP]]*-1</f>
        <v>0</v>
      </c>
      <c r="AE902">
        <f ca="1">Table13345[[#This Row],[Call Gex]]*Table13345[[#This Row],[DeltaC]]</f>
        <v>0</v>
      </c>
      <c r="AF902">
        <f>IF(Table13345[[#This Row],[DeltaC]]-ABS(Table13345[[#This Row],[DeltaP]])="0","0.01",Table13345[[#This Row],[DeltaC]]-ABS(Table13345[[#This Row],[DeltaP]]))</f>
        <v>0</v>
      </c>
      <c r="AG90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2" t="e">
        <f ca="1">(EXP(-(AG902^2)/2)/SQRT(2*PI())*EXP(0*SQRT(Table13345[[#This Row],[T]]))/$A$4*18%*SQRT(SQRT(Table13345[[#This Row],[T]])))</f>
        <v>#DIV/0!</v>
      </c>
      <c r="AJ902" t="e">
        <f ca="1">(EXP(-(AH902^2)/2)/SQRT(2*PI())*EXP(0*SQRT(Table13345[[#This Row],[T]]))/$A$4*18%*SQRT(SQRT(Table13345[[#This Row],[T]])))</f>
        <v>#DIV/0!</v>
      </c>
      <c r="AK902" t="e">
        <f ca="1">Table13345[[#This Row],[Call D1]]-Table13345[[#This Row],[IV Calc C]]*SQRT(Table13345[[#This Row],[T]])</f>
        <v>#DIV/0!</v>
      </c>
      <c r="AL902" t="e">
        <f ca="1">Table13345[[#This Row],[Put D1]]-Table13345[[#This Row],[IV Calc P]]*SQRT(Table13345[[#This Row],[T]])</f>
        <v>#DIV/0!</v>
      </c>
      <c r="AM902" t="e">
        <f ca="1">EXP(-0.5*Table13345[[#This Row],[Call D1]]^2)/SQRT(2*PI())</f>
        <v>#DIV/0!</v>
      </c>
      <c r="AN902" t="e">
        <f ca="1">EXP(-0.5*Table13345[[#This Row],[Put D1]]^2)/SQRT(2*PI())</f>
        <v>#DIV/0!</v>
      </c>
      <c r="AO90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2">
        <f ca="1">((Table13345[[#This Row],[call vanna]]+Table13345[[#This Row],[put vanna]])*$A$4)</f>
        <v>0</v>
      </c>
      <c r="AR90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2" s="9" t="str" cm="1">
        <f t="array" ref="AT902">_xlfn.IFS(     $M$1="SPX","SPXW",     $M$1="RUT","RUTW",  $M$1="NDX","NDXP",   TRUE,$M$1 )</f>
        <v>SPXW</v>
      </c>
      <c r="AU902" s="2">
        <f t="shared" si="92"/>
        <v>6915</v>
      </c>
      <c r="AV902" t="str">
        <f t="shared" si="93"/>
        <v>000100</v>
      </c>
      <c r="AY90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2">
        <f>((Table13345[[#This Row],[High C]]+Table13345[[#This Row],[Low C]])/2)*Table13345[[#This Row],[gammac]]*Table13345[[#This Row],[Volume]]</f>
        <v>0</v>
      </c>
      <c r="BD902">
        <f>((Table13345[[#This Row],[High P]]+Table13345[[#This Row],[Low P]])/2)*Table13345[[#This Row],[gammap]]*Table13345[[#This Row],[Volume9]]*-1</f>
        <v>0</v>
      </c>
      <c r="BE902">
        <f>(Table13345[[#This Row],[SgammaC]]+Table13345[[#This Row],[SgammaP]])*$A$4*-100</f>
        <v>0</v>
      </c>
      <c r="BF902">
        <f>Table13345[[#This Row],[DEXc]]+Table13345[[#This Row],[DEXp]]</f>
        <v>0</v>
      </c>
      <c r="BG902">
        <f>IFERROR(Table13345[[#This Row],[DeltaC]]*Table13345[[#This Row],[Open.Int]]*$A$4,0)</f>
        <v>0</v>
      </c>
      <c r="BH902">
        <f>IFERROR(Table13345[[#This Row],[DeltaP]]*Table13345[[#This Row],[Open.Int8]]*$A$4,0)</f>
        <v>0</v>
      </c>
      <c r="BI90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2">
        <f ca="1">Table13345[[#This Row],[charmc]]+Table13345[[#This Row],[charmp]]</f>
        <v>0</v>
      </c>
      <c r="BL90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2" s="78">
        <f ca="1">Table13345[[#This Row],[call helper]]+Table13345[[#This Row],[put helper]]</f>
        <v>0</v>
      </c>
      <c r="BP902" t="str">
        <f>RTD("tos.rtd", , "STRIKE", "."&amp;Table13345[[#This Row],[Ticker]]&amp;Table13345[[#This Row],[Expiry]]&amp;""&amp;"C"&amp;Table13345[[#This Row],[Spot]]+Table13345[[#This Row],[step]])</f>
        <v>N/A</v>
      </c>
    </row>
    <row r="903" spans="1:68" x14ac:dyDescent="0.25">
      <c r="A903" s="14">
        <f t="shared" ca="1" si="89"/>
        <v>-126.14810350076104</v>
      </c>
      <c r="C903" s="17"/>
      <c r="D903" t="str">
        <f>RTD("tos.rtd", , "OPEN_INT", "."&amp;Table13345[[#This Row],[Ticker]]&amp;Table13345[[#This Row],[Expiry]]&amp;""&amp;"C"&amp;Table13345[[#This Row],[Spot]]+Table13345[[#This Row],[step]])</f>
        <v>N/A</v>
      </c>
      <c r="E90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3" t="b">
        <f>IF(     ISNUMBER(Table13345[[#This Row],[Strike]]),RTD("tos.rtd", , "DELTA", "."&amp;Table13345[[#This Row],[Ticker]]&amp;Table13345[[#This Row],[Expiry]]&amp;""&amp;"C"&amp;Table13345[[#This Row],[Strike]]))</f>
        <v>0</v>
      </c>
      <c r="H903" s="17" cm="1">
        <f t="array" aca="1" ref="H903" ca="1">IndividualLegIVCore($A$4, Table13345[[#This Row],[Strike]], 0.0411, Table13345[[#This Row],[T]], ((Table13345[[#This Row],[BIDC]]+Table13345[[#This Row],[ASKC]])/2), TRUE)</f>
        <v>0.01</v>
      </c>
      <c r="I903" t="b">
        <f>IF(     ISNUMBER(Table13345[[#This Row],[Strike]]),RTD("tos.rtd", , "BID", "."&amp;Table13345[[#This Row],[Ticker]]&amp;Table13345[[#This Row],[Expiry]]&amp;""&amp;"C"&amp;Table13345[[#This Row],[Strike]]))</f>
        <v>0</v>
      </c>
      <c r="J903" t="b">
        <f>IF(     ISNUMBER(Table13345[[#This Row],[Strike]]),RTD("tos.rtd", , "ASK", "."&amp;Table13345[[#This Row],[Ticker]]&amp;Table13345[[#This Row],[Expiry]]&amp;""&amp;"C"&amp;Table13345[[#This Row],[Strike]]))</f>
        <v>0</v>
      </c>
      <c r="K903" s="17"/>
      <c r="M903" s="1">
        <f t="shared" si="90"/>
        <v>0</v>
      </c>
      <c r="N903" t="b">
        <f t="shared" si="91"/>
        <v>0</v>
      </c>
      <c r="P903" s="17" cm="1">
        <f t="array" aca="1" ref="P903" ca="1">IndividualLegIVCore($A$4, Table13345[[#This Row],[Strike]], 0.0411, Table13345[[#This Row],[T]], ((Table13345[[#This Row],[BIDP]]+Table13345[[#This Row],[ASKP]])/2), FALSE)</f>
        <v>0.01</v>
      </c>
      <c r="Q903" t="b">
        <f>IF(     ISNUMBER(Table13345[[#This Row],[Strike]]),RTD("tos.rtd", , "BID", "."&amp;Table13345[[#This Row],[Ticker]]&amp;Table13345[[#This Row],[Expiry]]&amp;""&amp;"P"&amp;Table13345[[#This Row],[Strike]]))</f>
        <v>0</v>
      </c>
      <c r="R903" t="b">
        <f>IF(     ISNUMBER(Table13345[[#This Row],[Strike]]),RTD("tos.rtd", , "ASK", "."&amp;Table13345[[#This Row],[Ticker]]&amp;Table13345[[#This Row],[Expiry]]&amp;""&amp;"P"&amp;Table13345[[#This Row],[Strike]]))</f>
        <v>0</v>
      </c>
      <c r="S903" s="17"/>
      <c r="T903" t="b">
        <f>IF(     ISNUMBER(Table13345[[#This Row],[Strike]]),RTD("tos.rtd", , "OPEN_INT", "."&amp;Table13345[[#This Row],[Ticker]]&amp;Table13345[[#This Row],[Expiry]]&amp;""&amp;"P"&amp;Table13345[[#This Row],[Strike]]))</f>
        <v>0</v>
      </c>
      <c r="U90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3" t="b">
        <f>IF(     ISNUMBER(Table13345[[#This Row],[Strike]]),RTD("tos.rtd", , "DELTA", "."&amp;Table13345[[#This Row],[Ticker]]&amp;Table13345[[#This Row],[Expiry]]&amp;""&amp;"P"&amp;Table13345[[#This Row],[Strike]]))</f>
        <v>0</v>
      </c>
      <c r="Y903" s="21">
        <f>-9.5* IF($M$1="NDX", 10, IF(OR($M$1="SPX", $M$1="RUT"), 2, 1))</f>
        <v>-19</v>
      </c>
      <c r="Z903">
        <f ca="1">IFERROR(Table13345[[#This Row],[call gamma]]*(Table13345[[#This Row],[Open.Int]])*$A$4^2,0)</f>
        <v>0</v>
      </c>
      <c r="AA903">
        <f ca="1">IFERROR(((Table13345[[#This Row],[Open.Int8]])*Table13345[[#This Row],[Put gamma]])*-1*$A$4^2,0)</f>
        <v>0</v>
      </c>
      <c r="AB903">
        <f ca="1">(Table13345[[#This Row],[Call Gex]]+Table13345[[#This Row],[Put Gex]])</f>
        <v>0</v>
      </c>
      <c r="AC903">
        <f ca="1">Table13345[[#This Row],[put delta adj]]+Table13345[[#This Row],[call delta adj]]</f>
        <v>0</v>
      </c>
      <c r="AD903">
        <f ca="1">Table13345[[#This Row],[Put Gex]]*Table13345[[#This Row],[DeltaP]]*-1</f>
        <v>0</v>
      </c>
      <c r="AE903">
        <f ca="1">Table13345[[#This Row],[Call Gex]]*Table13345[[#This Row],[DeltaC]]</f>
        <v>0</v>
      </c>
      <c r="AF903">
        <f>IF(Table13345[[#This Row],[DeltaC]]-ABS(Table13345[[#This Row],[DeltaP]])="0","0.01",Table13345[[#This Row],[DeltaC]]-ABS(Table13345[[#This Row],[DeltaP]]))</f>
        <v>0</v>
      </c>
      <c r="AG90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3" t="e">
        <f ca="1">(EXP(-(AG903^2)/2)/SQRT(2*PI())*EXP(0*SQRT(Table13345[[#This Row],[T]]))/$A$4*18%*SQRT(SQRT(Table13345[[#This Row],[T]])))</f>
        <v>#DIV/0!</v>
      </c>
      <c r="AJ903" t="e">
        <f ca="1">(EXP(-(AH903^2)/2)/SQRT(2*PI())*EXP(0*SQRT(Table13345[[#This Row],[T]]))/$A$4*18%*SQRT(SQRT(Table13345[[#This Row],[T]])))</f>
        <v>#DIV/0!</v>
      </c>
      <c r="AK903" t="e">
        <f ca="1">Table13345[[#This Row],[Call D1]]-Table13345[[#This Row],[IV Calc C]]*SQRT(Table13345[[#This Row],[T]])</f>
        <v>#DIV/0!</v>
      </c>
      <c r="AL903" t="e">
        <f ca="1">Table13345[[#This Row],[Put D1]]-Table13345[[#This Row],[IV Calc P]]*SQRT(Table13345[[#This Row],[T]])</f>
        <v>#DIV/0!</v>
      </c>
      <c r="AM903" t="e">
        <f ca="1">EXP(-0.5*Table13345[[#This Row],[Call D1]]^2)/SQRT(2*PI())</f>
        <v>#DIV/0!</v>
      </c>
      <c r="AN903" t="e">
        <f ca="1">EXP(-0.5*Table13345[[#This Row],[Put D1]]^2)/SQRT(2*PI())</f>
        <v>#DIV/0!</v>
      </c>
      <c r="AO90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3">
        <f ca="1">((Table13345[[#This Row],[call vanna]]+Table13345[[#This Row],[put vanna]])*$A$4)</f>
        <v>0</v>
      </c>
      <c r="AR90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3" s="9" t="str" cm="1">
        <f t="array" ref="AT903">_xlfn.IFS(     $M$1="SPX","SPXW",     $M$1="RUT","RUTW",  $M$1="NDX","NDXP",   TRUE,$M$1 )</f>
        <v>SPXW</v>
      </c>
      <c r="AU903" s="2">
        <f t="shared" si="92"/>
        <v>6915</v>
      </c>
      <c r="AV903" t="str">
        <f t="shared" si="93"/>
        <v>000100</v>
      </c>
      <c r="AY90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3">
        <f>((Table13345[[#This Row],[High C]]+Table13345[[#This Row],[Low C]])/2)*Table13345[[#This Row],[gammac]]*Table13345[[#This Row],[Volume]]</f>
        <v>0</v>
      </c>
      <c r="BD903">
        <f>((Table13345[[#This Row],[High P]]+Table13345[[#This Row],[Low P]])/2)*Table13345[[#This Row],[gammap]]*Table13345[[#This Row],[Volume9]]*-1</f>
        <v>0</v>
      </c>
      <c r="BE903">
        <f>(Table13345[[#This Row],[SgammaC]]+Table13345[[#This Row],[SgammaP]])*$A$4*-100</f>
        <v>0</v>
      </c>
      <c r="BF903">
        <f>Table13345[[#This Row],[DEXc]]+Table13345[[#This Row],[DEXp]]</f>
        <v>0</v>
      </c>
      <c r="BG903">
        <f>IFERROR(Table13345[[#This Row],[DeltaC]]*Table13345[[#This Row],[Open.Int]]*$A$4,0)</f>
        <v>0</v>
      </c>
      <c r="BH903">
        <f>IFERROR(Table13345[[#This Row],[DeltaP]]*Table13345[[#This Row],[Open.Int8]]*$A$4,0)</f>
        <v>0</v>
      </c>
      <c r="BI90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3">
        <f ca="1">Table13345[[#This Row],[charmc]]+Table13345[[#This Row],[charmp]]</f>
        <v>0</v>
      </c>
      <c r="BL90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3" s="78">
        <f ca="1">Table13345[[#This Row],[call helper]]+Table13345[[#This Row],[put helper]]</f>
        <v>0</v>
      </c>
      <c r="BP903" t="str">
        <f>RTD("tos.rtd", , "STRIKE", "."&amp;Table13345[[#This Row],[Ticker]]&amp;Table13345[[#This Row],[Expiry]]&amp;""&amp;"C"&amp;Table13345[[#This Row],[Spot]]+Table13345[[#This Row],[step]])</f>
        <v>N/A</v>
      </c>
    </row>
    <row r="904" spans="1:68" x14ac:dyDescent="0.25">
      <c r="A904" s="14">
        <f t="shared" ca="1" si="89"/>
        <v>-126.14810350076104</v>
      </c>
      <c r="C904" s="17"/>
      <c r="D904" t="str">
        <f>RTD("tos.rtd", , "OPEN_INT", "."&amp;Table13345[[#This Row],[Ticker]]&amp;Table13345[[#This Row],[Expiry]]&amp;""&amp;"C"&amp;Table13345[[#This Row],[Spot]]+Table13345[[#This Row],[step]])</f>
        <v>N/A</v>
      </c>
      <c r="E90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4" t="b">
        <f>IF(     ISNUMBER(Table13345[[#This Row],[Strike]]),RTD("tos.rtd", , "DELTA", "."&amp;Table13345[[#This Row],[Ticker]]&amp;Table13345[[#This Row],[Expiry]]&amp;""&amp;"C"&amp;Table13345[[#This Row],[Strike]]))</f>
        <v>0</v>
      </c>
      <c r="H904" s="17" cm="1">
        <f t="array" aca="1" ref="H904" ca="1">IndividualLegIVCore($A$4, Table13345[[#This Row],[Strike]], 0.0411, Table13345[[#This Row],[T]], ((Table13345[[#This Row],[BIDC]]+Table13345[[#This Row],[ASKC]])/2), TRUE)</f>
        <v>0.01</v>
      </c>
      <c r="I904" t="b">
        <f>IF(     ISNUMBER(Table13345[[#This Row],[Strike]]),RTD("tos.rtd", , "BID", "."&amp;Table13345[[#This Row],[Ticker]]&amp;Table13345[[#This Row],[Expiry]]&amp;""&amp;"C"&amp;Table13345[[#This Row],[Strike]]))</f>
        <v>0</v>
      </c>
      <c r="J904" t="b">
        <f>IF(     ISNUMBER(Table13345[[#This Row],[Strike]]),RTD("tos.rtd", , "ASK", "."&amp;Table13345[[#This Row],[Ticker]]&amp;Table13345[[#This Row],[Expiry]]&amp;""&amp;"C"&amp;Table13345[[#This Row],[Strike]]))</f>
        <v>0</v>
      </c>
      <c r="K904" s="17"/>
      <c r="M904" s="1">
        <f t="shared" si="90"/>
        <v>0</v>
      </c>
      <c r="N904" t="b">
        <f t="shared" si="91"/>
        <v>0</v>
      </c>
      <c r="P904" s="17" cm="1">
        <f t="array" aca="1" ref="P904" ca="1">IndividualLegIVCore($A$4, Table13345[[#This Row],[Strike]], 0.0411, Table13345[[#This Row],[T]], ((Table13345[[#This Row],[BIDP]]+Table13345[[#This Row],[ASKP]])/2), FALSE)</f>
        <v>0.01</v>
      </c>
      <c r="Q904" t="b">
        <f>IF(     ISNUMBER(Table13345[[#This Row],[Strike]]),RTD("tos.rtd", , "BID", "."&amp;Table13345[[#This Row],[Ticker]]&amp;Table13345[[#This Row],[Expiry]]&amp;""&amp;"P"&amp;Table13345[[#This Row],[Strike]]))</f>
        <v>0</v>
      </c>
      <c r="R904" t="b">
        <f>IF(     ISNUMBER(Table13345[[#This Row],[Strike]]),RTD("tos.rtd", , "ASK", "."&amp;Table13345[[#This Row],[Ticker]]&amp;Table13345[[#This Row],[Expiry]]&amp;""&amp;"P"&amp;Table13345[[#This Row],[Strike]]))</f>
        <v>0</v>
      </c>
      <c r="S904" s="17"/>
      <c r="T904" t="b">
        <f>IF(     ISNUMBER(Table13345[[#This Row],[Strike]]),RTD("tos.rtd", , "OPEN_INT", "."&amp;Table13345[[#This Row],[Ticker]]&amp;Table13345[[#This Row],[Expiry]]&amp;""&amp;"P"&amp;Table13345[[#This Row],[Strike]]))</f>
        <v>0</v>
      </c>
      <c r="U90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4" t="b">
        <f>IF(     ISNUMBER(Table13345[[#This Row],[Strike]]),RTD("tos.rtd", , "DELTA", "."&amp;Table13345[[#This Row],[Ticker]]&amp;Table13345[[#This Row],[Expiry]]&amp;""&amp;"P"&amp;Table13345[[#This Row],[Strike]]))</f>
        <v>0</v>
      </c>
      <c r="Y904" s="19">
        <f>-9* IF($M$1="NDX", 10, IF(OR($M$1="SPX", $M$1="RUT"), 2, 1))</f>
        <v>-18</v>
      </c>
      <c r="Z904">
        <f ca="1">IFERROR(Table13345[[#This Row],[call gamma]]*(Table13345[[#This Row],[Open.Int]])*$A$4^2,0)</f>
        <v>0</v>
      </c>
      <c r="AA904">
        <f ca="1">IFERROR(((Table13345[[#This Row],[Open.Int8]])*Table13345[[#This Row],[Put gamma]])*-1*$A$4^2,0)</f>
        <v>0</v>
      </c>
      <c r="AB904">
        <f ca="1">(Table13345[[#This Row],[Call Gex]]+Table13345[[#This Row],[Put Gex]])</f>
        <v>0</v>
      </c>
      <c r="AC904">
        <f ca="1">Table13345[[#This Row],[put delta adj]]+Table13345[[#This Row],[call delta adj]]</f>
        <v>0</v>
      </c>
      <c r="AD904">
        <f ca="1">Table13345[[#This Row],[Put Gex]]*Table13345[[#This Row],[DeltaP]]*-1</f>
        <v>0</v>
      </c>
      <c r="AE904">
        <f ca="1">Table13345[[#This Row],[Call Gex]]*Table13345[[#This Row],[DeltaC]]</f>
        <v>0</v>
      </c>
      <c r="AF904">
        <f>IF(Table13345[[#This Row],[DeltaC]]-ABS(Table13345[[#This Row],[DeltaP]])="0","0.01",Table13345[[#This Row],[DeltaC]]-ABS(Table13345[[#This Row],[DeltaP]]))</f>
        <v>0</v>
      </c>
      <c r="AG90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4" t="e">
        <f ca="1">(EXP(-(AG904^2)/2)/SQRT(2*PI())*EXP(0*SQRT(Table13345[[#This Row],[T]]))/$A$4*18%*SQRT(SQRT(Table13345[[#This Row],[T]])))</f>
        <v>#DIV/0!</v>
      </c>
      <c r="AJ904" t="e">
        <f ca="1">(EXP(-(AH904^2)/2)/SQRT(2*PI())*EXP(0*SQRT(Table13345[[#This Row],[T]]))/$A$4*18%*SQRT(SQRT(Table13345[[#This Row],[T]])))</f>
        <v>#DIV/0!</v>
      </c>
      <c r="AK904" t="e">
        <f ca="1">Table13345[[#This Row],[Call D1]]-Table13345[[#This Row],[IV Calc C]]*SQRT(Table13345[[#This Row],[T]])</f>
        <v>#DIV/0!</v>
      </c>
      <c r="AL904" t="e">
        <f ca="1">Table13345[[#This Row],[Put D1]]-Table13345[[#This Row],[IV Calc P]]*SQRT(Table13345[[#This Row],[T]])</f>
        <v>#DIV/0!</v>
      </c>
      <c r="AM904" t="e">
        <f ca="1">EXP(-0.5*Table13345[[#This Row],[Call D1]]^2)/SQRT(2*PI())</f>
        <v>#DIV/0!</v>
      </c>
      <c r="AN904" t="e">
        <f ca="1">EXP(-0.5*Table13345[[#This Row],[Put D1]]^2)/SQRT(2*PI())</f>
        <v>#DIV/0!</v>
      </c>
      <c r="AO90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4">
        <f ca="1">((Table13345[[#This Row],[call vanna]]+Table13345[[#This Row],[put vanna]])*$A$4)</f>
        <v>0</v>
      </c>
      <c r="AR90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4" s="9" t="str" cm="1">
        <f t="array" ref="AT904">_xlfn.IFS(     $M$1="SPX","SPXW",     $M$1="RUT","RUTW",  $M$1="NDX","NDXP",   TRUE,$M$1 )</f>
        <v>SPXW</v>
      </c>
      <c r="AU904" s="2">
        <f t="shared" si="92"/>
        <v>6915</v>
      </c>
      <c r="AV904" t="str">
        <f t="shared" si="93"/>
        <v>000100</v>
      </c>
      <c r="AY90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4">
        <f>((Table13345[[#This Row],[High C]]+Table13345[[#This Row],[Low C]])/2)*Table13345[[#This Row],[gammac]]*Table13345[[#This Row],[Volume]]</f>
        <v>0</v>
      </c>
      <c r="BD904">
        <f>((Table13345[[#This Row],[High P]]+Table13345[[#This Row],[Low P]])/2)*Table13345[[#This Row],[gammap]]*Table13345[[#This Row],[Volume9]]*-1</f>
        <v>0</v>
      </c>
      <c r="BE904">
        <f>(Table13345[[#This Row],[SgammaC]]+Table13345[[#This Row],[SgammaP]])*$A$4*-100</f>
        <v>0</v>
      </c>
      <c r="BF904">
        <f>Table13345[[#This Row],[DEXc]]+Table13345[[#This Row],[DEXp]]</f>
        <v>0</v>
      </c>
      <c r="BG904">
        <f>IFERROR(Table13345[[#This Row],[DeltaC]]*Table13345[[#This Row],[Open.Int]]*$A$4,0)</f>
        <v>0</v>
      </c>
      <c r="BH904">
        <f>IFERROR(Table13345[[#This Row],[DeltaP]]*Table13345[[#This Row],[Open.Int8]]*$A$4,0)</f>
        <v>0</v>
      </c>
      <c r="BI90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4">
        <f ca="1">Table13345[[#This Row],[charmc]]+Table13345[[#This Row],[charmp]]</f>
        <v>0</v>
      </c>
      <c r="BL90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4" s="78">
        <f ca="1">Table13345[[#This Row],[call helper]]+Table13345[[#This Row],[put helper]]</f>
        <v>0</v>
      </c>
      <c r="BP904" t="str">
        <f>RTD("tos.rtd", , "STRIKE", "."&amp;Table13345[[#This Row],[Ticker]]&amp;Table13345[[#This Row],[Expiry]]&amp;""&amp;"C"&amp;Table13345[[#This Row],[Spot]]+Table13345[[#This Row],[step]])</f>
        <v>N/A</v>
      </c>
    </row>
    <row r="905" spans="1:68" x14ac:dyDescent="0.25">
      <c r="A905" s="14">
        <f t="shared" ca="1" si="89"/>
        <v>-126.14810350076104</v>
      </c>
      <c r="C905" s="17"/>
      <c r="D905" t="str">
        <f>RTD("tos.rtd", , "OPEN_INT", "."&amp;Table13345[[#This Row],[Ticker]]&amp;Table13345[[#This Row],[Expiry]]&amp;""&amp;"C"&amp;Table13345[[#This Row],[Spot]]+Table13345[[#This Row],[step]])</f>
        <v>N/A</v>
      </c>
      <c r="E90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5" t="b">
        <f>IF(     ISNUMBER(Table13345[[#This Row],[Strike]]),RTD("tos.rtd", , "DELTA", "."&amp;Table13345[[#This Row],[Ticker]]&amp;Table13345[[#This Row],[Expiry]]&amp;""&amp;"C"&amp;Table13345[[#This Row],[Strike]]))</f>
        <v>0</v>
      </c>
      <c r="H905" s="17" cm="1">
        <f t="array" aca="1" ref="H905" ca="1">IndividualLegIVCore($A$4, Table13345[[#This Row],[Strike]], 0.0411, Table13345[[#This Row],[T]], ((Table13345[[#This Row],[BIDC]]+Table13345[[#This Row],[ASKC]])/2), TRUE)</f>
        <v>0.01</v>
      </c>
      <c r="I905" t="b">
        <f>IF(     ISNUMBER(Table13345[[#This Row],[Strike]]),RTD("tos.rtd", , "BID", "."&amp;Table13345[[#This Row],[Ticker]]&amp;Table13345[[#This Row],[Expiry]]&amp;""&amp;"C"&amp;Table13345[[#This Row],[Strike]]))</f>
        <v>0</v>
      </c>
      <c r="J905" t="b">
        <f>IF(     ISNUMBER(Table13345[[#This Row],[Strike]]),RTD("tos.rtd", , "ASK", "."&amp;Table13345[[#This Row],[Ticker]]&amp;Table13345[[#This Row],[Expiry]]&amp;""&amp;"C"&amp;Table13345[[#This Row],[Strike]]))</f>
        <v>0</v>
      </c>
      <c r="K905" s="17"/>
      <c r="M905" s="1">
        <f t="shared" si="90"/>
        <v>0</v>
      </c>
      <c r="N905" t="b">
        <f t="shared" si="91"/>
        <v>0</v>
      </c>
      <c r="P905" s="17" cm="1">
        <f t="array" aca="1" ref="P905" ca="1">IndividualLegIVCore($A$4, Table13345[[#This Row],[Strike]], 0.0411, Table13345[[#This Row],[T]], ((Table13345[[#This Row],[BIDP]]+Table13345[[#This Row],[ASKP]])/2), FALSE)</f>
        <v>0.01</v>
      </c>
      <c r="Q905" t="b">
        <f>IF(     ISNUMBER(Table13345[[#This Row],[Strike]]),RTD("tos.rtd", , "BID", "."&amp;Table13345[[#This Row],[Ticker]]&amp;Table13345[[#This Row],[Expiry]]&amp;""&amp;"P"&amp;Table13345[[#This Row],[Strike]]))</f>
        <v>0</v>
      </c>
      <c r="R905" t="b">
        <f>IF(     ISNUMBER(Table13345[[#This Row],[Strike]]),RTD("tos.rtd", , "ASK", "."&amp;Table13345[[#This Row],[Ticker]]&amp;Table13345[[#This Row],[Expiry]]&amp;""&amp;"P"&amp;Table13345[[#This Row],[Strike]]))</f>
        <v>0</v>
      </c>
      <c r="S905" s="17"/>
      <c r="T905" t="b">
        <f>IF(     ISNUMBER(Table13345[[#This Row],[Strike]]),RTD("tos.rtd", , "OPEN_INT", "."&amp;Table13345[[#This Row],[Ticker]]&amp;Table13345[[#This Row],[Expiry]]&amp;""&amp;"P"&amp;Table13345[[#This Row],[Strike]]))</f>
        <v>0</v>
      </c>
      <c r="U90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5" t="b">
        <f>IF(     ISNUMBER(Table13345[[#This Row],[Strike]]),RTD("tos.rtd", , "DELTA", "."&amp;Table13345[[#This Row],[Ticker]]&amp;Table13345[[#This Row],[Expiry]]&amp;""&amp;"P"&amp;Table13345[[#This Row],[Strike]]))</f>
        <v>0</v>
      </c>
      <c r="Y905" s="19">
        <f>-8.5* IF($M$1="NDX", 10, IF(OR($M$1="SPX", $M$1="RUT"), 2, 1))</f>
        <v>-17</v>
      </c>
      <c r="Z905">
        <f ca="1">IFERROR(Table13345[[#This Row],[call gamma]]*(Table13345[[#This Row],[Open.Int]])*$A$4^2,0)</f>
        <v>0</v>
      </c>
      <c r="AA905">
        <f ca="1">IFERROR(((Table13345[[#This Row],[Open.Int8]])*Table13345[[#This Row],[Put gamma]])*-1*$A$4^2,0)</f>
        <v>0</v>
      </c>
      <c r="AB905">
        <f ca="1">(Table13345[[#This Row],[Call Gex]]+Table13345[[#This Row],[Put Gex]])</f>
        <v>0</v>
      </c>
      <c r="AC905">
        <f ca="1">Table13345[[#This Row],[put delta adj]]+Table13345[[#This Row],[call delta adj]]</f>
        <v>0</v>
      </c>
      <c r="AD905">
        <f ca="1">Table13345[[#This Row],[Put Gex]]*Table13345[[#This Row],[DeltaP]]*-1</f>
        <v>0</v>
      </c>
      <c r="AE905">
        <f ca="1">Table13345[[#This Row],[Call Gex]]*Table13345[[#This Row],[DeltaC]]</f>
        <v>0</v>
      </c>
      <c r="AF905">
        <f>IF(Table13345[[#This Row],[DeltaC]]-ABS(Table13345[[#This Row],[DeltaP]])="0","0.01",Table13345[[#This Row],[DeltaC]]-ABS(Table13345[[#This Row],[DeltaP]]))</f>
        <v>0</v>
      </c>
      <c r="AG90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5" t="e">
        <f ca="1">(EXP(-(AG905^2)/2)/SQRT(2*PI())*EXP(0*SQRT(Table13345[[#This Row],[T]]))/$A$4*18%*SQRT(SQRT(Table13345[[#This Row],[T]])))</f>
        <v>#DIV/0!</v>
      </c>
      <c r="AJ905" t="e">
        <f ca="1">(EXP(-(AH905^2)/2)/SQRT(2*PI())*EXP(0*SQRT(Table13345[[#This Row],[T]]))/$A$4*18%*SQRT(SQRT(Table13345[[#This Row],[T]])))</f>
        <v>#DIV/0!</v>
      </c>
      <c r="AK905" t="e">
        <f ca="1">Table13345[[#This Row],[Call D1]]-Table13345[[#This Row],[IV Calc C]]*SQRT(Table13345[[#This Row],[T]])</f>
        <v>#DIV/0!</v>
      </c>
      <c r="AL905" t="e">
        <f ca="1">Table13345[[#This Row],[Put D1]]-Table13345[[#This Row],[IV Calc P]]*SQRT(Table13345[[#This Row],[T]])</f>
        <v>#DIV/0!</v>
      </c>
      <c r="AM905" t="e">
        <f ca="1">EXP(-0.5*Table13345[[#This Row],[Call D1]]^2)/SQRT(2*PI())</f>
        <v>#DIV/0!</v>
      </c>
      <c r="AN905" t="e">
        <f ca="1">EXP(-0.5*Table13345[[#This Row],[Put D1]]^2)/SQRT(2*PI())</f>
        <v>#DIV/0!</v>
      </c>
      <c r="AO90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5">
        <f ca="1">((Table13345[[#This Row],[call vanna]]+Table13345[[#This Row],[put vanna]])*$A$4)</f>
        <v>0</v>
      </c>
      <c r="AR90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5" s="9" t="str" cm="1">
        <f t="array" ref="AT905">_xlfn.IFS(     $M$1="SPX","SPXW",     $M$1="RUT","RUTW",  $M$1="NDX","NDXP",   TRUE,$M$1 )</f>
        <v>SPXW</v>
      </c>
      <c r="AU905" s="2">
        <f t="shared" si="92"/>
        <v>6915</v>
      </c>
      <c r="AV905" t="str">
        <f t="shared" si="93"/>
        <v>000100</v>
      </c>
      <c r="AY90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5">
        <f>((Table13345[[#This Row],[High C]]+Table13345[[#This Row],[Low C]])/2)*Table13345[[#This Row],[gammac]]*Table13345[[#This Row],[Volume]]</f>
        <v>0</v>
      </c>
      <c r="BD905">
        <f>((Table13345[[#This Row],[High P]]+Table13345[[#This Row],[Low P]])/2)*Table13345[[#This Row],[gammap]]*Table13345[[#This Row],[Volume9]]*-1</f>
        <v>0</v>
      </c>
      <c r="BE905">
        <f>(Table13345[[#This Row],[SgammaC]]+Table13345[[#This Row],[SgammaP]])*$A$4*-100</f>
        <v>0</v>
      </c>
      <c r="BF905">
        <f>Table13345[[#This Row],[DEXc]]+Table13345[[#This Row],[DEXp]]</f>
        <v>0</v>
      </c>
      <c r="BG905">
        <f>IFERROR(Table13345[[#This Row],[DeltaC]]*Table13345[[#This Row],[Open.Int]]*$A$4,0)</f>
        <v>0</v>
      </c>
      <c r="BH905">
        <f>IFERROR(Table13345[[#This Row],[DeltaP]]*Table13345[[#This Row],[Open.Int8]]*$A$4,0)</f>
        <v>0</v>
      </c>
      <c r="BI90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5">
        <f ca="1">Table13345[[#This Row],[charmc]]+Table13345[[#This Row],[charmp]]</f>
        <v>0</v>
      </c>
      <c r="BL90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5" s="78">
        <f ca="1">Table13345[[#This Row],[call helper]]+Table13345[[#This Row],[put helper]]</f>
        <v>0</v>
      </c>
      <c r="BP905" t="str">
        <f>RTD("tos.rtd", , "STRIKE", "."&amp;Table13345[[#This Row],[Ticker]]&amp;Table13345[[#This Row],[Expiry]]&amp;""&amp;"C"&amp;Table13345[[#This Row],[Spot]]+Table13345[[#This Row],[step]])</f>
        <v>N/A</v>
      </c>
    </row>
    <row r="906" spans="1:68" x14ac:dyDescent="0.25">
      <c r="A906" s="14">
        <f t="shared" ca="1" si="89"/>
        <v>-126.14810350076104</v>
      </c>
      <c r="C906" s="17"/>
      <c r="D906" t="str">
        <f>RTD("tos.rtd", , "OPEN_INT", "."&amp;Table13345[[#This Row],[Ticker]]&amp;Table13345[[#This Row],[Expiry]]&amp;""&amp;"C"&amp;Table13345[[#This Row],[Spot]]+Table13345[[#This Row],[step]])</f>
        <v>N/A</v>
      </c>
      <c r="E90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6" t="b">
        <f>IF(     ISNUMBER(Table13345[[#This Row],[Strike]]),RTD("tos.rtd", , "DELTA", "."&amp;Table13345[[#This Row],[Ticker]]&amp;Table13345[[#This Row],[Expiry]]&amp;""&amp;"C"&amp;Table13345[[#This Row],[Strike]]))</f>
        <v>0</v>
      </c>
      <c r="H906" s="17" cm="1">
        <f t="array" aca="1" ref="H906" ca="1">IndividualLegIVCore($A$4, Table13345[[#This Row],[Strike]], 0.0411, Table13345[[#This Row],[T]], ((Table13345[[#This Row],[BIDC]]+Table13345[[#This Row],[ASKC]])/2), TRUE)</f>
        <v>0.01</v>
      </c>
      <c r="I906" t="b">
        <f>IF(     ISNUMBER(Table13345[[#This Row],[Strike]]),RTD("tos.rtd", , "BID", "."&amp;Table13345[[#This Row],[Ticker]]&amp;Table13345[[#This Row],[Expiry]]&amp;""&amp;"C"&amp;Table13345[[#This Row],[Strike]]))</f>
        <v>0</v>
      </c>
      <c r="J906" t="b">
        <f>IF(     ISNUMBER(Table13345[[#This Row],[Strike]]),RTD("tos.rtd", , "ASK", "."&amp;Table13345[[#This Row],[Ticker]]&amp;Table13345[[#This Row],[Expiry]]&amp;""&amp;"C"&amp;Table13345[[#This Row],[Strike]]))</f>
        <v>0</v>
      </c>
      <c r="K906" s="17"/>
      <c r="M906" s="1">
        <f t="shared" si="90"/>
        <v>0</v>
      </c>
      <c r="N906" t="b">
        <f t="shared" si="91"/>
        <v>0</v>
      </c>
      <c r="P906" s="17" cm="1">
        <f t="array" aca="1" ref="P906" ca="1">IndividualLegIVCore($A$4, Table13345[[#This Row],[Strike]], 0.0411, Table13345[[#This Row],[T]], ((Table13345[[#This Row],[BIDP]]+Table13345[[#This Row],[ASKP]])/2), FALSE)</f>
        <v>0.01</v>
      </c>
      <c r="Q906" t="b">
        <f>IF(     ISNUMBER(Table13345[[#This Row],[Strike]]),RTD("tos.rtd", , "BID", "."&amp;Table13345[[#This Row],[Ticker]]&amp;Table13345[[#This Row],[Expiry]]&amp;""&amp;"P"&amp;Table13345[[#This Row],[Strike]]))</f>
        <v>0</v>
      </c>
      <c r="R906" t="b">
        <f>IF(     ISNUMBER(Table13345[[#This Row],[Strike]]),RTD("tos.rtd", , "ASK", "."&amp;Table13345[[#This Row],[Ticker]]&amp;Table13345[[#This Row],[Expiry]]&amp;""&amp;"P"&amp;Table13345[[#This Row],[Strike]]))</f>
        <v>0</v>
      </c>
      <c r="S906" s="17"/>
      <c r="T906" t="b">
        <f>IF(     ISNUMBER(Table13345[[#This Row],[Strike]]),RTD("tos.rtd", , "OPEN_INT", "."&amp;Table13345[[#This Row],[Ticker]]&amp;Table13345[[#This Row],[Expiry]]&amp;""&amp;"P"&amp;Table13345[[#This Row],[Strike]]))</f>
        <v>0</v>
      </c>
      <c r="U90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6" t="b">
        <f>IF(     ISNUMBER(Table13345[[#This Row],[Strike]]),RTD("tos.rtd", , "DELTA", "."&amp;Table13345[[#This Row],[Ticker]]&amp;Table13345[[#This Row],[Expiry]]&amp;""&amp;"P"&amp;Table13345[[#This Row],[Strike]]))</f>
        <v>0</v>
      </c>
      <c r="Y906" s="19">
        <f>-8* IF($M$1="NDX", 10, IF(OR($M$1="SPX", $M$1="RUT"), 2, 1))</f>
        <v>-16</v>
      </c>
      <c r="Z906">
        <f ca="1">IFERROR(Table13345[[#This Row],[call gamma]]*(Table13345[[#This Row],[Open.Int]])*$A$4^2,0)</f>
        <v>0</v>
      </c>
      <c r="AA906">
        <f ca="1">IFERROR(((Table13345[[#This Row],[Open.Int8]])*Table13345[[#This Row],[Put gamma]])*-1*$A$4^2,0)</f>
        <v>0</v>
      </c>
      <c r="AB906">
        <f ca="1">(Table13345[[#This Row],[Call Gex]]+Table13345[[#This Row],[Put Gex]])</f>
        <v>0</v>
      </c>
      <c r="AC906">
        <f ca="1">Table13345[[#This Row],[put delta adj]]+Table13345[[#This Row],[call delta adj]]</f>
        <v>0</v>
      </c>
      <c r="AD906">
        <f ca="1">Table13345[[#This Row],[Put Gex]]*Table13345[[#This Row],[DeltaP]]*-1</f>
        <v>0</v>
      </c>
      <c r="AE906">
        <f ca="1">Table13345[[#This Row],[Call Gex]]*Table13345[[#This Row],[DeltaC]]</f>
        <v>0</v>
      </c>
      <c r="AF906">
        <f>IF(Table13345[[#This Row],[DeltaC]]-ABS(Table13345[[#This Row],[DeltaP]])="0","0.01",Table13345[[#This Row],[DeltaC]]-ABS(Table13345[[#This Row],[DeltaP]]))</f>
        <v>0</v>
      </c>
      <c r="AG90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6" t="e">
        <f ca="1">(EXP(-(AG906^2)/2)/SQRT(2*PI())*EXP(0*SQRT(Table13345[[#This Row],[T]]))/$A$4*18%*SQRT(SQRT(Table13345[[#This Row],[T]])))</f>
        <v>#DIV/0!</v>
      </c>
      <c r="AJ906" t="e">
        <f ca="1">(EXP(-(AH906^2)/2)/SQRT(2*PI())*EXP(0*SQRT(Table13345[[#This Row],[T]]))/$A$4*18%*SQRT(SQRT(Table13345[[#This Row],[T]])))</f>
        <v>#DIV/0!</v>
      </c>
      <c r="AK906" t="e">
        <f ca="1">Table13345[[#This Row],[Call D1]]-Table13345[[#This Row],[IV Calc C]]*SQRT(Table13345[[#This Row],[T]])</f>
        <v>#DIV/0!</v>
      </c>
      <c r="AL906" t="e">
        <f ca="1">Table13345[[#This Row],[Put D1]]-Table13345[[#This Row],[IV Calc P]]*SQRT(Table13345[[#This Row],[T]])</f>
        <v>#DIV/0!</v>
      </c>
      <c r="AM906" t="e">
        <f ca="1">EXP(-0.5*Table13345[[#This Row],[Call D1]]^2)/SQRT(2*PI())</f>
        <v>#DIV/0!</v>
      </c>
      <c r="AN906" t="e">
        <f ca="1">EXP(-0.5*Table13345[[#This Row],[Put D1]]^2)/SQRT(2*PI())</f>
        <v>#DIV/0!</v>
      </c>
      <c r="AO90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6">
        <f ca="1">((Table13345[[#This Row],[call vanna]]+Table13345[[#This Row],[put vanna]])*$A$4)</f>
        <v>0</v>
      </c>
      <c r="AR90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6" s="9" t="str" cm="1">
        <f t="array" ref="AT906">_xlfn.IFS(     $M$1="SPX","SPXW",     $M$1="RUT","RUTW",  $M$1="NDX","NDXP",   TRUE,$M$1 )</f>
        <v>SPXW</v>
      </c>
      <c r="AU906" s="2">
        <f t="shared" si="92"/>
        <v>6915</v>
      </c>
      <c r="AV906" t="str">
        <f t="shared" si="93"/>
        <v>000100</v>
      </c>
      <c r="AY90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6">
        <f>((Table13345[[#This Row],[High C]]+Table13345[[#This Row],[Low C]])/2)*Table13345[[#This Row],[gammac]]*Table13345[[#This Row],[Volume]]</f>
        <v>0</v>
      </c>
      <c r="BD906">
        <f>((Table13345[[#This Row],[High P]]+Table13345[[#This Row],[Low P]])/2)*Table13345[[#This Row],[gammap]]*Table13345[[#This Row],[Volume9]]*-1</f>
        <v>0</v>
      </c>
      <c r="BE906">
        <f>(Table13345[[#This Row],[SgammaC]]+Table13345[[#This Row],[SgammaP]])*$A$4*-100</f>
        <v>0</v>
      </c>
      <c r="BF906">
        <f>Table13345[[#This Row],[DEXc]]+Table13345[[#This Row],[DEXp]]</f>
        <v>0</v>
      </c>
      <c r="BG906">
        <f>IFERROR(Table13345[[#This Row],[DeltaC]]*Table13345[[#This Row],[Open.Int]]*$A$4,0)</f>
        <v>0</v>
      </c>
      <c r="BH906">
        <f>IFERROR(Table13345[[#This Row],[DeltaP]]*Table13345[[#This Row],[Open.Int8]]*$A$4,0)</f>
        <v>0</v>
      </c>
      <c r="BI90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6">
        <f ca="1">Table13345[[#This Row],[charmc]]+Table13345[[#This Row],[charmp]]</f>
        <v>0</v>
      </c>
      <c r="BL90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6" s="78">
        <f ca="1">Table13345[[#This Row],[call helper]]+Table13345[[#This Row],[put helper]]</f>
        <v>0</v>
      </c>
      <c r="BP906" t="str">
        <f>RTD("tos.rtd", , "STRIKE", "."&amp;Table13345[[#This Row],[Ticker]]&amp;Table13345[[#This Row],[Expiry]]&amp;""&amp;"C"&amp;Table13345[[#This Row],[Spot]]+Table13345[[#This Row],[step]])</f>
        <v>N/A</v>
      </c>
    </row>
    <row r="907" spans="1:68" x14ac:dyDescent="0.25">
      <c r="A907" s="14">
        <f t="shared" ca="1" si="89"/>
        <v>-126.14810350076104</v>
      </c>
      <c r="C907" s="17"/>
      <c r="D907" t="str">
        <f>RTD("tos.rtd", , "OPEN_INT", "."&amp;Table13345[[#This Row],[Ticker]]&amp;Table13345[[#This Row],[Expiry]]&amp;""&amp;"C"&amp;Table13345[[#This Row],[Spot]]+Table13345[[#This Row],[step]])</f>
        <v>N/A</v>
      </c>
      <c r="E90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7" t="b">
        <f>IF(     ISNUMBER(Table13345[[#This Row],[Strike]]),RTD("tos.rtd", , "DELTA", "."&amp;Table13345[[#This Row],[Ticker]]&amp;Table13345[[#This Row],[Expiry]]&amp;""&amp;"C"&amp;Table13345[[#This Row],[Strike]]))</f>
        <v>0</v>
      </c>
      <c r="H907" s="17" cm="1">
        <f t="array" aca="1" ref="H907" ca="1">IndividualLegIVCore($A$4, Table13345[[#This Row],[Strike]], 0.0411, Table13345[[#This Row],[T]], ((Table13345[[#This Row],[BIDC]]+Table13345[[#This Row],[ASKC]])/2), TRUE)</f>
        <v>0.01</v>
      </c>
      <c r="I907" t="b">
        <f>IF(     ISNUMBER(Table13345[[#This Row],[Strike]]),RTD("tos.rtd", , "BID", "."&amp;Table13345[[#This Row],[Ticker]]&amp;Table13345[[#This Row],[Expiry]]&amp;""&amp;"C"&amp;Table13345[[#This Row],[Strike]]))</f>
        <v>0</v>
      </c>
      <c r="J907" t="b">
        <f>IF(     ISNUMBER(Table13345[[#This Row],[Strike]]),RTD("tos.rtd", , "ASK", "."&amp;Table13345[[#This Row],[Ticker]]&amp;Table13345[[#This Row],[Expiry]]&amp;""&amp;"C"&amp;Table13345[[#This Row],[Strike]]))</f>
        <v>0</v>
      </c>
      <c r="K907" s="17"/>
      <c r="M907" s="1">
        <f t="shared" si="90"/>
        <v>0</v>
      </c>
      <c r="N907" t="b">
        <f t="shared" si="91"/>
        <v>0</v>
      </c>
      <c r="P907" s="17" cm="1">
        <f t="array" aca="1" ref="P907" ca="1">IndividualLegIVCore($A$4, Table13345[[#This Row],[Strike]], 0.0411, Table13345[[#This Row],[T]], ((Table13345[[#This Row],[BIDP]]+Table13345[[#This Row],[ASKP]])/2), FALSE)</f>
        <v>0.01</v>
      </c>
      <c r="Q907" t="b">
        <f>IF(     ISNUMBER(Table13345[[#This Row],[Strike]]),RTD("tos.rtd", , "BID", "."&amp;Table13345[[#This Row],[Ticker]]&amp;Table13345[[#This Row],[Expiry]]&amp;""&amp;"P"&amp;Table13345[[#This Row],[Strike]]))</f>
        <v>0</v>
      </c>
      <c r="R907" t="b">
        <f>IF(     ISNUMBER(Table13345[[#This Row],[Strike]]),RTD("tos.rtd", , "ASK", "."&amp;Table13345[[#This Row],[Ticker]]&amp;Table13345[[#This Row],[Expiry]]&amp;""&amp;"P"&amp;Table13345[[#This Row],[Strike]]))</f>
        <v>0</v>
      </c>
      <c r="S907" s="17"/>
      <c r="T907" t="b">
        <f>IF(     ISNUMBER(Table13345[[#This Row],[Strike]]),RTD("tos.rtd", , "OPEN_INT", "."&amp;Table13345[[#This Row],[Ticker]]&amp;Table13345[[#This Row],[Expiry]]&amp;""&amp;"P"&amp;Table13345[[#This Row],[Strike]]))</f>
        <v>0</v>
      </c>
      <c r="U90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7" t="b">
        <f>IF(     ISNUMBER(Table13345[[#This Row],[Strike]]),RTD("tos.rtd", , "DELTA", "."&amp;Table13345[[#This Row],[Ticker]]&amp;Table13345[[#This Row],[Expiry]]&amp;""&amp;"P"&amp;Table13345[[#This Row],[Strike]]))</f>
        <v>0</v>
      </c>
      <c r="Y907" s="19">
        <f>-7.5* IF($M$1="NDX", 10, IF(OR($M$1="SPX", $M$1="RUT"), 2, 1))</f>
        <v>-15</v>
      </c>
      <c r="Z907">
        <f ca="1">IFERROR(Table13345[[#This Row],[call gamma]]*(Table13345[[#This Row],[Open.Int]])*$A$4^2,0)</f>
        <v>0</v>
      </c>
      <c r="AA907">
        <f ca="1">IFERROR(((Table13345[[#This Row],[Open.Int8]])*Table13345[[#This Row],[Put gamma]])*-1*$A$4^2,0)</f>
        <v>0</v>
      </c>
      <c r="AB907">
        <f ca="1">(Table13345[[#This Row],[Call Gex]]+Table13345[[#This Row],[Put Gex]])</f>
        <v>0</v>
      </c>
      <c r="AC907">
        <f ca="1">Table13345[[#This Row],[put delta adj]]+Table13345[[#This Row],[call delta adj]]</f>
        <v>0</v>
      </c>
      <c r="AD907">
        <f ca="1">Table13345[[#This Row],[Put Gex]]*Table13345[[#This Row],[DeltaP]]*-1</f>
        <v>0</v>
      </c>
      <c r="AE907">
        <f ca="1">Table13345[[#This Row],[Call Gex]]*Table13345[[#This Row],[DeltaC]]</f>
        <v>0</v>
      </c>
      <c r="AF907">
        <f>IF(Table13345[[#This Row],[DeltaC]]-ABS(Table13345[[#This Row],[DeltaP]])="0","0.01",Table13345[[#This Row],[DeltaC]]-ABS(Table13345[[#This Row],[DeltaP]]))</f>
        <v>0</v>
      </c>
      <c r="AG90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7" t="e">
        <f ca="1">(EXP(-(AG907^2)/2)/SQRT(2*PI())*EXP(0*SQRT(Table13345[[#This Row],[T]]))/$A$4*18%*SQRT(SQRT(Table13345[[#This Row],[T]])))</f>
        <v>#DIV/0!</v>
      </c>
      <c r="AJ907" t="e">
        <f ca="1">(EXP(-(AH907^2)/2)/SQRT(2*PI())*EXP(0*SQRT(Table13345[[#This Row],[T]]))/$A$4*18%*SQRT(SQRT(Table13345[[#This Row],[T]])))</f>
        <v>#DIV/0!</v>
      </c>
      <c r="AK907" t="e">
        <f ca="1">Table13345[[#This Row],[Call D1]]-Table13345[[#This Row],[IV Calc C]]*SQRT(Table13345[[#This Row],[T]])</f>
        <v>#DIV/0!</v>
      </c>
      <c r="AL907" t="e">
        <f ca="1">Table13345[[#This Row],[Put D1]]-Table13345[[#This Row],[IV Calc P]]*SQRT(Table13345[[#This Row],[T]])</f>
        <v>#DIV/0!</v>
      </c>
      <c r="AM907" t="e">
        <f ca="1">EXP(-0.5*Table13345[[#This Row],[Call D1]]^2)/SQRT(2*PI())</f>
        <v>#DIV/0!</v>
      </c>
      <c r="AN907" t="e">
        <f ca="1">EXP(-0.5*Table13345[[#This Row],[Put D1]]^2)/SQRT(2*PI())</f>
        <v>#DIV/0!</v>
      </c>
      <c r="AO90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7">
        <f ca="1">((Table13345[[#This Row],[call vanna]]+Table13345[[#This Row],[put vanna]])*$A$4)</f>
        <v>0</v>
      </c>
      <c r="AR90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7" s="9" t="str" cm="1">
        <f t="array" ref="AT907">_xlfn.IFS(     $M$1="SPX","SPXW",     $M$1="RUT","RUTW",  $M$1="NDX","NDXP",   TRUE,$M$1 )</f>
        <v>SPXW</v>
      </c>
      <c r="AU907" s="2">
        <f t="shared" si="92"/>
        <v>6915</v>
      </c>
      <c r="AV907" t="str">
        <f t="shared" si="93"/>
        <v>000100</v>
      </c>
      <c r="AY90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7">
        <f>((Table13345[[#This Row],[High C]]+Table13345[[#This Row],[Low C]])/2)*Table13345[[#This Row],[gammac]]*Table13345[[#This Row],[Volume]]</f>
        <v>0</v>
      </c>
      <c r="BD907">
        <f>((Table13345[[#This Row],[High P]]+Table13345[[#This Row],[Low P]])/2)*Table13345[[#This Row],[gammap]]*Table13345[[#This Row],[Volume9]]*-1</f>
        <v>0</v>
      </c>
      <c r="BE907">
        <f>(Table13345[[#This Row],[SgammaC]]+Table13345[[#This Row],[SgammaP]])*$A$4*-100</f>
        <v>0</v>
      </c>
      <c r="BF907">
        <f>Table13345[[#This Row],[DEXc]]+Table13345[[#This Row],[DEXp]]</f>
        <v>0</v>
      </c>
      <c r="BG907">
        <f>IFERROR(Table13345[[#This Row],[DeltaC]]*Table13345[[#This Row],[Open.Int]]*$A$4,0)</f>
        <v>0</v>
      </c>
      <c r="BH907">
        <f>IFERROR(Table13345[[#This Row],[DeltaP]]*Table13345[[#This Row],[Open.Int8]]*$A$4,0)</f>
        <v>0</v>
      </c>
      <c r="BI90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7">
        <f ca="1">Table13345[[#This Row],[charmc]]+Table13345[[#This Row],[charmp]]</f>
        <v>0</v>
      </c>
      <c r="BL90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7" s="78">
        <f ca="1">Table13345[[#This Row],[call helper]]+Table13345[[#This Row],[put helper]]</f>
        <v>0</v>
      </c>
      <c r="BP907" t="str">
        <f>RTD("tos.rtd", , "STRIKE", "."&amp;Table13345[[#This Row],[Ticker]]&amp;Table13345[[#This Row],[Expiry]]&amp;""&amp;"C"&amp;Table13345[[#This Row],[Spot]]+Table13345[[#This Row],[step]])</f>
        <v>N/A</v>
      </c>
    </row>
    <row r="908" spans="1:68" x14ac:dyDescent="0.25">
      <c r="A908" s="14">
        <f t="shared" ca="1" si="89"/>
        <v>-126.14810350076104</v>
      </c>
      <c r="C908" s="17"/>
      <c r="D908" t="str">
        <f>RTD("tos.rtd", , "OPEN_INT", "."&amp;Table13345[[#This Row],[Ticker]]&amp;Table13345[[#This Row],[Expiry]]&amp;""&amp;"C"&amp;Table13345[[#This Row],[Spot]]+Table13345[[#This Row],[step]])</f>
        <v>N/A</v>
      </c>
      <c r="E90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8" t="b">
        <f>IF(     ISNUMBER(Table13345[[#This Row],[Strike]]),RTD("tos.rtd", , "DELTA", "."&amp;Table13345[[#This Row],[Ticker]]&amp;Table13345[[#This Row],[Expiry]]&amp;""&amp;"C"&amp;Table13345[[#This Row],[Strike]]))</f>
        <v>0</v>
      </c>
      <c r="H908" s="17" cm="1">
        <f t="array" aca="1" ref="H908" ca="1">IndividualLegIVCore($A$4, Table13345[[#This Row],[Strike]], 0.0411, Table13345[[#This Row],[T]], ((Table13345[[#This Row],[BIDC]]+Table13345[[#This Row],[ASKC]])/2), TRUE)</f>
        <v>0.01</v>
      </c>
      <c r="I908" t="b">
        <f>IF(     ISNUMBER(Table13345[[#This Row],[Strike]]),RTD("tos.rtd", , "BID", "."&amp;Table13345[[#This Row],[Ticker]]&amp;Table13345[[#This Row],[Expiry]]&amp;""&amp;"C"&amp;Table13345[[#This Row],[Strike]]))</f>
        <v>0</v>
      </c>
      <c r="J908" t="b">
        <f>IF(     ISNUMBER(Table13345[[#This Row],[Strike]]),RTD("tos.rtd", , "ASK", "."&amp;Table13345[[#This Row],[Ticker]]&amp;Table13345[[#This Row],[Expiry]]&amp;""&amp;"C"&amp;Table13345[[#This Row],[Strike]]))</f>
        <v>0</v>
      </c>
      <c r="K908" s="17"/>
      <c r="M908" s="1">
        <f t="shared" si="90"/>
        <v>0</v>
      </c>
      <c r="N908" t="b">
        <f t="shared" si="91"/>
        <v>0</v>
      </c>
      <c r="P908" s="17" cm="1">
        <f t="array" aca="1" ref="P908" ca="1">IndividualLegIVCore($A$4, Table13345[[#This Row],[Strike]], 0.0411, Table13345[[#This Row],[T]], ((Table13345[[#This Row],[BIDP]]+Table13345[[#This Row],[ASKP]])/2), FALSE)</f>
        <v>0.01</v>
      </c>
      <c r="Q908" t="b">
        <f>IF(     ISNUMBER(Table13345[[#This Row],[Strike]]),RTD("tos.rtd", , "BID", "."&amp;Table13345[[#This Row],[Ticker]]&amp;Table13345[[#This Row],[Expiry]]&amp;""&amp;"P"&amp;Table13345[[#This Row],[Strike]]))</f>
        <v>0</v>
      </c>
      <c r="R908" t="b">
        <f>IF(     ISNUMBER(Table13345[[#This Row],[Strike]]),RTD("tos.rtd", , "ASK", "."&amp;Table13345[[#This Row],[Ticker]]&amp;Table13345[[#This Row],[Expiry]]&amp;""&amp;"P"&amp;Table13345[[#This Row],[Strike]]))</f>
        <v>0</v>
      </c>
      <c r="S908" s="17"/>
      <c r="T908" t="b">
        <f>IF(     ISNUMBER(Table13345[[#This Row],[Strike]]),RTD("tos.rtd", , "OPEN_INT", "."&amp;Table13345[[#This Row],[Ticker]]&amp;Table13345[[#This Row],[Expiry]]&amp;""&amp;"P"&amp;Table13345[[#This Row],[Strike]]))</f>
        <v>0</v>
      </c>
      <c r="U90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8" t="b">
        <f>IF(     ISNUMBER(Table13345[[#This Row],[Strike]]),RTD("tos.rtd", , "DELTA", "."&amp;Table13345[[#This Row],[Ticker]]&amp;Table13345[[#This Row],[Expiry]]&amp;""&amp;"P"&amp;Table13345[[#This Row],[Strike]]))</f>
        <v>0</v>
      </c>
      <c r="Y908" s="19">
        <f>-7* IF($M$1="NDX", 10, IF(OR($M$1="SPX", $M$1="RUT"), 2, 1))</f>
        <v>-14</v>
      </c>
      <c r="Z908">
        <f ca="1">IFERROR(Table13345[[#This Row],[call gamma]]*(Table13345[[#This Row],[Open.Int]])*$A$4^2,0)</f>
        <v>0</v>
      </c>
      <c r="AA908">
        <f ca="1">IFERROR(((Table13345[[#This Row],[Open.Int8]])*Table13345[[#This Row],[Put gamma]])*-1*$A$4^2,0)</f>
        <v>0</v>
      </c>
      <c r="AB908">
        <f ca="1">(Table13345[[#This Row],[Call Gex]]+Table13345[[#This Row],[Put Gex]])</f>
        <v>0</v>
      </c>
      <c r="AC908">
        <f ca="1">Table13345[[#This Row],[put delta adj]]+Table13345[[#This Row],[call delta adj]]</f>
        <v>0</v>
      </c>
      <c r="AD908">
        <f ca="1">Table13345[[#This Row],[Put Gex]]*Table13345[[#This Row],[DeltaP]]*-1</f>
        <v>0</v>
      </c>
      <c r="AE908">
        <f ca="1">Table13345[[#This Row],[Call Gex]]*Table13345[[#This Row],[DeltaC]]</f>
        <v>0</v>
      </c>
      <c r="AF908">
        <f>IF(Table13345[[#This Row],[DeltaC]]-ABS(Table13345[[#This Row],[DeltaP]])="0","0.01",Table13345[[#This Row],[DeltaC]]-ABS(Table13345[[#This Row],[DeltaP]]))</f>
        <v>0</v>
      </c>
      <c r="AG90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8" t="e">
        <f ca="1">(EXP(-(AG908^2)/2)/SQRT(2*PI())*EXP(0*SQRT(Table13345[[#This Row],[T]]))/$A$4*18%*SQRT(SQRT(Table13345[[#This Row],[T]])))</f>
        <v>#DIV/0!</v>
      </c>
      <c r="AJ908" t="e">
        <f ca="1">(EXP(-(AH908^2)/2)/SQRT(2*PI())*EXP(0*SQRT(Table13345[[#This Row],[T]]))/$A$4*18%*SQRT(SQRT(Table13345[[#This Row],[T]])))</f>
        <v>#DIV/0!</v>
      </c>
      <c r="AK908" t="e">
        <f ca="1">Table13345[[#This Row],[Call D1]]-Table13345[[#This Row],[IV Calc C]]*SQRT(Table13345[[#This Row],[T]])</f>
        <v>#DIV/0!</v>
      </c>
      <c r="AL908" t="e">
        <f ca="1">Table13345[[#This Row],[Put D1]]-Table13345[[#This Row],[IV Calc P]]*SQRT(Table13345[[#This Row],[T]])</f>
        <v>#DIV/0!</v>
      </c>
      <c r="AM908" t="e">
        <f ca="1">EXP(-0.5*Table13345[[#This Row],[Call D1]]^2)/SQRT(2*PI())</f>
        <v>#DIV/0!</v>
      </c>
      <c r="AN908" t="e">
        <f ca="1">EXP(-0.5*Table13345[[#This Row],[Put D1]]^2)/SQRT(2*PI())</f>
        <v>#DIV/0!</v>
      </c>
      <c r="AO90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8">
        <f ca="1">((Table13345[[#This Row],[call vanna]]+Table13345[[#This Row],[put vanna]])*$A$4)</f>
        <v>0</v>
      </c>
      <c r="AR90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8" s="9" t="str" cm="1">
        <f t="array" ref="AT908">_xlfn.IFS(     $M$1="SPX","SPXW",     $M$1="RUT","RUTW",  $M$1="NDX","NDXP",   TRUE,$M$1 )</f>
        <v>SPXW</v>
      </c>
      <c r="AU908" s="2">
        <f t="shared" si="92"/>
        <v>6915</v>
      </c>
      <c r="AV908" t="str">
        <f t="shared" si="93"/>
        <v>000100</v>
      </c>
      <c r="AY90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8">
        <f>((Table13345[[#This Row],[High C]]+Table13345[[#This Row],[Low C]])/2)*Table13345[[#This Row],[gammac]]*Table13345[[#This Row],[Volume]]</f>
        <v>0</v>
      </c>
      <c r="BD908">
        <f>((Table13345[[#This Row],[High P]]+Table13345[[#This Row],[Low P]])/2)*Table13345[[#This Row],[gammap]]*Table13345[[#This Row],[Volume9]]*-1</f>
        <v>0</v>
      </c>
      <c r="BE908">
        <f>(Table13345[[#This Row],[SgammaC]]+Table13345[[#This Row],[SgammaP]])*$A$4*-100</f>
        <v>0</v>
      </c>
      <c r="BF908">
        <f>Table13345[[#This Row],[DEXc]]+Table13345[[#This Row],[DEXp]]</f>
        <v>0</v>
      </c>
      <c r="BG908">
        <f>IFERROR(Table13345[[#This Row],[DeltaC]]*Table13345[[#This Row],[Open.Int]]*$A$4,0)</f>
        <v>0</v>
      </c>
      <c r="BH908">
        <f>IFERROR(Table13345[[#This Row],[DeltaP]]*Table13345[[#This Row],[Open.Int8]]*$A$4,0)</f>
        <v>0</v>
      </c>
      <c r="BI90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8">
        <f ca="1">Table13345[[#This Row],[charmc]]+Table13345[[#This Row],[charmp]]</f>
        <v>0</v>
      </c>
      <c r="BL90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8" s="78">
        <f ca="1">Table13345[[#This Row],[call helper]]+Table13345[[#This Row],[put helper]]</f>
        <v>0</v>
      </c>
      <c r="BP908" t="str">
        <f>RTD("tos.rtd", , "STRIKE", "."&amp;Table13345[[#This Row],[Ticker]]&amp;Table13345[[#This Row],[Expiry]]&amp;""&amp;"C"&amp;Table13345[[#This Row],[Spot]]+Table13345[[#This Row],[step]])</f>
        <v>N/A</v>
      </c>
    </row>
    <row r="909" spans="1:68" x14ac:dyDescent="0.25">
      <c r="A909" s="14">
        <f t="shared" ca="1" si="89"/>
        <v>-126.14810350076104</v>
      </c>
      <c r="C909" s="17"/>
      <c r="D909" t="str">
        <f>RTD("tos.rtd", , "OPEN_INT", "."&amp;Table13345[[#This Row],[Ticker]]&amp;Table13345[[#This Row],[Expiry]]&amp;""&amp;"C"&amp;Table13345[[#This Row],[Spot]]+Table13345[[#This Row],[step]])</f>
        <v>N/A</v>
      </c>
      <c r="E90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9" t="b">
        <f>IF(     ISNUMBER(Table13345[[#This Row],[Strike]]),RTD("tos.rtd", , "DELTA", "."&amp;Table13345[[#This Row],[Ticker]]&amp;Table13345[[#This Row],[Expiry]]&amp;""&amp;"C"&amp;Table13345[[#This Row],[Strike]]))</f>
        <v>0</v>
      </c>
      <c r="H909" s="17" cm="1">
        <f t="array" aca="1" ref="H909" ca="1">IndividualLegIVCore($A$4, Table13345[[#This Row],[Strike]], 0.0411, Table13345[[#This Row],[T]], ((Table13345[[#This Row],[BIDC]]+Table13345[[#This Row],[ASKC]])/2), TRUE)</f>
        <v>0.01</v>
      </c>
      <c r="I909" t="b">
        <f>IF(     ISNUMBER(Table13345[[#This Row],[Strike]]),RTD("tos.rtd", , "BID", "."&amp;Table13345[[#This Row],[Ticker]]&amp;Table13345[[#This Row],[Expiry]]&amp;""&amp;"C"&amp;Table13345[[#This Row],[Strike]]))</f>
        <v>0</v>
      </c>
      <c r="J909" t="b">
        <f>IF(     ISNUMBER(Table13345[[#This Row],[Strike]]),RTD("tos.rtd", , "ASK", "."&amp;Table13345[[#This Row],[Ticker]]&amp;Table13345[[#This Row],[Expiry]]&amp;""&amp;"C"&amp;Table13345[[#This Row],[Strike]]))</f>
        <v>0</v>
      </c>
      <c r="K909" s="17"/>
      <c r="M909" s="1">
        <f t="shared" si="90"/>
        <v>0</v>
      </c>
      <c r="N909" t="b">
        <f t="shared" si="91"/>
        <v>0</v>
      </c>
      <c r="P909" s="17" cm="1">
        <f t="array" aca="1" ref="P909" ca="1">IndividualLegIVCore($A$4, Table13345[[#This Row],[Strike]], 0.0411, Table13345[[#This Row],[T]], ((Table13345[[#This Row],[BIDP]]+Table13345[[#This Row],[ASKP]])/2), FALSE)</f>
        <v>0.01</v>
      </c>
      <c r="Q909" t="b">
        <f>IF(     ISNUMBER(Table13345[[#This Row],[Strike]]),RTD("tos.rtd", , "BID", "."&amp;Table13345[[#This Row],[Ticker]]&amp;Table13345[[#This Row],[Expiry]]&amp;""&amp;"P"&amp;Table13345[[#This Row],[Strike]]))</f>
        <v>0</v>
      </c>
      <c r="R909" t="b">
        <f>IF(     ISNUMBER(Table13345[[#This Row],[Strike]]),RTD("tos.rtd", , "ASK", "."&amp;Table13345[[#This Row],[Ticker]]&amp;Table13345[[#This Row],[Expiry]]&amp;""&amp;"P"&amp;Table13345[[#This Row],[Strike]]))</f>
        <v>0</v>
      </c>
      <c r="S909" s="17"/>
      <c r="T909" t="b">
        <f>IF(     ISNUMBER(Table13345[[#This Row],[Strike]]),RTD("tos.rtd", , "OPEN_INT", "."&amp;Table13345[[#This Row],[Ticker]]&amp;Table13345[[#This Row],[Expiry]]&amp;""&amp;"P"&amp;Table13345[[#This Row],[Strike]]))</f>
        <v>0</v>
      </c>
      <c r="U90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9" t="b">
        <f>IF(     ISNUMBER(Table13345[[#This Row],[Strike]]),RTD("tos.rtd", , "DELTA", "."&amp;Table13345[[#This Row],[Ticker]]&amp;Table13345[[#This Row],[Expiry]]&amp;""&amp;"P"&amp;Table13345[[#This Row],[Strike]]))</f>
        <v>0</v>
      </c>
      <c r="Y909" s="19">
        <f>-6.5* IF($M$1="NDX", 10, IF(OR($M$1="SPX", $M$1="RUT"), 2, 1))</f>
        <v>-13</v>
      </c>
      <c r="Z909">
        <f ca="1">IFERROR(Table13345[[#This Row],[call gamma]]*(Table13345[[#This Row],[Open.Int]])*$A$4^2,0)</f>
        <v>0</v>
      </c>
      <c r="AA909">
        <f ca="1">IFERROR(((Table13345[[#This Row],[Open.Int8]])*Table13345[[#This Row],[Put gamma]])*-1*$A$4^2,0)</f>
        <v>0</v>
      </c>
      <c r="AB909">
        <f ca="1">(Table13345[[#This Row],[Call Gex]]+Table13345[[#This Row],[Put Gex]])</f>
        <v>0</v>
      </c>
      <c r="AC909">
        <f ca="1">Table13345[[#This Row],[put delta adj]]+Table13345[[#This Row],[call delta adj]]</f>
        <v>0</v>
      </c>
      <c r="AD909">
        <f ca="1">Table13345[[#This Row],[Put Gex]]*Table13345[[#This Row],[DeltaP]]*-1</f>
        <v>0</v>
      </c>
      <c r="AE909">
        <f ca="1">Table13345[[#This Row],[Call Gex]]*Table13345[[#This Row],[DeltaC]]</f>
        <v>0</v>
      </c>
      <c r="AF909">
        <f>IF(Table13345[[#This Row],[DeltaC]]-ABS(Table13345[[#This Row],[DeltaP]])="0","0.01",Table13345[[#This Row],[DeltaC]]-ABS(Table13345[[#This Row],[DeltaP]]))</f>
        <v>0</v>
      </c>
      <c r="AG90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9" t="e">
        <f ca="1">(EXP(-(AG909^2)/2)/SQRT(2*PI())*EXP(0*SQRT(Table13345[[#This Row],[T]]))/$A$4*18%*SQRT(SQRT(Table13345[[#This Row],[T]])))</f>
        <v>#DIV/0!</v>
      </c>
      <c r="AJ909" t="e">
        <f ca="1">(EXP(-(AH909^2)/2)/SQRT(2*PI())*EXP(0*SQRT(Table13345[[#This Row],[T]]))/$A$4*18%*SQRT(SQRT(Table13345[[#This Row],[T]])))</f>
        <v>#DIV/0!</v>
      </c>
      <c r="AK909" t="e">
        <f ca="1">Table13345[[#This Row],[Call D1]]-Table13345[[#This Row],[IV Calc C]]*SQRT(Table13345[[#This Row],[T]])</f>
        <v>#DIV/0!</v>
      </c>
      <c r="AL909" t="e">
        <f ca="1">Table13345[[#This Row],[Put D1]]-Table13345[[#This Row],[IV Calc P]]*SQRT(Table13345[[#This Row],[T]])</f>
        <v>#DIV/0!</v>
      </c>
      <c r="AM909" t="e">
        <f ca="1">EXP(-0.5*Table13345[[#This Row],[Call D1]]^2)/SQRT(2*PI())</f>
        <v>#DIV/0!</v>
      </c>
      <c r="AN909" t="e">
        <f ca="1">EXP(-0.5*Table13345[[#This Row],[Put D1]]^2)/SQRT(2*PI())</f>
        <v>#DIV/0!</v>
      </c>
      <c r="AO90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9">
        <f ca="1">((Table13345[[#This Row],[call vanna]]+Table13345[[#This Row],[put vanna]])*$A$4)</f>
        <v>0</v>
      </c>
      <c r="AR90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9" s="9" t="str" cm="1">
        <f t="array" ref="AT909">_xlfn.IFS(     $M$1="SPX","SPXW",     $M$1="RUT","RUTW",  $M$1="NDX","NDXP",   TRUE,$M$1 )</f>
        <v>SPXW</v>
      </c>
      <c r="AU909" s="2">
        <f t="shared" si="92"/>
        <v>6915</v>
      </c>
      <c r="AV909" t="str">
        <f t="shared" si="93"/>
        <v>000100</v>
      </c>
      <c r="AY90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9">
        <f>((Table13345[[#This Row],[High C]]+Table13345[[#This Row],[Low C]])/2)*Table13345[[#This Row],[gammac]]*Table13345[[#This Row],[Volume]]</f>
        <v>0</v>
      </c>
      <c r="BD909">
        <f>((Table13345[[#This Row],[High P]]+Table13345[[#This Row],[Low P]])/2)*Table13345[[#This Row],[gammap]]*Table13345[[#This Row],[Volume9]]*-1</f>
        <v>0</v>
      </c>
      <c r="BE909">
        <f>(Table13345[[#This Row],[SgammaC]]+Table13345[[#This Row],[SgammaP]])*$A$4*-100</f>
        <v>0</v>
      </c>
      <c r="BF909">
        <f>Table13345[[#This Row],[DEXc]]+Table13345[[#This Row],[DEXp]]</f>
        <v>0</v>
      </c>
      <c r="BG909">
        <f>IFERROR(Table13345[[#This Row],[DeltaC]]*Table13345[[#This Row],[Open.Int]]*$A$4,0)</f>
        <v>0</v>
      </c>
      <c r="BH909">
        <f>IFERROR(Table13345[[#This Row],[DeltaP]]*Table13345[[#This Row],[Open.Int8]]*$A$4,0)</f>
        <v>0</v>
      </c>
      <c r="BI90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9">
        <f ca="1">Table13345[[#This Row],[charmc]]+Table13345[[#This Row],[charmp]]</f>
        <v>0</v>
      </c>
      <c r="BL90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9" s="78">
        <f ca="1">Table13345[[#This Row],[call helper]]+Table13345[[#This Row],[put helper]]</f>
        <v>0</v>
      </c>
      <c r="BP909" t="str">
        <f>RTD("tos.rtd", , "STRIKE", "."&amp;Table13345[[#This Row],[Ticker]]&amp;Table13345[[#This Row],[Expiry]]&amp;""&amp;"C"&amp;Table13345[[#This Row],[Spot]]+Table13345[[#This Row],[step]])</f>
        <v>N/A</v>
      </c>
    </row>
    <row r="910" spans="1:68" x14ac:dyDescent="0.25">
      <c r="A910" s="14">
        <f t="shared" ca="1" si="89"/>
        <v>-126.14810350076104</v>
      </c>
      <c r="C910" s="17"/>
      <c r="D910" t="str">
        <f>RTD("tos.rtd", , "OPEN_INT", "."&amp;Table13345[[#This Row],[Ticker]]&amp;Table13345[[#This Row],[Expiry]]&amp;""&amp;"C"&amp;Table13345[[#This Row],[Spot]]+Table13345[[#This Row],[step]])</f>
        <v>N/A</v>
      </c>
      <c r="E91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0" t="b">
        <f>IF(     ISNUMBER(Table13345[[#This Row],[Strike]]),RTD("tos.rtd", , "DELTA", "."&amp;Table13345[[#This Row],[Ticker]]&amp;Table13345[[#This Row],[Expiry]]&amp;""&amp;"C"&amp;Table13345[[#This Row],[Strike]]))</f>
        <v>0</v>
      </c>
      <c r="H910" s="17" cm="1">
        <f t="array" aca="1" ref="H910" ca="1">IndividualLegIVCore($A$4, Table13345[[#This Row],[Strike]], 0.0411, Table13345[[#This Row],[T]], ((Table13345[[#This Row],[BIDC]]+Table13345[[#This Row],[ASKC]])/2), TRUE)</f>
        <v>0.01</v>
      </c>
      <c r="I910" t="b">
        <f>IF(     ISNUMBER(Table13345[[#This Row],[Strike]]),RTD("tos.rtd", , "BID", "."&amp;Table13345[[#This Row],[Ticker]]&amp;Table13345[[#This Row],[Expiry]]&amp;""&amp;"C"&amp;Table13345[[#This Row],[Strike]]))</f>
        <v>0</v>
      </c>
      <c r="J910" t="b">
        <f>IF(     ISNUMBER(Table13345[[#This Row],[Strike]]),RTD("tos.rtd", , "ASK", "."&amp;Table13345[[#This Row],[Ticker]]&amp;Table13345[[#This Row],[Expiry]]&amp;""&amp;"C"&amp;Table13345[[#This Row],[Strike]]))</f>
        <v>0</v>
      </c>
      <c r="K910" s="17"/>
      <c r="M910" s="1">
        <f t="shared" si="90"/>
        <v>0</v>
      </c>
      <c r="N910" t="b">
        <f t="shared" si="91"/>
        <v>0</v>
      </c>
      <c r="P910" s="17" cm="1">
        <f t="array" aca="1" ref="P910" ca="1">IndividualLegIVCore($A$4, Table13345[[#This Row],[Strike]], 0.0411, Table13345[[#This Row],[T]], ((Table13345[[#This Row],[BIDP]]+Table13345[[#This Row],[ASKP]])/2), FALSE)</f>
        <v>0.01</v>
      </c>
      <c r="Q910" t="b">
        <f>IF(     ISNUMBER(Table13345[[#This Row],[Strike]]),RTD("tos.rtd", , "BID", "."&amp;Table13345[[#This Row],[Ticker]]&amp;Table13345[[#This Row],[Expiry]]&amp;""&amp;"P"&amp;Table13345[[#This Row],[Strike]]))</f>
        <v>0</v>
      </c>
      <c r="R910" t="b">
        <f>IF(     ISNUMBER(Table13345[[#This Row],[Strike]]),RTD("tos.rtd", , "ASK", "."&amp;Table13345[[#This Row],[Ticker]]&amp;Table13345[[#This Row],[Expiry]]&amp;""&amp;"P"&amp;Table13345[[#This Row],[Strike]]))</f>
        <v>0</v>
      </c>
      <c r="S910" s="17"/>
      <c r="T910" t="b">
        <f>IF(     ISNUMBER(Table13345[[#This Row],[Strike]]),RTD("tos.rtd", , "OPEN_INT", "."&amp;Table13345[[#This Row],[Ticker]]&amp;Table13345[[#This Row],[Expiry]]&amp;""&amp;"P"&amp;Table13345[[#This Row],[Strike]]))</f>
        <v>0</v>
      </c>
      <c r="U91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0" t="b">
        <f>IF(     ISNUMBER(Table13345[[#This Row],[Strike]]),RTD("tos.rtd", , "DELTA", "."&amp;Table13345[[#This Row],[Ticker]]&amp;Table13345[[#This Row],[Expiry]]&amp;""&amp;"P"&amp;Table13345[[#This Row],[Strike]]))</f>
        <v>0</v>
      </c>
      <c r="Y910" s="19">
        <f>-6* IF($M$1="NDX", 10, IF(OR($M$1="SPX", $M$1="RUT"), 2, 1))</f>
        <v>-12</v>
      </c>
      <c r="Z910">
        <f ca="1">IFERROR(Table13345[[#This Row],[call gamma]]*(Table13345[[#This Row],[Open.Int]])*$A$4^2,0)</f>
        <v>0</v>
      </c>
      <c r="AA910">
        <f ca="1">IFERROR(((Table13345[[#This Row],[Open.Int8]])*Table13345[[#This Row],[Put gamma]])*-1*$A$4^2,0)</f>
        <v>0</v>
      </c>
      <c r="AB910">
        <f ca="1">(Table13345[[#This Row],[Call Gex]]+Table13345[[#This Row],[Put Gex]])</f>
        <v>0</v>
      </c>
      <c r="AC910">
        <f ca="1">Table13345[[#This Row],[put delta adj]]+Table13345[[#This Row],[call delta adj]]</f>
        <v>0</v>
      </c>
      <c r="AD910">
        <f ca="1">Table13345[[#This Row],[Put Gex]]*Table13345[[#This Row],[DeltaP]]*-1</f>
        <v>0</v>
      </c>
      <c r="AE910">
        <f ca="1">Table13345[[#This Row],[Call Gex]]*Table13345[[#This Row],[DeltaC]]</f>
        <v>0</v>
      </c>
      <c r="AF910">
        <f>IF(Table13345[[#This Row],[DeltaC]]-ABS(Table13345[[#This Row],[DeltaP]])="0","0.01",Table13345[[#This Row],[DeltaC]]-ABS(Table13345[[#This Row],[DeltaP]]))</f>
        <v>0</v>
      </c>
      <c r="AG91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0" t="e">
        <f ca="1">(EXP(-(AG910^2)/2)/SQRT(2*PI())*EXP(0*SQRT(Table13345[[#This Row],[T]]))/$A$4*18%*SQRT(SQRT(Table13345[[#This Row],[T]])))</f>
        <v>#DIV/0!</v>
      </c>
      <c r="AJ910" t="e">
        <f ca="1">(EXP(-(AH910^2)/2)/SQRT(2*PI())*EXP(0*SQRT(Table13345[[#This Row],[T]]))/$A$4*18%*SQRT(SQRT(Table13345[[#This Row],[T]])))</f>
        <v>#DIV/0!</v>
      </c>
      <c r="AK910" t="e">
        <f ca="1">Table13345[[#This Row],[Call D1]]-Table13345[[#This Row],[IV Calc C]]*SQRT(Table13345[[#This Row],[T]])</f>
        <v>#DIV/0!</v>
      </c>
      <c r="AL910" t="e">
        <f ca="1">Table13345[[#This Row],[Put D1]]-Table13345[[#This Row],[IV Calc P]]*SQRT(Table13345[[#This Row],[T]])</f>
        <v>#DIV/0!</v>
      </c>
      <c r="AM910" t="e">
        <f ca="1">EXP(-0.5*Table13345[[#This Row],[Call D1]]^2)/SQRT(2*PI())</f>
        <v>#DIV/0!</v>
      </c>
      <c r="AN910" t="e">
        <f ca="1">EXP(-0.5*Table13345[[#This Row],[Put D1]]^2)/SQRT(2*PI())</f>
        <v>#DIV/0!</v>
      </c>
      <c r="AO91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0">
        <f ca="1">((Table13345[[#This Row],[call vanna]]+Table13345[[#This Row],[put vanna]])*$A$4)</f>
        <v>0</v>
      </c>
      <c r="AR91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0" s="9" t="str" cm="1">
        <f t="array" ref="AT910">_xlfn.IFS(     $M$1="SPX","SPXW",     $M$1="RUT","RUTW",  $M$1="NDX","NDXP",   TRUE,$M$1 )</f>
        <v>SPXW</v>
      </c>
      <c r="AU910" s="2">
        <f t="shared" si="92"/>
        <v>6915</v>
      </c>
      <c r="AV910" t="str">
        <f t="shared" si="93"/>
        <v>000100</v>
      </c>
      <c r="AY91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0">
        <f>((Table13345[[#This Row],[High C]]+Table13345[[#This Row],[Low C]])/2)*Table13345[[#This Row],[gammac]]*Table13345[[#This Row],[Volume]]</f>
        <v>0</v>
      </c>
      <c r="BD910">
        <f>((Table13345[[#This Row],[High P]]+Table13345[[#This Row],[Low P]])/2)*Table13345[[#This Row],[gammap]]*Table13345[[#This Row],[Volume9]]*-1</f>
        <v>0</v>
      </c>
      <c r="BE910">
        <f>(Table13345[[#This Row],[SgammaC]]+Table13345[[#This Row],[SgammaP]])*$A$4*-100</f>
        <v>0</v>
      </c>
      <c r="BF910">
        <f>Table13345[[#This Row],[DEXc]]+Table13345[[#This Row],[DEXp]]</f>
        <v>0</v>
      </c>
      <c r="BG910">
        <f>IFERROR(Table13345[[#This Row],[DeltaC]]*Table13345[[#This Row],[Open.Int]]*$A$4,0)</f>
        <v>0</v>
      </c>
      <c r="BH910">
        <f>IFERROR(Table13345[[#This Row],[DeltaP]]*Table13345[[#This Row],[Open.Int8]]*$A$4,0)</f>
        <v>0</v>
      </c>
      <c r="BI91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0">
        <f ca="1">Table13345[[#This Row],[charmc]]+Table13345[[#This Row],[charmp]]</f>
        <v>0</v>
      </c>
      <c r="BL91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0" s="78">
        <f ca="1">Table13345[[#This Row],[call helper]]+Table13345[[#This Row],[put helper]]</f>
        <v>0</v>
      </c>
      <c r="BP910" t="str">
        <f>RTD("tos.rtd", , "STRIKE", "."&amp;Table13345[[#This Row],[Ticker]]&amp;Table13345[[#This Row],[Expiry]]&amp;""&amp;"C"&amp;Table13345[[#This Row],[Spot]]+Table13345[[#This Row],[step]])</f>
        <v>N/A</v>
      </c>
    </row>
    <row r="911" spans="1:68" x14ac:dyDescent="0.25">
      <c r="A911" s="14">
        <f t="shared" ca="1" si="89"/>
        <v>-126.14810350076104</v>
      </c>
      <c r="C911" s="17"/>
      <c r="D911" t="str">
        <f>RTD("tos.rtd", , "OPEN_INT", "."&amp;Table13345[[#This Row],[Ticker]]&amp;Table13345[[#This Row],[Expiry]]&amp;""&amp;"C"&amp;Table13345[[#This Row],[Spot]]+Table13345[[#This Row],[step]])</f>
        <v>N/A</v>
      </c>
      <c r="E91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1" t="b">
        <f>IF(     ISNUMBER(Table13345[[#This Row],[Strike]]),RTD("tos.rtd", , "DELTA", "."&amp;Table13345[[#This Row],[Ticker]]&amp;Table13345[[#This Row],[Expiry]]&amp;""&amp;"C"&amp;Table13345[[#This Row],[Strike]]))</f>
        <v>0</v>
      </c>
      <c r="H911" s="17" cm="1">
        <f t="array" aca="1" ref="H911" ca="1">IndividualLegIVCore($A$4, Table13345[[#This Row],[Strike]], 0.0411, Table13345[[#This Row],[T]], ((Table13345[[#This Row],[BIDC]]+Table13345[[#This Row],[ASKC]])/2), TRUE)</f>
        <v>0.01</v>
      </c>
      <c r="I911" t="b">
        <f>IF(     ISNUMBER(Table13345[[#This Row],[Strike]]),RTD("tos.rtd", , "BID", "."&amp;Table13345[[#This Row],[Ticker]]&amp;Table13345[[#This Row],[Expiry]]&amp;""&amp;"C"&amp;Table13345[[#This Row],[Strike]]))</f>
        <v>0</v>
      </c>
      <c r="J911" t="b">
        <f>IF(     ISNUMBER(Table13345[[#This Row],[Strike]]),RTD("tos.rtd", , "ASK", "."&amp;Table13345[[#This Row],[Ticker]]&amp;Table13345[[#This Row],[Expiry]]&amp;""&amp;"C"&amp;Table13345[[#This Row],[Strike]]))</f>
        <v>0</v>
      </c>
      <c r="K911" s="17"/>
      <c r="M911" s="1">
        <f t="shared" si="90"/>
        <v>0</v>
      </c>
      <c r="N911" t="b">
        <f t="shared" si="91"/>
        <v>0</v>
      </c>
      <c r="P911" s="17" cm="1">
        <f t="array" aca="1" ref="P911" ca="1">IndividualLegIVCore($A$4, Table13345[[#This Row],[Strike]], 0.0411, Table13345[[#This Row],[T]], ((Table13345[[#This Row],[BIDP]]+Table13345[[#This Row],[ASKP]])/2), FALSE)</f>
        <v>0.01</v>
      </c>
      <c r="Q911" t="b">
        <f>IF(     ISNUMBER(Table13345[[#This Row],[Strike]]),RTD("tos.rtd", , "BID", "."&amp;Table13345[[#This Row],[Ticker]]&amp;Table13345[[#This Row],[Expiry]]&amp;""&amp;"P"&amp;Table13345[[#This Row],[Strike]]))</f>
        <v>0</v>
      </c>
      <c r="R911" t="b">
        <f>IF(     ISNUMBER(Table13345[[#This Row],[Strike]]),RTD("tos.rtd", , "ASK", "."&amp;Table13345[[#This Row],[Ticker]]&amp;Table13345[[#This Row],[Expiry]]&amp;""&amp;"P"&amp;Table13345[[#This Row],[Strike]]))</f>
        <v>0</v>
      </c>
      <c r="S911" s="17"/>
      <c r="T911" t="b">
        <f>IF(     ISNUMBER(Table13345[[#This Row],[Strike]]),RTD("tos.rtd", , "OPEN_INT", "."&amp;Table13345[[#This Row],[Ticker]]&amp;Table13345[[#This Row],[Expiry]]&amp;""&amp;"P"&amp;Table13345[[#This Row],[Strike]]))</f>
        <v>0</v>
      </c>
      <c r="U91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1" t="b">
        <f>IF(     ISNUMBER(Table13345[[#This Row],[Strike]]),RTD("tos.rtd", , "DELTA", "."&amp;Table13345[[#This Row],[Ticker]]&amp;Table13345[[#This Row],[Expiry]]&amp;""&amp;"P"&amp;Table13345[[#This Row],[Strike]]))</f>
        <v>0</v>
      </c>
      <c r="Y911" s="19">
        <f>-5.5* IF($M$1="NDX", 10, IF(OR($M$1="SPX", $M$1="RUT"), 2, 1))</f>
        <v>-11</v>
      </c>
      <c r="Z911">
        <f ca="1">IFERROR(Table13345[[#This Row],[call gamma]]*(Table13345[[#This Row],[Open.Int]])*$A$4^2,0)</f>
        <v>0</v>
      </c>
      <c r="AA911">
        <f ca="1">IFERROR(((Table13345[[#This Row],[Open.Int8]])*Table13345[[#This Row],[Put gamma]])*-1*$A$4^2,0)</f>
        <v>0</v>
      </c>
      <c r="AB911">
        <f ca="1">(Table13345[[#This Row],[Call Gex]]+Table13345[[#This Row],[Put Gex]])</f>
        <v>0</v>
      </c>
      <c r="AC911">
        <f ca="1">Table13345[[#This Row],[put delta adj]]+Table13345[[#This Row],[call delta adj]]</f>
        <v>0</v>
      </c>
      <c r="AD911">
        <f ca="1">Table13345[[#This Row],[Put Gex]]*Table13345[[#This Row],[DeltaP]]*-1</f>
        <v>0</v>
      </c>
      <c r="AE911">
        <f ca="1">Table13345[[#This Row],[Call Gex]]*Table13345[[#This Row],[DeltaC]]</f>
        <v>0</v>
      </c>
      <c r="AF911">
        <f>IF(Table13345[[#This Row],[DeltaC]]-ABS(Table13345[[#This Row],[DeltaP]])="0","0.01",Table13345[[#This Row],[DeltaC]]-ABS(Table13345[[#This Row],[DeltaP]]))</f>
        <v>0</v>
      </c>
      <c r="AG91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1" t="e">
        <f ca="1">(EXP(-(AG911^2)/2)/SQRT(2*PI())*EXP(0*SQRT(Table13345[[#This Row],[T]]))/$A$4*18%*SQRT(SQRT(Table13345[[#This Row],[T]])))</f>
        <v>#DIV/0!</v>
      </c>
      <c r="AJ911" t="e">
        <f ca="1">(EXP(-(AH911^2)/2)/SQRT(2*PI())*EXP(0*SQRT(Table13345[[#This Row],[T]]))/$A$4*18%*SQRT(SQRT(Table13345[[#This Row],[T]])))</f>
        <v>#DIV/0!</v>
      </c>
      <c r="AK911" t="e">
        <f ca="1">Table13345[[#This Row],[Call D1]]-Table13345[[#This Row],[IV Calc C]]*SQRT(Table13345[[#This Row],[T]])</f>
        <v>#DIV/0!</v>
      </c>
      <c r="AL911" t="e">
        <f ca="1">Table13345[[#This Row],[Put D1]]-Table13345[[#This Row],[IV Calc P]]*SQRT(Table13345[[#This Row],[T]])</f>
        <v>#DIV/0!</v>
      </c>
      <c r="AM911" t="e">
        <f ca="1">EXP(-0.5*Table13345[[#This Row],[Call D1]]^2)/SQRT(2*PI())</f>
        <v>#DIV/0!</v>
      </c>
      <c r="AN911" t="e">
        <f ca="1">EXP(-0.5*Table13345[[#This Row],[Put D1]]^2)/SQRT(2*PI())</f>
        <v>#DIV/0!</v>
      </c>
      <c r="AO91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1">
        <f ca="1">((Table13345[[#This Row],[call vanna]]+Table13345[[#This Row],[put vanna]])*$A$4)</f>
        <v>0</v>
      </c>
      <c r="AR91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1" s="9" t="str" cm="1">
        <f t="array" ref="AT911">_xlfn.IFS(     $M$1="SPX","SPXW",     $M$1="RUT","RUTW",  $M$1="NDX","NDXP",   TRUE,$M$1 )</f>
        <v>SPXW</v>
      </c>
      <c r="AU911" s="2">
        <f t="shared" si="92"/>
        <v>6915</v>
      </c>
      <c r="AV911" t="str">
        <f t="shared" si="93"/>
        <v>000100</v>
      </c>
      <c r="AY91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1">
        <f>((Table13345[[#This Row],[High C]]+Table13345[[#This Row],[Low C]])/2)*Table13345[[#This Row],[gammac]]*Table13345[[#This Row],[Volume]]</f>
        <v>0</v>
      </c>
      <c r="BD911">
        <f>((Table13345[[#This Row],[High P]]+Table13345[[#This Row],[Low P]])/2)*Table13345[[#This Row],[gammap]]*Table13345[[#This Row],[Volume9]]*-1</f>
        <v>0</v>
      </c>
      <c r="BE911">
        <f>(Table13345[[#This Row],[SgammaC]]+Table13345[[#This Row],[SgammaP]])*$A$4*-100</f>
        <v>0</v>
      </c>
      <c r="BF911">
        <f>Table13345[[#This Row],[DEXc]]+Table13345[[#This Row],[DEXp]]</f>
        <v>0</v>
      </c>
      <c r="BG911">
        <f>IFERROR(Table13345[[#This Row],[DeltaC]]*Table13345[[#This Row],[Open.Int]]*$A$4,0)</f>
        <v>0</v>
      </c>
      <c r="BH911">
        <f>IFERROR(Table13345[[#This Row],[DeltaP]]*Table13345[[#This Row],[Open.Int8]]*$A$4,0)</f>
        <v>0</v>
      </c>
      <c r="BI91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1">
        <f ca="1">Table13345[[#This Row],[charmc]]+Table13345[[#This Row],[charmp]]</f>
        <v>0</v>
      </c>
      <c r="BL91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1" s="78">
        <f ca="1">Table13345[[#This Row],[call helper]]+Table13345[[#This Row],[put helper]]</f>
        <v>0</v>
      </c>
      <c r="BP911" t="str">
        <f>RTD("tos.rtd", , "STRIKE", "."&amp;Table13345[[#This Row],[Ticker]]&amp;Table13345[[#This Row],[Expiry]]&amp;""&amp;"C"&amp;Table13345[[#This Row],[Spot]]+Table13345[[#This Row],[step]])</f>
        <v>N/A</v>
      </c>
    </row>
    <row r="912" spans="1:68" x14ac:dyDescent="0.25">
      <c r="A912" s="14">
        <f t="shared" ca="1" si="89"/>
        <v>-126.14810350076104</v>
      </c>
      <c r="C912" s="17"/>
      <c r="D912" t="str">
        <f>RTD("tos.rtd", , "OPEN_INT", "."&amp;Table13345[[#This Row],[Ticker]]&amp;Table13345[[#This Row],[Expiry]]&amp;""&amp;"C"&amp;Table13345[[#This Row],[Spot]]+Table13345[[#This Row],[step]])</f>
        <v>N/A</v>
      </c>
      <c r="E91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2" t="b">
        <f>IF(     ISNUMBER(Table13345[[#This Row],[Strike]]),RTD("tos.rtd", , "DELTA", "."&amp;Table13345[[#This Row],[Ticker]]&amp;Table13345[[#This Row],[Expiry]]&amp;""&amp;"C"&amp;Table13345[[#This Row],[Strike]]))</f>
        <v>0</v>
      </c>
      <c r="H912" s="17" cm="1">
        <f t="array" aca="1" ref="H912" ca="1">IndividualLegIVCore($A$4, Table13345[[#This Row],[Strike]], 0.0411, Table13345[[#This Row],[T]], ((Table13345[[#This Row],[BIDC]]+Table13345[[#This Row],[ASKC]])/2), TRUE)</f>
        <v>0.01</v>
      </c>
      <c r="I912" t="b">
        <f>IF(     ISNUMBER(Table13345[[#This Row],[Strike]]),RTD("tos.rtd", , "BID", "."&amp;Table13345[[#This Row],[Ticker]]&amp;Table13345[[#This Row],[Expiry]]&amp;""&amp;"C"&amp;Table13345[[#This Row],[Strike]]))</f>
        <v>0</v>
      </c>
      <c r="J912" t="b">
        <f>IF(     ISNUMBER(Table13345[[#This Row],[Strike]]),RTD("tos.rtd", , "ASK", "."&amp;Table13345[[#This Row],[Ticker]]&amp;Table13345[[#This Row],[Expiry]]&amp;""&amp;"C"&amp;Table13345[[#This Row],[Strike]]))</f>
        <v>0</v>
      </c>
      <c r="K912" s="17"/>
      <c r="M912" s="1">
        <f t="shared" si="90"/>
        <v>0</v>
      </c>
      <c r="N912" t="b">
        <f t="shared" si="91"/>
        <v>0</v>
      </c>
      <c r="P912" s="17" cm="1">
        <f t="array" aca="1" ref="P912" ca="1">IndividualLegIVCore($A$4, Table13345[[#This Row],[Strike]], 0.0411, Table13345[[#This Row],[T]], ((Table13345[[#This Row],[BIDP]]+Table13345[[#This Row],[ASKP]])/2), FALSE)</f>
        <v>0.01</v>
      </c>
      <c r="Q912" t="b">
        <f>IF(     ISNUMBER(Table13345[[#This Row],[Strike]]),RTD("tos.rtd", , "BID", "."&amp;Table13345[[#This Row],[Ticker]]&amp;Table13345[[#This Row],[Expiry]]&amp;""&amp;"P"&amp;Table13345[[#This Row],[Strike]]))</f>
        <v>0</v>
      </c>
      <c r="R912" t="b">
        <f>IF(     ISNUMBER(Table13345[[#This Row],[Strike]]),RTD("tos.rtd", , "ASK", "."&amp;Table13345[[#This Row],[Ticker]]&amp;Table13345[[#This Row],[Expiry]]&amp;""&amp;"P"&amp;Table13345[[#This Row],[Strike]]))</f>
        <v>0</v>
      </c>
      <c r="S912" s="17"/>
      <c r="T912" t="b">
        <f>IF(     ISNUMBER(Table13345[[#This Row],[Strike]]),RTD("tos.rtd", , "OPEN_INT", "."&amp;Table13345[[#This Row],[Ticker]]&amp;Table13345[[#This Row],[Expiry]]&amp;""&amp;"P"&amp;Table13345[[#This Row],[Strike]]))</f>
        <v>0</v>
      </c>
      <c r="U91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2" t="b">
        <f>IF(     ISNUMBER(Table13345[[#This Row],[Strike]]),RTD("tos.rtd", , "DELTA", "."&amp;Table13345[[#This Row],[Ticker]]&amp;Table13345[[#This Row],[Expiry]]&amp;""&amp;"P"&amp;Table13345[[#This Row],[Strike]]))</f>
        <v>0</v>
      </c>
      <c r="Y912" s="19">
        <f>-5* IF($M$1="NDX", 10, IF(OR($M$1="SPX", $M$1="RUT"), 2, 1))</f>
        <v>-10</v>
      </c>
      <c r="Z912">
        <f ca="1">IFERROR(Table13345[[#This Row],[call gamma]]*(Table13345[[#This Row],[Open.Int]])*$A$4^2,0)</f>
        <v>0</v>
      </c>
      <c r="AA912">
        <f ca="1">IFERROR(((Table13345[[#This Row],[Open.Int8]])*Table13345[[#This Row],[Put gamma]])*-1*$A$4^2,0)</f>
        <v>0</v>
      </c>
      <c r="AB912">
        <f ca="1">(Table13345[[#This Row],[Call Gex]]+Table13345[[#This Row],[Put Gex]])</f>
        <v>0</v>
      </c>
      <c r="AC912">
        <f ca="1">Table13345[[#This Row],[put delta adj]]+Table13345[[#This Row],[call delta adj]]</f>
        <v>0</v>
      </c>
      <c r="AD912">
        <f ca="1">Table13345[[#This Row],[Put Gex]]*Table13345[[#This Row],[DeltaP]]*-1</f>
        <v>0</v>
      </c>
      <c r="AE912">
        <f ca="1">Table13345[[#This Row],[Call Gex]]*Table13345[[#This Row],[DeltaC]]</f>
        <v>0</v>
      </c>
      <c r="AF912">
        <f>IF(Table13345[[#This Row],[DeltaC]]-ABS(Table13345[[#This Row],[DeltaP]])="0","0.01",Table13345[[#This Row],[DeltaC]]-ABS(Table13345[[#This Row],[DeltaP]]))</f>
        <v>0</v>
      </c>
      <c r="AG91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2" t="e">
        <f ca="1">(EXP(-(AG912^2)/2)/SQRT(2*PI())*EXP(0*SQRT(Table13345[[#This Row],[T]]))/$A$4*18%*SQRT(SQRT(Table13345[[#This Row],[T]])))</f>
        <v>#DIV/0!</v>
      </c>
      <c r="AJ912" t="e">
        <f ca="1">(EXP(-(AH912^2)/2)/SQRT(2*PI())*EXP(0*SQRT(Table13345[[#This Row],[T]]))/$A$4*18%*SQRT(SQRT(Table13345[[#This Row],[T]])))</f>
        <v>#DIV/0!</v>
      </c>
      <c r="AK912" t="e">
        <f ca="1">Table13345[[#This Row],[Call D1]]-Table13345[[#This Row],[IV Calc C]]*SQRT(Table13345[[#This Row],[T]])</f>
        <v>#DIV/0!</v>
      </c>
      <c r="AL912" t="e">
        <f ca="1">Table13345[[#This Row],[Put D1]]-Table13345[[#This Row],[IV Calc P]]*SQRT(Table13345[[#This Row],[T]])</f>
        <v>#DIV/0!</v>
      </c>
      <c r="AM912" t="e">
        <f ca="1">EXP(-0.5*Table13345[[#This Row],[Call D1]]^2)/SQRT(2*PI())</f>
        <v>#DIV/0!</v>
      </c>
      <c r="AN912" t="e">
        <f ca="1">EXP(-0.5*Table13345[[#This Row],[Put D1]]^2)/SQRT(2*PI())</f>
        <v>#DIV/0!</v>
      </c>
      <c r="AO91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2">
        <f ca="1">((Table13345[[#This Row],[call vanna]]+Table13345[[#This Row],[put vanna]])*$A$4)</f>
        <v>0</v>
      </c>
      <c r="AR91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2" s="9" t="str" cm="1">
        <f t="array" ref="AT912">_xlfn.IFS(     $M$1="SPX","SPXW",     $M$1="RUT","RUTW",  $M$1="NDX","NDXP",   TRUE,$M$1 )</f>
        <v>SPXW</v>
      </c>
      <c r="AU912" s="2">
        <f t="shared" si="92"/>
        <v>6915</v>
      </c>
      <c r="AV912" t="str">
        <f t="shared" si="93"/>
        <v>000100</v>
      </c>
      <c r="AY91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2">
        <f>((Table13345[[#This Row],[High C]]+Table13345[[#This Row],[Low C]])/2)*Table13345[[#This Row],[gammac]]*Table13345[[#This Row],[Volume]]</f>
        <v>0</v>
      </c>
      <c r="BD912">
        <f>((Table13345[[#This Row],[High P]]+Table13345[[#This Row],[Low P]])/2)*Table13345[[#This Row],[gammap]]*Table13345[[#This Row],[Volume9]]*-1</f>
        <v>0</v>
      </c>
      <c r="BE912">
        <f>(Table13345[[#This Row],[SgammaC]]+Table13345[[#This Row],[SgammaP]])*$A$4*-100</f>
        <v>0</v>
      </c>
      <c r="BF912">
        <f>Table13345[[#This Row],[DEXc]]+Table13345[[#This Row],[DEXp]]</f>
        <v>0</v>
      </c>
      <c r="BG912">
        <f>IFERROR(Table13345[[#This Row],[DeltaC]]*Table13345[[#This Row],[Open.Int]]*$A$4,0)</f>
        <v>0</v>
      </c>
      <c r="BH912">
        <f>IFERROR(Table13345[[#This Row],[DeltaP]]*Table13345[[#This Row],[Open.Int8]]*$A$4,0)</f>
        <v>0</v>
      </c>
      <c r="BI91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2">
        <f ca="1">Table13345[[#This Row],[charmc]]+Table13345[[#This Row],[charmp]]</f>
        <v>0</v>
      </c>
      <c r="BL91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2" s="78">
        <f ca="1">Table13345[[#This Row],[call helper]]+Table13345[[#This Row],[put helper]]</f>
        <v>0</v>
      </c>
      <c r="BP912" t="str">
        <f>RTD("tos.rtd", , "STRIKE", "."&amp;Table13345[[#This Row],[Ticker]]&amp;Table13345[[#This Row],[Expiry]]&amp;""&amp;"C"&amp;Table13345[[#This Row],[Spot]]+Table13345[[#This Row],[step]])</f>
        <v>N/A</v>
      </c>
    </row>
    <row r="913" spans="1:68" x14ac:dyDescent="0.25">
      <c r="A913" s="14">
        <f t="shared" ca="1" si="89"/>
        <v>-126.14810350076104</v>
      </c>
      <c r="C913" s="17"/>
      <c r="D913" t="str">
        <f>RTD("tos.rtd", , "OPEN_INT", "."&amp;Table13345[[#This Row],[Ticker]]&amp;Table13345[[#This Row],[Expiry]]&amp;""&amp;"C"&amp;Table13345[[#This Row],[Spot]]+Table13345[[#This Row],[step]])</f>
        <v>N/A</v>
      </c>
      <c r="E91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3" t="b">
        <f>IF(     ISNUMBER(Table13345[[#This Row],[Strike]]),RTD("tos.rtd", , "DELTA", "."&amp;Table13345[[#This Row],[Ticker]]&amp;Table13345[[#This Row],[Expiry]]&amp;""&amp;"C"&amp;Table13345[[#This Row],[Strike]]))</f>
        <v>0</v>
      </c>
      <c r="H913" s="17" cm="1">
        <f t="array" aca="1" ref="H913" ca="1">IndividualLegIVCore($A$4, Table13345[[#This Row],[Strike]], 0.0411, Table13345[[#This Row],[T]], ((Table13345[[#This Row],[BIDC]]+Table13345[[#This Row],[ASKC]])/2), TRUE)</f>
        <v>0.01</v>
      </c>
      <c r="I913" t="b">
        <f>IF(     ISNUMBER(Table13345[[#This Row],[Strike]]),RTD("tos.rtd", , "BID", "."&amp;Table13345[[#This Row],[Ticker]]&amp;Table13345[[#This Row],[Expiry]]&amp;""&amp;"C"&amp;Table13345[[#This Row],[Strike]]))</f>
        <v>0</v>
      </c>
      <c r="J913" t="b">
        <f>IF(     ISNUMBER(Table13345[[#This Row],[Strike]]),RTD("tos.rtd", , "ASK", "."&amp;Table13345[[#This Row],[Ticker]]&amp;Table13345[[#This Row],[Expiry]]&amp;""&amp;"C"&amp;Table13345[[#This Row],[Strike]]))</f>
        <v>0</v>
      </c>
      <c r="K913" s="17"/>
      <c r="M913" s="1">
        <f t="shared" si="90"/>
        <v>0</v>
      </c>
      <c r="N913" t="b">
        <f t="shared" si="91"/>
        <v>0</v>
      </c>
      <c r="P913" s="17" cm="1">
        <f t="array" aca="1" ref="P913" ca="1">IndividualLegIVCore($A$4, Table13345[[#This Row],[Strike]], 0.0411, Table13345[[#This Row],[T]], ((Table13345[[#This Row],[BIDP]]+Table13345[[#This Row],[ASKP]])/2), FALSE)</f>
        <v>0.01</v>
      </c>
      <c r="Q913" t="b">
        <f>IF(     ISNUMBER(Table13345[[#This Row],[Strike]]),RTD("tos.rtd", , "BID", "."&amp;Table13345[[#This Row],[Ticker]]&amp;Table13345[[#This Row],[Expiry]]&amp;""&amp;"P"&amp;Table13345[[#This Row],[Strike]]))</f>
        <v>0</v>
      </c>
      <c r="R913" t="b">
        <f>IF(     ISNUMBER(Table13345[[#This Row],[Strike]]),RTD("tos.rtd", , "ASK", "."&amp;Table13345[[#This Row],[Ticker]]&amp;Table13345[[#This Row],[Expiry]]&amp;""&amp;"P"&amp;Table13345[[#This Row],[Strike]]))</f>
        <v>0</v>
      </c>
      <c r="S913" s="17"/>
      <c r="T913" t="b">
        <f>IF(     ISNUMBER(Table13345[[#This Row],[Strike]]),RTD("tos.rtd", , "OPEN_INT", "."&amp;Table13345[[#This Row],[Ticker]]&amp;Table13345[[#This Row],[Expiry]]&amp;""&amp;"P"&amp;Table13345[[#This Row],[Strike]]))</f>
        <v>0</v>
      </c>
      <c r="U91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3" t="b">
        <f>IF(     ISNUMBER(Table13345[[#This Row],[Strike]]),RTD("tos.rtd", , "DELTA", "."&amp;Table13345[[#This Row],[Ticker]]&amp;Table13345[[#This Row],[Expiry]]&amp;""&amp;"P"&amp;Table13345[[#This Row],[Strike]]))</f>
        <v>0</v>
      </c>
      <c r="Y913" s="19">
        <f>-4.5* IF($M$1="NDX", 10, IF(OR($M$1="SPX", $M$1="RUT"), 2, 1))</f>
        <v>-9</v>
      </c>
      <c r="Z913">
        <f ca="1">IFERROR(Table13345[[#This Row],[call gamma]]*(Table13345[[#This Row],[Open.Int]])*$A$4^2,0)</f>
        <v>0</v>
      </c>
      <c r="AA913">
        <f ca="1">IFERROR(((Table13345[[#This Row],[Open.Int8]])*Table13345[[#This Row],[Put gamma]])*-1*$A$4^2,0)</f>
        <v>0</v>
      </c>
      <c r="AB913">
        <f ca="1">(Table13345[[#This Row],[Call Gex]]+Table13345[[#This Row],[Put Gex]])</f>
        <v>0</v>
      </c>
      <c r="AC913">
        <f ca="1">Table13345[[#This Row],[put delta adj]]+Table13345[[#This Row],[call delta adj]]</f>
        <v>0</v>
      </c>
      <c r="AD913">
        <f ca="1">Table13345[[#This Row],[Put Gex]]*Table13345[[#This Row],[DeltaP]]*-1</f>
        <v>0</v>
      </c>
      <c r="AE913">
        <f ca="1">Table13345[[#This Row],[Call Gex]]*Table13345[[#This Row],[DeltaC]]</f>
        <v>0</v>
      </c>
      <c r="AF913">
        <f>IF(Table13345[[#This Row],[DeltaC]]-ABS(Table13345[[#This Row],[DeltaP]])="0","0.01",Table13345[[#This Row],[DeltaC]]-ABS(Table13345[[#This Row],[DeltaP]]))</f>
        <v>0</v>
      </c>
      <c r="AG91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3" t="e">
        <f ca="1">(EXP(-(AG913^2)/2)/SQRT(2*PI())*EXP(0*SQRT(Table13345[[#This Row],[T]]))/$A$4*18%*SQRT(SQRT(Table13345[[#This Row],[T]])))</f>
        <v>#DIV/0!</v>
      </c>
      <c r="AJ913" t="e">
        <f ca="1">(EXP(-(AH913^2)/2)/SQRT(2*PI())*EXP(0*SQRT(Table13345[[#This Row],[T]]))/$A$4*18%*SQRT(SQRT(Table13345[[#This Row],[T]])))</f>
        <v>#DIV/0!</v>
      </c>
      <c r="AK913" t="e">
        <f ca="1">Table13345[[#This Row],[Call D1]]-Table13345[[#This Row],[IV Calc C]]*SQRT(Table13345[[#This Row],[T]])</f>
        <v>#DIV/0!</v>
      </c>
      <c r="AL913" t="e">
        <f ca="1">Table13345[[#This Row],[Put D1]]-Table13345[[#This Row],[IV Calc P]]*SQRT(Table13345[[#This Row],[T]])</f>
        <v>#DIV/0!</v>
      </c>
      <c r="AM913" t="e">
        <f ca="1">EXP(-0.5*Table13345[[#This Row],[Call D1]]^2)/SQRT(2*PI())</f>
        <v>#DIV/0!</v>
      </c>
      <c r="AN913" t="e">
        <f ca="1">EXP(-0.5*Table13345[[#This Row],[Put D1]]^2)/SQRT(2*PI())</f>
        <v>#DIV/0!</v>
      </c>
      <c r="AO91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3">
        <f ca="1">((Table13345[[#This Row],[call vanna]]+Table13345[[#This Row],[put vanna]])*$A$4)</f>
        <v>0</v>
      </c>
      <c r="AR91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3" s="9" t="str" cm="1">
        <f t="array" ref="AT913">_xlfn.IFS(     $M$1="SPX","SPXW",     $M$1="RUT","RUTW",  $M$1="NDX","NDXP",   TRUE,$M$1 )</f>
        <v>SPXW</v>
      </c>
      <c r="AU913" s="2">
        <f t="shared" si="92"/>
        <v>6915</v>
      </c>
      <c r="AV913" t="str">
        <f t="shared" si="93"/>
        <v>000100</v>
      </c>
      <c r="AY91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3">
        <f>((Table13345[[#This Row],[High C]]+Table13345[[#This Row],[Low C]])/2)*Table13345[[#This Row],[gammac]]*Table13345[[#This Row],[Volume]]</f>
        <v>0</v>
      </c>
      <c r="BD913">
        <f>((Table13345[[#This Row],[High P]]+Table13345[[#This Row],[Low P]])/2)*Table13345[[#This Row],[gammap]]*Table13345[[#This Row],[Volume9]]*-1</f>
        <v>0</v>
      </c>
      <c r="BE913">
        <f>(Table13345[[#This Row],[SgammaC]]+Table13345[[#This Row],[SgammaP]])*$A$4*-100</f>
        <v>0</v>
      </c>
      <c r="BF913">
        <f>Table13345[[#This Row],[DEXc]]+Table13345[[#This Row],[DEXp]]</f>
        <v>0</v>
      </c>
      <c r="BG913">
        <f>IFERROR(Table13345[[#This Row],[DeltaC]]*Table13345[[#This Row],[Open.Int]]*$A$4,0)</f>
        <v>0</v>
      </c>
      <c r="BH913">
        <f>IFERROR(Table13345[[#This Row],[DeltaP]]*Table13345[[#This Row],[Open.Int8]]*$A$4,0)</f>
        <v>0</v>
      </c>
      <c r="BI91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3">
        <f ca="1">Table13345[[#This Row],[charmc]]+Table13345[[#This Row],[charmp]]</f>
        <v>0</v>
      </c>
      <c r="BL91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3" s="78">
        <f ca="1">Table13345[[#This Row],[call helper]]+Table13345[[#This Row],[put helper]]</f>
        <v>0</v>
      </c>
      <c r="BP913" t="str">
        <f>RTD("tos.rtd", , "STRIKE", "."&amp;Table13345[[#This Row],[Ticker]]&amp;Table13345[[#This Row],[Expiry]]&amp;""&amp;"C"&amp;Table13345[[#This Row],[Spot]]+Table13345[[#This Row],[step]])</f>
        <v>N/A</v>
      </c>
    </row>
    <row r="914" spans="1:68" x14ac:dyDescent="0.25">
      <c r="A914" s="14">
        <f t="shared" ca="1" si="89"/>
        <v>-126.14810350076104</v>
      </c>
      <c r="C914" s="17"/>
      <c r="D914" t="str">
        <f>RTD("tos.rtd", , "OPEN_INT", "."&amp;Table13345[[#This Row],[Ticker]]&amp;Table13345[[#This Row],[Expiry]]&amp;""&amp;"C"&amp;Table13345[[#This Row],[Spot]]+Table13345[[#This Row],[step]])</f>
        <v>N/A</v>
      </c>
      <c r="E91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4" t="b">
        <f>IF(     ISNUMBER(Table13345[[#This Row],[Strike]]),RTD("tos.rtd", , "DELTA", "."&amp;Table13345[[#This Row],[Ticker]]&amp;Table13345[[#This Row],[Expiry]]&amp;""&amp;"C"&amp;Table13345[[#This Row],[Strike]]))</f>
        <v>0</v>
      </c>
      <c r="H914" s="17" cm="1">
        <f t="array" aca="1" ref="H914" ca="1">IndividualLegIVCore($A$4, Table13345[[#This Row],[Strike]], 0.0411, Table13345[[#This Row],[T]], ((Table13345[[#This Row],[BIDC]]+Table13345[[#This Row],[ASKC]])/2), TRUE)</f>
        <v>0.01</v>
      </c>
      <c r="I914" t="b">
        <f>IF(     ISNUMBER(Table13345[[#This Row],[Strike]]),RTD("tos.rtd", , "BID", "."&amp;Table13345[[#This Row],[Ticker]]&amp;Table13345[[#This Row],[Expiry]]&amp;""&amp;"C"&amp;Table13345[[#This Row],[Strike]]))</f>
        <v>0</v>
      </c>
      <c r="J914" t="b">
        <f>IF(     ISNUMBER(Table13345[[#This Row],[Strike]]),RTD("tos.rtd", , "ASK", "."&amp;Table13345[[#This Row],[Ticker]]&amp;Table13345[[#This Row],[Expiry]]&amp;""&amp;"C"&amp;Table13345[[#This Row],[Strike]]))</f>
        <v>0</v>
      </c>
      <c r="K914" s="17"/>
      <c r="M914" s="1">
        <f t="shared" si="90"/>
        <v>0</v>
      </c>
      <c r="N914" t="b">
        <f t="shared" si="91"/>
        <v>0</v>
      </c>
      <c r="P914" s="17" cm="1">
        <f t="array" aca="1" ref="P914" ca="1">IndividualLegIVCore($A$4, Table13345[[#This Row],[Strike]], 0.0411, Table13345[[#This Row],[T]], ((Table13345[[#This Row],[BIDP]]+Table13345[[#This Row],[ASKP]])/2), FALSE)</f>
        <v>0.01</v>
      </c>
      <c r="Q914" t="b">
        <f>IF(     ISNUMBER(Table13345[[#This Row],[Strike]]),RTD("tos.rtd", , "BID", "."&amp;Table13345[[#This Row],[Ticker]]&amp;Table13345[[#This Row],[Expiry]]&amp;""&amp;"P"&amp;Table13345[[#This Row],[Strike]]))</f>
        <v>0</v>
      </c>
      <c r="R914" t="b">
        <f>IF(     ISNUMBER(Table13345[[#This Row],[Strike]]),RTD("tos.rtd", , "ASK", "."&amp;Table13345[[#This Row],[Ticker]]&amp;Table13345[[#This Row],[Expiry]]&amp;""&amp;"P"&amp;Table13345[[#This Row],[Strike]]))</f>
        <v>0</v>
      </c>
      <c r="S914" s="17"/>
      <c r="T914" t="b">
        <f>IF(     ISNUMBER(Table13345[[#This Row],[Strike]]),RTD("tos.rtd", , "OPEN_INT", "."&amp;Table13345[[#This Row],[Ticker]]&amp;Table13345[[#This Row],[Expiry]]&amp;""&amp;"P"&amp;Table13345[[#This Row],[Strike]]))</f>
        <v>0</v>
      </c>
      <c r="U91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4" t="b">
        <f>IF(     ISNUMBER(Table13345[[#This Row],[Strike]]),RTD("tos.rtd", , "DELTA", "."&amp;Table13345[[#This Row],[Ticker]]&amp;Table13345[[#This Row],[Expiry]]&amp;""&amp;"P"&amp;Table13345[[#This Row],[Strike]]))</f>
        <v>0</v>
      </c>
      <c r="Y914" s="19">
        <f>-4* IF($M$1="NDX", 10, IF(OR($M$1="SPX", $M$1="RUT"), 2, 1))</f>
        <v>-8</v>
      </c>
      <c r="Z914">
        <f ca="1">IFERROR(Table13345[[#This Row],[call gamma]]*(Table13345[[#This Row],[Open.Int]])*$A$4^2,0)</f>
        <v>0</v>
      </c>
      <c r="AA914">
        <f ca="1">IFERROR(((Table13345[[#This Row],[Open.Int8]])*Table13345[[#This Row],[Put gamma]])*-1*$A$4^2,0)</f>
        <v>0</v>
      </c>
      <c r="AB914">
        <f ca="1">(Table13345[[#This Row],[Call Gex]]+Table13345[[#This Row],[Put Gex]])</f>
        <v>0</v>
      </c>
      <c r="AC914">
        <f ca="1">Table13345[[#This Row],[put delta adj]]+Table13345[[#This Row],[call delta adj]]</f>
        <v>0</v>
      </c>
      <c r="AD914">
        <f ca="1">Table13345[[#This Row],[Put Gex]]*Table13345[[#This Row],[DeltaP]]*-1</f>
        <v>0</v>
      </c>
      <c r="AE914">
        <f ca="1">Table13345[[#This Row],[Call Gex]]*Table13345[[#This Row],[DeltaC]]</f>
        <v>0</v>
      </c>
      <c r="AF914">
        <f>IF(Table13345[[#This Row],[DeltaC]]-ABS(Table13345[[#This Row],[DeltaP]])="0","0.01",Table13345[[#This Row],[DeltaC]]-ABS(Table13345[[#This Row],[DeltaP]]))</f>
        <v>0</v>
      </c>
      <c r="AG91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4" t="e">
        <f ca="1">(EXP(-(AG914^2)/2)/SQRT(2*PI())*EXP(0*SQRT(Table13345[[#This Row],[T]]))/$A$4*18%*SQRT(SQRT(Table13345[[#This Row],[T]])))</f>
        <v>#DIV/0!</v>
      </c>
      <c r="AJ914" t="e">
        <f ca="1">(EXP(-(AH914^2)/2)/SQRT(2*PI())*EXP(0*SQRT(Table13345[[#This Row],[T]]))/$A$4*18%*SQRT(SQRT(Table13345[[#This Row],[T]])))</f>
        <v>#DIV/0!</v>
      </c>
      <c r="AK914" t="e">
        <f ca="1">Table13345[[#This Row],[Call D1]]-Table13345[[#This Row],[IV Calc C]]*SQRT(Table13345[[#This Row],[T]])</f>
        <v>#DIV/0!</v>
      </c>
      <c r="AL914" t="e">
        <f ca="1">Table13345[[#This Row],[Put D1]]-Table13345[[#This Row],[IV Calc P]]*SQRT(Table13345[[#This Row],[T]])</f>
        <v>#DIV/0!</v>
      </c>
      <c r="AM914" t="e">
        <f ca="1">EXP(-0.5*Table13345[[#This Row],[Call D1]]^2)/SQRT(2*PI())</f>
        <v>#DIV/0!</v>
      </c>
      <c r="AN914" t="e">
        <f ca="1">EXP(-0.5*Table13345[[#This Row],[Put D1]]^2)/SQRT(2*PI())</f>
        <v>#DIV/0!</v>
      </c>
      <c r="AO91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4">
        <f ca="1">((Table13345[[#This Row],[call vanna]]+Table13345[[#This Row],[put vanna]])*$A$4)</f>
        <v>0</v>
      </c>
      <c r="AR91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4" s="9" t="str" cm="1">
        <f t="array" ref="AT914">_xlfn.IFS(     $M$1="SPX","SPXW",     $M$1="RUT","RUTW",  $M$1="NDX","NDXP",   TRUE,$M$1 )</f>
        <v>SPXW</v>
      </c>
      <c r="AU914" s="2">
        <f t="shared" si="92"/>
        <v>6915</v>
      </c>
      <c r="AV914" t="str">
        <f t="shared" si="93"/>
        <v>000100</v>
      </c>
      <c r="AY91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4">
        <f>((Table13345[[#This Row],[High C]]+Table13345[[#This Row],[Low C]])/2)*Table13345[[#This Row],[gammac]]*Table13345[[#This Row],[Volume]]</f>
        <v>0</v>
      </c>
      <c r="BD914">
        <f>((Table13345[[#This Row],[High P]]+Table13345[[#This Row],[Low P]])/2)*Table13345[[#This Row],[gammap]]*Table13345[[#This Row],[Volume9]]*-1</f>
        <v>0</v>
      </c>
      <c r="BE914">
        <f>(Table13345[[#This Row],[SgammaC]]+Table13345[[#This Row],[SgammaP]])*$A$4*-100</f>
        <v>0</v>
      </c>
      <c r="BF914">
        <f>Table13345[[#This Row],[DEXc]]+Table13345[[#This Row],[DEXp]]</f>
        <v>0</v>
      </c>
      <c r="BG914">
        <f>IFERROR(Table13345[[#This Row],[DeltaC]]*Table13345[[#This Row],[Open.Int]]*$A$4,0)</f>
        <v>0</v>
      </c>
      <c r="BH914">
        <f>IFERROR(Table13345[[#This Row],[DeltaP]]*Table13345[[#This Row],[Open.Int8]]*$A$4,0)</f>
        <v>0</v>
      </c>
      <c r="BI91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4">
        <f ca="1">Table13345[[#This Row],[charmc]]+Table13345[[#This Row],[charmp]]</f>
        <v>0</v>
      </c>
      <c r="BL91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4" s="78">
        <f ca="1">Table13345[[#This Row],[call helper]]+Table13345[[#This Row],[put helper]]</f>
        <v>0</v>
      </c>
      <c r="BP914" t="str">
        <f>RTD("tos.rtd", , "STRIKE", "."&amp;Table13345[[#This Row],[Ticker]]&amp;Table13345[[#This Row],[Expiry]]&amp;""&amp;"C"&amp;Table13345[[#This Row],[Spot]]+Table13345[[#This Row],[step]])</f>
        <v>N/A</v>
      </c>
    </row>
    <row r="915" spans="1:68" x14ac:dyDescent="0.25">
      <c r="A915" s="14">
        <f t="shared" ca="1" si="89"/>
        <v>-126.14810350076104</v>
      </c>
      <c r="C915" s="17"/>
      <c r="D915" t="str">
        <f>RTD("tos.rtd", , "OPEN_INT", "."&amp;Table13345[[#This Row],[Ticker]]&amp;Table13345[[#This Row],[Expiry]]&amp;""&amp;"C"&amp;Table13345[[#This Row],[Spot]]+Table13345[[#This Row],[step]])</f>
        <v>N/A</v>
      </c>
      <c r="E91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5" t="b">
        <f>IF(     ISNUMBER(Table13345[[#This Row],[Strike]]),RTD("tos.rtd", , "DELTA", "."&amp;Table13345[[#This Row],[Ticker]]&amp;Table13345[[#This Row],[Expiry]]&amp;""&amp;"C"&amp;Table13345[[#This Row],[Strike]]))</f>
        <v>0</v>
      </c>
      <c r="H915" s="17" cm="1">
        <f t="array" aca="1" ref="H915" ca="1">IndividualLegIVCore($A$4, Table13345[[#This Row],[Strike]], 0.0411, Table13345[[#This Row],[T]], ((Table13345[[#This Row],[BIDC]]+Table13345[[#This Row],[ASKC]])/2), TRUE)</f>
        <v>0.01</v>
      </c>
      <c r="I915" t="b">
        <f>IF(     ISNUMBER(Table13345[[#This Row],[Strike]]),RTD("tos.rtd", , "BID", "."&amp;Table13345[[#This Row],[Ticker]]&amp;Table13345[[#This Row],[Expiry]]&amp;""&amp;"C"&amp;Table13345[[#This Row],[Strike]]))</f>
        <v>0</v>
      </c>
      <c r="J915" t="b">
        <f>IF(     ISNUMBER(Table13345[[#This Row],[Strike]]),RTD("tos.rtd", , "ASK", "."&amp;Table13345[[#This Row],[Ticker]]&amp;Table13345[[#This Row],[Expiry]]&amp;""&amp;"C"&amp;Table13345[[#This Row],[Strike]]))</f>
        <v>0</v>
      </c>
      <c r="K915" s="17"/>
      <c r="M915" s="1">
        <f t="shared" si="90"/>
        <v>0</v>
      </c>
      <c r="N915" t="b">
        <f t="shared" si="91"/>
        <v>0</v>
      </c>
      <c r="P915" s="17" cm="1">
        <f t="array" aca="1" ref="P915" ca="1">IndividualLegIVCore($A$4, Table13345[[#This Row],[Strike]], 0.0411, Table13345[[#This Row],[T]], ((Table13345[[#This Row],[BIDP]]+Table13345[[#This Row],[ASKP]])/2), FALSE)</f>
        <v>0.01</v>
      </c>
      <c r="Q915" t="b">
        <f>IF(     ISNUMBER(Table13345[[#This Row],[Strike]]),RTD("tos.rtd", , "BID", "."&amp;Table13345[[#This Row],[Ticker]]&amp;Table13345[[#This Row],[Expiry]]&amp;""&amp;"P"&amp;Table13345[[#This Row],[Strike]]))</f>
        <v>0</v>
      </c>
      <c r="R915" t="b">
        <f>IF(     ISNUMBER(Table13345[[#This Row],[Strike]]),RTD("tos.rtd", , "ASK", "."&amp;Table13345[[#This Row],[Ticker]]&amp;Table13345[[#This Row],[Expiry]]&amp;""&amp;"P"&amp;Table13345[[#This Row],[Strike]]))</f>
        <v>0</v>
      </c>
      <c r="S915" s="17"/>
      <c r="T915" t="b">
        <f>IF(     ISNUMBER(Table13345[[#This Row],[Strike]]),RTD("tos.rtd", , "OPEN_INT", "."&amp;Table13345[[#This Row],[Ticker]]&amp;Table13345[[#This Row],[Expiry]]&amp;""&amp;"P"&amp;Table13345[[#This Row],[Strike]]))</f>
        <v>0</v>
      </c>
      <c r="U91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5" t="b">
        <f>IF(     ISNUMBER(Table13345[[#This Row],[Strike]]),RTD("tos.rtd", , "DELTA", "."&amp;Table13345[[#This Row],[Ticker]]&amp;Table13345[[#This Row],[Expiry]]&amp;""&amp;"P"&amp;Table13345[[#This Row],[Strike]]))</f>
        <v>0</v>
      </c>
      <c r="Y915" s="19">
        <f>-3.5* IF($M$1="NDX", 10, IF(OR($M$1="SPX", $M$1="RUT"), 2, 1))</f>
        <v>-7</v>
      </c>
      <c r="Z915">
        <f ca="1">IFERROR(Table13345[[#This Row],[call gamma]]*(Table13345[[#This Row],[Open.Int]])*$A$4^2,0)</f>
        <v>0</v>
      </c>
      <c r="AA915">
        <f ca="1">IFERROR(((Table13345[[#This Row],[Open.Int8]])*Table13345[[#This Row],[Put gamma]])*-1*$A$4^2,0)</f>
        <v>0</v>
      </c>
      <c r="AB915">
        <f ca="1">(Table13345[[#This Row],[Call Gex]]+Table13345[[#This Row],[Put Gex]])</f>
        <v>0</v>
      </c>
      <c r="AC915">
        <f ca="1">Table13345[[#This Row],[put delta adj]]+Table13345[[#This Row],[call delta adj]]</f>
        <v>0</v>
      </c>
      <c r="AD915">
        <f ca="1">Table13345[[#This Row],[Put Gex]]*Table13345[[#This Row],[DeltaP]]*-1</f>
        <v>0</v>
      </c>
      <c r="AE915">
        <f ca="1">Table13345[[#This Row],[Call Gex]]*Table13345[[#This Row],[DeltaC]]</f>
        <v>0</v>
      </c>
      <c r="AF915">
        <f>IF(Table13345[[#This Row],[DeltaC]]-ABS(Table13345[[#This Row],[DeltaP]])="0","0.01",Table13345[[#This Row],[DeltaC]]-ABS(Table13345[[#This Row],[DeltaP]]))</f>
        <v>0</v>
      </c>
      <c r="AG91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5" t="e">
        <f ca="1">(EXP(-(AG915^2)/2)/SQRT(2*PI())*EXP(0*SQRT(Table13345[[#This Row],[T]]))/$A$4*18%*SQRT(SQRT(Table13345[[#This Row],[T]])))</f>
        <v>#DIV/0!</v>
      </c>
      <c r="AJ915" t="e">
        <f ca="1">(EXP(-(AH915^2)/2)/SQRT(2*PI())*EXP(0*SQRT(Table13345[[#This Row],[T]]))/$A$4*18%*SQRT(SQRT(Table13345[[#This Row],[T]])))</f>
        <v>#DIV/0!</v>
      </c>
      <c r="AK915" t="e">
        <f ca="1">Table13345[[#This Row],[Call D1]]-Table13345[[#This Row],[IV Calc C]]*SQRT(Table13345[[#This Row],[T]])</f>
        <v>#DIV/0!</v>
      </c>
      <c r="AL915" t="e">
        <f ca="1">Table13345[[#This Row],[Put D1]]-Table13345[[#This Row],[IV Calc P]]*SQRT(Table13345[[#This Row],[T]])</f>
        <v>#DIV/0!</v>
      </c>
      <c r="AM915" t="e">
        <f ca="1">EXP(-0.5*Table13345[[#This Row],[Call D1]]^2)/SQRT(2*PI())</f>
        <v>#DIV/0!</v>
      </c>
      <c r="AN915" t="e">
        <f ca="1">EXP(-0.5*Table13345[[#This Row],[Put D1]]^2)/SQRT(2*PI())</f>
        <v>#DIV/0!</v>
      </c>
      <c r="AO91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5">
        <f ca="1">((Table13345[[#This Row],[call vanna]]+Table13345[[#This Row],[put vanna]])*$A$4)</f>
        <v>0</v>
      </c>
      <c r="AR91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5" s="9" t="str" cm="1">
        <f t="array" ref="AT915">_xlfn.IFS(     $M$1="SPX","SPXW",     $M$1="RUT","RUTW",  $M$1="NDX","NDXP",   TRUE,$M$1 )</f>
        <v>SPXW</v>
      </c>
      <c r="AU915" s="2">
        <f t="shared" si="92"/>
        <v>6915</v>
      </c>
      <c r="AV915" t="str">
        <f t="shared" si="93"/>
        <v>000100</v>
      </c>
      <c r="AY91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5">
        <f>((Table13345[[#This Row],[High C]]+Table13345[[#This Row],[Low C]])/2)*Table13345[[#This Row],[gammac]]*Table13345[[#This Row],[Volume]]</f>
        <v>0</v>
      </c>
      <c r="BD915">
        <f>((Table13345[[#This Row],[High P]]+Table13345[[#This Row],[Low P]])/2)*Table13345[[#This Row],[gammap]]*Table13345[[#This Row],[Volume9]]*-1</f>
        <v>0</v>
      </c>
      <c r="BE915">
        <f>(Table13345[[#This Row],[SgammaC]]+Table13345[[#This Row],[SgammaP]])*$A$4*-100</f>
        <v>0</v>
      </c>
      <c r="BF915">
        <f>Table13345[[#This Row],[DEXc]]+Table13345[[#This Row],[DEXp]]</f>
        <v>0</v>
      </c>
      <c r="BG915">
        <f>IFERROR(Table13345[[#This Row],[DeltaC]]*Table13345[[#This Row],[Open.Int]]*$A$4,0)</f>
        <v>0</v>
      </c>
      <c r="BH915">
        <f>IFERROR(Table13345[[#This Row],[DeltaP]]*Table13345[[#This Row],[Open.Int8]]*$A$4,0)</f>
        <v>0</v>
      </c>
      <c r="BI91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5">
        <f ca="1">Table13345[[#This Row],[charmc]]+Table13345[[#This Row],[charmp]]</f>
        <v>0</v>
      </c>
      <c r="BL91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5" s="78">
        <f ca="1">Table13345[[#This Row],[call helper]]+Table13345[[#This Row],[put helper]]</f>
        <v>0</v>
      </c>
      <c r="BP915" t="str">
        <f>RTD("tos.rtd", , "STRIKE", "."&amp;Table13345[[#This Row],[Ticker]]&amp;Table13345[[#This Row],[Expiry]]&amp;""&amp;"C"&amp;Table13345[[#This Row],[Spot]]+Table13345[[#This Row],[step]])</f>
        <v>N/A</v>
      </c>
    </row>
    <row r="916" spans="1:68" x14ac:dyDescent="0.25">
      <c r="A916" s="14">
        <f t="shared" ca="1" si="89"/>
        <v>-126.14810350076104</v>
      </c>
      <c r="C916" s="17"/>
      <c r="D916" t="str">
        <f>RTD("tos.rtd", , "OPEN_INT", "."&amp;Table13345[[#This Row],[Ticker]]&amp;Table13345[[#This Row],[Expiry]]&amp;""&amp;"C"&amp;Table13345[[#This Row],[Spot]]+Table13345[[#This Row],[step]])</f>
        <v>N/A</v>
      </c>
      <c r="E91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6" t="b">
        <f>IF(     ISNUMBER(Table13345[[#This Row],[Strike]]),RTD("tos.rtd", , "DELTA", "."&amp;Table13345[[#This Row],[Ticker]]&amp;Table13345[[#This Row],[Expiry]]&amp;""&amp;"C"&amp;Table13345[[#This Row],[Strike]]))</f>
        <v>0</v>
      </c>
      <c r="H916" s="17" cm="1">
        <f t="array" aca="1" ref="H916" ca="1">IndividualLegIVCore($A$4, Table13345[[#This Row],[Strike]], 0.0411, Table13345[[#This Row],[T]], ((Table13345[[#This Row],[BIDC]]+Table13345[[#This Row],[ASKC]])/2), TRUE)</f>
        <v>0.01</v>
      </c>
      <c r="I916" t="b">
        <f>IF(     ISNUMBER(Table13345[[#This Row],[Strike]]),RTD("tos.rtd", , "BID", "."&amp;Table13345[[#This Row],[Ticker]]&amp;Table13345[[#This Row],[Expiry]]&amp;""&amp;"C"&amp;Table13345[[#This Row],[Strike]]))</f>
        <v>0</v>
      </c>
      <c r="J916" t="b">
        <f>IF(     ISNUMBER(Table13345[[#This Row],[Strike]]),RTD("tos.rtd", , "ASK", "."&amp;Table13345[[#This Row],[Ticker]]&amp;Table13345[[#This Row],[Expiry]]&amp;""&amp;"C"&amp;Table13345[[#This Row],[Strike]]))</f>
        <v>0</v>
      </c>
      <c r="K916" s="17"/>
      <c r="M916" s="1">
        <f t="shared" si="90"/>
        <v>0</v>
      </c>
      <c r="N916" t="b">
        <f t="shared" si="91"/>
        <v>0</v>
      </c>
      <c r="P916" s="17" cm="1">
        <f t="array" aca="1" ref="P916" ca="1">IndividualLegIVCore($A$4, Table13345[[#This Row],[Strike]], 0.0411, Table13345[[#This Row],[T]], ((Table13345[[#This Row],[BIDP]]+Table13345[[#This Row],[ASKP]])/2), FALSE)</f>
        <v>0.01</v>
      </c>
      <c r="Q916" t="b">
        <f>IF(     ISNUMBER(Table13345[[#This Row],[Strike]]),RTD("tos.rtd", , "BID", "."&amp;Table13345[[#This Row],[Ticker]]&amp;Table13345[[#This Row],[Expiry]]&amp;""&amp;"P"&amp;Table13345[[#This Row],[Strike]]))</f>
        <v>0</v>
      </c>
      <c r="R916" t="b">
        <f>IF(     ISNUMBER(Table13345[[#This Row],[Strike]]),RTD("tos.rtd", , "ASK", "."&amp;Table13345[[#This Row],[Ticker]]&amp;Table13345[[#This Row],[Expiry]]&amp;""&amp;"P"&amp;Table13345[[#This Row],[Strike]]))</f>
        <v>0</v>
      </c>
      <c r="S916" s="17"/>
      <c r="T916" t="b">
        <f>IF(     ISNUMBER(Table13345[[#This Row],[Strike]]),RTD("tos.rtd", , "OPEN_INT", "."&amp;Table13345[[#This Row],[Ticker]]&amp;Table13345[[#This Row],[Expiry]]&amp;""&amp;"P"&amp;Table13345[[#This Row],[Strike]]))</f>
        <v>0</v>
      </c>
      <c r="U91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6" t="b">
        <f>IF(     ISNUMBER(Table13345[[#This Row],[Strike]]),RTD("tos.rtd", , "DELTA", "."&amp;Table13345[[#This Row],[Ticker]]&amp;Table13345[[#This Row],[Expiry]]&amp;""&amp;"P"&amp;Table13345[[#This Row],[Strike]]))</f>
        <v>0</v>
      </c>
      <c r="Y916" s="19">
        <f>-3* IF($M$1="NDX", 10, IF(OR($M$1="SPX", $M$1="RUT"), 2, 1))</f>
        <v>-6</v>
      </c>
      <c r="Z916">
        <f ca="1">IFERROR(Table13345[[#This Row],[call gamma]]*(Table13345[[#This Row],[Open.Int]])*$A$4^2,0)</f>
        <v>0</v>
      </c>
      <c r="AA916">
        <f ca="1">IFERROR(((Table13345[[#This Row],[Open.Int8]])*Table13345[[#This Row],[Put gamma]])*-1*$A$4^2,0)</f>
        <v>0</v>
      </c>
      <c r="AB916">
        <f ca="1">(Table13345[[#This Row],[Call Gex]]+Table13345[[#This Row],[Put Gex]])</f>
        <v>0</v>
      </c>
      <c r="AC916">
        <f ca="1">Table13345[[#This Row],[put delta adj]]+Table13345[[#This Row],[call delta adj]]</f>
        <v>0</v>
      </c>
      <c r="AD916">
        <f ca="1">Table13345[[#This Row],[Put Gex]]*Table13345[[#This Row],[DeltaP]]*-1</f>
        <v>0</v>
      </c>
      <c r="AE916">
        <f ca="1">Table13345[[#This Row],[Call Gex]]*Table13345[[#This Row],[DeltaC]]</f>
        <v>0</v>
      </c>
      <c r="AF916">
        <f>IF(Table13345[[#This Row],[DeltaC]]-ABS(Table13345[[#This Row],[DeltaP]])="0","0.01",Table13345[[#This Row],[DeltaC]]-ABS(Table13345[[#This Row],[DeltaP]]))</f>
        <v>0</v>
      </c>
      <c r="AG91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6" t="e">
        <f ca="1">(EXP(-(AG916^2)/2)/SQRT(2*PI())*EXP(0*SQRT(Table13345[[#This Row],[T]]))/$A$4*18%*SQRT(SQRT(Table13345[[#This Row],[T]])))</f>
        <v>#DIV/0!</v>
      </c>
      <c r="AJ916" t="e">
        <f ca="1">(EXP(-(AH916^2)/2)/SQRT(2*PI())*EXP(0*SQRT(Table13345[[#This Row],[T]]))/$A$4*18%*SQRT(SQRT(Table13345[[#This Row],[T]])))</f>
        <v>#DIV/0!</v>
      </c>
      <c r="AK916" t="e">
        <f ca="1">Table13345[[#This Row],[Call D1]]-Table13345[[#This Row],[IV Calc C]]*SQRT(Table13345[[#This Row],[T]])</f>
        <v>#DIV/0!</v>
      </c>
      <c r="AL916" t="e">
        <f ca="1">Table13345[[#This Row],[Put D1]]-Table13345[[#This Row],[IV Calc P]]*SQRT(Table13345[[#This Row],[T]])</f>
        <v>#DIV/0!</v>
      </c>
      <c r="AM916" t="e">
        <f ca="1">EXP(-0.5*Table13345[[#This Row],[Call D1]]^2)/SQRT(2*PI())</f>
        <v>#DIV/0!</v>
      </c>
      <c r="AN916" t="e">
        <f ca="1">EXP(-0.5*Table13345[[#This Row],[Put D1]]^2)/SQRT(2*PI())</f>
        <v>#DIV/0!</v>
      </c>
      <c r="AO91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6">
        <f ca="1">((Table13345[[#This Row],[call vanna]]+Table13345[[#This Row],[put vanna]])*$A$4)</f>
        <v>0</v>
      </c>
      <c r="AR91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6" s="9" t="str" cm="1">
        <f t="array" ref="AT916">_xlfn.IFS(     $M$1="SPX","SPXW",     $M$1="RUT","RUTW",  $M$1="NDX","NDXP",   TRUE,$M$1 )</f>
        <v>SPXW</v>
      </c>
      <c r="AU916" s="2">
        <f t="shared" si="92"/>
        <v>6915</v>
      </c>
      <c r="AV916" t="str">
        <f t="shared" si="93"/>
        <v>000100</v>
      </c>
      <c r="AY91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6">
        <f>((Table13345[[#This Row],[High C]]+Table13345[[#This Row],[Low C]])/2)*Table13345[[#This Row],[gammac]]*Table13345[[#This Row],[Volume]]</f>
        <v>0</v>
      </c>
      <c r="BD916">
        <f>((Table13345[[#This Row],[High P]]+Table13345[[#This Row],[Low P]])/2)*Table13345[[#This Row],[gammap]]*Table13345[[#This Row],[Volume9]]*-1</f>
        <v>0</v>
      </c>
      <c r="BE916">
        <f>(Table13345[[#This Row],[SgammaC]]+Table13345[[#This Row],[SgammaP]])*$A$4*-100</f>
        <v>0</v>
      </c>
      <c r="BF916">
        <f>Table13345[[#This Row],[DEXc]]+Table13345[[#This Row],[DEXp]]</f>
        <v>0</v>
      </c>
      <c r="BG916">
        <f>IFERROR(Table13345[[#This Row],[DeltaC]]*Table13345[[#This Row],[Open.Int]]*$A$4,0)</f>
        <v>0</v>
      </c>
      <c r="BH916">
        <f>IFERROR(Table13345[[#This Row],[DeltaP]]*Table13345[[#This Row],[Open.Int8]]*$A$4,0)</f>
        <v>0</v>
      </c>
      <c r="BI91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6">
        <f ca="1">Table13345[[#This Row],[charmc]]+Table13345[[#This Row],[charmp]]</f>
        <v>0</v>
      </c>
      <c r="BL91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6" s="78">
        <f ca="1">Table13345[[#This Row],[call helper]]+Table13345[[#This Row],[put helper]]</f>
        <v>0</v>
      </c>
      <c r="BP916" t="str">
        <f>RTD("tos.rtd", , "STRIKE", "."&amp;Table13345[[#This Row],[Ticker]]&amp;Table13345[[#This Row],[Expiry]]&amp;""&amp;"C"&amp;Table13345[[#This Row],[Spot]]+Table13345[[#This Row],[step]])</f>
        <v>N/A</v>
      </c>
    </row>
    <row r="917" spans="1:68" x14ac:dyDescent="0.25">
      <c r="A917" s="14">
        <f t="shared" ca="1" si="89"/>
        <v>-126.14810350076104</v>
      </c>
      <c r="C917" s="17"/>
      <c r="D917" t="str">
        <f>RTD("tos.rtd", , "OPEN_INT", "."&amp;Table13345[[#This Row],[Ticker]]&amp;Table13345[[#This Row],[Expiry]]&amp;""&amp;"C"&amp;Table13345[[#This Row],[Spot]]+Table13345[[#This Row],[step]])</f>
        <v>N/A</v>
      </c>
      <c r="E91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7" t="b">
        <f>IF(     ISNUMBER(Table13345[[#This Row],[Strike]]),RTD("tos.rtd", , "DELTA", "."&amp;Table13345[[#This Row],[Ticker]]&amp;Table13345[[#This Row],[Expiry]]&amp;""&amp;"C"&amp;Table13345[[#This Row],[Strike]]))</f>
        <v>0</v>
      </c>
      <c r="H917" s="17" cm="1">
        <f t="array" aca="1" ref="H917" ca="1">IndividualLegIVCore($A$4, Table13345[[#This Row],[Strike]], 0.0411, Table13345[[#This Row],[T]], ((Table13345[[#This Row],[BIDC]]+Table13345[[#This Row],[ASKC]])/2), TRUE)</f>
        <v>0.01</v>
      </c>
      <c r="I917" t="b">
        <f>IF(     ISNUMBER(Table13345[[#This Row],[Strike]]),RTD("tos.rtd", , "BID", "."&amp;Table13345[[#This Row],[Ticker]]&amp;Table13345[[#This Row],[Expiry]]&amp;""&amp;"C"&amp;Table13345[[#This Row],[Strike]]))</f>
        <v>0</v>
      </c>
      <c r="J917" t="b">
        <f>IF(     ISNUMBER(Table13345[[#This Row],[Strike]]),RTD("tos.rtd", , "ASK", "."&amp;Table13345[[#This Row],[Ticker]]&amp;Table13345[[#This Row],[Expiry]]&amp;""&amp;"C"&amp;Table13345[[#This Row],[Strike]]))</f>
        <v>0</v>
      </c>
      <c r="K917" s="17"/>
      <c r="M917" s="1">
        <f t="shared" si="90"/>
        <v>0</v>
      </c>
      <c r="N917" t="b">
        <f t="shared" si="91"/>
        <v>0</v>
      </c>
      <c r="P917" s="17" cm="1">
        <f t="array" aca="1" ref="P917" ca="1">IndividualLegIVCore($A$4, Table13345[[#This Row],[Strike]], 0.0411, Table13345[[#This Row],[T]], ((Table13345[[#This Row],[BIDP]]+Table13345[[#This Row],[ASKP]])/2), FALSE)</f>
        <v>0.01</v>
      </c>
      <c r="Q917" t="b">
        <f>IF(     ISNUMBER(Table13345[[#This Row],[Strike]]),RTD("tos.rtd", , "BID", "."&amp;Table13345[[#This Row],[Ticker]]&amp;Table13345[[#This Row],[Expiry]]&amp;""&amp;"P"&amp;Table13345[[#This Row],[Strike]]))</f>
        <v>0</v>
      </c>
      <c r="R917" t="b">
        <f>IF(     ISNUMBER(Table13345[[#This Row],[Strike]]),RTD("tos.rtd", , "ASK", "."&amp;Table13345[[#This Row],[Ticker]]&amp;Table13345[[#This Row],[Expiry]]&amp;""&amp;"P"&amp;Table13345[[#This Row],[Strike]]))</f>
        <v>0</v>
      </c>
      <c r="S917" s="17"/>
      <c r="T917" t="b">
        <f>IF(     ISNUMBER(Table13345[[#This Row],[Strike]]),RTD("tos.rtd", , "OPEN_INT", "."&amp;Table13345[[#This Row],[Ticker]]&amp;Table13345[[#This Row],[Expiry]]&amp;""&amp;"P"&amp;Table13345[[#This Row],[Strike]]))</f>
        <v>0</v>
      </c>
      <c r="U91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7" t="b">
        <f>IF(     ISNUMBER(Table13345[[#This Row],[Strike]]),RTD("tos.rtd", , "DELTA", "."&amp;Table13345[[#This Row],[Ticker]]&amp;Table13345[[#This Row],[Expiry]]&amp;""&amp;"P"&amp;Table13345[[#This Row],[Strike]]))</f>
        <v>0</v>
      </c>
      <c r="Y917" s="19">
        <f>-2.5* IF($M$1="NDX", 10, IF(OR($M$1="SPX", $M$1="RUT"), 2, 1))</f>
        <v>-5</v>
      </c>
      <c r="Z917">
        <f ca="1">IFERROR(Table13345[[#This Row],[call gamma]]*(Table13345[[#This Row],[Open.Int]])*$A$4^2,0)</f>
        <v>0</v>
      </c>
      <c r="AA917">
        <f ca="1">IFERROR(((Table13345[[#This Row],[Open.Int8]])*Table13345[[#This Row],[Put gamma]])*-1*$A$4^2,0)</f>
        <v>0</v>
      </c>
      <c r="AB917">
        <f ca="1">(Table13345[[#This Row],[Call Gex]]+Table13345[[#This Row],[Put Gex]])</f>
        <v>0</v>
      </c>
      <c r="AC917">
        <f ca="1">Table13345[[#This Row],[put delta adj]]+Table13345[[#This Row],[call delta adj]]</f>
        <v>0</v>
      </c>
      <c r="AD917">
        <f ca="1">Table13345[[#This Row],[Put Gex]]*Table13345[[#This Row],[DeltaP]]*-1</f>
        <v>0</v>
      </c>
      <c r="AE917">
        <f ca="1">Table13345[[#This Row],[Call Gex]]*Table13345[[#This Row],[DeltaC]]</f>
        <v>0</v>
      </c>
      <c r="AF917">
        <f>IF(Table13345[[#This Row],[DeltaC]]-ABS(Table13345[[#This Row],[DeltaP]])="0","0.01",Table13345[[#This Row],[DeltaC]]-ABS(Table13345[[#This Row],[DeltaP]]))</f>
        <v>0</v>
      </c>
      <c r="AG91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7" t="e">
        <f ca="1">(EXP(-(AG917^2)/2)/SQRT(2*PI())*EXP(0*SQRT(Table13345[[#This Row],[T]]))/$A$4*18%*SQRT(SQRT(Table13345[[#This Row],[T]])))</f>
        <v>#DIV/0!</v>
      </c>
      <c r="AJ917" t="e">
        <f ca="1">(EXP(-(AH917^2)/2)/SQRT(2*PI())*EXP(0*SQRT(Table13345[[#This Row],[T]]))/$A$4*18%*SQRT(SQRT(Table13345[[#This Row],[T]])))</f>
        <v>#DIV/0!</v>
      </c>
      <c r="AK917" t="e">
        <f ca="1">Table13345[[#This Row],[Call D1]]-Table13345[[#This Row],[IV Calc C]]*SQRT(Table13345[[#This Row],[T]])</f>
        <v>#DIV/0!</v>
      </c>
      <c r="AL917" t="e">
        <f ca="1">Table13345[[#This Row],[Put D1]]-Table13345[[#This Row],[IV Calc P]]*SQRT(Table13345[[#This Row],[T]])</f>
        <v>#DIV/0!</v>
      </c>
      <c r="AM917" t="e">
        <f ca="1">EXP(-0.5*Table13345[[#This Row],[Call D1]]^2)/SQRT(2*PI())</f>
        <v>#DIV/0!</v>
      </c>
      <c r="AN917" t="e">
        <f ca="1">EXP(-0.5*Table13345[[#This Row],[Put D1]]^2)/SQRT(2*PI())</f>
        <v>#DIV/0!</v>
      </c>
      <c r="AO91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7">
        <f ca="1">((Table13345[[#This Row],[call vanna]]+Table13345[[#This Row],[put vanna]])*$A$4)</f>
        <v>0</v>
      </c>
      <c r="AR91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7" s="9" t="str" cm="1">
        <f t="array" ref="AT917">_xlfn.IFS(     $M$1="SPX","SPXW",     $M$1="RUT","RUTW",  $M$1="NDX","NDXP",   TRUE,$M$1 )</f>
        <v>SPXW</v>
      </c>
      <c r="AU917" s="2">
        <f t="shared" si="92"/>
        <v>6915</v>
      </c>
      <c r="AV917" t="str">
        <f t="shared" si="93"/>
        <v>000100</v>
      </c>
      <c r="AY91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7">
        <f>((Table13345[[#This Row],[High C]]+Table13345[[#This Row],[Low C]])/2)*Table13345[[#This Row],[gammac]]*Table13345[[#This Row],[Volume]]</f>
        <v>0</v>
      </c>
      <c r="BD917">
        <f>((Table13345[[#This Row],[High P]]+Table13345[[#This Row],[Low P]])/2)*Table13345[[#This Row],[gammap]]*Table13345[[#This Row],[Volume9]]*-1</f>
        <v>0</v>
      </c>
      <c r="BE917">
        <f>(Table13345[[#This Row],[SgammaC]]+Table13345[[#This Row],[SgammaP]])*$A$4*-100</f>
        <v>0</v>
      </c>
      <c r="BF917">
        <f>Table13345[[#This Row],[DEXc]]+Table13345[[#This Row],[DEXp]]</f>
        <v>0</v>
      </c>
      <c r="BG917">
        <f>IFERROR(Table13345[[#This Row],[DeltaC]]*Table13345[[#This Row],[Open.Int]]*$A$4,0)</f>
        <v>0</v>
      </c>
      <c r="BH917">
        <f>IFERROR(Table13345[[#This Row],[DeltaP]]*Table13345[[#This Row],[Open.Int8]]*$A$4,0)</f>
        <v>0</v>
      </c>
      <c r="BI91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7">
        <f ca="1">Table13345[[#This Row],[charmc]]+Table13345[[#This Row],[charmp]]</f>
        <v>0</v>
      </c>
      <c r="BL91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7" s="78">
        <f ca="1">Table13345[[#This Row],[call helper]]+Table13345[[#This Row],[put helper]]</f>
        <v>0</v>
      </c>
      <c r="BP917" t="str">
        <f>RTD("tos.rtd", , "STRIKE", "."&amp;Table13345[[#This Row],[Ticker]]&amp;Table13345[[#This Row],[Expiry]]&amp;""&amp;"C"&amp;Table13345[[#This Row],[Spot]]+Table13345[[#This Row],[step]])</f>
        <v>N/A</v>
      </c>
    </row>
    <row r="918" spans="1:68" x14ac:dyDescent="0.25">
      <c r="A918" s="14">
        <f t="shared" ca="1" si="89"/>
        <v>-126.14810350076104</v>
      </c>
      <c r="C918" s="17"/>
      <c r="D918" t="str">
        <f>RTD("tos.rtd", , "OPEN_INT", "."&amp;Table13345[[#This Row],[Ticker]]&amp;Table13345[[#This Row],[Expiry]]&amp;""&amp;"C"&amp;Table13345[[#This Row],[Spot]]+Table13345[[#This Row],[step]])</f>
        <v>N/A</v>
      </c>
      <c r="E91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8" t="b">
        <f>IF(     ISNUMBER(Table13345[[#This Row],[Strike]]),RTD("tos.rtd", , "DELTA", "."&amp;Table13345[[#This Row],[Ticker]]&amp;Table13345[[#This Row],[Expiry]]&amp;""&amp;"C"&amp;Table13345[[#This Row],[Strike]]))</f>
        <v>0</v>
      </c>
      <c r="H918" s="17" cm="1">
        <f t="array" aca="1" ref="H918" ca="1">IndividualLegIVCore($A$4, Table13345[[#This Row],[Strike]], 0.0411, Table13345[[#This Row],[T]], ((Table13345[[#This Row],[BIDC]]+Table13345[[#This Row],[ASKC]])/2), TRUE)</f>
        <v>0.01</v>
      </c>
      <c r="I918" t="b">
        <f>IF(     ISNUMBER(Table13345[[#This Row],[Strike]]),RTD("tos.rtd", , "BID", "."&amp;Table13345[[#This Row],[Ticker]]&amp;Table13345[[#This Row],[Expiry]]&amp;""&amp;"C"&amp;Table13345[[#This Row],[Strike]]))</f>
        <v>0</v>
      </c>
      <c r="J918" t="b">
        <f>IF(     ISNUMBER(Table13345[[#This Row],[Strike]]),RTD("tos.rtd", , "ASK", "."&amp;Table13345[[#This Row],[Ticker]]&amp;Table13345[[#This Row],[Expiry]]&amp;""&amp;"C"&amp;Table13345[[#This Row],[Strike]]))</f>
        <v>0</v>
      </c>
      <c r="K918" s="17"/>
      <c r="M918" s="1">
        <f t="shared" si="90"/>
        <v>0</v>
      </c>
      <c r="N918" t="b">
        <f t="shared" si="91"/>
        <v>0</v>
      </c>
      <c r="P918" s="17" cm="1">
        <f t="array" aca="1" ref="P918" ca="1">IndividualLegIVCore($A$4, Table13345[[#This Row],[Strike]], 0.0411, Table13345[[#This Row],[T]], ((Table13345[[#This Row],[BIDP]]+Table13345[[#This Row],[ASKP]])/2), FALSE)</f>
        <v>0.01</v>
      </c>
      <c r="Q918" t="b">
        <f>IF(     ISNUMBER(Table13345[[#This Row],[Strike]]),RTD("tos.rtd", , "BID", "."&amp;Table13345[[#This Row],[Ticker]]&amp;Table13345[[#This Row],[Expiry]]&amp;""&amp;"P"&amp;Table13345[[#This Row],[Strike]]))</f>
        <v>0</v>
      </c>
      <c r="R918" t="b">
        <f>IF(     ISNUMBER(Table13345[[#This Row],[Strike]]),RTD("tos.rtd", , "ASK", "."&amp;Table13345[[#This Row],[Ticker]]&amp;Table13345[[#This Row],[Expiry]]&amp;""&amp;"P"&amp;Table13345[[#This Row],[Strike]]))</f>
        <v>0</v>
      </c>
      <c r="S918" s="17"/>
      <c r="T918" t="b">
        <f>IF(     ISNUMBER(Table13345[[#This Row],[Strike]]),RTD("tos.rtd", , "OPEN_INT", "."&amp;Table13345[[#This Row],[Ticker]]&amp;Table13345[[#This Row],[Expiry]]&amp;""&amp;"P"&amp;Table13345[[#This Row],[Strike]]))</f>
        <v>0</v>
      </c>
      <c r="U91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8" t="b">
        <f>IF(     ISNUMBER(Table13345[[#This Row],[Strike]]),RTD("tos.rtd", , "DELTA", "."&amp;Table13345[[#This Row],[Ticker]]&amp;Table13345[[#This Row],[Expiry]]&amp;""&amp;"P"&amp;Table13345[[#This Row],[Strike]]))</f>
        <v>0</v>
      </c>
      <c r="Y918" s="19">
        <f>-2* IF($M$1="NDX", 10, IF(OR($M$1="SPX", $M$1="RUT"), 2, 1))</f>
        <v>-4</v>
      </c>
      <c r="Z918">
        <f ca="1">IFERROR(Table13345[[#This Row],[call gamma]]*(Table13345[[#This Row],[Open.Int]])*$A$4^2,0)</f>
        <v>0</v>
      </c>
      <c r="AA918">
        <f ca="1">IFERROR(((Table13345[[#This Row],[Open.Int8]])*Table13345[[#This Row],[Put gamma]])*-1*$A$4^2,0)</f>
        <v>0</v>
      </c>
      <c r="AB918">
        <f ca="1">(Table13345[[#This Row],[Call Gex]]+Table13345[[#This Row],[Put Gex]])</f>
        <v>0</v>
      </c>
      <c r="AC918">
        <f ca="1">Table13345[[#This Row],[put delta adj]]+Table13345[[#This Row],[call delta adj]]</f>
        <v>0</v>
      </c>
      <c r="AD918">
        <f ca="1">Table13345[[#This Row],[Put Gex]]*Table13345[[#This Row],[DeltaP]]*-1</f>
        <v>0</v>
      </c>
      <c r="AE918">
        <f ca="1">Table13345[[#This Row],[Call Gex]]*Table13345[[#This Row],[DeltaC]]</f>
        <v>0</v>
      </c>
      <c r="AF918">
        <f>IF(Table13345[[#This Row],[DeltaC]]-ABS(Table13345[[#This Row],[DeltaP]])="0","0.01",Table13345[[#This Row],[DeltaC]]-ABS(Table13345[[#This Row],[DeltaP]]))</f>
        <v>0</v>
      </c>
      <c r="AG91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8" t="e">
        <f ca="1">(EXP(-(AG918^2)/2)/SQRT(2*PI())*EXP(0*SQRT(Table13345[[#This Row],[T]]))/$A$4*18%*SQRT(SQRT(Table13345[[#This Row],[T]])))</f>
        <v>#DIV/0!</v>
      </c>
      <c r="AJ918" t="e">
        <f ca="1">(EXP(-(AH918^2)/2)/SQRT(2*PI())*EXP(0*SQRT(Table13345[[#This Row],[T]]))/$A$4*18%*SQRT(SQRT(Table13345[[#This Row],[T]])))</f>
        <v>#DIV/0!</v>
      </c>
      <c r="AK918" t="e">
        <f ca="1">Table13345[[#This Row],[Call D1]]-Table13345[[#This Row],[IV Calc C]]*SQRT(Table13345[[#This Row],[T]])</f>
        <v>#DIV/0!</v>
      </c>
      <c r="AL918" t="e">
        <f ca="1">Table13345[[#This Row],[Put D1]]-Table13345[[#This Row],[IV Calc P]]*SQRT(Table13345[[#This Row],[T]])</f>
        <v>#DIV/0!</v>
      </c>
      <c r="AM918" t="e">
        <f ca="1">EXP(-0.5*Table13345[[#This Row],[Call D1]]^2)/SQRT(2*PI())</f>
        <v>#DIV/0!</v>
      </c>
      <c r="AN918" t="e">
        <f ca="1">EXP(-0.5*Table13345[[#This Row],[Put D1]]^2)/SQRT(2*PI())</f>
        <v>#DIV/0!</v>
      </c>
      <c r="AO91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8">
        <f ca="1">((Table13345[[#This Row],[call vanna]]+Table13345[[#This Row],[put vanna]])*$A$4)</f>
        <v>0</v>
      </c>
      <c r="AR91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8" s="9" t="str" cm="1">
        <f t="array" ref="AT918">_xlfn.IFS(     $M$1="SPX","SPXW",     $M$1="RUT","RUTW",  $M$1="NDX","NDXP",   TRUE,$M$1 )</f>
        <v>SPXW</v>
      </c>
      <c r="AU918" s="2">
        <f t="shared" si="92"/>
        <v>6915</v>
      </c>
      <c r="AV918" t="str">
        <f t="shared" si="93"/>
        <v>000100</v>
      </c>
      <c r="AY91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8">
        <f>((Table13345[[#This Row],[High C]]+Table13345[[#This Row],[Low C]])/2)*Table13345[[#This Row],[gammac]]*Table13345[[#This Row],[Volume]]</f>
        <v>0</v>
      </c>
      <c r="BD918">
        <f>((Table13345[[#This Row],[High P]]+Table13345[[#This Row],[Low P]])/2)*Table13345[[#This Row],[gammap]]*Table13345[[#This Row],[Volume9]]*-1</f>
        <v>0</v>
      </c>
      <c r="BE918">
        <f>(Table13345[[#This Row],[SgammaC]]+Table13345[[#This Row],[SgammaP]])*$A$4*-100</f>
        <v>0</v>
      </c>
      <c r="BF918">
        <f>Table13345[[#This Row],[DEXc]]+Table13345[[#This Row],[DEXp]]</f>
        <v>0</v>
      </c>
      <c r="BG918">
        <f>IFERROR(Table13345[[#This Row],[DeltaC]]*Table13345[[#This Row],[Open.Int]]*$A$4,0)</f>
        <v>0</v>
      </c>
      <c r="BH918">
        <f>IFERROR(Table13345[[#This Row],[DeltaP]]*Table13345[[#This Row],[Open.Int8]]*$A$4,0)</f>
        <v>0</v>
      </c>
      <c r="BI91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8">
        <f ca="1">Table13345[[#This Row],[charmc]]+Table13345[[#This Row],[charmp]]</f>
        <v>0</v>
      </c>
      <c r="BL91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8" s="78">
        <f ca="1">Table13345[[#This Row],[call helper]]+Table13345[[#This Row],[put helper]]</f>
        <v>0</v>
      </c>
      <c r="BP918" t="str">
        <f>RTD("tos.rtd", , "STRIKE", "."&amp;Table13345[[#This Row],[Ticker]]&amp;Table13345[[#This Row],[Expiry]]&amp;""&amp;"C"&amp;Table13345[[#This Row],[Spot]]+Table13345[[#This Row],[step]])</f>
        <v>N/A</v>
      </c>
    </row>
    <row r="919" spans="1:68" x14ac:dyDescent="0.25">
      <c r="A919" s="14">
        <f t="shared" ca="1" si="89"/>
        <v>-126.14810350076104</v>
      </c>
      <c r="C919" s="17"/>
      <c r="D919" t="str">
        <f>RTD("tos.rtd", , "OPEN_INT", "."&amp;Table13345[[#This Row],[Ticker]]&amp;Table13345[[#This Row],[Expiry]]&amp;""&amp;"C"&amp;Table13345[[#This Row],[Spot]]+Table13345[[#This Row],[step]])</f>
        <v>N/A</v>
      </c>
      <c r="E91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9" t="b">
        <f>IF(     ISNUMBER(Table13345[[#This Row],[Strike]]),RTD("tos.rtd", , "DELTA", "."&amp;Table13345[[#This Row],[Ticker]]&amp;Table13345[[#This Row],[Expiry]]&amp;""&amp;"C"&amp;Table13345[[#This Row],[Strike]]))</f>
        <v>0</v>
      </c>
      <c r="H919" s="17" cm="1">
        <f t="array" aca="1" ref="H919" ca="1">IndividualLegIVCore($A$4, Table13345[[#This Row],[Strike]], 0.0411, Table13345[[#This Row],[T]], ((Table13345[[#This Row],[BIDC]]+Table13345[[#This Row],[ASKC]])/2), TRUE)</f>
        <v>0.01</v>
      </c>
      <c r="I919" t="b">
        <f>IF(     ISNUMBER(Table13345[[#This Row],[Strike]]),RTD("tos.rtd", , "BID", "."&amp;Table13345[[#This Row],[Ticker]]&amp;Table13345[[#This Row],[Expiry]]&amp;""&amp;"C"&amp;Table13345[[#This Row],[Strike]]))</f>
        <v>0</v>
      </c>
      <c r="J919" t="b">
        <f>IF(     ISNUMBER(Table13345[[#This Row],[Strike]]),RTD("tos.rtd", , "ASK", "."&amp;Table13345[[#This Row],[Ticker]]&amp;Table13345[[#This Row],[Expiry]]&amp;""&amp;"C"&amp;Table13345[[#This Row],[Strike]]))</f>
        <v>0</v>
      </c>
      <c r="K919" s="17"/>
      <c r="M919" s="1">
        <f t="shared" si="90"/>
        <v>0</v>
      </c>
      <c r="N919" t="b">
        <f t="shared" si="91"/>
        <v>0</v>
      </c>
      <c r="P919" s="17" cm="1">
        <f t="array" aca="1" ref="P919" ca="1">IndividualLegIVCore($A$4, Table13345[[#This Row],[Strike]], 0.0411, Table13345[[#This Row],[T]], ((Table13345[[#This Row],[BIDP]]+Table13345[[#This Row],[ASKP]])/2), FALSE)</f>
        <v>0.01</v>
      </c>
      <c r="Q919" t="b">
        <f>IF(     ISNUMBER(Table13345[[#This Row],[Strike]]),RTD("tos.rtd", , "BID", "."&amp;Table13345[[#This Row],[Ticker]]&amp;Table13345[[#This Row],[Expiry]]&amp;""&amp;"P"&amp;Table13345[[#This Row],[Strike]]))</f>
        <v>0</v>
      </c>
      <c r="R919" t="b">
        <f>IF(     ISNUMBER(Table13345[[#This Row],[Strike]]),RTD("tos.rtd", , "ASK", "."&amp;Table13345[[#This Row],[Ticker]]&amp;Table13345[[#This Row],[Expiry]]&amp;""&amp;"P"&amp;Table13345[[#This Row],[Strike]]))</f>
        <v>0</v>
      </c>
      <c r="S919" s="17"/>
      <c r="T919" t="b">
        <f>IF(     ISNUMBER(Table13345[[#This Row],[Strike]]),RTD("tos.rtd", , "OPEN_INT", "."&amp;Table13345[[#This Row],[Ticker]]&amp;Table13345[[#This Row],[Expiry]]&amp;""&amp;"P"&amp;Table13345[[#This Row],[Strike]]))</f>
        <v>0</v>
      </c>
      <c r="U91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9" t="b">
        <f>IF(     ISNUMBER(Table13345[[#This Row],[Strike]]),RTD("tos.rtd", , "DELTA", "."&amp;Table13345[[#This Row],[Ticker]]&amp;Table13345[[#This Row],[Expiry]]&amp;""&amp;"P"&amp;Table13345[[#This Row],[Strike]]))</f>
        <v>0</v>
      </c>
      <c r="Y919" s="19">
        <f>-1.5* IF($M$1="NDX", 10, IF(OR($M$1="SPX", $M$1="RUT"), 2, 1))</f>
        <v>-3</v>
      </c>
      <c r="Z919">
        <f ca="1">IFERROR(Table13345[[#This Row],[call gamma]]*(Table13345[[#This Row],[Open.Int]])*$A$4^2,0)</f>
        <v>0</v>
      </c>
      <c r="AA919">
        <f ca="1">IFERROR(((Table13345[[#This Row],[Open.Int8]])*Table13345[[#This Row],[Put gamma]])*-1*$A$4^2,0)</f>
        <v>0</v>
      </c>
      <c r="AB919">
        <f ca="1">(Table13345[[#This Row],[Call Gex]]+Table13345[[#This Row],[Put Gex]])</f>
        <v>0</v>
      </c>
      <c r="AC919">
        <f ca="1">Table13345[[#This Row],[put delta adj]]+Table13345[[#This Row],[call delta adj]]</f>
        <v>0</v>
      </c>
      <c r="AD919">
        <f ca="1">Table13345[[#This Row],[Put Gex]]*Table13345[[#This Row],[DeltaP]]*-1</f>
        <v>0</v>
      </c>
      <c r="AE919">
        <f ca="1">Table13345[[#This Row],[Call Gex]]*Table13345[[#This Row],[DeltaC]]</f>
        <v>0</v>
      </c>
      <c r="AF919">
        <f>IF(Table13345[[#This Row],[DeltaC]]-ABS(Table13345[[#This Row],[DeltaP]])="0","0.01",Table13345[[#This Row],[DeltaC]]-ABS(Table13345[[#This Row],[DeltaP]]))</f>
        <v>0</v>
      </c>
      <c r="AG91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9" t="e">
        <f ca="1">(EXP(-(AG919^2)/2)/SQRT(2*PI())*EXP(0*SQRT(Table13345[[#This Row],[T]]))/$A$4*18%*SQRT(SQRT(Table13345[[#This Row],[T]])))</f>
        <v>#DIV/0!</v>
      </c>
      <c r="AJ919" t="e">
        <f ca="1">(EXP(-(AH919^2)/2)/SQRT(2*PI())*EXP(0*SQRT(Table13345[[#This Row],[T]]))/$A$4*18%*SQRT(SQRT(Table13345[[#This Row],[T]])))</f>
        <v>#DIV/0!</v>
      </c>
      <c r="AK919" t="e">
        <f ca="1">Table13345[[#This Row],[Call D1]]-Table13345[[#This Row],[IV Calc C]]*SQRT(Table13345[[#This Row],[T]])</f>
        <v>#DIV/0!</v>
      </c>
      <c r="AL919" t="e">
        <f ca="1">Table13345[[#This Row],[Put D1]]-Table13345[[#This Row],[IV Calc P]]*SQRT(Table13345[[#This Row],[T]])</f>
        <v>#DIV/0!</v>
      </c>
      <c r="AM919" t="e">
        <f ca="1">EXP(-0.5*Table13345[[#This Row],[Call D1]]^2)/SQRT(2*PI())</f>
        <v>#DIV/0!</v>
      </c>
      <c r="AN919" t="e">
        <f ca="1">EXP(-0.5*Table13345[[#This Row],[Put D1]]^2)/SQRT(2*PI())</f>
        <v>#DIV/0!</v>
      </c>
      <c r="AO91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9">
        <f ca="1">((Table13345[[#This Row],[call vanna]]+Table13345[[#This Row],[put vanna]])*$A$4)</f>
        <v>0</v>
      </c>
      <c r="AR91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9" s="9" t="str" cm="1">
        <f t="array" ref="AT919">_xlfn.IFS(     $M$1="SPX","SPXW",     $M$1="RUT","RUTW",  $M$1="NDX","NDXP",   TRUE,$M$1 )</f>
        <v>SPXW</v>
      </c>
      <c r="AU919" s="2">
        <f t="shared" si="92"/>
        <v>6915</v>
      </c>
      <c r="AV919" t="str">
        <f t="shared" si="93"/>
        <v>000100</v>
      </c>
      <c r="AY91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9">
        <f>((Table13345[[#This Row],[High C]]+Table13345[[#This Row],[Low C]])/2)*Table13345[[#This Row],[gammac]]*Table13345[[#This Row],[Volume]]</f>
        <v>0</v>
      </c>
      <c r="BD919">
        <f>((Table13345[[#This Row],[High P]]+Table13345[[#This Row],[Low P]])/2)*Table13345[[#This Row],[gammap]]*Table13345[[#This Row],[Volume9]]*-1</f>
        <v>0</v>
      </c>
      <c r="BE919">
        <f>(Table13345[[#This Row],[SgammaC]]+Table13345[[#This Row],[SgammaP]])*$A$4*-100</f>
        <v>0</v>
      </c>
      <c r="BF919">
        <f>Table13345[[#This Row],[DEXc]]+Table13345[[#This Row],[DEXp]]</f>
        <v>0</v>
      </c>
      <c r="BG919">
        <f>IFERROR(Table13345[[#This Row],[DeltaC]]*Table13345[[#This Row],[Open.Int]]*$A$4,0)</f>
        <v>0</v>
      </c>
      <c r="BH919">
        <f>IFERROR(Table13345[[#This Row],[DeltaP]]*Table13345[[#This Row],[Open.Int8]]*$A$4,0)</f>
        <v>0</v>
      </c>
      <c r="BI91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9">
        <f ca="1">Table13345[[#This Row],[charmc]]+Table13345[[#This Row],[charmp]]</f>
        <v>0</v>
      </c>
      <c r="BL91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9" s="78">
        <f ca="1">Table13345[[#This Row],[call helper]]+Table13345[[#This Row],[put helper]]</f>
        <v>0</v>
      </c>
      <c r="BP919" t="str">
        <f>RTD("tos.rtd", , "STRIKE", "."&amp;Table13345[[#This Row],[Ticker]]&amp;Table13345[[#This Row],[Expiry]]&amp;""&amp;"C"&amp;Table13345[[#This Row],[Spot]]+Table13345[[#This Row],[step]])</f>
        <v>N/A</v>
      </c>
    </row>
    <row r="920" spans="1:68" x14ac:dyDescent="0.25">
      <c r="A920" s="14">
        <f t="shared" ca="1" si="89"/>
        <v>-126.14810350076104</v>
      </c>
      <c r="C920" s="17"/>
      <c r="D920" t="str">
        <f>RTD("tos.rtd", , "OPEN_INT", "."&amp;Table13345[[#This Row],[Ticker]]&amp;Table13345[[#This Row],[Expiry]]&amp;""&amp;"C"&amp;Table13345[[#This Row],[Spot]]+Table13345[[#This Row],[step]])</f>
        <v>N/A</v>
      </c>
      <c r="E92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0" t="b">
        <f>IF(     ISNUMBER(Table13345[[#This Row],[Strike]]),RTD("tos.rtd", , "DELTA", "."&amp;Table13345[[#This Row],[Ticker]]&amp;Table13345[[#This Row],[Expiry]]&amp;""&amp;"C"&amp;Table13345[[#This Row],[Strike]]))</f>
        <v>0</v>
      </c>
      <c r="H920" s="17" cm="1">
        <f t="array" aca="1" ref="H920" ca="1">IndividualLegIVCore($A$4, Table13345[[#This Row],[Strike]], 0.0411, Table13345[[#This Row],[T]], ((Table13345[[#This Row],[BIDC]]+Table13345[[#This Row],[ASKC]])/2), TRUE)</f>
        <v>0.01</v>
      </c>
      <c r="I920" t="b">
        <f>IF(     ISNUMBER(Table13345[[#This Row],[Strike]]),RTD("tos.rtd", , "BID", "."&amp;Table13345[[#This Row],[Ticker]]&amp;Table13345[[#This Row],[Expiry]]&amp;""&amp;"C"&amp;Table13345[[#This Row],[Strike]]))</f>
        <v>0</v>
      </c>
      <c r="J920" t="b">
        <f>IF(     ISNUMBER(Table13345[[#This Row],[Strike]]),RTD("tos.rtd", , "ASK", "."&amp;Table13345[[#This Row],[Ticker]]&amp;Table13345[[#This Row],[Expiry]]&amp;""&amp;"C"&amp;Table13345[[#This Row],[Strike]]))</f>
        <v>0</v>
      </c>
      <c r="K920" s="17"/>
      <c r="M920" s="1">
        <f t="shared" si="90"/>
        <v>0</v>
      </c>
      <c r="N920" t="b">
        <f t="shared" si="91"/>
        <v>0</v>
      </c>
      <c r="P920" s="17" cm="1">
        <f t="array" aca="1" ref="P920" ca="1">IndividualLegIVCore($A$4, Table13345[[#This Row],[Strike]], 0.0411, Table13345[[#This Row],[T]], ((Table13345[[#This Row],[BIDP]]+Table13345[[#This Row],[ASKP]])/2), FALSE)</f>
        <v>0.01</v>
      </c>
      <c r="Q920" t="b">
        <f>IF(     ISNUMBER(Table13345[[#This Row],[Strike]]),RTD("tos.rtd", , "BID", "."&amp;Table13345[[#This Row],[Ticker]]&amp;Table13345[[#This Row],[Expiry]]&amp;""&amp;"P"&amp;Table13345[[#This Row],[Strike]]))</f>
        <v>0</v>
      </c>
      <c r="R920" t="b">
        <f>IF(     ISNUMBER(Table13345[[#This Row],[Strike]]),RTD("tos.rtd", , "ASK", "."&amp;Table13345[[#This Row],[Ticker]]&amp;Table13345[[#This Row],[Expiry]]&amp;""&amp;"P"&amp;Table13345[[#This Row],[Strike]]))</f>
        <v>0</v>
      </c>
      <c r="S920" s="17"/>
      <c r="T920" t="b">
        <f>IF(     ISNUMBER(Table13345[[#This Row],[Strike]]),RTD("tos.rtd", , "OPEN_INT", "."&amp;Table13345[[#This Row],[Ticker]]&amp;Table13345[[#This Row],[Expiry]]&amp;""&amp;"P"&amp;Table13345[[#This Row],[Strike]]))</f>
        <v>0</v>
      </c>
      <c r="U92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0" t="b">
        <f>IF(     ISNUMBER(Table13345[[#This Row],[Strike]]),RTD("tos.rtd", , "DELTA", "."&amp;Table13345[[#This Row],[Ticker]]&amp;Table13345[[#This Row],[Expiry]]&amp;""&amp;"P"&amp;Table13345[[#This Row],[Strike]]))</f>
        <v>0</v>
      </c>
      <c r="Y920" s="19">
        <f>-1* IF($M$1="NDX", 10, IF(OR($M$1="SPX", $M$1="RUT"), 2, 1))</f>
        <v>-2</v>
      </c>
      <c r="Z920">
        <f ca="1">IFERROR(Table13345[[#This Row],[call gamma]]*(Table13345[[#This Row],[Open.Int]])*$A$4^2,0)</f>
        <v>0</v>
      </c>
      <c r="AA920">
        <f ca="1">IFERROR(((Table13345[[#This Row],[Open.Int8]])*Table13345[[#This Row],[Put gamma]])*-1*$A$4^2,0)</f>
        <v>0</v>
      </c>
      <c r="AB920">
        <f ca="1">(Table13345[[#This Row],[Call Gex]]+Table13345[[#This Row],[Put Gex]])</f>
        <v>0</v>
      </c>
      <c r="AC920">
        <f ca="1">Table13345[[#This Row],[put delta adj]]+Table13345[[#This Row],[call delta adj]]</f>
        <v>0</v>
      </c>
      <c r="AD920">
        <f ca="1">Table13345[[#This Row],[Put Gex]]*Table13345[[#This Row],[DeltaP]]*-1</f>
        <v>0</v>
      </c>
      <c r="AE920">
        <f ca="1">Table13345[[#This Row],[Call Gex]]*Table13345[[#This Row],[DeltaC]]</f>
        <v>0</v>
      </c>
      <c r="AF920">
        <f>IF(Table13345[[#This Row],[DeltaC]]-ABS(Table13345[[#This Row],[DeltaP]])="0","0.01",Table13345[[#This Row],[DeltaC]]-ABS(Table13345[[#This Row],[DeltaP]]))</f>
        <v>0</v>
      </c>
      <c r="AG92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0" t="e">
        <f ca="1">(EXP(-(AG920^2)/2)/SQRT(2*PI())*EXP(0*SQRT(Table13345[[#This Row],[T]]))/$A$4*18%*SQRT(SQRT(Table13345[[#This Row],[T]])))</f>
        <v>#DIV/0!</v>
      </c>
      <c r="AJ920" t="e">
        <f ca="1">(EXP(-(AH920^2)/2)/SQRT(2*PI())*EXP(0*SQRT(Table13345[[#This Row],[T]]))/$A$4*18%*SQRT(SQRT(Table13345[[#This Row],[T]])))</f>
        <v>#DIV/0!</v>
      </c>
      <c r="AK920" t="e">
        <f ca="1">Table13345[[#This Row],[Call D1]]-Table13345[[#This Row],[IV Calc C]]*SQRT(Table13345[[#This Row],[T]])</f>
        <v>#DIV/0!</v>
      </c>
      <c r="AL920" t="e">
        <f ca="1">Table13345[[#This Row],[Put D1]]-Table13345[[#This Row],[IV Calc P]]*SQRT(Table13345[[#This Row],[T]])</f>
        <v>#DIV/0!</v>
      </c>
      <c r="AM920" t="e">
        <f ca="1">EXP(-0.5*Table13345[[#This Row],[Call D1]]^2)/SQRT(2*PI())</f>
        <v>#DIV/0!</v>
      </c>
      <c r="AN920" t="e">
        <f ca="1">EXP(-0.5*Table13345[[#This Row],[Put D1]]^2)/SQRT(2*PI())</f>
        <v>#DIV/0!</v>
      </c>
      <c r="AO92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0">
        <f ca="1">((Table13345[[#This Row],[call vanna]]+Table13345[[#This Row],[put vanna]])*$A$4)</f>
        <v>0</v>
      </c>
      <c r="AR92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0" s="9" t="str" cm="1">
        <f t="array" ref="AT920">_xlfn.IFS(     $M$1="SPX","SPXW",     $M$1="RUT","RUTW",  $M$1="NDX","NDXP",   TRUE,$M$1 )</f>
        <v>SPXW</v>
      </c>
      <c r="AU920" s="2">
        <f t="shared" si="92"/>
        <v>6915</v>
      </c>
      <c r="AV920" t="str">
        <f t="shared" si="93"/>
        <v>000100</v>
      </c>
      <c r="AY92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0">
        <f>((Table13345[[#This Row],[High C]]+Table13345[[#This Row],[Low C]])/2)*Table13345[[#This Row],[gammac]]*Table13345[[#This Row],[Volume]]</f>
        <v>0</v>
      </c>
      <c r="BD920">
        <f>((Table13345[[#This Row],[High P]]+Table13345[[#This Row],[Low P]])/2)*Table13345[[#This Row],[gammap]]*Table13345[[#This Row],[Volume9]]*-1</f>
        <v>0</v>
      </c>
      <c r="BE920">
        <f>(Table13345[[#This Row],[SgammaC]]+Table13345[[#This Row],[SgammaP]])*$A$4*-100</f>
        <v>0</v>
      </c>
      <c r="BF920">
        <f>Table13345[[#This Row],[DEXc]]+Table13345[[#This Row],[DEXp]]</f>
        <v>0</v>
      </c>
      <c r="BG920">
        <f>IFERROR(Table13345[[#This Row],[DeltaC]]*Table13345[[#This Row],[Open.Int]]*$A$4,0)</f>
        <v>0</v>
      </c>
      <c r="BH920">
        <f>IFERROR(Table13345[[#This Row],[DeltaP]]*Table13345[[#This Row],[Open.Int8]]*$A$4,0)</f>
        <v>0</v>
      </c>
      <c r="BI92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0">
        <f ca="1">Table13345[[#This Row],[charmc]]+Table13345[[#This Row],[charmp]]</f>
        <v>0</v>
      </c>
      <c r="BL92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0" s="78">
        <f ca="1">Table13345[[#This Row],[call helper]]+Table13345[[#This Row],[put helper]]</f>
        <v>0</v>
      </c>
      <c r="BP920" t="str">
        <f>RTD("tos.rtd", , "STRIKE", "."&amp;Table13345[[#This Row],[Ticker]]&amp;Table13345[[#This Row],[Expiry]]&amp;""&amp;"C"&amp;Table13345[[#This Row],[Spot]]+Table13345[[#This Row],[step]])</f>
        <v>N/A</v>
      </c>
    </row>
    <row r="921" spans="1:68" ht="15.75" thickBot="1" x14ac:dyDescent="0.3">
      <c r="A921" s="14">
        <f t="shared" ca="1" si="89"/>
        <v>-126.14810350076104</v>
      </c>
      <c r="C921" s="17"/>
      <c r="D921" t="str">
        <f>RTD("tos.rtd", , "OPEN_INT", "."&amp;Table13345[[#This Row],[Ticker]]&amp;Table13345[[#This Row],[Expiry]]&amp;""&amp;"C"&amp;Table13345[[#This Row],[Spot]]+Table13345[[#This Row],[step]])</f>
        <v>N/A</v>
      </c>
      <c r="E92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1" t="b">
        <f>IF(     ISNUMBER(Table13345[[#This Row],[Strike]]),RTD("tos.rtd", , "DELTA", "."&amp;Table13345[[#This Row],[Ticker]]&amp;Table13345[[#This Row],[Expiry]]&amp;""&amp;"C"&amp;Table13345[[#This Row],[Strike]]))</f>
        <v>0</v>
      </c>
      <c r="H921" s="17" cm="1">
        <f t="array" aca="1" ref="H921" ca="1">IndividualLegIVCore($A$4, Table13345[[#This Row],[Strike]], 0.0411, Table13345[[#This Row],[T]], ((Table13345[[#This Row],[BIDC]]+Table13345[[#This Row],[ASKC]])/2), TRUE)</f>
        <v>0.01</v>
      </c>
      <c r="I921" t="b">
        <f>IF(     ISNUMBER(Table13345[[#This Row],[Strike]]),RTD("tos.rtd", , "BID", "."&amp;Table13345[[#This Row],[Ticker]]&amp;Table13345[[#This Row],[Expiry]]&amp;""&amp;"C"&amp;Table13345[[#This Row],[Strike]]))</f>
        <v>0</v>
      </c>
      <c r="J921" t="b">
        <f>IF(     ISNUMBER(Table13345[[#This Row],[Strike]]),RTD("tos.rtd", , "ASK", "."&amp;Table13345[[#This Row],[Ticker]]&amp;Table13345[[#This Row],[Expiry]]&amp;""&amp;"C"&amp;Table13345[[#This Row],[Strike]]))</f>
        <v>0</v>
      </c>
      <c r="K921" s="17"/>
      <c r="M921" s="1">
        <f t="shared" si="90"/>
        <v>0</v>
      </c>
      <c r="N921" t="b">
        <f t="shared" si="91"/>
        <v>0</v>
      </c>
      <c r="P921" s="17" cm="1">
        <f t="array" aca="1" ref="P921" ca="1">IndividualLegIVCore($A$4, Table13345[[#This Row],[Strike]], 0.0411, Table13345[[#This Row],[T]], ((Table13345[[#This Row],[BIDP]]+Table13345[[#This Row],[ASKP]])/2), FALSE)</f>
        <v>0.01</v>
      </c>
      <c r="Q921" t="b">
        <f>IF(     ISNUMBER(Table13345[[#This Row],[Strike]]),RTD("tos.rtd", , "BID", "."&amp;Table13345[[#This Row],[Ticker]]&amp;Table13345[[#This Row],[Expiry]]&amp;""&amp;"P"&amp;Table13345[[#This Row],[Strike]]))</f>
        <v>0</v>
      </c>
      <c r="R921" t="b">
        <f>IF(     ISNUMBER(Table13345[[#This Row],[Strike]]),RTD("tos.rtd", , "ASK", "."&amp;Table13345[[#This Row],[Ticker]]&amp;Table13345[[#This Row],[Expiry]]&amp;""&amp;"P"&amp;Table13345[[#This Row],[Strike]]))</f>
        <v>0</v>
      </c>
      <c r="S921" s="17"/>
      <c r="T921" t="b">
        <f>IF(     ISNUMBER(Table13345[[#This Row],[Strike]]),RTD("tos.rtd", , "OPEN_INT", "."&amp;Table13345[[#This Row],[Ticker]]&amp;Table13345[[#This Row],[Expiry]]&amp;""&amp;"P"&amp;Table13345[[#This Row],[Strike]]))</f>
        <v>0</v>
      </c>
      <c r="U92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1" t="b">
        <f>IF(     ISNUMBER(Table13345[[#This Row],[Strike]]),RTD("tos.rtd", , "DELTA", "."&amp;Table13345[[#This Row],[Ticker]]&amp;Table13345[[#This Row],[Expiry]]&amp;""&amp;"P"&amp;Table13345[[#This Row],[Strike]]))</f>
        <v>0</v>
      </c>
      <c r="Y921" s="19">
        <f>-0.5* IF($M$1="NDX", 10, IF(OR($M$1="SPX", $M$1="RUT"), 2, 1))</f>
        <v>-1</v>
      </c>
      <c r="Z921">
        <f ca="1">IFERROR(Table13345[[#This Row],[call gamma]]*(Table13345[[#This Row],[Open.Int]])*$A$4^2,0)</f>
        <v>0</v>
      </c>
      <c r="AA921">
        <f ca="1">IFERROR(((Table13345[[#This Row],[Open.Int8]])*Table13345[[#This Row],[Put gamma]])*-1*$A$4^2,0)</f>
        <v>0</v>
      </c>
      <c r="AB921">
        <f ca="1">(Table13345[[#This Row],[Call Gex]]+Table13345[[#This Row],[Put Gex]])</f>
        <v>0</v>
      </c>
      <c r="AC921">
        <f ca="1">Table13345[[#This Row],[put delta adj]]+Table13345[[#This Row],[call delta adj]]</f>
        <v>0</v>
      </c>
      <c r="AD921">
        <f ca="1">Table13345[[#This Row],[Put Gex]]*Table13345[[#This Row],[DeltaP]]*-1</f>
        <v>0</v>
      </c>
      <c r="AE921">
        <f ca="1">Table13345[[#This Row],[Call Gex]]*Table13345[[#This Row],[DeltaC]]</f>
        <v>0</v>
      </c>
      <c r="AF921">
        <f>IF(Table13345[[#This Row],[DeltaC]]-ABS(Table13345[[#This Row],[DeltaP]])="0","0.01",Table13345[[#This Row],[DeltaC]]-ABS(Table13345[[#This Row],[DeltaP]]))</f>
        <v>0</v>
      </c>
      <c r="AG92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1" t="e">
        <f ca="1">(EXP(-(AG921^2)/2)/SQRT(2*PI())*EXP(0*SQRT(Table13345[[#This Row],[T]]))/$A$4*18%*SQRT(SQRT(Table13345[[#This Row],[T]])))</f>
        <v>#DIV/0!</v>
      </c>
      <c r="AJ921" t="e">
        <f ca="1">(EXP(-(AH921^2)/2)/SQRT(2*PI())*EXP(0*SQRT(Table13345[[#This Row],[T]]))/$A$4*18%*SQRT(SQRT(Table13345[[#This Row],[T]])))</f>
        <v>#DIV/0!</v>
      </c>
      <c r="AK921" t="e">
        <f ca="1">Table13345[[#This Row],[Call D1]]-Table13345[[#This Row],[IV Calc C]]*SQRT(Table13345[[#This Row],[T]])</f>
        <v>#DIV/0!</v>
      </c>
      <c r="AL921" t="e">
        <f ca="1">Table13345[[#This Row],[Put D1]]-Table13345[[#This Row],[IV Calc P]]*SQRT(Table13345[[#This Row],[T]])</f>
        <v>#DIV/0!</v>
      </c>
      <c r="AM921" t="e">
        <f ca="1">EXP(-0.5*Table13345[[#This Row],[Call D1]]^2)/SQRT(2*PI())</f>
        <v>#DIV/0!</v>
      </c>
      <c r="AN921" t="e">
        <f ca="1">EXP(-0.5*Table13345[[#This Row],[Put D1]]^2)/SQRT(2*PI())</f>
        <v>#DIV/0!</v>
      </c>
      <c r="AO92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1">
        <f ca="1">((Table13345[[#This Row],[call vanna]]+Table13345[[#This Row],[put vanna]])*$A$4)</f>
        <v>0</v>
      </c>
      <c r="AR92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1" s="9" t="str" cm="1">
        <f t="array" ref="AT921">_xlfn.IFS(     $M$1="SPX","SPXW",     $M$1="RUT","RUTW",  $M$1="NDX","NDXP",   TRUE,$M$1 )</f>
        <v>SPXW</v>
      </c>
      <c r="AU921" s="2">
        <f t="shared" si="92"/>
        <v>6915</v>
      </c>
      <c r="AV921" t="str">
        <f t="shared" si="93"/>
        <v>000100</v>
      </c>
      <c r="AY92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1">
        <f>((Table13345[[#This Row],[High C]]+Table13345[[#This Row],[Low C]])/2)*Table13345[[#This Row],[gammac]]*Table13345[[#This Row],[Volume]]</f>
        <v>0</v>
      </c>
      <c r="BD921">
        <f>((Table13345[[#This Row],[High P]]+Table13345[[#This Row],[Low P]])/2)*Table13345[[#This Row],[gammap]]*Table13345[[#This Row],[Volume9]]*-1</f>
        <v>0</v>
      </c>
      <c r="BE921">
        <f>(Table13345[[#This Row],[SgammaC]]+Table13345[[#This Row],[SgammaP]])*$A$4*-100</f>
        <v>0</v>
      </c>
      <c r="BF921">
        <f>Table13345[[#This Row],[DEXc]]+Table13345[[#This Row],[DEXp]]</f>
        <v>0</v>
      </c>
      <c r="BG921">
        <f>IFERROR(Table13345[[#This Row],[DeltaC]]*Table13345[[#This Row],[Open.Int]]*$A$4,0)</f>
        <v>0</v>
      </c>
      <c r="BH921">
        <f>IFERROR(Table13345[[#This Row],[DeltaP]]*Table13345[[#This Row],[Open.Int8]]*$A$4,0)</f>
        <v>0</v>
      </c>
      <c r="BI92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1">
        <f ca="1">Table13345[[#This Row],[charmc]]+Table13345[[#This Row],[charmp]]</f>
        <v>0</v>
      </c>
      <c r="BL92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1" s="78">
        <f ca="1">Table13345[[#This Row],[call helper]]+Table13345[[#This Row],[put helper]]</f>
        <v>0</v>
      </c>
      <c r="BP921" t="str">
        <f>RTD("tos.rtd", , "STRIKE", "."&amp;Table13345[[#This Row],[Ticker]]&amp;Table13345[[#This Row],[Expiry]]&amp;""&amp;"C"&amp;Table13345[[#This Row],[Spot]]+Table13345[[#This Row],[step]])</f>
        <v>N/A</v>
      </c>
    </row>
    <row r="922" spans="1:68" ht="15.75" thickBot="1" x14ac:dyDescent="0.3">
      <c r="A922" s="14">
        <f t="shared" ca="1" si="89"/>
        <v>-126.14810350076104</v>
      </c>
      <c r="C922" s="17"/>
      <c r="D922" t="str">
        <f>RTD("tos.rtd", , "OPEN_INT", "."&amp;Table13345[[#This Row],[Ticker]]&amp;Table13345[[#This Row],[Expiry]]&amp;""&amp;"C"&amp;Table13345[[#This Row],[Spot]]+Table13345[[#This Row],[step]])</f>
        <v>N/A</v>
      </c>
      <c r="E9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2" t="b">
        <f>IF(     ISNUMBER(Table13345[[#This Row],[Strike]]),RTD("tos.rtd", , "DELTA", "."&amp;Table13345[[#This Row],[Ticker]]&amp;Table13345[[#This Row],[Expiry]]&amp;""&amp;"C"&amp;Table13345[[#This Row],[Strike]]))</f>
        <v>0</v>
      </c>
      <c r="H922" s="17" cm="1">
        <f t="array" aca="1" ref="H922" ca="1">IndividualLegIVCore($A$4, Table13345[[#This Row],[Strike]], 0.0411, Table13345[[#This Row],[T]], ((Table13345[[#This Row],[BIDC]]+Table13345[[#This Row],[ASKC]])/2), TRUE)</f>
        <v>0.01</v>
      </c>
      <c r="I922" t="b">
        <f>IF(     ISNUMBER(Table13345[[#This Row],[Strike]]),RTD("tos.rtd", , "BID", "."&amp;Table13345[[#This Row],[Ticker]]&amp;Table13345[[#This Row],[Expiry]]&amp;""&amp;"C"&amp;Table13345[[#This Row],[Strike]]))</f>
        <v>0</v>
      </c>
      <c r="J922" t="b">
        <f>IF(     ISNUMBER(Table13345[[#This Row],[Strike]]),RTD("tos.rtd", , "ASK", "."&amp;Table13345[[#This Row],[Ticker]]&amp;Table13345[[#This Row],[Expiry]]&amp;""&amp;"C"&amp;Table13345[[#This Row],[Strike]]))</f>
        <v>0</v>
      </c>
      <c r="K922" s="17"/>
      <c r="M922" s="1">
        <f t="shared" si="90"/>
        <v>0</v>
      </c>
      <c r="N922" t="b">
        <f t="shared" si="91"/>
        <v>0</v>
      </c>
      <c r="P922" s="17" cm="1">
        <f t="array" aca="1" ref="P922" ca="1">IndividualLegIVCore($A$4, Table13345[[#This Row],[Strike]], 0.0411, Table13345[[#This Row],[T]], ((Table13345[[#This Row],[BIDP]]+Table13345[[#This Row],[ASKP]])/2), FALSE)</f>
        <v>0.01</v>
      </c>
      <c r="Q922" t="b">
        <f>IF(     ISNUMBER(Table13345[[#This Row],[Strike]]),RTD("tos.rtd", , "BID", "."&amp;Table13345[[#This Row],[Ticker]]&amp;Table13345[[#This Row],[Expiry]]&amp;""&amp;"P"&amp;Table13345[[#This Row],[Strike]]))</f>
        <v>0</v>
      </c>
      <c r="R922" t="b">
        <f>IF(     ISNUMBER(Table13345[[#This Row],[Strike]]),RTD("tos.rtd", , "ASK", "."&amp;Table13345[[#This Row],[Ticker]]&amp;Table13345[[#This Row],[Expiry]]&amp;""&amp;"P"&amp;Table13345[[#This Row],[Strike]]))</f>
        <v>0</v>
      </c>
      <c r="S922" s="17"/>
      <c r="T922" t="b">
        <f>IF(     ISNUMBER(Table13345[[#This Row],[Strike]]),RTD("tos.rtd", , "OPEN_INT", "."&amp;Table13345[[#This Row],[Ticker]]&amp;Table13345[[#This Row],[Expiry]]&amp;""&amp;"P"&amp;Table13345[[#This Row],[Strike]]))</f>
        <v>0</v>
      </c>
      <c r="U9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2" t="b">
        <f>IF(     ISNUMBER(Table13345[[#This Row],[Strike]]),RTD("tos.rtd", , "DELTA", "."&amp;Table13345[[#This Row],[Ticker]]&amp;Table13345[[#This Row],[Expiry]]&amp;""&amp;"P"&amp;Table13345[[#This Row],[Strike]]))</f>
        <v>0</v>
      </c>
      <c r="Y922" s="55">
        <v>0</v>
      </c>
      <c r="Z922">
        <f ca="1">IFERROR(Table13345[[#This Row],[call gamma]]*(Table13345[[#This Row],[Open.Int]])*$A$4^2,0)</f>
        <v>0</v>
      </c>
      <c r="AA922">
        <f ca="1">IFERROR(((Table13345[[#This Row],[Open.Int8]])*Table13345[[#This Row],[Put gamma]])*-1*$A$4^2,0)</f>
        <v>0</v>
      </c>
      <c r="AB922">
        <f ca="1">(Table13345[[#This Row],[Call Gex]]+Table13345[[#This Row],[Put Gex]])</f>
        <v>0</v>
      </c>
      <c r="AC922">
        <f ca="1">Table13345[[#This Row],[put delta adj]]+Table13345[[#This Row],[call delta adj]]</f>
        <v>0</v>
      </c>
      <c r="AD922">
        <f ca="1">Table13345[[#This Row],[Put Gex]]*Table13345[[#This Row],[DeltaP]]*-1</f>
        <v>0</v>
      </c>
      <c r="AE922">
        <f ca="1">Table13345[[#This Row],[Call Gex]]*Table13345[[#This Row],[DeltaC]]</f>
        <v>0</v>
      </c>
      <c r="AF922">
        <f>IF(Table13345[[#This Row],[DeltaC]]-ABS(Table13345[[#This Row],[DeltaP]])="0","0.01",Table13345[[#This Row],[DeltaC]]-ABS(Table13345[[#This Row],[DeltaP]]))</f>
        <v>0</v>
      </c>
      <c r="AG9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2" t="e">
        <f ca="1">(EXP(-(AG922^2)/2)/SQRT(2*PI())*EXP(0*SQRT(Table13345[[#This Row],[T]]))/$A$4*18%*SQRT(SQRT(Table13345[[#This Row],[T]])))</f>
        <v>#DIV/0!</v>
      </c>
      <c r="AJ922" t="e">
        <f ca="1">(EXP(-(AH922^2)/2)/SQRT(2*PI())*EXP(0*SQRT(Table13345[[#This Row],[T]]))/$A$4*18%*SQRT(SQRT(Table13345[[#This Row],[T]])))</f>
        <v>#DIV/0!</v>
      </c>
      <c r="AK922" t="e">
        <f ca="1">Table13345[[#This Row],[Call D1]]-Table13345[[#This Row],[IV Calc C]]*SQRT(Table13345[[#This Row],[T]])</f>
        <v>#DIV/0!</v>
      </c>
      <c r="AL922" t="e">
        <f ca="1">Table13345[[#This Row],[Put D1]]-Table13345[[#This Row],[IV Calc P]]*SQRT(Table13345[[#This Row],[T]])</f>
        <v>#DIV/0!</v>
      </c>
      <c r="AM922" t="e">
        <f ca="1">EXP(-0.5*Table13345[[#This Row],[Call D1]]^2)/SQRT(2*PI())</f>
        <v>#DIV/0!</v>
      </c>
      <c r="AN922" t="e">
        <f ca="1">EXP(-0.5*Table13345[[#This Row],[Put D1]]^2)/SQRT(2*PI())</f>
        <v>#DIV/0!</v>
      </c>
      <c r="AO9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2">
        <f ca="1">((Table13345[[#This Row],[call vanna]]+Table13345[[#This Row],[put vanna]])*$A$4)</f>
        <v>0</v>
      </c>
      <c r="AR9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2" s="9" t="str" cm="1">
        <f t="array" ref="AT922">_xlfn.IFS(     $M$1="SPX","SPXW",     $M$1="RUT","RUTW",  $M$1="NDX","NDXP",   TRUE,$M$1 )</f>
        <v>SPXW</v>
      </c>
      <c r="AU922" s="2">
        <f t="shared" si="92"/>
        <v>6915</v>
      </c>
      <c r="AV922" t="str">
        <f t="shared" si="93"/>
        <v>000100</v>
      </c>
      <c r="AY9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2">
        <f>((Table13345[[#This Row],[High C]]+Table13345[[#This Row],[Low C]])/2)*Table13345[[#This Row],[gammac]]*Table13345[[#This Row],[Volume]]</f>
        <v>0</v>
      </c>
      <c r="BD922">
        <f>((Table13345[[#This Row],[High P]]+Table13345[[#This Row],[Low P]])/2)*Table13345[[#This Row],[gammap]]*Table13345[[#This Row],[Volume9]]*-1</f>
        <v>0</v>
      </c>
      <c r="BE922">
        <f>(Table13345[[#This Row],[SgammaC]]+Table13345[[#This Row],[SgammaP]])*$A$4*-100</f>
        <v>0</v>
      </c>
      <c r="BF922">
        <f>Table13345[[#This Row],[DEXc]]+Table13345[[#This Row],[DEXp]]</f>
        <v>0</v>
      </c>
      <c r="BG922">
        <f>IFERROR(Table13345[[#This Row],[DeltaC]]*Table13345[[#This Row],[Open.Int]]*$A$4,0)</f>
        <v>0</v>
      </c>
      <c r="BH922">
        <f>IFERROR(Table13345[[#This Row],[DeltaP]]*Table13345[[#This Row],[Open.Int8]]*$A$4,0)</f>
        <v>0</v>
      </c>
      <c r="BI92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2">
        <f ca="1">Table13345[[#This Row],[charmc]]+Table13345[[#This Row],[charmp]]</f>
        <v>0</v>
      </c>
      <c r="BL92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2" s="78">
        <f ca="1">Table13345[[#This Row],[call helper]]+Table13345[[#This Row],[put helper]]</f>
        <v>0</v>
      </c>
      <c r="BP922" t="str">
        <f>RTD("tos.rtd", , "STRIKE", "."&amp;Table13345[[#This Row],[Ticker]]&amp;Table13345[[#This Row],[Expiry]]&amp;""&amp;"C"&amp;Table13345[[#This Row],[Spot]]+Table13345[[#This Row],[step]])</f>
        <v>N/A</v>
      </c>
    </row>
    <row r="923" spans="1:68" x14ac:dyDescent="0.25">
      <c r="A923" s="14">
        <f t="shared" ca="1" si="89"/>
        <v>-126.14810350076104</v>
      </c>
      <c r="C923" s="17"/>
      <c r="D923" t="str">
        <f>RTD("tos.rtd", , "OPEN_INT", "."&amp;Table13345[[#This Row],[Ticker]]&amp;Table13345[[#This Row],[Expiry]]&amp;""&amp;"C"&amp;Table13345[[#This Row],[Spot]]+Table13345[[#This Row],[step]])</f>
        <v>N/A</v>
      </c>
      <c r="E92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3" t="b">
        <f>IF(     ISNUMBER(Table13345[[#This Row],[Strike]]),RTD("tos.rtd", , "DELTA", "."&amp;Table13345[[#This Row],[Ticker]]&amp;Table13345[[#This Row],[Expiry]]&amp;""&amp;"C"&amp;Table13345[[#This Row],[Strike]]))</f>
        <v>0</v>
      </c>
      <c r="H923" s="17" cm="1">
        <f t="array" aca="1" ref="H923" ca="1">IndividualLegIVCore($A$4, Table13345[[#This Row],[Strike]], 0.0411, Table13345[[#This Row],[T]], ((Table13345[[#This Row],[BIDC]]+Table13345[[#This Row],[ASKC]])/2), TRUE)</f>
        <v>0.01</v>
      </c>
      <c r="I923" t="b">
        <f>IF(     ISNUMBER(Table13345[[#This Row],[Strike]]),RTD("tos.rtd", , "BID", "."&amp;Table13345[[#This Row],[Ticker]]&amp;Table13345[[#This Row],[Expiry]]&amp;""&amp;"C"&amp;Table13345[[#This Row],[Strike]]))</f>
        <v>0</v>
      </c>
      <c r="J923" t="b">
        <f>IF(     ISNUMBER(Table13345[[#This Row],[Strike]]),RTD("tos.rtd", , "ASK", "."&amp;Table13345[[#This Row],[Ticker]]&amp;Table13345[[#This Row],[Expiry]]&amp;""&amp;"C"&amp;Table13345[[#This Row],[Strike]]))</f>
        <v>0</v>
      </c>
      <c r="K923" s="17"/>
      <c r="M923" s="1">
        <f t="shared" si="90"/>
        <v>0</v>
      </c>
      <c r="N923" t="b">
        <f t="shared" si="91"/>
        <v>0</v>
      </c>
      <c r="P923" s="17" cm="1">
        <f t="array" aca="1" ref="P923" ca="1">IndividualLegIVCore($A$4, Table13345[[#This Row],[Strike]], 0.0411, Table13345[[#This Row],[T]], ((Table13345[[#This Row],[BIDP]]+Table13345[[#This Row],[ASKP]])/2), FALSE)</f>
        <v>0.01</v>
      </c>
      <c r="Q923" t="b">
        <f>IF(     ISNUMBER(Table13345[[#This Row],[Strike]]),RTD("tos.rtd", , "BID", "."&amp;Table13345[[#This Row],[Ticker]]&amp;Table13345[[#This Row],[Expiry]]&amp;""&amp;"P"&amp;Table13345[[#This Row],[Strike]]))</f>
        <v>0</v>
      </c>
      <c r="R923" t="b">
        <f>IF(     ISNUMBER(Table13345[[#This Row],[Strike]]),RTD("tos.rtd", , "ASK", "."&amp;Table13345[[#This Row],[Ticker]]&amp;Table13345[[#This Row],[Expiry]]&amp;""&amp;"P"&amp;Table13345[[#This Row],[Strike]]))</f>
        <v>0</v>
      </c>
      <c r="S923" s="17"/>
      <c r="T923" t="b">
        <f>IF(     ISNUMBER(Table13345[[#This Row],[Strike]]),RTD("tos.rtd", , "OPEN_INT", "."&amp;Table13345[[#This Row],[Ticker]]&amp;Table13345[[#This Row],[Expiry]]&amp;""&amp;"P"&amp;Table13345[[#This Row],[Strike]]))</f>
        <v>0</v>
      </c>
      <c r="U92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3" t="b">
        <f>IF(     ISNUMBER(Table13345[[#This Row],[Strike]]),RTD("tos.rtd", , "DELTA", "."&amp;Table13345[[#This Row],[Ticker]]&amp;Table13345[[#This Row],[Expiry]]&amp;""&amp;"P"&amp;Table13345[[#This Row],[Strike]]))</f>
        <v>0</v>
      </c>
      <c r="Y923">
        <f>0.5* IF($M$1="NDX", 10, IF(OR($M$1="SPX", $M$1="RUT"), 2, 1))</f>
        <v>1</v>
      </c>
      <c r="Z923">
        <f ca="1">IFERROR(Table13345[[#This Row],[call gamma]]*(Table13345[[#This Row],[Open.Int]])*$A$4^2,0)</f>
        <v>0</v>
      </c>
      <c r="AA923">
        <f ca="1">IFERROR(((Table13345[[#This Row],[Open.Int8]])*Table13345[[#This Row],[Put gamma]])*-1*$A$4^2,0)</f>
        <v>0</v>
      </c>
      <c r="AB923">
        <f ca="1">(Table13345[[#This Row],[Call Gex]]+Table13345[[#This Row],[Put Gex]])</f>
        <v>0</v>
      </c>
      <c r="AC923">
        <f ca="1">Table13345[[#This Row],[put delta adj]]+Table13345[[#This Row],[call delta adj]]</f>
        <v>0</v>
      </c>
      <c r="AD923">
        <f ca="1">Table13345[[#This Row],[Put Gex]]*Table13345[[#This Row],[DeltaP]]*-1</f>
        <v>0</v>
      </c>
      <c r="AE923">
        <f ca="1">Table13345[[#This Row],[Call Gex]]*Table13345[[#This Row],[DeltaC]]</f>
        <v>0</v>
      </c>
      <c r="AF923">
        <f>IF(Table13345[[#This Row],[DeltaC]]-ABS(Table13345[[#This Row],[DeltaP]])="0","0.01",Table13345[[#This Row],[DeltaC]]-ABS(Table13345[[#This Row],[DeltaP]]))</f>
        <v>0</v>
      </c>
      <c r="AG92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3" t="e">
        <f ca="1">(EXP(-(AG923^2)/2)/SQRT(2*PI())*EXP(0*SQRT(Table13345[[#This Row],[T]]))/$A$4*18%*SQRT(SQRT(Table13345[[#This Row],[T]])))</f>
        <v>#DIV/0!</v>
      </c>
      <c r="AJ923" t="e">
        <f ca="1">(EXP(-(AH923^2)/2)/SQRT(2*PI())*EXP(0*SQRT(Table13345[[#This Row],[T]]))/$A$4*18%*SQRT(SQRT(Table13345[[#This Row],[T]])))</f>
        <v>#DIV/0!</v>
      </c>
      <c r="AK923" t="e">
        <f ca="1">Table13345[[#This Row],[Call D1]]-Table13345[[#This Row],[IV Calc C]]*SQRT(Table13345[[#This Row],[T]])</f>
        <v>#DIV/0!</v>
      </c>
      <c r="AL923" t="e">
        <f ca="1">Table13345[[#This Row],[Put D1]]-Table13345[[#This Row],[IV Calc P]]*SQRT(Table13345[[#This Row],[T]])</f>
        <v>#DIV/0!</v>
      </c>
      <c r="AM923" t="e">
        <f ca="1">EXP(-0.5*Table13345[[#This Row],[Call D1]]^2)/SQRT(2*PI())</f>
        <v>#DIV/0!</v>
      </c>
      <c r="AN923" t="e">
        <f ca="1">EXP(-0.5*Table13345[[#This Row],[Put D1]]^2)/SQRT(2*PI())</f>
        <v>#DIV/0!</v>
      </c>
      <c r="AO92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3">
        <f ca="1">((Table13345[[#This Row],[call vanna]]+Table13345[[#This Row],[put vanna]])*$A$4)</f>
        <v>0</v>
      </c>
      <c r="AR92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3" s="9" t="str" cm="1">
        <f t="array" ref="AT923">_xlfn.IFS(     $M$1="SPX","SPXW",     $M$1="RUT","RUTW",  $M$1="NDX","NDXP",   TRUE,$M$1 )</f>
        <v>SPXW</v>
      </c>
      <c r="AU923" s="2">
        <f t="shared" si="92"/>
        <v>6915</v>
      </c>
      <c r="AV923" t="str">
        <f t="shared" si="93"/>
        <v>000100</v>
      </c>
      <c r="AY92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3">
        <f>((Table13345[[#This Row],[High C]]+Table13345[[#This Row],[Low C]])/2)*Table13345[[#This Row],[gammac]]*Table13345[[#This Row],[Volume]]</f>
        <v>0</v>
      </c>
      <c r="BD923">
        <f>((Table13345[[#This Row],[High P]]+Table13345[[#This Row],[Low P]])/2)*Table13345[[#This Row],[gammap]]*Table13345[[#This Row],[Volume9]]*-1</f>
        <v>0</v>
      </c>
      <c r="BE923">
        <f>(Table13345[[#This Row],[SgammaC]]+Table13345[[#This Row],[SgammaP]])*$A$4*-100</f>
        <v>0</v>
      </c>
      <c r="BF923">
        <f>Table13345[[#This Row],[DEXc]]+Table13345[[#This Row],[DEXp]]</f>
        <v>0</v>
      </c>
      <c r="BG923">
        <f>IFERROR(Table13345[[#This Row],[DeltaC]]*Table13345[[#This Row],[Open.Int]]*$A$4,0)</f>
        <v>0</v>
      </c>
      <c r="BH923">
        <f>IFERROR(Table13345[[#This Row],[DeltaP]]*Table13345[[#This Row],[Open.Int8]]*$A$4,0)</f>
        <v>0</v>
      </c>
      <c r="BI92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3">
        <f ca="1">Table13345[[#This Row],[charmc]]+Table13345[[#This Row],[charmp]]</f>
        <v>0</v>
      </c>
      <c r="BL92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3" s="78">
        <f ca="1">Table13345[[#This Row],[call helper]]+Table13345[[#This Row],[put helper]]</f>
        <v>0</v>
      </c>
      <c r="BP923" t="str">
        <f>RTD("tos.rtd", , "STRIKE", "."&amp;Table13345[[#This Row],[Ticker]]&amp;Table13345[[#This Row],[Expiry]]&amp;""&amp;"C"&amp;Table13345[[#This Row],[Spot]]+Table13345[[#This Row],[step]])</f>
        <v>N/A</v>
      </c>
    </row>
    <row r="924" spans="1:68" x14ac:dyDescent="0.25">
      <c r="A924" s="14">
        <f t="shared" ca="1" si="89"/>
        <v>-126.14810350076104</v>
      </c>
      <c r="C924" s="17"/>
      <c r="D924" t="str">
        <f>RTD("tos.rtd", , "OPEN_INT", "."&amp;Table13345[[#This Row],[Ticker]]&amp;Table13345[[#This Row],[Expiry]]&amp;""&amp;"C"&amp;Table13345[[#This Row],[Spot]]+Table13345[[#This Row],[step]])</f>
        <v>N/A</v>
      </c>
      <c r="E92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4" t="b">
        <f>IF(     ISNUMBER(Table13345[[#This Row],[Strike]]),RTD("tos.rtd", , "DELTA", "."&amp;Table13345[[#This Row],[Ticker]]&amp;Table13345[[#This Row],[Expiry]]&amp;""&amp;"C"&amp;Table13345[[#This Row],[Strike]]))</f>
        <v>0</v>
      </c>
      <c r="H924" s="17" cm="1">
        <f t="array" aca="1" ref="H924" ca="1">IndividualLegIVCore($A$4, Table13345[[#This Row],[Strike]], 0.0411, Table13345[[#This Row],[T]], ((Table13345[[#This Row],[BIDC]]+Table13345[[#This Row],[ASKC]])/2), TRUE)</f>
        <v>0.01</v>
      </c>
      <c r="I924" t="b">
        <f>IF(     ISNUMBER(Table13345[[#This Row],[Strike]]),RTD("tos.rtd", , "BID", "."&amp;Table13345[[#This Row],[Ticker]]&amp;Table13345[[#This Row],[Expiry]]&amp;""&amp;"C"&amp;Table13345[[#This Row],[Strike]]))</f>
        <v>0</v>
      </c>
      <c r="J924" t="b">
        <f>IF(     ISNUMBER(Table13345[[#This Row],[Strike]]),RTD("tos.rtd", , "ASK", "."&amp;Table13345[[#This Row],[Ticker]]&amp;Table13345[[#This Row],[Expiry]]&amp;""&amp;"C"&amp;Table13345[[#This Row],[Strike]]))</f>
        <v>0</v>
      </c>
      <c r="K924" s="17"/>
      <c r="M924" s="1">
        <f t="shared" si="90"/>
        <v>0</v>
      </c>
      <c r="N924" t="b">
        <f t="shared" si="91"/>
        <v>0</v>
      </c>
      <c r="P924" s="17" cm="1">
        <f t="array" aca="1" ref="P924" ca="1">IndividualLegIVCore($A$4, Table13345[[#This Row],[Strike]], 0.0411, Table13345[[#This Row],[T]], ((Table13345[[#This Row],[BIDP]]+Table13345[[#This Row],[ASKP]])/2), FALSE)</f>
        <v>0.01</v>
      </c>
      <c r="Q924" t="b">
        <f>IF(     ISNUMBER(Table13345[[#This Row],[Strike]]),RTD("tos.rtd", , "BID", "."&amp;Table13345[[#This Row],[Ticker]]&amp;Table13345[[#This Row],[Expiry]]&amp;""&amp;"P"&amp;Table13345[[#This Row],[Strike]]))</f>
        <v>0</v>
      </c>
      <c r="R924" t="b">
        <f>IF(     ISNUMBER(Table13345[[#This Row],[Strike]]),RTD("tos.rtd", , "ASK", "."&amp;Table13345[[#This Row],[Ticker]]&amp;Table13345[[#This Row],[Expiry]]&amp;""&amp;"P"&amp;Table13345[[#This Row],[Strike]]))</f>
        <v>0</v>
      </c>
      <c r="S924" s="17"/>
      <c r="T924" t="b">
        <f>IF(     ISNUMBER(Table13345[[#This Row],[Strike]]),RTD("tos.rtd", , "OPEN_INT", "."&amp;Table13345[[#This Row],[Ticker]]&amp;Table13345[[#This Row],[Expiry]]&amp;""&amp;"P"&amp;Table13345[[#This Row],[Strike]]))</f>
        <v>0</v>
      </c>
      <c r="U92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4" t="b">
        <f>IF(     ISNUMBER(Table13345[[#This Row],[Strike]]),RTD("tos.rtd", , "DELTA", "."&amp;Table13345[[#This Row],[Ticker]]&amp;Table13345[[#This Row],[Expiry]]&amp;""&amp;"P"&amp;Table13345[[#This Row],[Strike]]))</f>
        <v>0</v>
      </c>
      <c r="Y924" s="19">
        <f>1* IF($M$1="NDX", 10, IF(OR($M$1="SPX", $M$1="RUT"), 2, 1))</f>
        <v>2</v>
      </c>
      <c r="Z924">
        <f ca="1">IFERROR(Table13345[[#This Row],[call gamma]]*(Table13345[[#This Row],[Open.Int]])*$A$4^2,0)</f>
        <v>0</v>
      </c>
      <c r="AA924">
        <f ca="1">IFERROR(((Table13345[[#This Row],[Open.Int8]])*Table13345[[#This Row],[Put gamma]])*-1*$A$4^2,0)</f>
        <v>0</v>
      </c>
      <c r="AB924">
        <f ca="1">(Table13345[[#This Row],[Call Gex]]+Table13345[[#This Row],[Put Gex]])</f>
        <v>0</v>
      </c>
      <c r="AC924">
        <f ca="1">Table13345[[#This Row],[put delta adj]]+Table13345[[#This Row],[call delta adj]]</f>
        <v>0</v>
      </c>
      <c r="AD924">
        <f ca="1">Table13345[[#This Row],[Put Gex]]*Table13345[[#This Row],[DeltaP]]*-1</f>
        <v>0</v>
      </c>
      <c r="AE924">
        <f ca="1">Table13345[[#This Row],[Call Gex]]*Table13345[[#This Row],[DeltaC]]</f>
        <v>0</v>
      </c>
      <c r="AF924">
        <f>IF(Table13345[[#This Row],[DeltaC]]-ABS(Table13345[[#This Row],[DeltaP]])="0","0.01",Table13345[[#This Row],[DeltaC]]-ABS(Table13345[[#This Row],[DeltaP]]))</f>
        <v>0</v>
      </c>
      <c r="AG92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4" t="e">
        <f ca="1">(EXP(-(AG924^2)/2)/SQRT(2*PI())*EXP(0*SQRT(Table13345[[#This Row],[T]]))/$A$4*18%*SQRT(SQRT(Table13345[[#This Row],[T]])))</f>
        <v>#DIV/0!</v>
      </c>
      <c r="AJ924" t="e">
        <f ca="1">(EXP(-(AH924^2)/2)/SQRT(2*PI())*EXP(0*SQRT(Table13345[[#This Row],[T]]))/$A$4*18%*SQRT(SQRT(Table13345[[#This Row],[T]])))</f>
        <v>#DIV/0!</v>
      </c>
      <c r="AK924" t="e">
        <f ca="1">Table13345[[#This Row],[Call D1]]-Table13345[[#This Row],[IV Calc C]]*SQRT(Table13345[[#This Row],[T]])</f>
        <v>#DIV/0!</v>
      </c>
      <c r="AL924" t="e">
        <f ca="1">Table13345[[#This Row],[Put D1]]-Table13345[[#This Row],[IV Calc P]]*SQRT(Table13345[[#This Row],[T]])</f>
        <v>#DIV/0!</v>
      </c>
      <c r="AM924" t="e">
        <f ca="1">EXP(-0.5*Table13345[[#This Row],[Call D1]]^2)/SQRT(2*PI())</f>
        <v>#DIV/0!</v>
      </c>
      <c r="AN924" t="e">
        <f ca="1">EXP(-0.5*Table13345[[#This Row],[Put D1]]^2)/SQRT(2*PI())</f>
        <v>#DIV/0!</v>
      </c>
      <c r="AO92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4">
        <f ca="1">((Table13345[[#This Row],[call vanna]]+Table13345[[#This Row],[put vanna]])*$A$4)</f>
        <v>0</v>
      </c>
      <c r="AR92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4" s="9" t="str" cm="1">
        <f t="array" ref="AT924">_xlfn.IFS(     $M$1="SPX","SPXW",     $M$1="RUT","RUTW",  $M$1="NDX","NDXP",   TRUE,$M$1 )</f>
        <v>SPXW</v>
      </c>
      <c r="AU924" s="2">
        <f t="shared" si="92"/>
        <v>6915</v>
      </c>
      <c r="AV924" t="str">
        <f t="shared" si="93"/>
        <v>000100</v>
      </c>
      <c r="AY92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4">
        <f>((Table13345[[#This Row],[High C]]+Table13345[[#This Row],[Low C]])/2)*Table13345[[#This Row],[gammac]]*Table13345[[#This Row],[Volume]]</f>
        <v>0</v>
      </c>
      <c r="BD924">
        <f>((Table13345[[#This Row],[High P]]+Table13345[[#This Row],[Low P]])/2)*Table13345[[#This Row],[gammap]]*Table13345[[#This Row],[Volume9]]*-1</f>
        <v>0</v>
      </c>
      <c r="BE924">
        <f>(Table13345[[#This Row],[SgammaC]]+Table13345[[#This Row],[SgammaP]])*$A$4*-100</f>
        <v>0</v>
      </c>
      <c r="BF924">
        <f>Table13345[[#This Row],[DEXc]]+Table13345[[#This Row],[DEXp]]</f>
        <v>0</v>
      </c>
      <c r="BG924">
        <f>IFERROR(Table13345[[#This Row],[DeltaC]]*Table13345[[#This Row],[Open.Int]]*$A$4,0)</f>
        <v>0</v>
      </c>
      <c r="BH924">
        <f>IFERROR(Table13345[[#This Row],[DeltaP]]*Table13345[[#This Row],[Open.Int8]]*$A$4,0)</f>
        <v>0</v>
      </c>
      <c r="BI92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4">
        <f ca="1">Table13345[[#This Row],[charmc]]+Table13345[[#This Row],[charmp]]</f>
        <v>0</v>
      </c>
      <c r="BL92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4" s="78">
        <f ca="1">Table13345[[#This Row],[call helper]]+Table13345[[#This Row],[put helper]]</f>
        <v>0</v>
      </c>
      <c r="BP924" t="str">
        <f>RTD("tos.rtd", , "STRIKE", "."&amp;Table13345[[#This Row],[Ticker]]&amp;Table13345[[#This Row],[Expiry]]&amp;""&amp;"C"&amp;Table13345[[#This Row],[Spot]]+Table13345[[#This Row],[step]])</f>
        <v>N/A</v>
      </c>
    </row>
    <row r="925" spans="1:68" x14ac:dyDescent="0.25">
      <c r="A925" s="14">
        <f t="shared" ca="1" si="89"/>
        <v>-126.14810350076104</v>
      </c>
      <c r="C925" s="17"/>
      <c r="D925" t="str">
        <f>RTD("tos.rtd", , "OPEN_INT", "."&amp;Table13345[[#This Row],[Ticker]]&amp;Table13345[[#This Row],[Expiry]]&amp;""&amp;"C"&amp;Table13345[[#This Row],[Spot]]+Table13345[[#This Row],[step]])</f>
        <v>N/A</v>
      </c>
      <c r="E92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5" t="b">
        <f>IF(     ISNUMBER(Table13345[[#This Row],[Strike]]),RTD("tos.rtd", , "DELTA", "."&amp;Table13345[[#This Row],[Ticker]]&amp;Table13345[[#This Row],[Expiry]]&amp;""&amp;"C"&amp;Table13345[[#This Row],[Strike]]))</f>
        <v>0</v>
      </c>
      <c r="H925" s="17" cm="1">
        <f t="array" aca="1" ref="H925" ca="1">IndividualLegIVCore($A$4, Table13345[[#This Row],[Strike]], 0.0411, Table13345[[#This Row],[T]], ((Table13345[[#This Row],[BIDC]]+Table13345[[#This Row],[ASKC]])/2), TRUE)</f>
        <v>0.01</v>
      </c>
      <c r="I925" t="b">
        <f>IF(     ISNUMBER(Table13345[[#This Row],[Strike]]),RTD("tos.rtd", , "BID", "."&amp;Table13345[[#This Row],[Ticker]]&amp;Table13345[[#This Row],[Expiry]]&amp;""&amp;"C"&amp;Table13345[[#This Row],[Strike]]))</f>
        <v>0</v>
      </c>
      <c r="J925" t="b">
        <f>IF(     ISNUMBER(Table13345[[#This Row],[Strike]]),RTD("tos.rtd", , "ASK", "."&amp;Table13345[[#This Row],[Ticker]]&amp;Table13345[[#This Row],[Expiry]]&amp;""&amp;"C"&amp;Table13345[[#This Row],[Strike]]))</f>
        <v>0</v>
      </c>
      <c r="K925" s="17"/>
      <c r="M925" s="1">
        <f t="shared" si="90"/>
        <v>0</v>
      </c>
      <c r="N925" t="b">
        <f t="shared" si="91"/>
        <v>0</v>
      </c>
      <c r="P925" s="17" cm="1">
        <f t="array" aca="1" ref="P925" ca="1">IndividualLegIVCore($A$4, Table13345[[#This Row],[Strike]], 0.0411, Table13345[[#This Row],[T]], ((Table13345[[#This Row],[BIDP]]+Table13345[[#This Row],[ASKP]])/2), FALSE)</f>
        <v>0.01</v>
      </c>
      <c r="Q925" t="b">
        <f>IF(     ISNUMBER(Table13345[[#This Row],[Strike]]),RTD("tos.rtd", , "BID", "."&amp;Table13345[[#This Row],[Ticker]]&amp;Table13345[[#This Row],[Expiry]]&amp;""&amp;"P"&amp;Table13345[[#This Row],[Strike]]))</f>
        <v>0</v>
      </c>
      <c r="R925" t="b">
        <f>IF(     ISNUMBER(Table13345[[#This Row],[Strike]]),RTD("tos.rtd", , "ASK", "."&amp;Table13345[[#This Row],[Ticker]]&amp;Table13345[[#This Row],[Expiry]]&amp;""&amp;"P"&amp;Table13345[[#This Row],[Strike]]))</f>
        <v>0</v>
      </c>
      <c r="S925" s="17"/>
      <c r="T925" t="b">
        <f>IF(     ISNUMBER(Table13345[[#This Row],[Strike]]),RTD("tos.rtd", , "OPEN_INT", "."&amp;Table13345[[#This Row],[Ticker]]&amp;Table13345[[#This Row],[Expiry]]&amp;""&amp;"P"&amp;Table13345[[#This Row],[Strike]]))</f>
        <v>0</v>
      </c>
      <c r="U92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5" t="b">
        <f>IF(     ISNUMBER(Table13345[[#This Row],[Strike]]),RTD("tos.rtd", , "DELTA", "."&amp;Table13345[[#This Row],[Ticker]]&amp;Table13345[[#This Row],[Expiry]]&amp;""&amp;"P"&amp;Table13345[[#This Row],[Strike]]))</f>
        <v>0</v>
      </c>
      <c r="Y925" s="19">
        <f>1.5* IF($M$1="NDX", 10, IF(OR($M$1="SPX", $M$1="RUT"), 2, 1))</f>
        <v>3</v>
      </c>
      <c r="Z925">
        <f ca="1">IFERROR(Table13345[[#This Row],[call gamma]]*(Table13345[[#This Row],[Open.Int]])*$A$4^2,0)</f>
        <v>0</v>
      </c>
      <c r="AA925">
        <f ca="1">IFERROR(((Table13345[[#This Row],[Open.Int8]])*Table13345[[#This Row],[Put gamma]])*-1*$A$4^2,0)</f>
        <v>0</v>
      </c>
      <c r="AB925">
        <f ca="1">(Table13345[[#This Row],[Call Gex]]+Table13345[[#This Row],[Put Gex]])</f>
        <v>0</v>
      </c>
      <c r="AC925">
        <f ca="1">Table13345[[#This Row],[put delta adj]]+Table13345[[#This Row],[call delta adj]]</f>
        <v>0</v>
      </c>
      <c r="AD925">
        <f ca="1">Table13345[[#This Row],[Put Gex]]*Table13345[[#This Row],[DeltaP]]*-1</f>
        <v>0</v>
      </c>
      <c r="AE925">
        <f ca="1">Table13345[[#This Row],[Call Gex]]*Table13345[[#This Row],[DeltaC]]</f>
        <v>0</v>
      </c>
      <c r="AF925">
        <f>IF(Table13345[[#This Row],[DeltaC]]-ABS(Table13345[[#This Row],[DeltaP]])="0","0.01",Table13345[[#This Row],[DeltaC]]-ABS(Table13345[[#This Row],[DeltaP]]))</f>
        <v>0</v>
      </c>
      <c r="AG92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5" t="e">
        <f ca="1">(EXP(-(AG925^2)/2)/SQRT(2*PI())*EXP(0*SQRT(Table13345[[#This Row],[T]]))/$A$4*18%*SQRT(SQRT(Table13345[[#This Row],[T]])))</f>
        <v>#DIV/0!</v>
      </c>
      <c r="AJ925" t="e">
        <f ca="1">(EXP(-(AH925^2)/2)/SQRT(2*PI())*EXP(0*SQRT(Table13345[[#This Row],[T]]))/$A$4*18%*SQRT(SQRT(Table13345[[#This Row],[T]])))</f>
        <v>#DIV/0!</v>
      </c>
      <c r="AK925" t="e">
        <f ca="1">Table13345[[#This Row],[Call D1]]-Table13345[[#This Row],[IV Calc C]]*SQRT(Table13345[[#This Row],[T]])</f>
        <v>#DIV/0!</v>
      </c>
      <c r="AL925" t="e">
        <f ca="1">Table13345[[#This Row],[Put D1]]-Table13345[[#This Row],[IV Calc P]]*SQRT(Table13345[[#This Row],[T]])</f>
        <v>#DIV/0!</v>
      </c>
      <c r="AM925" t="e">
        <f ca="1">EXP(-0.5*Table13345[[#This Row],[Call D1]]^2)/SQRT(2*PI())</f>
        <v>#DIV/0!</v>
      </c>
      <c r="AN925" t="e">
        <f ca="1">EXP(-0.5*Table13345[[#This Row],[Put D1]]^2)/SQRT(2*PI())</f>
        <v>#DIV/0!</v>
      </c>
      <c r="AO92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5">
        <f ca="1">((Table13345[[#This Row],[call vanna]]+Table13345[[#This Row],[put vanna]])*$A$4)</f>
        <v>0</v>
      </c>
      <c r="AR92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5" s="9" t="str" cm="1">
        <f t="array" ref="AT925">_xlfn.IFS(     $M$1="SPX","SPXW",     $M$1="RUT","RUTW",  $M$1="NDX","NDXP",   TRUE,$M$1 )</f>
        <v>SPXW</v>
      </c>
      <c r="AU925" s="2">
        <f t="shared" si="92"/>
        <v>6915</v>
      </c>
      <c r="AV925" t="str">
        <f t="shared" si="93"/>
        <v>000100</v>
      </c>
      <c r="AY92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5">
        <f>((Table13345[[#This Row],[High C]]+Table13345[[#This Row],[Low C]])/2)*Table13345[[#This Row],[gammac]]*Table13345[[#This Row],[Volume]]</f>
        <v>0</v>
      </c>
      <c r="BD925">
        <f>((Table13345[[#This Row],[High P]]+Table13345[[#This Row],[Low P]])/2)*Table13345[[#This Row],[gammap]]*Table13345[[#This Row],[Volume9]]*-1</f>
        <v>0</v>
      </c>
      <c r="BE925">
        <f>(Table13345[[#This Row],[SgammaC]]+Table13345[[#This Row],[SgammaP]])*$A$4*-100</f>
        <v>0</v>
      </c>
      <c r="BF925">
        <f>Table13345[[#This Row],[DEXc]]+Table13345[[#This Row],[DEXp]]</f>
        <v>0</v>
      </c>
      <c r="BG925">
        <f>IFERROR(Table13345[[#This Row],[DeltaC]]*Table13345[[#This Row],[Open.Int]]*$A$4,0)</f>
        <v>0</v>
      </c>
      <c r="BH925">
        <f>IFERROR(Table13345[[#This Row],[DeltaP]]*Table13345[[#This Row],[Open.Int8]]*$A$4,0)</f>
        <v>0</v>
      </c>
      <c r="BI92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5">
        <f ca="1">Table13345[[#This Row],[charmc]]+Table13345[[#This Row],[charmp]]</f>
        <v>0</v>
      </c>
      <c r="BL92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5" s="78">
        <f ca="1">Table13345[[#This Row],[call helper]]+Table13345[[#This Row],[put helper]]</f>
        <v>0</v>
      </c>
      <c r="BP925" t="str">
        <f>RTD("tos.rtd", , "STRIKE", "."&amp;Table13345[[#This Row],[Ticker]]&amp;Table13345[[#This Row],[Expiry]]&amp;""&amp;"C"&amp;Table13345[[#This Row],[Spot]]+Table13345[[#This Row],[step]])</f>
        <v>N/A</v>
      </c>
    </row>
    <row r="926" spans="1:68" x14ac:dyDescent="0.25">
      <c r="A926" s="14">
        <f t="shared" ca="1" si="89"/>
        <v>-126.14810350076104</v>
      </c>
      <c r="C926" s="17"/>
      <c r="D926" t="str">
        <f>RTD("tos.rtd", , "OPEN_INT", "."&amp;Table13345[[#This Row],[Ticker]]&amp;Table13345[[#This Row],[Expiry]]&amp;""&amp;"C"&amp;Table13345[[#This Row],[Spot]]+Table13345[[#This Row],[step]])</f>
        <v>N/A</v>
      </c>
      <c r="E92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6" t="b">
        <f>IF(     ISNUMBER(Table13345[[#This Row],[Strike]]),RTD("tos.rtd", , "DELTA", "."&amp;Table13345[[#This Row],[Ticker]]&amp;Table13345[[#This Row],[Expiry]]&amp;""&amp;"C"&amp;Table13345[[#This Row],[Strike]]))</f>
        <v>0</v>
      </c>
      <c r="H926" s="17" cm="1">
        <f t="array" aca="1" ref="H926" ca="1">IndividualLegIVCore($A$4, Table13345[[#This Row],[Strike]], 0.0411, Table13345[[#This Row],[T]], ((Table13345[[#This Row],[BIDC]]+Table13345[[#This Row],[ASKC]])/2), TRUE)</f>
        <v>0.01</v>
      </c>
      <c r="I926" t="b">
        <f>IF(     ISNUMBER(Table13345[[#This Row],[Strike]]),RTD("tos.rtd", , "BID", "."&amp;Table13345[[#This Row],[Ticker]]&amp;Table13345[[#This Row],[Expiry]]&amp;""&amp;"C"&amp;Table13345[[#This Row],[Strike]]))</f>
        <v>0</v>
      </c>
      <c r="J926" t="b">
        <f>IF(     ISNUMBER(Table13345[[#This Row],[Strike]]),RTD("tos.rtd", , "ASK", "."&amp;Table13345[[#This Row],[Ticker]]&amp;Table13345[[#This Row],[Expiry]]&amp;""&amp;"C"&amp;Table13345[[#This Row],[Strike]]))</f>
        <v>0</v>
      </c>
      <c r="K926" s="17"/>
      <c r="M926" s="1">
        <f t="shared" si="90"/>
        <v>0</v>
      </c>
      <c r="N926" t="b">
        <f t="shared" si="91"/>
        <v>0</v>
      </c>
      <c r="P926" s="17" cm="1">
        <f t="array" aca="1" ref="P926" ca="1">IndividualLegIVCore($A$4, Table13345[[#This Row],[Strike]], 0.0411, Table13345[[#This Row],[T]], ((Table13345[[#This Row],[BIDP]]+Table13345[[#This Row],[ASKP]])/2), FALSE)</f>
        <v>0.01</v>
      </c>
      <c r="Q926" t="b">
        <f>IF(     ISNUMBER(Table13345[[#This Row],[Strike]]),RTD("tos.rtd", , "BID", "."&amp;Table13345[[#This Row],[Ticker]]&amp;Table13345[[#This Row],[Expiry]]&amp;""&amp;"P"&amp;Table13345[[#This Row],[Strike]]))</f>
        <v>0</v>
      </c>
      <c r="R926" t="b">
        <f>IF(     ISNUMBER(Table13345[[#This Row],[Strike]]),RTD("tos.rtd", , "ASK", "."&amp;Table13345[[#This Row],[Ticker]]&amp;Table13345[[#This Row],[Expiry]]&amp;""&amp;"P"&amp;Table13345[[#This Row],[Strike]]))</f>
        <v>0</v>
      </c>
      <c r="S926" s="17"/>
      <c r="T926" t="b">
        <f>IF(     ISNUMBER(Table13345[[#This Row],[Strike]]),RTD("tos.rtd", , "OPEN_INT", "."&amp;Table13345[[#This Row],[Ticker]]&amp;Table13345[[#This Row],[Expiry]]&amp;""&amp;"P"&amp;Table13345[[#This Row],[Strike]]))</f>
        <v>0</v>
      </c>
      <c r="U92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6" t="b">
        <f>IF(     ISNUMBER(Table13345[[#This Row],[Strike]]),RTD("tos.rtd", , "DELTA", "."&amp;Table13345[[#This Row],[Ticker]]&amp;Table13345[[#This Row],[Expiry]]&amp;""&amp;"P"&amp;Table13345[[#This Row],[Strike]]))</f>
        <v>0</v>
      </c>
      <c r="Y926" s="19">
        <f>2 * IF($M$1="NDX", 10, IF(OR($M$1="SPX", $M$1="RUT"), 2, 1))</f>
        <v>4</v>
      </c>
      <c r="Z926">
        <f ca="1">IFERROR(Table13345[[#This Row],[call gamma]]*(Table13345[[#This Row],[Open.Int]])*$A$4^2,0)</f>
        <v>0</v>
      </c>
      <c r="AA926">
        <f ca="1">IFERROR(((Table13345[[#This Row],[Open.Int8]])*Table13345[[#This Row],[Put gamma]])*-1*$A$4^2,0)</f>
        <v>0</v>
      </c>
      <c r="AB926">
        <f ca="1">(Table13345[[#This Row],[Call Gex]]+Table13345[[#This Row],[Put Gex]])</f>
        <v>0</v>
      </c>
      <c r="AC926">
        <f ca="1">Table13345[[#This Row],[put delta adj]]+Table13345[[#This Row],[call delta adj]]</f>
        <v>0</v>
      </c>
      <c r="AD926">
        <f ca="1">Table13345[[#This Row],[Put Gex]]*Table13345[[#This Row],[DeltaP]]*-1</f>
        <v>0</v>
      </c>
      <c r="AE926">
        <f ca="1">Table13345[[#This Row],[Call Gex]]*Table13345[[#This Row],[DeltaC]]</f>
        <v>0</v>
      </c>
      <c r="AF926">
        <f>IF(Table13345[[#This Row],[DeltaC]]-ABS(Table13345[[#This Row],[DeltaP]])="0","0.01",Table13345[[#This Row],[DeltaC]]-ABS(Table13345[[#This Row],[DeltaP]]))</f>
        <v>0</v>
      </c>
      <c r="AG92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6" t="e">
        <f ca="1">(EXP(-(AG926^2)/2)/SQRT(2*PI())*EXP(0*SQRT(Table13345[[#This Row],[T]]))/$A$4*18%*SQRT(SQRT(Table13345[[#This Row],[T]])))</f>
        <v>#DIV/0!</v>
      </c>
      <c r="AJ926" t="e">
        <f ca="1">(EXP(-(AH926^2)/2)/SQRT(2*PI())*EXP(0*SQRT(Table13345[[#This Row],[T]]))/$A$4*18%*SQRT(SQRT(Table13345[[#This Row],[T]])))</f>
        <v>#DIV/0!</v>
      </c>
      <c r="AK926" t="e">
        <f ca="1">Table13345[[#This Row],[Call D1]]-Table13345[[#This Row],[IV Calc C]]*SQRT(Table13345[[#This Row],[T]])</f>
        <v>#DIV/0!</v>
      </c>
      <c r="AL926" t="e">
        <f ca="1">Table13345[[#This Row],[Put D1]]-Table13345[[#This Row],[IV Calc P]]*SQRT(Table13345[[#This Row],[T]])</f>
        <v>#DIV/0!</v>
      </c>
      <c r="AM926" t="e">
        <f ca="1">EXP(-0.5*Table13345[[#This Row],[Call D1]]^2)/SQRT(2*PI())</f>
        <v>#DIV/0!</v>
      </c>
      <c r="AN926" t="e">
        <f ca="1">EXP(-0.5*Table13345[[#This Row],[Put D1]]^2)/SQRT(2*PI())</f>
        <v>#DIV/0!</v>
      </c>
      <c r="AO92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6">
        <f ca="1">((Table13345[[#This Row],[call vanna]]+Table13345[[#This Row],[put vanna]])*$A$4)</f>
        <v>0</v>
      </c>
      <c r="AR92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6" s="9" t="str" cm="1">
        <f t="array" ref="AT926">_xlfn.IFS(     $M$1="SPX","SPXW",     $M$1="RUT","RUTW",  $M$1="NDX","NDXP",   TRUE,$M$1 )</f>
        <v>SPXW</v>
      </c>
      <c r="AU926" s="2">
        <f t="shared" si="92"/>
        <v>6915</v>
      </c>
      <c r="AV926" t="str">
        <f t="shared" si="93"/>
        <v>000100</v>
      </c>
      <c r="AY92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6">
        <f>((Table13345[[#This Row],[High C]]+Table13345[[#This Row],[Low C]])/2)*Table13345[[#This Row],[gammac]]*Table13345[[#This Row],[Volume]]</f>
        <v>0</v>
      </c>
      <c r="BD926">
        <f>((Table13345[[#This Row],[High P]]+Table13345[[#This Row],[Low P]])/2)*Table13345[[#This Row],[gammap]]*Table13345[[#This Row],[Volume9]]*-1</f>
        <v>0</v>
      </c>
      <c r="BE926">
        <f>(Table13345[[#This Row],[SgammaC]]+Table13345[[#This Row],[SgammaP]])*$A$4*-100</f>
        <v>0</v>
      </c>
      <c r="BF926">
        <f>Table13345[[#This Row],[DEXc]]+Table13345[[#This Row],[DEXp]]</f>
        <v>0</v>
      </c>
      <c r="BG926">
        <f>IFERROR(Table13345[[#This Row],[DeltaC]]*Table13345[[#This Row],[Open.Int]]*$A$4,0)</f>
        <v>0</v>
      </c>
      <c r="BH926">
        <f>IFERROR(Table13345[[#This Row],[DeltaP]]*Table13345[[#This Row],[Open.Int8]]*$A$4,0)</f>
        <v>0</v>
      </c>
      <c r="BI92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6">
        <f ca="1">Table13345[[#This Row],[charmc]]+Table13345[[#This Row],[charmp]]</f>
        <v>0</v>
      </c>
      <c r="BL92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6" s="78">
        <f ca="1">Table13345[[#This Row],[call helper]]+Table13345[[#This Row],[put helper]]</f>
        <v>0</v>
      </c>
      <c r="BP926" t="str">
        <f>RTD("tos.rtd", , "STRIKE", "."&amp;Table13345[[#This Row],[Ticker]]&amp;Table13345[[#This Row],[Expiry]]&amp;""&amp;"C"&amp;Table13345[[#This Row],[Spot]]+Table13345[[#This Row],[step]])</f>
        <v>N/A</v>
      </c>
    </row>
    <row r="927" spans="1:68" x14ac:dyDescent="0.25">
      <c r="A927" s="14">
        <f t="shared" ca="1" si="89"/>
        <v>-126.14810350076104</v>
      </c>
      <c r="C927" s="17"/>
      <c r="D927" t="str">
        <f>RTD("tos.rtd", , "OPEN_INT", "."&amp;Table13345[[#This Row],[Ticker]]&amp;Table13345[[#This Row],[Expiry]]&amp;""&amp;"C"&amp;Table13345[[#This Row],[Spot]]+Table13345[[#This Row],[step]])</f>
        <v>N/A</v>
      </c>
      <c r="E92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7" t="b">
        <f>IF(     ISNUMBER(Table13345[[#This Row],[Strike]]),RTD("tos.rtd", , "DELTA", "."&amp;Table13345[[#This Row],[Ticker]]&amp;Table13345[[#This Row],[Expiry]]&amp;""&amp;"C"&amp;Table13345[[#This Row],[Strike]]))</f>
        <v>0</v>
      </c>
      <c r="H927" s="17" cm="1">
        <f t="array" aca="1" ref="H927" ca="1">IndividualLegIVCore($A$4, Table13345[[#This Row],[Strike]], 0.0411, Table13345[[#This Row],[T]], ((Table13345[[#This Row],[BIDC]]+Table13345[[#This Row],[ASKC]])/2), TRUE)</f>
        <v>0.01</v>
      </c>
      <c r="I927" t="b">
        <f>IF(     ISNUMBER(Table13345[[#This Row],[Strike]]),RTD("tos.rtd", , "BID", "."&amp;Table13345[[#This Row],[Ticker]]&amp;Table13345[[#This Row],[Expiry]]&amp;""&amp;"C"&amp;Table13345[[#This Row],[Strike]]))</f>
        <v>0</v>
      </c>
      <c r="J927" t="b">
        <f>IF(     ISNUMBER(Table13345[[#This Row],[Strike]]),RTD("tos.rtd", , "ASK", "."&amp;Table13345[[#This Row],[Ticker]]&amp;Table13345[[#This Row],[Expiry]]&amp;""&amp;"C"&amp;Table13345[[#This Row],[Strike]]))</f>
        <v>0</v>
      </c>
      <c r="K927" s="17"/>
      <c r="M927" s="1">
        <f t="shared" si="90"/>
        <v>0</v>
      </c>
      <c r="N927" t="b">
        <f t="shared" si="91"/>
        <v>0</v>
      </c>
      <c r="P927" s="17" cm="1">
        <f t="array" aca="1" ref="P927" ca="1">IndividualLegIVCore($A$4, Table13345[[#This Row],[Strike]], 0.0411, Table13345[[#This Row],[T]], ((Table13345[[#This Row],[BIDP]]+Table13345[[#This Row],[ASKP]])/2), FALSE)</f>
        <v>0.01</v>
      </c>
      <c r="Q927" t="b">
        <f>IF(     ISNUMBER(Table13345[[#This Row],[Strike]]),RTD("tos.rtd", , "BID", "."&amp;Table13345[[#This Row],[Ticker]]&amp;Table13345[[#This Row],[Expiry]]&amp;""&amp;"P"&amp;Table13345[[#This Row],[Strike]]))</f>
        <v>0</v>
      </c>
      <c r="R927" t="b">
        <f>IF(     ISNUMBER(Table13345[[#This Row],[Strike]]),RTD("tos.rtd", , "ASK", "."&amp;Table13345[[#This Row],[Ticker]]&amp;Table13345[[#This Row],[Expiry]]&amp;""&amp;"P"&amp;Table13345[[#This Row],[Strike]]))</f>
        <v>0</v>
      </c>
      <c r="S927" s="17"/>
      <c r="T927" t="b">
        <f>IF(     ISNUMBER(Table13345[[#This Row],[Strike]]),RTD("tos.rtd", , "OPEN_INT", "."&amp;Table13345[[#This Row],[Ticker]]&amp;Table13345[[#This Row],[Expiry]]&amp;""&amp;"P"&amp;Table13345[[#This Row],[Strike]]))</f>
        <v>0</v>
      </c>
      <c r="U92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7" t="b">
        <f>IF(     ISNUMBER(Table13345[[#This Row],[Strike]]),RTD("tos.rtd", , "DELTA", "."&amp;Table13345[[#This Row],[Ticker]]&amp;Table13345[[#This Row],[Expiry]]&amp;""&amp;"P"&amp;Table13345[[#This Row],[Strike]]))</f>
        <v>0</v>
      </c>
      <c r="Y927" s="19">
        <f>2.5* IF($M$1="NDX", 10, IF(OR($M$1="SPX", $M$1="RUT"), 2, 1))</f>
        <v>5</v>
      </c>
      <c r="Z927">
        <f ca="1">IFERROR(Table13345[[#This Row],[call gamma]]*(Table13345[[#This Row],[Open.Int]])*$A$4^2,0)</f>
        <v>0</v>
      </c>
      <c r="AA927">
        <f ca="1">IFERROR(((Table13345[[#This Row],[Open.Int8]])*Table13345[[#This Row],[Put gamma]])*-1*$A$4^2,0)</f>
        <v>0</v>
      </c>
      <c r="AB927">
        <f ca="1">(Table13345[[#This Row],[Call Gex]]+Table13345[[#This Row],[Put Gex]])</f>
        <v>0</v>
      </c>
      <c r="AC927">
        <f ca="1">Table13345[[#This Row],[put delta adj]]+Table13345[[#This Row],[call delta adj]]</f>
        <v>0</v>
      </c>
      <c r="AD927">
        <f ca="1">Table13345[[#This Row],[Put Gex]]*Table13345[[#This Row],[DeltaP]]*-1</f>
        <v>0</v>
      </c>
      <c r="AE927">
        <f ca="1">Table13345[[#This Row],[Call Gex]]*Table13345[[#This Row],[DeltaC]]</f>
        <v>0</v>
      </c>
      <c r="AF927">
        <f>IF(Table13345[[#This Row],[DeltaC]]-ABS(Table13345[[#This Row],[DeltaP]])="0","0.01",Table13345[[#This Row],[DeltaC]]-ABS(Table13345[[#This Row],[DeltaP]]))</f>
        <v>0</v>
      </c>
      <c r="AG92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7" t="e">
        <f ca="1">(EXP(-(AG927^2)/2)/SQRT(2*PI())*EXP(0*SQRT(Table13345[[#This Row],[T]]))/$A$4*18%*SQRT(SQRT(Table13345[[#This Row],[T]])))</f>
        <v>#DIV/0!</v>
      </c>
      <c r="AJ927" t="e">
        <f ca="1">(EXP(-(AH927^2)/2)/SQRT(2*PI())*EXP(0*SQRT(Table13345[[#This Row],[T]]))/$A$4*18%*SQRT(SQRT(Table13345[[#This Row],[T]])))</f>
        <v>#DIV/0!</v>
      </c>
      <c r="AK927" t="e">
        <f ca="1">Table13345[[#This Row],[Call D1]]-Table13345[[#This Row],[IV Calc C]]*SQRT(Table13345[[#This Row],[T]])</f>
        <v>#DIV/0!</v>
      </c>
      <c r="AL927" t="e">
        <f ca="1">Table13345[[#This Row],[Put D1]]-Table13345[[#This Row],[IV Calc P]]*SQRT(Table13345[[#This Row],[T]])</f>
        <v>#DIV/0!</v>
      </c>
      <c r="AM927" t="e">
        <f ca="1">EXP(-0.5*Table13345[[#This Row],[Call D1]]^2)/SQRT(2*PI())</f>
        <v>#DIV/0!</v>
      </c>
      <c r="AN927" t="e">
        <f ca="1">EXP(-0.5*Table13345[[#This Row],[Put D1]]^2)/SQRT(2*PI())</f>
        <v>#DIV/0!</v>
      </c>
      <c r="AO92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7">
        <f ca="1">((Table13345[[#This Row],[call vanna]]+Table13345[[#This Row],[put vanna]])*$A$4)</f>
        <v>0</v>
      </c>
      <c r="AR92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7" s="9" t="str" cm="1">
        <f t="array" ref="AT927">_xlfn.IFS(     $M$1="SPX","SPXW",     $M$1="RUT","RUTW",  $M$1="NDX","NDXP",   TRUE,$M$1 )</f>
        <v>SPXW</v>
      </c>
      <c r="AU927" s="2">
        <f t="shared" si="92"/>
        <v>6915</v>
      </c>
      <c r="AV927" t="str">
        <f t="shared" si="93"/>
        <v>000100</v>
      </c>
      <c r="AY92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7">
        <f>((Table13345[[#This Row],[High C]]+Table13345[[#This Row],[Low C]])/2)*Table13345[[#This Row],[gammac]]*Table13345[[#This Row],[Volume]]</f>
        <v>0</v>
      </c>
      <c r="BD927">
        <f>((Table13345[[#This Row],[High P]]+Table13345[[#This Row],[Low P]])/2)*Table13345[[#This Row],[gammap]]*Table13345[[#This Row],[Volume9]]*-1</f>
        <v>0</v>
      </c>
      <c r="BE927">
        <f>(Table13345[[#This Row],[SgammaC]]+Table13345[[#This Row],[SgammaP]])*$A$4*-100</f>
        <v>0</v>
      </c>
      <c r="BF927">
        <f>Table13345[[#This Row],[DEXc]]+Table13345[[#This Row],[DEXp]]</f>
        <v>0</v>
      </c>
      <c r="BG927">
        <f>IFERROR(Table13345[[#This Row],[DeltaC]]*Table13345[[#This Row],[Open.Int]]*$A$4,0)</f>
        <v>0</v>
      </c>
      <c r="BH927">
        <f>IFERROR(Table13345[[#This Row],[DeltaP]]*Table13345[[#This Row],[Open.Int8]]*$A$4,0)</f>
        <v>0</v>
      </c>
      <c r="BI92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7">
        <f ca="1">Table13345[[#This Row],[charmc]]+Table13345[[#This Row],[charmp]]</f>
        <v>0</v>
      </c>
      <c r="BL92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7" s="78">
        <f ca="1">Table13345[[#This Row],[call helper]]+Table13345[[#This Row],[put helper]]</f>
        <v>0</v>
      </c>
      <c r="BP927" t="str">
        <f>RTD("tos.rtd", , "STRIKE", "."&amp;Table13345[[#This Row],[Ticker]]&amp;Table13345[[#This Row],[Expiry]]&amp;""&amp;"C"&amp;Table13345[[#This Row],[Spot]]+Table13345[[#This Row],[step]])</f>
        <v>N/A</v>
      </c>
    </row>
    <row r="928" spans="1:68" x14ac:dyDescent="0.25">
      <c r="A928" s="14">
        <f t="shared" ca="1" si="89"/>
        <v>-126.14810350076104</v>
      </c>
      <c r="C928" s="17"/>
      <c r="D928" t="str">
        <f>RTD("tos.rtd", , "OPEN_INT", "."&amp;Table13345[[#This Row],[Ticker]]&amp;Table13345[[#This Row],[Expiry]]&amp;""&amp;"C"&amp;Table13345[[#This Row],[Spot]]+Table13345[[#This Row],[step]])</f>
        <v>N/A</v>
      </c>
      <c r="E92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8" t="b">
        <f>IF(     ISNUMBER(Table13345[[#This Row],[Strike]]),RTD("tos.rtd", , "DELTA", "."&amp;Table13345[[#This Row],[Ticker]]&amp;Table13345[[#This Row],[Expiry]]&amp;""&amp;"C"&amp;Table13345[[#This Row],[Strike]]))</f>
        <v>0</v>
      </c>
      <c r="H928" s="17" cm="1">
        <f t="array" aca="1" ref="H928" ca="1">IndividualLegIVCore($A$4, Table13345[[#This Row],[Strike]], 0.0411, Table13345[[#This Row],[T]], ((Table13345[[#This Row],[BIDC]]+Table13345[[#This Row],[ASKC]])/2), TRUE)</f>
        <v>0.01</v>
      </c>
      <c r="I928" t="b">
        <f>IF(     ISNUMBER(Table13345[[#This Row],[Strike]]),RTD("tos.rtd", , "BID", "."&amp;Table13345[[#This Row],[Ticker]]&amp;Table13345[[#This Row],[Expiry]]&amp;""&amp;"C"&amp;Table13345[[#This Row],[Strike]]))</f>
        <v>0</v>
      </c>
      <c r="J928" t="b">
        <f>IF(     ISNUMBER(Table13345[[#This Row],[Strike]]),RTD("tos.rtd", , "ASK", "."&amp;Table13345[[#This Row],[Ticker]]&amp;Table13345[[#This Row],[Expiry]]&amp;""&amp;"C"&amp;Table13345[[#This Row],[Strike]]))</f>
        <v>0</v>
      </c>
      <c r="K928" s="17"/>
      <c r="M928" s="1">
        <f t="shared" si="90"/>
        <v>0</v>
      </c>
      <c r="N928" t="b">
        <f t="shared" si="91"/>
        <v>0</v>
      </c>
      <c r="P928" s="17" cm="1">
        <f t="array" aca="1" ref="P928" ca="1">IndividualLegIVCore($A$4, Table13345[[#This Row],[Strike]], 0.0411, Table13345[[#This Row],[T]], ((Table13345[[#This Row],[BIDP]]+Table13345[[#This Row],[ASKP]])/2), FALSE)</f>
        <v>0.01</v>
      </c>
      <c r="Q928" t="b">
        <f>IF(     ISNUMBER(Table13345[[#This Row],[Strike]]),RTD("tos.rtd", , "BID", "."&amp;Table13345[[#This Row],[Ticker]]&amp;Table13345[[#This Row],[Expiry]]&amp;""&amp;"P"&amp;Table13345[[#This Row],[Strike]]))</f>
        <v>0</v>
      </c>
      <c r="R928" t="b">
        <f>IF(     ISNUMBER(Table13345[[#This Row],[Strike]]),RTD("tos.rtd", , "ASK", "."&amp;Table13345[[#This Row],[Ticker]]&amp;Table13345[[#This Row],[Expiry]]&amp;""&amp;"P"&amp;Table13345[[#This Row],[Strike]]))</f>
        <v>0</v>
      </c>
      <c r="S928" s="17"/>
      <c r="T928" t="b">
        <f>IF(     ISNUMBER(Table13345[[#This Row],[Strike]]),RTD("tos.rtd", , "OPEN_INT", "."&amp;Table13345[[#This Row],[Ticker]]&amp;Table13345[[#This Row],[Expiry]]&amp;""&amp;"P"&amp;Table13345[[#This Row],[Strike]]))</f>
        <v>0</v>
      </c>
      <c r="U92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8" t="b">
        <f>IF(     ISNUMBER(Table13345[[#This Row],[Strike]]),RTD("tos.rtd", , "DELTA", "."&amp;Table13345[[#This Row],[Ticker]]&amp;Table13345[[#This Row],[Expiry]]&amp;""&amp;"P"&amp;Table13345[[#This Row],[Strike]]))</f>
        <v>0</v>
      </c>
      <c r="Y928" s="19">
        <f>3* IF($M$1="NDX", 10, IF(OR($M$1="SPX", $M$1="RUT"), 2, 1))</f>
        <v>6</v>
      </c>
      <c r="Z928">
        <f ca="1">IFERROR(Table13345[[#This Row],[call gamma]]*(Table13345[[#This Row],[Open.Int]])*$A$4^2,0)</f>
        <v>0</v>
      </c>
      <c r="AA928">
        <f ca="1">IFERROR(((Table13345[[#This Row],[Open.Int8]])*Table13345[[#This Row],[Put gamma]])*-1*$A$4^2,0)</f>
        <v>0</v>
      </c>
      <c r="AB928">
        <f ca="1">(Table13345[[#This Row],[Call Gex]]+Table13345[[#This Row],[Put Gex]])</f>
        <v>0</v>
      </c>
      <c r="AC928">
        <f ca="1">Table13345[[#This Row],[put delta adj]]+Table13345[[#This Row],[call delta adj]]</f>
        <v>0</v>
      </c>
      <c r="AD928">
        <f ca="1">Table13345[[#This Row],[Put Gex]]*Table13345[[#This Row],[DeltaP]]*-1</f>
        <v>0</v>
      </c>
      <c r="AE928">
        <f ca="1">Table13345[[#This Row],[Call Gex]]*Table13345[[#This Row],[DeltaC]]</f>
        <v>0</v>
      </c>
      <c r="AF928">
        <f>IF(Table13345[[#This Row],[DeltaC]]-ABS(Table13345[[#This Row],[DeltaP]])="0","0.01",Table13345[[#This Row],[DeltaC]]-ABS(Table13345[[#This Row],[DeltaP]]))</f>
        <v>0</v>
      </c>
      <c r="AG92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8" t="e">
        <f ca="1">(EXP(-(AG928^2)/2)/SQRT(2*PI())*EXP(0*SQRT(Table13345[[#This Row],[T]]))/$A$4*18%*SQRT(SQRT(Table13345[[#This Row],[T]])))</f>
        <v>#DIV/0!</v>
      </c>
      <c r="AJ928" t="e">
        <f ca="1">(EXP(-(AH928^2)/2)/SQRT(2*PI())*EXP(0*SQRT(Table13345[[#This Row],[T]]))/$A$4*18%*SQRT(SQRT(Table13345[[#This Row],[T]])))</f>
        <v>#DIV/0!</v>
      </c>
      <c r="AK928" t="e">
        <f ca="1">Table13345[[#This Row],[Call D1]]-Table13345[[#This Row],[IV Calc C]]*SQRT(Table13345[[#This Row],[T]])</f>
        <v>#DIV/0!</v>
      </c>
      <c r="AL928" t="e">
        <f ca="1">Table13345[[#This Row],[Put D1]]-Table13345[[#This Row],[IV Calc P]]*SQRT(Table13345[[#This Row],[T]])</f>
        <v>#DIV/0!</v>
      </c>
      <c r="AM928" t="e">
        <f ca="1">EXP(-0.5*Table13345[[#This Row],[Call D1]]^2)/SQRT(2*PI())</f>
        <v>#DIV/0!</v>
      </c>
      <c r="AN928" t="e">
        <f ca="1">EXP(-0.5*Table13345[[#This Row],[Put D1]]^2)/SQRT(2*PI())</f>
        <v>#DIV/0!</v>
      </c>
      <c r="AO92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8">
        <f ca="1">((Table13345[[#This Row],[call vanna]]+Table13345[[#This Row],[put vanna]])*$A$4)</f>
        <v>0</v>
      </c>
      <c r="AR92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8" s="9" t="str" cm="1">
        <f t="array" ref="AT928">_xlfn.IFS(     $M$1="SPX","SPXW",     $M$1="RUT","RUTW",  $M$1="NDX","NDXP",   TRUE,$M$1 )</f>
        <v>SPXW</v>
      </c>
      <c r="AU928" s="2">
        <f t="shared" si="92"/>
        <v>6915</v>
      </c>
      <c r="AV928" t="str">
        <f t="shared" si="93"/>
        <v>000100</v>
      </c>
      <c r="AY92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8">
        <f>((Table13345[[#This Row],[High C]]+Table13345[[#This Row],[Low C]])/2)*Table13345[[#This Row],[gammac]]*Table13345[[#This Row],[Volume]]</f>
        <v>0</v>
      </c>
      <c r="BD928">
        <f>((Table13345[[#This Row],[High P]]+Table13345[[#This Row],[Low P]])/2)*Table13345[[#This Row],[gammap]]*Table13345[[#This Row],[Volume9]]*-1</f>
        <v>0</v>
      </c>
      <c r="BE928">
        <f>(Table13345[[#This Row],[SgammaC]]+Table13345[[#This Row],[SgammaP]])*$A$4*-100</f>
        <v>0</v>
      </c>
      <c r="BF928">
        <f>Table13345[[#This Row],[DEXc]]+Table13345[[#This Row],[DEXp]]</f>
        <v>0</v>
      </c>
      <c r="BG928">
        <f>IFERROR(Table13345[[#This Row],[DeltaC]]*Table13345[[#This Row],[Open.Int]]*$A$4,0)</f>
        <v>0</v>
      </c>
      <c r="BH928">
        <f>IFERROR(Table13345[[#This Row],[DeltaP]]*Table13345[[#This Row],[Open.Int8]]*$A$4,0)</f>
        <v>0</v>
      </c>
      <c r="BI92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8">
        <f ca="1">Table13345[[#This Row],[charmc]]+Table13345[[#This Row],[charmp]]</f>
        <v>0</v>
      </c>
      <c r="BL92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8" s="78">
        <f ca="1">Table13345[[#This Row],[call helper]]+Table13345[[#This Row],[put helper]]</f>
        <v>0</v>
      </c>
      <c r="BP928" t="str">
        <f>RTD("tos.rtd", , "STRIKE", "."&amp;Table13345[[#This Row],[Ticker]]&amp;Table13345[[#This Row],[Expiry]]&amp;""&amp;"C"&amp;Table13345[[#This Row],[Spot]]+Table13345[[#This Row],[step]])</f>
        <v>N/A</v>
      </c>
    </row>
    <row r="929" spans="1:68" x14ac:dyDescent="0.25">
      <c r="A929" s="14">
        <f t="shared" ca="1" si="89"/>
        <v>-126.14810350076104</v>
      </c>
      <c r="C929" s="17"/>
      <c r="D929" t="str">
        <f>RTD("tos.rtd", , "OPEN_INT", "."&amp;Table13345[[#This Row],[Ticker]]&amp;Table13345[[#This Row],[Expiry]]&amp;""&amp;"C"&amp;Table13345[[#This Row],[Spot]]+Table13345[[#This Row],[step]])</f>
        <v>N/A</v>
      </c>
      <c r="E92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9" t="b">
        <f>IF(     ISNUMBER(Table13345[[#This Row],[Strike]]),RTD("tos.rtd", , "DELTA", "."&amp;Table13345[[#This Row],[Ticker]]&amp;Table13345[[#This Row],[Expiry]]&amp;""&amp;"C"&amp;Table13345[[#This Row],[Strike]]))</f>
        <v>0</v>
      </c>
      <c r="H929" s="17" cm="1">
        <f t="array" aca="1" ref="H929" ca="1">IndividualLegIVCore($A$4, Table13345[[#This Row],[Strike]], 0.0411, Table13345[[#This Row],[T]], ((Table13345[[#This Row],[BIDC]]+Table13345[[#This Row],[ASKC]])/2), TRUE)</f>
        <v>0.01</v>
      </c>
      <c r="I929" t="b">
        <f>IF(     ISNUMBER(Table13345[[#This Row],[Strike]]),RTD("tos.rtd", , "BID", "."&amp;Table13345[[#This Row],[Ticker]]&amp;Table13345[[#This Row],[Expiry]]&amp;""&amp;"C"&amp;Table13345[[#This Row],[Strike]]))</f>
        <v>0</v>
      </c>
      <c r="J929" t="b">
        <f>IF(     ISNUMBER(Table13345[[#This Row],[Strike]]),RTD("tos.rtd", , "ASK", "."&amp;Table13345[[#This Row],[Ticker]]&amp;Table13345[[#This Row],[Expiry]]&amp;""&amp;"C"&amp;Table13345[[#This Row],[Strike]]))</f>
        <v>0</v>
      </c>
      <c r="K929" s="17"/>
      <c r="M929" s="1">
        <f t="shared" si="90"/>
        <v>0</v>
      </c>
      <c r="N929" t="b">
        <f t="shared" si="91"/>
        <v>0</v>
      </c>
      <c r="P929" s="17" cm="1">
        <f t="array" aca="1" ref="P929" ca="1">IndividualLegIVCore($A$4, Table13345[[#This Row],[Strike]], 0.0411, Table13345[[#This Row],[T]], ((Table13345[[#This Row],[BIDP]]+Table13345[[#This Row],[ASKP]])/2), FALSE)</f>
        <v>0.01</v>
      </c>
      <c r="Q929" t="b">
        <f>IF(     ISNUMBER(Table13345[[#This Row],[Strike]]),RTD("tos.rtd", , "BID", "."&amp;Table13345[[#This Row],[Ticker]]&amp;Table13345[[#This Row],[Expiry]]&amp;""&amp;"P"&amp;Table13345[[#This Row],[Strike]]))</f>
        <v>0</v>
      </c>
      <c r="R929" t="b">
        <f>IF(     ISNUMBER(Table13345[[#This Row],[Strike]]),RTD("tos.rtd", , "ASK", "."&amp;Table13345[[#This Row],[Ticker]]&amp;Table13345[[#This Row],[Expiry]]&amp;""&amp;"P"&amp;Table13345[[#This Row],[Strike]]))</f>
        <v>0</v>
      </c>
      <c r="S929" s="17"/>
      <c r="T929" t="b">
        <f>IF(     ISNUMBER(Table13345[[#This Row],[Strike]]),RTD("tos.rtd", , "OPEN_INT", "."&amp;Table13345[[#This Row],[Ticker]]&amp;Table13345[[#This Row],[Expiry]]&amp;""&amp;"P"&amp;Table13345[[#This Row],[Strike]]))</f>
        <v>0</v>
      </c>
      <c r="U92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9" t="b">
        <f>IF(     ISNUMBER(Table13345[[#This Row],[Strike]]),RTD("tos.rtd", , "DELTA", "."&amp;Table13345[[#This Row],[Ticker]]&amp;Table13345[[#This Row],[Expiry]]&amp;""&amp;"P"&amp;Table13345[[#This Row],[Strike]]))</f>
        <v>0</v>
      </c>
      <c r="Y929" s="19">
        <f>3.5* IF($M$1="NDX", 10, IF(OR($M$1="SPX", $M$1="RUT"), 2, 1))</f>
        <v>7</v>
      </c>
      <c r="Z929">
        <f ca="1">IFERROR(Table13345[[#This Row],[call gamma]]*(Table13345[[#This Row],[Open.Int]])*$A$4^2,0)</f>
        <v>0</v>
      </c>
      <c r="AA929">
        <f ca="1">IFERROR(((Table13345[[#This Row],[Open.Int8]])*Table13345[[#This Row],[Put gamma]])*-1*$A$4^2,0)</f>
        <v>0</v>
      </c>
      <c r="AB929">
        <f ca="1">(Table13345[[#This Row],[Call Gex]]+Table13345[[#This Row],[Put Gex]])</f>
        <v>0</v>
      </c>
      <c r="AC929">
        <f ca="1">Table13345[[#This Row],[put delta adj]]+Table13345[[#This Row],[call delta adj]]</f>
        <v>0</v>
      </c>
      <c r="AD929">
        <f ca="1">Table13345[[#This Row],[Put Gex]]*Table13345[[#This Row],[DeltaP]]*-1</f>
        <v>0</v>
      </c>
      <c r="AE929">
        <f ca="1">Table13345[[#This Row],[Call Gex]]*Table13345[[#This Row],[DeltaC]]</f>
        <v>0</v>
      </c>
      <c r="AF929">
        <f>IF(Table13345[[#This Row],[DeltaC]]-ABS(Table13345[[#This Row],[DeltaP]])="0","0.01",Table13345[[#This Row],[DeltaC]]-ABS(Table13345[[#This Row],[DeltaP]]))</f>
        <v>0</v>
      </c>
      <c r="AG92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9" t="e">
        <f ca="1">(EXP(-(AG929^2)/2)/SQRT(2*PI())*EXP(0*SQRT(Table13345[[#This Row],[T]]))/$A$4*18%*SQRT(SQRT(Table13345[[#This Row],[T]])))</f>
        <v>#DIV/0!</v>
      </c>
      <c r="AJ929" t="e">
        <f ca="1">(EXP(-(AH929^2)/2)/SQRT(2*PI())*EXP(0*SQRT(Table13345[[#This Row],[T]]))/$A$4*18%*SQRT(SQRT(Table13345[[#This Row],[T]])))</f>
        <v>#DIV/0!</v>
      </c>
      <c r="AK929" t="e">
        <f ca="1">Table13345[[#This Row],[Call D1]]-Table13345[[#This Row],[IV Calc C]]*SQRT(Table13345[[#This Row],[T]])</f>
        <v>#DIV/0!</v>
      </c>
      <c r="AL929" t="e">
        <f ca="1">Table13345[[#This Row],[Put D1]]-Table13345[[#This Row],[IV Calc P]]*SQRT(Table13345[[#This Row],[T]])</f>
        <v>#DIV/0!</v>
      </c>
      <c r="AM929" t="e">
        <f ca="1">EXP(-0.5*Table13345[[#This Row],[Call D1]]^2)/SQRT(2*PI())</f>
        <v>#DIV/0!</v>
      </c>
      <c r="AN929" t="e">
        <f ca="1">EXP(-0.5*Table13345[[#This Row],[Put D1]]^2)/SQRT(2*PI())</f>
        <v>#DIV/0!</v>
      </c>
      <c r="AO92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9">
        <f ca="1">((Table13345[[#This Row],[call vanna]]+Table13345[[#This Row],[put vanna]])*$A$4)</f>
        <v>0</v>
      </c>
      <c r="AR92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9" s="9" t="str" cm="1">
        <f t="array" ref="AT929">_xlfn.IFS(     $M$1="SPX","SPXW",     $M$1="RUT","RUTW",  $M$1="NDX","NDXP",   TRUE,$M$1 )</f>
        <v>SPXW</v>
      </c>
      <c r="AU929" s="2">
        <f t="shared" si="92"/>
        <v>6915</v>
      </c>
      <c r="AV929" t="str">
        <f t="shared" si="93"/>
        <v>000100</v>
      </c>
      <c r="AY92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9">
        <f>((Table13345[[#This Row],[High C]]+Table13345[[#This Row],[Low C]])/2)*Table13345[[#This Row],[gammac]]*Table13345[[#This Row],[Volume]]</f>
        <v>0</v>
      </c>
      <c r="BD929">
        <f>((Table13345[[#This Row],[High P]]+Table13345[[#This Row],[Low P]])/2)*Table13345[[#This Row],[gammap]]*Table13345[[#This Row],[Volume9]]*-1</f>
        <v>0</v>
      </c>
      <c r="BE929">
        <f>(Table13345[[#This Row],[SgammaC]]+Table13345[[#This Row],[SgammaP]])*$A$4*-100</f>
        <v>0</v>
      </c>
      <c r="BF929">
        <f>Table13345[[#This Row],[DEXc]]+Table13345[[#This Row],[DEXp]]</f>
        <v>0</v>
      </c>
      <c r="BG929">
        <f>IFERROR(Table13345[[#This Row],[DeltaC]]*Table13345[[#This Row],[Open.Int]]*$A$4,0)</f>
        <v>0</v>
      </c>
      <c r="BH929">
        <f>IFERROR(Table13345[[#This Row],[DeltaP]]*Table13345[[#This Row],[Open.Int8]]*$A$4,0)</f>
        <v>0</v>
      </c>
      <c r="BI92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9">
        <f ca="1">Table13345[[#This Row],[charmc]]+Table13345[[#This Row],[charmp]]</f>
        <v>0</v>
      </c>
      <c r="BL92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9" s="78">
        <f ca="1">Table13345[[#This Row],[call helper]]+Table13345[[#This Row],[put helper]]</f>
        <v>0</v>
      </c>
      <c r="BP929" t="str">
        <f>RTD("tos.rtd", , "STRIKE", "."&amp;Table13345[[#This Row],[Ticker]]&amp;Table13345[[#This Row],[Expiry]]&amp;""&amp;"C"&amp;Table13345[[#This Row],[Spot]]+Table13345[[#This Row],[step]])</f>
        <v>N/A</v>
      </c>
    </row>
    <row r="930" spans="1:68" x14ac:dyDescent="0.25">
      <c r="A930" s="14">
        <f t="shared" ca="1" si="89"/>
        <v>-126.14810350076104</v>
      </c>
      <c r="C930" s="17"/>
      <c r="D930" t="str">
        <f>RTD("tos.rtd", , "OPEN_INT", "."&amp;Table13345[[#This Row],[Ticker]]&amp;Table13345[[#This Row],[Expiry]]&amp;""&amp;"C"&amp;Table13345[[#This Row],[Spot]]+Table13345[[#This Row],[step]])</f>
        <v>N/A</v>
      </c>
      <c r="E93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0" t="b">
        <f>IF(     ISNUMBER(Table13345[[#This Row],[Strike]]),RTD("tos.rtd", , "DELTA", "."&amp;Table13345[[#This Row],[Ticker]]&amp;Table13345[[#This Row],[Expiry]]&amp;""&amp;"C"&amp;Table13345[[#This Row],[Strike]]))</f>
        <v>0</v>
      </c>
      <c r="H930" s="17" cm="1">
        <f t="array" aca="1" ref="H930" ca="1">IndividualLegIVCore($A$4, Table13345[[#This Row],[Strike]], 0.0411, Table13345[[#This Row],[T]], ((Table13345[[#This Row],[BIDC]]+Table13345[[#This Row],[ASKC]])/2), TRUE)</f>
        <v>0.01</v>
      </c>
      <c r="I930" t="b">
        <f>IF(     ISNUMBER(Table13345[[#This Row],[Strike]]),RTD("tos.rtd", , "BID", "."&amp;Table13345[[#This Row],[Ticker]]&amp;Table13345[[#This Row],[Expiry]]&amp;""&amp;"C"&amp;Table13345[[#This Row],[Strike]]))</f>
        <v>0</v>
      </c>
      <c r="J930" t="b">
        <f>IF(     ISNUMBER(Table13345[[#This Row],[Strike]]),RTD("tos.rtd", , "ASK", "."&amp;Table13345[[#This Row],[Ticker]]&amp;Table13345[[#This Row],[Expiry]]&amp;""&amp;"C"&amp;Table13345[[#This Row],[Strike]]))</f>
        <v>0</v>
      </c>
      <c r="K930" s="17"/>
      <c r="M930" s="1">
        <f t="shared" si="90"/>
        <v>0</v>
      </c>
      <c r="N930" t="b">
        <f t="shared" si="91"/>
        <v>0</v>
      </c>
      <c r="P930" s="17" cm="1">
        <f t="array" aca="1" ref="P930" ca="1">IndividualLegIVCore($A$4, Table13345[[#This Row],[Strike]], 0.0411, Table13345[[#This Row],[T]], ((Table13345[[#This Row],[BIDP]]+Table13345[[#This Row],[ASKP]])/2), FALSE)</f>
        <v>0.01</v>
      </c>
      <c r="Q930" t="b">
        <f>IF(     ISNUMBER(Table13345[[#This Row],[Strike]]),RTD("tos.rtd", , "BID", "."&amp;Table13345[[#This Row],[Ticker]]&amp;Table13345[[#This Row],[Expiry]]&amp;""&amp;"P"&amp;Table13345[[#This Row],[Strike]]))</f>
        <v>0</v>
      </c>
      <c r="R930" t="b">
        <f>IF(     ISNUMBER(Table13345[[#This Row],[Strike]]),RTD("tos.rtd", , "ASK", "."&amp;Table13345[[#This Row],[Ticker]]&amp;Table13345[[#This Row],[Expiry]]&amp;""&amp;"P"&amp;Table13345[[#This Row],[Strike]]))</f>
        <v>0</v>
      </c>
      <c r="S930" s="17"/>
      <c r="T930" t="b">
        <f>IF(     ISNUMBER(Table13345[[#This Row],[Strike]]),RTD("tos.rtd", , "OPEN_INT", "."&amp;Table13345[[#This Row],[Ticker]]&amp;Table13345[[#This Row],[Expiry]]&amp;""&amp;"P"&amp;Table13345[[#This Row],[Strike]]))</f>
        <v>0</v>
      </c>
      <c r="U93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0" t="b">
        <f>IF(     ISNUMBER(Table13345[[#This Row],[Strike]]),RTD("tos.rtd", , "DELTA", "."&amp;Table13345[[#This Row],[Ticker]]&amp;Table13345[[#This Row],[Expiry]]&amp;""&amp;"P"&amp;Table13345[[#This Row],[Strike]]))</f>
        <v>0</v>
      </c>
      <c r="Y930" s="19">
        <f>4* IF($M$1="NDX", 10, IF(OR($M$1="SPX", $M$1="RUT"), 2, 1))</f>
        <v>8</v>
      </c>
      <c r="Z930">
        <f ca="1">IFERROR(Table13345[[#This Row],[call gamma]]*(Table13345[[#This Row],[Open.Int]])*$A$4^2,0)</f>
        <v>0</v>
      </c>
      <c r="AA930">
        <f ca="1">IFERROR(((Table13345[[#This Row],[Open.Int8]])*Table13345[[#This Row],[Put gamma]])*-1*$A$4^2,0)</f>
        <v>0</v>
      </c>
      <c r="AB930">
        <f ca="1">(Table13345[[#This Row],[Call Gex]]+Table13345[[#This Row],[Put Gex]])</f>
        <v>0</v>
      </c>
      <c r="AC930">
        <f ca="1">Table13345[[#This Row],[put delta adj]]+Table13345[[#This Row],[call delta adj]]</f>
        <v>0</v>
      </c>
      <c r="AD930">
        <f ca="1">Table13345[[#This Row],[Put Gex]]*Table13345[[#This Row],[DeltaP]]*-1</f>
        <v>0</v>
      </c>
      <c r="AE930">
        <f ca="1">Table13345[[#This Row],[Call Gex]]*Table13345[[#This Row],[DeltaC]]</f>
        <v>0</v>
      </c>
      <c r="AF930">
        <f>IF(Table13345[[#This Row],[DeltaC]]-ABS(Table13345[[#This Row],[DeltaP]])="0","0.01",Table13345[[#This Row],[DeltaC]]-ABS(Table13345[[#This Row],[DeltaP]]))</f>
        <v>0</v>
      </c>
      <c r="AG93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0" t="e">
        <f ca="1">(EXP(-(AG930^2)/2)/SQRT(2*PI())*EXP(0*SQRT(Table13345[[#This Row],[T]]))/$A$4*18%*SQRT(SQRT(Table13345[[#This Row],[T]])))</f>
        <v>#DIV/0!</v>
      </c>
      <c r="AJ930" t="e">
        <f ca="1">(EXP(-(AH930^2)/2)/SQRT(2*PI())*EXP(0*SQRT(Table13345[[#This Row],[T]]))/$A$4*18%*SQRT(SQRT(Table13345[[#This Row],[T]])))</f>
        <v>#DIV/0!</v>
      </c>
      <c r="AK930" t="e">
        <f ca="1">Table13345[[#This Row],[Call D1]]-Table13345[[#This Row],[IV Calc C]]*SQRT(Table13345[[#This Row],[T]])</f>
        <v>#DIV/0!</v>
      </c>
      <c r="AL930" t="e">
        <f ca="1">Table13345[[#This Row],[Put D1]]-Table13345[[#This Row],[IV Calc P]]*SQRT(Table13345[[#This Row],[T]])</f>
        <v>#DIV/0!</v>
      </c>
      <c r="AM930" t="e">
        <f ca="1">EXP(-0.5*Table13345[[#This Row],[Call D1]]^2)/SQRT(2*PI())</f>
        <v>#DIV/0!</v>
      </c>
      <c r="AN930" t="e">
        <f ca="1">EXP(-0.5*Table13345[[#This Row],[Put D1]]^2)/SQRT(2*PI())</f>
        <v>#DIV/0!</v>
      </c>
      <c r="AO93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0">
        <f ca="1">((Table13345[[#This Row],[call vanna]]+Table13345[[#This Row],[put vanna]])*$A$4)</f>
        <v>0</v>
      </c>
      <c r="AR93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0" s="9" t="str" cm="1">
        <f t="array" ref="AT930">_xlfn.IFS(     $M$1="SPX","SPXW",     $M$1="RUT","RUTW",  $M$1="NDX","NDXP",   TRUE,$M$1 )</f>
        <v>SPXW</v>
      </c>
      <c r="AU930" s="2">
        <f t="shared" si="92"/>
        <v>6915</v>
      </c>
      <c r="AV930" t="str">
        <f t="shared" si="93"/>
        <v>000100</v>
      </c>
      <c r="AY93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0">
        <f>((Table13345[[#This Row],[High C]]+Table13345[[#This Row],[Low C]])/2)*Table13345[[#This Row],[gammac]]*Table13345[[#This Row],[Volume]]</f>
        <v>0</v>
      </c>
      <c r="BD930">
        <f>((Table13345[[#This Row],[High P]]+Table13345[[#This Row],[Low P]])/2)*Table13345[[#This Row],[gammap]]*Table13345[[#This Row],[Volume9]]*-1</f>
        <v>0</v>
      </c>
      <c r="BE930">
        <f>(Table13345[[#This Row],[SgammaC]]+Table13345[[#This Row],[SgammaP]])*$A$4*-100</f>
        <v>0</v>
      </c>
      <c r="BF930">
        <f>Table13345[[#This Row],[DEXc]]+Table13345[[#This Row],[DEXp]]</f>
        <v>0</v>
      </c>
      <c r="BG930">
        <f>IFERROR(Table13345[[#This Row],[DeltaC]]*Table13345[[#This Row],[Open.Int]]*$A$4,0)</f>
        <v>0</v>
      </c>
      <c r="BH930">
        <f>IFERROR(Table13345[[#This Row],[DeltaP]]*Table13345[[#This Row],[Open.Int8]]*$A$4,0)</f>
        <v>0</v>
      </c>
      <c r="BI93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0">
        <f ca="1">Table13345[[#This Row],[charmc]]+Table13345[[#This Row],[charmp]]</f>
        <v>0</v>
      </c>
      <c r="BL93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0" s="78">
        <f ca="1">Table13345[[#This Row],[call helper]]+Table13345[[#This Row],[put helper]]</f>
        <v>0</v>
      </c>
      <c r="BP930" t="str">
        <f>RTD("tos.rtd", , "STRIKE", "."&amp;Table13345[[#This Row],[Ticker]]&amp;Table13345[[#This Row],[Expiry]]&amp;""&amp;"C"&amp;Table13345[[#This Row],[Spot]]+Table13345[[#This Row],[step]])</f>
        <v>N/A</v>
      </c>
    </row>
    <row r="931" spans="1:68" x14ac:dyDescent="0.25">
      <c r="A931" s="14">
        <f t="shared" ca="1" si="89"/>
        <v>-126.14810350076104</v>
      </c>
      <c r="C931" s="17"/>
      <c r="D931" t="str">
        <f>RTD("tos.rtd", , "OPEN_INT", "."&amp;Table13345[[#This Row],[Ticker]]&amp;Table13345[[#This Row],[Expiry]]&amp;""&amp;"C"&amp;Table13345[[#This Row],[Spot]]+Table13345[[#This Row],[step]])</f>
        <v>N/A</v>
      </c>
      <c r="E93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1" t="b">
        <f>IF(     ISNUMBER(Table13345[[#This Row],[Strike]]),RTD("tos.rtd", , "DELTA", "."&amp;Table13345[[#This Row],[Ticker]]&amp;Table13345[[#This Row],[Expiry]]&amp;""&amp;"C"&amp;Table13345[[#This Row],[Strike]]))</f>
        <v>0</v>
      </c>
      <c r="H931" s="17" cm="1">
        <f t="array" aca="1" ref="H931" ca="1">IndividualLegIVCore($A$4, Table13345[[#This Row],[Strike]], 0.0411, Table13345[[#This Row],[T]], ((Table13345[[#This Row],[BIDC]]+Table13345[[#This Row],[ASKC]])/2), TRUE)</f>
        <v>0.01</v>
      </c>
      <c r="I931" t="b">
        <f>IF(     ISNUMBER(Table13345[[#This Row],[Strike]]),RTD("tos.rtd", , "BID", "."&amp;Table13345[[#This Row],[Ticker]]&amp;Table13345[[#This Row],[Expiry]]&amp;""&amp;"C"&amp;Table13345[[#This Row],[Strike]]))</f>
        <v>0</v>
      </c>
      <c r="J931" t="b">
        <f>IF(     ISNUMBER(Table13345[[#This Row],[Strike]]),RTD("tos.rtd", , "ASK", "."&amp;Table13345[[#This Row],[Ticker]]&amp;Table13345[[#This Row],[Expiry]]&amp;""&amp;"C"&amp;Table13345[[#This Row],[Strike]]))</f>
        <v>0</v>
      </c>
      <c r="K931" s="17"/>
      <c r="M931" s="1">
        <f t="shared" si="90"/>
        <v>0</v>
      </c>
      <c r="N931" t="b">
        <f t="shared" si="91"/>
        <v>0</v>
      </c>
      <c r="P931" s="17" cm="1">
        <f t="array" aca="1" ref="P931" ca="1">IndividualLegIVCore($A$4, Table13345[[#This Row],[Strike]], 0.0411, Table13345[[#This Row],[T]], ((Table13345[[#This Row],[BIDP]]+Table13345[[#This Row],[ASKP]])/2), FALSE)</f>
        <v>0.01</v>
      </c>
      <c r="Q931" t="b">
        <f>IF(     ISNUMBER(Table13345[[#This Row],[Strike]]),RTD("tos.rtd", , "BID", "."&amp;Table13345[[#This Row],[Ticker]]&amp;Table13345[[#This Row],[Expiry]]&amp;""&amp;"P"&amp;Table13345[[#This Row],[Strike]]))</f>
        <v>0</v>
      </c>
      <c r="R931" t="b">
        <f>IF(     ISNUMBER(Table13345[[#This Row],[Strike]]),RTD("tos.rtd", , "ASK", "."&amp;Table13345[[#This Row],[Ticker]]&amp;Table13345[[#This Row],[Expiry]]&amp;""&amp;"P"&amp;Table13345[[#This Row],[Strike]]))</f>
        <v>0</v>
      </c>
      <c r="S931" s="17"/>
      <c r="T931" t="b">
        <f>IF(     ISNUMBER(Table13345[[#This Row],[Strike]]),RTD("tos.rtd", , "OPEN_INT", "."&amp;Table13345[[#This Row],[Ticker]]&amp;Table13345[[#This Row],[Expiry]]&amp;""&amp;"P"&amp;Table13345[[#This Row],[Strike]]))</f>
        <v>0</v>
      </c>
      <c r="U93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1" t="b">
        <f>IF(     ISNUMBER(Table13345[[#This Row],[Strike]]),RTD("tos.rtd", , "DELTA", "."&amp;Table13345[[#This Row],[Ticker]]&amp;Table13345[[#This Row],[Expiry]]&amp;""&amp;"P"&amp;Table13345[[#This Row],[Strike]]))</f>
        <v>0</v>
      </c>
      <c r="Y931" s="19">
        <f>4.5* IF($M$1="NDX", 10, IF(OR($M$1="SPX", $M$1="RUT"), 2, 1))</f>
        <v>9</v>
      </c>
      <c r="Z931">
        <f ca="1">IFERROR(Table13345[[#This Row],[call gamma]]*(Table13345[[#This Row],[Open.Int]])*$A$4^2,0)</f>
        <v>0</v>
      </c>
      <c r="AA931">
        <f ca="1">IFERROR(((Table13345[[#This Row],[Open.Int8]])*Table13345[[#This Row],[Put gamma]])*-1*$A$4^2,0)</f>
        <v>0</v>
      </c>
      <c r="AB931">
        <f ca="1">(Table13345[[#This Row],[Call Gex]]+Table13345[[#This Row],[Put Gex]])</f>
        <v>0</v>
      </c>
      <c r="AC931">
        <f ca="1">Table13345[[#This Row],[put delta adj]]+Table13345[[#This Row],[call delta adj]]</f>
        <v>0</v>
      </c>
      <c r="AD931">
        <f ca="1">Table13345[[#This Row],[Put Gex]]*Table13345[[#This Row],[DeltaP]]*-1</f>
        <v>0</v>
      </c>
      <c r="AE931">
        <f ca="1">Table13345[[#This Row],[Call Gex]]*Table13345[[#This Row],[DeltaC]]</f>
        <v>0</v>
      </c>
      <c r="AF931">
        <f>IF(Table13345[[#This Row],[DeltaC]]-ABS(Table13345[[#This Row],[DeltaP]])="0","0.01",Table13345[[#This Row],[DeltaC]]-ABS(Table13345[[#This Row],[DeltaP]]))</f>
        <v>0</v>
      </c>
      <c r="AG93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1" t="e">
        <f ca="1">(EXP(-(AG931^2)/2)/SQRT(2*PI())*EXP(0*SQRT(Table13345[[#This Row],[T]]))/$A$4*18%*SQRT(SQRT(Table13345[[#This Row],[T]])))</f>
        <v>#DIV/0!</v>
      </c>
      <c r="AJ931" t="e">
        <f ca="1">(EXP(-(AH931^2)/2)/SQRT(2*PI())*EXP(0*SQRT(Table13345[[#This Row],[T]]))/$A$4*18%*SQRT(SQRT(Table13345[[#This Row],[T]])))</f>
        <v>#DIV/0!</v>
      </c>
      <c r="AK931" t="e">
        <f ca="1">Table13345[[#This Row],[Call D1]]-Table13345[[#This Row],[IV Calc C]]*SQRT(Table13345[[#This Row],[T]])</f>
        <v>#DIV/0!</v>
      </c>
      <c r="AL931" t="e">
        <f ca="1">Table13345[[#This Row],[Put D1]]-Table13345[[#This Row],[IV Calc P]]*SQRT(Table13345[[#This Row],[T]])</f>
        <v>#DIV/0!</v>
      </c>
      <c r="AM931" t="e">
        <f ca="1">EXP(-0.5*Table13345[[#This Row],[Call D1]]^2)/SQRT(2*PI())</f>
        <v>#DIV/0!</v>
      </c>
      <c r="AN931" t="e">
        <f ca="1">EXP(-0.5*Table13345[[#This Row],[Put D1]]^2)/SQRT(2*PI())</f>
        <v>#DIV/0!</v>
      </c>
      <c r="AO93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1">
        <f ca="1">((Table13345[[#This Row],[call vanna]]+Table13345[[#This Row],[put vanna]])*$A$4)</f>
        <v>0</v>
      </c>
      <c r="AR93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1" s="9" t="str" cm="1">
        <f t="array" ref="AT931">_xlfn.IFS(     $M$1="SPX","SPXW",     $M$1="RUT","RUTW",  $M$1="NDX","NDXP",   TRUE,$M$1 )</f>
        <v>SPXW</v>
      </c>
      <c r="AU931" s="2">
        <f t="shared" si="92"/>
        <v>6915</v>
      </c>
      <c r="AV931" t="str">
        <f t="shared" si="93"/>
        <v>000100</v>
      </c>
      <c r="AY93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1">
        <f>((Table13345[[#This Row],[High C]]+Table13345[[#This Row],[Low C]])/2)*Table13345[[#This Row],[gammac]]*Table13345[[#This Row],[Volume]]</f>
        <v>0</v>
      </c>
      <c r="BD931">
        <f>((Table13345[[#This Row],[High P]]+Table13345[[#This Row],[Low P]])/2)*Table13345[[#This Row],[gammap]]*Table13345[[#This Row],[Volume9]]*-1</f>
        <v>0</v>
      </c>
      <c r="BE931">
        <f>(Table13345[[#This Row],[SgammaC]]+Table13345[[#This Row],[SgammaP]])*$A$4*-100</f>
        <v>0</v>
      </c>
      <c r="BF931">
        <f>Table13345[[#This Row],[DEXc]]+Table13345[[#This Row],[DEXp]]</f>
        <v>0</v>
      </c>
      <c r="BG931">
        <f>IFERROR(Table13345[[#This Row],[DeltaC]]*Table13345[[#This Row],[Open.Int]]*$A$4,0)</f>
        <v>0</v>
      </c>
      <c r="BH931">
        <f>IFERROR(Table13345[[#This Row],[DeltaP]]*Table13345[[#This Row],[Open.Int8]]*$A$4,0)</f>
        <v>0</v>
      </c>
      <c r="BI93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1">
        <f ca="1">Table13345[[#This Row],[charmc]]+Table13345[[#This Row],[charmp]]</f>
        <v>0</v>
      </c>
      <c r="BL93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1" s="78">
        <f ca="1">Table13345[[#This Row],[call helper]]+Table13345[[#This Row],[put helper]]</f>
        <v>0</v>
      </c>
      <c r="BP931" t="str">
        <f>RTD("tos.rtd", , "STRIKE", "."&amp;Table13345[[#This Row],[Ticker]]&amp;Table13345[[#This Row],[Expiry]]&amp;""&amp;"C"&amp;Table13345[[#This Row],[Spot]]+Table13345[[#This Row],[step]])</f>
        <v>N/A</v>
      </c>
    </row>
    <row r="932" spans="1:68" x14ac:dyDescent="0.25">
      <c r="A932" s="14">
        <f t="shared" ca="1" si="89"/>
        <v>-126.14810350076104</v>
      </c>
      <c r="C932" s="17"/>
      <c r="D932" t="str">
        <f>RTD("tos.rtd", , "OPEN_INT", "."&amp;Table13345[[#This Row],[Ticker]]&amp;Table13345[[#This Row],[Expiry]]&amp;""&amp;"C"&amp;Table13345[[#This Row],[Spot]]+Table13345[[#This Row],[step]])</f>
        <v>N/A</v>
      </c>
      <c r="E93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2" t="b">
        <f>IF(     ISNUMBER(Table13345[[#This Row],[Strike]]),RTD("tos.rtd", , "DELTA", "."&amp;Table13345[[#This Row],[Ticker]]&amp;Table13345[[#This Row],[Expiry]]&amp;""&amp;"C"&amp;Table13345[[#This Row],[Strike]]))</f>
        <v>0</v>
      </c>
      <c r="H932" s="17" cm="1">
        <f t="array" aca="1" ref="H932" ca="1">IndividualLegIVCore($A$4, Table13345[[#This Row],[Strike]], 0.0411, Table13345[[#This Row],[T]], ((Table13345[[#This Row],[BIDC]]+Table13345[[#This Row],[ASKC]])/2), TRUE)</f>
        <v>0.01</v>
      </c>
      <c r="I932" t="b">
        <f>IF(     ISNUMBER(Table13345[[#This Row],[Strike]]),RTD("tos.rtd", , "BID", "."&amp;Table13345[[#This Row],[Ticker]]&amp;Table13345[[#This Row],[Expiry]]&amp;""&amp;"C"&amp;Table13345[[#This Row],[Strike]]))</f>
        <v>0</v>
      </c>
      <c r="J932" t="b">
        <f>IF(     ISNUMBER(Table13345[[#This Row],[Strike]]),RTD("tos.rtd", , "ASK", "."&amp;Table13345[[#This Row],[Ticker]]&amp;Table13345[[#This Row],[Expiry]]&amp;""&amp;"C"&amp;Table13345[[#This Row],[Strike]]))</f>
        <v>0</v>
      </c>
      <c r="K932" s="17"/>
      <c r="M932" s="1">
        <f t="shared" si="90"/>
        <v>0</v>
      </c>
      <c r="N932" t="b">
        <f t="shared" si="91"/>
        <v>0</v>
      </c>
      <c r="P932" s="17" cm="1">
        <f t="array" aca="1" ref="P932" ca="1">IndividualLegIVCore($A$4, Table13345[[#This Row],[Strike]], 0.0411, Table13345[[#This Row],[T]], ((Table13345[[#This Row],[BIDP]]+Table13345[[#This Row],[ASKP]])/2), FALSE)</f>
        <v>0.01</v>
      </c>
      <c r="Q932" t="b">
        <f>IF(     ISNUMBER(Table13345[[#This Row],[Strike]]),RTD("tos.rtd", , "BID", "."&amp;Table13345[[#This Row],[Ticker]]&amp;Table13345[[#This Row],[Expiry]]&amp;""&amp;"P"&amp;Table13345[[#This Row],[Strike]]))</f>
        <v>0</v>
      </c>
      <c r="R932" t="b">
        <f>IF(     ISNUMBER(Table13345[[#This Row],[Strike]]),RTD("tos.rtd", , "ASK", "."&amp;Table13345[[#This Row],[Ticker]]&amp;Table13345[[#This Row],[Expiry]]&amp;""&amp;"P"&amp;Table13345[[#This Row],[Strike]]))</f>
        <v>0</v>
      </c>
      <c r="S932" s="17"/>
      <c r="T932" t="b">
        <f>IF(     ISNUMBER(Table13345[[#This Row],[Strike]]),RTD("tos.rtd", , "OPEN_INT", "."&amp;Table13345[[#This Row],[Ticker]]&amp;Table13345[[#This Row],[Expiry]]&amp;""&amp;"P"&amp;Table13345[[#This Row],[Strike]]))</f>
        <v>0</v>
      </c>
      <c r="U93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2" t="b">
        <f>IF(     ISNUMBER(Table13345[[#This Row],[Strike]]),RTD("tos.rtd", , "DELTA", "."&amp;Table13345[[#This Row],[Ticker]]&amp;Table13345[[#This Row],[Expiry]]&amp;""&amp;"P"&amp;Table13345[[#This Row],[Strike]]))</f>
        <v>0</v>
      </c>
      <c r="Y932" s="19">
        <f>5* IF($M$1="NDX", 10, IF(OR($M$1="SPX", $M$1="RUT"), 2, 1))</f>
        <v>10</v>
      </c>
      <c r="Z932">
        <f ca="1">IFERROR(Table13345[[#This Row],[call gamma]]*(Table13345[[#This Row],[Open.Int]])*$A$4^2,0)</f>
        <v>0</v>
      </c>
      <c r="AA932">
        <f ca="1">IFERROR(((Table13345[[#This Row],[Open.Int8]])*Table13345[[#This Row],[Put gamma]])*-1*$A$4^2,0)</f>
        <v>0</v>
      </c>
      <c r="AB932">
        <f ca="1">(Table13345[[#This Row],[Call Gex]]+Table13345[[#This Row],[Put Gex]])</f>
        <v>0</v>
      </c>
      <c r="AC932">
        <f ca="1">Table13345[[#This Row],[put delta adj]]+Table13345[[#This Row],[call delta adj]]</f>
        <v>0</v>
      </c>
      <c r="AD932">
        <f ca="1">Table13345[[#This Row],[Put Gex]]*Table13345[[#This Row],[DeltaP]]*-1</f>
        <v>0</v>
      </c>
      <c r="AE932">
        <f ca="1">Table13345[[#This Row],[Call Gex]]*Table13345[[#This Row],[DeltaC]]</f>
        <v>0</v>
      </c>
      <c r="AF932">
        <f>IF(Table13345[[#This Row],[DeltaC]]-ABS(Table13345[[#This Row],[DeltaP]])="0","0.01",Table13345[[#This Row],[DeltaC]]-ABS(Table13345[[#This Row],[DeltaP]]))</f>
        <v>0</v>
      </c>
      <c r="AG93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2" t="e">
        <f ca="1">(EXP(-(AG932^2)/2)/SQRT(2*PI())*EXP(0*SQRT(Table13345[[#This Row],[T]]))/$A$4*18%*SQRT(SQRT(Table13345[[#This Row],[T]])))</f>
        <v>#DIV/0!</v>
      </c>
      <c r="AJ932" t="e">
        <f ca="1">(EXP(-(AH932^2)/2)/SQRT(2*PI())*EXP(0*SQRT(Table13345[[#This Row],[T]]))/$A$4*18%*SQRT(SQRT(Table13345[[#This Row],[T]])))</f>
        <v>#DIV/0!</v>
      </c>
      <c r="AK932" t="e">
        <f ca="1">Table13345[[#This Row],[Call D1]]-Table13345[[#This Row],[IV Calc C]]*SQRT(Table13345[[#This Row],[T]])</f>
        <v>#DIV/0!</v>
      </c>
      <c r="AL932" t="e">
        <f ca="1">Table13345[[#This Row],[Put D1]]-Table13345[[#This Row],[IV Calc P]]*SQRT(Table13345[[#This Row],[T]])</f>
        <v>#DIV/0!</v>
      </c>
      <c r="AM932" t="e">
        <f ca="1">EXP(-0.5*Table13345[[#This Row],[Call D1]]^2)/SQRT(2*PI())</f>
        <v>#DIV/0!</v>
      </c>
      <c r="AN932" t="e">
        <f ca="1">EXP(-0.5*Table13345[[#This Row],[Put D1]]^2)/SQRT(2*PI())</f>
        <v>#DIV/0!</v>
      </c>
      <c r="AO93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2">
        <f ca="1">((Table13345[[#This Row],[call vanna]]+Table13345[[#This Row],[put vanna]])*$A$4)</f>
        <v>0</v>
      </c>
      <c r="AR93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2" s="9" t="str" cm="1">
        <f t="array" ref="AT932">_xlfn.IFS(     $M$1="SPX","SPXW",     $M$1="RUT","RUTW",  $M$1="NDX","NDXP",   TRUE,$M$1 )</f>
        <v>SPXW</v>
      </c>
      <c r="AU932" s="2">
        <f t="shared" si="92"/>
        <v>6915</v>
      </c>
      <c r="AV932" t="str">
        <f t="shared" si="93"/>
        <v>000100</v>
      </c>
      <c r="AY93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2">
        <f>((Table13345[[#This Row],[High C]]+Table13345[[#This Row],[Low C]])/2)*Table13345[[#This Row],[gammac]]*Table13345[[#This Row],[Volume]]</f>
        <v>0</v>
      </c>
      <c r="BD932">
        <f>((Table13345[[#This Row],[High P]]+Table13345[[#This Row],[Low P]])/2)*Table13345[[#This Row],[gammap]]*Table13345[[#This Row],[Volume9]]*-1</f>
        <v>0</v>
      </c>
      <c r="BE932">
        <f>(Table13345[[#This Row],[SgammaC]]+Table13345[[#This Row],[SgammaP]])*$A$4*-100</f>
        <v>0</v>
      </c>
      <c r="BF932">
        <f>Table13345[[#This Row],[DEXc]]+Table13345[[#This Row],[DEXp]]</f>
        <v>0</v>
      </c>
      <c r="BG932">
        <f>IFERROR(Table13345[[#This Row],[DeltaC]]*Table13345[[#This Row],[Open.Int]]*$A$4,0)</f>
        <v>0</v>
      </c>
      <c r="BH932">
        <f>IFERROR(Table13345[[#This Row],[DeltaP]]*Table13345[[#This Row],[Open.Int8]]*$A$4,0)</f>
        <v>0</v>
      </c>
      <c r="BI93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2">
        <f ca="1">Table13345[[#This Row],[charmc]]+Table13345[[#This Row],[charmp]]</f>
        <v>0</v>
      </c>
      <c r="BL93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2" s="78">
        <f ca="1">Table13345[[#This Row],[call helper]]+Table13345[[#This Row],[put helper]]</f>
        <v>0</v>
      </c>
      <c r="BP932" t="str">
        <f>RTD("tos.rtd", , "STRIKE", "."&amp;Table13345[[#This Row],[Ticker]]&amp;Table13345[[#This Row],[Expiry]]&amp;""&amp;"C"&amp;Table13345[[#This Row],[Spot]]+Table13345[[#This Row],[step]])</f>
        <v>N/A</v>
      </c>
    </row>
    <row r="933" spans="1:68" x14ac:dyDescent="0.25">
      <c r="A933" s="14">
        <f t="shared" ca="1" si="89"/>
        <v>-126.14810350076104</v>
      </c>
      <c r="C933" s="17"/>
      <c r="D933" t="str">
        <f>RTD("tos.rtd", , "OPEN_INT", "."&amp;Table13345[[#This Row],[Ticker]]&amp;Table13345[[#This Row],[Expiry]]&amp;""&amp;"C"&amp;Table13345[[#This Row],[Spot]]+Table13345[[#This Row],[step]])</f>
        <v>N/A</v>
      </c>
      <c r="E93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3" t="b">
        <f>IF(     ISNUMBER(Table13345[[#This Row],[Strike]]),RTD("tos.rtd", , "DELTA", "."&amp;Table13345[[#This Row],[Ticker]]&amp;Table13345[[#This Row],[Expiry]]&amp;""&amp;"C"&amp;Table13345[[#This Row],[Strike]]))</f>
        <v>0</v>
      </c>
      <c r="H933" s="17" cm="1">
        <f t="array" aca="1" ref="H933" ca="1">IndividualLegIVCore($A$4, Table13345[[#This Row],[Strike]], 0.0411, Table13345[[#This Row],[T]], ((Table13345[[#This Row],[BIDC]]+Table13345[[#This Row],[ASKC]])/2), TRUE)</f>
        <v>0.01</v>
      </c>
      <c r="I933" t="b">
        <f>IF(     ISNUMBER(Table13345[[#This Row],[Strike]]),RTD("tos.rtd", , "BID", "."&amp;Table13345[[#This Row],[Ticker]]&amp;Table13345[[#This Row],[Expiry]]&amp;""&amp;"C"&amp;Table13345[[#This Row],[Strike]]))</f>
        <v>0</v>
      </c>
      <c r="J933" t="b">
        <f>IF(     ISNUMBER(Table13345[[#This Row],[Strike]]),RTD("tos.rtd", , "ASK", "."&amp;Table13345[[#This Row],[Ticker]]&amp;Table13345[[#This Row],[Expiry]]&amp;""&amp;"C"&amp;Table13345[[#This Row],[Strike]]))</f>
        <v>0</v>
      </c>
      <c r="K933" s="17"/>
      <c r="M933" s="1">
        <f t="shared" si="90"/>
        <v>0</v>
      </c>
      <c r="N933" t="b">
        <f t="shared" si="91"/>
        <v>0</v>
      </c>
      <c r="P933" s="17" cm="1">
        <f t="array" aca="1" ref="P933" ca="1">IndividualLegIVCore($A$4, Table13345[[#This Row],[Strike]], 0.0411, Table13345[[#This Row],[T]], ((Table13345[[#This Row],[BIDP]]+Table13345[[#This Row],[ASKP]])/2), FALSE)</f>
        <v>0.01</v>
      </c>
      <c r="Q933" t="b">
        <f>IF(     ISNUMBER(Table13345[[#This Row],[Strike]]),RTD("tos.rtd", , "BID", "."&amp;Table13345[[#This Row],[Ticker]]&amp;Table13345[[#This Row],[Expiry]]&amp;""&amp;"P"&amp;Table13345[[#This Row],[Strike]]))</f>
        <v>0</v>
      </c>
      <c r="R933" t="b">
        <f>IF(     ISNUMBER(Table13345[[#This Row],[Strike]]),RTD("tos.rtd", , "ASK", "."&amp;Table13345[[#This Row],[Ticker]]&amp;Table13345[[#This Row],[Expiry]]&amp;""&amp;"P"&amp;Table13345[[#This Row],[Strike]]))</f>
        <v>0</v>
      </c>
      <c r="S933" s="17"/>
      <c r="T933" t="b">
        <f>IF(     ISNUMBER(Table13345[[#This Row],[Strike]]),RTD("tos.rtd", , "OPEN_INT", "."&amp;Table13345[[#This Row],[Ticker]]&amp;Table13345[[#This Row],[Expiry]]&amp;""&amp;"P"&amp;Table13345[[#This Row],[Strike]]))</f>
        <v>0</v>
      </c>
      <c r="U93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3" t="b">
        <f>IF(     ISNUMBER(Table13345[[#This Row],[Strike]]),RTD("tos.rtd", , "DELTA", "."&amp;Table13345[[#This Row],[Ticker]]&amp;Table13345[[#This Row],[Expiry]]&amp;""&amp;"P"&amp;Table13345[[#This Row],[Strike]]))</f>
        <v>0</v>
      </c>
      <c r="Y933" s="19">
        <f>5.5* IF($M$1="NDX", 10, IF(OR($M$1="SPX", $M$1="RUT"), 2, 1))</f>
        <v>11</v>
      </c>
      <c r="Z933">
        <f ca="1">IFERROR(Table13345[[#This Row],[call gamma]]*(Table13345[[#This Row],[Open.Int]])*$A$4^2,0)</f>
        <v>0</v>
      </c>
      <c r="AA933">
        <f ca="1">IFERROR(((Table13345[[#This Row],[Open.Int8]])*Table13345[[#This Row],[Put gamma]])*-1*$A$4^2,0)</f>
        <v>0</v>
      </c>
      <c r="AB933">
        <f ca="1">(Table13345[[#This Row],[Call Gex]]+Table13345[[#This Row],[Put Gex]])</f>
        <v>0</v>
      </c>
      <c r="AC933">
        <f ca="1">Table13345[[#This Row],[put delta adj]]+Table13345[[#This Row],[call delta adj]]</f>
        <v>0</v>
      </c>
      <c r="AD933">
        <f ca="1">Table13345[[#This Row],[Put Gex]]*Table13345[[#This Row],[DeltaP]]*-1</f>
        <v>0</v>
      </c>
      <c r="AE933">
        <f ca="1">Table13345[[#This Row],[Call Gex]]*Table13345[[#This Row],[DeltaC]]</f>
        <v>0</v>
      </c>
      <c r="AF933">
        <f>IF(Table13345[[#This Row],[DeltaC]]-ABS(Table13345[[#This Row],[DeltaP]])="0","0.01",Table13345[[#This Row],[DeltaC]]-ABS(Table13345[[#This Row],[DeltaP]]))</f>
        <v>0</v>
      </c>
      <c r="AG93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3" t="e">
        <f ca="1">(EXP(-(AG933^2)/2)/SQRT(2*PI())*EXP(0*SQRT(Table13345[[#This Row],[T]]))/$A$4*18%*SQRT(SQRT(Table13345[[#This Row],[T]])))</f>
        <v>#DIV/0!</v>
      </c>
      <c r="AJ933" t="e">
        <f ca="1">(EXP(-(AH933^2)/2)/SQRT(2*PI())*EXP(0*SQRT(Table13345[[#This Row],[T]]))/$A$4*18%*SQRT(SQRT(Table13345[[#This Row],[T]])))</f>
        <v>#DIV/0!</v>
      </c>
      <c r="AK933" t="e">
        <f ca="1">Table13345[[#This Row],[Call D1]]-Table13345[[#This Row],[IV Calc C]]*SQRT(Table13345[[#This Row],[T]])</f>
        <v>#DIV/0!</v>
      </c>
      <c r="AL933" t="e">
        <f ca="1">Table13345[[#This Row],[Put D1]]-Table13345[[#This Row],[IV Calc P]]*SQRT(Table13345[[#This Row],[T]])</f>
        <v>#DIV/0!</v>
      </c>
      <c r="AM933" t="e">
        <f ca="1">EXP(-0.5*Table13345[[#This Row],[Call D1]]^2)/SQRT(2*PI())</f>
        <v>#DIV/0!</v>
      </c>
      <c r="AN933" t="e">
        <f ca="1">EXP(-0.5*Table13345[[#This Row],[Put D1]]^2)/SQRT(2*PI())</f>
        <v>#DIV/0!</v>
      </c>
      <c r="AO93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3">
        <f ca="1">((Table13345[[#This Row],[call vanna]]+Table13345[[#This Row],[put vanna]])*$A$4)</f>
        <v>0</v>
      </c>
      <c r="AR93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3" s="9" t="str" cm="1">
        <f t="array" ref="AT933">_xlfn.IFS(     $M$1="SPX","SPXW",     $M$1="RUT","RUTW",  $M$1="NDX","NDXP",   TRUE,$M$1 )</f>
        <v>SPXW</v>
      </c>
      <c r="AU933" s="2">
        <f t="shared" si="92"/>
        <v>6915</v>
      </c>
      <c r="AV933" t="str">
        <f t="shared" si="93"/>
        <v>000100</v>
      </c>
      <c r="AY93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3">
        <f>((Table13345[[#This Row],[High C]]+Table13345[[#This Row],[Low C]])/2)*Table13345[[#This Row],[gammac]]*Table13345[[#This Row],[Volume]]</f>
        <v>0</v>
      </c>
      <c r="BD933">
        <f>((Table13345[[#This Row],[High P]]+Table13345[[#This Row],[Low P]])/2)*Table13345[[#This Row],[gammap]]*Table13345[[#This Row],[Volume9]]*-1</f>
        <v>0</v>
      </c>
      <c r="BE933">
        <f>(Table13345[[#This Row],[SgammaC]]+Table13345[[#This Row],[SgammaP]])*$A$4*-100</f>
        <v>0</v>
      </c>
      <c r="BF933">
        <f>Table13345[[#This Row],[DEXc]]+Table13345[[#This Row],[DEXp]]</f>
        <v>0</v>
      </c>
      <c r="BG933">
        <f>IFERROR(Table13345[[#This Row],[DeltaC]]*Table13345[[#This Row],[Open.Int]]*$A$4,0)</f>
        <v>0</v>
      </c>
      <c r="BH933">
        <f>IFERROR(Table13345[[#This Row],[DeltaP]]*Table13345[[#This Row],[Open.Int8]]*$A$4,0)</f>
        <v>0</v>
      </c>
      <c r="BI93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3">
        <f ca="1">Table13345[[#This Row],[charmc]]+Table13345[[#This Row],[charmp]]</f>
        <v>0</v>
      </c>
      <c r="BL93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3" s="78">
        <f ca="1">Table13345[[#This Row],[call helper]]+Table13345[[#This Row],[put helper]]</f>
        <v>0</v>
      </c>
      <c r="BP933" t="str">
        <f>RTD("tos.rtd", , "STRIKE", "."&amp;Table13345[[#This Row],[Ticker]]&amp;Table13345[[#This Row],[Expiry]]&amp;""&amp;"C"&amp;Table13345[[#This Row],[Spot]]+Table13345[[#This Row],[step]])</f>
        <v>N/A</v>
      </c>
    </row>
    <row r="934" spans="1:68" x14ac:dyDescent="0.25">
      <c r="A934" s="14">
        <f t="shared" ca="1" si="89"/>
        <v>-126.14810350076104</v>
      </c>
      <c r="C934" s="17"/>
      <c r="D934" t="str">
        <f>RTD("tos.rtd", , "OPEN_INT", "."&amp;Table13345[[#This Row],[Ticker]]&amp;Table13345[[#This Row],[Expiry]]&amp;""&amp;"C"&amp;Table13345[[#This Row],[Spot]]+Table13345[[#This Row],[step]])</f>
        <v>N/A</v>
      </c>
      <c r="E93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4" t="b">
        <f>IF(     ISNUMBER(Table13345[[#This Row],[Strike]]),RTD("tos.rtd", , "DELTA", "."&amp;Table13345[[#This Row],[Ticker]]&amp;Table13345[[#This Row],[Expiry]]&amp;""&amp;"C"&amp;Table13345[[#This Row],[Strike]]))</f>
        <v>0</v>
      </c>
      <c r="H934" s="17" cm="1">
        <f t="array" aca="1" ref="H934" ca="1">IndividualLegIVCore($A$4, Table13345[[#This Row],[Strike]], 0.0411, Table13345[[#This Row],[T]], ((Table13345[[#This Row],[BIDC]]+Table13345[[#This Row],[ASKC]])/2), TRUE)</f>
        <v>0.01</v>
      </c>
      <c r="I934" t="b">
        <f>IF(     ISNUMBER(Table13345[[#This Row],[Strike]]),RTD("tos.rtd", , "BID", "."&amp;Table13345[[#This Row],[Ticker]]&amp;Table13345[[#This Row],[Expiry]]&amp;""&amp;"C"&amp;Table13345[[#This Row],[Strike]]))</f>
        <v>0</v>
      </c>
      <c r="J934" t="b">
        <f>IF(     ISNUMBER(Table13345[[#This Row],[Strike]]),RTD("tos.rtd", , "ASK", "."&amp;Table13345[[#This Row],[Ticker]]&amp;Table13345[[#This Row],[Expiry]]&amp;""&amp;"C"&amp;Table13345[[#This Row],[Strike]]))</f>
        <v>0</v>
      </c>
      <c r="K934" s="17"/>
      <c r="M934" s="1">
        <f t="shared" si="90"/>
        <v>0</v>
      </c>
      <c r="N934" t="b">
        <f t="shared" si="91"/>
        <v>0</v>
      </c>
      <c r="P934" s="17" cm="1">
        <f t="array" aca="1" ref="P934" ca="1">IndividualLegIVCore($A$4, Table13345[[#This Row],[Strike]], 0.0411, Table13345[[#This Row],[T]], ((Table13345[[#This Row],[BIDP]]+Table13345[[#This Row],[ASKP]])/2), FALSE)</f>
        <v>0.01</v>
      </c>
      <c r="Q934" t="b">
        <f>IF(     ISNUMBER(Table13345[[#This Row],[Strike]]),RTD("tos.rtd", , "BID", "."&amp;Table13345[[#This Row],[Ticker]]&amp;Table13345[[#This Row],[Expiry]]&amp;""&amp;"P"&amp;Table13345[[#This Row],[Strike]]))</f>
        <v>0</v>
      </c>
      <c r="R934" t="b">
        <f>IF(     ISNUMBER(Table13345[[#This Row],[Strike]]),RTD("tos.rtd", , "ASK", "."&amp;Table13345[[#This Row],[Ticker]]&amp;Table13345[[#This Row],[Expiry]]&amp;""&amp;"P"&amp;Table13345[[#This Row],[Strike]]))</f>
        <v>0</v>
      </c>
      <c r="S934" s="17"/>
      <c r="T934" t="b">
        <f>IF(     ISNUMBER(Table13345[[#This Row],[Strike]]),RTD("tos.rtd", , "OPEN_INT", "."&amp;Table13345[[#This Row],[Ticker]]&amp;Table13345[[#This Row],[Expiry]]&amp;""&amp;"P"&amp;Table13345[[#This Row],[Strike]]))</f>
        <v>0</v>
      </c>
      <c r="U93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4" t="b">
        <f>IF(     ISNUMBER(Table13345[[#This Row],[Strike]]),RTD("tos.rtd", , "DELTA", "."&amp;Table13345[[#This Row],[Ticker]]&amp;Table13345[[#This Row],[Expiry]]&amp;""&amp;"P"&amp;Table13345[[#This Row],[Strike]]))</f>
        <v>0</v>
      </c>
      <c r="Y934" s="19">
        <f>6* IF($M$1="NDX", 10, IF(OR($M$1="SPX", $M$1="RUT"), 2, 1))</f>
        <v>12</v>
      </c>
      <c r="Z934">
        <f ca="1">IFERROR(Table13345[[#This Row],[call gamma]]*(Table13345[[#This Row],[Open.Int]])*$A$4^2,0)</f>
        <v>0</v>
      </c>
      <c r="AA934">
        <f ca="1">IFERROR(((Table13345[[#This Row],[Open.Int8]])*Table13345[[#This Row],[Put gamma]])*-1*$A$4^2,0)</f>
        <v>0</v>
      </c>
      <c r="AB934">
        <f ca="1">(Table13345[[#This Row],[Call Gex]]+Table13345[[#This Row],[Put Gex]])</f>
        <v>0</v>
      </c>
      <c r="AC934">
        <f ca="1">Table13345[[#This Row],[put delta adj]]+Table13345[[#This Row],[call delta adj]]</f>
        <v>0</v>
      </c>
      <c r="AD934">
        <f ca="1">Table13345[[#This Row],[Put Gex]]*Table13345[[#This Row],[DeltaP]]*-1</f>
        <v>0</v>
      </c>
      <c r="AE934">
        <f ca="1">Table13345[[#This Row],[Call Gex]]*Table13345[[#This Row],[DeltaC]]</f>
        <v>0</v>
      </c>
      <c r="AF934">
        <f>IF(Table13345[[#This Row],[DeltaC]]-ABS(Table13345[[#This Row],[DeltaP]])="0","0.01",Table13345[[#This Row],[DeltaC]]-ABS(Table13345[[#This Row],[DeltaP]]))</f>
        <v>0</v>
      </c>
      <c r="AG93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4" t="e">
        <f ca="1">(EXP(-(AG934^2)/2)/SQRT(2*PI())*EXP(0*SQRT(Table13345[[#This Row],[T]]))/$A$4*18%*SQRT(SQRT(Table13345[[#This Row],[T]])))</f>
        <v>#DIV/0!</v>
      </c>
      <c r="AJ934" t="e">
        <f ca="1">(EXP(-(AH934^2)/2)/SQRT(2*PI())*EXP(0*SQRT(Table13345[[#This Row],[T]]))/$A$4*18%*SQRT(SQRT(Table13345[[#This Row],[T]])))</f>
        <v>#DIV/0!</v>
      </c>
      <c r="AK934" t="e">
        <f ca="1">Table13345[[#This Row],[Call D1]]-Table13345[[#This Row],[IV Calc C]]*SQRT(Table13345[[#This Row],[T]])</f>
        <v>#DIV/0!</v>
      </c>
      <c r="AL934" t="e">
        <f ca="1">Table13345[[#This Row],[Put D1]]-Table13345[[#This Row],[IV Calc P]]*SQRT(Table13345[[#This Row],[T]])</f>
        <v>#DIV/0!</v>
      </c>
      <c r="AM934" t="e">
        <f ca="1">EXP(-0.5*Table13345[[#This Row],[Call D1]]^2)/SQRT(2*PI())</f>
        <v>#DIV/0!</v>
      </c>
      <c r="AN934" t="e">
        <f ca="1">EXP(-0.5*Table13345[[#This Row],[Put D1]]^2)/SQRT(2*PI())</f>
        <v>#DIV/0!</v>
      </c>
      <c r="AO93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4">
        <f ca="1">((Table13345[[#This Row],[call vanna]]+Table13345[[#This Row],[put vanna]])*$A$4)</f>
        <v>0</v>
      </c>
      <c r="AR93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4" s="9" t="str" cm="1">
        <f t="array" ref="AT934">_xlfn.IFS(     $M$1="SPX","SPXW",     $M$1="RUT","RUTW",  $M$1="NDX","NDXP",   TRUE,$M$1 )</f>
        <v>SPXW</v>
      </c>
      <c r="AU934" s="2">
        <f t="shared" si="92"/>
        <v>6915</v>
      </c>
      <c r="AV934" t="str">
        <f t="shared" si="93"/>
        <v>000100</v>
      </c>
      <c r="AY93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4">
        <f>((Table13345[[#This Row],[High C]]+Table13345[[#This Row],[Low C]])/2)*Table13345[[#This Row],[gammac]]*Table13345[[#This Row],[Volume]]</f>
        <v>0</v>
      </c>
      <c r="BD934">
        <f>((Table13345[[#This Row],[High P]]+Table13345[[#This Row],[Low P]])/2)*Table13345[[#This Row],[gammap]]*Table13345[[#This Row],[Volume9]]*-1</f>
        <v>0</v>
      </c>
      <c r="BE934">
        <f>(Table13345[[#This Row],[SgammaC]]+Table13345[[#This Row],[SgammaP]])*$A$4*-100</f>
        <v>0</v>
      </c>
      <c r="BF934">
        <f>Table13345[[#This Row],[DEXc]]+Table13345[[#This Row],[DEXp]]</f>
        <v>0</v>
      </c>
      <c r="BG934">
        <f>IFERROR(Table13345[[#This Row],[DeltaC]]*Table13345[[#This Row],[Open.Int]]*$A$4,0)</f>
        <v>0</v>
      </c>
      <c r="BH934">
        <f>IFERROR(Table13345[[#This Row],[DeltaP]]*Table13345[[#This Row],[Open.Int8]]*$A$4,0)</f>
        <v>0</v>
      </c>
      <c r="BI93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4">
        <f ca="1">Table13345[[#This Row],[charmc]]+Table13345[[#This Row],[charmp]]</f>
        <v>0</v>
      </c>
      <c r="BL93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4" s="78">
        <f ca="1">Table13345[[#This Row],[call helper]]+Table13345[[#This Row],[put helper]]</f>
        <v>0</v>
      </c>
      <c r="BP934" t="str">
        <f>RTD("tos.rtd", , "STRIKE", "."&amp;Table13345[[#This Row],[Ticker]]&amp;Table13345[[#This Row],[Expiry]]&amp;""&amp;"C"&amp;Table13345[[#This Row],[Spot]]+Table13345[[#This Row],[step]])</f>
        <v>N/A</v>
      </c>
    </row>
    <row r="935" spans="1:68" x14ac:dyDescent="0.25">
      <c r="A935" s="14">
        <f t="shared" ca="1" si="89"/>
        <v>-126.14810350076104</v>
      </c>
      <c r="C935" s="17"/>
      <c r="D935" t="str">
        <f>RTD("tos.rtd", , "OPEN_INT", "."&amp;Table13345[[#This Row],[Ticker]]&amp;Table13345[[#This Row],[Expiry]]&amp;""&amp;"C"&amp;Table13345[[#This Row],[Spot]]+Table13345[[#This Row],[step]])</f>
        <v>N/A</v>
      </c>
      <c r="E93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5" t="b">
        <f>IF(     ISNUMBER(Table13345[[#This Row],[Strike]]),RTD("tos.rtd", , "DELTA", "."&amp;Table13345[[#This Row],[Ticker]]&amp;Table13345[[#This Row],[Expiry]]&amp;""&amp;"C"&amp;Table13345[[#This Row],[Strike]]))</f>
        <v>0</v>
      </c>
      <c r="H935" s="17" cm="1">
        <f t="array" aca="1" ref="H935" ca="1">IndividualLegIVCore($A$4, Table13345[[#This Row],[Strike]], 0.0411, Table13345[[#This Row],[T]], ((Table13345[[#This Row],[BIDC]]+Table13345[[#This Row],[ASKC]])/2), TRUE)</f>
        <v>0.01</v>
      </c>
      <c r="I935" t="b">
        <f>IF(     ISNUMBER(Table13345[[#This Row],[Strike]]),RTD("tos.rtd", , "BID", "."&amp;Table13345[[#This Row],[Ticker]]&amp;Table13345[[#This Row],[Expiry]]&amp;""&amp;"C"&amp;Table13345[[#This Row],[Strike]]))</f>
        <v>0</v>
      </c>
      <c r="J935" t="b">
        <f>IF(     ISNUMBER(Table13345[[#This Row],[Strike]]),RTD("tos.rtd", , "ASK", "."&amp;Table13345[[#This Row],[Ticker]]&amp;Table13345[[#This Row],[Expiry]]&amp;""&amp;"C"&amp;Table13345[[#This Row],[Strike]]))</f>
        <v>0</v>
      </c>
      <c r="K935" s="17"/>
      <c r="M935" s="1">
        <f t="shared" si="90"/>
        <v>0</v>
      </c>
      <c r="N935" t="b">
        <f t="shared" si="91"/>
        <v>0</v>
      </c>
      <c r="P935" s="17" cm="1">
        <f t="array" aca="1" ref="P935" ca="1">IndividualLegIVCore($A$4, Table13345[[#This Row],[Strike]], 0.0411, Table13345[[#This Row],[T]], ((Table13345[[#This Row],[BIDP]]+Table13345[[#This Row],[ASKP]])/2), FALSE)</f>
        <v>0.01</v>
      </c>
      <c r="Q935" t="b">
        <f>IF(     ISNUMBER(Table13345[[#This Row],[Strike]]),RTD("tos.rtd", , "BID", "."&amp;Table13345[[#This Row],[Ticker]]&amp;Table13345[[#This Row],[Expiry]]&amp;""&amp;"P"&amp;Table13345[[#This Row],[Strike]]))</f>
        <v>0</v>
      </c>
      <c r="R935" t="b">
        <f>IF(     ISNUMBER(Table13345[[#This Row],[Strike]]),RTD("tos.rtd", , "ASK", "."&amp;Table13345[[#This Row],[Ticker]]&amp;Table13345[[#This Row],[Expiry]]&amp;""&amp;"P"&amp;Table13345[[#This Row],[Strike]]))</f>
        <v>0</v>
      </c>
      <c r="S935" s="17"/>
      <c r="T935" t="b">
        <f>IF(     ISNUMBER(Table13345[[#This Row],[Strike]]),RTD("tos.rtd", , "OPEN_INT", "."&amp;Table13345[[#This Row],[Ticker]]&amp;Table13345[[#This Row],[Expiry]]&amp;""&amp;"P"&amp;Table13345[[#This Row],[Strike]]))</f>
        <v>0</v>
      </c>
      <c r="U93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5" t="b">
        <f>IF(     ISNUMBER(Table13345[[#This Row],[Strike]]),RTD("tos.rtd", , "DELTA", "."&amp;Table13345[[#This Row],[Ticker]]&amp;Table13345[[#This Row],[Expiry]]&amp;""&amp;"P"&amp;Table13345[[#This Row],[Strike]]))</f>
        <v>0</v>
      </c>
      <c r="Y935" s="19">
        <f>6.5* IF($M$1="NDX", 10, IF(OR($M$1="SPX", $M$1="RUT"), 2, 1))</f>
        <v>13</v>
      </c>
      <c r="Z935">
        <f ca="1">IFERROR(Table13345[[#This Row],[call gamma]]*(Table13345[[#This Row],[Open.Int]])*$A$4^2,0)</f>
        <v>0</v>
      </c>
      <c r="AA935">
        <f ca="1">IFERROR(((Table13345[[#This Row],[Open.Int8]])*Table13345[[#This Row],[Put gamma]])*-1*$A$4^2,0)</f>
        <v>0</v>
      </c>
      <c r="AB935">
        <f ca="1">(Table13345[[#This Row],[Call Gex]]+Table13345[[#This Row],[Put Gex]])</f>
        <v>0</v>
      </c>
      <c r="AC935">
        <f ca="1">Table13345[[#This Row],[put delta adj]]+Table13345[[#This Row],[call delta adj]]</f>
        <v>0</v>
      </c>
      <c r="AD935">
        <f ca="1">Table13345[[#This Row],[Put Gex]]*Table13345[[#This Row],[DeltaP]]*-1</f>
        <v>0</v>
      </c>
      <c r="AE935">
        <f ca="1">Table13345[[#This Row],[Call Gex]]*Table13345[[#This Row],[DeltaC]]</f>
        <v>0</v>
      </c>
      <c r="AF935">
        <f>IF(Table13345[[#This Row],[DeltaC]]-ABS(Table13345[[#This Row],[DeltaP]])="0","0.01",Table13345[[#This Row],[DeltaC]]-ABS(Table13345[[#This Row],[DeltaP]]))</f>
        <v>0</v>
      </c>
      <c r="AG93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5" t="e">
        <f ca="1">(EXP(-(AG935^2)/2)/SQRT(2*PI())*EXP(0*SQRT(Table13345[[#This Row],[T]]))/$A$4*18%*SQRT(SQRT(Table13345[[#This Row],[T]])))</f>
        <v>#DIV/0!</v>
      </c>
      <c r="AJ935" t="e">
        <f ca="1">(EXP(-(AH935^2)/2)/SQRT(2*PI())*EXP(0*SQRT(Table13345[[#This Row],[T]]))/$A$4*18%*SQRT(SQRT(Table13345[[#This Row],[T]])))</f>
        <v>#DIV/0!</v>
      </c>
      <c r="AK935" t="e">
        <f ca="1">Table13345[[#This Row],[Call D1]]-Table13345[[#This Row],[IV Calc C]]*SQRT(Table13345[[#This Row],[T]])</f>
        <v>#DIV/0!</v>
      </c>
      <c r="AL935" t="e">
        <f ca="1">Table13345[[#This Row],[Put D1]]-Table13345[[#This Row],[IV Calc P]]*SQRT(Table13345[[#This Row],[T]])</f>
        <v>#DIV/0!</v>
      </c>
      <c r="AM935" t="e">
        <f ca="1">EXP(-0.5*Table13345[[#This Row],[Call D1]]^2)/SQRT(2*PI())</f>
        <v>#DIV/0!</v>
      </c>
      <c r="AN935" t="e">
        <f ca="1">EXP(-0.5*Table13345[[#This Row],[Put D1]]^2)/SQRT(2*PI())</f>
        <v>#DIV/0!</v>
      </c>
      <c r="AO93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5">
        <f ca="1">((Table13345[[#This Row],[call vanna]]+Table13345[[#This Row],[put vanna]])*$A$4)</f>
        <v>0</v>
      </c>
      <c r="AR93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5" s="9" t="str" cm="1">
        <f t="array" ref="AT935">_xlfn.IFS(     $M$1="SPX","SPXW",     $M$1="RUT","RUTW",  $M$1="NDX","NDXP",   TRUE,$M$1 )</f>
        <v>SPXW</v>
      </c>
      <c r="AU935" s="2">
        <f t="shared" si="92"/>
        <v>6915</v>
      </c>
      <c r="AV935" t="str">
        <f t="shared" si="93"/>
        <v>000100</v>
      </c>
      <c r="AY93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5">
        <f>((Table13345[[#This Row],[High C]]+Table13345[[#This Row],[Low C]])/2)*Table13345[[#This Row],[gammac]]*Table13345[[#This Row],[Volume]]</f>
        <v>0</v>
      </c>
      <c r="BD935">
        <f>((Table13345[[#This Row],[High P]]+Table13345[[#This Row],[Low P]])/2)*Table13345[[#This Row],[gammap]]*Table13345[[#This Row],[Volume9]]*-1</f>
        <v>0</v>
      </c>
      <c r="BE935">
        <f>(Table13345[[#This Row],[SgammaC]]+Table13345[[#This Row],[SgammaP]])*$A$4*-100</f>
        <v>0</v>
      </c>
      <c r="BF935">
        <f>Table13345[[#This Row],[DEXc]]+Table13345[[#This Row],[DEXp]]</f>
        <v>0</v>
      </c>
      <c r="BG935">
        <f>IFERROR(Table13345[[#This Row],[DeltaC]]*Table13345[[#This Row],[Open.Int]]*$A$4,0)</f>
        <v>0</v>
      </c>
      <c r="BH935">
        <f>IFERROR(Table13345[[#This Row],[DeltaP]]*Table13345[[#This Row],[Open.Int8]]*$A$4,0)</f>
        <v>0</v>
      </c>
      <c r="BI93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5">
        <f ca="1">Table13345[[#This Row],[charmc]]+Table13345[[#This Row],[charmp]]</f>
        <v>0</v>
      </c>
      <c r="BL93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5" s="78">
        <f ca="1">Table13345[[#This Row],[call helper]]+Table13345[[#This Row],[put helper]]</f>
        <v>0</v>
      </c>
      <c r="BP935" t="str">
        <f>RTD("tos.rtd", , "STRIKE", "."&amp;Table13345[[#This Row],[Ticker]]&amp;Table13345[[#This Row],[Expiry]]&amp;""&amp;"C"&amp;Table13345[[#This Row],[Spot]]+Table13345[[#This Row],[step]])</f>
        <v>N/A</v>
      </c>
    </row>
    <row r="936" spans="1:68" x14ac:dyDescent="0.25">
      <c r="A936" s="14">
        <f t="shared" ca="1" si="89"/>
        <v>-126.14810350076104</v>
      </c>
      <c r="C936" s="17"/>
      <c r="D936" t="str">
        <f>RTD("tos.rtd", , "OPEN_INT", "."&amp;Table13345[[#This Row],[Ticker]]&amp;Table13345[[#This Row],[Expiry]]&amp;""&amp;"C"&amp;Table13345[[#This Row],[Spot]]+Table13345[[#This Row],[step]])</f>
        <v>N/A</v>
      </c>
      <c r="E93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6" t="b">
        <f>IF(     ISNUMBER(Table13345[[#This Row],[Strike]]),RTD("tos.rtd", , "DELTA", "."&amp;Table13345[[#This Row],[Ticker]]&amp;Table13345[[#This Row],[Expiry]]&amp;""&amp;"C"&amp;Table13345[[#This Row],[Strike]]))</f>
        <v>0</v>
      </c>
      <c r="H936" s="17" cm="1">
        <f t="array" aca="1" ref="H936" ca="1">IndividualLegIVCore($A$4, Table13345[[#This Row],[Strike]], 0.0411, Table13345[[#This Row],[T]], ((Table13345[[#This Row],[BIDC]]+Table13345[[#This Row],[ASKC]])/2), TRUE)</f>
        <v>0.01</v>
      </c>
      <c r="I936" t="b">
        <f>IF(     ISNUMBER(Table13345[[#This Row],[Strike]]),RTD("tos.rtd", , "BID", "."&amp;Table13345[[#This Row],[Ticker]]&amp;Table13345[[#This Row],[Expiry]]&amp;""&amp;"C"&amp;Table13345[[#This Row],[Strike]]))</f>
        <v>0</v>
      </c>
      <c r="J936" t="b">
        <f>IF(     ISNUMBER(Table13345[[#This Row],[Strike]]),RTD("tos.rtd", , "ASK", "."&amp;Table13345[[#This Row],[Ticker]]&amp;Table13345[[#This Row],[Expiry]]&amp;""&amp;"C"&amp;Table13345[[#This Row],[Strike]]))</f>
        <v>0</v>
      </c>
      <c r="K936" s="17"/>
      <c r="M936" s="1">
        <f t="shared" si="90"/>
        <v>0</v>
      </c>
      <c r="N936" t="b">
        <f t="shared" si="91"/>
        <v>0</v>
      </c>
      <c r="P936" s="17" cm="1">
        <f t="array" aca="1" ref="P936" ca="1">IndividualLegIVCore($A$4, Table13345[[#This Row],[Strike]], 0.0411, Table13345[[#This Row],[T]], ((Table13345[[#This Row],[BIDP]]+Table13345[[#This Row],[ASKP]])/2), FALSE)</f>
        <v>0.01</v>
      </c>
      <c r="Q936" t="b">
        <f>IF(     ISNUMBER(Table13345[[#This Row],[Strike]]),RTD("tos.rtd", , "BID", "."&amp;Table13345[[#This Row],[Ticker]]&amp;Table13345[[#This Row],[Expiry]]&amp;""&amp;"P"&amp;Table13345[[#This Row],[Strike]]))</f>
        <v>0</v>
      </c>
      <c r="R936" t="b">
        <f>IF(     ISNUMBER(Table13345[[#This Row],[Strike]]),RTD("tos.rtd", , "ASK", "."&amp;Table13345[[#This Row],[Ticker]]&amp;Table13345[[#This Row],[Expiry]]&amp;""&amp;"P"&amp;Table13345[[#This Row],[Strike]]))</f>
        <v>0</v>
      </c>
      <c r="S936" s="17"/>
      <c r="T936" t="b">
        <f>IF(     ISNUMBER(Table13345[[#This Row],[Strike]]),RTD("tos.rtd", , "OPEN_INT", "."&amp;Table13345[[#This Row],[Ticker]]&amp;Table13345[[#This Row],[Expiry]]&amp;""&amp;"P"&amp;Table13345[[#This Row],[Strike]]))</f>
        <v>0</v>
      </c>
      <c r="U93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6" t="b">
        <f>IF(     ISNUMBER(Table13345[[#This Row],[Strike]]),RTD("tos.rtd", , "DELTA", "."&amp;Table13345[[#This Row],[Ticker]]&amp;Table13345[[#This Row],[Expiry]]&amp;""&amp;"P"&amp;Table13345[[#This Row],[Strike]]))</f>
        <v>0</v>
      </c>
      <c r="Y936" s="19">
        <f>7* IF($M$1="NDX", 10, IF(OR($M$1="SPX", $M$1="RUT"), 2, 1))</f>
        <v>14</v>
      </c>
      <c r="Z936">
        <f ca="1">IFERROR(Table13345[[#This Row],[call gamma]]*(Table13345[[#This Row],[Open.Int]])*$A$4^2,0)</f>
        <v>0</v>
      </c>
      <c r="AA936">
        <f ca="1">IFERROR(((Table13345[[#This Row],[Open.Int8]])*Table13345[[#This Row],[Put gamma]])*-1*$A$4^2,0)</f>
        <v>0</v>
      </c>
      <c r="AB936">
        <f ca="1">(Table13345[[#This Row],[Call Gex]]+Table13345[[#This Row],[Put Gex]])</f>
        <v>0</v>
      </c>
      <c r="AC936">
        <f ca="1">Table13345[[#This Row],[put delta adj]]+Table13345[[#This Row],[call delta adj]]</f>
        <v>0</v>
      </c>
      <c r="AD936">
        <f ca="1">Table13345[[#This Row],[Put Gex]]*Table13345[[#This Row],[DeltaP]]*-1</f>
        <v>0</v>
      </c>
      <c r="AE936">
        <f ca="1">Table13345[[#This Row],[Call Gex]]*Table13345[[#This Row],[DeltaC]]</f>
        <v>0</v>
      </c>
      <c r="AF936">
        <f>IF(Table13345[[#This Row],[DeltaC]]-ABS(Table13345[[#This Row],[DeltaP]])="0","0.01",Table13345[[#This Row],[DeltaC]]-ABS(Table13345[[#This Row],[DeltaP]]))</f>
        <v>0</v>
      </c>
      <c r="AG93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6" t="e">
        <f ca="1">(EXP(-(AG936^2)/2)/SQRT(2*PI())*EXP(0*SQRT(Table13345[[#This Row],[T]]))/$A$4*18%*SQRT(SQRT(Table13345[[#This Row],[T]])))</f>
        <v>#DIV/0!</v>
      </c>
      <c r="AJ936" t="e">
        <f ca="1">(EXP(-(AH936^2)/2)/SQRT(2*PI())*EXP(0*SQRT(Table13345[[#This Row],[T]]))/$A$4*18%*SQRT(SQRT(Table13345[[#This Row],[T]])))</f>
        <v>#DIV/0!</v>
      </c>
      <c r="AK936" t="e">
        <f ca="1">Table13345[[#This Row],[Call D1]]-Table13345[[#This Row],[IV Calc C]]*SQRT(Table13345[[#This Row],[T]])</f>
        <v>#DIV/0!</v>
      </c>
      <c r="AL936" t="e">
        <f ca="1">Table13345[[#This Row],[Put D1]]-Table13345[[#This Row],[IV Calc P]]*SQRT(Table13345[[#This Row],[T]])</f>
        <v>#DIV/0!</v>
      </c>
      <c r="AM936" t="e">
        <f ca="1">EXP(-0.5*Table13345[[#This Row],[Call D1]]^2)/SQRT(2*PI())</f>
        <v>#DIV/0!</v>
      </c>
      <c r="AN936" t="e">
        <f ca="1">EXP(-0.5*Table13345[[#This Row],[Put D1]]^2)/SQRT(2*PI())</f>
        <v>#DIV/0!</v>
      </c>
      <c r="AO93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6">
        <f ca="1">((Table13345[[#This Row],[call vanna]]+Table13345[[#This Row],[put vanna]])*$A$4)</f>
        <v>0</v>
      </c>
      <c r="AR93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6" s="9" t="str" cm="1">
        <f t="array" ref="AT936">_xlfn.IFS(     $M$1="SPX","SPXW",     $M$1="RUT","RUTW",  $M$1="NDX","NDXP",   TRUE,$M$1 )</f>
        <v>SPXW</v>
      </c>
      <c r="AU936" s="2">
        <f t="shared" si="92"/>
        <v>6915</v>
      </c>
      <c r="AV936" t="str">
        <f t="shared" si="93"/>
        <v>000100</v>
      </c>
      <c r="AY93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6">
        <f>((Table13345[[#This Row],[High C]]+Table13345[[#This Row],[Low C]])/2)*Table13345[[#This Row],[gammac]]*Table13345[[#This Row],[Volume]]</f>
        <v>0</v>
      </c>
      <c r="BD936">
        <f>((Table13345[[#This Row],[High P]]+Table13345[[#This Row],[Low P]])/2)*Table13345[[#This Row],[gammap]]*Table13345[[#This Row],[Volume9]]*-1</f>
        <v>0</v>
      </c>
      <c r="BE936">
        <f>(Table13345[[#This Row],[SgammaC]]+Table13345[[#This Row],[SgammaP]])*$A$4*-100</f>
        <v>0</v>
      </c>
      <c r="BF936">
        <f>Table13345[[#This Row],[DEXc]]+Table13345[[#This Row],[DEXp]]</f>
        <v>0</v>
      </c>
      <c r="BG936">
        <f>IFERROR(Table13345[[#This Row],[DeltaC]]*Table13345[[#This Row],[Open.Int]]*$A$4,0)</f>
        <v>0</v>
      </c>
      <c r="BH936">
        <f>IFERROR(Table13345[[#This Row],[DeltaP]]*Table13345[[#This Row],[Open.Int8]]*$A$4,0)</f>
        <v>0</v>
      </c>
      <c r="BI93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6">
        <f ca="1">Table13345[[#This Row],[charmc]]+Table13345[[#This Row],[charmp]]</f>
        <v>0</v>
      </c>
      <c r="BL93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6" s="78">
        <f ca="1">Table13345[[#This Row],[call helper]]+Table13345[[#This Row],[put helper]]</f>
        <v>0</v>
      </c>
      <c r="BP936" t="str">
        <f>RTD("tos.rtd", , "STRIKE", "."&amp;Table13345[[#This Row],[Ticker]]&amp;Table13345[[#This Row],[Expiry]]&amp;""&amp;"C"&amp;Table13345[[#This Row],[Spot]]+Table13345[[#This Row],[step]])</f>
        <v>N/A</v>
      </c>
    </row>
    <row r="937" spans="1:68" x14ac:dyDescent="0.25">
      <c r="A937" s="14">
        <f t="shared" ca="1" si="89"/>
        <v>-126.14810350076104</v>
      </c>
      <c r="C937" s="17"/>
      <c r="D937" t="str">
        <f>RTD("tos.rtd", , "OPEN_INT", "."&amp;Table13345[[#This Row],[Ticker]]&amp;Table13345[[#This Row],[Expiry]]&amp;""&amp;"C"&amp;Table13345[[#This Row],[Spot]]+Table13345[[#This Row],[step]])</f>
        <v>N/A</v>
      </c>
      <c r="E93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7" t="b">
        <f>IF(     ISNUMBER(Table13345[[#This Row],[Strike]]),RTD("tos.rtd", , "DELTA", "."&amp;Table13345[[#This Row],[Ticker]]&amp;Table13345[[#This Row],[Expiry]]&amp;""&amp;"C"&amp;Table13345[[#This Row],[Strike]]))</f>
        <v>0</v>
      </c>
      <c r="H937" s="17" cm="1">
        <f t="array" aca="1" ref="H937" ca="1">IndividualLegIVCore($A$4, Table13345[[#This Row],[Strike]], 0.0411, Table13345[[#This Row],[T]], ((Table13345[[#This Row],[BIDC]]+Table13345[[#This Row],[ASKC]])/2), TRUE)</f>
        <v>0.01</v>
      </c>
      <c r="I937" t="b">
        <f>IF(     ISNUMBER(Table13345[[#This Row],[Strike]]),RTD("tos.rtd", , "BID", "."&amp;Table13345[[#This Row],[Ticker]]&amp;Table13345[[#This Row],[Expiry]]&amp;""&amp;"C"&amp;Table13345[[#This Row],[Strike]]))</f>
        <v>0</v>
      </c>
      <c r="J937" t="b">
        <f>IF(     ISNUMBER(Table13345[[#This Row],[Strike]]),RTD("tos.rtd", , "ASK", "."&amp;Table13345[[#This Row],[Ticker]]&amp;Table13345[[#This Row],[Expiry]]&amp;""&amp;"C"&amp;Table13345[[#This Row],[Strike]]))</f>
        <v>0</v>
      </c>
      <c r="K937" s="17"/>
      <c r="M937" s="1">
        <f t="shared" si="90"/>
        <v>0</v>
      </c>
      <c r="N937" t="b">
        <f t="shared" si="91"/>
        <v>0</v>
      </c>
      <c r="P937" s="17" cm="1">
        <f t="array" aca="1" ref="P937" ca="1">IndividualLegIVCore($A$4, Table13345[[#This Row],[Strike]], 0.0411, Table13345[[#This Row],[T]], ((Table13345[[#This Row],[BIDP]]+Table13345[[#This Row],[ASKP]])/2), FALSE)</f>
        <v>0.01</v>
      </c>
      <c r="Q937" t="b">
        <f>IF(     ISNUMBER(Table13345[[#This Row],[Strike]]),RTD("tos.rtd", , "BID", "."&amp;Table13345[[#This Row],[Ticker]]&amp;Table13345[[#This Row],[Expiry]]&amp;""&amp;"P"&amp;Table13345[[#This Row],[Strike]]))</f>
        <v>0</v>
      </c>
      <c r="R937" t="b">
        <f>IF(     ISNUMBER(Table13345[[#This Row],[Strike]]),RTD("tos.rtd", , "ASK", "."&amp;Table13345[[#This Row],[Ticker]]&amp;Table13345[[#This Row],[Expiry]]&amp;""&amp;"P"&amp;Table13345[[#This Row],[Strike]]))</f>
        <v>0</v>
      </c>
      <c r="S937" s="17"/>
      <c r="T937" t="b">
        <f>IF(     ISNUMBER(Table13345[[#This Row],[Strike]]),RTD("tos.rtd", , "OPEN_INT", "."&amp;Table13345[[#This Row],[Ticker]]&amp;Table13345[[#This Row],[Expiry]]&amp;""&amp;"P"&amp;Table13345[[#This Row],[Strike]]))</f>
        <v>0</v>
      </c>
      <c r="U93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7" t="b">
        <f>IF(     ISNUMBER(Table13345[[#This Row],[Strike]]),RTD("tos.rtd", , "DELTA", "."&amp;Table13345[[#This Row],[Ticker]]&amp;Table13345[[#This Row],[Expiry]]&amp;""&amp;"P"&amp;Table13345[[#This Row],[Strike]]))</f>
        <v>0</v>
      </c>
      <c r="Y937" s="19">
        <f>7.5* IF($M$1="NDX", 10, IF(OR($M$1="SPX", $M$1="RUT"), 2, 1))</f>
        <v>15</v>
      </c>
      <c r="Z937">
        <f ca="1">IFERROR(Table13345[[#This Row],[call gamma]]*(Table13345[[#This Row],[Open.Int]])*$A$4^2,0)</f>
        <v>0</v>
      </c>
      <c r="AA937">
        <f ca="1">IFERROR(((Table13345[[#This Row],[Open.Int8]])*Table13345[[#This Row],[Put gamma]])*-1*$A$4^2,0)</f>
        <v>0</v>
      </c>
      <c r="AB937">
        <f ca="1">(Table13345[[#This Row],[Call Gex]]+Table13345[[#This Row],[Put Gex]])</f>
        <v>0</v>
      </c>
      <c r="AC937">
        <f ca="1">Table13345[[#This Row],[put delta adj]]+Table13345[[#This Row],[call delta adj]]</f>
        <v>0</v>
      </c>
      <c r="AD937">
        <f ca="1">Table13345[[#This Row],[Put Gex]]*Table13345[[#This Row],[DeltaP]]*-1</f>
        <v>0</v>
      </c>
      <c r="AE937">
        <f ca="1">Table13345[[#This Row],[Call Gex]]*Table13345[[#This Row],[DeltaC]]</f>
        <v>0</v>
      </c>
      <c r="AF937">
        <f>IF(Table13345[[#This Row],[DeltaC]]-ABS(Table13345[[#This Row],[DeltaP]])="0","0.01",Table13345[[#This Row],[DeltaC]]-ABS(Table13345[[#This Row],[DeltaP]]))</f>
        <v>0</v>
      </c>
      <c r="AG93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7" t="e">
        <f ca="1">(EXP(-(AG937^2)/2)/SQRT(2*PI())*EXP(0*SQRT(Table13345[[#This Row],[T]]))/$A$4*18%*SQRT(SQRT(Table13345[[#This Row],[T]])))</f>
        <v>#DIV/0!</v>
      </c>
      <c r="AJ937" t="e">
        <f ca="1">(EXP(-(AH937^2)/2)/SQRT(2*PI())*EXP(0*SQRT(Table13345[[#This Row],[T]]))/$A$4*18%*SQRT(SQRT(Table13345[[#This Row],[T]])))</f>
        <v>#DIV/0!</v>
      </c>
      <c r="AK937" t="e">
        <f ca="1">Table13345[[#This Row],[Call D1]]-Table13345[[#This Row],[IV Calc C]]*SQRT(Table13345[[#This Row],[T]])</f>
        <v>#DIV/0!</v>
      </c>
      <c r="AL937" t="e">
        <f ca="1">Table13345[[#This Row],[Put D1]]-Table13345[[#This Row],[IV Calc P]]*SQRT(Table13345[[#This Row],[T]])</f>
        <v>#DIV/0!</v>
      </c>
      <c r="AM937" t="e">
        <f ca="1">EXP(-0.5*Table13345[[#This Row],[Call D1]]^2)/SQRT(2*PI())</f>
        <v>#DIV/0!</v>
      </c>
      <c r="AN937" t="e">
        <f ca="1">EXP(-0.5*Table13345[[#This Row],[Put D1]]^2)/SQRT(2*PI())</f>
        <v>#DIV/0!</v>
      </c>
      <c r="AO93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7">
        <f ca="1">((Table13345[[#This Row],[call vanna]]+Table13345[[#This Row],[put vanna]])*$A$4)</f>
        <v>0</v>
      </c>
      <c r="AR93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7" s="9" t="str" cm="1">
        <f t="array" ref="AT937">_xlfn.IFS(     $M$1="SPX","SPXW",     $M$1="RUT","RUTW",  $M$1="NDX","NDXP",   TRUE,$M$1 )</f>
        <v>SPXW</v>
      </c>
      <c r="AU937" s="2">
        <f t="shared" si="92"/>
        <v>6915</v>
      </c>
      <c r="AV937" t="str">
        <f t="shared" si="93"/>
        <v>000100</v>
      </c>
      <c r="AY93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7">
        <f>((Table13345[[#This Row],[High C]]+Table13345[[#This Row],[Low C]])/2)*Table13345[[#This Row],[gammac]]*Table13345[[#This Row],[Volume]]</f>
        <v>0</v>
      </c>
      <c r="BD937">
        <f>((Table13345[[#This Row],[High P]]+Table13345[[#This Row],[Low P]])/2)*Table13345[[#This Row],[gammap]]*Table13345[[#This Row],[Volume9]]*-1</f>
        <v>0</v>
      </c>
      <c r="BE937">
        <f>(Table13345[[#This Row],[SgammaC]]+Table13345[[#This Row],[SgammaP]])*$A$4*-100</f>
        <v>0</v>
      </c>
      <c r="BF937">
        <f>Table13345[[#This Row],[DEXc]]+Table13345[[#This Row],[DEXp]]</f>
        <v>0</v>
      </c>
      <c r="BG937">
        <f>IFERROR(Table13345[[#This Row],[DeltaC]]*Table13345[[#This Row],[Open.Int]]*$A$4,0)</f>
        <v>0</v>
      </c>
      <c r="BH937">
        <f>IFERROR(Table13345[[#This Row],[DeltaP]]*Table13345[[#This Row],[Open.Int8]]*$A$4,0)</f>
        <v>0</v>
      </c>
      <c r="BI93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7">
        <f ca="1">Table13345[[#This Row],[charmc]]+Table13345[[#This Row],[charmp]]</f>
        <v>0</v>
      </c>
      <c r="BL93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7" s="78">
        <f ca="1">Table13345[[#This Row],[call helper]]+Table13345[[#This Row],[put helper]]</f>
        <v>0</v>
      </c>
      <c r="BP937" t="str">
        <f>RTD("tos.rtd", , "STRIKE", "."&amp;Table13345[[#This Row],[Ticker]]&amp;Table13345[[#This Row],[Expiry]]&amp;""&amp;"C"&amp;Table13345[[#This Row],[Spot]]+Table13345[[#This Row],[step]])</f>
        <v>N/A</v>
      </c>
    </row>
    <row r="938" spans="1:68" x14ac:dyDescent="0.25">
      <c r="A938" s="14">
        <f t="shared" ca="1" si="89"/>
        <v>-126.14810350076104</v>
      </c>
      <c r="C938" s="17"/>
      <c r="D938" t="str">
        <f>RTD("tos.rtd", , "OPEN_INT", "."&amp;Table13345[[#This Row],[Ticker]]&amp;Table13345[[#This Row],[Expiry]]&amp;""&amp;"C"&amp;Table13345[[#This Row],[Spot]]+Table13345[[#This Row],[step]])</f>
        <v>N/A</v>
      </c>
      <c r="E93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8" t="b">
        <f>IF(     ISNUMBER(Table13345[[#This Row],[Strike]]),RTD("tos.rtd", , "DELTA", "."&amp;Table13345[[#This Row],[Ticker]]&amp;Table13345[[#This Row],[Expiry]]&amp;""&amp;"C"&amp;Table13345[[#This Row],[Strike]]))</f>
        <v>0</v>
      </c>
      <c r="H938" s="17" cm="1">
        <f t="array" aca="1" ref="H938" ca="1">IndividualLegIVCore($A$4, Table13345[[#This Row],[Strike]], 0.0411, Table13345[[#This Row],[T]], ((Table13345[[#This Row],[BIDC]]+Table13345[[#This Row],[ASKC]])/2), TRUE)</f>
        <v>0.01</v>
      </c>
      <c r="I938" t="b">
        <f>IF(     ISNUMBER(Table13345[[#This Row],[Strike]]),RTD("tos.rtd", , "BID", "."&amp;Table13345[[#This Row],[Ticker]]&amp;Table13345[[#This Row],[Expiry]]&amp;""&amp;"C"&amp;Table13345[[#This Row],[Strike]]))</f>
        <v>0</v>
      </c>
      <c r="J938" t="b">
        <f>IF(     ISNUMBER(Table13345[[#This Row],[Strike]]),RTD("tos.rtd", , "ASK", "."&amp;Table13345[[#This Row],[Ticker]]&amp;Table13345[[#This Row],[Expiry]]&amp;""&amp;"C"&amp;Table13345[[#This Row],[Strike]]))</f>
        <v>0</v>
      </c>
      <c r="K938" s="17"/>
      <c r="M938" s="1">
        <f t="shared" si="90"/>
        <v>0</v>
      </c>
      <c r="N938" t="b">
        <f t="shared" si="91"/>
        <v>0</v>
      </c>
      <c r="P938" s="17" cm="1">
        <f t="array" aca="1" ref="P938" ca="1">IndividualLegIVCore($A$4, Table13345[[#This Row],[Strike]], 0.0411, Table13345[[#This Row],[T]], ((Table13345[[#This Row],[BIDP]]+Table13345[[#This Row],[ASKP]])/2), FALSE)</f>
        <v>0.01</v>
      </c>
      <c r="Q938" t="b">
        <f>IF(     ISNUMBER(Table13345[[#This Row],[Strike]]),RTD("tos.rtd", , "BID", "."&amp;Table13345[[#This Row],[Ticker]]&amp;Table13345[[#This Row],[Expiry]]&amp;""&amp;"P"&amp;Table13345[[#This Row],[Strike]]))</f>
        <v>0</v>
      </c>
      <c r="R938" t="b">
        <f>IF(     ISNUMBER(Table13345[[#This Row],[Strike]]),RTD("tos.rtd", , "ASK", "."&amp;Table13345[[#This Row],[Ticker]]&amp;Table13345[[#This Row],[Expiry]]&amp;""&amp;"P"&amp;Table13345[[#This Row],[Strike]]))</f>
        <v>0</v>
      </c>
      <c r="S938" s="17"/>
      <c r="T938" t="b">
        <f>IF(     ISNUMBER(Table13345[[#This Row],[Strike]]),RTD("tos.rtd", , "OPEN_INT", "."&amp;Table13345[[#This Row],[Ticker]]&amp;Table13345[[#This Row],[Expiry]]&amp;""&amp;"P"&amp;Table13345[[#This Row],[Strike]]))</f>
        <v>0</v>
      </c>
      <c r="U93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8" t="b">
        <f>IF(     ISNUMBER(Table13345[[#This Row],[Strike]]),RTD("tos.rtd", , "DELTA", "."&amp;Table13345[[#This Row],[Ticker]]&amp;Table13345[[#This Row],[Expiry]]&amp;""&amp;"P"&amp;Table13345[[#This Row],[Strike]]))</f>
        <v>0</v>
      </c>
      <c r="Y938" s="19">
        <f>8* IF($M$1="NDX", 10, IF(OR($M$1="SPX", $M$1="RUT"), 2, 1))</f>
        <v>16</v>
      </c>
      <c r="Z938">
        <f ca="1">IFERROR(Table13345[[#This Row],[call gamma]]*(Table13345[[#This Row],[Open.Int]])*$A$4^2,0)</f>
        <v>0</v>
      </c>
      <c r="AA938">
        <f ca="1">IFERROR(((Table13345[[#This Row],[Open.Int8]])*Table13345[[#This Row],[Put gamma]])*-1*$A$4^2,0)</f>
        <v>0</v>
      </c>
      <c r="AB938">
        <f ca="1">(Table13345[[#This Row],[Call Gex]]+Table13345[[#This Row],[Put Gex]])</f>
        <v>0</v>
      </c>
      <c r="AC938">
        <f ca="1">Table13345[[#This Row],[put delta adj]]+Table13345[[#This Row],[call delta adj]]</f>
        <v>0</v>
      </c>
      <c r="AD938">
        <f ca="1">Table13345[[#This Row],[Put Gex]]*Table13345[[#This Row],[DeltaP]]*-1</f>
        <v>0</v>
      </c>
      <c r="AE938">
        <f ca="1">Table13345[[#This Row],[Call Gex]]*Table13345[[#This Row],[DeltaC]]</f>
        <v>0</v>
      </c>
      <c r="AF938">
        <f>IF(Table13345[[#This Row],[DeltaC]]-ABS(Table13345[[#This Row],[DeltaP]])="0","0.01",Table13345[[#This Row],[DeltaC]]-ABS(Table13345[[#This Row],[DeltaP]]))</f>
        <v>0</v>
      </c>
      <c r="AG93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8" t="e">
        <f ca="1">(EXP(-(AG938^2)/2)/SQRT(2*PI())*EXP(0*SQRT(Table13345[[#This Row],[T]]))/$A$4*18%*SQRT(SQRT(Table13345[[#This Row],[T]])))</f>
        <v>#DIV/0!</v>
      </c>
      <c r="AJ938" t="e">
        <f ca="1">(EXP(-(AH938^2)/2)/SQRT(2*PI())*EXP(0*SQRT(Table13345[[#This Row],[T]]))/$A$4*18%*SQRT(SQRT(Table13345[[#This Row],[T]])))</f>
        <v>#DIV/0!</v>
      </c>
      <c r="AK938" t="e">
        <f ca="1">Table13345[[#This Row],[Call D1]]-Table13345[[#This Row],[IV Calc C]]*SQRT(Table13345[[#This Row],[T]])</f>
        <v>#DIV/0!</v>
      </c>
      <c r="AL938" t="e">
        <f ca="1">Table13345[[#This Row],[Put D1]]-Table13345[[#This Row],[IV Calc P]]*SQRT(Table13345[[#This Row],[T]])</f>
        <v>#DIV/0!</v>
      </c>
      <c r="AM938" t="e">
        <f ca="1">EXP(-0.5*Table13345[[#This Row],[Call D1]]^2)/SQRT(2*PI())</f>
        <v>#DIV/0!</v>
      </c>
      <c r="AN938" t="e">
        <f ca="1">EXP(-0.5*Table13345[[#This Row],[Put D1]]^2)/SQRT(2*PI())</f>
        <v>#DIV/0!</v>
      </c>
      <c r="AO93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8">
        <f ca="1">((Table13345[[#This Row],[call vanna]]+Table13345[[#This Row],[put vanna]])*$A$4)</f>
        <v>0</v>
      </c>
      <c r="AR93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8" s="9" t="str" cm="1">
        <f t="array" ref="AT938">_xlfn.IFS(     $M$1="SPX","SPXW",     $M$1="RUT","RUTW",  $M$1="NDX","NDXP",   TRUE,$M$1 )</f>
        <v>SPXW</v>
      </c>
      <c r="AU938" s="2">
        <f t="shared" si="92"/>
        <v>6915</v>
      </c>
      <c r="AV938" t="str">
        <f t="shared" si="93"/>
        <v>000100</v>
      </c>
      <c r="AY93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8">
        <f>((Table13345[[#This Row],[High C]]+Table13345[[#This Row],[Low C]])/2)*Table13345[[#This Row],[gammac]]*Table13345[[#This Row],[Volume]]</f>
        <v>0</v>
      </c>
      <c r="BD938">
        <f>((Table13345[[#This Row],[High P]]+Table13345[[#This Row],[Low P]])/2)*Table13345[[#This Row],[gammap]]*Table13345[[#This Row],[Volume9]]*-1</f>
        <v>0</v>
      </c>
      <c r="BE938">
        <f>(Table13345[[#This Row],[SgammaC]]+Table13345[[#This Row],[SgammaP]])*$A$4*-100</f>
        <v>0</v>
      </c>
      <c r="BF938">
        <f>Table13345[[#This Row],[DEXc]]+Table13345[[#This Row],[DEXp]]</f>
        <v>0</v>
      </c>
      <c r="BG938">
        <f>IFERROR(Table13345[[#This Row],[DeltaC]]*Table13345[[#This Row],[Open.Int]]*$A$4,0)</f>
        <v>0</v>
      </c>
      <c r="BH938">
        <f>IFERROR(Table13345[[#This Row],[DeltaP]]*Table13345[[#This Row],[Open.Int8]]*$A$4,0)</f>
        <v>0</v>
      </c>
      <c r="BI93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8">
        <f ca="1">Table13345[[#This Row],[charmc]]+Table13345[[#This Row],[charmp]]</f>
        <v>0</v>
      </c>
      <c r="BL93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8" s="78">
        <f ca="1">Table13345[[#This Row],[call helper]]+Table13345[[#This Row],[put helper]]</f>
        <v>0</v>
      </c>
      <c r="BP938" t="str">
        <f>RTD("tos.rtd", , "STRIKE", "."&amp;Table13345[[#This Row],[Ticker]]&amp;Table13345[[#This Row],[Expiry]]&amp;""&amp;"C"&amp;Table13345[[#This Row],[Spot]]+Table13345[[#This Row],[step]])</f>
        <v>N/A</v>
      </c>
    </row>
    <row r="939" spans="1:68" x14ac:dyDescent="0.25">
      <c r="A939" s="14">
        <f t="shared" ca="1" si="89"/>
        <v>-126.14810350076104</v>
      </c>
      <c r="C939" s="17"/>
      <c r="D939" t="str">
        <f>RTD("tos.rtd", , "OPEN_INT", "."&amp;Table13345[[#This Row],[Ticker]]&amp;Table13345[[#This Row],[Expiry]]&amp;""&amp;"C"&amp;Table13345[[#This Row],[Spot]]+Table13345[[#This Row],[step]])</f>
        <v>N/A</v>
      </c>
      <c r="E93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9" t="b">
        <f>IF(     ISNUMBER(Table13345[[#This Row],[Strike]]),RTD("tos.rtd", , "DELTA", "."&amp;Table13345[[#This Row],[Ticker]]&amp;Table13345[[#This Row],[Expiry]]&amp;""&amp;"C"&amp;Table13345[[#This Row],[Strike]]))</f>
        <v>0</v>
      </c>
      <c r="H939" s="17" cm="1">
        <f t="array" aca="1" ref="H939" ca="1">IndividualLegIVCore($A$4, Table13345[[#This Row],[Strike]], 0.0411, Table13345[[#This Row],[T]], ((Table13345[[#This Row],[BIDC]]+Table13345[[#This Row],[ASKC]])/2), TRUE)</f>
        <v>0.01</v>
      </c>
      <c r="I939" t="b">
        <f>IF(     ISNUMBER(Table13345[[#This Row],[Strike]]),RTD("tos.rtd", , "BID", "."&amp;Table13345[[#This Row],[Ticker]]&amp;Table13345[[#This Row],[Expiry]]&amp;""&amp;"C"&amp;Table13345[[#This Row],[Strike]]))</f>
        <v>0</v>
      </c>
      <c r="J939" t="b">
        <f>IF(     ISNUMBER(Table13345[[#This Row],[Strike]]),RTD("tos.rtd", , "ASK", "."&amp;Table13345[[#This Row],[Ticker]]&amp;Table13345[[#This Row],[Expiry]]&amp;""&amp;"C"&amp;Table13345[[#This Row],[Strike]]))</f>
        <v>0</v>
      </c>
      <c r="K939" s="17"/>
      <c r="M939" s="1">
        <f t="shared" si="90"/>
        <v>0</v>
      </c>
      <c r="N939" t="b">
        <f t="shared" si="91"/>
        <v>0</v>
      </c>
      <c r="P939" s="17" cm="1">
        <f t="array" aca="1" ref="P939" ca="1">IndividualLegIVCore($A$4, Table13345[[#This Row],[Strike]], 0.0411, Table13345[[#This Row],[T]], ((Table13345[[#This Row],[BIDP]]+Table13345[[#This Row],[ASKP]])/2), FALSE)</f>
        <v>0.01</v>
      </c>
      <c r="Q939" t="b">
        <f>IF(     ISNUMBER(Table13345[[#This Row],[Strike]]),RTD("tos.rtd", , "BID", "."&amp;Table13345[[#This Row],[Ticker]]&amp;Table13345[[#This Row],[Expiry]]&amp;""&amp;"P"&amp;Table13345[[#This Row],[Strike]]))</f>
        <v>0</v>
      </c>
      <c r="R939" t="b">
        <f>IF(     ISNUMBER(Table13345[[#This Row],[Strike]]),RTD("tos.rtd", , "ASK", "."&amp;Table13345[[#This Row],[Ticker]]&amp;Table13345[[#This Row],[Expiry]]&amp;""&amp;"P"&amp;Table13345[[#This Row],[Strike]]))</f>
        <v>0</v>
      </c>
      <c r="S939" s="17"/>
      <c r="T939" t="b">
        <f>IF(     ISNUMBER(Table13345[[#This Row],[Strike]]),RTD("tos.rtd", , "OPEN_INT", "."&amp;Table13345[[#This Row],[Ticker]]&amp;Table13345[[#This Row],[Expiry]]&amp;""&amp;"P"&amp;Table13345[[#This Row],[Strike]]))</f>
        <v>0</v>
      </c>
      <c r="U93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9" t="b">
        <f>IF(     ISNUMBER(Table13345[[#This Row],[Strike]]),RTD("tos.rtd", , "DELTA", "."&amp;Table13345[[#This Row],[Ticker]]&amp;Table13345[[#This Row],[Expiry]]&amp;""&amp;"P"&amp;Table13345[[#This Row],[Strike]]))</f>
        <v>0</v>
      </c>
      <c r="Y939" s="19">
        <f>8.5* IF($M$1="NDX", 10, IF(OR($M$1="SPX", $M$1="RUT"), 2, 1))</f>
        <v>17</v>
      </c>
      <c r="Z939">
        <f ca="1">IFERROR(Table13345[[#This Row],[call gamma]]*(Table13345[[#This Row],[Open.Int]])*$A$4^2,0)</f>
        <v>0</v>
      </c>
      <c r="AA939">
        <f ca="1">IFERROR(((Table13345[[#This Row],[Open.Int8]])*Table13345[[#This Row],[Put gamma]])*-1*$A$4^2,0)</f>
        <v>0</v>
      </c>
      <c r="AB939">
        <f ca="1">(Table13345[[#This Row],[Call Gex]]+Table13345[[#This Row],[Put Gex]])</f>
        <v>0</v>
      </c>
      <c r="AC939">
        <f ca="1">Table13345[[#This Row],[put delta adj]]+Table13345[[#This Row],[call delta adj]]</f>
        <v>0</v>
      </c>
      <c r="AD939">
        <f ca="1">Table13345[[#This Row],[Put Gex]]*Table13345[[#This Row],[DeltaP]]*-1</f>
        <v>0</v>
      </c>
      <c r="AE939">
        <f ca="1">Table13345[[#This Row],[Call Gex]]*Table13345[[#This Row],[DeltaC]]</f>
        <v>0</v>
      </c>
      <c r="AF939">
        <f>IF(Table13345[[#This Row],[DeltaC]]-ABS(Table13345[[#This Row],[DeltaP]])="0","0.01",Table13345[[#This Row],[DeltaC]]-ABS(Table13345[[#This Row],[DeltaP]]))</f>
        <v>0</v>
      </c>
      <c r="AG93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9" t="e">
        <f ca="1">(EXP(-(AG939^2)/2)/SQRT(2*PI())*EXP(0*SQRT(Table13345[[#This Row],[T]]))/$A$4*18%*SQRT(SQRT(Table13345[[#This Row],[T]])))</f>
        <v>#DIV/0!</v>
      </c>
      <c r="AJ939" t="e">
        <f ca="1">(EXP(-(AH939^2)/2)/SQRT(2*PI())*EXP(0*SQRT(Table13345[[#This Row],[T]]))/$A$4*18%*SQRT(SQRT(Table13345[[#This Row],[T]])))</f>
        <v>#DIV/0!</v>
      </c>
      <c r="AK939" t="e">
        <f ca="1">Table13345[[#This Row],[Call D1]]-Table13345[[#This Row],[IV Calc C]]*SQRT(Table13345[[#This Row],[T]])</f>
        <v>#DIV/0!</v>
      </c>
      <c r="AL939" t="e">
        <f ca="1">Table13345[[#This Row],[Put D1]]-Table13345[[#This Row],[IV Calc P]]*SQRT(Table13345[[#This Row],[T]])</f>
        <v>#DIV/0!</v>
      </c>
      <c r="AM939" t="e">
        <f ca="1">EXP(-0.5*Table13345[[#This Row],[Call D1]]^2)/SQRT(2*PI())</f>
        <v>#DIV/0!</v>
      </c>
      <c r="AN939" t="e">
        <f ca="1">EXP(-0.5*Table13345[[#This Row],[Put D1]]^2)/SQRT(2*PI())</f>
        <v>#DIV/0!</v>
      </c>
      <c r="AO93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9">
        <f ca="1">((Table13345[[#This Row],[call vanna]]+Table13345[[#This Row],[put vanna]])*$A$4)</f>
        <v>0</v>
      </c>
      <c r="AR93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9" s="9" t="str" cm="1">
        <f t="array" ref="AT939">_xlfn.IFS(     $M$1="SPX","SPXW",     $M$1="RUT","RUTW",  $M$1="NDX","NDXP",   TRUE,$M$1 )</f>
        <v>SPXW</v>
      </c>
      <c r="AU939" s="2">
        <f t="shared" si="92"/>
        <v>6915</v>
      </c>
      <c r="AV939" t="str">
        <f t="shared" si="93"/>
        <v>000100</v>
      </c>
      <c r="AY93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9">
        <f>((Table13345[[#This Row],[High C]]+Table13345[[#This Row],[Low C]])/2)*Table13345[[#This Row],[gammac]]*Table13345[[#This Row],[Volume]]</f>
        <v>0</v>
      </c>
      <c r="BD939">
        <f>((Table13345[[#This Row],[High P]]+Table13345[[#This Row],[Low P]])/2)*Table13345[[#This Row],[gammap]]*Table13345[[#This Row],[Volume9]]*-1</f>
        <v>0</v>
      </c>
      <c r="BE939">
        <f>(Table13345[[#This Row],[SgammaC]]+Table13345[[#This Row],[SgammaP]])*$A$4*-100</f>
        <v>0</v>
      </c>
      <c r="BF939">
        <f>Table13345[[#This Row],[DEXc]]+Table13345[[#This Row],[DEXp]]</f>
        <v>0</v>
      </c>
      <c r="BG939">
        <f>IFERROR(Table13345[[#This Row],[DeltaC]]*Table13345[[#This Row],[Open.Int]]*$A$4,0)</f>
        <v>0</v>
      </c>
      <c r="BH939">
        <f>IFERROR(Table13345[[#This Row],[DeltaP]]*Table13345[[#This Row],[Open.Int8]]*$A$4,0)</f>
        <v>0</v>
      </c>
      <c r="BI93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9">
        <f ca="1">Table13345[[#This Row],[charmc]]+Table13345[[#This Row],[charmp]]</f>
        <v>0</v>
      </c>
      <c r="BL93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9" s="78">
        <f ca="1">Table13345[[#This Row],[call helper]]+Table13345[[#This Row],[put helper]]</f>
        <v>0</v>
      </c>
      <c r="BP939" t="str">
        <f>RTD("tos.rtd", , "STRIKE", "."&amp;Table13345[[#This Row],[Ticker]]&amp;Table13345[[#This Row],[Expiry]]&amp;""&amp;"C"&amp;Table13345[[#This Row],[Spot]]+Table13345[[#This Row],[step]])</f>
        <v>N/A</v>
      </c>
    </row>
    <row r="940" spans="1:68" x14ac:dyDescent="0.25">
      <c r="A940" s="14">
        <f t="shared" ca="1" si="89"/>
        <v>-126.14810350076104</v>
      </c>
      <c r="C940" s="17"/>
      <c r="D940" t="str">
        <f>RTD("tos.rtd", , "OPEN_INT", "."&amp;Table13345[[#This Row],[Ticker]]&amp;Table13345[[#This Row],[Expiry]]&amp;""&amp;"C"&amp;Table13345[[#This Row],[Spot]]+Table13345[[#This Row],[step]])</f>
        <v>N/A</v>
      </c>
      <c r="E94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0" t="b">
        <f>IF(     ISNUMBER(Table13345[[#This Row],[Strike]]),RTD("tos.rtd", , "DELTA", "."&amp;Table13345[[#This Row],[Ticker]]&amp;Table13345[[#This Row],[Expiry]]&amp;""&amp;"C"&amp;Table13345[[#This Row],[Strike]]))</f>
        <v>0</v>
      </c>
      <c r="H940" s="17" cm="1">
        <f t="array" aca="1" ref="H940" ca="1">IndividualLegIVCore($A$4, Table13345[[#This Row],[Strike]], 0.0411, Table13345[[#This Row],[T]], ((Table13345[[#This Row],[BIDC]]+Table13345[[#This Row],[ASKC]])/2), TRUE)</f>
        <v>0.01</v>
      </c>
      <c r="I940" t="b">
        <f>IF(     ISNUMBER(Table13345[[#This Row],[Strike]]),RTD("tos.rtd", , "BID", "."&amp;Table13345[[#This Row],[Ticker]]&amp;Table13345[[#This Row],[Expiry]]&amp;""&amp;"C"&amp;Table13345[[#This Row],[Strike]]))</f>
        <v>0</v>
      </c>
      <c r="J940" t="b">
        <f>IF(     ISNUMBER(Table13345[[#This Row],[Strike]]),RTD("tos.rtd", , "ASK", "."&amp;Table13345[[#This Row],[Ticker]]&amp;Table13345[[#This Row],[Expiry]]&amp;""&amp;"C"&amp;Table13345[[#This Row],[Strike]]))</f>
        <v>0</v>
      </c>
      <c r="K940" s="17"/>
      <c r="M940" s="1">
        <f t="shared" si="90"/>
        <v>0</v>
      </c>
      <c r="N940" t="b">
        <f t="shared" si="91"/>
        <v>0</v>
      </c>
      <c r="P940" s="17" cm="1">
        <f t="array" aca="1" ref="P940" ca="1">IndividualLegIVCore($A$4, Table13345[[#This Row],[Strike]], 0.0411, Table13345[[#This Row],[T]], ((Table13345[[#This Row],[BIDP]]+Table13345[[#This Row],[ASKP]])/2), FALSE)</f>
        <v>0.01</v>
      </c>
      <c r="Q940" t="b">
        <f>IF(     ISNUMBER(Table13345[[#This Row],[Strike]]),RTD("tos.rtd", , "BID", "."&amp;Table13345[[#This Row],[Ticker]]&amp;Table13345[[#This Row],[Expiry]]&amp;""&amp;"P"&amp;Table13345[[#This Row],[Strike]]))</f>
        <v>0</v>
      </c>
      <c r="R940" t="b">
        <f>IF(     ISNUMBER(Table13345[[#This Row],[Strike]]),RTD("tos.rtd", , "ASK", "."&amp;Table13345[[#This Row],[Ticker]]&amp;Table13345[[#This Row],[Expiry]]&amp;""&amp;"P"&amp;Table13345[[#This Row],[Strike]]))</f>
        <v>0</v>
      </c>
      <c r="S940" s="17"/>
      <c r="T940" t="b">
        <f>IF(     ISNUMBER(Table13345[[#This Row],[Strike]]),RTD("tos.rtd", , "OPEN_INT", "."&amp;Table13345[[#This Row],[Ticker]]&amp;Table13345[[#This Row],[Expiry]]&amp;""&amp;"P"&amp;Table13345[[#This Row],[Strike]]))</f>
        <v>0</v>
      </c>
      <c r="U94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0" t="b">
        <f>IF(     ISNUMBER(Table13345[[#This Row],[Strike]]),RTD("tos.rtd", , "DELTA", "."&amp;Table13345[[#This Row],[Ticker]]&amp;Table13345[[#This Row],[Expiry]]&amp;""&amp;"P"&amp;Table13345[[#This Row],[Strike]]))</f>
        <v>0</v>
      </c>
      <c r="Y940" s="19">
        <f>9* IF($M$1="NDX", 10, IF(OR($M$1="SPX", $M$1="RUT"), 2, 1))</f>
        <v>18</v>
      </c>
      <c r="Z940">
        <f ca="1">IFERROR(Table13345[[#This Row],[call gamma]]*(Table13345[[#This Row],[Open.Int]])*$A$4^2,0)</f>
        <v>0</v>
      </c>
      <c r="AA940">
        <f ca="1">IFERROR(((Table13345[[#This Row],[Open.Int8]])*Table13345[[#This Row],[Put gamma]])*-1*$A$4^2,0)</f>
        <v>0</v>
      </c>
      <c r="AB940">
        <f ca="1">(Table13345[[#This Row],[Call Gex]]+Table13345[[#This Row],[Put Gex]])</f>
        <v>0</v>
      </c>
      <c r="AC940">
        <f ca="1">Table13345[[#This Row],[put delta adj]]+Table13345[[#This Row],[call delta adj]]</f>
        <v>0</v>
      </c>
      <c r="AD940">
        <f ca="1">Table13345[[#This Row],[Put Gex]]*Table13345[[#This Row],[DeltaP]]*-1</f>
        <v>0</v>
      </c>
      <c r="AE940">
        <f ca="1">Table13345[[#This Row],[Call Gex]]*Table13345[[#This Row],[DeltaC]]</f>
        <v>0</v>
      </c>
      <c r="AF940">
        <f>IF(Table13345[[#This Row],[DeltaC]]-ABS(Table13345[[#This Row],[DeltaP]])="0","0.01",Table13345[[#This Row],[DeltaC]]-ABS(Table13345[[#This Row],[DeltaP]]))</f>
        <v>0</v>
      </c>
      <c r="AG94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0" t="e">
        <f ca="1">(EXP(-(AG940^2)/2)/SQRT(2*PI())*EXP(0*SQRT(Table13345[[#This Row],[T]]))/$A$4*18%*SQRT(SQRT(Table13345[[#This Row],[T]])))</f>
        <v>#DIV/0!</v>
      </c>
      <c r="AJ940" t="e">
        <f ca="1">(EXP(-(AH940^2)/2)/SQRT(2*PI())*EXP(0*SQRT(Table13345[[#This Row],[T]]))/$A$4*18%*SQRT(SQRT(Table13345[[#This Row],[T]])))</f>
        <v>#DIV/0!</v>
      </c>
      <c r="AK940" t="e">
        <f ca="1">Table13345[[#This Row],[Call D1]]-Table13345[[#This Row],[IV Calc C]]*SQRT(Table13345[[#This Row],[T]])</f>
        <v>#DIV/0!</v>
      </c>
      <c r="AL940" t="e">
        <f ca="1">Table13345[[#This Row],[Put D1]]-Table13345[[#This Row],[IV Calc P]]*SQRT(Table13345[[#This Row],[T]])</f>
        <v>#DIV/0!</v>
      </c>
      <c r="AM940" t="e">
        <f ca="1">EXP(-0.5*Table13345[[#This Row],[Call D1]]^2)/SQRT(2*PI())</f>
        <v>#DIV/0!</v>
      </c>
      <c r="AN940" t="e">
        <f ca="1">EXP(-0.5*Table13345[[#This Row],[Put D1]]^2)/SQRT(2*PI())</f>
        <v>#DIV/0!</v>
      </c>
      <c r="AO94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0">
        <f ca="1">((Table13345[[#This Row],[call vanna]]+Table13345[[#This Row],[put vanna]])*$A$4)</f>
        <v>0</v>
      </c>
      <c r="AR94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0" s="9" t="str" cm="1">
        <f t="array" ref="AT940">_xlfn.IFS(     $M$1="SPX","SPXW",     $M$1="RUT","RUTW",  $M$1="NDX","NDXP",   TRUE,$M$1 )</f>
        <v>SPXW</v>
      </c>
      <c r="AU940" s="2">
        <f t="shared" si="92"/>
        <v>6915</v>
      </c>
      <c r="AV940" t="str">
        <f t="shared" si="93"/>
        <v>000100</v>
      </c>
      <c r="AY94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0">
        <f>((Table13345[[#This Row],[High C]]+Table13345[[#This Row],[Low C]])/2)*Table13345[[#This Row],[gammac]]*Table13345[[#This Row],[Volume]]</f>
        <v>0</v>
      </c>
      <c r="BD940">
        <f>((Table13345[[#This Row],[High P]]+Table13345[[#This Row],[Low P]])/2)*Table13345[[#This Row],[gammap]]*Table13345[[#This Row],[Volume9]]*-1</f>
        <v>0</v>
      </c>
      <c r="BE940">
        <f>(Table13345[[#This Row],[SgammaC]]+Table13345[[#This Row],[SgammaP]])*$A$4*-100</f>
        <v>0</v>
      </c>
      <c r="BF940">
        <f>Table13345[[#This Row],[DEXc]]+Table13345[[#This Row],[DEXp]]</f>
        <v>0</v>
      </c>
      <c r="BG940">
        <f>IFERROR(Table13345[[#This Row],[DeltaC]]*Table13345[[#This Row],[Open.Int]]*$A$4,0)</f>
        <v>0</v>
      </c>
      <c r="BH940">
        <f>IFERROR(Table13345[[#This Row],[DeltaP]]*Table13345[[#This Row],[Open.Int8]]*$A$4,0)</f>
        <v>0</v>
      </c>
      <c r="BI94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0">
        <f ca="1">Table13345[[#This Row],[charmc]]+Table13345[[#This Row],[charmp]]</f>
        <v>0</v>
      </c>
      <c r="BL94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0" s="78">
        <f ca="1">Table13345[[#This Row],[call helper]]+Table13345[[#This Row],[put helper]]</f>
        <v>0</v>
      </c>
      <c r="BP940" t="str">
        <f>RTD("tos.rtd", , "STRIKE", "."&amp;Table13345[[#This Row],[Ticker]]&amp;Table13345[[#This Row],[Expiry]]&amp;""&amp;"C"&amp;Table13345[[#This Row],[Spot]]+Table13345[[#This Row],[step]])</f>
        <v>N/A</v>
      </c>
    </row>
    <row r="941" spans="1:68" x14ac:dyDescent="0.25">
      <c r="A941" s="14">
        <f t="shared" ca="1" si="89"/>
        <v>-126.14810350076104</v>
      </c>
      <c r="C941" s="17"/>
      <c r="D941" t="str">
        <f>RTD("tos.rtd", , "OPEN_INT", "."&amp;Table13345[[#This Row],[Ticker]]&amp;Table13345[[#This Row],[Expiry]]&amp;""&amp;"C"&amp;Table13345[[#This Row],[Spot]]+Table13345[[#This Row],[step]])</f>
        <v>N/A</v>
      </c>
      <c r="E94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1" t="b">
        <f>IF(     ISNUMBER(Table13345[[#This Row],[Strike]]),RTD("tos.rtd", , "DELTA", "."&amp;Table13345[[#This Row],[Ticker]]&amp;Table13345[[#This Row],[Expiry]]&amp;""&amp;"C"&amp;Table13345[[#This Row],[Strike]]))</f>
        <v>0</v>
      </c>
      <c r="H941" s="17" cm="1">
        <f t="array" aca="1" ref="H941" ca="1">IndividualLegIVCore($A$4, Table13345[[#This Row],[Strike]], 0.0411, Table13345[[#This Row],[T]], ((Table13345[[#This Row],[BIDC]]+Table13345[[#This Row],[ASKC]])/2), TRUE)</f>
        <v>0.01</v>
      </c>
      <c r="I941" t="b">
        <f>IF(     ISNUMBER(Table13345[[#This Row],[Strike]]),RTD("tos.rtd", , "BID", "."&amp;Table13345[[#This Row],[Ticker]]&amp;Table13345[[#This Row],[Expiry]]&amp;""&amp;"C"&amp;Table13345[[#This Row],[Strike]]))</f>
        <v>0</v>
      </c>
      <c r="J941" t="b">
        <f>IF(     ISNUMBER(Table13345[[#This Row],[Strike]]),RTD("tos.rtd", , "ASK", "."&amp;Table13345[[#This Row],[Ticker]]&amp;Table13345[[#This Row],[Expiry]]&amp;""&amp;"C"&amp;Table13345[[#This Row],[Strike]]))</f>
        <v>0</v>
      </c>
      <c r="K941" s="17"/>
      <c r="M941" s="1">
        <f t="shared" si="90"/>
        <v>0</v>
      </c>
      <c r="N941" t="b">
        <f t="shared" si="91"/>
        <v>0</v>
      </c>
      <c r="P941" s="17" cm="1">
        <f t="array" aca="1" ref="P941" ca="1">IndividualLegIVCore($A$4, Table13345[[#This Row],[Strike]], 0.0411, Table13345[[#This Row],[T]], ((Table13345[[#This Row],[BIDP]]+Table13345[[#This Row],[ASKP]])/2), FALSE)</f>
        <v>0.01</v>
      </c>
      <c r="Q941" t="b">
        <f>IF(     ISNUMBER(Table13345[[#This Row],[Strike]]),RTD("tos.rtd", , "BID", "."&amp;Table13345[[#This Row],[Ticker]]&amp;Table13345[[#This Row],[Expiry]]&amp;""&amp;"P"&amp;Table13345[[#This Row],[Strike]]))</f>
        <v>0</v>
      </c>
      <c r="R941" t="b">
        <f>IF(     ISNUMBER(Table13345[[#This Row],[Strike]]),RTD("tos.rtd", , "ASK", "."&amp;Table13345[[#This Row],[Ticker]]&amp;Table13345[[#This Row],[Expiry]]&amp;""&amp;"P"&amp;Table13345[[#This Row],[Strike]]))</f>
        <v>0</v>
      </c>
      <c r="S941" s="17"/>
      <c r="T941" t="b">
        <f>IF(     ISNUMBER(Table13345[[#This Row],[Strike]]),RTD("tos.rtd", , "OPEN_INT", "."&amp;Table13345[[#This Row],[Ticker]]&amp;Table13345[[#This Row],[Expiry]]&amp;""&amp;"P"&amp;Table13345[[#This Row],[Strike]]))</f>
        <v>0</v>
      </c>
      <c r="U94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1" t="b">
        <f>IF(     ISNUMBER(Table13345[[#This Row],[Strike]]),RTD("tos.rtd", , "DELTA", "."&amp;Table13345[[#This Row],[Ticker]]&amp;Table13345[[#This Row],[Expiry]]&amp;""&amp;"P"&amp;Table13345[[#This Row],[Strike]]))</f>
        <v>0</v>
      </c>
      <c r="Y941" s="19">
        <f>9.5* IF($M$1="NDX", 10, IF(OR($M$1="SPX", $M$1="RUT"), 2, 1))</f>
        <v>19</v>
      </c>
      <c r="Z941">
        <f ca="1">IFERROR(Table13345[[#This Row],[call gamma]]*(Table13345[[#This Row],[Open.Int]])*$A$4^2,0)</f>
        <v>0</v>
      </c>
      <c r="AA941">
        <f ca="1">IFERROR(((Table13345[[#This Row],[Open.Int8]])*Table13345[[#This Row],[Put gamma]])*-1*$A$4^2,0)</f>
        <v>0</v>
      </c>
      <c r="AB941">
        <f ca="1">(Table13345[[#This Row],[Call Gex]]+Table13345[[#This Row],[Put Gex]])</f>
        <v>0</v>
      </c>
      <c r="AC941">
        <f ca="1">Table13345[[#This Row],[put delta adj]]+Table13345[[#This Row],[call delta adj]]</f>
        <v>0</v>
      </c>
      <c r="AD941">
        <f ca="1">Table13345[[#This Row],[Put Gex]]*Table13345[[#This Row],[DeltaP]]*-1</f>
        <v>0</v>
      </c>
      <c r="AE941">
        <f ca="1">Table13345[[#This Row],[Call Gex]]*Table13345[[#This Row],[DeltaC]]</f>
        <v>0</v>
      </c>
      <c r="AF941">
        <f>IF(Table13345[[#This Row],[DeltaC]]-ABS(Table13345[[#This Row],[DeltaP]])="0","0.01",Table13345[[#This Row],[DeltaC]]-ABS(Table13345[[#This Row],[DeltaP]]))</f>
        <v>0</v>
      </c>
      <c r="AG94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1" t="e">
        <f ca="1">(EXP(-(AG941^2)/2)/SQRT(2*PI())*EXP(0*SQRT(Table13345[[#This Row],[T]]))/$A$4*18%*SQRT(SQRT(Table13345[[#This Row],[T]])))</f>
        <v>#DIV/0!</v>
      </c>
      <c r="AJ941" t="e">
        <f ca="1">(EXP(-(AH941^2)/2)/SQRT(2*PI())*EXP(0*SQRT(Table13345[[#This Row],[T]]))/$A$4*18%*SQRT(SQRT(Table13345[[#This Row],[T]])))</f>
        <v>#DIV/0!</v>
      </c>
      <c r="AK941" t="e">
        <f ca="1">Table13345[[#This Row],[Call D1]]-Table13345[[#This Row],[IV Calc C]]*SQRT(Table13345[[#This Row],[T]])</f>
        <v>#DIV/0!</v>
      </c>
      <c r="AL941" t="e">
        <f ca="1">Table13345[[#This Row],[Put D1]]-Table13345[[#This Row],[IV Calc P]]*SQRT(Table13345[[#This Row],[T]])</f>
        <v>#DIV/0!</v>
      </c>
      <c r="AM941" t="e">
        <f ca="1">EXP(-0.5*Table13345[[#This Row],[Call D1]]^2)/SQRT(2*PI())</f>
        <v>#DIV/0!</v>
      </c>
      <c r="AN941" t="e">
        <f ca="1">EXP(-0.5*Table13345[[#This Row],[Put D1]]^2)/SQRT(2*PI())</f>
        <v>#DIV/0!</v>
      </c>
      <c r="AO94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1">
        <f ca="1">((Table13345[[#This Row],[call vanna]]+Table13345[[#This Row],[put vanna]])*$A$4)</f>
        <v>0</v>
      </c>
      <c r="AR94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1" s="9" t="str" cm="1">
        <f t="array" ref="AT941">_xlfn.IFS(     $M$1="SPX","SPXW",     $M$1="RUT","RUTW",  $M$1="NDX","NDXP",   TRUE,$M$1 )</f>
        <v>SPXW</v>
      </c>
      <c r="AU941" s="2">
        <f t="shared" si="92"/>
        <v>6915</v>
      </c>
      <c r="AV941" t="str">
        <f t="shared" si="93"/>
        <v>000100</v>
      </c>
      <c r="AY94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1">
        <f>((Table13345[[#This Row],[High C]]+Table13345[[#This Row],[Low C]])/2)*Table13345[[#This Row],[gammac]]*Table13345[[#This Row],[Volume]]</f>
        <v>0</v>
      </c>
      <c r="BD941">
        <f>((Table13345[[#This Row],[High P]]+Table13345[[#This Row],[Low P]])/2)*Table13345[[#This Row],[gammap]]*Table13345[[#This Row],[Volume9]]*-1</f>
        <v>0</v>
      </c>
      <c r="BE941">
        <f>(Table13345[[#This Row],[SgammaC]]+Table13345[[#This Row],[SgammaP]])*$A$4*-100</f>
        <v>0</v>
      </c>
      <c r="BF941">
        <f>Table13345[[#This Row],[DEXc]]+Table13345[[#This Row],[DEXp]]</f>
        <v>0</v>
      </c>
      <c r="BG941">
        <f>IFERROR(Table13345[[#This Row],[DeltaC]]*Table13345[[#This Row],[Open.Int]]*$A$4,0)</f>
        <v>0</v>
      </c>
      <c r="BH941">
        <f>IFERROR(Table13345[[#This Row],[DeltaP]]*Table13345[[#This Row],[Open.Int8]]*$A$4,0)</f>
        <v>0</v>
      </c>
      <c r="BI94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1">
        <f ca="1">Table13345[[#This Row],[charmc]]+Table13345[[#This Row],[charmp]]</f>
        <v>0</v>
      </c>
      <c r="BL94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1" s="78">
        <f ca="1">Table13345[[#This Row],[call helper]]+Table13345[[#This Row],[put helper]]</f>
        <v>0</v>
      </c>
      <c r="BP941" t="str">
        <f>RTD("tos.rtd", , "STRIKE", "."&amp;Table13345[[#This Row],[Ticker]]&amp;Table13345[[#This Row],[Expiry]]&amp;""&amp;"C"&amp;Table13345[[#This Row],[Spot]]+Table13345[[#This Row],[step]])</f>
        <v>N/A</v>
      </c>
    </row>
    <row r="942" spans="1:68" x14ac:dyDescent="0.25">
      <c r="A942" s="14">
        <f t="shared" ca="1" si="89"/>
        <v>-126.14810350076104</v>
      </c>
      <c r="C942" s="17"/>
      <c r="D942" t="str">
        <f>RTD("tos.rtd", , "OPEN_INT", "."&amp;Table13345[[#This Row],[Ticker]]&amp;Table13345[[#This Row],[Expiry]]&amp;""&amp;"C"&amp;Table13345[[#This Row],[Spot]]+Table13345[[#This Row],[step]])</f>
        <v>N/A</v>
      </c>
      <c r="E94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2" t="b">
        <f>IF(     ISNUMBER(Table13345[[#This Row],[Strike]]),RTD("tos.rtd", , "DELTA", "."&amp;Table13345[[#This Row],[Ticker]]&amp;Table13345[[#This Row],[Expiry]]&amp;""&amp;"C"&amp;Table13345[[#This Row],[Strike]]))</f>
        <v>0</v>
      </c>
      <c r="H942" s="17" cm="1">
        <f t="array" aca="1" ref="H942" ca="1">IndividualLegIVCore($A$4, Table13345[[#This Row],[Strike]], 0.0411, Table13345[[#This Row],[T]], ((Table13345[[#This Row],[BIDC]]+Table13345[[#This Row],[ASKC]])/2), TRUE)</f>
        <v>0.01</v>
      </c>
      <c r="I942" t="b">
        <f>IF(     ISNUMBER(Table13345[[#This Row],[Strike]]),RTD("tos.rtd", , "BID", "."&amp;Table13345[[#This Row],[Ticker]]&amp;Table13345[[#This Row],[Expiry]]&amp;""&amp;"C"&amp;Table13345[[#This Row],[Strike]]))</f>
        <v>0</v>
      </c>
      <c r="J942" t="b">
        <f>IF(     ISNUMBER(Table13345[[#This Row],[Strike]]),RTD("tos.rtd", , "ASK", "."&amp;Table13345[[#This Row],[Ticker]]&amp;Table13345[[#This Row],[Expiry]]&amp;""&amp;"C"&amp;Table13345[[#This Row],[Strike]]))</f>
        <v>0</v>
      </c>
      <c r="K942" s="17"/>
      <c r="M942" s="1">
        <f t="shared" si="90"/>
        <v>0</v>
      </c>
      <c r="N942" t="b">
        <f t="shared" si="91"/>
        <v>0</v>
      </c>
      <c r="P942" s="17" cm="1">
        <f t="array" aca="1" ref="P942" ca="1">IndividualLegIVCore($A$4, Table13345[[#This Row],[Strike]], 0.0411, Table13345[[#This Row],[T]], ((Table13345[[#This Row],[BIDP]]+Table13345[[#This Row],[ASKP]])/2), FALSE)</f>
        <v>0.01</v>
      </c>
      <c r="Q942" t="b">
        <f>IF(     ISNUMBER(Table13345[[#This Row],[Strike]]),RTD("tos.rtd", , "BID", "."&amp;Table13345[[#This Row],[Ticker]]&amp;Table13345[[#This Row],[Expiry]]&amp;""&amp;"P"&amp;Table13345[[#This Row],[Strike]]))</f>
        <v>0</v>
      </c>
      <c r="R942" t="b">
        <f>IF(     ISNUMBER(Table13345[[#This Row],[Strike]]),RTD("tos.rtd", , "ASK", "."&amp;Table13345[[#This Row],[Ticker]]&amp;Table13345[[#This Row],[Expiry]]&amp;""&amp;"P"&amp;Table13345[[#This Row],[Strike]]))</f>
        <v>0</v>
      </c>
      <c r="S942" s="17"/>
      <c r="T942" t="b">
        <f>IF(     ISNUMBER(Table13345[[#This Row],[Strike]]),RTD("tos.rtd", , "OPEN_INT", "."&amp;Table13345[[#This Row],[Ticker]]&amp;Table13345[[#This Row],[Expiry]]&amp;""&amp;"P"&amp;Table13345[[#This Row],[Strike]]))</f>
        <v>0</v>
      </c>
      <c r="U94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2" t="b">
        <f>IF(     ISNUMBER(Table13345[[#This Row],[Strike]]),RTD("tos.rtd", , "DELTA", "."&amp;Table13345[[#This Row],[Ticker]]&amp;Table13345[[#This Row],[Expiry]]&amp;""&amp;"P"&amp;Table13345[[#This Row],[Strike]]))</f>
        <v>0</v>
      </c>
      <c r="Y942" s="19">
        <f>10* IF($M$1="NDX", 10, IF(OR($M$1="SPX", $M$1="RUT"), 2, 1))</f>
        <v>20</v>
      </c>
      <c r="Z942">
        <f ca="1">IFERROR(Table13345[[#This Row],[call gamma]]*(Table13345[[#This Row],[Open.Int]])*$A$4^2,0)</f>
        <v>0</v>
      </c>
      <c r="AA942">
        <f ca="1">IFERROR(((Table13345[[#This Row],[Open.Int8]])*Table13345[[#This Row],[Put gamma]])*-1*$A$4^2,0)</f>
        <v>0</v>
      </c>
      <c r="AB942">
        <f ca="1">(Table13345[[#This Row],[Call Gex]]+Table13345[[#This Row],[Put Gex]])</f>
        <v>0</v>
      </c>
      <c r="AC942">
        <f ca="1">Table13345[[#This Row],[put delta adj]]+Table13345[[#This Row],[call delta adj]]</f>
        <v>0</v>
      </c>
      <c r="AD942">
        <f ca="1">Table13345[[#This Row],[Put Gex]]*Table13345[[#This Row],[DeltaP]]*-1</f>
        <v>0</v>
      </c>
      <c r="AE942">
        <f ca="1">Table13345[[#This Row],[Call Gex]]*Table13345[[#This Row],[DeltaC]]</f>
        <v>0</v>
      </c>
      <c r="AF942">
        <f>IF(Table13345[[#This Row],[DeltaC]]-ABS(Table13345[[#This Row],[DeltaP]])="0","0.01",Table13345[[#This Row],[DeltaC]]-ABS(Table13345[[#This Row],[DeltaP]]))</f>
        <v>0</v>
      </c>
      <c r="AG94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2" t="e">
        <f ca="1">(EXP(-(AG942^2)/2)/SQRT(2*PI())*EXP(0*SQRT(Table13345[[#This Row],[T]]))/$A$4*18%*SQRT(SQRT(Table13345[[#This Row],[T]])))</f>
        <v>#DIV/0!</v>
      </c>
      <c r="AJ942" t="e">
        <f ca="1">(EXP(-(AH942^2)/2)/SQRT(2*PI())*EXP(0*SQRT(Table13345[[#This Row],[T]]))/$A$4*18%*SQRT(SQRT(Table13345[[#This Row],[T]])))</f>
        <v>#DIV/0!</v>
      </c>
      <c r="AK942" t="e">
        <f ca="1">Table13345[[#This Row],[Call D1]]-Table13345[[#This Row],[IV Calc C]]*SQRT(Table13345[[#This Row],[T]])</f>
        <v>#DIV/0!</v>
      </c>
      <c r="AL942" t="e">
        <f ca="1">Table13345[[#This Row],[Put D1]]-Table13345[[#This Row],[IV Calc P]]*SQRT(Table13345[[#This Row],[T]])</f>
        <v>#DIV/0!</v>
      </c>
      <c r="AM942" t="e">
        <f ca="1">EXP(-0.5*Table13345[[#This Row],[Call D1]]^2)/SQRT(2*PI())</f>
        <v>#DIV/0!</v>
      </c>
      <c r="AN942" t="e">
        <f ca="1">EXP(-0.5*Table13345[[#This Row],[Put D1]]^2)/SQRT(2*PI())</f>
        <v>#DIV/0!</v>
      </c>
      <c r="AO94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2">
        <f ca="1">((Table13345[[#This Row],[call vanna]]+Table13345[[#This Row],[put vanna]])*$A$4)</f>
        <v>0</v>
      </c>
      <c r="AR94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2" s="9" t="str" cm="1">
        <f t="array" ref="AT942">_xlfn.IFS(     $M$1="SPX","SPXW",     $M$1="RUT","RUTW",  $M$1="NDX","NDXP",   TRUE,$M$1 )</f>
        <v>SPXW</v>
      </c>
      <c r="AU942" s="2">
        <f t="shared" si="92"/>
        <v>6915</v>
      </c>
      <c r="AV942" t="str">
        <f t="shared" si="93"/>
        <v>000100</v>
      </c>
      <c r="AY94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2">
        <f>((Table13345[[#This Row],[High C]]+Table13345[[#This Row],[Low C]])/2)*Table13345[[#This Row],[gammac]]*Table13345[[#This Row],[Volume]]</f>
        <v>0</v>
      </c>
      <c r="BD942">
        <f>((Table13345[[#This Row],[High P]]+Table13345[[#This Row],[Low P]])/2)*Table13345[[#This Row],[gammap]]*Table13345[[#This Row],[Volume9]]*-1</f>
        <v>0</v>
      </c>
      <c r="BE942">
        <f>(Table13345[[#This Row],[SgammaC]]+Table13345[[#This Row],[SgammaP]])*$A$4*-100</f>
        <v>0</v>
      </c>
      <c r="BF942">
        <f>Table13345[[#This Row],[DEXc]]+Table13345[[#This Row],[DEXp]]</f>
        <v>0</v>
      </c>
      <c r="BG942">
        <f>IFERROR(Table13345[[#This Row],[DeltaC]]*Table13345[[#This Row],[Open.Int]]*$A$4,0)</f>
        <v>0</v>
      </c>
      <c r="BH942">
        <f>IFERROR(Table13345[[#This Row],[DeltaP]]*Table13345[[#This Row],[Open.Int8]]*$A$4,0)</f>
        <v>0</v>
      </c>
      <c r="BI94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2">
        <f ca="1">Table13345[[#This Row],[charmc]]+Table13345[[#This Row],[charmp]]</f>
        <v>0</v>
      </c>
      <c r="BL94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2" s="78">
        <f ca="1">Table13345[[#This Row],[call helper]]+Table13345[[#This Row],[put helper]]</f>
        <v>0</v>
      </c>
      <c r="BP942" t="str">
        <f>RTD("tos.rtd", , "STRIKE", "."&amp;Table13345[[#This Row],[Ticker]]&amp;Table13345[[#This Row],[Expiry]]&amp;""&amp;"C"&amp;Table13345[[#This Row],[Spot]]+Table13345[[#This Row],[step]])</f>
        <v>N/A</v>
      </c>
    </row>
    <row r="943" spans="1:68" x14ac:dyDescent="0.25">
      <c r="A943" s="14">
        <f t="shared" ca="1" si="89"/>
        <v>-126.14810350076104</v>
      </c>
      <c r="C943" s="17"/>
      <c r="D943" t="str">
        <f>RTD("tos.rtd", , "OPEN_INT", "."&amp;Table13345[[#This Row],[Ticker]]&amp;Table13345[[#This Row],[Expiry]]&amp;""&amp;"C"&amp;Table13345[[#This Row],[Spot]]+Table13345[[#This Row],[step]])</f>
        <v>N/A</v>
      </c>
      <c r="E94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3" t="b">
        <f>IF(     ISNUMBER(Table13345[[#This Row],[Strike]]),RTD("tos.rtd", , "DELTA", "."&amp;Table13345[[#This Row],[Ticker]]&amp;Table13345[[#This Row],[Expiry]]&amp;""&amp;"C"&amp;Table13345[[#This Row],[Strike]]))</f>
        <v>0</v>
      </c>
      <c r="H943" s="17" cm="1">
        <f t="array" aca="1" ref="H943" ca="1">IndividualLegIVCore($A$4, Table13345[[#This Row],[Strike]], 0.0411, Table13345[[#This Row],[T]], ((Table13345[[#This Row],[BIDC]]+Table13345[[#This Row],[ASKC]])/2), TRUE)</f>
        <v>0.01</v>
      </c>
      <c r="I943" t="b">
        <f>IF(     ISNUMBER(Table13345[[#This Row],[Strike]]),RTD("tos.rtd", , "BID", "."&amp;Table13345[[#This Row],[Ticker]]&amp;Table13345[[#This Row],[Expiry]]&amp;""&amp;"C"&amp;Table13345[[#This Row],[Strike]]))</f>
        <v>0</v>
      </c>
      <c r="J943" t="b">
        <f>IF(     ISNUMBER(Table13345[[#This Row],[Strike]]),RTD("tos.rtd", , "ASK", "."&amp;Table13345[[#This Row],[Ticker]]&amp;Table13345[[#This Row],[Expiry]]&amp;""&amp;"C"&amp;Table13345[[#This Row],[Strike]]))</f>
        <v>0</v>
      </c>
      <c r="K943" s="17"/>
      <c r="M943" s="1">
        <f t="shared" si="90"/>
        <v>0</v>
      </c>
      <c r="N943" t="b">
        <f t="shared" si="91"/>
        <v>0</v>
      </c>
      <c r="P943" s="17" cm="1">
        <f t="array" aca="1" ref="P943" ca="1">IndividualLegIVCore($A$4, Table13345[[#This Row],[Strike]], 0.0411, Table13345[[#This Row],[T]], ((Table13345[[#This Row],[BIDP]]+Table13345[[#This Row],[ASKP]])/2), FALSE)</f>
        <v>0.01</v>
      </c>
      <c r="Q943" t="b">
        <f>IF(     ISNUMBER(Table13345[[#This Row],[Strike]]),RTD("tos.rtd", , "BID", "."&amp;Table13345[[#This Row],[Ticker]]&amp;Table13345[[#This Row],[Expiry]]&amp;""&amp;"P"&amp;Table13345[[#This Row],[Strike]]))</f>
        <v>0</v>
      </c>
      <c r="R943" t="b">
        <f>IF(     ISNUMBER(Table13345[[#This Row],[Strike]]),RTD("tos.rtd", , "ASK", "."&amp;Table13345[[#This Row],[Ticker]]&amp;Table13345[[#This Row],[Expiry]]&amp;""&amp;"P"&amp;Table13345[[#This Row],[Strike]]))</f>
        <v>0</v>
      </c>
      <c r="S943" s="17"/>
      <c r="T943" t="b">
        <f>IF(     ISNUMBER(Table13345[[#This Row],[Strike]]),RTD("tos.rtd", , "OPEN_INT", "."&amp;Table13345[[#This Row],[Ticker]]&amp;Table13345[[#This Row],[Expiry]]&amp;""&amp;"P"&amp;Table13345[[#This Row],[Strike]]))</f>
        <v>0</v>
      </c>
      <c r="U94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3" t="b">
        <f>IF(     ISNUMBER(Table13345[[#This Row],[Strike]]),RTD("tos.rtd", , "DELTA", "."&amp;Table13345[[#This Row],[Ticker]]&amp;Table13345[[#This Row],[Expiry]]&amp;""&amp;"P"&amp;Table13345[[#This Row],[Strike]]))</f>
        <v>0</v>
      </c>
      <c r="Y943" s="19">
        <f>10.5* IF($M$1="NDX", 10, IF(OR($M$1="SPX", $M$1="RUT"), 2, 1))</f>
        <v>21</v>
      </c>
      <c r="Z943">
        <f ca="1">IFERROR(Table13345[[#This Row],[call gamma]]*(Table13345[[#This Row],[Open.Int]])*$A$4^2,0)</f>
        <v>0</v>
      </c>
      <c r="AA943">
        <f ca="1">IFERROR(((Table13345[[#This Row],[Open.Int8]])*Table13345[[#This Row],[Put gamma]])*-1*$A$4^2,0)</f>
        <v>0</v>
      </c>
      <c r="AB943">
        <f ca="1">(Table13345[[#This Row],[Call Gex]]+Table13345[[#This Row],[Put Gex]])</f>
        <v>0</v>
      </c>
      <c r="AC943">
        <f ca="1">Table13345[[#This Row],[put delta adj]]+Table13345[[#This Row],[call delta adj]]</f>
        <v>0</v>
      </c>
      <c r="AD943">
        <f ca="1">Table13345[[#This Row],[Put Gex]]*Table13345[[#This Row],[DeltaP]]*-1</f>
        <v>0</v>
      </c>
      <c r="AE943">
        <f ca="1">Table13345[[#This Row],[Call Gex]]*Table13345[[#This Row],[DeltaC]]</f>
        <v>0</v>
      </c>
      <c r="AF943">
        <f>IF(Table13345[[#This Row],[DeltaC]]-ABS(Table13345[[#This Row],[DeltaP]])="0","0.01",Table13345[[#This Row],[DeltaC]]-ABS(Table13345[[#This Row],[DeltaP]]))</f>
        <v>0</v>
      </c>
      <c r="AG94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3" t="e">
        <f ca="1">(EXP(-(AG943^2)/2)/SQRT(2*PI())*EXP(0*SQRT(Table13345[[#This Row],[T]]))/$A$4*18%*SQRT(SQRT(Table13345[[#This Row],[T]])))</f>
        <v>#DIV/0!</v>
      </c>
      <c r="AJ943" t="e">
        <f ca="1">(EXP(-(AH943^2)/2)/SQRT(2*PI())*EXP(0*SQRT(Table13345[[#This Row],[T]]))/$A$4*18%*SQRT(SQRT(Table13345[[#This Row],[T]])))</f>
        <v>#DIV/0!</v>
      </c>
      <c r="AK943" t="e">
        <f ca="1">Table13345[[#This Row],[Call D1]]-Table13345[[#This Row],[IV Calc C]]*SQRT(Table13345[[#This Row],[T]])</f>
        <v>#DIV/0!</v>
      </c>
      <c r="AL943" t="e">
        <f ca="1">Table13345[[#This Row],[Put D1]]-Table13345[[#This Row],[IV Calc P]]*SQRT(Table13345[[#This Row],[T]])</f>
        <v>#DIV/0!</v>
      </c>
      <c r="AM943" t="e">
        <f ca="1">EXP(-0.5*Table13345[[#This Row],[Call D1]]^2)/SQRT(2*PI())</f>
        <v>#DIV/0!</v>
      </c>
      <c r="AN943" t="e">
        <f ca="1">EXP(-0.5*Table13345[[#This Row],[Put D1]]^2)/SQRT(2*PI())</f>
        <v>#DIV/0!</v>
      </c>
      <c r="AO94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3">
        <f ca="1">((Table13345[[#This Row],[call vanna]]+Table13345[[#This Row],[put vanna]])*$A$4)</f>
        <v>0</v>
      </c>
      <c r="AR94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3" s="9" t="str" cm="1">
        <f t="array" ref="AT943">_xlfn.IFS(     $M$1="SPX","SPXW",     $M$1="RUT","RUTW",  $M$1="NDX","NDXP",   TRUE,$M$1 )</f>
        <v>SPXW</v>
      </c>
      <c r="AU943" s="2">
        <f t="shared" si="92"/>
        <v>6915</v>
      </c>
      <c r="AV943" t="str">
        <f t="shared" si="93"/>
        <v>000100</v>
      </c>
      <c r="AY94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3">
        <f>((Table13345[[#This Row],[High C]]+Table13345[[#This Row],[Low C]])/2)*Table13345[[#This Row],[gammac]]*Table13345[[#This Row],[Volume]]</f>
        <v>0</v>
      </c>
      <c r="BD943">
        <f>((Table13345[[#This Row],[High P]]+Table13345[[#This Row],[Low P]])/2)*Table13345[[#This Row],[gammap]]*Table13345[[#This Row],[Volume9]]*-1</f>
        <v>0</v>
      </c>
      <c r="BE943">
        <f>(Table13345[[#This Row],[SgammaC]]+Table13345[[#This Row],[SgammaP]])*$A$4*-100</f>
        <v>0</v>
      </c>
      <c r="BF943">
        <f>Table13345[[#This Row],[DEXc]]+Table13345[[#This Row],[DEXp]]</f>
        <v>0</v>
      </c>
      <c r="BG943">
        <f>IFERROR(Table13345[[#This Row],[DeltaC]]*Table13345[[#This Row],[Open.Int]]*$A$4,0)</f>
        <v>0</v>
      </c>
      <c r="BH943">
        <f>IFERROR(Table13345[[#This Row],[DeltaP]]*Table13345[[#This Row],[Open.Int8]]*$A$4,0)</f>
        <v>0</v>
      </c>
      <c r="BI94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3">
        <f ca="1">Table13345[[#This Row],[charmc]]+Table13345[[#This Row],[charmp]]</f>
        <v>0</v>
      </c>
      <c r="BL94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3" s="78">
        <f ca="1">Table13345[[#This Row],[call helper]]+Table13345[[#This Row],[put helper]]</f>
        <v>0</v>
      </c>
      <c r="BP943" t="str">
        <f>RTD("tos.rtd", , "STRIKE", "."&amp;Table13345[[#This Row],[Ticker]]&amp;Table13345[[#This Row],[Expiry]]&amp;""&amp;"C"&amp;Table13345[[#This Row],[Spot]]+Table13345[[#This Row],[step]])</f>
        <v>N/A</v>
      </c>
    </row>
    <row r="944" spans="1:68" x14ac:dyDescent="0.25">
      <c r="A944" s="14">
        <f t="shared" ca="1" si="89"/>
        <v>-126.14810350076104</v>
      </c>
      <c r="C944" s="17"/>
      <c r="D944" t="str">
        <f>RTD("tos.rtd", , "OPEN_INT", "."&amp;Table13345[[#This Row],[Ticker]]&amp;Table13345[[#This Row],[Expiry]]&amp;""&amp;"C"&amp;Table13345[[#This Row],[Spot]]+Table13345[[#This Row],[step]])</f>
        <v>N/A</v>
      </c>
      <c r="E94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4" t="b">
        <f>IF(     ISNUMBER(Table13345[[#This Row],[Strike]]),RTD("tos.rtd", , "DELTA", "."&amp;Table13345[[#This Row],[Ticker]]&amp;Table13345[[#This Row],[Expiry]]&amp;""&amp;"C"&amp;Table13345[[#This Row],[Strike]]))</f>
        <v>0</v>
      </c>
      <c r="H944" s="17" cm="1">
        <f t="array" aca="1" ref="H944" ca="1">IndividualLegIVCore($A$4, Table13345[[#This Row],[Strike]], 0.0411, Table13345[[#This Row],[T]], ((Table13345[[#This Row],[BIDC]]+Table13345[[#This Row],[ASKC]])/2), TRUE)</f>
        <v>0.01</v>
      </c>
      <c r="I944" t="b">
        <f>IF(     ISNUMBER(Table13345[[#This Row],[Strike]]),RTD("tos.rtd", , "BID", "."&amp;Table13345[[#This Row],[Ticker]]&amp;Table13345[[#This Row],[Expiry]]&amp;""&amp;"C"&amp;Table13345[[#This Row],[Strike]]))</f>
        <v>0</v>
      </c>
      <c r="J944" t="b">
        <f>IF(     ISNUMBER(Table13345[[#This Row],[Strike]]),RTD("tos.rtd", , "ASK", "."&amp;Table13345[[#This Row],[Ticker]]&amp;Table13345[[#This Row],[Expiry]]&amp;""&amp;"C"&amp;Table13345[[#This Row],[Strike]]))</f>
        <v>0</v>
      </c>
      <c r="K944" s="17"/>
      <c r="M944" s="1">
        <f t="shared" si="90"/>
        <v>0</v>
      </c>
      <c r="N944" t="b">
        <f t="shared" si="91"/>
        <v>0</v>
      </c>
      <c r="P944" s="17" cm="1">
        <f t="array" aca="1" ref="P944" ca="1">IndividualLegIVCore($A$4, Table13345[[#This Row],[Strike]], 0.0411, Table13345[[#This Row],[T]], ((Table13345[[#This Row],[BIDP]]+Table13345[[#This Row],[ASKP]])/2), FALSE)</f>
        <v>0.01</v>
      </c>
      <c r="Q944" t="b">
        <f>IF(     ISNUMBER(Table13345[[#This Row],[Strike]]),RTD("tos.rtd", , "BID", "."&amp;Table13345[[#This Row],[Ticker]]&amp;Table13345[[#This Row],[Expiry]]&amp;""&amp;"P"&amp;Table13345[[#This Row],[Strike]]))</f>
        <v>0</v>
      </c>
      <c r="R944" t="b">
        <f>IF(     ISNUMBER(Table13345[[#This Row],[Strike]]),RTD("tos.rtd", , "ASK", "."&amp;Table13345[[#This Row],[Ticker]]&amp;Table13345[[#This Row],[Expiry]]&amp;""&amp;"P"&amp;Table13345[[#This Row],[Strike]]))</f>
        <v>0</v>
      </c>
      <c r="S944" s="17"/>
      <c r="T944" t="b">
        <f>IF(     ISNUMBER(Table13345[[#This Row],[Strike]]),RTD("tos.rtd", , "OPEN_INT", "."&amp;Table13345[[#This Row],[Ticker]]&amp;Table13345[[#This Row],[Expiry]]&amp;""&amp;"P"&amp;Table13345[[#This Row],[Strike]]))</f>
        <v>0</v>
      </c>
      <c r="U94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4" t="b">
        <f>IF(     ISNUMBER(Table13345[[#This Row],[Strike]]),RTD("tos.rtd", , "DELTA", "."&amp;Table13345[[#This Row],[Ticker]]&amp;Table13345[[#This Row],[Expiry]]&amp;""&amp;"P"&amp;Table13345[[#This Row],[Strike]]))</f>
        <v>0</v>
      </c>
      <c r="Y944" s="19">
        <f>11* IF($M$1="NDX", 10, IF(OR($M$1="SPX", $M$1="RUT"), 2, 1))</f>
        <v>22</v>
      </c>
      <c r="Z944">
        <f ca="1">IFERROR(Table13345[[#This Row],[call gamma]]*(Table13345[[#This Row],[Open.Int]])*$A$4^2,0)</f>
        <v>0</v>
      </c>
      <c r="AA944">
        <f ca="1">IFERROR(((Table13345[[#This Row],[Open.Int8]])*Table13345[[#This Row],[Put gamma]])*-1*$A$4^2,0)</f>
        <v>0</v>
      </c>
      <c r="AB944">
        <f ca="1">(Table13345[[#This Row],[Call Gex]]+Table13345[[#This Row],[Put Gex]])</f>
        <v>0</v>
      </c>
      <c r="AC944">
        <f ca="1">Table13345[[#This Row],[put delta adj]]+Table13345[[#This Row],[call delta adj]]</f>
        <v>0</v>
      </c>
      <c r="AD944">
        <f ca="1">Table13345[[#This Row],[Put Gex]]*Table13345[[#This Row],[DeltaP]]*-1</f>
        <v>0</v>
      </c>
      <c r="AE944">
        <f ca="1">Table13345[[#This Row],[Call Gex]]*Table13345[[#This Row],[DeltaC]]</f>
        <v>0</v>
      </c>
      <c r="AF944">
        <f>IF(Table13345[[#This Row],[DeltaC]]-ABS(Table13345[[#This Row],[DeltaP]])="0","0.01",Table13345[[#This Row],[DeltaC]]-ABS(Table13345[[#This Row],[DeltaP]]))</f>
        <v>0</v>
      </c>
      <c r="AG94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4" t="e">
        <f ca="1">(EXP(-(AG944^2)/2)/SQRT(2*PI())*EXP(0*SQRT(Table13345[[#This Row],[T]]))/$A$4*18%*SQRT(SQRT(Table13345[[#This Row],[T]])))</f>
        <v>#DIV/0!</v>
      </c>
      <c r="AJ944" t="e">
        <f ca="1">(EXP(-(AH944^2)/2)/SQRT(2*PI())*EXP(0*SQRT(Table13345[[#This Row],[T]]))/$A$4*18%*SQRT(SQRT(Table13345[[#This Row],[T]])))</f>
        <v>#DIV/0!</v>
      </c>
      <c r="AK944" t="e">
        <f ca="1">Table13345[[#This Row],[Call D1]]-Table13345[[#This Row],[IV Calc C]]*SQRT(Table13345[[#This Row],[T]])</f>
        <v>#DIV/0!</v>
      </c>
      <c r="AL944" t="e">
        <f ca="1">Table13345[[#This Row],[Put D1]]-Table13345[[#This Row],[IV Calc P]]*SQRT(Table13345[[#This Row],[T]])</f>
        <v>#DIV/0!</v>
      </c>
      <c r="AM944" t="e">
        <f ca="1">EXP(-0.5*Table13345[[#This Row],[Call D1]]^2)/SQRT(2*PI())</f>
        <v>#DIV/0!</v>
      </c>
      <c r="AN944" t="e">
        <f ca="1">EXP(-0.5*Table13345[[#This Row],[Put D1]]^2)/SQRT(2*PI())</f>
        <v>#DIV/0!</v>
      </c>
      <c r="AO94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4">
        <f ca="1">((Table13345[[#This Row],[call vanna]]+Table13345[[#This Row],[put vanna]])*$A$4)</f>
        <v>0</v>
      </c>
      <c r="AR94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4" s="9" t="str" cm="1">
        <f t="array" ref="AT944">_xlfn.IFS(     $M$1="SPX","SPXW",     $M$1="RUT","RUTW",  $M$1="NDX","NDXP",   TRUE,$M$1 )</f>
        <v>SPXW</v>
      </c>
      <c r="AU944" s="2">
        <f t="shared" si="92"/>
        <v>6915</v>
      </c>
      <c r="AV944" t="str">
        <f t="shared" si="93"/>
        <v>000100</v>
      </c>
      <c r="AY94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4">
        <f>((Table13345[[#This Row],[High C]]+Table13345[[#This Row],[Low C]])/2)*Table13345[[#This Row],[gammac]]*Table13345[[#This Row],[Volume]]</f>
        <v>0</v>
      </c>
      <c r="BD944">
        <f>((Table13345[[#This Row],[High P]]+Table13345[[#This Row],[Low P]])/2)*Table13345[[#This Row],[gammap]]*Table13345[[#This Row],[Volume9]]*-1</f>
        <v>0</v>
      </c>
      <c r="BE944">
        <f>(Table13345[[#This Row],[SgammaC]]+Table13345[[#This Row],[SgammaP]])*$A$4*-100</f>
        <v>0</v>
      </c>
      <c r="BF944">
        <f>Table13345[[#This Row],[DEXc]]+Table13345[[#This Row],[DEXp]]</f>
        <v>0</v>
      </c>
      <c r="BG944">
        <f>IFERROR(Table13345[[#This Row],[DeltaC]]*Table13345[[#This Row],[Open.Int]]*$A$4,0)</f>
        <v>0</v>
      </c>
      <c r="BH944">
        <f>IFERROR(Table13345[[#This Row],[DeltaP]]*Table13345[[#This Row],[Open.Int8]]*$A$4,0)</f>
        <v>0</v>
      </c>
      <c r="BI94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4">
        <f ca="1">Table13345[[#This Row],[charmc]]+Table13345[[#This Row],[charmp]]</f>
        <v>0</v>
      </c>
      <c r="BL94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4" s="78">
        <f ca="1">Table13345[[#This Row],[call helper]]+Table13345[[#This Row],[put helper]]</f>
        <v>0</v>
      </c>
      <c r="BP944" t="str">
        <f>RTD("tos.rtd", , "STRIKE", "."&amp;Table13345[[#This Row],[Ticker]]&amp;Table13345[[#This Row],[Expiry]]&amp;""&amp;"C"&amp;Table13345[[#This Row],[Spot]]+Table13345[[#This Row],[step]])</f>
        <v>N/A</v>
      </c>
    </row>
    <row r="945" spans="1:68" x14ac:dyDescent="0.25">
      <c r="A945" s="14">
        <f t="shared" ca="1" si="89"/>
        <v>-126.14810350076104</v>
      </c>
      <c r="C945" s="17"/>
      <c r="D945" t="str">
        <f>RTD("tos.rtd", , "OPEN_INT", "."&amp;Table13345[[#This Row],[Ticker]]&amp;Table13345[[#This Row],[Expiry]]&amp;""&amp;"C"&amp;Table13345[[#This Row],[Spot]]+Table13345[[#This Row],[step]])</f>
        <v>N/A</v>
      </c>
      <c r="E94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5" t="b">
        <f>IF(     ISNUMBER(Table13345[[#This Row],[Strike]]),RTD("tos.rtd", , "DELTA", "."&amp;Table13345[[#This Row],[Ticker]]&amp;Table13345[[#This Row],[Expiry]]&amp;""&amp;"C"&amp;Table13345[[#This Row],[Strike]]))</f>
        <v>0</v>
      </c>
      <c r="H945" s="17" cm="1">
        <f t="array" aca="1" ref="H945" ca="1">IndividualLegIVCore($A$4, Table13345[[#This Row],[Strike]], 0.0411, Table13345[[#This Row],[T]], ((Table13345[[#This Row],[BIDC]]+Table13345[[#This Row],[ASKC]])/2), TRUE)</f>
        <v>0.01</v>
      </c>
      <c r="I945" t="b">
        <f>IF(     ISNUMBER(Table13345[[#This Row],[Strike]]),RTD("tos.rtd", , "BID", "."&amp;Table13345[[#This Row],[Ticker]]&amp;Table13345[[#This Row],[Expiry]]&amp;""&amp;"C"&amp;Table13345[[#This Row],[Strike]]))</f>
        <v>0</v>
      </c>
      <c r="J945" t="b">
        <f>IF(     ISNUMBER(Table13345[[#This Row],[Strike]]),RTD("tos.rtd", , "ASK", "."&amp;Table13345[[#This Row],[Ticker]]&amp;Table13345[[#This Row],[Expiry]]&amp;""&amp;"C"&amp;Table13345[[#This Row],[Strike]]))</f>
        <v>0</v>
      </c>
      <c r="K945" s="17"/>
      <c r="M945" s="1">
        <f t="shared" si="90"/>
        <v>0</v>
      </c>
      <c r="N945" t="b">
        <f t="shared" si="91"/>
        <v>0</v>
      </c>
      <c r="P945" s="17" cm="1">
        <f t="array" aca="1" ref="P945" ca="1">IndividualLegIVCore($A$4, Table13345[[#This Row],[Strike]], 0.0411, Table13345[[#This Row],[T]], ((Table13345[[#This Row],[BIDP]]+Table13345[[#This Row],[ASKP]])/2), FALSE)</f>
        <v>0.01</v>
      </c>
      <c r="Q945" t="b">
        <f>IF(     ISNUMBER(Table13345[[#This Row],[Strike]]),RTD("tos.rtd", , "BID", "."&amp;Table13345[[#This Row],[Ticker]]&amp;Table13345[[#This Row],[Expiry]]&amp;""&amp;"P"&amp;Table13345[[#This Row],[Strike]]))</f>
        <v>0</v>
      </c>
      <c r="R945" t="b">
        <f>IF(     ISNUMBER(Table13345[[#This Row],[Strike]]),RTD("tos.rtd", , "ASK", "."&amp;Table13345[[#This Row],[Ticker]]&amp;Table13345[[#This Row],[Expiry]]&amp;""&amp;"P"&amp;Table13345[[#This Row],[Strike]]))</f>
        <v>0</v>
      </c>
      <c r="S945" s="17"/>
      <c r="T945" t="b">
        <f>IF(     ISNUMBER(Table13345[[#This Row],[Strike]]),RTD("tos.rtd", , "OPEN_INT", "."&amp;Table13345[[#This Row],[Ticker]]&amp;Table13345[[#This Row],[Expiry]]&amp;""&amp;"P"&amp;Table13345[[#This Row],[Strike]]))</f>
        <v>0</v>
      </c>
      <c r="U94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5" t="b">
        <f>IF(     ISNUMBER(Table13345[[#This Row],[Strike]]),RTD("tos.rtd", , "DELTA", "."&amp;Table13345[[#This Row],[Ticker]]&amp;Table13345[[#This Row],[Expiry]]&amp;""&amp;"P"&amp;Table13345[[#This Row],[Strike]]))</f>
        <v>0</v>
      </c>
      <c r="Y945" s="19">
        <f>11.5* IF($M$1="NDX", 10, IF(OR($M$1="SPX", $M$1="RUT"), 2, 1))</f>
        <v>23</v>
      </c>
      <c r="Z945">
        <f ca="1">IFERROR(Table13345[[#This Row],[call gamma]]*(Table13345[[#This Row],[Open.Int]])*$A$4^2,0)</f>
        <v>0</v>
      </c>
      <c r="AA945">
        <f ca="1">IFERROR(((Table13345[[#This Row],[Open.Int8]])*Table13345[[#This Row],[Put gamma]])*-1*$A$4^2,0)</f>
        <v>0</v>
      </c>
      <c r="AB945">
        <f ca="1">(Table13345[[#This Row],[Call Gex]]+Table13345[[#This Row],[Put Gex]])</f>
        <v>0</v>
      </c>
      <c r="AC945">
        <f ca="1">Table13345[[#This Row],[put delta adj]]+Table13345[[#This Row],[call delta adj]]</f>
        <v>0</v>
      </c>
      <c r="AD945">
        <f ca="1">Table13345[[#This Row],[Put Gex]]*Table13345[[#This Row],[DeltaP]]*-1</f>
        <v>0</v>
      </c>
      <c r="AE945">
        <f ca="1">Table13345[[#This Row],[Call Gex]]*Table13345[[#This Row],[DeltaC]]</f>
        <v>0</v>
      </c>
      <c r="AF945">
        <f>IF(Table13345[[#This Row],[DeltaC]]-ABS(Table13345[[#This Row],[DeltaP]])="0","0.01",Table13345[[#This Row],[DeltaC]]-ABS(Table13345[[#This Row],[DeltaP]]))</f>
        <v>0</v>
      </c>
      <c r="AG94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5" t="e">
        <f ca="1">(EXP(-(AG945^2)/2)/SQRT(2*PI())*EXP(0*SQRT(Table13345[[#This Row],[T]]))/$A$4*18%*SQRT(SQRT(Table13345[[#This Row],[T]])))</f>
        <v>#DIV/0!</v>
      </c>
      <c r="AJ945" t="e">
        <f ca="1">(EXP(-(AH945^2)/2)/SQRT(2*PI())*EXP(0*SQRT(Table13345[[#This Row],[T]]))/$A$4*18%*SQRT(SQRT(Table13345[[#This Row],[T]])))</f>
        <v>#DIV/0!</v>
      </c>
      <c r="AK945" t="e">
        <f ca="1">Table13345[[#This Row],[Call D1]]-Table13345[[#This Row],[IV Calc C]]*SQRT(Table13345[[#This Row],[T]])</f>
        <v>#DIV/0!</v>
      </c>
      <c r="AL945" t="e">
        <f ca="1">Table13345[[#This Row],[Put D1]]-Table13345[[#This Row],[IV Calc P]]*SQRT(Table13345[[#This Row],[T]])</f>
        <v>#DIV/0!</v>
      </c>
      <c r="AM945" t="e">
        <f ca="1">EXP(-0.5*Table13345[[#This Row],[Call D1]]^2)/SQRT(2*PI())</f>
        <v>#DIV/0!</v>
      </c>
      <c r="AN945" t="e">
        <f ca="1">EXP(-0.5*Table13345[[#This Row],[Put D1]]^2)/SQRT(2*PI())</f>
        <v>#DIV/0!</v>
      </c>
      <c r="AO94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5">
        <f ca="1">((Table13345[[#This Row],[call vanna]]+Table13345[[#This Row],[put vanna]])*$A$4)</f>
        <v>0</v>
      </c>
      <c r="AR94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5" s="9" t="str" cm="1">
        <f t="array" ref="AT945">_xlfn.IFS(     $M$1="SPX","SPXW",     $M$1="RUT","RUTW",  $M$1="NDX","NDXP",   TRUE,$M$1 )</f>
        <v>SPXW</v>
      </c>
      <c r="AU945" s="2">
        <f t="shared" si="92"/>
        <v>6915</v>
      </c>
      <c r="AV945" t="str">
        <f t="shared" si="93"/>
        <v>000100</v>
      </c>
      <c r="AY94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5">
        <f>((Table13345[[#This Row],[High C]]+Table13345[[#This Row],[Low C]])/2)*Table13345[[#This Row],[gammac]]*Table13345[[#This Row],[Volume]]</f>
        <v>0</v>
      </c>
      <c r="BD945">
        <f>((Table13345[[#This Row],[High P]]+Table13345[[#This Row],[Low P]])/2)*Table13345[[#This Row],[gammap]]*Table13345[[#This Row],[Volume9]]*-1</f>
        <v>0</v>
      </c>
      <c r="BE945">
        <f>(Table13345[[#This Row],[SgammaC]]+Table13345[[#This Row],[SgammaP]])*$A$4*-100</f>
        <v>0</v>
      </c>
      <c r="BF945">
        <f>Table13345[[#This Row],[DEXc]]+Table13345[[#This Row],[DEXp]]</f>
        <v>0</v>
      </c>
      <c r="BG945">
        <f>IFERROR(Table13345[[#This Row],[DeltaC]]*Table13345[[#This Row],[Open.Int]]*$A$4,0)</f>
        <v>0</v>
      </c>
      <c r="BH945">
        <f>IFERROR(Table13345[[#This Row],[DeltaP]]*Table13345[[#This Row],[Open.Int8]]*$A$4,0)</f>
        <v>0</v>
      </c>
      <c r="BI94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5">
        <f ca="1">Table13345[[#This Row],[charmc]]+Table13345[[#This Row],[charmp]]</f>
        <v>0</v>
      </c>
      <c r="BL94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5" s="78">
        <f ca="1">Table13345[[#This Row],[call helper]]+Table13345[[#This Row],[put helper]]</f>
        <v>0</v>
      </c>
      <c r="BP945" t="str">
        <f>RTD("tos.rtd", , "STRIKE", "."&amp;Table13345[[#This Row],[Ticker]]&amp;Table13345[[#This Row],[Expiry]]&amp;""&amp;"C"&amp;Table13345[[#This Row],[Spot]]+Table13345[[#This Row],[step]])</f>
        <v>N/A</v>
      </c>
    </row>
    <row r="946" spans="1:68" x14ac:dyDescent="0.25">
      <c r="A946" s="14">
        <f t="shared" ca="1" si="89"/>
        <v>-126.14810350076104</v>
      </c>
      <c r="C946" s="17"/>
      <c r="D946" t="str">
        <f>RTD("tos.rtd", , "OPEN_INT", "."&amp;Table13345[[#This Row],[Ticker]]&amp;Table13345[[#This Row],[Expiry]]&amp;""&amp;"C"&amp;Table13345[[#This Row],[Spot]]+Table13345[[#This Row],[step]])</f>
        <v>N/A</v>
      </c>
      <c r="E94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6" t="b">
        <f>IF(     ISNUMBER(Table13345[[#This Row],[Strike]]),RTD("tos.rtd", , "DELTA", "."&amp;Table13345[[#This Row],[Ticker]]&amp;Table13345[[#This Row],[Expiry]]&amp;""&amp;"C"&amp;Table13345[[#This Row],[Strike]]))</f>
        <v>0</v>
      </c>
      <c r="H946" s="17" cm="1">
        <f t="array" aca="1" ref="H946" ca="1">IndividualLegIVCore($A$4, Table13345[[#This Row],[Strike]], 0.0411, Table13345[[#This Row],[T]], ((Table13345[[#This Row],[BIDC]]+Table13345[[#This Row],[ASKC]])/2), TRUE)</f>
        <v>0.01</v>
      </c>
      <c r="I946" t="b">
        <f>IF(     ISNUMBER(Table13345[[#This Row],[Strike]]),RTD("tos.rtd", , "BID", "."&amp;Table13345[[#This Row],[Ticker]]&amp;Table13345[[#This Row],[Expiry]]&amp;""&amp;"C"&amp;Table13345[[#This Row],[Strike]]))</f>
        <v>0</v>
      </c>
      <c r="J946" t="b">
        <f>IF(     ISNUMBER(Table13345[[#This Row],[Strike]]),RTD("tos.rtd", , "ASK", "."&amp;Table13345[[#This Row],[Ticker]]&amp;Table13345[[#This Row],[Expiry]]&amp;""&amp;"C"&amp;Table13345[[#This Row],[Strike]]))</f>
        <v>0</v>
      </c>
      <c r="K946" s="17"/>
      <c r="M946" s="1">
        <f t="shared" si="90"/>
        <v>0</v>
      </c>
      <c r="N946" t="b">
        <f t="shared" si="91"/>
        <v>0</v>
      </c>
      <c r="P946" s="17" cm="1">
        <f t="array" aca="1" ref="P946" ca="1">IndividualLegIVCore($A$4, Table13345[[#This Row],[Strike]], 0.0411, Table13345[[#This Row],[T]], ((Table13345[[#This Row],[BIDP]]+Table13345[[#This Row],[ASKP]])/2), FALSE)</f>
        <v>0.01</v>
      </c>
      <c r="Q946" t="b">
        <f>IF(     ISNUMBER(Table13345[[#This Row],[Strike]]),RTD("tos.rtd", , "BID", "."&amp;Table13345[[#This Row],[Ticker]]&amp;Table13345[[#This Row],[Expiry]]&amp;""&amp;"P"&amp;Table13345[[#This Row],[Strike]]))</f>
        <v>0</v>
      </c>
      <c r="R946" t="b">
        <f>IF(     ISNUMBER(Table13345[[#This Row],[Strike]]),RTD("tos.rtd", , "ASK", "."&amp;Table13345[[#This Row],[Ticker]]&amp;Table13345[[#This Row],[Expiry]]&amp;""&amp;"P"&amp;Table13345[[#This Row],[Strike]]))</f>
        <v>0</v>
      </c>
      <c r="S946" s="17"/>
      <c r="T946" t="b">
        <f>IF(     ISNUMBER(Table13345[[#This Row],[Strike]]),RTD("tos.rtd", , "OPEN_INT", "."&amp;Table13345[[#This Row],[Ticker]]&amp;Table13345[[#This Row],[Expiry]]&amp;""&amp;"P"&amp;Table13345[[#This Row],[Strike]]))</f>
        <v>0</v>
      </c>
      <c r="U94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6" t="b">
        <f>IF(     ISNUMBER(Table13345[[#This Row],[Strike]]),RTD("tos.rtd", , "DELTA", "."&amp;Table13345[[#This Row],[Ticker]]&amp;Table13345[[#This Row],[Expiry]]&amp;""&amp;"P"&amp;Table13345[[#This Row],[Strike]]))</f>
        <v>0</v>
      </c>
      <c r="Y946" s="19">
        <f>12* IF($M$1="NDX", 10, IF(OR($M$1="SPX", $M$1="RUT"), 2, 1))</f>
        <v>24</v>
      </c>
      <c r="Z946">
        <f ca="1">IFERROR(Table13345[[#This Row],[call gamma]]*(Table13345[[#This Row],[Open.Int]])*$A$4^2,0)</f>
        <v>0</v>
      </c>
      <c r="AA946">
        <f ca="1">IFERROR(((Table13345[[#This Row],[Open.Int8]])*Table13345[[#This Row],[Put gamma]])*-1*$A$4^2,0)</f>
        <v>0</v>
      </c>
      <c r="AB946">
        <f ca="1">(Table13345[[#This Row],[Call Gex]]+Table13345[[#This Row],[Put Gex]])</f>
        <v>0</v>
      </c>
      <c r="AC946">
        <f ca="1">Table13345[[#This Row],[put delta adj]]+Table13345[[#This Row],[call delta adj]]</f>
        <v>0</v>
      </c>
      <c r="AD946">
        <f ca="1">Table13345[[#This Row],[Put Gex]]*Table13345[[#This Row],[DeltaP]]*-1</f>
        <v>0</v>
      </c>
      <c r="AE946">
        <f ca="1">Table13345[[#This Row],[Call Gex]]*Table13345[[#This Row],[DeltaC]]</f>
        <v>0</v>
      </c>
      <c r="AF946">
        <f>IF(Table13345[[#This Row],[DeltaC]]-ABS(Table13345[[#This Row],[DeltaP]])="0","0.01",Table13345[[#This Row],[DeltaC]]-ABS(Table13345[[#This Row],[DeltaP]]))</f>
        <v>0</v>
      </c>
      <c r="AG94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6" t="e">
        <f ca="1">(EXP(-(AG946^2)/2)/SQRT(2*PI())*EXP(0*SQRT(Table13345[[#This Row],[T]]))/$A$4*18%*SQRT(SQRT(Table13345[[#This Row],[T]])))</f>
        <v>#DIV/0!</v>
      </c>
      <c r="AJ946" t="e">
        <f ca="1">(EXP(-(AH946^2)/2)/SQRT(2*PI())*EXP(0*SQRT(Table13345[[#This Row],[T]]))/$A$4*18%*SQRT(SQRT(Table13345[[#This Row],[T]])))</f>
        <v>#DIV/0!</v>
      </c>
      <c r="AK946" t="e">
        <f ca="1">Table13345[[#This Row],[Call D1]]-Table13345[[#This Row],[IV Calc C]]*SQRT(Table13345[[#This Row],[T]])</f>
        <v>#DIV/0!</v>
      </c>
      <c r="AL946" t="e">
        <f ca="1">Table13345[[#This Row],[Put D1]]-Table13345[[#This Row],[IV Calc P]]*SQRT(Table13345[[#This Row],[T]])</f>
        <v>#DIV/0!</v>
      </c>
      <c r="AM946" t="e">
        <f ca="1">EXP(-0.5*Table13345[[#This Row],[Call D1]]^2)/SQRT(2*PI())</f>
        <v>#DIV/0!</v>
      </c>
      <c r="AN946" t="e">
        <f ca="1">EXP(-0.5*Table13345[[#This Row],[Put D1]]^2)/SQRT(2*PI())</f>
        <v>#DIV/0!</v>
      </c>
      <c r="AO94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6">
        <f ca="1">((Table13345[[#This Row],[call vanna]]+Table13345[[#This Row],[put vanna]])*$A$4)</f>
        <v>0</v>
      </c>
      <c r="AR94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6" s="9" t="str" cm="1">
        <f t="array" ref="AT946">_xlfn.IFS(     $M$1="SPX","SPXW",     $M$1="RUT","RUTW",  $M$1="NDX","NDXP",   TRUE,$M$1 )</f>
        <v>SPXW</v>
      </c>
      <c r="AU946" s="2">
        <f t="shared" si="92"/>
        <v>6915</v>
      </c>
      <c r="AV946" t="str">
        <f t="shared" si="93"/>
        <v>000100</v>
      </c>
      <c r="AY94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6">
        <f>((Table13345[[#This Row],[High C]]+Table13345[[#This Row],[Low C]])/2)*Table13345[[#This Row],[gammac]]*Table13345[[#This Row],[Volume]]</f>
        <v>0</v>
      </c>
      <c r="BD946">
        <f>((Table13345[[#This Row],[High P]]+Table13345[[#This Row],[Low P]])/2)*Table13345[[#This Row],[gammap]]*Table13345[[#This Row],[Volume9]]*-1</f>
        <v>0</v>
      </c>
      <c r="BE946">
        <f>(Table13345[[#This Row],[SgammaC]]+Table13345[[#This Row],[SgammaP]])*$A$4*-100</f>
        <v>0</v>
      </c>
      <c r="BF946">
        <f>Table13345[[#This Row],[DEXc]]+Table13345[[#This Row],[DEXp]]</f>
        <v>0</v>
      </c>
      <c r="BG946">
        <f>IFERROR(Table13345[[#This Row],[DeltaC]]*Table13345[[#This Row],[Open.Int]]*$A$4,0)</f>
        <v>0</v>
      </c>
      <c r="BH946">
        <f>IFERROR(Table13345[[#This Row],[DeltaP]]*Table13345[[#This Row],[Open.Int8]]*$A$4,0)</f>
        <v>0</v>
      </c>
      <c r="BI94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6">
        <f ca="1">Table13345[[#This Row],[charmc]]+Table13345[[#This Row],[charmp]]</f>
        <v>0</v>
      </c>
      <c r="BL94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6" s="78">
        <f ca="1">Table13345[[#This Row],[call helper]]+Table13345[[#This Row],[put helper]]</f>
        <v>0</v>
      </c>
      <c r="BP946" t="str">
        <f>RTD("tos.rtd", , "STRIKE", "."&amp;Table13345[[#This Row],[Ticker]]&amp;Table13345[[#This Row],[Expiry]]&amp;""&amp;"C"&amp;Table13345[[#This Row],[Spot]]+Table13345[[#This Row],[step]])</f>
        <v>N/A</v>
      </c>
    </row>
    <row r="947" spans="1:68" x14ac:dyDescent="0.25">
      <c r="A947" s="14">
        <f t="shared" ca="1" si="89"/>
        <v>-126.14810350076104</v>
      </c>
      <c r="C947" s="17"/>
      <c r="D947" t="str">
        <f>RTD("tos.rtd", , "OPEN_INT", "."&amp;Table13345[[#This Row],[Ticker]]&amp;Table13345[[#This Row],[Expiry]]&amp;""&amp;"C"&amp;Table13345[[#This Row],[Spot]]+Table13345[[#This Row],[step]])</f>
        <v>N/A</v>
      </c>
      <c r="E94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7" t="b">
        <f>IF(     ISNUMBER(Table13345[[#This Row],[Strike]]),RTD("tos.rtd", , "DELTA", "."&amp;Table13345[[#This Row],[Ticker]]&amp;Table13345[[#This Row],[Expiry]]&amp;""&amp;"C"&amp;Table13345[[#This Row],[Strike]]))</f>
        <v>0</v>
      </c>
      <c r="H947" s="17" cm="1">
        <f t="array" aca="1" ref="H947" ca="1">IndividualLegIVCore($A$4, Table13345[[#This Row],[Strike]], 0.0411, Table13345[[#This Row],[T]], ((Table13345[[#This Row],[BIDC]]+Table13345[[#This Row],[ASKC]])/2), TRUE)</f>
        <v>0.01</v>
      </c>
      <c r="I947" t="b">
        <f>IF(     ISNUMBER(Table13345[[#This Row],[Strike]]),RTD("tos.rtd", , "BID", "."&amp;Table13345[[#This Row],[Ticker]]&amp;Table13345[[#This Row],[Expiry]]&amp;""&amp;"C"&amp;Table13345[[#This Row],[Strike]]))</f>
        <v>0</v>
      </c>
      <c r="J947" t="b">
        <f>IF(     ISNUMBER(Table13345[[#This Row],[Strike]]),RTD("tos.rtd", , "ASK", "."&amp;Table13345[[#This Row],[Ticker]]&amp;Table13345[[#This Row],[Expiry]]&amp;""&amp;"C"&amp;Table13345[[#This Row],[Strike]]))</f>
        <v>0</v>
      </c>
      <c r="K947" s="17"/>
      <c r="M947" s="1">
        <f t="shared" si="90"/>
        <v>0</v>
      </c>
      <c r="N947" t="b">
        <f t="shared" si="91"/>
        <v>0</v>
      </c>
      <c r="P947" s="17" cm="1">
        <f t="array" aca="1" ref="P947" ca="1">IndividualLegIVCore($A$4, Table13345[[#This Row],[Strike]], 0.0411, Table13345[[#This Row],[T]], ((Table13345[[#This Row],[BIDP]]+Table13345[[#This Row],[ASKP]])/2), FALSE)</f>
        <v>0.01</v>
      </c>
      <c r="Q947" t="b">
        <f>IF(     ISNUMBER(Table13345[[#This Row],[Strike]]),RTD("tos.rtd", , "BID", "."&amp;Table13345[[#This Row],[Ticker]]&amp;Table13345[[#This Row],[Expiry]]&amp;""&amp;"P"&amp;Table13345[[#This Row],[Strike]]))</f>
        <v>0</v>
      </c>
      <c r="R947" t="b">
        <f>IF(     ISNUMBER(Table13345[[#This Row],[Strike]]),RTD("tos.rtd", , "ASK", "."&amp;Table13345[[#This Row],[Ticker]]&amp;Table13345[[#This Row],[Expiry]]&amp;""&amp;"P"&amp;Table13345[[#This Row],[Strike]]))</f>
        <v>0</v>
      </c>
      <c r="S947" s="17"/>
      <c r="T947" t="b">
        <f>IF(     ISNUMBER(Table13345[[#This Row],[Strike]]),RTD("tos.rtd", , "OPEN_INT", "."&amp;Table13345[[#This Row],[Ticker]]&amp;Table13345[[#This Row],[Expiry]]&amp;""&amp;"P"&amp;Table13345[[#This Row],[Strike]]))</f>
        <v>0</v>
      </c>
      <c r="U94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7" t="b">
        <f>IF(     ISNUMBER(Table13345[[#This Row],[Strike]]),RTD("tos.rtd", , "DELTA", "."&amp;Table13345[[#This Row],[Ticker]]&amp;Table13345[[#This Row],[Expiry]]&amp;""&amp;"P"&amp;Table13345[[#This Row],[Strike]]))</f>
        <v>0</v>
      </c>
      <c r="Y947" s="19">
        <f>12.5* IF($M$1="NDX", 10, IF(OR($M$1="SPX", $M$1="RUT"), 2, 1))</f>
        <v>25</v>
      </c>
      <c r="Z947">
        <f ca="1">IFERROR(Table13345[[#This Row],[call gamma]]*(Table13345[[#This Row],[Open.Int]])*$A$4^2,0)</f>
        <v>0</v>
      </c>
      <c r="AA947">
        <f ca="1">IFERROR(((Table13345[[#This Row],[Open.Int8]])*Table13345[[#This Row],[Put gamma]])*-1*$A$4^2,0)</f>
        <v>0</v>
      </c>
      <c r="AB947">
        <f ca="1">(Table13345[[#This Row],[Call Gex]]+Table13345[[#This Row],[Put Gex]])</f>
        <v>0</v>
      </c>
      <c r="AC947">
        <f ca="1">Table13345[[#This Row],[put delta adj]]+Table13345[[#This Row],[call delta adj]]</f>
        <v>0</v>
      </c>
      <c r="AD947">
        <f ca="1">Table13345[[#This Row],[Put Gex]]*Table13345[[#This Row],[DeltaP]]*-1</f>
        <v>0</v>
      </c>
      <c r="AE947">
        <f ca="1">Table13345[[#This Row],[Call Gex]]*Table13345[[#This Row],[DeltaC]]</f>
        <v>0</v>
      </c>
      <c r="AF947">
        <f>IF(Table13345[[#This Row],[DeltaC]]-ABS(Table13345[[#This Row],[DeltaP]])="0","0.01",Table13345[[#This Row],[DeltaC]]-ABS(Table13345[[#This Row],[DeltaP]]))</f>
        <v>0</v>
      </c>
      <c r="AG94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7" t="e">
        <f ca="1">(EXP(-(AG947^2)/2)/SQRT(2*PI())*EXP(0*SQRT(Table13345[[#This Row],[T]]))/$A$4*18%*SQRT(SQRT(Table13345[[#This Row],[T]])))</f>
        <v>#DIV/0!</v>
      </c>
      <c r="AJ947" t="e">
        <f ca="1">(EXP(-(AH947^2)/2)/SQRT(2*PI())*EXP(0*SQRT(Table13345[[#This Row],[T]]))/$A$4*18%*SQRT(SQRT(Table13345[[#This Row],[T]])))</f>
        <v>#DIV/0!</v>
      </c>
      <c r="AK947" t="e">
        <f ca="1">Table13345[[#This Row],[Call D1]]-Table13345[[#This Row],[IV Calc C]]*SQRT(Table13345[[#This Row],[T]])</f>
        <v>#DIV/0!</v>
      </c>
      <c r="AL947" t="e">
        <f ca="1">Table13345[[#This Row],[Put D1]]-Table13345[[#This Row],[IV Calc P]]*SQRT(Table13345[[#This Row],[T]])</f>
        <v>#DIV/0!</v>
      </c>
      <c r="AM947" t="e">
        <f ca="1">EXP(-0.5*Table13345[[#This Row],[Call D1]]^2)/SQRT(2*PI())</f>
        <v>#DIV/0!</v>
      </c>
      <c r="AN947" t="e">
        <f ca="1">EXP(-0.5*Table13345[[#This Row],[Put D1]]^2)/SQRT(2*PI())</f>
        <v>#DIV/0!</v>
      </c>
      <c r="AO94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7">
        <f ca="1">((Table13345[[#This Row],[call vanna]]+Table13345[[#This Row],[put vanna]])*$A$4)</f>
        <v>0</v>
      </c>
      <c r="AR94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7" s="9" t="str" cm="1">
        <f t="array" ref="AT947">_xlfn.IFS(     $M$1="SPX","SPXW",     $M$1="RUT","RUTW",  $M$1="NDX","NDXP",   TRUE,$M$1 )</f>
        <v>SPXW</v>
      </c>
      <c r="AU947" s="2">
        <f t="shared" si="92"/>
        <v>6915</v>
      </c>
      <c r="AV947" t="str">
        <f t="shared" si="93"/>
        <v>000100</v>
      </c>
      <c r="AY94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7">
        <f>((Table13345[[#This Row],[High C]]+Table13345[[#This Row],[Low C]])/2)*Table13345[[#This Row],[gammac]]*Table13345[[#This Row],[Volume]]</f>
        <v>0</v>
      </c>
      <c r="BD947">
        <f>((Table13345[[#This Row],[High P]]+Table13345[[#This Row],[Low P]])/2)*Table13345[[#This Row],[gammap]]*Table13345[[#This Row],[Volume9]]*-1</f>
        <v>0</v>
      </c>
      <c r="BE947">
        <f>(Table13345[[#This Row],[SgammaC]]+Table13345[[#This Row],[SgammaP]])*$A$4*-100</f>
        <v>0</v>
      </c>
      <c r="BF947">
        <f>Table13345[[#This Row],[DEXc]]+Table13345[[#This Row],[DEXp]]</f>
        <v>0</v>
      </c>
      <c r="BG947">
        <f>IFERROR(Table13345[[#This Row],[DeltaC]]*Table13345[[#This Row],[Open.Int]]*$A$4,0)</f>
        <v>0</v>
      </c>
      <c r="BH947">
        <f>IFERROR(Table13345[[#This Row],[DeltaP]]*Table13345[[#This Row],[Open.Int8]]*$A$4,0)</f>
        <v>0</v>
      </c>
      <c r="BI94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7">
        <f ca="1">Table13345[[#This Row],[charmc]]+Table13345[[#This Row],[charmp]]</f>
        <v>0</v>
      </c>
      <c r="BL94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7" s="78">
        <f ca="1">Table13345[[#This Row],[call helper]]+Table13345[[#This Row],[put helper]]</f>
        <v>0</v>
      </c>
      <c r="BP947" t="str">
        <f>RTD("tos.rtd", , "STRIKE", "."&amp;Table13345[[#This Row],[Ticker]]&amp;Table13345[[#This Row],[Expiry]]&amp;""&amp;"C"&amp;Table13345[[#This Row],[Spot]]+Table13345[[#This Row],[step]])</f>
        <v>N/A</v>
      </c>
    </row>
    <row r="948" spans="1:68" x14ac:dyDescent="0.25">
      <c r="A948" s="14">
        <f t="shared" ca="1" si="89"/>
        <v>-126.14810350076104</v>
      </c>
      <c r="C948" s="17"/>
      <c r="D948" t="str">
        <f>RTD("tos.rtd", , "OPEN_INT", "."&amp;Table13345[[#This Row],[Ticker]]&amp;Table13345[[#This Row],[Expiry]]&amp;""&amp;"C"&amp;Table13345[[#This Row],[Spot]]+Table13345[[#This Row],[step]])</f>
        <v>N/A</v>
      </c>
      <c r="E94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8" t="b">
        <f>IF(     ISNUMBER(Table13345[[#This Row],[Strike]]),RTD("tos.rtd", , "DELTA", "."&amp;Table13345[[#This Row],[Ticker]]&amp;Table13345[[#This Row],[Expiry]]&amp;""&amp;"C"&amp;Table13345[[#This Row],[Strike]]))</f>
        <v>0</v>
      </c>
      <c r="H948" s="17" cm="1">
        <f t="array" aca="1" ref="H948" ca="1">IndividualLegIVCore($A$4, Table13345[[#This Row],[Strike]], 0.0411, Table13345[[#This Row],[T]], ((Table13345[[#This Row],[BIDC]]+Table13345[[#This Row],[ASKC]])/2), TRUE)</f>
        <v>0.01</v>
      </c>
      <c r="I948" t="b">
        <f>IF(     ISNUMBER(Table13345[[#This Row],[Strike]]),RTD("tos.rtd", , "BID", "."&amp;Table13345[[#This Row],[Ticker]]&amp;Table13345[[#This Row],[Expiry]]&amp;""&amp;"C"&amp;Table13345[[#This Row],[Strike]]))</f>
        <v>0</v>
      </c>
      <c r="J948" t="b">
        <f>IF(     ISNUMBER(Table13345[[#This Row],[Strike]]),RTD("tos.rtd", , "ASK", "."&amp;Table13345[[#This Row],[Ticker]]&amp;Table13345[[#This Row],[Expiry]]&amp;""&amp;"C"&amp;Table13345[[#This Row],[Strike]]))</f>
        <v>0</v>
      </c>
      <c r="K948" s="17"/>
      <c r="M948" s="1">
        <f t="shared" si="90"/>
        <v>0</v>
      </c>
      <c r="N948" t="b">
        <f t="shared" si="91"/>
        <v>0</v>
      </c>
      <c r="P948" s="17" cm="1">
        <f t="array" aca="1" ref="P948" ca="1">IndividualLegIVCore($A$4, Table13345[[#This Row],[Strike]], 0.0411, Table13345[[#This Row],[T]], ((Table13345[[#This Row],[BIDP]]+Table13345[[#This Row],[ASKP]])/2), FALSE)</f>
        <v>0.01</v>
      </c>
      <c r="Q948" t="b">
        <f>IF(     ISNUMBER(Table13345[[#This Row],[Strike]]),RTD("tos.rtd", , "BID", "."&amp;Table13345[[#This Row],[Ticker]]&amp;Table13345[[#This Row],[Expiry]]&amp;""&amp;"P"&amp;Table13345[[#This Row],[Strike]]))</f>
        <v>0</v>
      </c>
      <c r="R948" t="b">
        <f>IF(     ISNUMBER(Table13345[[#This Row],[Strike]]),RTD("tos.rtd", , "ASK", "."&amp;Table13345[[#This Row],[Ticker]]&amp;Table13345[[#This Row],[Expiry]]&amp;""&amp;"P"&amp;Table13345[[#This Row],[Strike]]))</f>
        <v>0</v>
      </c>
      <c r="S948" s="17"/>
      <c r="T948" t="b">
        <f>IF(     ISNUMBER(Table13345[[#This Row],[Strike]]),RTD("tos.rtd", , "OPEN_INT", "."&amp;Table13345[[#This Row],[Ticker]]&amp;Table13345[[#This Row],[Expiry]]&amp;""&amp;"P"&amp;Table13345[[#This Row],[Strike]]))</f>
        <v>0</v>
      </c>
      <c r="U94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8" t="b">
        <f>IF(     ISNUMBER(Table13345[[#This Row],[Strike]]),RTD("tos.rtd", , "DELTA", "."&amp;Table13345[[#This Row],[Ticker]]&amp;Table13345[[#This Row],[Expiry]]&amp;""&amp;"P"&amp;Table13345[[#This Row],[Strike]]))</f>
        <v>0</v>
      </c>
      <c r="Y948" s="19">
        <f>13* IF($M$1="NDX", 10, IF(OR($M$1="SPX", $M$1="RUT"), 2, 1))</f>
        <v>26</v>
      </c>
      <c r="Z948">
        <f ca="1">IFERROR(Table13345[[#This Row],[call gamma]]*(Table13345[[#This Row],[Open.Int]])*$A$4^2,0)</f>
        <v>0</v>
      </c>
      <c r="AA948">
        <f ca="1">IFERROR(((Table13345[[#This Row],[Open.Int8]])*Table13345[[#This Row],[Put gamma]])*-1*$A$4^2,0)</f>
        <v>0</v>
      </c>
      <c r="AB948">
        <f ca="1">(Table13345[[#This Row],[Call Gex]]+Table13345[[#This Row],[Put Gex]])</f>
        <v>0</v>
      </c>
      <c r="AC948">
        <f ca="1">Table13345[[#This Row],[put delta adj]]+Table13345[[#This Row],[call delta adj]]</f>
        <v>0</v>
      </c>
      <c r="AD948">
        <f ca="1">Table13345[[#This Row],[Put Gex]]*Table13345[[#This Row],[DeltaP]]*-1</f>
        <v>0</v>
      </c>
      <c r="AE948">
        <f ca="1">Table13345[[#This Row],[Call Gex]]*Table13345[[#This Row],[DeltaC]]</f>
        <v>0</v>
      </c>
      <c r="AF948">
        <f>IF(Table13345[[#This Row],[DeltaC]]-ABS(Table13345[[#This Row],[DeltaP]])="0","0.01",Table13345[[#This Row],[DeltaC]]-ABS(Table13345[[#This Row],[DeltaP]]))</f>
        <v>0</v>
      </c>
      <c r="AG94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8" t="e">
        <f ca="1">(EXP(-(AG948^2)/2)/SQRT(2*PI())*EXP(0*SQRT(Table13345[[#This Row],[T]]))/$A$4*18%*SQRT(SQRT(Table13345[[#This Row],[T]])))</f>
        <v>#DIV/0!</v>
      </c>
      <c r="AJ948" t="e">
        <f ca="1">(EXP(-(AH948^2)/2)/SQRT(2*PI())*EXP(0*SQRT(Table13345[[#This Row],[T]]))/$A$4*18%*SQRT(SQRT(Table13345[[#This Row],[T]])))</f>
        <v>#DIV/0!</v>
      </c>
      <c r="AK948" t="e">
        <f ca="1">Table13345[[#This Row],[Call D1]]-Table13345[[#This Row],[IV Calc C]]*SQRT(Table13345[[#This Row],[T]])</f>
        <v>#DIV/0!</v>
      </c>
      <c r="AL948" t="e">
        <f ca="1">Table13345[[#This Row],[Put D1]]-Table13345[[#This Row],[IV Calc P]]*SQRT(Table13345[[#This Row],[T]])</f>
        <v>#DIV/0!</v>
      </c>
      <c r="AM948" t="e">
        <f ca="1">EXP(-0.5*Table13345[[#This Row],[Call D1]]^2)/SQRT(2*PI())</f>
        <v>#DIV/0!</v>
      </c>
      <c r="AN948" t="e">
        <f ca="1">EXP(-0.5*Table13345[[#This Row],[Put D1]]^2)/SQRT(2*PI())</f>
        <v>#DIV/0!</v>
      </c>
      <c r="AO94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8">
        <f ca="1">((Table13345[[#This Row],[call vanna]]+Table13345[[#This Row],[put vanna]])*$A$4)</f>
        <v>0</v>
      </c>
      <c r="AR94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8" s="9" t="str" cm="1">
        <f t="array" ref="AT948">_xlfn.IFS(     $M$1="SPX","SPXW",     $M$1="RUT","RUTW",  $M$1="NDX","NDXP",   TRUE,$M$1 )</f>
        <v>SPXW</v>
      </c>
      <c r="AU948" s="2">
        <f t="shared" si="92"/>
        <v>6915</v>
      </c>
      <c r="AV948" t="str">
        <f t="shared" si="93"/>
        <v>000100</v>
      </c>
      <c r="AY94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8">
        <f>((Table13345[[#This Row],[High C]]+Table13345[[#This Row],[Low C]])/2)*Table13345[[#This Row],[gammac]]*Table13345[[#This Row],[Volume]]</f>
        <v>0</v>
      </c>
      <c r="BD948">
        <f>((Table13345[[#This Row],[High P]]+Table13345[[#This Row],[Low P]])/2)*Table13345[[#This Row],[gammap]]*Table13345[[#This Row],[Volume9]]*-1</f>
        <v>0</v>
      </c>
      <c r="BE948">
        <f>(Table13345[[#This Row],[SgammaC]]+Table13345[[#This Row],[SgammaP]])*$A$4*-100</f>
        <v>0</v>
      </c>
      <c r="BF948">
        <f>Table13345[[#This Row],[DEXc]]+Table13345[[#This Row],[DEXp]]</f>
        <v>0</v>
      </c>
      <c r="BG948">
        <f>IFERROR(Table13345[[#This Row],[DeltaC]]*Table13345[[#This Row],[Open.Int]]*$A$4,0)</f>
        <v>0</v>
      </c>
      <c r="BH948">
        <f>IFERROR(Table13345[[#This Row],[DeltaP]]*Table13345[[#This Row],[Open.Int8]]*$A$4,0)</f>
        <v>0</v>
      </c>
      <c r="BI94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8">
        <f ca="1">Table13345[[#This Row],[charmc]]+Table13345[[#This Row],[charmp]]</f>
        <v>0</v>
      </c>
      <c r="BL94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8" s="78">
        <f ca="1">Table13345[[#This Row],[call helper]]+Table13345[[#This Row],[put helper]]</f>
        <v>0</v>
      </c>
      <c r="BP948" t="str">
        <f>RTD("tos.rtd", , "STRIKE", "."&amp;Table13345[[#This Row],[Ticker]]&amp;Table13345[[#This Row],[Expiry]]&amp;""&amp;"C"&amp;Table13345[[#This Row],[Spot]]+Table13345[[#This Row],[step]])</f>
        <v>N/A</v>
      </c>
    </row>
    <row r="949" spans="1:68" x14ac:dyDescent="0.25">
      <c r="A949" s="14">
        <f t="shared" ca="1" si="89"/>
        <v>-126.14810350076104</v>
      </c>
      <c r="C949" s="17"/>
      <c r="D949" t="str">
        <f>RTD("tos.rtd", , "OPEN_INT", "."&amp;Table13345[[#This Row],[Ticker]]&amp;Table13345[[#This Row],[Expiry]]&amp;""&amp;"C"&amp;Table13345[[#This Row],[Spot]]+Table13345[[#This Row],[step]])</f>
        <v>N/A</v>
      </c>
      <c r="E94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9" t="b">
        <f>IF(     ISNUMBER(Table13345[[#This Row],[Strike]]),RTD("tos.rtd", , "DELTA", "."&amp;Table13345[[#This Row],[Ticker]]&amp;Table13345[[#This Row],[Expiry]]&amp;""&amp;"C"&amp;Table13345[[#This Row],[Strike]]))</f>
        <v>0</v>
      </c>
      <c r="H949" s="17" cm="1">
        <f t="array" aca="1" ref="H949" ca="1">IndividualLegIVCore($A$4, Table13345[[#This Row],[Strike]], 0.0411, Table13345[[#This Row],[T]], ((Table13345[[#This Row],[BIDC]]+Table13345[[#This Row],[ASKC]])/2), TRUE)</f>
        <v>0.01</v>
      </c>
      <c r="I949" t="b">
        <f>IF(     ISNUMBER(Table13345[[#This Row],[Strike]]),RTD("tos.rtd", , "BID", "."&amp;Table13345[[#This Row],[Ticker]]&amp;Table13345[[#This Row],[Expiry]]&amp;""&amp;"C"&amp;Table13345[[#This Row],[Strike]]))</f>
        <v>0</v>
      </c>
      <c r="J949" t="b">
        <f>IF(     ISNUMBER(Table13345[[#This Row],[Strike]]),RTD("tos.rtd", , "ASK", "."&amp;Table13345[[#This Row],[Ticker]]&amp;Table13345[[#This Row],[Expiry]]&amp;""&amp;"C"&amp;Table13345[[#This Row],[Strike]]))</f>
        <v>0</v>
      </c>
      <c r="K949" s="17"/>
      <c r="M949" s="1">
        <f t="shared" si="90"/>
        <v>0</v>
      </c>
      <c r="N949" t="b">
        <f t="shared" si="91"/>
        <v>0</v>
      </c>
      <c r="P949" s="17" cm="1">
        <f t="array" aca="1" ref="P949" ca="1">IndividualLegIVCore($A$4, Table13345[[#This Row],[Strike]], 0.0411, Table13345[[#This Row],[T]], ((Table13345[[#This Row],[BIDP]]+Table13345[[#This Row],[ASKP]])/2), FALSE)</f>
        <v>0.01</v>
      </c>
      <c r="Q949" t="b">
        <f>IF(     ISNUMBER(Table13345[[#This Row],[Strike]]),RTD("tos.rtd", , "BID", "."&amp;Table13345[[#This Row],[Ticker]]&amp;Table13345[[#This Row],[Expiry]]&amp;""&amp;"P"&amp;Table13345[[#This Row],[Strike]]))</f>
        <v>0</v>
      </c>
      <c r="R949" t="b">
        <f>IF(     ISNUMBER(Table13345[[#This Row],[Strike]]),RTD("tos.rtd", , "ASK", "."&amp;Table13345[[#This Row],[Ticker]]&amp;Table13345[[#This Row],[Expiry]]&amp;""&amp;"P"&amp;Table13345[[#This Row],[Strike]]))</f>
        <v>0</v>
      </c>
      <c r="S949" s="17"/>
      <c r="T949" t="b">
        <f>IF(     ISNUMBER(Table13345[[#This Row],[Strike]]),RTD("tos.rtd", , "OPEN_INT", "."&amp;Table13345[[#This Row],[Ticker]]&amp;Table13345[[#This Row],[Expiry]]&amp;""&amp;"P"&amp;Table13345[[#This Row],[Strike]]))</f>
        <v>0</v>
      </c>
      <c r="U94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9" t="b">
        <f>IF(     ISNUMBER(Table13345[[#This Row],[Strike]]),RTD("tos.rtd", , "DELTA", "."&amp;Table13345[[#This Row],[Ticker]]&amp;Table13345[[#This Row],[Expiry]]&amp;""&amp;"P"&amp;Table13345[[#This Row],[Strike]]))</f>
        <v>0</v>
      </c>
      <c r="Y949" s="19">
        <f>13.5* IF($M$1="NDX", 10, IF(OR($M$1="SPX", $M$1="RUT"), 2, 1))</f>
        <v>27</v>
      </c>
      <c r="Z949">
        <f ca="1">IFERROR(Table13345[[#This Row],[call gamma]]*(Table13345[[#This Row],[Open.Int]])*$A$4^2,0)</f>
        <v>0</v>
      </c>
      <c r="AA949">
        <f ca="1">IFERROR(((Table13345[[#This Row],[Open.Int8]])*Table13345[[#This Row],[Put gamma]])*-1*$A$4^2,0)</f>
        <v>0</v>
      </c>
      <c r="AB949">
        <f ca="1">(Table13345[[#This Row],[Call Gex]]+Table13345[[#This Row],[Put Gex]])</f>
        <v>0</v>
      </c>
      <c r="AC949">
        <f ca="1">Table13345[[#This Row],[put delta adj]]+Table13345[[#This Row],[call delta adj]]</f>
        <v>0</v>
      </c>
      <c r="AD949">
        <f ca="1">Table13345[[#This Row],[Put Gex]]*Table13345[[#This Row],[DeltaP]]*-1</f>
        <v>0</v>
      </c>
      <c r="AE949">
        <f ca="1">Table13345[[#This Row],[Call Gex]]*Table13345[[#This Row],[DeltaC]]</f>
        <v>0</v>
      </c>
      <c r="AF949">
        <f>IF(Table13345[[#This Row],[DeltaC]]-ABS(Table13345[[#This Row],[DeltaP]])="0","0.01",Table13345[[#This Row],[DeltaC]]-ABS(Table13345[[#This Row],[DeltaP]]))</f>
        <v>0</v>
      </c>
      <c r="AG94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9" t="e">
        <f ca="1">(EXP(-(AG949^2)/2)/SQRT(2*PI())*EXP(0*SQRT(Table13345[[#This Row],[T]]))/$A$4*18%*SQRT(SQRT(Table13345[[#This Row],[T]])))</f>
        <v>#DIV/0!</v>
      </c>
      <c r="AJ949" t="e">
        <f ca="1">(EXP(-(AH949^2)/2)/SQRT(2*PI())*EXP(0*SQRT(Table13345[[#This Row],[T]]))/$A$4*18%*SQRT(SQRT(Table13345[[#This Row],[T]])))</f>
        <v>#DIV/0!</v>
      </c>
      <c r="AK949" t="e">
        <f ca="1">Table13345[[#This Row],[Call D1]]-Table13345[[#This Row],[IV Calc C]]*SQRT(Table13345[[#This Row],[T]])</f>
        <v>#DIV/0!</v>
      </c>
      <c r="AL949" t="e">
        <f ca="1">Table13345[[#This Row],[Put D1]]-Table13345[[#This Row],[IV Calc P]]*SQRT(Table13345[[#This Row],[T]])</f>
        <v>#DIV/0!</v>
      </c>
      <c r="AM949" t="e">
        <f ca="1">EXP(-0.5*Table13345[[#This Row],[Call D1]]^2)/SQRT(2*PI())</f>
        <v>#DIV/0!</v>
      </c>
      <c r="AN949" t="e">
        <f ca="1">EXP(-0.5*Table13345[[#This Row],[Put D1]]^2)/SQRT(2*PI())</f>
        <v>#DIV/0!</v>
      </c>
      <c r="AO94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9">
        <f ca="1">((Table13345[[#This Row],[call vanna]]+Table13345[[#This Row],[put vanna]])*$A$4)</f>
        <v>0</v>
      </c>
      <c r="AR94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9" s="9" t="str" cm="1">
        <f t="array" ref="AT949">_xlfn.IFS(     $M$1="SPX","SPXW",     $M$1="RUT","RUTW",  $M$1="NDX","NDXP",   TRUE,$M$1 )</f>
        <v>SPXW</v>
      </c>
      <c r="AU949" s="2">
        <f t="shared" si="92"/>
        <v>6915</v>
      </c>
      <c r="AV949" t="str">
        <f t="shared" si="93"/>
        <v>000100</v>
      </c>
      <c r="AY94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9">
        <f>((Table13345[[#This Row],[High C]]+Table13345[[#This Row],[Low C]])/2)*Table13345[[#This Row],[gammac]]*Table13345[[#This Row],[Volume]]</f>
        <v>0</v>
      </c>
      <c r="BD949">
        <f>((Table13345[[#This Row],[High P]]+Table13345[[#This Row],[Low P]])/2)*Table13345[[#This Row],[gammap]]*Table13345[[#This Row],[Volume9]]*-1</f>
        <v>0</v>
      </c>
      <c r="BE949">
        <f>(Table13345[[#This Row],[SgammaC]]+Table13345[[#This Row],[SgammaP]])*$A$4*-100</f>
        <v>0</v>
      </c>
      <c r="BF949">
        <f>Table13345[[#This Row],[DEXc]]+Table13345[[#This Row],[DEXp]]</f>
        <v>0</v>
      </c>
      <c r="BG949">
        <f>IFERROR(Table13345[[#This Row],[DeltaC]]*Table13345[[#This Row],[Open.Int]]*$A$4,0)</f>
        <v>0</v>
      </c>
      <c r="BH949">
        <f>IFERROR(Table13345[[#This Row],[DeltaP]]*Table13345[[#This Row],[Open.Int8]]*$A$4,0)</f>
        <v>0</v>
      </c>
      <c r="BI94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9">
        <f ca="1">Table13345[[#This Row],[charmc]]+Table13345[[#This Row],[charmp]]</f>
        <v>0</v>
      </c>
      <c r="BL94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9" s="78">
        <f ca="1">Table13345[[#This Row],[call helper]]+Table13345[[#This Row],[put helper]]</f>
        <v>0</v>
      </c>
      <c r="BP949" t="str">
        <f>RTD("tos.rtd", , "STRIKE", "."&amp;Table13345[[#This Row],[Ticker]]&amp;Table13345[[#This Row],[Expiry]]&amp;""&amp;"C"&amp;Table13345[[#This Row],[Spot]]+Table13345[[#This Row],[step]])</f>
        <v>N/A</v>
      </c>
    </row>
    <row r="950" spans="1:68" x14ac:dyDescent="0.25">
      <c r="A950" s="14">
        <f t="shared" ref="A950:A1013" ca="1" si="94">$S$3</f>
        <v>-126.14810350076104</v>
      </c>
      <c r="C950" s="17"/>
      <c r="D950" t="str">
        <f>RTD("tos.rtd", , "OPEN_INT", "."&amp;Table13345[[#This Row],[Ticker]]&amp;Table13345[[#This Row],[Expiry]]&amp;""&amp;"C"&amp;Table13345[[#This Row],[Spot]]+Table13345[[#This Row],[step]])</f>
        <v>N/A</v>
      </c>
      <c r="E95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0" t="b">
        <f>IF(     ISNUMBER(Table13345[[#This Row],[Strike]]),RTD("tos.rtd", , "DELTA", "."&amp;Table13345[[#This Row],[Ticker]]&amp;Table13345[[#This Row],[Expiry]]&amp;""&amp;"C"&amp;Table13345[[#This Row],[Strike]]))</f>
        <v>0</v>
      </c>
      <c r="H950" s="17" cm="1">
        <f t="array" aca="1" ref="H950" ca="1">IndividualLegIVCore($A$4, Table13345[[#This Row],[Strike]], 0.0411, Table13345[[#This Row],[T]], ((Table13345[[#This Row],[BIDC]]+Table13345[[#This Row],[ASKC]])/2), TRUE)</f>
        <v>0.01</v>
      </c>
      <c r="I950" t="b">
        <f>IF(     ISNUMBER(Table13345[[#This Row],[Strike]]),RTD("tos.rtd", , "BID", "."&amp;Table13345[[#This Row],[Ticker]]&amp;Table13345[[#This Row],[Expiry]]&amp;""&amp;"C"&amp;Table13345[[#This Row],[Strike]]))</f>
        <v>0</v>
      </c>
      <c r="J950" t="b">
        <f>IF(     ISNUMBER(Table13345[[#This Row],[Strike]]),RTD("tos.rtd", , "ASK", "."&amp;Table13345[[#This Row],[Ticker]]&amp;Table13345[[#This Row],[Expiry]]&amp;""&amp;"C"&amp;Table13345[[#This Row],[Strike]]))</f>
        <v>0</v>
      </c>
      <c r="K950" s="17"/>
      <c r="M950" s="1">
        <f t="shared" ref="M950:M1013" si="95">$S$1</f>
        <v>0</v>
      </c>
      <c r="N950" t="b">
        <f t="shared" ref="N950:N1013" si="96">IF(ISNUMBER($BP950), $BP950, FALSE)</f>
        <v>0</v>
      </c>
      <c r="P950" s="17" cm="1">
        <f t="array" aca="1" ref="P950" ca="1">IndividualLegIVCore($A$4, Table13345[[#This Row],[Strike]], 0.0411, Table13345[[#This Row],[T]], ((Table13345[[#This Row],[BIDP]]+Table13345[[#This Row],[ASKP]])/2), FALSE)</f>
        <v>0.01</v>
      </c>
      <c r="Q950" t="b">
        <f>IF(     ISNUMBER(Table13345[[#This Row],[Strike]]),RTD("tos.rtd", , "BID", "."&amp;Table13345[[#This Row],[Ticker]]&amp;Table13345[[#This Row],[Expiry]]&amp;""&amp;"P"&amp;Table13345[[#This Row],[Strike]]))</f>
        <v>0</v>
      </c>
      <c r="R950" t="b">
        <f>IF(     ISNUMBER(Table13345[[#This Row],[Strike]]),RTD("tos.rtd", , "ASK", "."&amp;Table13345[[#This Row],[Ticker]]&amp;Table13345[[#This Row],[Expiry]]&amp;""&amp;"P"&amp;Table13345[[#This Row],[Strike]]))</f>
        <v>0</v>
      </c>
      <c r="S950" s="17"/>
      <c r="T950" t="b">
        <f>IF(     ISNUMBER(Table13345[[#This Row],[Strike]]),RTD("tos.rtd", , "OPEN_INT", "."&amp;Table13345[[#This Row],[Ticker]]&amp;Table13345[[#This Row],[Expiry]]&amp;""&amp;"P"&amp;Table13345[[#This Row],[Strike]]))</f>
        <v>0</v>
      </c>
      <c r="U95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0" t="b">
        <f>IF(     ISNUMBER(Table13345[[#This Row],[Strike]]),RTD("tos.rtd", , "DELTA", "."&amp;Table13345[[#This Row],[Ticker]]&amp;Table13345[[#This Row],[Expiry]]&amp;""&amp;"P"&amp;Table13345[[#This Row],[Strike]]))</f>
        <v>0</v>
      </c>
      <c r="Y950" s="19">
        <f>14* IF($M$1="NDX", 10, IF(OR($M$1="SPX", $M$1="RUT"), 2, 1))</f>
        <v>28</v>
      </c>
      <c r="Z950">
        <f ca="1">IFERROR(Table13345[[#This Row],[call gamma]]*(Table13345[[#This Row],[Open.Int]])*$A$4^2,0)</f>
        <v>0</v>
      </c>
      <c r="AA950">
        <f ca="1">IFERROR(((Table13345[[#This Row],[Open.Int8]])*Table13345[[#This Row],[Put gamma]])*-1*$A$4^2,0)</f>
        <v>0</v>
      </c>
      <c r="AB950">
        <f ca="1">(Table13345[[#This Row],[Call Gex]]+Table13345[[#This Row],[Put Gex]])</f>
        <v>0</v>
      </c>
      <c r="AC950">
        <f ca="1">Table13345[[#This Row],[put delta adj]]+Table13345[[#This Row],[call delta adj]]</f>
        <v>0</v>
      </c>
      <c r="AD950">
        <f ca="1">Table13345[[#This Row],[Put Gex]]*Table13345[[#This Row],[DeltaP]]*-1</f>
        <v>0</v>
      </c>
      <c r="AE950">
        <f ca="1">Table13345[[#This Row],[Call Gex]]*Table13345[[#This Row],[DeltaC]]</f>
        <v>0</v>
      </c>
      <c r="AF950">
        <f>IF(Table13345[[#This Row],[DeltaC]]-ABS(Table13345[[#This Row],[DeltaP]])="0","0.01",Table13345[[#This Row],[DeltaC]]-ABS(Table13345[[#This Row],[DeltaP]]))</f>
        <v>0</v>
      </c>
      <c r="AG95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0" t="e">
        <f ca="1">(EXP(-(AG950^2)/2)/SQRT(2*PI())*EXP(0*SQRT(Table13345[[#This Row],[T]]))/$A$4*18%*SQRT(SQRT(Table13345[[#This Row],[T]])))</f>
        <v>#DIV/0!</v>
      </c>
      <c r="AJ950" t="e">
        <f ca="1">(EXP(-(AH950^2)/2)/SQRT(2*PI())*EXP(0*SQRT(Table13345[[#This Row],[T]]))/$A$4*18%*SQRT(SQRT(Table13345[[#This Row],[T]])))</f>
        <v>#DIV/0!</v>
      </c>
      <c r="AK950" t="e">
        <f ca="1">Table13345[[#This Row],[Call D1]]-Table13345[[#This Row],[IV Calc C]]*SQRT(Table13345[[#This Row],[T]])</f>
        <v>#DIV/0!</v>
      </c>
      <c r="AL950" t="e">
        <f ca="1">Table13345[[#This Row],[Put D1]]-Table13345[[#This Row],[IV Calc P]]*SQRT(Table13345[[#This Row],[T]])</f>
        <v>#DIV/0!</v>
      </c>
      <c r="AM950" t="e">
        <f ca="1">EXP(-0.5*Table13345[[#This Row],[Call D1]]^2)/SQRT(2*PI())</f>
        <v>#DIV/0!</v>
      </c>
      <c r="AN950" t="e">
        <f ca="1">EXP(-0.5*Table13345[[#This Row],[Put D1]]^2)/SQRT(2*PI())</f>
        <v>#DIV/0!</v>
      </c>
      <c r="AO95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0">
        <f ca="1">((Table13345[[#This Row],[call vanna]]+Table13345[[#This Row],[put vanna]])*$A$4)</f>
        <v>0</v>
      </c>
      <c r="AR95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0" s="9" t="str" cm="1">
        <f t="array" ref="AT950">_xlfn.IFS(     $M$1="SPX","SPXW",     $M$1="RUT","RUTW",  $M$1="NDX","NDXP",   TRUE,$M$1 )</f>
        <v>SPXW</v>
      </c>
      <c r="AU950" s="2">
        <f t="shared" ref="AU950:AU1013" si="97">$N$1</f>
        <v>6915</v>
      </c>
      <c r="AV950" t="str">
        <f t="shared" ref="AV950:AV1013" si="98">$S$2</f>
        <v>000100</v>
      </c>
      <c r="AY95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0">
        <f>((Table13345[[#This Row],[High C]]+Table13345[[#This Row],[Low C]])/2)*Table13345[[#This Row],[gammac]]*Table13345[[#This Row],[Volume]]</f>
        <v>0</v>
      </c>
      <c r="BD950">
        <f>((Table13345[[#This Row],[High P]]+Table13345[[#This Row],[Low P]])/2)*Table13345[[#This Row],[gammap]]*Table13345[[#This Row],[Volume9]]*-1</f>
        <v>0</v>
      </c>
      <c r="BE950">
        <f>(Table13345[[#This Row],[SgammaC]]+Table13345[[#This Row],[SgammaP]])*$A$4*-100</f>
        <v>0</v>
      </c>
      <c r="BF950">
        <f>Table13345[[#This Row],[DEXc]]+Table13345[[#This Row],[DEXp]]</f>
        <v>0</v>
      </c>
      <c r="BG950">
        <f>IFERROR(Table13345[[#This Row],[DeltaC]]*Table13345[[#This Row],[Open.Int]]*$A$4,0)</f>
        <v>0</v>
      </c>
      <c r="BH950">
        <f>IFERROR(Table13345[[#This Row],[DeltaP]]*Table13345[[#This Row],[Open.Int8]]*$A$4,0)</f>
        <v>0</v>
      </c>
      <c r="BI95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0">
        <f ca="1">Table13345[[#This Row],[charmc]]+Table13345[[#This Row],[charmp]]</f>
        <v>0</v>
      </c>
      <c r="BL95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0" s="78">
        <f ca="1">Table13345[[#This Row],[call helper]]+Table13345[[#This Row],[put helper]]</f>
        <v>0</v>
      </c>
      <c r="BP950" t="str">
        <f>RTD("tos.rtd", , "STRIKE", "."&amp;Table13345[[#This Row],[Ticker]]&amp;Table13345[[#This Row],[Expiry]]&amp;""&amp;"C"&amp;Table13345[[#This Row],[Spot]]+Table13345[[#This Row],[step]])</f>
        <v>N/A</v>
      </c>
    </row>
    <row r="951" spans="1:68" x14ac:dyDescent="0.25">
      <c r="A951" s="14">
        <f t="shared" ca="1" si="94"/>
        <v>-126.14810350076104</v>
      </c>
      <c r="C951" s="17"/>
      <c r="D951" t="str">
        <f>RTD("tos.rtd", , "OPEN_INT", "."&amp;Table13345[[#This Row],[Ticker]]&amp;Table13345[[#This Row],[Expiry]]&amp;""&amp;"C"&amp;Table13345[[#This Row],[Spot]]+Table13345[[#This Row],[step]])</f>
        <v>N/A</v>
      </c>
      <c r="E95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1" t="b">
        <f>IF(     ISNUMBER(Table13345[[#This Row],[Strike]]),RTD("tos.rtd", , "DELTA", "."&amp;Table13345[[#This Row],[Ticker]]&amp;Table13345[[#This Row],[Expiry]]&amp;""&amp;"C"&amp;Table13345[[#This Row],[Strike]]))</f>
        <v>0</v>
      </c>
      <c r="H951" s="17" cm="1">
        <f t="array" aca="1" ref="H951" ca="1">IndividualLegIVCore($A$4, Table13345[[#This Row],[Strike]], 0.0411, Table13345[[#This Row],[T]], ((Table13345[[#This Row],[BIDC]]+Table13345[[#This Row],[ASKC]])/2), TRUE)</f>
        <v>0.01</v>
      </c>
      <c r="I951" t="b">
        <f>IF(     ISNUMBER(Table13345[[#This Row],[Strike]]),RTD("tos.rtd", , "BID", "."&amp;Table13345[[#This Row],[Ticker]]&amp;Table13345[[#This Row],[Expiry]]&amp;""&amp;"C"&amp;Table13345[[#This Row],[Strike]]))</f>
        <v>0</v>
      </c>
      <c r="J951" t="b">
        <f>IF(     ISNUMBER(Table13345[[#This Row],[Strike]]),RTD("tos.rtd", , "ASK", "."&amp;Table13345[[#This Row],[Ticker]]&amp;Table13345[[#This Row],[Expiry]]&amp;""&amp;"C"&amp;Table13345[[#This Row],[Strike]]))</f>
        <v>0</v>
      </c>
      <c r="K951" s="17"/>
      <c r="M951" s="1">
        <f t="shared" si="95"/>
        <v>0</v>
      </c>
      <c r="N951" t="b">
        <f t="shared" si="96"/>
        <v>0</v>
      </c>
      <c r="P951" s="17" cm="1">
        <f t="array" aca="1" ref="P951" ca="1">IndividualLegIVCore($A$4, Table13345[[#This Row],[Strike]], 0.0411, Table13345[[#This Row],[T]], ((Table13345[[#This Row],[BIDP]]+Table13345[[#This Row],[ASKP]])/2), FALSE)</f>
        <v>0.01</v>
      </c>
      <c r="Q951" t="b">
        <f>IF(     ISNUMBER(Table13345[[#This Row],[Strike]]),RTD("tos.rtd", , "BID", "."&amp;Table13345[[#This Row],[Ticker]]&amp;Table13345[[#This Row],[Expiry]]&amp;""&amp;"P"&amp;Table13345[[#This Row],[Strike]]))</f>
        <v>0</v>
      </c>
      <c r="R951" t="b">
        <f>IF(     ISNUMBER(Table13345[[#This Row],[Strike]]),RTD("tos.rtd", , "ASK", "."&amp;Table13345[[#This Row],[Ticker]]&amp;Table13345[[#This Row],[Expiry]]&amp;""&amp;"P"&amp;Table13345[[#This Row],[Strike]]))</f>
        <v>0</v>
      </c>
      <c r="S951" s="17"/>
      <c r="T951" t="b">
        <f>IF(     ISNUMBER(Table13345[[#This Row],[Strike]]),RTD("tos.rtd", , "OPEN_INT", "."&amp;Table13345[[#This Row],[Ticker]]&amp;Table13345[[#This Row],[Expiry]]&amp;""&amp;"P"&amp;Table13345[[#This Row],[Strike]]))</f>
        <v>0</v>
      </c>
      <c r="U95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1" t="b">
        <f>IF(     ISNUMBER(Table13345[[#This Row],[Strike]]),RTD("tos.rtd", , "DELTA", "."&amp;Table13345[[#This Row],[Ticker]]&amp;Table13345[[#This Row],[Expiry]]&amp;""&amp;"P"&amp;Table13345[[#This Row],[Strike]]))</f>
        <v>0</v>
      </c>
      <c r="Y951" s="19">
        <f>14.5* IF($M$1="NDX", 10, IF(OR($M$1="SPX", $M$1="RUT"), 2, 1))</f>
        <v>29</v>
      </c>
      <c r="Z951">
        <f ca="1">IFERROR(Table13345[[#This Row],[call gamma]]*(Table13345[[#This Row],[Open.Int]])*$A$4^2,0)</f>
        <v>0</v>
      </c>
      <c r="AA951">
        <f ca="1">IFERROR(((Table13345[[#This Row],[Open.Int8]])*Table13345[[#This Row],[Put gamma]])*-1*$A$4^2,0)</f>
        <v>0</v>
      </c>
      <c r="AB951">
        <f ca="1">(Table13345[[#This Row],[Call Gex]]+Table13345[[#This Row],[Put Gex]])</f>
        <v>0</v>
      </c>
      <c r="AC951">
        <f ca="1">Table13345[[#This Row],[put delta adj]]+Table13345[[#This Row],[call delta adj]]</f>
        <v>0</v>
      </c>
      <c r="AD951">
        <f ca="1">Table13345[[#This Row],[Put Gex]]*Table13345[[#This Row],[DeltaP]]*-1</f>
        <v>0</v>
      </c>
      <c r="AE951">
        <f ca="1">Table13345[[#This Row],[Call Gex]]*Table13345[[#This Row],[DeltaC]]</f>
        <v>0</v>
      </c>
      <c r="AF951">
        <f>IF(Table13345[[#This Row],[DeltaC]]-ABS(Table13345[[#This Row],[DeltaP]])="0","0.01",Table13345[[#This Row],[DeltaC]]-ABS(Table13345[[#This Row],[DeltaP]]))</f>
        <v>0</v>
      </c>
      <c r="AG95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1" t="e">
        <f ca="1">(EXP(-(AG951^2)/2)/SQRT(2*PI())*EXP(0*SQRT(Table13345[[#This Row],[T]]))/$A$4*18%*SQRT(SQRT(Table13345[[#This Row],[T]])))</f>
        <v>#DIV/0!</v>
      </c>
      <c r="AJ951" t="e">
        <f ca="1">(EXP(-(AH951^2)/2)/SQRT(2*PI())*EXP(0*SQRT(Table13345[[#This Row],[T]]))/$A$4*18%*SQRT(SQRT(Table13345[[#This Row],[T]])))</f>
        <v>#DIV/0!</v>
      </c>
      <c r="AK951" t="e">
        <f ca="1">Table13345[[#This Row],[Call D1]]-Table13345[[#This Row],[IV Calc C]]*SQRT(Table13345[[#This Row],[T]])</f>
        <v>#DIV/0!</v>
      </c>
      <c r="AL951" t="e">
        <f ca="1">Table13345[[#This Row],[Put D1]]-Table13345[[#This Row],[IV Calc P]]*SQRT(Table13345[[#This Row],[T]])</f>
        <v>#DIV/0!</v>
      </c>
      <c r="AM951" t="e">
        <f ca="1">EXP(-0.5*Table13345[[#This Row],[Call D1]]^2)/SQRT(2*PI())</f>
        <v>#DIV/0!</v>
      </c>
      <c r="AN951" t="e">
        <f ca="1">EXP(-0.5*Table13345[[#This Row],[Put D1]]^2)/SQRT(2*PI())</f>
        <v>#DIV/0!</v>
      </c>
      <c r="AO95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1">
        <f ca="1">((Table13345[[#This Row],[call vanna]]+Table13345[[#This Row],[put vanna]])*$A$4)</f>
        <v>0</v>
      </c>
      <c r="AR95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1" s="9" t="str" cm="1">
        <f t="array" ref="AT951">_xlfn.IFS(     $M$1="SPX","SPXW",     $M$1="RUT","RUTW",  $M$1="NDX","NDXP",   TRUE,$M$1 )</f>
        <v>SPXW</v>
      </c>
      <c r="AU951" s="2">
        <f t="shared" si="97"/>
        <v>6915</v>
      </c>
      <c r="AV951" t="str">
        <f t="shared" si="98"/>
        <v>000100</v>
      </c>
      <c r="AY95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1">
        <f>((Table13345[[#This Row],[High C]]+Table13345[[#This Row],[Low C]])/2)*Table13345[[#This Row],[gammac]]*Table13345[[#This Row],[Volume]]</f>
        <v>0</v>
      </c>
      <c r="BD951">
        <f>((Table13345[[#This Row],[High P]]+Table13345[[#This Row],[Low P]])/2)*Table13345[[#This Row],[gammap]]*Table13345[[#This Row],[Volume9]]*-1</f>
        <v>0</v>
      </c>
      <c r="BE951">
        <f>(Table13345[[#This Row],[SgammaC]]+Table13345[[#This Row],[SgammaP]])*$A$4*-100</f>
        <v>0</v>
      </c>
      <c r="BF951">
        <f>Table13345[[#This Row],[DEXc]]+Table13345[[#This Row],[DEXp]]</f>
        <v>0</v>
      </c>
      <c r="BG951">
        <f>IFERROR(Table13345[[#This Row],[DeltaC]]*Table13345[[#This Row],[Open.Int]]*$A$4,0)</f>
        <v>0</v>
      </c>
      <c r="BH951">
        <f>IFERROR(Table13345[[#This Row],[DeltaP]]*Table13345[[#This Row],[Open.Int8]]*$A$4,0)</f>
        <v>0</v>
      </c>
      <c r="BI95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1">
        <f ca="1">Table13345[[#This Row],[charmc]]+Table13345[[#This Row],[charmp]]</f>
        <v>0</v>
      </c>
      <c r="BL95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1" s="78">
        <f ca="1">Table13345[[#This Row],[call helper]]+Table13345[[#This Row],[put helper]]</f>
        <v>0</v>
      </c>
      <c r="BP951" t="str">
        <f>RTD("tos.rtd", , "STRIKE", "."&amp;Table13345[[#This Row],[Ticker]]&amp;Table13345[[#This Row],[Expiry]]&amp;""&amp;"C"&amp;Table13345[[#This Row],[Spot]]+Table13345[[#This Row],[step]])</f>
        <v>N/A</v>
      </c>
    </row>
    <row r="952" spans="1:68" x14ac:dyDescent="0.25">
      <c r="A952" s="14">
        <f t="shared" ca="1" si="94"/>
        <v>-126.14810350076104</v>
      </c>
      <c r="C952" s="17"/>
      <c r="D952" t="str">
        <f>RTD("tos.rtd", , "OPEN_INT", "."&amp;Table13345[[#This Row],[Ticker]]&amp;Table13345[[#This Row],[Expiry]]&amp;""&amp;"C"&amp;Table13345[[#This Row],[Spot]]+Table13345[[#This Row],[step]])</f>
        <v>N/A</v>
      </c>
      <c r="E95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2" t="b">
        <f>IF(     ISNUMBER(Table13345[[#This Row],[Strike]]),RTD("tos.rtd", , "DELTA", "."&amp;Table13345[[#This Row],[Ticker]]&amp;Table13345[[#This Row],[Expiry]]&amp;""&amp;"C"&amp;Table13345[[#This Row],[Strike]]))</f>
        <v>0</v>
      </c>
      <c r="H952" s="17" cm="1">
        <f t="array" aca="1" ref="H952" ca="1">IndividualLegIVCore($A$4, Table13345[[#This Row],[Strike]], 0.0411, Table13345[[#This Row],[T]], ((Table13345[[#This Row],[BIDC]]+Table13345[[#This Row],[ASKC]])/2), TRUE)</f>
        <v>0.01</v>
      </c>
      <c r="I952" t="b">
        <f>IF(     ISNUMBER(Table13345[[#This Row],[Strike]]),RTD("tos.rtd", , "BID", "."&amp;Table13345[[#This Row],[Ticker]]&amp;Table13345[[#This Row],[Expiry]]&amp;""&amp;"C"&amp;Table13345[[#This Row],[Strike]]))</f>
        <v>0</v>
      </c>
      <c r="J952" t="b">
        <f>IF(     ISNUMBER(Table13345[[#This Row],[Strike]]),RTD("tos.rtd", , "ASK", "."&amp;Table13345[[#This Row],[Ticker]]&amp;Table13345[[#This Row],[Expiry]]&amp;""&amp;"C"&amp;Table13345[[#This Row],[Strike]]))</f>
        <v>0</v>
      </c>
      <c r="K952" s="17"/>
      <c r="M952" s="1">
        <f t="shared" si="95"/>
        <v>0</v>
      </c>
      <c r="N952" t="b">
        <f t="shared" si="96"/>
        <v>0</v>
      </c>
      <c r="P952" s="17" cm="1">
        <f t="array" aca="1" ref="P952" ca="1">IndividualLegIVCore($A$4, Table13345[[#This Row],[Strike]], 0.0411, Table13345[[#This Row],[T]], ((Table13345[[#This Row],[BIDP]]+Table13345[[#This Row],[ASKP]])/2), FALSE)</f>
        <v>0.01</v>
      </c>
      <c r="Q952" t="b">
        <f>IF(     ISNUMBER(Table13345[[#This Row],[Strike]]),RTD("tos.rtd", , "BID", "."&amp;Table13345[[#This Row],[Ticker]]&amp;Table13345[[#This Row],[Expiry]]&amp;""&amp;"P"&amp;Table13345[[#This Row],[Strike]]))</f>
        <v>0</v>
      </c>
      <c r="R952" t="b">
        <f>IF(     ISNUMBER(Table13345[[#This Row],[Strike]]),RTD("tos.rtd", , "ASK", "."&amp;Table13345[[#This Row],[Ticker]]&amp;Table13345[[#This Row],[Expiry]]&amp;""&amp;"P"&amp;Table13345[[#This Row],[Strike]]))</f>
        <v>0</v>
      </c>
      <c r="S952" s="17"/>
      <c r="T952" t="b">
        <f>IF(     ISNUMBER(Table13345[[#This Row],[Strike]]),RTD("tos.rtd", , "OPEN_INT", "."&amp;Table13345[[#This Row],[Ticker]]&amp;Table13345[[#This Row],[Expiry]]&amp;""&amp;"P"&amp;Table13345[[#This Row],[Strike]]))</f>
        <v>0</v>
      </c>
      <c r="U95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2" t="b">
        <f>IF(     ISNUMBER(Table13345[[#This Row],[Strike]]),RTD("tos.rtd", , "DELTA", "."&amp;Table13345[[#This Row],[Ticker]]&amp;Table13345[[#This Row],[Expiry]]&amp;""&amp;"P"&amp;Table13345[[#This Row],[Strike]]))</f>
        <v>0</v>
      </c>
      <c r="Y952" s="19">
        <f>15* IF($M$1="NDX", 10, IF(OR($M$1="SPX", $M$1="RUT"), 2, 1))</f>
        <v>30</v>
      </c>
      <c r="Z952">
        <f ca="1">IFERROR(Table13345[[#This Row],[call gamma]]*(Table13345[[#This Row],[Open.Int]])*$A$4^2,0)</f>
        <v>0</v>
      </c>
      <c r="AA952">
        <f ca="1">IFERROR(((Table13345[[#This Row],[Open.Int8]])*Table13345[[#This Row],[Put gamma]])*-1*$A$4^2,0)</f>
        <v>0</v>
      </c>
      <c r="AB952">
        <f ca="1">(Table13345[[#This Row],[Call Gex]]+Table13345[[#This Row],[Put Gex]])</f>
        <v>0</v>
      </c>
      <c r="AC952">
        <f ca="1">Table13345[[#This Row],[put delta adj]]+Table13345[[#This Row],[call delta adj]]</f>
        <v>0</v>
      </c>
      <c r="AD952">
        <f ca="1">Table13345[[#This Row],[Put Gex]]*Table13345[[#This Row],[DeltaP]]*-1</f>
        <v>0</v>
      </c>
      <c r="AE952">
        <f ca="1">Table13345[[#This Row],[Call Gex]]*Table13345[[#This Row],[DeltaC]]</f>
        <v>0</v>
      </c>
      <c r="AF952">
        <f>IF(Table13345[[#This Row],[DeltaC]]-ABS(Table13345[[#This Row],[DeltaP]])="0","0.01",Table13345[[#This Row],[DeltaC]]-ABS(Table13345[[#This Row],[DeltaP]]))</f>
        <v>0</v>
      </c>
      <c r="AG95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2" t="e">
        <f ca="1">(EXP(-(AG952^2)/2)/SQRT(2*PI())*EXP(0*SQRT(Table13345[[#This Row],[T]]))/$A$4*18%*SQRT(SQRT(Table13345[[#This Row],[T]])))</f>
        <v>#DIV/0!</v>
      </c>
      <c r="AJ952" t="e">
        <f ca="1">(EXP(-(AH952^2)/2)/SQRT(2*PI())*EXP(0*SQRT(Table13345[[#This Row],[T]]))/$A$4*18%*SQRT(SQRT(Table13345[[#This Row],[T]])))</f>
        <v>#DIV/0!</v>
      </c>
      <c r="AK952" t="e">
        <f ca="1">Table13345[[#This Row],[Call D1]]-Table13345[[#This Row],[IV Calc C]]*SQRT(Table13345[[#This Row],[T]])</f>
        <v>#DIV/0!</v>
      </c>
      <c r="AL952" t="e">
        <f ca="1">Table13345[[#This Row],[Put D1]]-Table13345[[#This Row],[IV Calc P]]*SQRT(Table13345[[#This Row],[T]])</f>
        <v>#DIV/0!</v>
      </c>
      <c r="AM952" t="e">
        <f ca="1">EXP(-0.5*Table13345[[#This Row],[Call D1]]^2)/SQRT(2*PI())</f>
        <v>#DIV/0!</v>
      </c>
      <c r="AN952" t="e">
        <f ca="1">EXP(-0.5*Table13345[[#This Row],[Put D1]]^2)/SQRT(2*PI())</f>
        <v>#DIV/0!</v>
      </c>
      <c r="AO95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2">
        <f ca="1">((Table13345[[#This Row],[call vanna]]+Table13345[[#This Row],[put vanna]])*$A$4)</f>
        <v>0</v>
      </c>
      <c r="AR95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2" s="9" t="str" cm="1">
        <f t="array" ref="AT952">_xlfn.IFS(     $M$1="SPX","SPXW",     $M$1="RUT","RUTW",  $M$1="NDX","NDXP",   TRUE,$M$1 )</f>
        <v>SPXW</v>
      </c>
      <c r="AU952" s="2">
        <f t="shared" si="97"/>
        <v>6915</v>
      </c>
      <c r="AV952" t="str">
        <f t="shared" si="98"/>
        <v>000100</v>
      </c>
      <c r="AY95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2">
        <f>((Table13345[[#This Row],[High C]]+Table13345[[#This Row],[Low C]])/2)*Table13345[[#This Row],[gammac]]*Table13345[[#This Row],[Volume]]</f>
        <v>0</v>
      </c>
      <c r="BD952">
        <f>((Table13345[[#This Row],[High P]]+Table13345[[#This Row],[Low P]])/2)*Table13345[[#This Row],[gammap]]*Table13345[[#This Row],[Volume9]]*-1</f>
        <v>0</v>
      </c>
      <c r="BE952">
        <f>(Table13345[[#This Row],[SgammaC]]+Table13345[[#This Row],[SgammaP]])*$A$4*-100</f>
        <v>0</v>
      </c>
      <c r="BF952">
        <f>Table13345[[#This Row],[DEXc]]+Table13345[[#This Row],[DEXp]]</f>
        <v>0</v>
      </c>
      <c r="BG952">
        <f>IFERROR(Table13345[[#This Row],[DeltaC]]*Table13345[[#This Row],[Open.Int]]*$A$4,0)</f>
        <v>0</v>
      </c>
      <c r="BH952">
        <f>IFERROR(Table13345[[#This Row],[DeltaP]]*Table13345[[#This Row],[Open.Int8]]*$A$4,0)</f>
        <v>0</v>
      </c>
      <c r="BI95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2">
        <f ca="1">Table13345[[#This Row],[charmc]]+Table13345[[#This Row],[charmp]]</f>
        <v>0</v>
      </c>
      <c r="BL95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2" s="78">
        <f ca="1">Table13345[[#This Row],[call helper]]+Table13345[[#This Row],[put helper]]</f>
        <v>0</v>
      </c>
      <c r="BP952" t="str">
        <f>RTD("tos.rtd", , "STRIKE", "."&amp;Table13345[[#This Row],[Ticker]]&amp;Table13345[[#This Row],[Expiry]]&amp;""&amp;"C"&amp;Table13345[[#This Row],[Spot]]+Table13345[[#This Row],[step]])</f>
        <v>N/A</v>
      </c>
    </row>
    <row r="953" spans="1:68" x14ac:dyDescent="0.25">
      <c r="A953" s="14">
        <f t="shared" ca="1" si="94"/>
        <v>-126.14810350076104</v>
      </c>
      <c r="C953" s="17"/>
      <c r="D953" t="str">
        <f>RTD("tos.rtd", , "OPEN_INT", "."&amp;Table13345[[#This Row],[Ticker]]&amp;Table13345[[#This Row],[Expiry]]&amp;""&amp;"C"&amp;Table13345[[#This Row],[Spot]]+Table13345[[#This Row],[step]])</f>
        <v>N/A</v>
      </c>
      <c r="E95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3" t="b">
        <f>IF(     ISNUMBER(Table13345[[#This Row],[Strike]]),RTD("tos.rtd", , "DELTA", "."&amp;Table13345[[#This Row],[Ticker]]&amp;Table13345[[#This Row],[Expiry]]&amp;""&amp;"C"&amp;Table13345[[#This Row],[Strike]]))</f>
        <v>0</v>
      </c>
      <c r="H953" s="17" cm="1">
        <f t="array" aca="1" ref="H953" ca="1">IndividualLegIVCore($A$4, Table13345[[#This Row],[Strike]], 0.0411, Table13345[[#This Row],[T]], ((Table13345[[#This Row],[BIDC]]+Table13345[[#This Row],[ASKC]])/2), TRUE)</f>
        <v>0.01</v>
      </c>
      <c r="I953" t="b">
        <f>IF(     ISNUMBER(Table13345[[#This Row],[Strike]]),RTD("tos.rtd", , "BID", "."&amp;Table13345[[#This Row],[Ticker]]&amp;Table13345[[#This Row],[Expiry]]&amp;""&amp;"C"&amp;Table13345[[#This Row],[Strike]]))</f>
        <v>0</v>
      </c>
      <c r="J953" t="b">
        <f>IF(     ISNUMBER(Table13345[[#This Row],[Strike]]),RTD("tos.rtd", , "ASK", "."&amp;Table13345[[#This Row],[Ticker]]&amp;Table13345[[#This Row],[Expiry]]&amp;""&amp;"C"&amp;Table13345[[#This Row],[Strike]]))</f>
        <v>0</v>
      </c>
      <c r="K953" s="17"/>
      <c r="M953" s="1">
        <f t="shared" si="95"/>
        <v>0</v>
      </c>
      <c r="N953" t="b">
        <f t="shared" si="96"/>
        <v>0</v>
      </c>
      <c r="P953" s="17" cm="1">
        <f t="array" aca="1" ref="P953" ca="1">IndividualLegIVCore($A$4, Table13345[[#This Row],[Strike]], 0.0411, Table13345[[#This Row],[T]], ((Table13345[[#This Row],[BIDP]]+Table13345[[#This Row],[ASKP]])/2), FALSE)</f>
        <v>0.01</v>
      </c>
      <c r="Q953" t="b">
        <f>IF(     ISNUMBER(Table13345[[#This Row],[Strike]]),RTD("tos.rtd", , "BID", "."&amp;Table13345[[#This Row],[Ticker]]&amp;Table13345[[#This Row],[Expiry]]&amp;""&amp;"P"&amp;Table13345[[#This Row],[Strike]]))</f>
        <v>0</v>
      </c>
      <c r="R953" t="b">
        <f>IF(     ISNUMBER(Table13345[[#This Row],[Strike]]),RTD("tos.rtd", , "ASK", "."&amp;Table13345[[#This Row],[Ticker]]&amp;Table13345[[#This Row],[Expiry]]&amp;""&amp;"P"&amp;Table13345[[#This Row],[Strike]]))</f>
        <v>0</v>
      </c>
      <c r="S953" s="17"/>
      <c r="T953" t="b">
        <f>IF(     ISNUMBER(Table13345[[#This Row],[Strike]]),RTD("tos.rtd", , "OPEN_INT", "."&amp;Table13345[[#This Row],[Ticker]]&amp;Table13345[[#This Row],[Expiry]]&amp;""&amp;"P"&amp;Table13345[[#This Row],[Strike]]))</f>
        <v>0</v>
      </c>
      <c r="U95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3" t="b">
        <f>IF(     ISNUMBER(Table13345[[#This Row],[Strike]]),RTD("tos.rtd", , "DELTA", "."&amp;Table13345[[#This Row],[Ticker]]&amp;Table13345[[#This Row],[Expiry]]&amp;""&amp;"P"&amp;Table13345[[#This Row],[Strike]]))</f>
        <v>0</v>
      </c>
      <c r="Y953" s="19">
        <f>15.5* IF($M$1="NDX", 10, IF(OR($M$1="SPX", $M$1="RUT"), 2, 1))</f>
        <v>31</v>
      </c>
      <c r="Z953">
        <f ca="1">IFERROR(Table13345[[#This Row],[call gamma]]*(Table13345[[#This Row],[Open.Int]])*$A$4^2,0)</f>
        <v>0</v>
      </c>
      <c r="AA953">
        <f ca="1">IFERROR(((Table13345[[#This Row],[Open.Int8]])*Table13345[[#This Row],[Put gamma]])*-1*$A$4^2,0)</f>
        <v>0</v>
      </c>
      <c r="AB953">
        <f ca="1">(Table13345[[#This Row],[Call Gex]]+Table13345[[#This Row],[Put Gex]])</f>
        <v>0</v>
      </c>
      <c r="AC953">
        <f ca="1">Table13345[[#This Row],[put delta adj]]+Table13345[[#This Row],[call delta adj]]</f>
        <v>0</v>
      </c>
      <c r="AD953">
        <f ca="1">Table13345[[#This Row],[Put Gex]]*Table13345[[#This Row],[DeltaP]]*-1</f>
        <v>0</v>
      </c>
      <c r="AE953">
        <f ca="1">Table13345[[#This Row],[Call Gex]]*Table13345[[#This Row],[DeltaC]]</f>
        <v>0</v>
      </c>
      <c r="AF953">
        <f>IF(Table13345[[#This Row],[DeltaC]]-ABS(Table13345[[#This Row],[DeltaP]])="0","0.01",Table13345[[#This Row],[DeltaC]]-ABS(Table13345[[#This Row],[DeltaP]]))</f>
        <v>0</v>
      </c>
      <c r="AG95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3" t="e">
        <f ca="1">(EXP(-(AG953^2)/2)/SQRT(2*PI())*EXP(0*SQRT(Table13345[[#This Row],[T]]))/$A$4*18%*SQRT(SQRT(Table13345[[#This Row],[T]])))</f>
        <v>#DIV/0!</v>
      </c>
      <c r="AJ953" t="e">
        <f ca="1">(EXP(-(AH953^2)/2)/SQRT(2*PI())*EXP(0*SQRT(Table13345[[#This Row],[T]]))/$A$4*18%*SQRT(SQRT(Table13345[[#This Row],[T]])))</f>
        <v>#DIV/0!</v>
      </c>
      <c r="AK953" t="e">
        <f ca="1">Table13345[[#This Row],[Call D1]]-Table13345[[#This Row],[IV Calc C]]*SQRT(Table13345[[#This Row],[T]])</f>
        <v>#DIV/0!</v>
      </c>
      <c r="AL953" t="e">
        <f ca="1">Table13345[[#This Row],[Put D1]]-Table13345[[#This Row],[IV Calc P]]*SQRT(Table13345[[#This Row],[T]])</f>
        <v>#DIV/0!</v>
      </c>
      <c r="AM953" t="e">
        <f ca="1">EXP(-0.5*Table13345[[#This Row],[Call D1]]^2)/SQRT(2*PI())</f>
        <v>#DIV/0!</v>
      </c>
      <c r="AN953" t="e">
        <f ca="1">EXP(-0.5*Table13345[[#This Row],[Put D1]]^2)/SQRT(2*PI())</f>
        <v>#DIV/0!</v>
      </c>
      <c r="AO95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3">
        <f ca="1">((Table13345[[#This Row],[call vanna]]+Table13345[[#This Row],[put vanna]])*$A$4)</f>
        <v>0</v>
      </c>
      <c r="AR95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3" s="9" t="str" cm="1">
        <f t="array" ref="AT953">_xlfn.IFS(     $M$1="SPX","SPXW",     $M$1="RUT","RUTW",  $M$1="NDX","NDXP",   TRUE,$M$1 )</f>
        <v>SPXW</v>
      </c>
      <c r="AU953" s="2">
        <f t="shared" si="97"/>
        <v>6915</v>
      </c>
      <c r="AV953" t="str">
        <f t="shared" si="98"/>
        <v>000100</v>
      </c>
      <c r="AY95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3">
        <f>((Table13345[[#This Row],[High C]]+Table13345[[#This Row],[Low C]])/2)*Table13345[[#This Row],[gammac]]*Table13345[[#This Row],[Volume]]</f>
        <v>0</v>
      </c>
      <c r="BD953">
        <f>((Table13345[[#This Row],[High P]]+Table13345[[#This Row],[Low P]])/2)*Table13345[[#This Row],[gammap]]*Table13345[[#This Row],[Volume9]]*-1</f>
        <v>0</v>
      </c>
      <c r="BE953">
        <f>(Table13345[[#This Row],[SgammaC]]+Table13345[[#This Row],[SgammaP]])*$A$4*-100</f>
        <v>0</v>
      </c>
      <c r="BF953">
        <f>Table13345[[#This Row],[DEXc]]+Table13345[[#This Row],[DEXp]]</f>
        <v>0</v>
      </c>
      <c r="BG953">
        <f>IFERROR(Table13345[[#This Row],[DeltaC]]*Table13345[[#This Row],[Open.Int]]*$A$4,0)</f>
        <v>0</v>
      </c>
      <c r="BH953">
        <f>IFERROR(Table13345[[#This Row],[DeltaP]]*Table13345[[#This Row],[Open.Int8]]*$A$4,0)</f>
        <v>0</v>
      </c>
      <c r="BI95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3">
        <f ca="1">Table13345[[#This Row],[charmc]]+Table13345[[#This Row],[charmp]]</f>
        <v>0</v>
      </c>
      <c r="BL95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3" s="78">
        <f ca="1">Table13345[[#This Row],[call helper]]+Table13345[[#This Row],[put helper]]</f>
        <v>0</v>
      </c>
      <c r="BP953" t="str">
        <f>RTD("tos.rtd", , "STRIKE", "."&amp;Table13345[[#This Row],[Ticker]]&amp;Table13345[[#This Row],[Expiry]]&amp;""&amp;"C"&amp;Table13345[[#This Row],[Spot]]+Table13345[[#This Row],[step]])</f>
        <v>N/A</v>
      </c>
    </row>
    <row r="954" spans="1:68" x14ac:dyDescent="0.25">
      <c r="A954" s="14">
        <f t="shared" ca="1" si="94"/>
        <v>-126.14810350076104</v>
      </c>
      <c r="C954" s="17"/>
      <c r="D954" t="str">
        <f>RTD("tos.rtd", , "OPEN_INT", "."&amp;Table13345[[#This Row],[Ticker]]&amp;Table13345[[#This Row],[Expiry]]&amp;""&amp;"C"&amp;Table13345[[#This Row],[Spot]]+Table13345[[#This Row],[step]])</f>
        <v>N/A</v>
      </c>
      <c r="E95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4" t="b">
        <f>IF(     ISNUMBER(Table13345[[#This Row],[Strike]]),RTD("tos.rtd", , "DELTA", "."&amp;Table13345[[#This Row],[Ticker]]&amp;Table13345[[#This Row],[Expiry]]&amp;""&amp;"C"&amp;Table13345[[#This Row],[Strike]]))</f>
        <v>0</v>
      </c>
      <c r="H954" s="17" cm="1">
        <f t="array" aca="1" ref="H954" ca="1">IndividualLegIVCore($A$4, Table13345[[#This Row],[Strike]], 0.0411, Table13345[[#This Row],[T]], ((Table13345[[#This Row],[BIDC]]+Table13345[[#This Row],[ASKC]])/2), TRUE)</f>
        <v>0.01</v>
      </c>
      <c r="I954" t="b">
        <f>IF(     ISNUMBER(Table13345[[#This Row],[Strike]]),RTD("tos.rtd", , "BID", "."&amp;Table13345[[#This Row],[Ticker]]&amp;Table13345[[#This Row],[Expiry]]&amp;""&amp;"C"&amp;Table13345[[#This Row],[Strike]]))</f>
        <v>0</v>
      </c>
      <c r="J954" t="b">
        <f>IF(     ISNUMBER(Table13345[[#This Row],[Strike]]),RTD("tos.rtd", , "ASK", "."&amp;Table13345[[#This Row],[Ticker]]&amp;Table13345[[#This Row],[Expiry]]&amp;""&amp;"C"&amp;Table13345[[#This Row],[Strike]]))</f>
        <v>0</v>
      </c>
      <c r="K954" s="17"/>
      <c r="M954" s="1">
        <f t="shared" si="95"/>
        <v>0</v>
      </c>
      <c r="N954" t="b">
        <f t="shared" si="96"/>
        <v>0</v>
      </c>
      <c r="P954" s="17" cm="1">
        <f t="array" aca="1" ref="P954" ca="1">IndividualLegIVCore($A$4, Table13345[[#This Row],[Strike]], 0.0411, Table13345[[#This Row],[T]], ((Table13345[[#This Row],[BIDP]]+Table13345[[#This Row],[ASKP]])/2), FALSE)</f>
        <v>0.01</v>
      </c>
      <c r="Q954" t="b">
        <f>IF(     ISNUMBER(Table13345[[#This Row],[Strike]]),RTD("tos.rtd", , "BID", "."&amp;Table13345[[#This Row],[Ticker]]&amp;Table13345[[#This Row],[Expiry]]&amp;""&amp;"P"&amp;Table13345[[#This Row],[Strike]]))</f>
        <v>0</v>
      </c>
      <c r="R954" t="b">
        <f>IF(     ISNUMBER(Table13345[[#This Row],[Strike]]),RTD("tos.rtd", , "ASK", "."&amp;Table13345[[#This Row],[Ticker]]&amp;Table13345[[#This Row],[Expiry]]&amp;""&amp;"P"&amp;Table13345[[#This Row],[Strike]]))</f>
        <v>0</v>
      </c>
      <c r="S954" s="17"/>
      <c r="T954" t="b">
        <f>IF(     ISNUMBER(Table13345[[#This Row],[Strike]]),RTD("tos.rtd", , "OPEN_INT", "."&amp;Table13345[[#This Row],[Ticker]]&amp;Table13345[[#This Row],[Expiry]]&amp;""&amp;"P"&amp;Table13345[[#This Row],[Strike]]))</f>
        <v>0</v>
      </c>
      <c r="U95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4" t="b">
        <f>IF(     ISNUMBER(Table13345[[#This Row],[Strike]]),RTD("tos.rtd", , "DELTA", "."&amp;Table13345[[#This Row],[Ticker]]&amp;Table13345[[#This Row],[Expiry]]&amp;""&amp;"P"&amp;Table13345[[#This Row],[Strike]]))</f>
        <v>0</v>
      </c>
      <c r="Y954" s="19">
        <f>16* IF($M$1="NDX", 10, IF(OR($M$1="SPX", $M$1="RUT"), 2, 1))</f>
        <v>32</v>
      </c>
      <c r="Z954">
        <f ca="1">IFERROR(Table13345[[#This Row],[call gamma]]*(Table13345[[#This Row],[Open.Int]])*$A$4^2,0)</f>
        <v>0</v>
      </c>
      <c r="AA954">
        <f ca="1">IFERROR(((Table13345[[#This Row],[Open.Int8]])*Table13345[[#This Row],[Put gamma]])*-1*$A$4^2,0)</f>
        <v>0</v>
      </c>
      <c r="AB954">
        <f ca="1">(Table13345[[#This Row],[Call Gex]]+Table13345[[#This Row],[Put Gex]])</f>
        <v>0</v>
      </c>
      <c r="AC954">
        <f ca="1">Table13345[[#This Row],[put delta adj]]+Table13345[[#This Row],[call delta adj]]</f>
        <v>0</v>
      </c>
      <c r="AD954">
        <f ca="1">Table13345[[#This Row],[Put Gex]]*Table13345[[#This Row],[DeltaP]]*-1</f>
        <v>0</v>
      </c>
      <c r="AE954">
        <f ca="1">Table13345[[#This Row],[Call Gex]]*Table13345[[#This Row],[DeltaC]]</f>
        <v>0</v>
      </c>
      <c r="AF954">
        <f>IF(Table13345[[#This Row],[DeltaC]]-ABS(Table13345[[#This Row],[DeltaP]])="0","0.01",Table13345[[#This Row],[DeltaC]]-ABS(Table13345[[#This Row],[DeltaP]]))</f>
        <v>0</v>
      </c>
      <c r="AG95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4" t="e">
        <f ca="1">(EXP(-(AG954^2)/2)/SQRT(2*PI())*EXP(0*SQRT(Table13345[[#This Row],[T]]))/$A$4*18%*SQRT(SQRT(Table13345[[#This Row],[T]])))</f>
        <v>#DIV/0!</v>
      </c>
      <c r="AJ954" t="e">
        <f ca="1">(EXP(-(AH954^2)/2)/SQRT(2*PI())*EXP(0*SQRT(Table13345[[#This Row],[T]]))/$A$4*18%*SQRT(SQRT(Table13345[[#This Row],[T]])))</f>
        <v>#DIV/0!</v>
      </c>
      <c r="AK954" t="e">
        <f ca="1">Table13345[[#This Row],[Call D1]]-Table13345[[#This Row],[IV Calc C]]*SQRT(Table13345[[#This Row],[T]])</f>
        <v>#DIV/0!</v>
      </c>
      <c r="AL954" t="e">
        <f ca="1">Table13345[[#This Row],[Put D1]]-Table13345[[#This Row],[IV Calc P]]*SQRT(Table13345[[#This Row],[T]])</f>
        <v>#DIV/0!</v>
      </c>
      <c r="AM954" t="e">
        <f ca="1">EXP(-0.5*Table13345[[#This Row],[Call D1]]^2)/SQRT(2*PI())</f>
        <v>#DIV/0!</v>
      </c>
      <c r="AN954" t="e">
        <f ca="1">EXP(-0.5*Table13345[[#This Row],[Put D1]]^2)/SQRT(2*PI())</f>
        <v>#DIV/0!</v>
      </c>
      <c r="AO95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4">
        <f ca="1">((Table13345[[#This Row],[call vanna]]+Table13345[[#This Row],[put vanna]])*$A$4)</f>
        <v>0</v>
      </c>
      <c r="AR95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4" s="9" t="str" cm="1">
        <f t="array" ref="AT954">_xlfn.IFS(     $M$1="SPX","SPXW",     $M$1="RUT","RUTW",  $M$1="NDX","NDXP",   TRUE,$M$1 )</f>
        <v>SPXW</v>
      </c>
      <c r="AU954" s="2">
        <f t="shared" si="97"/>
        <v>6915</v>
      </c>
      <c r="AV954" t="str">
        <f t="shared" si="98"/>
        <v>000100</v>
      </c>
      <c r="AY95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4">
        <f>((Table13345[[#This Row],[High C]]+Table13345[[#This Row],[Low C]])/2)*Table13345[[#This Row],[gammac]]*Table13345[[#This Row],[Volume]]</f>
        <v>0</v>
      </c>
      <c r="BD954">
        <f>((Table13345[[#This Row],[High P]]+Table13345[[#This Row],[Low P]])/2)*Table13345[[#This Row],[gammap]]*Table13345[[#This Row],[Volume9]]*-1</f>
        <v>0</v>
      </c>
      <c r="BE954">
        <f>(Table13345[[#This Row],[SgammaC]]+Table13345[[#This Row],[SgammaP]])*$A$4*-100</f>
        <v>0</v>
      </c>
      <c r="BF954">
        <f>Table13345[[#This Row],[DEXc]]+Table13345[[#This Row],[DEXp]]</f>
        <v>0</v>
      </c>
      <c r="BG954">
        <f>IFERROR(Table13345[[#This Row],[DeltaC]]*Table13345[[#This Row],[Open.Int]]*$A$4,0)</f>
        <v>0</v>
      </c>
      <c r="BH954">
        <f>IFERROR(Table13345[[#This Row],[DeltaP]]*Table13345[[#This Row],[Open.Int8]]*$A$4,0)</f>
        <v>0</v>
      </c>
      <c r="BI95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4">
        <f ca="1">Table13345[[#This Row],[charmc]]+Table13345[[#This Row],[charmp]]</f>
        <v>0</v>
      </c>
      <c r="BL95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4" s="78">
        <f ca="1">Table13345[[#This Row],[call helper]]+Table13345[[#This Row],[put helper]]</f>
        <v>0</v>
      </c>
      <c r="BP954" t="str">
        <f>RTD("tos.rtd", , "STRIKE", "."&amp;Table13345[[#This Row],[Ticker]]&amp;Table13345[[#This Row],[Expiry]]&amp;""&amp;"C"&amp;Table13345[[#This Row],[Spot]]+Table13345[[#This Row],[step]])</f>
        <v>N/A</v>
      </c>
    </row>
    <row r="955" spans="1:68" x14ac:dyDescent="0.25">
      <c r="A955" s="14">
        <f t="shared" ca="1" si="94"/>
        <v>-126.14810350076104</v>
      </c>
      <c r="C955" s="17"/>
      <c r="D955" t="str">
        <f>RTD("tos.rtd", , "OPEN_INT", "."&amp;Table13345[[#This Row],[Ticker]]&amp;Table13345[[#This Row],[Expiry]]&amp;""&amp;"C"&amp;Table13345[[#This Row],[Spot]]+Table13345[[#This Row],[step]])</f>
        <v>N/A</v>
      </c>
      <c r="E95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5" t="b">
        <f>IF(     ISNUMBER(Table13345[[#This Row],[Strike]]),RTD("tos.rtd", , "DELTA", "."&amp;Table13345[[#This Row],[Ticker]]&amp;Table13345[[#This Row],[Expiry]]&amp;""&amp;"C"&amp;Table13345[[#This Row],[Strike]]))</f>
        <v>0</v>
      </c>
      <c r="H955" s="17" cm="1">
        <f t="array" aca="1" ref="H955" ca="1">IndividualLegIVCore($A$4, Table13345[[#This Row],[Strike]], 0.0411, Table13345[[#This Row],[T]], ((Table13345[[#This Row],[BIDC]]+Table13345[[#This Row],[ASKC]])/2), TRUE)</f>
        <v>0.01</v>
      </c>
      <c r="I955" t="b">
        <f>IF(     ISNUMBER(Table13345[[#This Row],[Strike]]),RTD("tos.rtd", , "BID", "."&amp;Table13345[[#This Row],[Ticker]]&amp;Table13345[[#This Row],[Expiry]]&amp;""&amp;"C"&amp;Table13345[[#This Row],[Strike]]))</f>
        <v>0</v>
      </c>
      <c r="J955" t="b">
        <f>IF(     ISNUMBER(Table13345[[#This Row],[Strike]]),RTD("tos.rtd", , "ASK", "."&amp;Table13345[[#This Row],[Ticker]]&amp;Table13345[[#This Row],[Expiry]]&amp;""&amp;"C"&amp;Table13345[[#This Row],[Strike]]))</f>
        <v>0</v>
      </c>
      <c r="K955" s="17"/>
      <c r="M955" s="1">
        <f t="shared" si="95"/>
        <v>0</v>
      </c>
      <c r="N955" t="b">
        <f t="shared" si="96"/>
        <v>0</v>
      </c>
      <c r="P955" s="17" cm="1">
        <f t="array" aca="1" ref="P955" ca="1">IndividualLegIVCore($A$4, Table13345[[#This Row],[Strike]], 0.0411, Table13345[[#This Row],[T]], ((Table13345[[#This Row],[BIDP]]+Table13345[[#This Row],[ASKP]])/2), FALSE)</f>
        <v>0.01</v>
      </c>
      <c r="Q955" t="b">
        <f>IF(     ISNUMBER(Table13345[[#This Row],[Strike]]),RTD("tos.rtd", , "BID", "."&amp;Table13345[[#This Row],[Ticker]]&amp;Table13345[[#This Row],[Expiry]]&amp;""&amp;"P"&amp;Table13345[[#This Row],[Strike]]))</f>
        <v>0</v>
      </c>
      <c r="R955" t="b">
        <f>IF(     ISNUMBER(Table13345[[#This Row],[Strike]]),RTD("tos.rtd", , "ASK", "."&amp;Table13345[[#This Row],[Ticker]]&amp;Table13345[[#This Row],[Expiry]]&amp;""&amp;"P"&amp;Table13345[[#This Row],[Strike]]))</f>
        <v>0</v>
      </c>
      <c r="S955" s="17"/>
      <c r="T955" t="b">
        <f>IF(     ISNUMBER(Table13345[[#This Row],[Strike]]),RTD("tos.rtd", , "OPEN_INT", "."&amp;Table13345[[#This Row],[Ticker]]&amp;Table13345[[#This Row],[Expiry]]&amp;""&amp;"P"&amp;Table13345[[#This Row],[Strike]]))</f>
        <v>0</v>
      </c>
      <c r="U95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5" t="b">
        <f>IF(     ISNUMBER(Table13345[[#This Row],[Strike]]),RTD("tos.rtd", , "DELTA", "."&amp;Table13345[[#This Row],[Ticker]]&amp;Table13345[[#This Row],[Expiry]]&amp;""&amp;"P"&amp;Table13345[[#This Row],[Strike]]))</f>
        <v>0</v>
      </c>
      <c r="Y955" s="19">
        <f>16.5* IF($M$1="NDX", 10, IF(OR($M$1="SPX", $M$1="RUT"), 2, 1))</f>
        <v>33</v>
      </c>
      <c r="Z955">
        <f ca="1">IFERROR(Table13345[[#This Row],[call gamma]]*(Table13345[[#This Row],[Open.Int]])*$A$4^2,0)</f>
        <v>0</v>
      </c>
      <c r="AA955">
        <f ca="1">IFERROR(((Table13345[[#This Row],[Open.Int8]])*Table13345[[#This Row],[Put gamma]])*-1*$A$4^2,0)</f>
        <v>0</v>
      </c>
      <c r="AB955">
        <f ca="1">(Table13345[[#This Row],[Call Gex]]+Table13345[[#This Row],[Put Gex]])</f>
        <v>0</v>
      </c>
      <c r="AC955">
        <f ca="1">Table13345[[#This Row],[put delta adj]]+Table13345[[#This Row],[call delta adj]]</f>
        <v>0</v>
      </c>
      <c r="AD955">
        <f ca="1">Table13345[[#This Row],[Put Gex]]*Table13345[[#This Row],[DeltaP]]*-1</f>
        <v>0</v>
      </c>
      <c r="AE955">
        <f ca="1">Table13345[[#This Row],[Call Gex]]*Table13345[[#This Row],[DeltaC]]</f>
        <v>0</v>
      </c>
      <c r="AF955">
        <f>IF(Table13345[[#This Row],[DeltaC]]-ABS(Table13345[[#This Row],[DeltaP]])="0","0.01",Table13345[[#This Row],[DeltaC]]-ABS(Table13345[[#This Row],[DeltaP]]))</f>
        <v>0</v>
      </c>
      <c r="AG95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5" t="e">
        <f ca="1">(EXP(-(AG955^2)/2)/SQRT(2*PI())*EXP(0*SQRT(Table13345[[#This Row],[T]]))/$A$4*18%*SQRT(SQRT(Table13345[[#This Row],[T]])))</f>
        <v>#DIV/0!</v>
      </c>
      <c r="AJ955" t="e">
        <f ca="1">(EXP(-(AH955^2)/2)/SQRT(2*PI())*EXP(0*SQRT(Table13345[[#This Row],[T]]))/$A$4*18%*SQRT(SQRT(Table13345[[#This Row],[T]])))</f>
        <v>#DIV/0!</v>
      </c>
      <c r="AK955" t="e">
        <f ca="1">Table13345[[#This Row],[Call D1]]-Table13345[[#This Row],[IV Calc C]]*SQRT(Table13345[[#This Row],[T]])</f>
        <v>#DIV/0!</v>
      </c>
      <c r="AL955" t="e">
        <f ca="1">Table13345[[#This Row],[Put D1]]-Table13345[[#This Row],[IV Calc P]]*SQRT(Table13345[[#This Row],[T]])</f>
        <v>#DIV/0!</v>
      </c>
      <c r="AM955" t="e">
        <f ca="1">EXP(-0.5*Table13345[[#This Row],[Call D1]]^2)/SQRT(2*PI())</f>
        <v>#DIV/0!</v>
      </c>
      <c r="AN955" t="e">
        <f ca="1">EXP(-0.5*Table13345[[#This Row],[Put D1]]^2)/SQRT(2*PI())</f>
        <v>#DIV/0!</v>
      </c>
      <c r="AO95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5">
        <f ca="1">((Table13345[[#This Row],[call vanna]]+Table13345[[#This Row],[put vanna]])*$A$4)</f>
        <v>0</v>
      </c>
      <c r="AR95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5" s="9" t="str" cm="1">
        <f t="array" ref="AT955">_xlfn.IFS(     $M$1="SPX","SPXW",     $M$1="RUT","RUTW",  $M$1="NDX","NDXP",   TRUE,$M$1 )</f>
        <v>SPXW</v>
      </c>
      <c r="AU955" s="2">
        <f t="shared" si="97"/>
        <v>6915</v>
      </c>
      <c r="AV955" t="str">
        <f t="shared" si="98"/>
        <v>000100</v>
      </c>
      <c r="AY95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5">
        <f>((Table13345[[#This Row],[High C]]+Table13345[[#This Row],[Low C]])/2)*Table13345[[#This Row],[gammac]]*Table13345[[#This Row],[Volume]]</f>
        <v>0</v>
      </c>
      <c r="BD955">
        <f>((Table13345[[#This Row],[High P]]+Table13345[[#This Row],[Low P]])/2)*Table13345[[#This Row],[gammap]]*Table13345[[#This Row],[Volume9]]*-1</f>
        <v>0</v>
      </c>
      <c r="BE955">
        <f>(Table13345[[#This Row],[SgammaC]]+Table13345[[#This Row],[SgammaP]])*$A$4*-100</f>
        <v>0</v>
      </c>
      <c r="BF955">
        <f>Table13345[[#This Row],[DEXc]]+Table13345[[#This Row],[DEXp]]</f>
        <v>0</v>
      </c>
      <c r="BG955">
        <f>IFERROR(Table13345[[#This Row],[DeltaC]]*Table13345[[#This Row],[Open.Int]]*$A$4,0)</f>
        <v>0</v>
      </c>
      <c r="BH955">
        <f>IFERROR(Table13345[[#This Row],[DeltaP]]*Table13345[[#This Row],[Open.Int8]]*$A$4,0)</f>
        <v>0</v>
      </c>
      <c r="BI95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5">
        <f ca="1">Table13345[[#This Row],[charmc]]+Table13345[[#This Row],[charmp]]</f>
        <v>0</v>
      </c>
      <c r="BL95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5" s="78">
        <f ca="1">Table13345[[#This Row],[call helper]]+Table13345[[#This Row],[put helper]]</f>
        <v>0</v>
      </c>
      <c r="BP955" t="str">
        <f>RTD("tos.rtd", , "STRIKE", "."&amp;Table13345[[#This Row],[Ticker]]&amp;Table13345[[#This Row],[Expiry]]&amp;""&amp;"C"&amp;Table13345[[#This Row],[Spot]]+Table13345[[#This Row],[step]])</f>
        <v>N/A</v>
      </c>
    </row>
    <row r="956" spans="1:68" x14ac:dyDescent="0.25">
      <c r="A956" s="14">
        <f t="shared" ca="1" si="94"/>
        <v>-126.14810350076104</v>
      </c>
      <c r="C956" s="17"/>
      <c r="D956" t="str">
        <f>RTD("tos.rtd", , "OPEN_INT", "."&amp;Table13345[[#This Row],[Ticker]]&amp;Table13345[[#This Row],[Expiry]]&amp;""&amp;"C"&amp;Table13345[[#This Row],[Spot]]+Table13345[[#This Row],[step]])</f>
        <v>N/A</v>
      </c>
      <c r="E95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6" t="b">
        <f>IF(     ISNUMBER(Table13345[[#This Row],[Strike]]),RTD("tos.rtd", , "DELTA", "."&amp;Table13345[[#This Row],[Ticker]]&amp;Table13345[[#This Row],[Expiry]]&amp;""&amp;"C"&amp;Table13345[[#This Row],[Strike]]))</f>
        <v>0</v>
      </c>
      <c r="H956" s="17" cm="1">
        <f t="array" aca="1" ref="H956" ca="1">IndividualLegIVCore($A$4, Table13345[[#This Row],[Strike]], 0.0411, Table13345[[#This Row],[T]], ((Table13345[[#This Row],[BIDC]]+Table13345[[#This Row],[ASKC]])/2), TRUE)</f>
        <v>0.01</v>
      </c>
      <c r="I956" t="b">
        <f>IF(     ISNUMBER(Table13345[[#This Row],[Strike]]),RTD("tos.rtd", , "BID", "."&amp;Table13345[[#This Row],[Ticker]]&amp;Table13345[[#This Row],[Expiry]]&amp;""&amp;"C"&amp;Table13345[[#This Row],[Strike]]))</f>
        <v>0</v>
      </c>
      <c r="J956" t="b">
        <f>IF(     ISNUMBER(Table13345[[#This Row],[Strike]]),RTD("tos.rtd", , "ASK", "."&amp;Table13345[[#This Row],[Ticker]]&amp;Table13345[[#This Row],[Expiry]]&amp;""&amp;"C"&amp;Table13345[[#This Row],[Strike]]))</f>
        <v>0</v>
      </c>
      <c r="K956" s="17"/>
      <c r="M956" s="1">
        <f t="shared" si="95"/>
        <v>0</v>
      </c>
      <c r="N956" t="b">
        <f t="shared" si="96"/>
        <v>0</v>
      </c>
      <c r="P956" s="17" cm="1">
        <f t="array" aca="1" ref="P956" ca="1">IndividualLegIVCore($A$4, Table13345[[#This Row],[Strike]], 0.0411, Table13345[[#This Row],[T]], ((Table13345[[#This Row],[BIDP]]+Table13345[[#This Row],[ASKP]])/2), FALSE)</f>
        <v>0.01</v>
      </c>
      <c r="Q956" t="b">
        <f>IF(     ISNUMBER(Table13345[[#This Row],[Strike]]),RTD("tos.rtd", , "BID", "."&amp;Table13345[[#This Row],[Ticker]]&amp;Table13345[[#This Row],[Expiry]]&amp;""&amp;"P"&amp;Table13345[[#This Row],[Strike]]))</f>
        <v>0</v>
      </c>
      <c r="R956" t="b">
        <f>IF(     ISNUMBER(Table13345[[#This Row],[Strike]]),RTD("tos.rtd", , "ASK", "."&amp;Table13345[[#This Row],[Ticker]]&amp;Table13345[[#This Row],[Expiry]]&amp;""&amp;"P"&amp;Table13345[[#This Row],[Strike]]))</f>
        <v>0</v>
      </c>
      <c r="S956" s="17"/>
      <c r="T956" t="b">
        <f>IF(     ISNUMBER(Table13345[[#This Row],[Strike]]),RTD("tos.rtd", , "OPEN_INT", "."&amp;Table13345[[#This Row],[Ticker]]&amp;Table13345[[#This Row],[Expiry]]&amp;""&amp;"P"&amp;Table13345[[#This Row],[Strike]]))</f>
        <v>0</v>
      </c>
      <c r="U95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6" t="b">
        <f>IF(     ISNUMBER(Table13345[[#This Row],[Strike]]),RTD("tos.rtd", , "DELTA", "."&amp;Table13345[[#This Row],[Ticker]]&amp;Table13345[[#This Row],[Expiry]]&amp;""&amp;"P"&amp;Table13345[[#This Row],[Strike]]))</f>
        <v>0</v>
      </c>
      <c r="Y956" s="19">
        <f>17* IF($M$1="NDX", 10, IF(OR($M$1="SPX", $M$1="RUT"), 2, 1))</f>
        <v>34</v>
      </c>
      <c r="Z956">
        <f ca="1">IFERROR(Table13345[[#This Row],[call gamma]]*(Table13345[[#This Row],[Open.Int]])*$A$4^2,0)</f>
        <v>0</v>
      </c>
      <c r="AA956">
        <f ca="1">IFERROR(((Table13345[[#This Row],[Open.Int8]])*Table13345[[#This Row],[Put gamma]])*-1*$A$4^2,0)</f>
        <v>0</v>
      </c>
      <c r="AB956">
        <f ca="1">(Table13345[[#This Row],[Call Gex]]+Table13345[[#This Row],[Put Gex]])</f>
        <v>0</v>
      </c>
      <c r="AC956">
        <f ca="1">Table13345[[#This Row],[put delta adj]]+Table13345[[#This Row],[call delta adj]]</f>
        <v>0</v>
      </c>
      <c r="AD956">
        <f ca="1">Table13345[[#This Row],[Put Gex]]*Table13345[[#This Row],[DeltaP]]*-1</f>
        <v>0</v>
      </c>
      <c r="AE956">
        <f ca="1">Table13345[[#This Row],[Call Gex]]*Table13345[[#This Row],[DeltaC]]</f>
        <v>0</v>
      </c>
      <c r="AF956">
        <f>IF(Table13345[[#This Row],[DeltaC]]-ABS(Table13345[[#This Row],[DeltaP]])="0","0.01",Table13345[[#This Row],[DeltaC]]-ABS(Table13345[[#This Row],[DeltaP]]))</f>
        <v>0</v>
      </c>
      <c r="AG95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6" t="e">
        <f ca="1">(EXP(-(AG956^2)/2)/SQRT(2*PI())*EXP(0*SQRT(Table13345[[#This Row],[T]]))/$A$4*18%*SQRT(SQRT(Table13345[[#This Row],[T]])))</f>
        <v>#DIV/0!</v>
      </c>
      <c r="AJ956" t="e">
        <f ca="1">(EXP(-(AH956^2)/2)/SQRT(2*PI())*EXP(0*SQRT(Table13345[[#This Row],[T]]))/$A$4*18%*SQRT(SQRT(Table13345[[#This Row],[T]])))</f>
        <v>#DIV/0!</v>
      </c>
      <c r="AK956" t="e">
        <f ca="1">Table13345[[#This Row],[Call D1]]-Table13345[[#This Row],[IV Calc C]]*SQRT(Table13345[[#This Row],[T]])</f>
        <v>#DIV/0!</v>
      </c>
      <c r="AL956" t="e">
        <f ca="1">Table13345[[#This Row],[Put D1]]-Table13345[[#This Row],[IV Calc P]]*SQRT(Table13345[[#This Row],[T]])</f>
        <v>#DIV/0!</v>
      </c>
      <c r="AM956" t="e">
        <f ca="1">EXP(-0.5*Table13345[[#This Row],[Call D1]]^2)/SQRT(2*PI())</f>
        <v>#DIV/0!</v>
      </c>
      <c r="AN956" t="e">
        <f ca="1">EXP(-0.5*Table13345[[#This Row],[Put D1]]^2)/SQRT(2*PI())</f>
        <v>#DIV/0!</v>
      </c>
      <c r="AO95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6">
        <f ca="1">((Table13345[[#This Row],[call vanna]]+Table13345[[#This Row],[put vanna]])*$A$4)</f>
        <v>0</v>
      </c>
      <c r="AR95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6" s="9" t="str" cm="1">
        <f t="array" ref="AT956">_xlfn.IFS(     $M$1="SPX","SPXW",     $M$1="RUT","RUTW",  $M$1="NDX","NDXP",   TRUE,$M$1 )</f>
        <v>SPXW</v>
      </c>
      <c r="AU956" s="2">
        <f t="shared" si="97"/>
        <v>6915</v>
      </c>
      <c r="AV956" t="str">
        <f t="shared" si="98"/>
        <v>000100</v>
      </c>
      <c r="AY95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6">
        <f>((Table13345[[#This Row],[High C]]+Table13345[[#This Row],[Low C]])/2)*Table13345[[#This Row],[gammac]]*Table13345[[#This Row],[Volume]]</f>
        <v>0</v>
      </c>
      <c r="BD956">
        <f>((Table13345[[#This Row],[High P]]+Table13345[[#This Row],[Low P]])/2)*Table13345[[#This Row],[gammap]]*Table13345[[#This Row],[Volume9]]*-1</f>
        <v>0</v>
      </c>
      <c r="BE956">
        <f>(Table13345[[#This Row],[SgammaC]]+Table13345[[#This Row],[SgammaP]])*$A$4*-100</f>
        <v>0</v>
      </c>
      <c r="BF956">
        <f>Table13345[[#This Row],[DEXc]]+Table13345[[#This Row],[DEXp]]</f>
        <v>0</v>
      </c>
      <c r="BG956">
        <f>IFERROR(Table13345[[#This Row],[DeltaC]]*Table13345[[#This Row],[Open.Int]]*$A$4,0)</f>
        <v>0</v>
      </c>
      <c r="BH956">
        <f>IFERROR(Table13345[[#This Row],[DeltaP]]*Table13345[[#This Row],[Open.Int8]]*$A$4,0)</f>
        <v>0</v>
      </c>
      <c r="BI95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6">
        <f ca="1">Table13345[[#This Row],[charmc]]+Table13345[[#This Row],[charmp]]</f>
        <v>0</v>
      </c>
      <c r="BL95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6" s="78">
        <f ca="1">Table13345[[#This Row],[call helper]]+Table13345[[#This Row],[put helper]]</f>
        <v>0</v>
      </c>
      <c r="BP956" t="str">
        <f>RTD("tos.rtd", , "STRIKE", "."&amp;Table13345[[#This Row],[Ticker]]&amp;Table13345[[#This Row],[Expiry]]&amp;""&amp;"C"&amp;Table13345[[#This Row],[Spot]]+Table13345[[#This Row],[step]])</f>
        <v>N/A</v>
      </c>
    </row>
    <row r="957" spans="1:68" x14ac:dyDescent="0.25">
      <c r="A957" s="14">
        <f t="shared" ca="1" si="94"/>
        <v>-126.14810350076104</v>
      </c>
      <c r="C957" s="17"/>
      <c r="D957" t="str">
        <f>RTD("tos.rtd", , "OPEN_INT", "."&amp;Table13345[[#This Row],[Ticker]]&amp;Table13345[[#This Row],[Expiry]]&amp;""&amp;"C"&amp;Table13345[[#This Row],[Spot]]+Table13345[[#This Row],[step]])</f>
        <v>N/A</v>
      </c>
      <c r="E95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7" t="b">
        <f>IF(     ISNUMBER(Table13345[[#This Row],[Strike]]),RTD("tos.rtd", , "DELTA", "."&amp;Table13345[[#This Row],[Ticker]]&amp;Table13345[[#This Row],[Expiry]]&amp;""&amp;"C"&amp;Table13345[[#This Row],[Strike]]))</f>
        <v>0</v>
      </c>
      <c r="H957" s="17" cm="1">
        <f t="array" aca="1" ref="H957" ca="1">IndividualLegIVCore($A$4, Table13345[[#This Row],[Strike]], 0.0411, Table13345[[#This Row],[T]], ((Table13345[[#This Row],[BIDC]]+Table13345[[#This Row],[ASKC]])/2), TRUE)</f>
        <v>0.01</v>
      </c>
      <c r="I957" t="b">
        <f>IF(     ISNUMBER(Table13345[[#This Row],[Strike]]),RTD("tos.rtd", , "BID", "."&amp;Table13345[[#This Row],[Ticker]]&amp;Table13345[[#This Row],[Expiry]]&amp;""&amp;"C"&amp;Table13345[[#This Row],[Strike]]))</f>
        <v>0</v>
      </c>
      <c r="J957" t="b">
        <f>IF(     ISNUMBER(Table13345[[#This Row],[Strike]]),RTD("tos.rtd", , "ASK", "."&amp;Table13345[[#This Row],[Ticker]]&amp;Table13345[[#This Row],[Expiry]]&amp;""&amp;"C"&amp;Table13345[[#This Row],[Strike]]))</f>
        <v>0</v>
      </c>
      <c r="K957" s="17"/>
      <c r="M957" s="1">
        <f t="shared" si="95"/>
        <v>0</v>
      </c>
      <c r="N957" t="b">
        <f t="shared" si="96"/>
        <v>0</v>
      </c>
      <c r="P957" s="17" cm="1">
        <f t="array" aca="1" ref="P957" ca="1">IndividualLegIVCore($A$4, Table13345[[#This Row],[Strike]], 0.0411, Table13345[[#This Row],[T]], ((Table13345[[#This Row],[BIDP]]+Table13345[[#This Row],[ASKP]])/2), FALSE)</f>
        <v>0.01</v>
      </c>
      <c r="Q957" t="b">
        <f>IF(     ISNUMBER(Table13345[[#This Row],[Strike]]),RTD("tos.rtd", , "BID", "."&amp;Table13345[[#This Row],[Ticker]]&amp;Table13345[[#This Row],[Expiry]]&amp;""&amp;"P"&amp;Table13345[[#This Row],[Strike]]))</f>
        <v>0</v>
      </c>
      <c r="R957" t="b">
        <f>IF(     ISNUMBER(Table13345[[#This Row],[Strike]]),RTD("tos.rtd", , "ASK", "."&amp;Table13345[[#This Row],[Ticker]]&amp;Table13345[[#This Row],[Expiry]]&amp;""&amp;"P"&amp;Table13345[[#This Row],[Strike]]))</f>
        <v>0</v>
      </c>
      <c r="S957" s="17"/>
      <c r="T957" t="b">
        <f>IF(     ISNUMBER(Table13345[[#This Row],[Strike]]),RTD("tos.rtd", , "OPEN_INT", "."&amp;Table13345[[#This Row],[Ticker]]&amp;Table13345[[#This Row],[Expiry]]&amp;""&amp;"P"&amp;Table13345[[#This Row],[Strike]]))</f>
        <v>0</v>
      </c>
      <c r="U95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7" t="b">
        <f>IF(     ISNUMBER(Table13345[[#This Row],[Strike]]),RTD("tos.rtd", , "DELTA", "."&amp;Table13345[[#This Row],[Ticker]]&amp;Table13345[[#This Row],[Expiry]]&amp;""&amp;"P"&amp;Table13345[[#This Row],[Strike]]))</f>
        <v>0</v>
      </c>
      <c r="Y957" s="19">
        <f>17.5* IF($M$1="NDX", 10, IF(OR($M$1="SPX", $M$1="RUT"), 2, 1))</f>
        <v>35</v>
      </c>
      <c r="Z957">
        <f ca="1">IFERROR(Table13345[[#This Row],[call gamma]]*(Table13345[[#This Row],[Open.Int]])*$A$4^2,0)</f>
        <v>0</v>
      </c>
      <c r="AA957">
        <f ca="1">IFERROR(((Table13345[[#This Row],[Open.Int8]])*Table13345[[#This Row],[Put gamma]])*-1*$A$4^2,0)</f>
        <v>0</v>
      </c>
      <c r="AB957">
        <f ca="1">(Table13345[[#This Row],[Call Gex]]+Table13345[[#This Row],[Put Gex]])</f>
        <v>0</v>
      </c>
      <c r="AC957">
        <f ca="1">Table13345[[#This Row],[put delta adj]]+Table13345[[#This Row],[call delta adj]]</f>
        <v>0</v>
      </c>
      <c r="AD957">
        <f ca="1">Table13345[[#This Row],[Put Gex]]*Table13345[[#This Row],[DeltaP]]*-1</f>
        <v>0</v>
      </c>
      <c r="AE957">
        <f ca="1">Table13345[[#This Row],[Call Gex]]*Table13345[[#This Row],[DeltaC]]</f>
        <v>0</v>
      </c>
      <c r="AF957">
        <f>IF(Table13345[[#This Row],[DeltaC]]-ABS(Table13345[[#This Row],[DeltaP]])="0","0.01",Table13345[[#This Row],[DeltaC]]-ABS(Table13345[[#This Row],[DeltaP]]))</f>
        <v>0</v>
      </c>
      <c r="AG95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7" t="e">
        <f ca="1">(EXP(-(AG957^2)/2)/SQRT(2*PI())*EXP(0*SQRT(Table13345[[#This Row],[T]]))/$A$4*18%*SQRT(SQRT(Table13345[[#This Row],[T]])))</f>
        <v>#DIV/0!</v>
      </c>
      <c r="AJ957" t="e">
        <f ca="1">(EXP(-(AH957^2)/2)/SQRT(2*PI())*EXP(0*SQRT(Table13345[[#This Row],[T]]))/$A$4*18%*SQRT(SQRT(Table13345[[#This Row],[T]])))</f>
        <v>#DIV/0!</v>
      </c>
      <c r="AK957" t="e">
        <f ca="1">Table13345[[#This Row],[Call D1]]-Table13345[[#This Row],[IV Calc C]]*SQRT(Table13345[[#This Row],[T]])</f>
        <v>#DIV/0!</v>
      </c>
      <c r="AL957" t="e">
        <f ca="1">Table13345[[#This Row],[Put D1]]-Table13345[[#This Row],[IV Calc P]]*SQRT(Table13345[[#This Row],[T]])</f>
        <v>#DIV/0!</v>
      </c>
      <c r="AM957" t="e">
        <f ca="1">EXP(-0.5*Table13345[[#This Row],[Call D1]]^2)/SQRT(2*PI())</f>
        <v>#DIV/0!</v>
      </c>
      <c r="AN957" t="e">
        <f ca="1">EXP(-0.5*Table13345[[#This Row],[Put D1]]^2)/SQRT(2*PI())</f>
        <v>#DIV/0!</v>
      </c>
      <c r="AO95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7">
        <f ca="1">((Table13345[[#This Row],[call vanna]]+Table13345[[#This Row],[put vanna]])*$A$4)</f>
        <v>0</v>
      </c>
      <c r="AR95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7" s="9" t="str" cm="1">
        <f t="array" ref="AT957">_xlfn.IFS(     $M$1="SPX","SPXW",     $M$1="RUT","RUTW",  $M$1="NDX","NDXP",   TRUE,$M$1 )</f>
        <v>SPXW</v>
      </c>
      <c r="AU957" s="2">
        <f t="shared" si="97"/>
        <v>6915</v>
      </c>
      <c r="AV957" t="str">
        <f t="shared" si="98"/>
        <v>000100</v>
      </c>
      <c r="AY95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7">
        <f>((Table13345[[#This Row],[High C]]+Table13345[[#This Row],[Low C]])/2)*Table13345[[#This Row],[gammac]]*Table13345[[#This Row],[Volume]]</f>
        <v>0</v>
      </c>
      <c r="BD957">
        <f>((Table13345[[#This Row],[High P]]+Table13345[[#This Row],[Low P]])/2)*Table13345[[#This Row],[gammap]]*Table13345[[#This Row],[Volume9]]*-1</f>
        <v>0</v>
      </c>
      <c r="BE957">
        <f>(Table13345[[#This Row],[SgammaC]]+Table13345[[#This Row],[SgammaP]])*$A$4*-100</f>
        <v>0</v>
      </c>
      <c r="BF957">
        <f>Table13345[[#This Row],[DEXc]]+Table13345[[#This Row],[DEXp]]</f>
        <v>0</v>
      </c>
      <c r="BG957">
        <f>IFERROR(Table13345[[#This Row],[DeltaC]]*Table13345[[#This Row],[Open.Int]]*$A$4,0)</f>
        <v>0</v>
      </c>
      <c r="BH957">
        <f>IFERROR(Table13345[[#This Row],[DeltaP]]*Table13345[[#This Row],[Open.Int8]]*$A$4,0)</f>
        <v>0</v>
      </c>
      <c r="BI95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7">
        <f ca="1">Table13345[[#This Row],[charmc]]+Table13345[[#This Row],[charmp]]</f>
        <v>0</v>
      </c>
      <c r="BL95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7" s="78">
        <f ca="1">Table13345[[#This Row],[call helper]]+Table13345[[#This Row],[put helper]]</f>
        <v>0</v>
      </c>
      <c r="BP957" t="str">
        <f>RTD("tos.rtd", , "STRIKE", "."&amp;Table13345[[#This Row],[Ticker]]&amp;Table13345[[#This Row],[Expiry]]&amp;""&amp;"C"&amp;Table13345[[#This Row],[Spot]]+Table13345[[#This Row],[step]])</f>
        <v>N/A</v>
      </c>
    </row>
    <row r="958" spans="1:68" x14ac:dyDescent="0.25">
      <c r="A958" s="14">
        <f t="shared" ca="1" si="94"/>
        <v>-126.14810350076104</v>
      </c>
      <c r="C958" s="17"/>
      <c r="D958" t="str">
        <f>RTD("tos.rtd", , "OPEN_INT", "."&amp;Table13345[[#This Row],[Ticker]]&amp;Table13345[[#This Row],[Expiry]]&amp;""&amp;"C"&amp;Table13345[[#This Row],[Spot]]+Table13345[[#This Row],[step]])</f>
        <v>N/A</v>
      </c>
      <c r="E95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8" t="b">
        <f>IF(     ISNUMBER(Table13345[[#This Row],[Strike]]),RTD("tos.rtd", , "DELTA", "."&amp;Table13345[[#This Row],[Ticker]]&amp;Table13345[[#This Row],[Expiry]]&amp;""&amp;"C"&amp;Table13345[[#This Row],[Strike]]))</f>
        <v>0</v>
      </c>
      <c r="H958" s="17" cm="1">
        <f t="array" aca="1" ref="H958" ca="1">IndividualLegIVCore($A$4, Table13345[[#This Row],[Strike]], 0.0411, Table13345[[#This Row],[T]], ((Table13345[[#This Row],[BIDC]]+Table13345[[#This Row],[ASKC]])/2), TRUE)</f>
        <v>0.01</v>
      </c>
      <c r="I958" t="b">
        <f>IF(     ISNUMBER(Table13345[[#This Row],[Strike]]),RTD("tos.rtd", , "BID", "."&amp;Table13345[[#This Row],[Ticker]]&amp;Table13345[[#This Row],[Expiry]]&amp;""&amp;"C"&amp;Table13345[[#This Row],[Strike]]))</f>
        <v>0</v>
      </c>
      <c r="J958" t="b">
        <f>IF(     ISNUMBER(Table13345[[#This Row],[Strike]]),RTD("tos.rtd", , "ASK", "."&amp;Table13345[[#This Row],[Ticker]]&amp;Table13345[[#This Row],[Expiry]]&amp;""&amp;"C"&amp;Table13345[[#This Row],[Strike]]))</f>
        <v>0</v>
      </c>
      <c r="K958" s="17"/>
      <c r="M958" s="1">
        <f t="shared" si="95"/>
        <v>0</v>
      </c>
      <c r="N958" t="b">
        <f t="shared" si="96"/>
        <v>0</v>
      </c>
      <c r="P958" s="17" cm="1">
        <f t="array" aca="1" ref="P958" ca="1">IndividualLegIVCore($A$4, Table13345[[#This Row],[Strike]], 0.0411, Table13345[[#This Row],[T]], ((Table13345[[#This Row],[BIDP]]+Table13345[[#This Row],[ASKP]])/2), FALSE)</f>
        <v>0.01</v>
      </c>
      <c r="Q958" t="b">
        <f>IF(     ISNUMBER(Table13345[[#This Row],[Strike]]),RTD("tos.rtd", , "BID", "."&amp;Table13345[[#This Row],[Ticker]]&amp;Table13345[[#This Row],[Expiry]]&amp;""&amp;"P"&amp;Table13345[[#This Row],[Strike]]))</f>
        <v>0</v>
      </c>
      <c r="R958" t="b">
        <f>IF(     ISNUMBER(Table13345[[#This Row],[Strike]]),RTD("tos.rtd", , "ASK", "."&amp;Table13345[[#This Row],[Ticker]]&amp;Table13345[[#This Row],[Expiry]]&amp;""&amp;"P"&amp;Table13345[[#This Row],[Strike]]))</f>
        <v>0</v>
      </c>
      <c r="S958" s="17"/>
      <c r="T958" t="b">
        <f>IF(     ISNUMBER(Table13345[[#This Row],[Strike]]),RTD("tos.rtd", , "OPEN_INT", "."&amp;Table13345[[#This Row],[Ticker]]&amp;Table13345[[#This Row],[Expiry]]&amp;""&amp;"P"&amp;Table13345[[#This Row],[Strike]]))</f>
        <v>0</v>
      </c>
      <c r="U95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8" t="b">
        <f>IF(     ISNUMBER(Table13345[[#This Row],[Strike]]),RTD("tos.rtd", , "DELTA", "."&amp;Table13345[[#This Row],[Ticker]]&amp;Table13345[[#This Row],[Expiry]]&amp;""&amp;"P"&amp;Table13345[[#This Row],[Strike]]))</f>
        <v>0</v>
      </c>
      <c r="Y958" s="19">
        <f>18* IF($M$1="NDX", 10, IF(OR($M$1="SPX", $M$1="RUT"), 2, 1))</f>
        <v>36</v>
      </c>
      <c r="Z958">
        <f ca="1">IFERROR(Table13345[[#This Row],[call gamma]]*(Table13345[[#This Row],[Open.Int]])*$A$4^2,0)</f>
        <v>0</v>
      </c>
      <c r="AA958">
        <f ca="1">IFERROR(((Table13345[[#This Row],[Open.Int8]])*Table13345[[#This Row],[Put gamma]])*-1*$A$4^2,0)</f>
        <v>0</v>
      </c>
      <c r="AB958">
        <f ca="1">(Table13345[[#This Row],[Call Gex]]+Table13345[[#This Row],[Put Gex]])</f>
        <v>0</v>
      </c>
      <c r="AC958">
        <f ca="1">Table13345[[#This Row],[put delta adj]]+Table13345[[#This Row],[call delta adj]]</f>
        <v>0</v>
      </c>
      <c r="AD958">
        <f ca="1">Table13345[[#This Row],[Put Gex]]*Table13345[[#This Row],[DeltaP]]*-1</f>
        <v>0</v>
      </c>
      <c r="AE958">
        <f ca="1">Table13345[[#This Row],[Call Gex]]*Table13345[[#This Row],[DeltaC]]</f>
        <v>0</v>
      </c>
      <c r="AF958">
        <f>IF(Table13345[[#This Row],[DeltaC]]-ABS(Table13345[[#This Row],[DeltaP]])="0","0.01",Table13345[[#This Row],[DeltaC]]-ABS(Table13345[[#This Row],[DeltaP]]))</f>
        <v>0</v>
      </c>
      <c r="AG95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8" t="e">
        <f ca="1">(EXP(-(AG958^2)/2)/SQRT(2*PI())*EXP(0*SQRT(Table13345[[#This Row],[T]]))/$A$4*18%*SQRT(SQRT(Table13345[[#This Row],[T]])))</f>
        <v>#DIV/0!</v>
      </c>
      <c r="AJ958" t="e">
        <f ca="1">(EXP(-(AH958^2)/2)/SQRT(2*PI())*EXP(0*SQRT(Table13345[[#This Row],[T]]))/$A$4*18%*SQRT(SQRT(Table13345[[#This Row],[T]])))</f>
        <v>#DIV/0!</v>
      </c>
      <c r="AK958" t="e">
        <f ca="1">Table13345[[#This Row],[Call D1]]-Table13345[[#This Row],[IV Calc C]]*SQRT(Table13345[[#This Row],[T]])</f>
        <v>#DIV/0!</v>
      </c>
      <c r="AL958" t="e">
        <f ca="1">Table13345[[#This Row],[Put D1]]-Table13345[[#This Row],[IV Calc P]]*SQRT(Table13345[[#This Row],[T]])</f>
        <v>#DIV/0!</v>
      </c>
      <c r="AM958" t="e">
        <f ca="1">EXP(-0.5*Table13345[[#This Row],[Call D1]]^2)/SQRT(2*PI())</f>
        <v>#DIV/0!</v>
      </c>
      <c r="AN958" t="e">
        <f ca="1">EXP(-0.5*Table13345[[#This Row],[Put D1]]^2)/SQRT(2*PI())</f>
        <v>#DIV/0!</v>
      </c>
      <c r="AO95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8">
        <f ca="1">((Table13345[[#This Row],[call vanna]]+Table13345[[#This Row],[put vanna]])*$A$4)</f>
        <v>0</v>
      </c>
      <c r="AR95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8" s="9" t="str" cm="1">
        <f t="array" ref="AT958">_xlfn.IFS(     $M$1="SPX","SPXW",     $M$1="RUT","RUTW",  $M$1="NDX","NDXP",   TRUE,$M$1 )</f>
        <v>SPXW</v>
      </c>
      <c r="AU958" s="2">
        <f t="shared" si="97"/>
        <v>6915</v>
      </c>
      <c r="AV958" t="str">
        <f t="shared" si="98"/>
        <v>000100</v>
      </c>
      <c r="AY95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8">
        <f>((Table13345[[#This Row],[High C]]+Table13345[[#This Row],[Low C]])/2)*Table13345[[#This Row],[gammac]]*Table13345[[#This Row],[Volume]]</f>
        <v>0</v>
      </c>
      <c r="BD958">
        <f>((Table13345[[#This Row],[High P]]+Table13345[[#This Row],[Low P]])/2)*Table13345[[#This Row],[gammap]]*Table13345[[#This Row],[Volume9]]*-1</f>
        <v>0</v>
      </c>
      <c r="BE958">
        <f>(Table13345[[#This Row],[SgammaC]]+Table13345[[#This Row],[SgammaP]])*$A$4*-100</f>
        <v>0</v>
      </c>
      <c r="BF958">
        <f>Table13345[[#This Row],[DEXc]]+Table13345[[#This Row],[DEXp]]</f>
        <v>0</v>
      </c>
      <c r="BG958">
        <f>IFERROR(Table13345[[#This Row],[DeltaC]]*Table13345[[#This Row],[Open.Int]]*$A$4,0)</f>
        <v>0</v>
      </c>
      <c r="BH958">
        <f>IFERROR(Table13345[[#This Row],[DeltaP]]*Table13345[[#This Row],[Open.Int8]]*$A$4,0)</f>
        <v>0</v>
      </c>
      <c r="BI95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8">
        <f ca="1">Table13345[[#This Row],[charmc]]+Table13345[[#This Row],[charmp]]</f>
        <v>0</v>
      </c>
      <c r="BL95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8" s="78">
        <f ca="1">Table13345[[#This Row],[call helper]]+Table13345[[#This Row],[put helper]]</f>
        <v>0</v>
      </c>
      <c r="BP958" t="str">
        <f>RTD("tos.rtd", , "STRIKE", "."&amp;Table13345[[#This Row],[Ticker]]&amp;Table13345[[#This Row],[Expiry]]&amp;""&amp;"C"&amp;Table13345[[#This Row],[Spot]]+Table13345[[#This Row],[step]])</f>
        <v>N/A</v>
      </c>
    </row>
    <row r="959" spans="1:68" x14ac:dyDescent="0.25">
      <c r="A959" s="14">
        <f t="shared" ca="1" si="94"/>
        <v>-126.14810350076104</v>
      </c>
      <c r="C959" s="17"/>
      <c r="D959" t="str">
        <f>RTD("tos.rtd", , "OPEN_INT", "."&amp;Table13345[[#This Row],[Ticker]]&amp;Table13345[[#This Row],[Expiry]]&amp;""&amp;"C"&amp;Table13345[[#This Row],[Spot]]+Table13345[[#This Row],[step]])</f>
        <v>N/A</v>
      </c>
      <c r="E95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9" t="b">
        <f>IF(     ISNUMBER(Table13345[[#This Row],[Strike]]),RTD("tos.rtd", , "DELTA", "."&amp;Table13345[[#This Row],[Ticker]]&amp;Table13345[[#This Row],[Expiry]]&amp;""&amp;"C"&amp;Table13345[[#This Row],[Strike]]))</f>
        <v>0</v>
      </c>
      <c r="H959" s="17" cm="1">
        <f t="array" aca="1" ref="H959" ca="1">IndividualLegIVCore($A$4, Table13345[[#This Row],[Strike]], 0.0411, Table13345[[#This Row],[T]], ((Table13345[[#This Row],[BIDC]]+Table13345[[#This Row],[ASKC]])/2), TRUE)</f>
        <v>0.01</v>
      </c>
      <c r="I959" t="b">
        <f>IF(     ISNUMBER(Table13345[[#This Row],[Strike]]),RTD("tos.rtd", , "BID", "."&amp;Table13345[[#This Row],[Ticker]]&amp;Table13345[[#This Row],[Expiry]]&amp;""&amp;"C"&amp;Table13345[[#This Row],[Strike]]))</f>
        <v>0</v>
      </c>
      <c r="J959" t="b">
        <f>IF(     ISNUMBER(Table13345[[#This Row],[Strike]]),RTD("tos.rtd", , "ASK", "."&amp;Table13345[[#This Row],[Ticker]]&amp;Table13345[[#This Row],[Expiry]]&amp;""&amp;"C"&amp;Table13345[[#This Row],[Strike]]))</f>
        <v>0</v>
      </c>
      <c r="K959" s="17"/>
      <c r="M959" s="1">
        <f t="shared" si="95"/>
        <v>0</v>
      </c>
      <c r="N959" t="b">
        <f t="shared" si="96"/>
        <v>0</v>
      </c>
      <c r="P959" s="17" cm="1">
        <f t="array" aca="1" ref="P959" ca="1">IndividualLegIVCore($A$4, Table13345[[#This Row],[Strike]], 0.0411, Table13345[[#This Row],[T]], ((Table13345[[#This Row],[BIDP]]+Table13345[[#This Row],[ASKP]])/2), FALSE)</f>
        <v>0.01</v>
      </c>
      <c r="Q959" t="b">
        <f>IF(     ISNUMBER(Table13345[[#This Row],[Strike]]),RTD("tos.rtd", , "BID", "."&amp;Table13345[[#This Row],[Ticker]]&amp;Table13345[[#This Row],[Expiry]]&amp;""&amp;"P"&amp;Table13345[[#This Row],[Strike]]))</f>
        <v>0</v>
      </c>
      <c r="R959" t="b">
        <f>IF(     ISNUMBER(Table13345[[#This Row],[Strike]]),RTD("tos.rtd", , "ASK", "."&amp;Table13345[[#This Row],[Ticker]]&amp;Table13345[[#This Row],[Expiry]]&amp;""&amp;"P"&amp;Table13345[[#This Row],[Strike]]))</f>
        <v>0</v>
      </c>
      <c r="S959" s="17"/>
      <c r="T959" t="b">
        <f>IF(     ISNUMBER(Table13345[[#This Row],[Strike]]),RTD("tos.rtd", , "OPEN_INT", "."&amp;Table13345[[#This Row],[Ticker]]&amp;Table13345[[#This Row],[Expiry]]&amp;""&amp;"P"&amp;Table13345[[#This Row],[Strike]]))</f>
        <v>0</v>
      </c>
      <c r="U95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9" t="b">
        <f>IF(     ISNUMBER(Table13345[[#This Row],[Strike]]),RTD("tos.rtd", , "DELTA", "."&amp;Table13345[[#This Row],[Ticker]]&amp;Table13345[[#This Row],[Expiry]]&amp;""&amp;"P"&amp;Table13345[[#This Row],[Strike]]))</f>
        <v>0</v>
      </c>
      <c r="Y959" s="19">
        <f>18.5* IF($M$1="NDX", 10, IF(OR($M$1="SPX", $M$1="RUT"), 2, 1))</f>
        <v>37</v>
      </c>
      <c r="Z959">
        <f ca="1">IFERROR(Table13345[[#This Row],[call gamma]]*(Table13345[[#This Row],[Open.Int]])*$A$4^2,0)</f>
        <v>0</v>
      </c>
      <c r="AA959">
        <f ca="1">IFERROR(((Table13345[[#This Row],[Open.Int8]])*Table13345[[#This Row],[Put gamma]])*-1*$A$4^2,0)</f>
        <v>0</v>
      </c>
      <c r="AB959">
        <f ca="1">(Table13345[[#This Row],[Call Gex]]+Table13345[[#This Row],[Put Gex]])</f>
        <v>0</v>
      </c>
      <c r="AC959">
        <f ca="1">Table13345[[#This Row],[put delta adj]]+Table13345[[#This Row],[call delta adj]]</f>
        <v>0</v>
      </c>
      <c r="AD959">
        <f ca="1">Table13345[[#This Row],[Put Gex]]*Table13345[[#This Row],[DeltaP]]*-1</f>
        <v>0</v>
      </c>
      <c r="AE959">
        <f ca="1">Table13345[[#This Row],[Call Gex]]*Table13345[[#This Row],[DeltaC]]</f>
        <v>0</v>
      </c>
      <c r="AF959">
        <f>IF(Table13345[[#This Row],[DeltaC]]-ABS(Table13345[[#This Row],[DeltaP]])="0","0.01",Table13345[[#This Row],[DeltaC]]-ABS(Table13345[[#This Row],[DeltaP]]))</f>
        <v>0</v>
      </c>
      <c r="AG95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9" t="e">
        <f ca="1">(EXP(-(AG959^2)/2)/SQRT(2*PI())*EXP(0*SQRT(Table13345[[#This Row],[T]]))/$A$4*18%*SQRT(SQRT(Table13345[[#This Row],[T]])))</f>
        <v>#DIV/0!</v>
      </c>
      <c r="AJ959" t="e">
        <f ca="1">(EXP(-(AH959^2)/2)/SQRT(2*PI())*EXP(0*SQRT(Table13345[[#This Row],[T]]))/$A$4*18%*SQRT(SQRT(Table13345[[#This Row],[T]])))</f>
        <v>#DIV/0!</v>
      </c>
      <c r="AK959" t="e">
        <f ca="1">Table13345[[#This Row],[Call D1]]-Table13345[[#This Row],[IV Calc C]]*SQRT(Table13345[[#This Row],[T]])</f>
        <v>#DIV/0!</v>
      </c>
      <c r="AL959" t="e">
        <f ca="1">Table13345[[#This Row],[Put D1]]-Table13345[[#This Row],[IV Calc P]]*SQRT(Table13345[[#This Row],[T]])</f>
        <v>#DIV/0!</v>
      </c>
      <c r="AM959" t="e">
        <f ca="1">EXP(-0.5*Table13345[[#This Row],[Call D1]]^2)/SQRT(2*PI())</f>
        <v>#DIV/0!</v>
      </c>
      <c r="AN959" t="e">
        <f ca="1">EXP(-0.5*Table13345[[#This Row],[Put D1]]^2)/SQRT(2*PI())</f>
        <v>#DIV/0!</v>
      </c>
      <c r="AO95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9">
        <f ca="1">((Table13345[[#This Row],[call vanna]]+Table13345[[#This Row],[put vanna]])*$A$4)</f>
        <v>0</v>
      </c>
      <c r="AR95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9" s="9" t="str" cm="1">
        <f t="array" ref="AT959">_xlfn.IFS(     $M$1="SPX","SPXW",     $M$1="RUT","RUTW",  $M$1="NDX","NDXP",   TRUE,$M$1 )</f>
        <v>SPXW</v>
      </c>
      <c r="AU959" s="2">
        <f t="shared" si="97"/>
        <v>6915</v>
      </c>
      <c r="AV959" t="str">
        <f t="shared" si="98"/>
        <v>000100</v>
      </c>
      <c r="AY95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9">
        <f>((Table13345[[#This Row],[High C]]+Table13345[[#This Row],[Low C]])/2)*Table13345[[#This Row],[gammac]]*Table13345[[#This Row],[Volume]]</f>
        <v>0</v>
      </c>
      <c r="BD959">
        <f>((Table13345[[#This Row],[High P]]+Table13345[[#This Row],[Low P]])/2)*Table13345[[#This Row],[gammap]]*Table13345[[#This Row],[Volume9]]*-1</f>
        <v>0</v>
      </c>
      <c r="BE959">
        <f>(Table13345[[#This Row],[SgammaC]]+Table13345[[#This Row],[SgammaP]])*$A$4*-100</f>
        <v>0</v>
      </c>
      <c r="BF959">
        <f>Table13345[[#This Row],[DEXc]]+Table13345[[#This Row],[DEXp]]</f>
        <v>0</v>
      </c>
      <c r="BG959">
        <f>IFERROR(Table13345[[#This Row],[DeltaC]]*Table13345[[#This Row],[Open.Int]]*$A$4,0)</f>
        <v>0</v>
      </c>
      <c r="BH959">
        <f>IFERROR(Table13345[[#This Row],[DeltaP]]*Table13345[[#This Row],[Open.Int8]]*$A$4,0)</f>
        <v>0</v>
      </c>
      <c r="BI95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9">
        <f ca="1">Table13345[[#This Row],[charmc]]+Table13345[[#This Row],[charmp]]</f>
        <v>0</v>
      </c>
      <c r="BL95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9" s="78">
        <f ca="1">Table13345[[#This Row],[call helper]]+Table13345[[#This Row],[put helper]]</f>
        <v>0</v>
      </c>
      <c r="BP959" t="str">
        <f>RTD("tos.rtd", , "STRIKE", "."&amp;Table13345[[#This Row],[Ticker]]&amp;Table13345[[#This Row],[Expiry]]&amp;""&amp;"C"&amp;Table13345[[#This Row],[Spot]]+Table13345[[#This Row],[step]])</f>
        <v>N/A</v>
      </c>
    </row>
    <row r="960" spans="1:68" x14ac:dyDescent="0.25">
      <c r="A960" s="14">
        <f t="shared" ca="1" si="94"/>
        <v>-126.14810350076104</v>
      </c>
      <c r="C960" s="17"/>
      <c r="D960" t="str">
        <f>RTD("tos.rtd", , "OPEN_INT", "."&amp;Table13345[[#This Row],[Ticker]]&amp;Table13345[[#This Row],[Expiry]]&amp;""&amp;"C"&amp;Table13345[[#This Row],[Spot]]+Table13345[[#This Row],[step]])</f>
        <v>N/A</v>
      </c>
      <c r="E96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0" t="b">
        <f>IF(     ISNUMBER(Table13345[[#This Row],[Strike]]),RTD("tos.rtd", , "DELTA", "."&amp;Table13345[[#This Row],[Ticker]]&amp;Table13345[[#This Row],[Expiry]]&amp;""&amp;"C"&amp;Table13345[[#This Row],[Strike]]))</f>
        <v>0</v>
      </c>
      <c r="H960" s="17" cm="1">
        <f t="array" aca="1" ref="H960" ca="1">IndividualLegIVCore($A$4, Table13345[[#This Row],[Strike]], 0.0411, Table13345[[#This Row],[T]], ((Table13345[[#This Row],[BIDC]]+Table13345[[#This Row],[ASKC]])/2), TRUE)</f>
        <v>0.01</v>
      </c>
      <c r="I960" t="b">
        <f>IF(     ISNUMBER(Table13345[[#This Row],[Strike]]),RTD("tos.rtd", , "BID", "."&amp;Table13345[[#This Row],[Ticker]]&amp;Table13345[[#This Row],[Expiry]]&amp;""&amp;"C"&amp;Table13345[[#This Row],[Strike]]))</f>
        <v>0</v>
      </c>
      <c r="J960" t="b">
        <f>IF(     ISNUMBER(Table13345[[#This Row],[Strike]]),RTD("tos.rtd", , "ASK", "."&amp;Table13345[[#This Row],[Ticker]]&amp;Table13345[[#This Row],[Expiry]]&amp;""&amp;"C"&amp;Table13345[[#This Row],[Strike]]))</f>
        <v>0</v>
      </c>
      <c r="K960" s="17"/>
      <c r="M960" s="1">
        <f t="shared" si="95"/>
        <v>0</v>
      </c>
      <c r="N960" t="b">
        <f t="shared" si="96"/>
        <v>0</v>
      </c>
      <c r="P960" s="17" cm="1">
        <f t="array" aca="1" ref="P960" ca="1">IndividualLegIVCore($A$4, Table13345[[#This Row],[Strike]], 0.0411, Table13345[[#This Row],[T]], ((Table13345[[#This Row],[BIDP]]+Table13345[[#This Row],[ASKP]])/2), FALSE)</f>
        <v>0.01</v>
      </c>
      <c r="Q960" t="b">
        <f>IF(     ISNUMBER(Table13345[[#This Row],[Strike]]),RTD("tos.rtd", , "BID", "."&amp;Table13345[[#This Row],[Ticker]]&amp;Table13345[[#This Row],[Expiry]]&amp;""&amp;"P"&amp;Table13345[[#This Row],[Strike]]))</f>
        <v>0</v>
      </c>
      <c r="R960" t="b">
        <f>IF(     ISNUMBER(Table13345[[#This Row],[Strike]]),RTD("tos.rtd", , "ASK", "."&amp;Table13345[[#This Row],[Ticker]]&amp;Table13345[[#This Row],[Expiry]]&amp;""&amp;"P"&amp;Table13345[[#This Row],[Strike]]))</f>
        <v>0</v>
      </c>
      <c r="S960" s="17"/>
      <c r="T960" t="b">
        <f>IF(     ISNUMBER(Table13345[[#This Row],[Strike]]),RTD("tos.rtd", , "OPEN_INT", "."&amp;Table13345[[#This Row],[Ticker]]&amp;Table13345[[#This Row],[Expiry]]&amp;""&amp;"P"&amp;Table13345[[#This Row],[Strike]]))</f>
        <v>0</v>
      </c>
      <c r="U96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0" t="b">
        <f>IF(     ISNUMBER(Table13345[[#This Row],[Strike]]),RTD("tos.rtd", , "DELTA", "."&amp;Table13345[[#This Row],[Ticker]]&amp;Table13345[[#This Row],[Expiry]]&amp;""&amp;"P"&amp;Table13345[[#This Row],[Strike]]))</f>
        <v>0</v>
      </c>
      <c r="Y960" s="19">
        <f>19* IF($M$1="NDX", 10, IF(OR($M$1="SPX", $M$1="RUT"), 2, 1))</f>
        <v>38</v>
      </c>
      <c r="Z960">
        <f ca="1">IFERROR(Table13345[[#This Row],[call gamma]]*(Table13345[[#This Row],[Open.Int]])*$A$4^2,0)</f>
        <v>0</v>
      </c>
      <c r="AA960">
        <f ca="1">IFERROR(((Table13345[[#This Row],[Open.Int8]])*Table13345[[#This Row],[Put gamma]])*-1*$A$4^2,0)</f>
        <v>0</v>
      </c>
      <c r="AB960">
        <f ca="1">(Table13345[[#This Row],[Call Gex]]+Table13345[[#This Row],[Put Gex]])</f>
        <v>0</v>
      </c>
      <c r="AC960">
        <f ca="1">Table13345[[#This Row],[put delta adj]]+Table13345[[#This Row],[call delta adj]]</f>
        <v>0</v>
      </c>
      <c r="AD960">
        <f ca="1">Table13345[[#This Row],[Put Gex]]*Table13345[[#This Row],[DeltaP]]*-1</f>
        <v>0</v>
      </c>
      <c r="AE960">
        <f ca="1">Table13345[[#This Row],[Call Gex]]*Table13345[[#This Row],[DeltaC]]</f>
        <v>0</v>
      </c>
      <c r="AF960">
        <f>IF(Table13345[[#This Row],[DeltaC]]-ABS(Table13345[[#This Row],[DeltaP]])="0","0.01",Table13345[[#This Row],[DeltaC]]-ABS(Table13345[[#This Row],[DeltaP]]))</f>
        <v>0</v>
      </c>
      <c r="AG96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0" t="e">
        <f ca="1">(EXP(-(AG960^2)/2)/SQRT(2*PI())*EXP(0*SQRT(Table13345[[#This Row],[T]]))/$A$4*18%*SQRT(SQRT(Table13345[[#This Row],[T]])))</f>
        <v>#DIV/0!</v>
      </c>
      <c r="AJ960" t="e">
        <f ca="1">(EXP(-(AH960^2)/2)/SQRT(2*PI())*EXP(0*SQRT(Table13345[[#This Row],[T]]))/$A$4*18%*SQRT(SQRT(Table13345[[#This Row],[T]])))</f>
        <v>#DIV/0!</v>
      </c>
      <c r="AK960" t="e">
        <f ca="1">Table13345[[#This Row],[Call D1]]-Table13345[[#This Row],[IV Calc C]]*SQRT(Table13345[[#This Row],[T]])</f>
        <v>#DIV/0!</v>
      </c>
      <c r="AL960" t="e">
        <f ca="1">Table13345[[#This Row],[Put D1]]-Table13345[[#This Row],[IV Calc P]]*SQRT(Table13345[[#This Row],[T]])</f>
        <v>#DIV/0!</v>
      </c>
      <c r="AM960" t="e">
        <f ca="1">EXP(-0.5*Table13345[[#This Row],[Call D1]]^2)/SQRT(2*PI())</f>
        <v>#DIV/0!</v>
      </c>
      <c r="AN960" t="e">
        <f ca="1">EXP(-0.5*Table13345[[#This Row],[Put D1]]^2)/SQRT(2*PI())</f>
        <v>#DIV/0!</v>
      </c>
      <c r="AO96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0">
        <f ca="1">((Table13345[[#This Row],[call vanna]]+Table13345[[#This Row],[put vanna]])*$A$4)</f>
        <v>0</v>
      </c>
      <c r="AR96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0" s="9" t="str" cm="1">
        <f t="array" ref="AT960">_xlfn.IFS(     $M$1="SPX","SPXW",     $M$1="RUT","RUTW",  $M$1="NDX","NDXP",   TRUE,$M$1 )</f>
        <v>SPXW</v>
      </c>
      <c r="AU960" s="2">
        <f t="shared" si="97"/>
        <v>6915</v>
      </c>
      <c r="AV960" t="str">
        <f t="shared" si="98"/>
        <v>000100</v>
      </c>
      <c r="AY96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0">
        <f>((Table13345[[#This Row],[High C]]+Table13345[[#This Row],[Low C]])/2)*Table13345[[#This Row],[gammac]]*Table13345[[#This Row],[Volume]]</f>
        <v>0</v>
      </c>
      <c r="BD960">
        <f>((Table13345[[#This Row],[High P]]+Table13345[[#This Row],[Low P]])/2)*Table13345[[#This Row],[gammap]]*Table13345[[#This Row],[Volume9]]*-1</f>
        <v>0</v>
      </c>
      <c r="BE960">
        <f>(Table13345[[#This Row],[SgammaC]]+Table13345[[#This Row],[SgammaP]])*$A$4*-100</f>
        <v>0</v>
      </c>
      <c r="BF960">
        <f>Table13345[[#This Row],[DEXc]]+Table13345[[#This Row],[DEXp]]</f>
        <v>0</v>
      </c>
      <c r="BG960">
        <f>IFERROR(Table13345[[#This Row],[DeltaC]]*Table13345[[#This Row],[Open.Int]]*$A$4,0)</f>
        <v>0</v>
      </c>
      <c r="BH960">
        <f>IFERROR(Table13345[[#This Row],[DeltaP]]*Table13345[[#This Row],[Open.Int8]]*$A$4,0)</f>
        <v>0</v>
      </c>
      <c r="BI96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0">
        <f ca="1">Table13345[[#This Row],[charmc]]+Table13345[[#This Row],[charmp]]</f>
        <v>0</v>
      </c>
      <c r="BL96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0" s="78">
        <f ca="1">Table13345[[#This Row],[call helper]]+Table13345[[#This Row],[put helper]]</f>
        <v>0</v>
      </c>
      <c r="BP960" t="str">
        <f>RTD("tos.rtd", , "STRIKE", "."&amp;Table13345[[#This Row],[Ticker]]&amp;Table13345[[#This Row],[Expiry]]&amp;""&amp;"C"&amp;Table13345[[#This Row],[Spot]]+Table13345[[#This Row],[step]])</f>
        <v>N/A</v>
      </c>
    </row>
    <row r="961" spans="1:68" x14ac:dyDescent="0.25">
      <c r="A961" s="14">
        <f t="shared" ca="1" si="94"/>
        <v>-126.14810350076104</v>
      </c>
      <c r="C961" s="17"/>
      <c r="D961" t="str">
        <f>RTD("tos.rtd", , "OPEN_INT", "."&amp;Table13345[[#This Row],[Ticker]]&amp;Table13345[[#This Row],[Expiry]]&amp;""&amp;"C"&amp;Table13345[[#This Row],[Spot]]+Table13345[[#This Row],[step]])</f>
        <v>N/A</v>
      </c>
      <c r="E96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1" t="b">
        <f>IF(     ISNUMBER(Table13345[[#This Row],[Strike]]),RTD("tos.rtd", , "DELTA", "."&amp;Table13345[[#This Row],[Ticker]]&amp;Table13345[[#This Row],[Expiry]]&amp;""&amp;"C"&amp;Table13345[[#This Row],[Strike]]))</f>
        <v>0</v>
      </c>
      <c r="H961" s="17" cm="1">
        <f t="array" aca="1" ref="H961" ca="1">IndividualLegIVCore($A$4, Table13345[[#This Row],[Strike]], 0.0411, Table13345[[#This Row],[T]], ((Table13345[[#This Row],[BIDC]]+Table13345[[#This Row],[ASKC]])/2), TRUE)</f>
        <v>0.01</v>
      </c>
      <c r="I961" t="b">
        <f>IF(     ISNUMBER(Table13345[[#This Row],[Strike]]),RTD("tos.rtd", , "BID", "."&amp;Table13345[[#This Row],[Ticker]]&amp;Table13345[[#This Row],[Expiry]]&amp;""&amp;"C"&amp;Table13345[[#This Row],[Strike]]))</f>
        <v>0</v>
      </c>
      <c r="J961" t="b">
        <f>IF(     ISNUMBER(Table13345[[#This Row],[Strike]]),RTD("tos.rtd", , "ASK", "."&amp;Table13345[[#This Row],[Ticker]]&amp;Table13345[[#This Row],[Expiry]]&amp;""&amp;"C"&amp;Table13345[[#This Row],[Strike]]))</f>
        <v>0</v>
      </c>
      <c r="K961" s="17"/>
      <c r="M961" s="1">
        <f t="shared" si="95"/>
        <v>0</v>
      </c>
      <c r="N961" t="b">
        <f t="shared" si="96"/>
        <v>0</v>
      </c>
      <c r="P961" s="17" cm="1">
        <f t="array" aca="1" ref="P961" ca="1">IndividualLegIVCore($A$4, Table13345[[#This Row],[Strike]], 0.0411, Table13345[[#This Row],[T]], ((Table13345[[#This Row],[BIDP]]+Table13345[[#This Row],[ASKP]])/2), FALSE)</f>
        <v>0.01</v>
      </c>
      <c r="Q961" t="b">
        <f>IF(     ISNUMBER(Table13345[[#This Row],[Strike]]),RTD("tos.rtd", , "BID", "."&amp;Table13345[[#This Row],[Ticker]]&amp;Table13345[[#This Row],[Expiry]]&amp;""&amp;"P"&amp;Table13345[[#This Row],[Strike]]))</f>
        <v>0</v>
      </c>
      <c r="R961" t="b">
        <f>IF(     ISNUMBER(Table13345[[#This Row],[Strike]]),RTD("tos.rtd", , "ASK", "."&amp;Table13345[[#This Row],[Ticker]]&amp;Table13345[[#This Row],[Expiry]]&amp;""&amp;"P"&amp;Table13345[[#This Row],[Strike]]))</f>
        <v>0</v>
      </c>
      <c r="S961" s="17"/>
      <c r="T961" t="b">
        <f>IF(     ISNUMBER(Table13345[[#This Row],[Strike]]),RTD("tos.rtd", , "OPEN_INT", "."&amp;Table13345[[#This Row],[Ticker]]&amp;Table13345[[#This Row],[Expiry]]&amp;""&amp;"P"&amp;Table13345[[#This Row],[Strike]]))</f>
        <v>0</v>
      </c>
      <c r="U96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1" t="b">
        <f>IF(     ISNUMBER(Table13345[[#This Row],[Strike]]),RTD("tos.rtd", , "DELTA", "."&amp;Table13345[[#This Row],[Ticker]]&amp;Table13345[[#This Row],[Expiry]]&amp;""&amp;"P"&amp;Table13345[[#This Row],[Strike]]))</f>
        <v>0</v>
      </c>
      <c r="Y961" s="19">
        <f>19.5* IF($M$1="NDX", 10, IF(OR($M$1="SPX", $M$1="RUT"), 2, 1))</f>
        <v>39</v>
      </c>
      <c r="Z961">
        <f ca="1">IFERROR(Table13345[[#This Row],[call gamma]]*(Table13345[[#This Row],[Open.Int]])*$A$4^2,0)</f>
        <v>0</v>
      </c>
      <c r="AA961">
        <f ca="1">IFERROR(((Table13345[[#This Row],[Open.Int8]])*Table13345[[#This Row],[Put gamma]])*-1*$A$4^2,0)</f>
        <v>0</v>
      </c>
      <c r="AB961">
        <f ca="1">(Table13345[[#This Row],[Call Gex]]+Table13345[[#This Row],[Put Gex]])</f>
        <v>0</v>
      </c>
      <c r="AC961">
        <f ca="1">Table13345[[#This Row],[put delta adj]]+Table13345[[#This Row],[call delta adj]]</f>
        <v>0</v>
      </c>
      <c r="AD961">
        <f ca="1">Table13345[[#This Row],[Put Gex]]*Table13345[[#This Row],[DeltaP]]*-1</f>
        <v>0</v>
      </c>
      <c r="AE961">
        <f ca="1">Table13345[[#This Row],[Call Gex]]*Table13345[[#This Row],[DeltaC]]</f>
        <v>0</v>
      </c>
      <c r="AF961">
        <f>IF(Table13345[[#This Row],[DeltaC]]-ABS(Table13345[[#This Row],[DeltaP]])="0","0.01",Table13345[[#This Row],[DeltaC]]-ABS(Table13345[[#This Row],[DeltaP]]))</f>
        <v>0</v>
      </c>
      <c r="AG96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1" t="e">
        <f ca="1">(EXP(-(AG961^2)/2)/SQRT(2*PI())*EXP(0*SQRT(Table13345[[#This Row],[T]]))/$A$4*18%*SQRT(SQRT(Table13345[[#This Row],[T]])))</f>
        <v>#DIV/0!</v>
      </c>
      <c r="AJ961" t="e">
        <f ca="1">(EXP(-(AH961^2)/2)/SQRT(2*PI())*EXP(0*SQRT(Table13345[[#This Row],[T]]))/$A$4*18%*SQRT(SQRT(Table13345[[#This Row],[T]])))</f>
        <v>#DIV/0!</v>
      </c>
      <c r="AK961" t="e">
        <f ca="1">Table13345[[#This Row],[Call D1]]-Table13345[[#This Row],[IV Calc C]]*SQRT(Table13345[[#This Row],[T]])</f>
        <v>#DIV/0!</v>
      </c>
      <c r="AL961" t="e">
        <f ca="1">Table13345[[#This Row],[Put D1]]-Table13345[[#This Row],[IV Calc P]]*SQRT(Table13345[[#This Row],[T]])</f>
        <v>#DIV/0!</v>
      </c>
      <c r="AM961" t="e">
        <f ca="1">EXP(-0.5*Table13345[[#This Row],[Call D1]]^2)/SQRT(2*PI())</f>
        <v>#DIV/0!</v>
      </c>
      <c r="AN961" t="e">
        <f ca="1">EXP(-0.5*Table13345[[#This Row],[Put D1]]^2)/SQRT(2*PI())</f>
        <v>#DIV/0!</v>
      </c>
      <c r="AO96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1">
        <f ca="1">((Table13345[[#This Row],[call vanna]]+Table13345[[#This Row],[put vanna]])*$A$4)</f>
        <v>0</v>
      </c>
      <c r="AR96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1" s="9" t="str" cm="1">
        <f t="array" ref="AT961">_xlfn.IFS(     $M$1="SPX","SPXW",     $M$1="RUT","RUTW",  $M$1="NDX","NDXP",   TRUE,$M$1 )</f>
        <v>SPXW</v>
      </c>
      <c r="AU961" s="2">
        <f t="shared" si="97"/>
        <v>6915</v>
      </c>
      <c r="AV961" t="str">
        <f t="shared" si="98"/>
        <v>000100</v>
      </c>
      <c r="AY96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1">
        <f>((Table13345[[#This Row],[High C]]+Table13345[[#This Row],[Low C]])/2)*Table13345[[#This Row],[gammac]]*Table13345[[#This Row],[Volume]]</f>
        <v>0</v>
      </c>
      <c r="BD961">
        <f>((Table13345[[#This Row],[High P]]+Table13345[[#This Row],[Low P]])/2)*Table13345[[#This Row],[gammap]]*Table13345[[#This Row],[Volume9]]*-1</f>
        <v>0</v>
      </c>
      <c r="BE961">
        <f>(Table13345[[#This Row],[SgammaC]]+Table13345[[#This Row],[SgammaP]])*$A$4*-100</f>
        <v>0</v>
      </c>
      <c r="BF961">
        <f>Table13345[[#This Row],[DEXc]]+Table13345[[#This Row],[DEXp]]</f>
        <v>0</v>
      </c>
      <c r="BG961">
        <f>IFERROR(Table13345[[#This Row],[DeltaC]]*Table13345[[#This Row],[Open.Int]]*$A$4,0)</f>
        <v>0</v>
      </c>
      <c r="BH961">
        <f>IFERROR(Table13345[[#This Row],[DeltaP]]*Table13345[[#This Row],[Open.Int8]]*$A$4,0)</f>
        <v>0</v>
      </c>
      <c r="BI96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1">
        <f ca="1">Table13345[[#This Row],[charmc]]+Table13345[[#This Row],[charmp]]</f>
        <v>0</v>
      </c>
      <c r="BL96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1" s="78">
        <f ca="1">Table13345[[#This Row],[call helper]]+Table13345[[#This Row],[put helper]]</f>
        <v>0</v>
      </c>
      <c r="BP961" t="str">
        <f>RTD("tos.rtd", , "STRIKE", "."&amp;Table13345[[#This Row],[Ticker]]&amp;Table13345[[#This Row],[Expiry]]&amp;""&amp;"C"&amp;Table13345[[#This Row],[Spot]]+Table13345[[#This Row],[step]])</f>
        <v>N/A</v>
      </c>
    </row>
    <row r="962" spans="1:68" x14ac:dyDescent="0.25">
      <c r="A962" s="14">
        <f t="shared" ca="1" si="94"/>
        <v>-126.14810350076104</v>
      </c>
      <c r="C962" s="17"/>
      <c r="D962" t="str">
        <f>RTD("tos.rtd", , "OPEN_INT", "."&amp;Table13345[[#This Row],[Ticker]]&amp;Table13345[[#This Row],[Expiry]]&amp;""&amp;"C"&amp;Table13345[[#This Row],[Spot]]+Table13345[[#This Row],[step]])</f>
        <v>N/A</v>
      </c>
      <c r="E96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2" t="b">
        <f>IF(     ISNUMBER(Table13345[[#This Row],[Strike]]),RTD("tos.rtd", , "DELTA", "."&amp;Table13345[[#This Row],[Ticker]]&amp;Table13345[[#This Row],[Expiry]]&amp;""&amp;"C"&amp;Table13345[[#This Row],[Strike]]))</f>
        <v>0</v>
      </c>
      <c r="H962" s="17" cm="1">
        <f t="array" aca="1" ref="H962" ca="1">IndividualLegIVCore($A$4, Table13345[[#This Row],[Strike]], 0.0411, Table13345[[#This Row],[T]], ((Table13345[[#This Row],[BIDC]]+Table13345[[#This Row],[ASKC]])/2), TRUE)</f>
        <v>0.01</v>
      </c>
      <c r="I962" t="b">
        <f>IF(     ISNUMBER(Table13345[[#This Row],[Strike]]),RTD("tos.rtd", , "BID", "."&amp;Table13345[[#This Row],[Ticker]]&amp;Table13345[[#This Row],[Expiry]]&amp;""&amp;"C"&amp;Table13345[[#This Row],[Strike]]))</f>
        <v>0</v>
      </c>
      <c r="J962" t="b">
        <f>IF(     ISNUMBER(Table13345[[#This Row],[Strike]]),RTD("tos.rtd", , "ASK", "."&amp;Table13345[[#This Row],[Ticker]]&amp;Table13345[[#This Row],[Expiry]]&amp;""&amp;"C"&amp;Table13345[[#This Row],[Strike]]))</f>
        <v>0</v>
      </c>
      <c r="K962" s="17"/>
      <c r="M962" s="1">
        <f t="shared" si="95"/>
        <v>0</v>
      </c>
      <c r="N962" t="b">
        <f t="shared" si="96"/>
        <v>0</v>
      </c>
      <c r="P962" s="17" cm="1">
        <f t="array" aca="1" ref="P962" ca="1">IndividualLegIVCore($A$4, Table13345[[#This Row],[Strike]], 0.0411, Table13345[[#This Row],[T]], ((Table13345[[#This Row],[BIDP]]+Table13345[[#This Row],[ASKP]])/2), FALSE)</f>
        <v>0.01</v>
      </c>
      <c r="Q962" t="b">
        <f>IF(     ISNUMBER(Table13345[[#This Row],[Strike]]),RTD("tos.rtd", , "BID", "."&amp;Table13345[[#This Row],[Ticker]]&amp;Table13345[[#This Row],[Expiry]]&amp;""&amp;"P"&amp;Table13345[[#This Row],[Strike]]))</f>
        <v>0</v>
      </c>
      <c r="R962" t="b">
        <f>IF(     ISNUMBER(Table13345[[#This Row],[Strike]]),RTD("tos.rtd", , "ASK", "."&amp;Table13345[[#This Row],[Ticker]]&amp;Table13345[[#This Row],[Expiry]]&amp;""&amp;"P"&amp;Table13345[[#This Row],[Strike]]))</f>
        <v>0</v>
      </c>
      <c r="S962" s="17"/>
      <c r="T962" t="b">
        <f>IF(     ISNUMBER(Table13345[[#This Row],[Strike]]),RTD("tos.rtd", , "OPEN_INT", "."&amp;Table13345[[#This Row],[Ticker]]&amp;Table13345[[#This Row],[Expiry]]&amp;""&amp;"P"&amp;Table13345[[#This Row],[Strike]]))</f>
        <v>0</v>
      </c>
      <c r="U96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2" t="b">
        <f>IF(     ISNUMBER(Table13345[[#This Row],[Strike]]),RTD("tos.rtd", , "DELTA", "."&amp;Table13345[[#This Row],[Ticker]]&amp;Table13345[[#This Row],[Expiry]]&amp;""&amp;"P"&amp;Table13345[[#This Row],[Strike]]))</f>
        <v>0</v>
      </c>
      <c r="Y962" s="19">
        <f>20* IF($M$1="NDX", 10, IF(OR($M$1="SPX", $M$1="RUT"), 2, 1))</f>
        <v>40</v>
      </c>
      <c r="Z962">
        <f ca="1">IFERROR(Table13345[[#This Row],[call gamma]]*(Table13345[[#This Row],[Open.Int]])*$A$4^2,0)</f>
        <v>0</v>
      </c>
      <c r="AA962">
        <f ca="1">IFERROR(((Table13345[[#This Row],[Open.Int8]])*Table13345[[#This Row],[Put gamma]])*-1*$A$4^2,0)</f>
        <v>0</v>
      </c>
      <c r="AB962">
        <f ca="1">(Table13345[[#This Row],[Call Gex]]+Table13345[[#This Row],[Put Gex]])</f>
        <v>0</v>
      </c>
      <c r="AC962">
        <f ca="1">Table13345[[#This Row],[put delta adj]]+Table13345[[#This Row],[call delta adj]]</f>
        <v>0</v>
      </c>
      <c r="AD962">
        <f ca="1">Table13345[[#This Row],[Put Gex]]*Table13345[[#This Row],[DeltaP]]*-1</f>
        <v>0</v>
      </c>
      <c r="AE962">
        <f ca="1">Table13345[[#This Row],[Call Gex]]*Table13345[[#This Row],[DeltaC]]</f>
        <v>0</v>
      </c>
      <c r="AF962">
        <f>IF(Table13345[[#This Row],[DeltaC]]-ABS(Table13345[[#This Row],[DeltaP]])="0","0.01",Table13345[[#This Row],[DeltaC]]-ABS(Table13345[[#This Row],[DeltaP]]))</f>
        <v>0</v>
      </c>
      <c r="AG96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2" t="e">
        <f ca="1">(EXP(-(AG962^2)/2)/SQRT(2*PI())*EXP(0*SQRT(Table13345[[#This Row],[T]]))/$A$4*18%*SQRT(SQRT(Table13345[[#This Row],[T]])))</f>
        <v>#DIV/0!</v>
      </c>
      <c r="AJ962" t="e">
        <f ca="1">(EXP(-(AH962^2)/2)/SQRT(2*PI())*EXP(0*SQRT(Table13345[[#This Row],[T]]))/$A$4*18%*SQRT(SQRT(Table13345[[#This Row],[T]])))</f>
        <v>#DIV/0!</v>
      </c>
      <c r="AK962" t="e">
        <f ca="1">Table13345[[#This Row],[Call D1]]-Table13345[[#This Row],[IV Calc C]]*SQRT(Table13345[[#This Row],[T]])</f>
        <v>#DIV/0!</v>
      </c>
      <c r="AL962" t="e">
        <f ca="1">Table13345[[#This Row],[Put D1]]-Table13345[[#This Row],[IV Calc P]]*SQRT(Table13345[[#This Row],[T]])</f>
        <v>#DIV/0!</v>
      </c>
      <c r="AM962" t="e">
        <f ca="1">EXP(-0.5*Table13345[[#This Row],[Call D1]]^2)/SQRT(2*PI())</f>
        <v>#DIV/0!</v>
      </c>
      <c r="AN962" t="e">
        <f ca="1">EXP(-0.5*Table13345[[#This Row],[Put D1]]^2)/SQRT(2*PI())</f>
        <v>#DIV/0!</v>
      </c>
      <c r="AO96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2">
        <f ca="1">((Table13345[[#This Row],[call vanna]]+Table13345[[#This Row],[put vanna]])*$A$4)</f>
        <v>0</v>
      </c>
      <c r="AR96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2" s="9" t="str" cm="1">
        <f t="array" ref="AT962">_xlfn.IFS(     $M$1="SPX","SPXW",     $M$1="RUT","RUTW",  $M$1="NDX","NDXP",   TRUE,$M$1 )</f>
        <v>SPXW</v>
      </c>
      <c r="AU962" s="2">
        <f t="shared" si="97"/>
        <v>6915</v>
      </c>
      <c r="AV962" t="str">
        <f t="shared" si="98"/>
        <v>000100</v>
      </c>
      <c r="AY96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2">
        <f>((Table13345[[#This Row],[High C]]+Table13345[[#This Row],[Low C]])/2)*Table13345[[#This Row],[gammac]]*Table13345[[#This Row],[Volume]]</f>
        <v>0</v>
      </c>
      <c r="BD962">
        <f>((Table13345[[#This Row],[High P]]+Table13345[[#This Row],[Low P]])/2)*Table13345[[#This Row],[gammap]]*Table13345[[#This Row],[Volume9]]*-1</f>
        <v>0</v>
      </c>
      <c r="BE962">
        <f>(Table13345[[#This Row],[SgammaC]]+Table13345[[#This Row],[SgammaP]])*$A$4*-100</f>
        <v>0</v>
      </c>
      <c r="BF962">
        <f>Table13345[[#This Row],[DEXc]]+Table13345[[#This Row],[DEXp]]</f>
        <v>0</v>
      </c>
      <c r="BG962">
        <f>IFERROR(Table13345[[#This Row],[DeltaC]]*Table13345[[#This Row],[Open.Int]]*$A$4,0)</f>
        <v>0</v>
      </c>
      <c r="BH962">
        <f>IFERROR(Table13345[[#This Row],[DeltaP]]*Table13345[[#This Row],[Open.Int8]]*$A$4,0)</f>
        <v>0</v>
      </c>
      <c r="BI96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2">
        <f ca="1">Table13345[[#This Row],[charmc]]+Table13345[[#This Row],[charmp]]</f>
        <v>0</v>
      </c>
      <c r="BL96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2" s="78">
        <f ca="1">Table13345[[#This Row],[call helper]]+Table13345[[#This Row],[put helper]]</f>
        <v>0</v>
      </c>
      <c r="BP962" t="str">
        <f>RTD("tos.rtd", , "STRIKE", "."&amp;Table13345[[#This Row],[Ticker]]&amp;Table13345[[#This Row],[Expiry]]&amp;""&amp;"C"&amp;Table13345[[#This Row],[Spot]]+Table13345[[#This Row],[step]])</f>
        <v>N/A</v>
      </c>
    </row>
    <row r="963" spans="1:68" x14ac:dyDescent="0.25">
      <c r="A963" s="14">
        <f t="shared" ca="1" si="94"/>
        <v>-126.14810350076104</v>
      </c>
      <c r="C963" s="17"/>
      <c r="D963" t="str">
        <f>RTD("tos.rtd", , "OPEN_INT", "."&amp;Table13345[[#This Row],[Ticker]]&amp;Table13345[[#This Row],[Expiry]]&amp;""&amp;"C"&amp;Table13345[[#This Row],[Spot]]+Table13345[[#This Row],[step]])</f>
        <v>N/A</v>
      </c>
      <c r="E96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3" t="b">
        <f>IF(     ISNUMBER(Table13345[[#This Row],[Strike]]),RTD("tos.rtd", , "DELTA", "."&amp;Table13345[[#This Row],[Ticker]]&amp;Table13345[[#This Row],[Expiry]]&amp;""&amp;"C"&amp;Table13345[[#This Row],[Strike]]))</f>
        <v>0</v>
      </c>
      <c r="H963" s="17" cm="1">
        <f t="array" aca="1" ref="H963" ca="1">IndividualLegIVCore($A$4, Table13345[[#This Row],[Strike]], 0.0411, Table13345[[#This Row],[T]], ((Table13345[[#This Row],[BIDC]]+Table13345[[#This Row],[ASKC]])/2), TRUE)</f>
        <v>0.01</v>
      </c>
      <c r="I963" t="b">
        <f>IF(     ISNUMBER(Table13345[[#This Row],[Strike]]),RTD("tos.rtd", , "BID", "."&amp;Table13345[[#This Row],[Ticker]]&amp;Table13345[[#This Row],[Expiry]]&amp;""&amp;"C"&amp;Table13345[[#This Row],[Strike]]))</f>
        <v>0</v>
      </c>
      <c r="J963" t="b">
        <f>IF(     ISNUMBER(Table13345[[#This Row],[Strike]]),RTD("tos.rtd", , "ASK", "."&amp;Table13345[[#This Row],[Ticker]]&amp;Table13345[[#This Row],[Expiry]]&amp;""&amp;"C"&amp;Table13345[[#This Row],[Strike]]))</f>
        <v>0</v>
      </c>
      <c r="K963" s="17"/>
      <c r="M963" s="1">
        <f t="shared" si="95"/>
        <v>0</v>
      </c>
      <c r="N963" t="b">
        <f t="shared" si="96"/>
        <v>0</v>
      </c>
      <c r="P963" s="17" cm="1">
        <f t="array" aca="1" ref="P963" ca="1">IndividualLegIVCore($A$4, Table13345[[#This Row],[Strike]], 0.0411, Table13345[[#This Row],[T]], ((Table13345[[#This Row],[BIDP]]+Table13345[[#This Row],[ASKP]])/2), FALSE)</f>
        <v>0.01</v>
      </c>
      <c r="Q963" t="b">
        <f>IF(     ISNUMBER(Table13345[[#This Row],[Strike]]),RTD("tos.rtd", , "BID", "."&amp;Table13345[[#This Row],[Ticker]]&amp;Table13345[[#This Row],[Expiry]]&amp;""&amp;"P"&amp;Table13345[[#This Row],[Strike]]))</f>
        <v>0</v>
      </c>
      <c r="R963" t="b">
        <f>IF(     ISNUMBER(Table13345[[#This Row],[Strike]]),RTD("tos.rtd", , "ASK", "."&amp;Table13345[[#This Row],[Ticker]]&amp;Table13345[[#This Row],[Expiry]]&amp;""&amp;"P"&amp;Table13345[[#This Row],[Strike]]))</f>
        <v>0</v>
      </c>
      <c r="S963" s="17"/>
      <c r="T963" t="b">
        <f>IF(     ISNUMBER(Table13345[[#This Row],[Strike]]),RTD("tos.rtd", , "OPEN_INT", "."&amp;Table13345[[#This Row],[Ticker]]&amp;Table13345[[#This Row],[Expiry]]&amp;""&amp;"P"&amp;Table13345[[#This Row],[Strike]]))</f>
        <v>0</v>
      </c>
      <c r="U96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3" t="b">
        <f>IF(     ISNUMBER(Table13345[[#This Row],[Strike]]),RTD("tos.rtd", , "DELTA", "."&amp;Table13345[[#This Row],[Ticker]]&amp;Table13345[[#This Row],[Expiry]]&amp;""&amp;"P"&amp;Table13345[[#This Row],[Strike]]))</f>
        <v>0</v>
      </c>
      <c r="Y963" s="19">
        <f>20.5* IF($M$1="NDX", 10, IF(OR($M$1="SPX", $M$1="RUT"), 2, 1))</f>
        <v>41</v>
      </c>
      <c r="Z963">
        <f ca="1">IFERROR(Table13345[[#This Row],[call gamma]]*(Table13345[[#This Row],[Open.Int]])*$A$4^2,0)</f>
        <v>0</v>
      </c>
      <c r="AA963">
        <f ca="1">IFERROR(((Table13345[[#This Row],[Open.Int8]])*Table13345[[#This Row],[Put gamma]])*-1*$A$4^2,0)</f>
        <v>0</v>
      </c>
      <c r="AB963">
        <f ca="1">(Table13345[[#This Row],[Call Gex]]+Table13345[[#This Row],[Put Gex]])</f>
        <v>0</v>
      </c>
      <c r="AC963">
        <f ca="1">Table13345[[#This Row],[put delta adj]]+Table13345[[#This Row],[call delta adj]]</f>
        <v>0</v>
      </c>
      <c r="AD963">
        <f ca="1">Table13345[[#This Row],[Put Gex]]*Table13345[[#This Row],[DeltaP]]*-1</f>
        <v>0</v>
      </c>
      <c r="AE963">
        <f ca="1">Table13345[[#This Row],[Call Gex]]*Table13345[[#This Row],[DeltaC]]</f>
        <v>0</v>
      </c>
      <c r="AF963">
        <f>IF(Table13345[[#This Row],[DeltaC]]-ABS(Table13345[[#This Row],[DeltaP]])="0","0.01",Table13345[[#This Row],[DeltaC]]-ABS(Table13345[[#This Row],[DeltaP]]))</f>
        <v>0</v>
      </c>
      <c r="AG96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3" t="e">
        <f ca="1">(EXP(-(AG963^2)/2)/SQRT(2*PI())*EXP(0*SQRT(Table13345[[#This Row],[T]]))/$A$4*18%*SQRT(SQRT(Table13345[[#This Row],[T]])))</f>
        <v>#DIV/0!</v>
      </c>
      <c r="AJ963" t="e">
        <f ca="1">(EXP(-(AH963^2)/2)/SQRT(2*PI())*EXP(0*SQRT(Table13345[[#This Row],[T]]))/$A$4*18%*SQRT(SQRT(Table13345[[#This Row],[T]])))</f>
        <v>#DIV/0!</v>
      </c>
      <c r="AK963" t="e">
        <f ca="1">Table13345[[#This Row],[Call D1]]-Table13345[[#This Row],[IV Calc C]]*SQRT(Table13345[[#This Row],[T]])</f>
        <v>#DIV/0!</v>
      </c>
      <c r="AL963" t="e">
        <f ca="1">Table13345[[#This Row],[Put D1]]-Table13345[[#This Row],[IV Calc P]]*SQRT(Table13345[[#This Row],[T]])</f>
        <v>#DIV/0!</v>
      </c>
      <c r="AM963" t="e">
        <f ca="1">EXP(-0.5*Table13345[[#This Row],[Call D1]]^2)/SQRT(2*PI())</f>
        <v>#DIV/0!</v>
      </c>
      <c r="AN963" t="e">
        <f ca="1">EXP(-0.5*Table13345[[#This Row],[Put D1]]^2)/SQRT(2*PI())</f>
        <v>#DIV/0!</v>
      </c>
      <c r="AO96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3">
        <f ca="1">((Table13345[[#This Row],[call vanna]]+Table13345[[#This Row],[put vanna]])*$A$4)</f>
        <v>0</v>
      </c>
      <c r="AR96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3" s="9" t="str" cm="1">
        <f t="array" ref="AT963">_xlfn.IFS(     $M$1="SPX","SPXW",     $M$1="RUT","RUTW",  $M$1="NDX","NDXP",   TRUE,$M$1 )</f>
        <v>SPXW</v>
      </c>
      <c r="AU963" s="2">
        <f t="shared" si="97"/>
        <v>6915</v>
      </c>
      <c r="AV963" t="str">
        <f t="shared" si="98"/>
        <v>000100</v>
      </c>
      <c r="AY96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3">
        <f>((Table13345[[#This Row],[High C]]+Table13345[[#This Row],[Low C]])/2)*Table13345[[#This Row],[gammac]]*Table13345[[#This Row],[Volume]]</f>
        <v>0</v>
      </c>
      <c r="BD963">
        <f>((Table13345[[#This Row],[High P]]+Table13345[[#This Row],[Low P]])/2)*Table13345[[#This Row],[gammap]]*Table13345[[#This Row],[Volume9]]*-1</f>
        <v>0</v>
      </c>
      <c r="BE963">
        <f>(Table13345[[#This Row],[SgammaC]]+Table13345[[#This Row],[SgammaP]])*$A$4*-100</f>
        <v>0</v>
      </c>
      <c r="BF963">
        <f>Table13345[[#This Row],[DEXc]]+Table13345[[#This Row],[DEXp]]</f>
        <v>0</v>
      </c>
      <c r="BG963">
        <f>IFERROR(Table13345[[#This Row],[DeltaC]]*Table13345[[#This Row],[Open.Int]]*$A$4,0)</f>
        <v>0</v>
      </c>
      <c r="BH963">
        <f>IFERROR(Table13345[[#This Row],[DeltaP]]*Table13345[[#This Row],[Open.Int8]]*$A$4,0)</f>
        <v>0</v>
      </c>
      <c r="BI96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3">
        <f ca="1">Table13345[[#This Row],[charmc]]+Table13345[[#This Row],[charmp]]</f>
        <v>0</v>
      </c>
      <c r="BL96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3" s="78">
        <f ca="1">Table13345[[#This Row],[call helper]]+Table13345[[#This Row],[put helper]]</f>
        <v>0</v>
      </c>
      <c r="BP963" t="str">
        <f>RTD("tos.rtd", , "STRIKE", "."&amp;Table13345[[#This Row],[Ticker]]&amp;Table13345[[#This Row],[Expiry]]&amp;""&amp;"C"&amp;Table13345[[#This Row],[Spot]]+Table13345[[#This Row],[step]])</f>
        <v>N/A</v>
      </c>
    </row>
    <row r="964" spans="1:68" x14ac:dyDescent="0.25">
      <c r="A964" s="14">
        <f t="shared" ca="1" si="94"/>
        <v>-126.14810350076104</v>
      </c>
      <c r="C964" s="17"/>
      <c r="D964" t="str">
        <f>RTD("tos.rtd", , "OPEN_INT", "."&amp;Table13345[[#This Row],[Ticker]]&amp;Table13345[[#This Row],[Expiry]]&amp;""&amp;"C"&amp;Table13345[[#This Row],[Spot]]+Table13345[[#This Row],[step]])</f>
        <v>N/A</v>
      </c>
      <c r="E96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4" t="b">
        <f>IF(     ISNUMBER(Table13345[[#This Row],[Strike]]),RTD("tos.rtd", , "DELTA", "."&amp;Table13345[[#This Row],[Ticker]]&amp;Table13345[[#This Row],[Expiry]]&amp;""&amp;"C"&amp;Table13345[[#This Row],[Strike]]))</f>
        <v>0</v>
      </c>
      <c r="H964" s="17" cm="1">
        <f t="array" aca="1" ref="H964" ca="1">IndividualLegIVCore($A$4, Table13345[[#This Row],[Strike]], 0.0411, Table13345[[#This Row],[T]], ((Table13345[[#This Row],[BIDC]]+Table13345[[#This Row],[ASKC]])/2), TRUE)</f>
        <v>0.01</v>
      </c>
      <c r="I964" t="b">
        <f>IF(     ISNUMBER(Table13345[[#This Row],[Strike]]),RTD("tos.rtd", , "BID", "."&amp;Table13345[[#This Row],[Ticker]]&amp;Table13345[[#This Row],[Expiry]]&amp;""&amp;"C"&amp;Table13345[[#This Row],[Strike]]))</f>
        <v>0</v>
      </c>
      <c r="J964" t="b">
        <f>IF(     ISNUMBER(Table13345[[#This Row],[Strike]]),RTD("tos.rtd", , "ASK", "."&amp;Table13345[[#This Row],[Ticker]]&amp;Table13345[[#This Row],[Expiry]]&amp;""&amp;"C"&amp;Table13345[[#This Row],[Strike]]))</f>
        <v>0</v>
      </c>
      <c r="K964" s="17"/>
      <c r="M964" s="1">
        <f t="shared" si="95"/>
        <v>0</v>
      </c>
      <c r="N964" t="b">
        <f t="shared" si="96"/>
        <v>0</v>
      </c>
      <c r="P964" s="17" cm="1">
        <f t="array" aca="1" ref="P964" ca="1">IndividualLegIVCore($A$4, Table13345[[#This Row],[Strike]], 0.0411, Table13345[[#This Row],[T]], ((Table13345[[#This Row],[BIDP]]+Table13345[[#This Row],[ASKP]])/2), FALSE)</f>
        <v>0.01</v>
      </c>
      <c r="Q964" t="b">
        <f>IF(     ISNUMBER(Table13345[[#This Row],[Strike]]),RTD("tos.rtd", , "BID", "."&amp;Table13345[[#This Row],[Ticker]]&amp;Table13345[[#This Row],[Expiry]]&amp;""&amp;"P"&amp;Table13345[[#This Row],[Strike]]))</f>
        <v>0</v>
      </c>
      <c r="R964" t="b">
        <f>IF(     ISNUMBER(Table13345[[#This Row],[Strike]]),RTD("tos.rtd", , "ASK", "."&amp;Table13345[[#This Row],[Ticker]]&amp;Table13345[[#This Row],[Expiry]]&amp;""&amp;"P"&amp;Table13345[[#This Row],[Strike]]))</f>
        <v>0</v>
      </c>
      <c r="S964" s="17"/>
      <c r="T964" t="b">
        <f>IF(     ISNUMBER(Table13345[[#This Row],[Strike]]),RTD("tos.rtd", , "OPEN_INT", "."&amp;Table13345[[#This Row],[Ticker]]&amp;Table13345[[#This Row],[Expiry]]&amp;""&amp;"P"&amp;Table13345[[#This Row],[Strike]]))</f>
        <v>0</v>
      </c>
      <c r="U96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4" t="b">
        <f>IF(     ISNUMBER(Table13345[[#This Row],[Strike]]),RTD("tos.rtd", , "DELTA", "."&amp;Table13345[[#This Row],[Ticker]]&amp;Table13345[[#This Row],[Expiry]]&amp;""&amp;"P"&amp;Table13345[[#This Row],[Strike]]))</f>
        <v>0</v>
      </c>
      <c r="Y964" s="19">
        <f>21* IF($M$1="NDX", 10, IF(OR($M$1="SPX", $M$1="RUT"), 2, 1))</f>
        <v>42</v>
      </c>
      <c r="Z964">
        <f ca="1">IFERROR(Table13345[[#This Row],[call gamma]]*(Table13345[[#This Row],[Open.Int]])*$A$4^2,0)</f>
        <v>0</v>
      </c>
      <c r="AA964">
        <f ca="1">IFERROR(((Table13345[[#This Row],[Open.Int8]])*Table13345[[#This Row],[Put gamma]])*-1*$A$4^2,0)</f>
        <v>0</v>
      </c>
      <c r="AB964">
        <f ca="1">(Table13345[[#This Row],[Call Gex]]+Table13345[[#This Row],[Put Gex]])</f>
        <v>0</v>
      </c>
      <c r="AC964">
        <f ca="1">Table13345[[#This Row],[put delta adj]]+Table13345[[#This Row],[call delta adj]]</f>
        <v>0</v>
      </c>
      <c r="AD964">
        <f ca="1">Table13345[[#This Row],[Put Gex]]*Table13345[[#This Row],[DeltaP]]*-1</f>
        <v>0</v>
      </c>
      <c r="AE964">
        <f ca="1">Table13345[[#This Row],[Call Gex]]*Table13345[[#This Row],[DeltaC]]</f>
        <v>0</v>
      </c>
      <c r="AF964">
        <f>IF(Table13345[[#This Row],[DeltaC]]-ABS(Table13345[[#This Row],[DeltaP]])="0","0.01",Table13345[[#This Row],[DeltaC]]-ABS(Table13345[[#This Row],[DeltaP]]))</f>
        <v>0</v>
      </c>
      <c r="AG96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4" t="e">
        <f ca="1">(EXP(-(AG964^2)/2)/SQRT(2*PI())*EXP(0*SQRT(Table13345[[#This Row],[T]]))/$A$4*18%*SQRT(SQRT(Table13345[[#This Row],[T]])))</f>
        <v>#DIV/0!</v>
      </c>
      <c r="AJ964" t="e">
        <f ca="1">(EXP(-(AH964^2)/2)/SQRT(2*PI())*EXP(0*SQRT(Table13345[[#This Row],[T]]))/$A$4*18%*SQRT(SQRT(Table13345[[#This Row],[T]])))</f>
        <v>#DIV/0!</v>
      </c>
      <c r="AK964" t="e">
        <f ca="1">Table13345[[#This Row],[Call D1]]-Table13345[[#This Row],[IV Calc C]]*SQRT(Table13345[[#This Row],[T]])</f>
        <v>#DIV/0!</v>
      </c>
      <c r="AL964" t="e">
        <f ca="1">Table13345[[#This Row],[Put D1]]-Table13345[[#This Row],[IV Calc P]]*SQRT(Table13345[[#This Row],[T]])</f>
        <v>#DIV/0!</v>
      </c>
      <c r="AM964" t="e">
        <f ca="1">EXP(-0.5*Table13345[[#This Row],[Call D1]]^2)/SQRT(2*PI())</f>
        <v>#DIV/0!</v>
      </c>
      <c r="AN964" t="e">
        <f ca="1">EXP(-0.5*Table13345[[#This Row],[Put D1]]^2)/SQRT(2*PI())</f>
        <v>#DIV/0!</v>
      </c>
      <c r="AO96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4">
        <f ca="1">((Table13345[[#This Row],[call vanna]]+Table13345[[#This Row],[put vanna]])*$A$4)</f>
        <v>0</v>
      </c>
      <c r="AR96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4" s="9" t="str" cm="1">
        <f t="array" ref="AT964">_xlfn.IFS(     $M$1="SPX","SPXW",     $M$1="RUT","RUTW",  $M$1="NDX","NDXP",   TRUE,$M$1 )</f>
        <v>SPXW</v>
      </c>
      <c r="AU964" s="2">
        <f t="shared" si="97"/>
        <v>6915</v>
      </c>
      <c r="AV964" t="str">
        <f t="shared" si="98"/>
        <v>000100</v>
      </c>
      <c r="AY96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4">
        <f>((Table13345[[#This Row],[High C]]+Table13345[[#This Row],[Low C]])/2)*Table13345[[#This Row],[gammac]]*Table13345[[#This Row],[Volume]]</f>
        <v>0</v>
      </c>
      <c r="BD964">
        <f>((Table13345[[#This Row],[High P]]+Table13345[[#This Row],[Low P]])/2)*Table13345[[#This Row],[gammap]]*Table13345[[#This Row],[Volume9]]*-1</f>
        <v>0</v>
      </c>
      <c r="BE964">
        <f>(Table13345[[#This Row],[SgammaC]]+Table13345[[#This Row],[SgammaP]])*$A$4*-100</f>
        <v>0</v>
      </c>
      <c r="BF964">
        <f>Table13345[[#This Row],[DEXc]]+Table13345[[#This Row],[DEXp]]</f>
        <v>0</v>
      </c>
      <c r="BG964">
        <f>IFERROR(Table13345[[#This Row],[DeltaC]]*Table13345[[#This Row],[Open.Int]]*$A$4,0)</f>
        <v>0</v>
      </c>
      <c r="BH964">
        <f>IFERROR(Table13345[[#This Row],[DeltaP]]*Table13345[[#This Row],[Open.Int8]]*$A$4,0)</f>
        <v>0</v>
      </c>
      <c r="BI96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4">
        <f ca="1">Table13345[[#This Row],[charmc]]+Table13345[[#This Row],[charmp]]</f>
        <v>0</v>
      </c>
      <c r="BL96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4" s="78">
        <f ca="1">Table13345[[#This Row],[call helper]]+Table13345[[#This Row],[put helper]]</f>
        <v>0</v>
      </c>
      <c r="BP964" t="str">
        <f>RTD("tos.rtd", , "STRIKE", "."&amp;Table13345[[#This Row],[Ticker]]&amp;Table13345[[#This Row],[Expiry]]&amp;""&amp;"C"&amp;Table13345[[#This Row],[Spot]]+Table13345[[#This Row],[step]])</f>
        <v>N/A</v>
      </c>
    </row>
    <row r="965" spans="1:68" x14ac:dyDescent="0.25">
      <c r="A965" s="14">
        <f t="shared" ca="1" si="94"/>
        <v>-126.14810350076104</v>
      </c>
      <c r="C965" s="17"/>
      <c r="D965" t="str">
        <f>RTD("tos.rtd", , "OPEN_INT", "."&amp;Table13345[[#This Row],[Ticker]]&amp;Table13345[[#This Row],[Expiry]]&amp;""&amp;"C"&amp;Table13345[[#This Row],[Spot]]+Table13345[[#This Row],[step]])</f>
        <v>N/A</v>
      </c>
      <c r="E96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5" t="b">
        <f>IF(     ISNUMBER(Table13345[[#This Row],[Strike]]),RTD("tos.rtd", , "DELTA", "."&amp;Table13345[[#This Row],[Ticker]]&amp;Table13345[[#This Row],[Expiry]]&amp;""&amp;"C"&amp;Table13345[[#This Row],[Strike]]))</f>
        <v>0</v>
      </c>
      <c r="H965" s="17" cm="1">
        <f t="array" aca="1" ref="H965" ca="1">IndividualLegIVCore($A$4, Table13345[[#This Row],[Strike]], 0.0411, Table13345[[#This Row],[T]], ((Table13345[[#This Row],[BIDC]]+Table13345[[#This Row],[ASKC]])/2), TRUE)</f>
        <v>0.01</v>
      </c>
      <c r="I965" t="b">
        <f>IF(     ISNUMBER(Table13345[[#This Row],[Strike]]),RTD("tos.rtd", , "BID", "."&amp;Table13345[[#This Row],[Ticker]]&amp;Table13345[[#This Row],[Expiry]]&amp;""&amp;"C"&amp;Table13345[[#This Row],[Strike]]))</f>
        <v>0</v>
      </c>
      <c r="J965" t="b">
        <f>IF(     ISNUMBER(Table13345[[#This Row],[Strike]]),RTD("tos.rtd", , "ASK", "."&amp;Table13345[[#This Row],[Ticker]]&amp;Table13345[[#This Row],[Expiry]]&amp;""&amp;"C"&amp;Table13345[[#This Row],[Strike]]))</f>
        <v>0</v>
      </c>
      <c r="K965" s="17"/>
      <c r="M965" s="1">
        <f t="shared" si="95"/>
        <v>0</v>
      </c>
      <c r="N965" t="b">
        <f t="shared" si="96"/>
        <v>0</v>
      </c>
      <c r="P965" s="17" cm="1">
        <f t="array" aca="1" ref="P965" ca="1">IndividualLegIVCore($A$4, Table13345[[#This Row],[Strike]], 0.0411, Table13345[[#This Row],[T]], ((Table13345[[#This Row],[BIDP]]+Table13345[[#This Row],[ASKP]])/2), FALSE)</f>
        <v>0.01</v>
      </c>
      <c r="Q965" t="b">
        <f>IF(     ISNUMBER(Table13345[[#This Row],[Strike]]),RTD("tos.rtd", , "BID", "."&amp;Table13345[[#This Row],[Ticker]]&amp;Table13345[[#This Row],[Expiry]]&amp;""&amp;"P"&amp;Table13345[[#This Row],[Strike]]))</f>
        <v>0</v>
      </c>
      <c r="R965" t="b">
        <f>IF(     ISNUMBER(Table13345[[#This Row],[Strike]]),RTD("tos.rtd", , "ASK", "."&amp;Table13345[[#This Row],[Ticker]]&amp;Table13345[[#This Row],[Expiry]]&amp;""&amp;"P"&amp;Table13345[[#This Row],[Strike]]))</f>
        <v>0</v>
      </c>
      <c r="S965" s="17"/>
      <c r="T965" t="b">
        <f>IF(     ISNUMBER(Table13345[[#This Row],[Strike]]),RTD("tos.rtd", , "OPEN_INT", "."&amp;Table13345[[#This Row],[Ticker]]&amp;Table13345[[#This Row],[Expiry]]&amp;""&amp;"P"&amp;Table13345[[#This Row],[Strike]]))</f>
        <v>0</v>
      </c>
      <c r="U96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5" t="b">
        <f>IF(     ISNUMBER(Table13345[[#This Row],[Strike]]),RTD("tos.rtd", , "DELTA", "."&amp;Table13345[[#This Row],[Ticker]]&amp;Table13345[[#This Row],[Expiry]]&amp;""&amp;"P"&amp;Table13345[[#This Row],[Strike]]))</f>
        <v>0</v>
      </c>
      <c r="Y965" s="19">
        <f>21.5* IF($M$1="NDX", 10, IF(OR($M$1="SPX", $M$1="RUT"), 2, 1))</f>
        <v>43</v>
      </c>
      <c r="Z965">
        <f ca="1">IFERROR(Table13345[[#This Row],[call gamma]]*(Table13345[[#This Row],[Open.Int]])*$A$4^2,0)</f>
        <v>0</v>
      </c>
      <c r="AA965">
        <f ca="1">IFERROR(((Table13345[[#This Row],[Open.Int8]])*Table13345[[#This Row],[Put gamma]])*-1*$A$4^2,0)</f>
        <v>0</v>
      </c>
      <c r="AB965">
        <f ca="1">(Table13345[[#This Row],[Call Gex]]+Table13345[[#This Row],[Put Gex]])</f>
        <v>0</v>
      </c>
      <c r="AC965">
        <f ca="1">Table13345[[#This Row],[put delta adj]]+Table13345[[#This Row],[call delta adj]]</f>
        <v>0</v>
      </c>
      <c r="AD965">
        <f ca="1">Table13345[[#This Row],[Put Gex]]*Table13345[[#This Row],[DeltaP]]*-1</f>
        <v>0</v>
      </c>
      <c r="AE965">
        <f ca="1">Table13345[[#This Row],[Call Gex]]*Table13345[[#This Row],[DeltaC]]</f>
        <v>0</v>
      </c>
      <c r="AF965">
        <f>IF(Table13345[[#This Row],[DeltaC]]-ABS(Table13345[[#This Row],[DeltaP]])="0","0.01",Table13345[[#This Row],[DeltaC]]-ABS(Table13345[[#This Row],[DeltaP]]))</f>
        <v>0</v>
      </c>
      <c r="AG96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5" t="e">
        <f ca="1">(EXP(-(AG965^2)/2)/SQRT(2*PI())*EXP(0*SQRT(Table13345[[#This Row],[T]]))/$A$4*18%*SQRT(SQRT(Table13345[[#This Row],[T]])))</f>
        <v>#DIV/0!</v>
      </c>
      <c r="AJ965" t="e">
        <f ca="1">(EXP(-(AH965^2)/2)/SQRT(2*PI())*EXP(0*SQRT(Table13345[[#This Row],[T]]))/$A$4*18%*SQRT(SQRT(Table13345[[#This Row],[T]])))</f>
        <v>#DIV/0!</v>
      </c>
      <c r="AK965" t="e">
        <f ca="1">Table13345[[#This Row],[Call D1]]-Table13345[[#This Row],[IV Calc C]]*SQRT(Table13345[[#This Row],[T]])</f>
        <v>#DIV/0!</v>
      </c>
      <c r="AL965" t="e">
        <f ca="1">Table13345[[#This Row],[Put D1]]-Table13345[[#This Row],[IV Calc P]]*SQRT(Table13345[[#This Row],[T]])</f>
        <v>#DIV/0!</v>
      </c>
      <c r="AM965" t="e">
        <f ca="1">EXP(-0.5*Table13345[[#This Row],[Call D1]]^2)/SQRT(2*PI())</f>
        <v>#DIV/0!</v>
      </c>
      <c r="AN965" t="e">
        <f ca="1">EXP(-0.5*Table13345[[#This Row],[Put D1]]^2)/SQRT(2*PI())</f>
        <v>#DIV/0!</v>
      </c>
      <c r="AO96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5">
        <f ca="1">((Table13345[[#This Row],[call vanna]]+Table13345[[#This Row],[put vanna]])*$A$4)</f>
        <v>0</v>
      </c>
      <c r="AR96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5" s="9" t="str" cm="1">
        <f t="array" ref="AT965">_xlfn.IFS(     $M$1="SPX","SPXW",     $M$1="RUT","RUTW",  $M$1="NDX","NDXP",   TRUE,$M$1 )</f>
        <v>SPXW</v>
      </c>
      <c r="AU965" s="2">
        <f t="shared" si="97"/>
        <v>6915</v>
      </c>
      <c r="AV965" t="str">
        <f t="shared" si="98"/>
        <v>000100</v>
      </c>
      <c r="AY96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5">
        <f>((Table13345[[#This Row],[High C]]+Table13345[[#This Row],[Low C]])/2)*Table13345[[#This Row],[gammac]]*Table13345[[#This Row],[Volume]]</f>
        <v>0</v>
      </c>
      <c r="BD965">
        <f>((Table13345[[#This Row],[High P]]+Table13345[[#This Row],[Low P]])/2)*Table13345[[#This Row],[gammap]]*Table13345[[#This Row],[Volume9]]*-1</f>
        <v>0</v>
      </c>
      <c r="BE965">
        <f>(Table13345[[#This Row],[SgammaC]]+Table13345[[#This Row],[SgammaP]])*$A$4*-100</f>
        <v>0</v>
      </c>
      <c r="BF965">
        <f>Table13345[[#This Row],[DEXc]]+Table13345[[#This Row],[DEXp]]</f>
        <v>0</v>
      </c>
      <c r="BG965">
        <f>IFERROR(Table13345[[#This Row],[DeltaC]]*Table13345[[#This Row],[Open.Int]]*$A$4,0)</f>
        <v>0</v>
      </c>
      <c r="BH965">
        <f>IFERROR(Table13345[[#This Row],[DeltaP]]*Table13345[[#This Row],[Open.Int8]]*$A$4,0)</f>
        <v>0</v>
      </c>
      <c r="BI96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5">
        <f ca="1">Table13345[[#This Row],[charmc]]+Table13345[[#This Row],[charmp]]</f>
        <v>0</v>
      </c>
      <c r="BL96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5" s="78">
        <f ca="1">Table13345[[#This Row],[call helper]]+Table13345[[#This Row],[put helper]]</f>
        <v>0</v>
      </c>
      <c r="BP965" t="str">
        <f>RTD("tos.rtd", , "STRIKE", "."&amp;Table13345[[#This Row],[Ticker]]&amp;Table13345[[#This Row],[Expiry]]&amp;""&amp;"C"&amp;Table13345[[#This Row],[Spot]]+Table13345[[#This Row],[step]])</f>
        <v>N/A</v>
      </c>
    </row>
    <row r="966" spans="1:68" x14ac:dyDescent="0.25">
      <c r="A966" s="14">
        <f t="shared" ca="1" si="94"/>
        <v>-126.14810350076104</v>
      </c>
      <c r="C966" s="17"/>
      <c r="D966" t="str">
        <f>RTD("tos.rtd", , "OPEN_INT", "."&amp;Table13345[[#This Row],[Ticker]]&amp;Table13345[[#This Row],[Expiry]]&amp;""&amp;"C"&amp;Table13345[[#This Row],[Spot]]+Table13345[[#This Row],[step]])</f>
        <v>N/A</v>
      </c>
      <c r="E96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6" t="b">
        <f>IF(     ISNUMBER(Table13345[[#This Row],[Strike]]),RTD("tos.rtd", , "DELTA", "."&amp;Table13345[[#This Row],[Ticker]]&amp;Table13345[[#This Row],[Expiry]]&amp;""&amp;"C"&amp;Table13345[[#This Row],[Strike]]))</f>
        <v>0</v>
      </c>
      <c r="H966" s="17" cm="1">
        <f t="array" aca="1" ref="H966" ca="1">IndividualLegIVCore($A$4, Table13345[[#This Row],[Strike]], 0.0411, Table13345[[#This Row],[T]], ((Table13345[[#This Row],[BIDC]]+Table13345[[#This Row],[ASKC]])/2), TRUE)</f>
        <v>0.01</v>
      </c>
      <c r="I966" t="b">
        <f>IF(     ISNUMBER(Table13345[[#This Row],[Strike]]),RTD("tos.rtd", , "BID", "."&amp;Table13345[[#This Row],[Ticker]]&amp;Table13345[[#This Row],[Expiry]]&amp;""&amp;"C"&amp;Table13345[[#This Row],[Strike]]))</f>
        <v>0</v>
      </c>
      <c r="J966" t="b">
        <f>IF(     ISNUMBER(Table13345[[#This Row],[Strike]]),RTD("tos.rtd", , "ASK", "."&amp;Table13345[[#This Row],[Ticker]]&amp;Table13345[[#This Row],[Expiry]]&amp;""&amp;"C"&amp;Table13345[[#This Row],[Strike]]))</f>
        <v>0</v>
      </c>
      <c r="K966" s="17"/>
      <c r="M966" s="1">
        <f t="shared" si="95"/>
        <v>0</v>
      </c>
      <c r="N966" t="b">
        <f t="shared" si="96"/>
        <v>0</v>
      </c>
      <c r="P966" s="17" cm="1">
        <f t="array" aca="1" ref="P966" ca="1">IndividualLegIVCore($A$4, Table13345[[#This Row],[Strike]], 0.0411, Table13345[[#This Row],[T]], ((Table13345[[#This Row],[BIDP]]+Table13345[[#This Row],[ASKP]])/2), FALSE)</f>
        <v>0.01</v>
      </c>
      <c r="Q966" t="b">
        <f>IF(     ISNUMBER(Table13345[[#This Row],[Strike]]),RTD("tos.rtd", , "BID", "."&amp;Table13345[[#This Row],[Ticker]]&amp;Table13345[[#This Row],[Expiry]]&amp;""&amp;"P"&amp;Table13345[[#This Row],[Strike]]))</f>
        <v>0</v>
      </c>
      <c r="R966" t="b">
        <f>IF(     ISNUMBER(Table13345[[#This Row],[Strike]]),RTD("tos.rtd", , "ASK", "."&amp;Table13345[[#This Row],[Ticker]]&amp;Table13345[[#This Row],[Expiry]]&amp;""&amp;"P"&amp;Table13345[[#This Row],[Strike]]))</f>
        <v>0</v>
      </c>
      <c r="S966" s="17"/>
      <c r="T966" t="b">
        <f>IF(     ISNUMBER(Table13345[[#This Row],[Strike]]),RTD("tos.rtd", , "OPEN_INT", "."&amp;Table13345[[#This Row],[Ticker]]&amp;Table13345[[#This Row],[Expiry]]&amp;""&amp;"P"&amp;Table13345[[#This Row],[Strike]]))</f>
        <v>0</v>
      </c>
      <c r="U96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6" t="b">
        <f>IF(     ISNUMBER(Table13345[[#This Row],[Strike]]),RTD("tos.rtd", , "DELTA", "."&amp;Table13345[[#This Row],[Ticker]]&amp;Table13345[[#This Row],[Expiry]]&amp;""&amp;"P"&amp;Table13345[[#This Row],[Strike]]))</f>
        <v>0</v>
      </c>
      <c r="Y966" s="19">
        <f>22* IF($M$1="NDX", 10, IF(OR($M$1="SPX", $M$1="RUT"), 2, 1))</f>
        <v>44</v>
      </c>
      <c r="Z966">
        <f ca="1">IFERROR(Table13345[[#This Row],[call gamma]]*(Table13345[[#This Row],[Open.Int]])*$A$4^2,0)</f>
        <v>0</v>
      </c>
      <c r="AA966">
        <f ca="1">IFERROR(((Table13345[[#This Row],[Open.Int8]])*Table13345[[#This Row],[Put gamma]])*-1*$A$4^2,0)</f>
        <v>0</v>
      </c>
      <c r="AB966">
        <f ca="1">(Table13345[[#This Row],[Call Gex]]+Table13345[[#This Row],[Put Gex]])</f>
        <v>0</v>
      </c>
      <c r="AC966">
        <f ca="1">Table13345[[#This Row],[put delta adj]]+Table13345[[#This Row],[call delta adj]]</f>
        <v>0</v>
      </c>
      <c r="AD966">
        <f ca="1">Table13345[[#This Row],[Put Gex]]*Table13345[[#This Row],[DeltaP]]*-1</f>
        <v>0</v>
      </c>
      <c r="AE966">
        <f ca="1">Table13345[[#This Row],[Call Gex]]*Table13345[[#This Row],[DeltaC]]</f>
        <v>0</v>
      </c>
      <c r="AF966">
        <f>IF(Table13345[[#This Row],[DeltaC]]-ABS(Table13345[[#This Row],[DeltaP]])="0","0.01",Table13345[[#This Row],[DeltaC]]-ABS(Table13345[[#This Row],[DeltaP]]))</f>
        <v>0</v>
      </c>
      <c r="AG96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6" t="e">
        <f ca="1">(EXP(-(AG966^2)/2)/SQRT(2*PI())*EXP(0*SQRT(Table13345[[#This Row],[T]]))/$A$4*18%*SQRT(SQRT(Table13345[[#This Row],[T]])))</f>
        <v>#DIV/0!</v>
      </c>
      <c r="AJ966" t="e">
        <f ca="1">(EXP(-(AH966^2)/2)/SQRT(2*PI())*EXP(0*SQRT(Table13345[[#This Row],[T]]))/$A$4*18%*SQRT(SQRT(Table13345[[#This Row],[T]])))</f>
        <v>#DIV/0!</v>
      </c>
      <c r="AK966" t="e">
        <f ca="1">Table13345[[#This Row],[Call D1]]-Table13345[[#This Row],[IV Calc C]]*SQRT(Table13345[[#This Row],[T]])</f>
        <v>#DIV/0!</v>
      </c>
      <c r="AL966" t="e">
        <f ca="1">Table13345[[#This Row],[Put D1]]-Table13345[[#This Row],[IV Calc P]]*SQRT(Table13345[[#This Row],[T]])</f>
        <v>#DIV/0!</v>
      </c>
      <c r="AM966" t="e">
        <f ca="1">EXP(-0.5*Table13345[[#This Row],[Call D1]]^2)/SQRT(2*PI())</f>
        <v>#DIV/0!</v>
      </c>
      <c r="AN966" t="e">
        <f ca="1">EXP(-0.5*Table13345[[#This Row],[Put D1]]^2)/SQRT(2*PI())</f>
        <v>#DIV/0!</v>
      </c>
      <c r="AO96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6">
        <f ca="1">((Table13345[[#This Row],[call vanna]]+Table13345[[#This Row],[put vanna]])*$A$4)</f>
        <v>0</v>
      </c>
      <c r="AR96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6" s="9" t="str" cm="1">
        <f t="array" ref="AT966">_xlfn.IFS(     $M$1="SPX","SPXW",     $M$1="RUT","RUTW",  $M$1="NDX","NDXP",   TRUE,$M$1 )</f>
        <v>SPXW</v>
      </c>
      <c r="AU966" s="2">
        <f t="shared" si="97"/>
        <v>6915</v>
      </c>
      <c r="AV966" t="str">
        <f t="shared" si="98"/>
        <v>000100</v>
      </c>
      <c r="AY96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6">
        <f>((Table13345[[#This Row],[High C]]+Table13345[[#This Row],[Low C]])/2)*Table13345[[#This Row],[gammac]]*Table13345[[#This Row],[Volume]]</f>
        <v>0</v>
      </c>
      <c r="BD966">
        <f>((Table13345[[#This Row],[High P]]+Table13345[[#This Row],[Low P]])/2)*Table13345[[#This Row],[gammap]]*Table13345[[#This Row],[Volume9]]*-1</f>
        <v>0</v>
      </c>
      <c r="BE966">
        <f>(Table13345[[#This Row],[SgammaC]]+Table13345[[#This Row],[SgammaP]])*$A$4*-100</f>
        <v>0</v>
      </c>
      <c r="BF966">
        <f>Table13345[[#This Row],[DEXc]]+Table13345[[#This Row],[DEXp]]</f>
        <v>0</v>
      </c>
      <c r="BG966">
        <f>IFERROR(Table13345[[#This Row],[DeltaC]]*Table13345[[#This Row],[Open.Int]]*$A$4,0)</f>
        <v>0</v>
      </c>
      <c r="BH966">
        <f>IFERROR(Table13345[[#This Row],[DeltaP]]*Table13345[[#This Row],[Open.Int8]]*$A$4,0)</f>
        <v>0</v>
      </c>
      <c r="BI96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6">
        <f ca="1">Table13345[[#This Row],[charmc]]+Table13345[[#This Row],[charmp]]</f>
        <v>0</v>
      </c>
      <c r="BL96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6" s="78">
        <f ca="1">Table13345[[#This Row],[call helper]]+Table13345[[#This Row],[put helper]]</f>
        <v>0</v>
      </c>
      <c r="BP966" t="str">
        <f>RTD("tos.rtd", , "STRIKE", "."&amp;Table13345[[#This Row],[Ticker]]&amp;Table13345[[#This Row],[Expiry]]&amp;""&amp;"C"&amp;Table13345[[#This Row],[Spot]]+Table13345[[#This Row],[step]])</f>
        <v>N/A</v>
      </c>
    </row>
    <row r="967" spans="1:68" x14ac:dyDescent="0.25">
      <c r="A967" s="14">
        <f t="shared" ca="1" si="94"/>
        <v>-126.14810350076104</v>
      </c>
      <c r="C967" s="17"/>
      <c r="D967" t="str">
        <f>RTD("tos.rtd", , "OPEN_INT", "."&amp;Table13345[[#This Row],[Ticker]]&amp;Table13345[[#This Row],[Expiry]]&amp;""&amp;"C"&amp;Table13345[[#This Row],[Spot]]+Table13345[[#This Row],[step]])</f>
        <v>N/A</v>
      </c>
      <c r="E96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7" t="b">
        <f>IF(     ISNUMBER(Table13345[[#This Row],[Strike]]),RTD("tos.rtd", , "DELTA", "."&amp;Table13345[[#This Row],[Ticker]]&amp;Table13345[[#This Row],[Expiry]]&amp;""&amp;"C"&amp;Table13345[[#This Row],[Strike]]))</f>
        <v>0</v>
      </c>
      <c r="H967" s="17" cm="1">
        <f t="array" aca="1" ref="H967" ca="1">IndividualLegIVCore($A$4, Table13345[[#This Row],[Strike]], 0.0411, Table13345[[#This Row],[T]], ((Table13345[[#This Row],[BIDC]]+Table13345[[#This Row],[ASKC]])/2), TRUE)</f>
        <v>0.01</v>
      </c>
      <c r="I967" t="b">
        <f>IF(     ISNUMBER(Table13345[[#This Row],[Strike]]),RTD("tos.rtd", , "BID", "."&amp;Table13345[[#This Row],[Ticker]]&amp;Table13345[[#This Row],[Expiry]]&amp;""&amp;"C"&amp;Table13345[[#This Row],[Strike]]))</f>
        <v>0</v>
      </c>
      <c r="J967" t="b">
        <f>IF(     ISNUMBER(Table13345[[#This Row],[Strike]]),RTD("tos.rtd", , "ASK", "."&amp;Table13345[[#This Row],[Ticker]]&amp;Table13345[[#This Row],[Expiry]]&amp;""&amp;"C"&amp;Table13345[[#This Row],[Strike]]))</f>
        <v>0</v>
      </c>
      <c r="K967" s="17"/>
      <c r="M967" s="1">
        <f t="shared" si="95"/>
        <v>0</v>
      </c>
      <c r="N967" t="b">
        <f t="shared" si="96"/>
        <v>0</v>
      </c>
      <c r="P967" s="17" cm="1">
        <f t="array" aca="1" ref="P967" ca="1">IndividualLegIVCore($A$4, Table13345[[#This Row],[Strike]], 0.0411, Table13345[[#This Row],[T]], ((Table13345[[#This Row],[BIDP]]+Table13345[[#This Row],[ASKP]])/2), FALSE)</f>
        <v>0.01</v>
      </c>
      <c r="Q967" t="b">
        <f>IF(     ISNUMBER(Table13345[[#This Row],[Strike]]),RTD("tos.rtd", , "BID", "."&amp;Table13345[[#This Row],[Ticker]]&amp;Table13345[[#This Row],[Expiry]]&amp;""&amp;"P"&amp;Table13345[[#This Row],[Strike]]))</f>
        <v>0</v>
      </c>
      <c r="R967" t="b">
        <f>IF(     ISNUMBER(Table13345[[#This Row],[Strike]]),RTD("tos.rtd", , "ASK", "."&amp;Table13345[[#This Row],[Ticker]]&amp;Table13345[[#This Row],[Expiry]]&amp;""&amp;"P"&amp;Table13345[[#This Row],[Strike]]))</f>
        <v>0</v>
      </c>
      <c r="S967" s="17"/>
      <c r="T967" t="b">
        <f>IF(     ISNUMBER(Table13345[[#This Row],[Strike]]),RTD("tos.rtd", , "OPEN_INT", "."&amp;Table13345[[#This Row],[Ticker]]&amp;Table13345[[#This Row],[Expiry]]&amp;""&amp;"P"&amp;Table13345[[#This Row],[Strike]]))</f>
        <v>0</v>
      </c>
      <c r="U96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7" t="b">
        <f>IF(     ISNUMBER(Table13345[[#This Row],[Strike]]),RTD("tos.rtd", , "DELTA", "."&amp;Table13345[[#This Row],[Ticker]]&amp;Table13345[[#This Row],[Expiry]]&amp;""&amp;"P"&amp;Table13345[[#This Row],[Strike]]))</f>
        <v>0</v>
      </c>
      <c r="Y967" s="19">
        <f>22.5* IF($M$1="NDX", 10, IF(OR($M$1="SPX", $M$1="RUT"), 2, 1))</f>
        <v>45</v>
      </c>
      <c r="Z967">
        <f ca="1">IFERROR(Table13345[[#This Row],[call gamma]]*(Table13345[[#This Row],[Open.Int]])*$A$4^2,0)</f>
        <v>0</v>
      </c>
      <c r="AA967">
        <f ca="1">IFERROR(((Table13345[[#This Row],[Open.Int8]])*Table13345[[#This Row],[Put gamma]])*-1*$A$4^2,0)</f>
        <v>0</v>
      </c>
      <c r="AB967">
        <f ca="1">(Table13345[[#This Row],[Call Gex]]+Table13345[[#This Row],[Put Gex]])</f>
        <v>0</v>
      </c>
      <c r="AC967">
        <f ca="1">Table13345[[#This Row],[put delta adj]]+Table13345[[#This Row],[call delta adj]]</f>
        <v>0</v>
      </c>
      <c r="AD967">
        <f ca="1">Table13345[[#This Row],[Put Gex]]*Table13345[[#This Row],[DeltaP]]*-1</f>
        <v>0</v>
      </c>
      <c r="AE967">
        <f ca="1">Table13345[[#This Row],[Call Gex]]*Table13345[[#This Row],[DeltaC]]</f>
        <v>0</v>
      </c>
      <c r="AF967">
        <f>IF(Table13345[[#This Row],[DeltaC]]-ABS(Table13345[[#This Row],[DeltaP]])="0","0.01",Table13345[[#This Row],[DeltaC]]-ABS(Table13345[[#This Row],[DeltaP]]))</f>
        <v>0</v>
      </c>
      <c r="AG96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7" t="e">
        <f ca="1">(EXP(-(AG967^2)/2)/SQRT(2*PI())*EXP(0*SQRT(Table13345[[#This Row],[T]]))/$A$4*18%*SQRT(SQRT(Table13345[[#This Row],[T]])))</f>
        <v>#DIV/0!</v>
      </c>
      <c r="AJ967" t="e">
        <f ca="1">(EXP(-(AH967^2)/2)/SQRT(2*PI())*EXP(0*SQRT(Table13345[[#This Row],[T]]))/$A$4*18%*SQRT(SQRT(Table13345[[#This Row],[T]])))</f>
        <v>#DIV/0!</v>
      </c>
      <c r="AK967" t="e">
        <f ca="1">Table13345[[#This Row],[Call D1]]-Table13345[[#This Row],[IV Calc C]]*SQRT(Table13345[[#This Row],[T]])</f>
        <v>#DIV/0!</v>
      </c>
      <c r="AL967" t="e">
        <f ca="1">Table13345[[#This Row],[Put D1]]-Table13345[[#This Row],[IV Calc P]]*SQRT(Table13345[[#This Row],[T]])</f>
        <v>#DIV/0!</v>
      </c>
      <c r="AM967" t="e">
        <f ca="1">EXP(-0.5*Table13345[[#This Row],[Call D1]]^2)/SQRT(2*PI())</f>
        <v>#DIV/0!</v>
      </c>
      <c r="AN967" t="e">
        <f ca="1">EXP(-0.5*Table13345[[#This Row],[Put D1]]^2)/SQRT(2*PI())</f>
        <v>#DIV/0!</v>
      </c>
      <c r="AO96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7">
        <f ca="1">((Table13345[[#This Row],[call vanna]]+Table13345[[#This Row],[put vanna]])*$A$4)</f>
        <v>0</v>
      </c>
      <c r="AR96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7" s="9" t="str" cm="1">
        <f t="array" ref="AT967">_xlfn.IFS(     $M$1="SPX","SPXW",     $M$1="RUT","RUTW",  $M$1="NDX","NDXP",   TRUE,$M$1 )</f>
        <v>SPXW</v>
      </c>
      <c r="AU967" s="2">
        <f t="shared" si="97"/>
        <v>6915</v>
      </c>
      <c r="AV967" t="str">
        <f t="shared" si="98"/>
        <v>000100</v>
      </c>
      <c r="AY96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7">
        <f>((Table13345[[#This Row],[High C]]+Table13345[[#This Row],[Low C]])/2)*Table13345[[#This Row],[gammac]]*Table13345[[#This Row],[Volume]]</f>
        <v>0</v>
      </c>
      <c r="BD967">
        <f>((Table13345[[#This Row],[High P]]+Table13345[[#This Row],[Low P]])/2)*Table13345[[#This Row],[gammap]]*Table13345[[#This Row],[Volume9]]*-1</f>
        <v>0</v>
      </c>
      <c r="BE967">
        <f>(Table13345[[#This Row],[SgammaC]]+Table13345[[#This Row],[SgammaP]])*$A$4*-100</f>
        <v>0</v>
      </c>
      <c r="BF967">
        <f>Table13345[[#This Row],[DEXc]]+Table13345[[#This Row],[DEXp]]</f>
        <v>0</v>
      </c>
      <c r="BG967">
        <f>IFERROR(Table13345[[#This Row],[DeltaC]]*Table13345[[#This Row],[Open.Int]]*$A$4,0)</f>
        <v>0</v>
      </c>
      <c r="BH967">
        <f>IFERROR(Table13345[[#This Row],[DeltaP]]*Table13345[[#This Row],[Open.Int8]]*$A$4,0)</f>
        <v>0</v>
      </c>
      <c r="BI96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7">
        <f ca="1">Table13345[[#This Row],[charmc]]+Table13345[[#This Row],[charmp]]</f>
        <v>0</v>
      </c>
      <c r="BL96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7" s="78">
        <f ca="1">Table13345[[#This Row],[call helper]]+Table13345[[#This Row],[put helper]]</f>
        <v>0</v>
      </c>
      <c r="BP967" t="str">
        <f>RTD("tos.rtd", , "STRIKE", "."&amp;Table13345[[#This Row],[Ticker]]&amp;Table13345[[#This Row],[Expiry]]&amp;""&amp;"C"&amp;Table13345[[#This Row],[Spot]]+Table13345[[#This Row],[step]])</f>
        <v>N/A</v>
      </c>
    </row>
    <row r="968" spans="1:68" x14ac:dyDescent="0.25">
      <c r="A968" s="14">
        <f t="shared" ca="1" si="94"/>
        <v>-126.14810350076104</v>
      </c>
      <c r="C968" s="17"/>
      <c r="D968" t="str">
        <f>RTD("tos.rtd", , "OPEN_INT", "."&amp;Table13345[[#This Row],[Ticker]]&amp;Table13345[[#This Row],[Expiry]]&amp;""&amp;"C"&amp;Table13345[[#This Row],[Spot]]+Table13345[[#This Row],[step]])</f>
        <v>N/A</v>
      </c>
      <c r="E96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8" t="b">
        <f>IF(     ISNUMBER(Table13345[[#This Row],[Strike]]),RTD("tos.rtd", , "DELTA", "."&amp;Table13345[[#This Row],[Ticker]]&amp;Table13345[[#This Row],[Expiry]]&amp;""&amp;"C"&amp;Table13345[[#This Row],[Strike]]))</f>
        <v>0</v>
      </c>
      <c r="H968" s="17" cm="1">
        <f t="array" aca="1" ref="H968" ca="1">IndividualLegIVCore($A$4, Table13345[[#This Row],[Strike]], 0.0411, Table13345[[#This Row],[T]], ((Table13345[[#This Row],[BIDC]]+Table13345[[#This Row],[ASKC]])/2), TRUE)</f>
        <v>0.01</v>
      </c>
      <c r="I968" t="b">
        <f>IF(     ISNUMBER(Table13345[[#This Row],[Strike]]),RTD("tos.rtd", , "BID", "."&amp;Table13345[[#This Row],[Ticker]]&amp;Table13345[[#This Row],[Expiry]]&amp;""&amp;"C"&amp;Table13345[[#This Row],[Strike]]))</f>
        <v>0</v>
      </c>
      <c r="J968" t="b">
        <f>IF(     ISNUMBER(Table13345[[#This Row],[Strike]]),RTD("tos.rtd", , "ASK", "."&amp;Table13345[[#This Row],[Ticker]]&amp;Table13345[[#This Row],[Expiry]]&amp;""&amp;"C"&amp;Table13345[[#This Row],[Strike]]))</f>
        <v>0</v>
      </c>
      <c r="K968" s="17"/>
      <c r="M968" s="1">
        <f t="shared" si="95"/>
        <v>0</v>
      </c>
      <c r="N968" t="b">
        <f t="shared" si="96"/>
        <v>0</v>
      </c>
      <c r="P968" s="17" cm="1">
        <f t="array" aca="1" ref="P968" ca="1">IndividualLegIVCore($A$4, Table13345[[#This Row],[Strike]], 0.0411, Table13345[[#This Row],[T]], ((Table13345[[#This Row],[BIDP]]+Table13345[[#This Row],[ASKP]])/2), FALSE)</f>
        <v>0.01</v>
      </c>
      <c r="Q968" t="b">
        <f>IF(     ISNUMBER(Table13345[[#This Row],[Strike]]),RTD("tos.rtd", , "BID", "."&amp;Table13345[[#This Row],[Ticker]]&amp;Table13345[[#This Row],[Expiry]]&amp;""&amp;"P"&amp;Table13345[[#This Row],[Strike]]))</f>
        <v>0</v>
      </c>
      <c r="R968" t="b">
        <f>IF(     ISNUMBER(Table13345[[#This Row],[Strike]]),RTD("tos.rtd", , "ASK", "."&amp;Table13345[[#This Row],[Ticker]]&amp;Table13345[[#This Row],[Expiry]]&amp;""&amp;"P"&amp;Table13345[[#This Row],[Strike]]))</f>
        <v>0</v>
      </c>
      <c r="S968" s="17"/>
      <c r="T968" t="b">
        <f>IF(     ISNUMBER(Table13345[[#This Row],[Strike]]),RTD("tos.rtd", , "OPEN_INT", "."&amp;Table13345[[#This Row],[Ticker]]&amp;Table13345[[#This Row],[Expiry]]&amp;""&amp;"P"&amp;Table13345[[#This Row],[Strike]]))</f>
        <v>0</v>
      </c>
      <c r="U96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8" t="b">
        <f>IF(     ISNUMBER(Table13345[[#This Row],[Strike]]),RTD("tos.rtd", , "DELTA", "."&amp;Table13345[[#This Row],[Ticker]]&amp;Table13345[[#This Row],[Expiry]]&amp;""&amp;"P"&amp;Table13345[[#This Row],[Strike]]))</f>
        <v>0</v>
      </c>
      <c r="Y968" s="19">
        <f>23* IF($M$1="NDX", 10, IF(OR($M$1="SPX", $M$1="RUT"), 2, 1))</f>
        <v>46</v>
      </c>
      <c r="Z968">
        <f ca="1">IFERROR(Table13345[[#This Row],[call gamma]]*(Table13345[[#This Row],[Open.Int]])*$A$4^2,0)</f>
        <v>0</v>
      </c>
      <c r="AA968">
        <f ca="1">IFERROR(((Table13345[[#This Row],[Open.Int8]])*Table13345[[#This Row],[Put gamma]])*-1*$A$4^2,0)</f>
        <v>0</v>
      </c>
      <c r="AB968">
        <f ca="1">(Table13345[[#This Row],[Call Gex]]+Table13345[[#This Row],[Put Gex]])</f>
        <v>0</v>
      </c>
      <c r="AC968">
        <f ca="1">Table13345[[#This Row],[put delta adj]]+Table13345[[#This Row],[call delta adj]]</f>
        <v>0</v>
      </c>
      <c r="AD968">
        <f ca="1">Table13345[[#This Row],[Put Gex]]*Table13345[[#This Row],[DeltaP]]*-1</f>
        <v>0</v>
      </c>
      <c r="AE968">
        <f ca="1">Table13345[[#This Row],[Call Gex]]*Table13345[[#This Row],[DeltaC]]</f>
        <v>0</v>
      </c>
      <c r="AF968">
        <f>IF(Table13345[[#This Row],[DeltaC]]-ABS(Table13345[[#This Row],[DeltaP]])="0","0.01",Table13345[[#This Row],[DeltaC]]-ABS(Table13345[[#This Row],[DeltaP]]))</f>
        <v>0</v>
      </c>
      <c r="AG96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8" t="e">
        <f ca="1">(EXP(-(AG968^2)/2)/SQRT(2*PI())*EXP(0*SQRT(Table13345[[#This Row],[T]]))/$A$4*18%*SQRT(SQRT(Table13345[[#This Row],[T]])))</f>
        <v>#DIV/0!</v>
      </c>
      <c r="AJ968" t="e">
        <f ca="1">(EXP(-(AH968^2)/2)/SQRT(2*PI())*EXP(0*SQRT(Table13345[[#This Row],[T]]))/$A$4*18%*SQRT(SQRT(Table13345[[#This Row],[T]])))</f>
        <v>#DIV/0!</v>
      </c>
      <c r="AK968" t="e">
        <f ca="1">Table13345[[#This Row],[Call D1]]-Table13345[[#This Row],[IV Calc C]]*SQRT(Table13345[[#This Row],[T]])</f>
        <v>#DIV/0!</v>
      </c>
      <c r="AL968" t="e">
        <f ca="1">Table13345[[#This Row],[Put D1]]-Table13345[[#This Row],[IV Calc P]]*SQRT(Table13345[[#This Row],[T]])</f>
        <v>#DIV/0!</v>
      </c>
      <c r="AM968" t="e">
        <f ca="1">EXP(-0.5*Table13345[[#This Row],[Call D1]]^2)/SQRT(2*PI())</f>
        <v>#DIV/0!</v>
      </c>
      <c r="AN968" t="e">
        <f ca="1">EXP(-0.5*Table13345[[#This Row],[Put D1]]^2)/SQRT(2*PI())</f>
        <v>#DIV/0!</v>
      </c>
      <c r="AO96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8">
        <f ca="1">((Table13345[[#This Row],[call vanna]]+Table13345[[#This Row],[put vanna]])*$A$4)</f>
        <v>0</v>
      </c>
      <c r="AR96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8" s="9" t="str" cm="1">
        <f t="array" ref="AT968">_xlfn.IFS(     $M$1="SPX","SPXW",     $M$1="RUT","RUTW",  $M$1="NDX","NDXP",   TRUE,$M$1 )</f>
        <v>SPXW</v>
      </c>
      <c r="AU968" s="2">
        <f t="shared" si="97"/>
        <v>6915</v>
      </c>
      <c r="AV968" t="str">
        <f t="shared" si="98"/>
        <v>000100</v>
      </c>
      <c r="AY96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8">
        <f>((Table13345[[#This Row],[High C]]+Table13345[[#This Row],[Low C]])/2)*Table13345[[#This Row],[gammac]]*Table13345[[#This Row],[Volume]]</f>
        <v>0</v>
      </c>
      <c r="BD968">
        <f>((Table13345[[#This Row],[High P]]+Table13345[[#This Row],[Low P]])/2)*Table13345[[#This Row],[gammap]]*Table13345[[#This Row],[Volume9]]*-1</f>
        <v>0</v>
      </c>
      <c r="BE968">
        <f>(Table13345[[#This Row],[SgammaC]]+Table13345[[#This Row],[SgammaP]])*$A$4*-100</f>
        <v>0</v>
      </c>
      <c r="BF968">
        <f>Table13345[[#This Row],[DEXc]]+Table13345[[#This Row],[DEXp]]</f>
        <v>0</v>
      </c>
      <c r="BG968">
        <f>IFERROR(Table13345[[#This Row],[DeltaC]]*Table13345[[#This Row],[Open.Int]]*$A$4,0)</f>
        <v>0</v>
      </c>
      <c r="BH968">
        <f>IFERROR(Table13345[[#This Row],[DeltaP]]*Table13345[[#This Row],[Open.Int8]]*$A$4,0)</f>
        <v>0</v>
      </c>
      <c r="BI96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8">
        <f ca="1">Table13345[[#This Row],[charmc]]+Table13345[[#This Row],[charmp]]</f>
        <v>0</v>
      </c>
      <c r="BL96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8" s="78">
        <f ca="1">Table13345[[#This Row],[call helper]]+Table13345[[#This Row],[put helper]]</f>
        <v>0</v>
      </c>
      <c r="BP968" t="str">
        <f>RTD("tos.rtd", , "STRIKE", "."&amp;Table13345[[#This Row],[Ticker]]&amp;Table13345[[#This Row],[Expiry]]&amp;""&amp;"C"&amp;Table13345[[#This Row],[Spot]]+Table13345[[#This Row],[step]])</f>
        <v>N/A</v>
      </c>
    </row>
    <row r="969" spans="1:68" x14ac:dyDescent="0.25">
      <c r="A969" s="14">
        <f t="shared" ca="1" si="94"/>
        <v>-126.14810350076104</v>
      </c>
      <c r="C969" s="17"/>
      <c r="D969" t="str">
        <f>RTD("tos.rtd", , "OPEN_INT", "."&amp;Table13345[[#This Row],[Ticker]]&amp;Table13345[[#This Row],[Expiry]]&amp;""&amp;"C"&amp;Table13345[[#This Row],[Spot]]+Table13345[[#This Row],[step]])</f>
        <v>N/A</v>
      </c>
      <c r="E96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9" t="b">
        <f>IF(     ISNUMBER(Table13345[[#This Row],[Strike]]),RTD("tos.rtd", , "DELTA", "."&amp;Table13345[[#This Row],[Ticker]]&amp;Table13345[[#This Row],[Expiry]]&amp;""&amp;"C"&amp;Table13345[[#This Row],[Strike]]))</f>
        <v>0</v>
      </c>
      <c r="H969" s="17" cm="1">
        <f t="array" aca="1" ref="H969" ca="1">IndividualLegIVCore($A$4, Table13345[[#This Row],[Strike]], 0.0411, Table13345[[#This Row],[T]], ((Table13345[[#This Row],[BIDC]]+Table13345[[#This Row],[ASKC]])/2), TRUE)</f>
        <v>0.01</v>
      </c>
      <c r="I969" t="b">
        <f>IF(     ISNUMBER(Table13345[[#This Row],[Strike]]),RTD("tos.rtd", , "BID", "."&amp;Table13345[[#This Row],[Ticker]]&amp;Table13345[[#This Row],[Expiry]]&amp;""&amp;"C"&amp;Table13345[[#This Row],[Strike]]))</f>
        <v>0</v>
      </c>
      <c r="J969" t="b">
        <f>IF(     ISNUMBER(Table13345[[#This Row],[Strike]]),RTD("tos.rtd", , "ASK", "."&amp;Table13345[[#This Row],[Ticker]]&amp;Table13345[[#This Row],[Expiry]]&amp;""&amp;"C"&amp;Table13345[[#This Row],[Strike]]))</f>
        <v>0</v>
      </c>
      <c r="K969" s="17"/>
      <c r="M969" s="1">
        <f t="shared" si="95"/>
        <v>0</v>
      </c>
      <c r="N969" t="b">
        <f t="shared" si="96"/>
        <v>0</v>
      </c>
      <c r="P969" s="17" cm="1">
        <f t="array" aca="1" ref="P969" ca="1">IndividualLegIVCore($A$4, Table13345[[#This Row],[Strike]], 0.0411, Table13345[[#This Row],[T]], ((Table13345[[#This Row],[BIDP]]+Table13345[[#This Row],[ASKP]])/2), FALSE)</f>
        <v>0.01</v>
      </c>
      <c r="Q969" t="b">
        <f>IF(     ISNUMBER(Table13345[[#This Row],[Strike]]),RTD("tos.rtd", , "BID", "."&amp;Table13345[[#This Row],[Ticker]]&amp;Table13345[[#This Row],[Expiry]]&amp;""&amp;"P"&amp;Table13345[[#This Row],[Strike]]))</f>
        <v>0</v>
      </c>
      <c r="R969" t="b">
        <f>IF(     ISNUMBER(Table13345[[#This Row],[Strike]]),RTD("tos.rtd", , "ASK", "."&amp;Table13345[[#This Row],[Ticker]]&amp;Table13345[[#This Row],[Expiry]]&amp;""&amp;"P"&amp;Table13345[[#This Row],[Strike]]))</f>
        <v>0</v>
      </c>
      <c r="S969" s="17"/>
      <c r="T969" t="b">
        <f>IF(     ISNUMBER(Table13345[[#This Row],[Strike]]),RTD("tos.rtd", , "OPEN_INT", "."&amp;Table13345[[#This Row],[Ticker]]&amp;Table13345[[#This Row],[Expiry]]&amp;""&amp;"P"&amp;Table13345[[#This Row],[Strike]]))</f>
        <v>0</v>
      </c>
      <c r="U96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9" t="b">
        <f>IF(     ISNUMBER(Table13345[[#This Row],[Strike]]),RTD("tos.rtd", , "DELTA", "."&amp;Table13345[[#This Row],[Ticker]]&amp;Table13345[[#This Row],[Expiry]]&amp;""&amp;"P"&amp;Table13345[[#This Row],[Strike]]))</f>
        <v>0</v>
      </c>
      <c r="Y969" s="19">
        <f>23.5* IF($M$1="NDX", 10, IF(OR($M$1="SPX", $M$1="RUT"), 2, 1))</f>
        <v>47</v>
      </c>
      <c r="Z969">
        <f ca="1">IFERROR(Table13345[[#This Row],[call gamma]]*(Table13345[[#This Row],[Open.Int]])*$A$4^2,0)</f>
        <v>0</v>
      </c>
      <c r="AA969">
        <f ca="1">IFERROR(((Table13345[[#This Row],[Open.Int8]])*Table13345[[#This Row],[Put gamma]])*-1*$A$4^2,0)</f>
        <v>0</v>
      </c>
      <c r="AB969">
        <f ca="1">(Table13345[[#This Row],[Call Gex]]+Table13345[[#This Row],[Put Gex]])</f>
        <v>0</v>
      </c>
      <c r="AC969">
        <f ca="1">Table13345[[#This Row],[put delta adj]]+Table13345[[#This Row],[call delta adj]]</f>
        <v>0</v>
      </c>
      <c r="AD969">
        <f ca="1">Table13345[[#This Row],[Put Gex]]*Table13345[[#This Row],[DeltaP]]*-1</f>
        <v>0</v>
      </c>
      <c r="AE969">
        <f ca="1">Table13345[[#This Row],[Call Gex]]*Table13345[[#This Row],[DeltaC]]</f>
        <v>0</v>
      </c>
      <c r="AF969">
        <f>IF(Table13345[[#This Row],[DeltaC]]-ABS(Table13345[[#This Row],[DeltaP]])="0","0.01",Table13345[[#This Row],[DeltaC]]-ABS(Table13345[[#This Row],[DeltaP]]))</f>
        <v>0</v>
      </c>
      <c r="AG96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9" t="e">
        <f ca="1">(EXP(-(AG969^2)/2)/SQRT(2*PI())*EXP(0*SQRT(Table13345[[#This Row],[T]]))/$A$4*18%*SQRT(SQRT(Table13345[[#This Row],[T]])))</f>
        <v>#DIV/0!</v>
      </c>
      <c r="AJ969" t="e">
        <f ca="1">(EXP(-(AH969^2)/2)/SQRT(2*PI())*EXP(0*SQRT(Table13345[[#This Row],[T]]))/$A$4*18%*SQRT(SQRT(Table13345[[#This Row],[T]])))</f>
        <v>#DIV/0!</v>
      </c>
      <c r="AK969" t="e">
        <f ca="1">Table13345[[#This Row],[Call D1]]-Table13345[[#This Row],[IV Calc C]]*SQRT(Table13345[[#This Row],[T]])</f>
        <v>#DIV/0!</v>
      </c>
      <c r="AL969" t="e">
        <f ca="1">Table13345[[#This Row],[Put D1]]-Table13345[[#This Row],[IV Calc P]]*SQRT(Table13345[[#This Row],[T]])</f>
        <v>#DIV/0!</v>
      </c>
      <c r="AM969" t="e">
        <f ca="1">EXP(-0.5*Table13345[[#This Row],[Call D1]]^2)/SQRT(2*PI())</f>
        <v>#DIV/0!</v>
      </c>
      <c r="AN969" t="e">
        <f ca="1">EXP(-0.5*Table13345[[#This Row],[Put D1]]^2)/SQRT(2*PI())</f>
        <v>#DIV/0!</v>
      </c>
      <c r="AO96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9">
        <f ca="1">((Table13345[[#This Row],[call vanna]]+Table13345[[#This Row],[put vanna]])*$A$4)</f>
        <v>0</v>
      </c>
      <c r="AR96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9" s="9" t="str" cm="1">
        <f t="array" ref="AT969">_xlfn.IFS(     $M$1="SPX","SPXW",     $M$1="RUT","RUTW",  $M$1="NDX","NDXP",   TRUE,$M$1 )</f>
        <v>SPXW</v>
      </c>
      <c r="AU969" s="2">
        <f t="shared" si="97"/>
        <v>6915</v>
      </c>
      <c r="AV969" t="str">
        <f t="shared" si="98"/>
        <v>000100</v>
      </c>
      <c r="AY96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9">
        <f>((Table13345[[#This Row],[High C]]+Table13345[[#This Row],[Low C]])/2)*Table13345[[#This Row],[gammac]]*Table13345[[#This Row],[Volume]]</f>
        <v>0</v>
      </c>
      <c r="BD969">
        <f>((Table13345[[#This Row],[High P]]+Table13345[[#This Row],[Low P]])/2)*Table13345[[#This Row],[gammap]]*Table13345[[#This Row],[Volume9]]*-1</f>
        <v>0</v>
      </c>
      <c r="BE969">
        <f>(Table13345[[#This Row],[SgammaC]]+Table13345[[#This Row],[SgammaP]])*$A$4*-100</f>
        <v>0</v>
      </c>
      <c r="BF969">
        <f>Table13345[[#This Row],[DEXc]]+Table13345[[#This Row],[DEXp]]</f>
        <v>0</v>
      </c>
      <c r="BG969">
        <f>IFERROR(Table13345[[#This Row],[DeltaC]]*Table13345[[#This Row],[Open.Int]]*$A$4,0)</f>
        <v>0</v>
      </c>
      <c r="BH969">
        <f>IFERROR(Table13345[[#This Row],[DeltaP]]*Table13345[[#This Row],[Open.Int8]]*$A$4,0)</f>
        <v>0</v>
      </c>
      <c r="BI96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9">
        <f ca="1">Table13345[[#This Row],[charmc]]+Table13345[[#This Row],[charmp]]</f>
        <v>0</v>
      </c>
      <c r="BL96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9" s="78">
        <f ca="1">Table13345[[#This Row],[call helper]]+Table13345[[#This Row],[put helper]]</f>
        <v>0</v>
      </c>
      <c r="BP969" t="str">
        <f>RTD("tos.rtd", , "STRIKE", "."&amp;Table13345[[#This Row],[Ticker]]&amp;Table13345[[#This Row],[Expiry]]&amp;""&amp;"C"&amp;Table13345[[#This Row],[Spot]]+Table13345[[#This Row],[step]])</f>
        <v>N/A</v>
      </c>
    </row>
    <row r="970" spans="1:68" x14ac:dyDescent="0.25">
      <c r="A970" s="14">
        <f t="shared" ca="1" si="94"/>
        <v>-126.14810350076104</v>
      </c>
      <c r="C970" s="17"/>
      <c r="D970" t="str">
        <f>RTD("tos.rtd", , "OPEN_INT", "."&amp;Table13345[[#This Row],[Ticker]]&amp;Table13345[[#This Row],[Expiry]]&amp;""&amp;"C"&amp;Table13345[[#This Row],[Spot]]+Table13345[[#This Row],[step]])</f>
        <v>N/A</v>
      </c>
      <c r="E97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0" t="b">
        <f>IF(     ISNUMBER(Table13345[[#This Row],[Strike]]),RTD("tos.rtd", , "DELTA", "."&amp;Table13345[[#This Row],[Ticker]]&amp;Table13345[[#This Row],[Expiry]]&amp;""&amp;"C"&amp;Table13345[[#This Row],[Strike]]))</f>
        <v>0</v>
      </c>
      <c r="H970" s="17" cm="1">
        <f t="array" aca="1" ref="H970" ca="1">IndividualLegIVCore($A$4, Table13345[[#This Row],[Strike]], 0.0411, Table13345[[#This Row],[T]], ((Table13345[[#This Row],[BIDC]]+Table13345[[#This Row],[ASKC]])/2), TRUE)</f>
        <v>0.01</v>
      </c>
      <c r="I970" t="b">
        <f>IF(     ISNUMBER(Table13345[[#This Row],[Strike]]),RTD("tos.rtd", , "BID", "."&amp;Table13345[[#This Row],[Ticker]]&amp;Table13345[[#This Row],[Expiry]]&amp;""&amp;"C"&amp;Table13345[[#This Row],[Strike]]))</f>
        <v>0</v>
      </c>
      <c r="J970" t="b">
        <f>IF(     ISNUMBER(Table13345[[#This Row],[Strike]]),RTD("tos.rtd", , "ASK", "."&amp;Table13345[[#This Row],[Ticker]]&amp;Table13345[[#This Row],[Expiry]]&amp;""&amp;"C"&amp;Table13345[[#This Row],[Strike]]))</f>
        <v>0</v>
      </c>
      <c r="K970" s="17"/>
      <c r="M970" s="1">
        <f t="shared" si="95"/>
        <v>0</v>
      </c>
      <c r="N970" t="b">
        <f t="shared" si="96"/>
        <v>0</v>
      </c>
      <c r="P970" s="17" cm="1">
        <f t="array" aca="1" ref="P970" ca="1">IndividualLegIVCore($A$4, Table13345[[#This Row],[Strike]], 0.0411, Table13345[[#This Row],[T]], ((Table13345[[#This Row],[BIDP]]+Table13345[[#This Row],[ASKP]])/2), FALSE)</f>
        <v>0.01</v>
      </c>
      <c r="Q970" t="b">
        <f>IF(     ISNUMBER(Table13345[[#This Row],[Strike]]),RTD("tos.rtd", , "BID", "."&amp;Table13345[[#This Row],[Ticker]]&amp;Table13345[[#This Row],[Expiry]]&amp;""&amp;"P"&amp;Table13345[[#This Row],[Strike]]))</f>
        <v>0</v>
      </c>
      <c r="R970" t="b">
        <f>IF(     ISNUMBER(Table13345[[#This Row],[Strike]]),RTD("tos.rtd", , "ASK", "."&amp;Table13345[[#This Row],[Ticker]]&amp;Table13345[[#This Row],[Expiry]]&amp;""&amp;"P"&amp;Table13345[[#This Row],[Strike]]))</f>
        <v>0</v>
      </c>
      <c r="S970" s="17"/>
      <c r="T970" t="b">
        <f>IF(     ISNUMBER(Table13345[[#This Row],[Strike]]),RTD("tos.rtd", , "OPEN_INT", "."&amp;Table13345[[#This Row],[Ticker]]&amp;Table13345[[#This Row],[Expiry]]&amp;""&amp;"P"&amp;Table13345[[#This Row],[Strike]]))</f>
        <v>0</v>
      </c>
      <c r="U97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0" t="b">
        <f>IF(     ISNUMBER(Table13345[[#This Row],[Strike]]),RTD("tos.rtd", , "DELTA", "."&amp;Table13345[[#This Row],[Ticker]]&amp;Table13345[[#This Row],[Expiry]]&amp;""&amp;"P"&amp;Table13345[[#This Row],[Strike]]))</f>
        <v>0</v>
      </c>
      <c r="Y970" s="19">
        <f>24* IF($M$1="NDX", 10, IF(OR($M$1="SPX", $M$1="RUT"), 2, 1))</f>
        <v>48</v>
      </c>
      <c r="Z970">
        <f ca="1">IFERROR(Table13345[[#This Row],[call gamma]]*(Table13345[[#This Row],[Open.Int]])*$A$4^2,0)</f>
        <v>0</v>
      </c>
      <c r="AA970">
        <f ca="1">IFERROR(((Table13345[[#This Row],[Open.Int8]])*Table13345[[#This Row],[Put gamma]])*-1*$A$4^2,0)</f>
        <v>0</v>
      </c>
      <c r="AB970">
        <f ca="1">(Table13345[[#This Row],[Call Gex]]+Table13345[[#This Row],[Put Gex]])</f>
        <v>0</v>
      </c>
      <c r="AC970">
        <f ca="1">Table13345[[#This Row],[put delta adj]]+Table13345[[#This Row],[call delta adj]]</f>
        <v>0</v>
      </c>
      <c r="AD970">
        <f ca="1">Table13345[[#This Row],[Put Gex]]*Table13345[[#This Row],[DeltaP]]*-1</f>
        <v>0</v>
      </c>
      <c r="AE970">
        <f ca="1">Table13345[[#This Row],[Call Gex]]*Table13345[[#This Row],[DeltaC]]</f>
        <v>0</v>
      </c>
      <c r="AF970">
        <f>IF(Table13345[[#This Row],[DeltaC]]-ABS(Table13345[[#This Row],[DeltaP]])="0","0.01",Table13345[[#This Row],[DeltaC]]-ABS(Table13345[[#This Row],[DeltaP]]))</f>
        <v>0</v>
      </c>
      <c r="AG97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0" t="e">
        <f ca="1">(EXP(-(AG970^2)/2)/SQRT(2*PI())*EXP(0*SQRT(Table13345[[#This Row],[T]]))/$A$4*18%*SQRT(SQRT(Table13345[[#This Row],[T]])))</f>
        <v>#DIV/0!</v>
      </c>
      <c r="AJ970" t="e">
        <f ca="1">(EXP(-(AH970^2)/2)/SQRT(2*PI())*EXP(0*SQRT(Table13345[[#This Row],[T]]))/$A$4*18%*SQRT(SQRT(Table13345[[#This Row],[T]])))</f>
        <v>#DIV/0!</v>
      </c>
      <c r="AK970" t="e">
        <f ca="1">Table13345[[#This Row],[Call D1]]-Table13345[[#This Row],[IV Calc C]]*SQRT(Table13345[[#This Row],[T]])</f>
        <v>#DIV/0!</v>
      </c>
      <c r="AL970" t="e">
        <f ca="1">Table13345[[#This Row],[Put D1]]-Table13345[[#This Row],[IV Calc P]]*SQRT(Table13345[[#This Row],[T]])</f>
        <v>#DIV/0!</v>
      </c>
      <c r="AM970" t="e">
        <f ca="1">EXP(-0.5*Table13345[[#This Row],[Call D1]]^2)/SQRT(2*PI())</f>
        <v>#DIV/0!</v>
      </c>
      <c r="AN970" t="e">
        <f ca="1">EXP(-0.5*Table13345[[#This Row],[Put D1]]^2)/SQRT(2*PI())</f>
        <v>#DIV/0!</v>
      </c>
      <c r="AO97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0">
        <f ca="1">((Table13345[[#This Row],[call vanna]]+Table13345[[#This Row],[put vanna]])*$A$4)</f>
        <v>0</v>
      </c>
      <c r="AR97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0" s="9" t="str" cm="1">
        <f t="array" ref="AT970">_xlfn.IFS(     $M$1="SPX","SPXW",     $M$1="RUT","RUTW",  $M$1="NDX","NDXP",   TRUE,$M$1 )</f>
        <v>SPXW</v>
      </c>
      <c r="AU970" s="2">
        <f t="shared" si="97"/>
        <v>6915</v>
      </c>
      <c r="AV970" t="str">
        <f t="shared" si="98"/>
        <v>000100</v>
      </c>
      <c r="AY97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0">
        <f>((Table13345[[#This Row],[High C]]+Table13345[[#This Row],[Low C]])/2)*Table13345[[#This Row],[gammac]]*Table13345[[#This Row],[Volume]]</f>
        <v>0</v>
      </c>
      <c r="BD970">
        <f>((Table13345[[#This Row],[High P]]+Table13345[[#This Row],[Low P]])/2)*Table13345[[#This Row],[gammap]]*Table13345[[#This Row],[Volume9]]*-1</f>
        <v>0</v>
      </c>
      <c r="BE970">
        <f>(Table13345[[#This Row],[SgammaC]]+Table13345[[#This Row],[SgammaP]])*$A$4*-100</f>
        <v>0</v>
      </c>
      <c r="BF970">
        <f>Table13345[[#This Row],[DEXc]]+Table13345[[#This Row],[DEXp]]</f>
        <v>0</v>
      </c>
      <c r="BG970">
        <f>IFERROR(Table13345[[#This Row],[DeltaC]]*Table13345[[#This Row],[Open.Int]]*$A$4,0)</f>
        <v>0</v>
      </c>
      <c r="BH970">
        <f>IFERROR(Table13345[[#This Row],[DeltaP]]*Table13345[[#This Row],[Open.Int8]]*$A$4,0)</f>
        <v>0</v>
      </c>
      <c r="BI97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0">
        <f ca="1">Table13345[[#This Row],[charmc]]+Table13345[[#This Row],[charmp]]</f>
        <v>0</v>
      </c>
      <c r="BL97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0" s="78">
        <f ca="1">Table13345[[#This Row],[call helper]]+Table13345[[#This Row],[put helper]]</f>
        <v>0</v>
      </c>
      <c r="BP970" t="str">
        <f>RTD("tos.rtd", , "STRIKE", "."&amp;Table13345[[#This Row],[Ticker]]&amp;Table13345[[#This Row],[Expiry]]&amp;""&amp;"C"&amp;Table13345[[#This Row],[Spot]]+Table13345[[#This Row],[step]])</f>
        <v>N/A</v>
      </c>
    </row>
    <row r="971" spans="1:68" x14ac:dyDescent="0.25">
      <c r="A971" s="14">
        <f t="shared" ca="1" si="94"/>
        <v>-126.14810350076104</v>
      </c>
      <c r="C971" s="17"/>
      <c r="D971" t="str">
        <f>RTD("tos.rtd", , "OPEN_INT", "."&amp;Table13345[[#This Row],[Ticker]]&amp;Table13345[[#This Row],[Expiry]]&amp;""&amp;"C"&amp;Table13345[[#This Row],[Spot]]+Table13345[[#This Row],[step]])</f>
        <v>N/A</v>
      </c>
      <c r="E97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1" t="b">
        <f>IF(     ISNUMBER(Table13345[[#This Row],[Strike]]),RTD("tos.rtd", , "DELTA", "."&amp;Table13345[[#This Row],[Ticker]]&amp;Table13345[[#This Row],[Expiry]]&amp;""&amp;"C"&amp;Table13345[[#This Row],[Strike]]))</f>
        <v>0</v>
      </c>
      <c r="H971" s="17" cm="1">
        <f t="array" aca="1" ref="H971" ca="1">IndividualLegIVCore($A$4, Table13345[[#This Row],[Strike]], 0.0411, Table13345[[#This Row],[T]], ((Table13345[[#This Row],[BIDC]]+Table13345[[#This Row],[ASKC]])/2), TRUE)</f>
        <v>0.01</v>
      </c>
      <c r="I971" t="b">
        <f>IF(     ISNUMBER(Table13345[[#This Row],[Strike]]),RTD("tos.rtd", , "BID", "."&amp;Table13345[[#This Row],[Ticker]]&amp;Table13345[[#This Row],[Expiry]]&amp;""&amp;"C"&amp;Table13345[[#This Row],[Strike]]))</f>
        <v>0</v>
      </c>
      <c r="J971" t="b">
        <f>IF(     ISNUMBER(Table13345[[#This Row],[Strike]]),RTD("tos.rtd", , "ASK", "."&amp;Table13345[[#This Row],[Ticker]]&amp;Table13345[[#This Row],[Expiry]]&amp;""&amp;"C"&amp;Table13345[[#This Row],[Strike]]))</f>
        <v>0</v>
      </c>
      <c r="K971" s="17"/>
      <c r="M971" s="1">
        <f t="shared" si="95"/>
        <v>0</v>
      </c>
      <c r="N971" t="b">
        <f t="shared" si="96"/>
        <v>0</v>
      </c>
      <c r="P971" s="17" cm="1">
        <f t="array" aca="1" ref="P971" ca="1">IndividualLegIVCore($A$4, Table13345[[#This Row],[Strike]], 0.0411, Table13345[[#This Row],[T]], ((Table13345[[#This Row],[BIDP]]+Table13345[[#This Row],[ASKP]])/2), FALSE)</f>
        <v>0.01</v>
      </c>
      <c r="Q971" t="b">
        <f>IF(     ISNUMBER(Table13345[[#This Row],[Strike]]),RTD("tos.rtd", , "BID", "."&amp;Table13345[[#This Row],[Ticker]]&amp;Table13345[[#This Row],[Expiry]]&amp;""&amp;"P"&amp;Table13345[[#This Row],[Strike]]))</f>
        <v>0</v>
      </c>
      <c r="R971" t="b">
        <f>IF(     ISNUMBER(Table13345[[#This Row],[Strike]]),RTD("tos.rtd", , "ASK", "."&amp;Table13345[[#This Row],[Ticker]]&amp;Table13345[[#This Row],[Expiry]]&amp;""&amp;"P"&amp;Table13345[[#This Row],[Strike]]))</f>
        <v>0</v>
      </c>
      <c r="S971" s="17"/>
      <c r="T971" t="b">
        <f>IF(     ISNUMBER(Table13345[[#This Row],[Strike]]),RTD("tos.rtd", , "OPEN_INT", "."&amp;Table13345[[#This Row],[Ticker]]&amp;Table13345[[#This Row],[Expiry]]&amp;""&amp;"P"&amp;Table13345[[#This Row],[Strike]]))</f>
        <v>0</v>
      </c>
      <c r="U97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1" t="b">
        <f>IF(     ISNUMBER(Table13345[[#This Row],[Strike]]),RTD("tos.rtd", , "DELTA", "."&amp;Table13345[[#This Row],[Ticker]]&amp;Table13345[[#This Row],[Expiry]]&amp;""&amp;"P"&amp;Table13345[[#This Row],[Strike]]))</f>
        <v>0</v>
      </c>
      <c r="Y971" s="19">
        <f>24.5* IF($M$1="NDX", 10, IF(OR($M$1="SPX", $M$1="RUT"), 2, 1))</f>
        <v>49</v>
      </c>
      <c r="Z971">
        <f ca="1">IFERROR(Table13345[[#This Row],[call gamma]]*(Table13345[[#This Row],[Open.Int]])*$A$4^2,0)</f>
        <v>0</v>
      </c>
      <c r="AA971">
        <f ca="1">IFERROR(((Table13345[[#This Row],[Open.Int8]])*Table13345[[#This Row],[Put gamma]])*-1*$A$4^2,0)</f>
        <v>0</v>
      </c>
      <c r="AB971">
        <f ca="1">(Table13345[[#This Row],[Call Gex]]+Table13345[[#This Row],[Put Gex]])</f>
        <v>0</v>
      </c>
      <c r="AC971">
        <f ca="1">Table13345[[#This Row],[put delta adj]]+Table13345[[#This Row],[call delta adj]]</f>
        <v>0</v>
      </c>
      <c r="AD971">
        <f ca="1">Table13345[[#This Row],[Put Gex]]*Table13345[[#This Row],[DeltaP]]*-1</f>
        <v>0</v>
      </c>
      <c r="AE971">
        <f ca="1">Table13345[[#This Row],[Call Gex]]*Table13345[[#This Row],[DeltaC]]</f>
        <v>0</v>
      </c>
      <c r="AF971">
        <f>IF(Table13345[[#This Row],[DeltaC]]-ABS(Table13345[[#This Row],[DeltaP]])="0","0.01",Table13345[[#This Row],[DeltaC]]-ABS(Table13345[[#This Row],[DeltaP]]))</f>
        <v>0</v>
      </c>
      <c r="AG97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1" t="e">
        <f ca="1">(EXP(-(AG971^2)/2)/SQRT(2*PI())*EXP(0*SQRT(Table13345[[#This Row],[T]]))/$A$4*18%*SQRT(SQRT(Table13345[[#This Row],[T]])))</f>
        <v>#DIV/0!</v>
      </c>
      <c r="AJ971" t="e">
        <f ca="1">(EXP(-(AH971^2)/2)/SQRT(2*PI())*EXP(0*SQRT(Table13345[[#This Row],[T]]))/$A$4*18%*SQRT(SQRT(Table13345[[#This Row],[T]])))</f>
        <v>#DIV/0!</v>
      </c>
      <c r="AK971" t="e">
        <f ca="1">Table13345[[#This Row],[Call D1]]-Table13345[[#This Row],[IV Calc C]]*SQRT(Table13345[[#This Row],[T]])</f>
        <v>#DIV/0!</v>
      </c>
      <c r="AL971" t="e">
        <f ca="1">Table13345[[#This Row],[Put D1]]-Table13345[[#This Row],[IV Calc P]]*SQRT(Table13345[[#This Row],[T]])</f>
        <v>#DIV/0!</v>
      </c>
      <c r="AM971" t="e">
        <f ca="1">EXP(-0.5*Table13345[[#This Row],[Call D1]]^2)/SQRT(2*PI())</f>
        <v>#DIV/0!</v>
      </c>
      <c r="AN971" t="e">
        <f ca="1">EXP(-0.5*Table13345[[#This Row],[Put D1]]^2)/SQRT(2*PI())</f>
        <v>#DIV/0!</v>
      </c>
      <c r="AO97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1">
        <f ca="1">((Table13345[[#This Row],[call vanna]]+Table13345[[#This Row],[put vanna]])*$A$4)</f>
        <v>0</v>
      </c>
      <c r="AR97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1" s="9" t="str" cm="1">
        <f t="array" ref="AT971">_xlfn.IFS(     $M$1="SPX","SPXW",     $M$1="RUT","RUTW",  $M$1="NDX","NDXP",   TRUE,$M$1 )</f>
        <v>SPXW</v>
      </c>
      <c r="AU971" s="2">
        <f t="shared" si="97"/>
        <v>6915</v>
      </c>
      <c r="AV971" t="str">
        <f t="shared" si="98"/>
        <v>000100</v>
      </c>
      <c r="AY97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1">
        <f>((Table13345[[#This Row],[High C]]+Table13345[[#This Row],[Low C]])/2)*Table13345[[#This Row],[gammac]]*Table13345[[#This Row],[Volume]]</f>
        <v>0</v>
      </c>
      <c r="BD971">
        <f>((Table13345[[#This Row],[High P]]+Table13345[[#This Row],[Low P]])/2)*Table13345[[#This Row],[gammap]]*Table13345[[#This Row],[Volume9]]*-1</f>
        <v>0</v>
      </c>
      <c r="BE971">
        <f>(Table13345[[#This Row],[SgammaC]]+Table13345[[#This Row],[SgammaP]])*$A$4*-100</f>
        <v>0</v>
      </c>
      <c r="BF971">
        <f>Table13345[[#This Row],[DEXc]]+Table13345[[#This Row],[DEXp]]</f>
        <v>0</v>
      </c>
      <c r="BG971">
        <f>IFERROR(Table13345[[#This Row],[DeltaC]]*Table13345[[#This Row],[Open.Int]]*$A$4,0)</f>
        <v>0</v>
      </c>
      <c r="BH971">
        <f>IFERROR(Table13345[[#This Row],[DeltaP]]*Table13345[[#This Row],[Open.Int8]]*$A$4,0)</f>
        <v>0</v>
      </c>
      <c r="BI97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1">
        <f ca="1">Table13345[[#This Row],[charmc]]+Table13345[[#This Row],[charmp]]</f>
        <v>0</v>
      </c>
      <c r="BL97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1" s="78">
        <f ca="1">Table13345[[#This Row],[call helper]]+Table13345[[#This Row],[put helper]]</f>
        <v>0</v>
      </c>
      <c r="BP971" t="str">
        <f>RTD("tos.rtd", , "STRIKE", "."&amp;Table13345[[#This Row],[Ticker]]&amp;Table13345[[#This Row],[Expiry]]&amp;""&amp;"C"&amp;Table13345[[#This Row],[Spot]]+Table13345[[#This Row],[step]])</f>
        <v>N/A</v>
      </c>
    </row>
    <row r="972" spans="1:68" x14ac:dyDescent="0.25">
      <c r="A972" s="14">
        <f t="shared" ca="1" si="94"/>
        <v>-126.14810350076104</v>
      </c>
      <c r="C972" s="17"/>
      <c r="D972" t="str">
        <f>RTD("tos.rtd", , "OPEN_INT", "."&amp;Table13345[[#This Row],[Ticker]]&amp;Table13345[[#This Row],[Expiry]]&amp;""&amp;"C"&amp;Table13345[[#This Row],[Spot]]+Table13345[[#This Row],[step]])</f>
        <v>N/A</v>
      </c>
      <c r="E97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2" t="b">
        <f>IF(     ISNUMBER(Table13345[[#This Row],[Strike]]),RTD("tos.rtd", , "DELTA", "."&amp;Table13345[[#This Row],[Ticker]]&amp;Table13345[[#This Row],[Expiry]]&amp;""&amp;"C"&amp;Table13345[[#This Row],[Strike]]))</f>
        <v>0</v>
      </c>
      <c r="H972" s="17" cm="1">
        <f t="array" aca="1" ref="H972" ca="1">IndividualLegIVCore($A$4, Table13345[[#This Row],[Strike]], 0.0411, Table13345[[#This Row],[T]], ((Table13345[[#This Row],[BIDC]]+Table13345[[#This Row],[ASKC]])/2), TRUE)</f>
        <v>0.01</v>
      </c>
      <c r="I972" t="b">
        <f>IF(     ISNUMBER(Table13345[[#This Row],[Strike]]),RTD("tos.rtd", , "BID", "."&amp;Table13345[[#This Row],[Ticker]]&amp;Table13345[[#This Row],[Expiry]]&amp;""&amp;"C"&amp;Table13345[[#This Row],[Strike]]))</f>
        <v>0</v>
      </c>
      <c r="J972" t="b">
        <f>IF(     ISNUMBER(Table13345[[#This Row],[Strike]]),RTD("tos.rtd", , "ASK", "."&amp;Table13345[[#This Row],[Ticker]]&amp;Table13345[[#This Row],[Expiry]]&amp;""&amp;"C"&amp;Table13345[[#This Row],[Strike]]))</f>
        <v>0</v>
      </c>
      <c r="K972" s="17"/>
      <c r="M972" s="1">
        <f t="shared" si="95"/>
        <v>0</v>
      </c>
      <c r="N972" t="b">
        <f t="shared" si="96"/>
        <v>0</v>
      </c>
      <c r="P972" s="17" cm="1">
        <f t="array" aca="1" ref="P972" ca="1">IndividualLegIVCore($A$4, Table13345[[#This Row],[Strike]], 0.0411, Table13345[[#This Row],[T]], ((Table13345[[#This Row],[BIDP]]+Table13345[[#This Row],[ASKP]])/2), FALSE)</f>
        <v>0.01</v>
      </c>
      <c r="Q972" t="b">
        <f>IF(     ISNUMBER(Table13345[[#This Row],[Strike]]),RTD("tos.rtd", , "BID", "."&amp;Table13345[[#This Row],[Ticker]]&amp;Table13345[[#This Row],[Expiry]]&amp;""&amp;"P"&amp;Table13345[[#This Row],[Strike]]))</f>
        <v>0</v>
      </c>
      <c r="R972" t="b">
        <f>IF(     ISNUMBER(Table13345[[#This Row],[Strike]]),RTD("tos.rtd", , "ASK", "."&amp;Table13345[[#This Row],[Ticker]]&amp;Table13345[[#This Row],[Expiry]]&amp;""&amp;"P"&amp;Table13345[[#This Row],[Strike]]))</f>
        <v>0</v>
      </c>
      <c r="S972" s="17"/>
      <c r="T972" t="b">
        <f>IF(     ISNUMBER(Table13345[[#This Row],[Strike]]),RTD("tos.rtd", , "OPEN_INT", "."&amp;Table13345[[#This Row],[Ticker]]&amp;Table13345[[#This Row],[Expiry]]&amp;""&amp;"P"&amp;Table13345[[#This Row],[Strike]]))</f>
        <v>0</v>
      </c>
      <c r="U97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2" t="b">
        <f>IF(     ISNUMBER(Table13345[[#This Row],[Strike]]),RTD("tos.rtd", , "DELTA", "."&amp;Table13345[[#This Row],[Ticker]]&amp;Table13345[[#This Row],[Expiry]]&amp;""&amp;"P"&amp;Table13345[[#This Row],[Strike]]))</f>
        <v>0</v>
      </c>
      <c r="Y972" s="19">
        <f>25* IF($M$1="NDX", 10, IF(OR($M$1="SPX", $M$1="RUT"), 2, 1))</f>
        <v>50</v>
      </c>
      <c r="Z972">
        <f ca="1">IFERROR(Table13345[[#This Row],[call gamma]]*(Table13345[[#This Row],[Open.Int]])*$A$4^2,0)</f>
        <v>0</v>
      </c>
      <c r="AA972">
        <f ca="1">IFERROR(((Table13345[[#This Row],[Open.Int8]])*Table13345[[#This Row],[Put gamma]])*-1*$A$4^2,0)</f>
        <v>0</v>
      </c>
      <c r="AB972">
        <f ca="1">(Table13345[[#This Row],[Call Gex]]+Table13345[[#This Row],[Put Gex]])</f>
        <v>0</v>
      </c>
      <c r="AC972">
        <f ca="1">Table13345[[#This Row],[put delta adj]]+Table13345[[#This Row],[call delta adj]]</f>
        <v>0</v>
      </c>
      <c r="AD972">
        <f ca="1">Table13345[[#This Row],[Put Gex]]*Table13345[[#This Row],[DeltaP]]*-1</f>
        <v>0</v>
      </c>
      <c r="AE972">
        <f ca="1">Table13345[[#This Row],[Call Gex]]*Table13345[[#This Row],[DeltaC]]</f>
        <v>0</v>
      </c>
      <c r="AF972">
        <f>IF(Table13345[[#This Row],[DeltaC]]-ABS(Table13345[[#This Row],[DeltaP]])="0","0.01",Table13345[[#This Row],[DeltaC]]-ABS(Table13345[[#This Row],[DeltaP]]))</f>
        <v>0</v>
      </c>
      <c r="AG97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2" t="e">
        <f ca="1">(EXP(-(AG972^2)/2)/SQRT(2*PI())*EXP(0*SQRT(Table13345[[#This Row],[T]]))/$A$4*18%*SQRT(SQRT(Table13345[[#This Row],[T]])))</f>
        <v>#DIV/0!</v>
      </c>
      <c r="AJ972" t="e">
        <f ca="1">(EXP(-(AH972^2)/2)/SQRT(2*PI())*EXP(0*SQRT(Table13345[[#This Row],[T]]))/$A$4*18%*SQRT(SQRT(Table13345[[#This Row],[T]])))</f>
        <v>#DIV/0!</v>
      </c>
      <c r="AK972" t="e">
        <f ca="1">Table13345[[#This Row],[Call D1]]-Table13345[[#This Row],[IV Calc C]]*SQRT(Table13345[[#This Row],[T]])</f>
        <v>#DIV/0!</v>
      </c>
      <c r="AL972" t="e">
        <f ca="1">Table13345[[#This Row],[Put D1]]-Table13345[[#This Row],[IV Calc P]]*SQRT(Table13345[[#This Row],[T]])</f>
        <v>#DIV/0!</v>
      </c>
      <c r="AM972" t="e">
        <f ca="1">EXP(-0.5*Table13345[[#This Row],[Call D1]]^2)/SQRT(2*PI())</f>
        <v>#DIV/0!</v>
      </c>
      <c r="AN972" t="e">
        <f ca="1">EXP(-0.5*Table13345[[#This Row],[Put D1]]^2)/SQRT(2*PI())</f>
        <v>#DIV/0!</v>
      </c>
      <c r="AO97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2">
        <f ca="1">((Table13345[[#This Row],[call vanna]]+Table13345[[#This Row],[put vanna]])*$A$4)</f>
        <v>0</v>
      </c>
      <c r="AR97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2" s="9" t="str" cm="1">
        <f t="array" ref="AT972">_xlfn.IFS(     $M$1="SPX","SPXW",     $M$1="RUT","RUTW",  $M$1="NDX","NDXP",   TRUE,$M$1 )</f>
        <v>SPXW</v>
      </c>
      <c r="AU972" s="2">
        <f t="shared" si="97"/>
        <v>6915</v>
      </c>
      <c r="AV972" t="str">
        <f t="shared" si="98"/>
        <v>000100</v>
      </c>
      <c r="AY97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2">
        <f>((Table13345[[#This Row],[High C]]+Table13345[[#This Row],[Low C]])/2)*Table13345[[#This Row],[gammac]]*Table13345[[#This Row],[Volume]]</f>
        <v>0</v>
      </c>
      <c r="BD972">
        <f>((Table13345[[#This Row],[High P]]+Table13345[[#This Row],[Low P]])/2)*Table13345[[#This Row],[gammap]]*Table13345[[#This Row],[Volume9]]*-1</f>
        <v>0</v>
      </c>
      <c r="BE972">
        <f>(Table13345[[#This Row],[SgammaC]]+Table13345[[#This Row],[SgammaP]])*$A$4*-100</f>
        <v>0</v>
      </c>
      <c r="BF972">
        <f>Table13345[[#This Row],[DEXc]]+Table13345[[#This Row],[DEXp]]</f>
        <v>0</v>
      </c>
      <c r="BG972">
        <f>IFERROR(Table13345[[#This Row],[DeltaC]]*Table13345[[#This Row],[Open.Int]]*$A$4,0)</f>
        <v>0</v>
      </c>
      <c r="BH972">
        <f>IFERROR(Table13345[[#This Row],[DeltaP]]*Table13345[[#This Row],[Open.Int8]]*$A$4,0)</f>
        <v>0</v>
      </c>
      <c r="BI97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2">
        <f ca="1">Table13345[[#This Row],[charmc]]+Table13345[[#This Row],[charmp]]</f>
        <v>0</v>
      </c>
      <c r="BL97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2" s="78">
        <f ca="1">Table13345[[#This Row],[call helper]]+Table13345[[#This Row],[put helper]]</f>
        <v>0</v>
      </c>
      <c r="BP972" t="str">
        <f>RTD("tos.rtd", , "STRIKE", "."&amp;Table13345[[#This Row],[Ticker]]&amp;Table13345[[#This Row],[Expiry]]&amp;""&amp;"C"&amp;Table13345[[#This Row],[Spot]]+Table13345[[#This Row],[step]])</f>
        <v>N/A</v>
      </c>
    </row>
    <row r="973" spans="1:68" x14ac:dyDescent="0.25">
      <c r="A973" s="14">
        <f t="shared" ca="1" si="94"/>
        <v>-126.14810350076104</v>
      </c>
      <c r="C973" s="17"/>
      <c r="D973" t="str">
        <f>RTD("tos.rtd", , "OPEN_INT", "."&amp;Table13345[[#This Row],[Ticker]]&amp;Table13345[[#This Row],[Expiry]]&amp;""&amp;"C"&amp;Table13345[[#This Row],[Spot]]+Table13345[[#This Row],[step]])</f>
        <v>N/A</v>
      </c>
      <c r="E97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3" t="b">
        <f>IF(     ISNUMBER(Table13345[[#This Row],[Strike]]),RTD("tos.rtd", , "DELTA", "."&amp;Table13345[[#This Row],[Ticker]]&amp;Table13345[[#This Row],[Expiry]]&amp;""&amp;"C"&amp;Table13345[[#This Row],[Strike]]))</f>
        <v>0</v>
      </c>
      <c r="H973" s="17" cm="1">
        <f t="array" aca="1" ref="H973" ca="1">IndividualLegIVCore($A$4, Table13345[[#This Row],[Strike]], 0.0411, Table13345[[#This Row],[T]], ((Table13345[[#This Row],[BIDC]]+Table13345[[#This Row],[ASKC]])/2), TRUE)</f>
        <v>0.01</v>
      </c>
      <c r="I973" t="b">
        <f>IF(     ISNUMBER(Table13345[[#This Row],[Strike]]),RTD("tos.rtd", , "BID", "."&amp;Table13345[[#This Row],[Ticker]]&amp;Table13345[[#This Row],[Expiry]]&amp;""&amp;"C"&amp;Table13345[[#This Row],[Strike]]))</f>
        <v>0</v>
      </c>
      <c r="J973" t="b">
        <f>IF(     ISNUMBER(Table13345[[#This Row],[Strike]]),RTD("tos.rtd", , "ASK", "."&amp;Table13345[[#This Row],[Ticker]]&amp;Table13345[[#This Row],[Expiry]]&amp;""&amp;"C"&amp;Table13345[[#This Row],[Strike]]))</f>
        <v>0</v>
      </c>
      <c r="K973" s="17"/>
      <c r="M973" s="1">
        <f t="shared" si="95"/>
        <v>0</v>
      </c>
      <c r="N973" t="b">
        <f t="shared" si="96"/>
        <v>0</v>
      </c>
      <c r="P973" s="17" cm="1">
        <f t="array" aca="1" ref="P973" ca="1">IndividualLegIVCore($A$4, Table13345[[#This Row],[Strike]], 0.0411, Table13345[[#This Row],[T]], ((Table13345[[#This Row],[BIDP]]+Table13345[[#This Row],[ASKP]])/2), FALSE)</f>
        <v>0.01</v>
      </c>
      <c r="Q973" t="b">
        <f>IF(     ISNUMBER(Table13345[[#This Row],[Strike]]),RTD("tos.rtd", , "BID", "."&amp;Table13345[[#This Row],[Ticker]]&amp;Table13345[[#This Row],[Expiry]]&amp;""&amp;"P"&amp;Table13345[[#This Row],[Strike]]))</f>
        <v>0</v>
      </c>
      <c r="R973" t="b">
        <f>IF(     ISNUMBER(Table13345[[#This Row],[Strike]]),RTD("tos.rtd", , "ASK", "."&amp;Table13345[[#This Row],[Ticker]]&amp;Table13345[[#This Row],[Expiry]]&amp;""&amp;"P"&amp;Table13345[[#This Row],[Strike]]))</f>
        <v>0</v>
      </c>
      <c r="S973" s="17"/>
      <c r="T973" t="b">
        <f>IF(     ISNUMBER(Table13345[[#This Row],[Strike]]),RTD("tos.rtd", , "OPEN_INT", "."&amp;Table13345[[#This Row],[Ticker]]&amp;Table13345[[#This Row],[Expiry]]&amp;""&amp;"P"&amp;Table13345[[#This Row],[Strike]]))</f>
        <v>0</v>
      </c>
      <c r="U97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3" t="b">
        <f>IF(     ISNUMBER(Table13345[[#This Row],[Strike]]),RTD("tos.rtd", , "DELTA", "."&amp;Table13345[[#This Row],[Ticker]]&amp;Table13345[[#This Row],[Expiry]]&amp;""&amp;"P"&amp;Table13345[[#This Row],[Strike]]))</f>
        <v>0</v>
      </c>
      <c r="Y973" s="19">
        <f>25.5* IF($M$1="NDX", 10, IF(OR($M$1="SPX", $M$1="RUT"), 2, 1))</f>
        <v>51</v>
      </c>
      <c r="Z973">
        <f ca="1">IFERROR(Table13345[[#This Row],[call gamma]]*(Table13345[[#This Row],[Open.Int]])*$A$4^2,0)</f>
        <v>0</v>
      </c>
      <c r="AA973">
        <f ca="1">IFERROR(((Table13345[[#This Row],[Open.Int8]])*Table13345[[#This Row],[Put gamma]])*-1*$A$4^2,0)</f>
        <v>0</v>
      </c>
      <c r="AB973">
        <f ca="1">(Table13345[[#This Row],[Call Gex]]+Table13345[[#This Row],[Put Gex]])</f>
        <v>0</v>
      </c>
      <c r="AC973">
        <f ca="1">Table13345[[#This Row],[put delta adj]]+Table13345[[#This Row],[call delta adj]]</f>
        <v>0</v>
      </c>
      <c r="AD973">
        <f ca="1">Table13345[[#This Row],[Put Gex]]*Table13345[[#This Row],[DeltaP]]*-1</f>
        <v>0</v>
      </c>
      <c r="AE973">
        <f ca="1">Table13345[[#This Row],[Call Gex]]*Table13345[[#This Row],[DeltaC]]</f>
        <v>0</v>
      </c>
      <c r="AF973">
        <f>IF(Table13345[[#This Row],[DeltaC]]-ABS(Table13345[[#This Row],[DeltaP]])="0","0.01",Table13345[[#This Row],[DeltaC]]-ABS(Table13345[[#This Row],[DeltaP]]))</f>
        <v>0</v>
      </c>
      <c r="AG97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3" t="e">
        <f ca="1">(EXP(-(AG973^2)/2)/SQRT(2*PI())*EXP(0*SQRT(Table13345[[#This Row],[T]]))/$A$4*18%*SQRT(SQRT(Table13345[[#This Row],[T]])))</f>
        <v>#DIV/0!</v>
      </c>
      <c r="AJ973" t="e">
        <f ca="1">(EXP(-(AH973^2)/2)/SQRT(2*PI())*EXP(0*SQRT(Table13345[[#This Row],[T]]))/$A$4*18%*SQRT(SQRT(Table13345[[#This Row],[T]])))</f>
        <v>#DIV/0!</v>
      </c>
      <c r="AK973" t="e">
        <f ca="1">Table13345[[#This Row],[Call D1]]-Table13345[[#This Row],[IV Calc C]]*SQRT(Table13345[[#This Row],[T]])</f>
        <v>#DIV/0!</v>
      </c>
      <c r="AL973" t="e">
        <f ca="1">Table13345[[#This Row],[Put D1]]-Table13345[[#This Row],[IV Calc P]]*SQRT(Table13345[[#This Row],[T]])</f>
        <v>#DIV/0!</v>
      </c>
      <c r="AM973" t="e">
        <f ca="1">EXP(-0.5*Table13345[[#This Row],[Call D1]]^2)/SQRT(2*PI())</f>
        <v>#DIV/0!</v>
      </c>
      <c r="AN973" t="e">
        <f ca="1">EXP(-0.5*Table13345[[#This Row],[Put D1]]^2)/SQRT(2*PI())</f>
        <v>#DIV/0!</v>
      </c>
      <c r="AO97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3">
        <f ca="1">((Table13345[[#This Row],[call vanna]]+Table13345[[#This Row],[put vanna]])*$A$4)</f>
        <v>0</v>
      </c>
      <c r="AR97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3" s="9" t="str" cm="1">
        <f t="array" ref="AT973">_xlfn.IFS(     $M$1="SPX","SPXW",     $M$1="RUT","RUTW",  $M$1="NDX","NDXP",   TRUE,$M$1 )</f>
        <v>SPXW</v>
      </c>
      <c r="AU973" s="2">
        <f t="shared" si="97"/>
        <v>6915</v>
      </c>
      <c r="AV973" t="str">
        <f t="shared" si="98"/>
        <v>000100</v>
      </c>
      <c r="AY97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3">
        <f>((Table13345[[#This Row],[High C]]+Table13345[[#This Row],[Low C]])/2)*Table13345[[#This Row],[gammac]]*Table13345[[#This Row],[Volume]]</f>
        <v>0</v>
      </c>
      <c r="BD973">
        <f>((Table13345[[#This Row],[High P]]+Table13345[[#This Row],[Low P]])/2)*Table13345[[#This Row],[gammap]]*Table13345[[#This Row],[Volume9]]*-1</f>
        <v>0</v>
      </c>
      <c r="BE973">
        <f>(Table13345[[#This Row],[SgammaC]]+Table13345[[#This Row],[SgammaP]])*$A$4*-100</f>
        <v>0</v>
      </c>
      <c r="BF973">
        <f>Table13345[[#This Row],[DEXc]]+Table13345[[#This Row],[DEXp]]</f>
        <v>0</v>
      </c>
      <c r="BG973">
        <f>IFERROR(Table13345[[#This Row],[DeltaC]]*Table13345[[#This Row],[Open.Int]]*$A$4,0)</f>
        <v>0</v>
      </c>
      <c r="BH973">
        <f>IFERROR(Table13345[[#This Row],[DeltaP]]*Table13345[[#This Row],[Open.Int8]]*$A$4,0)</f>
        <v>0</v>
      </c>
      <c r="BI97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3">
        <f ca="1">Table13345[[#This Row],[charmc]]+Table13345[[#This Row],[charmp]]</f>
        <v>0</v>
      </c>
      <c r="BL97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3" s="78">
        <f ca="1">Table13345[[#This Row],[call helper]]+Table13345[[#This Row],[put helper]]</f>
        <v>0</v>
      </c>
      <c r="BP973" t="str">
        <f>RTD("tos.rtd", , "STRIKE", "."&amp;Table13345[[#This Row],[Ticker]]&amp;Table13345[[#This Row],[Expiry]]&amp;""&amp;"C"&amp;Table13345[[#This Row],[Spot]]+Table13345[[#This Row],[step]])</f>
        <v>N/A</v>
      </c>
    </row>
    <row r="974" spans="1:68" x14ac:dyDescent="0.25">
      <c r="A974" s="14">
        <f t="shared" ca="1" si="94"/>
        <v>-126.14810350076104</v>
      </c>
      <c r="C974" s="17"/>
      <c r="D974" t="str">
        <f>RTD("tos.rtd", , "OPEN_INT", "."&amp;Table13345[[#This Row],[Ticker]]&amp;Table13345[[#This Row],[Expiry]]&amp;""&amp;"C"&amp;Table13345[[#This Row],[Spot]]+Table13345[[#This Row],[step]])</f>
        <v>N/A</v>
      </c>
      <c r="E97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4" t="b">
        <f>IF(     ISNUMBER(Table13345[[#This Row],[Strike]]),RTD("tos.rtd", , "DELTA", "."&amp;Table13345[[#This Row],[Ticker]]&amp;Table13345[[#This Row],[Expiry]]&amp;""&amp;"C"&amp;Table13345[[#This Row],[Strike]]))</f>
        <v>0</v>
      </c>
      <c r="H974" s="17" cm="1">
        <f t="array" aca="1" ref="H974" ca="1">IndividualLegIVCore($A$4, Table13345[[#This Row],[Strike]], 0.0411, Table13345[[#This Row],[T]], ((Table13345[[#This Row],[BIDC]]+Table13345[[#This Row],[ASKC]])/2), TRUE)</f>
        <v>0.01</v>
      </c>
      <c r="I974" t="b">
        <f>IF(     ISNUMBER(Table13345[[#This Row],[Strike]]),RTD("tos.rtd", , "BID", "."&amp;Table13345[[#This Row],[Ticker]]&amp;Table13345[[#This Row],[Expiry]]&amp;""&amp;"C"&amp;Table13345[[#This Row],[Strike]]))</f>
        <v>0</v>
      </c>
      <c r="J974" t="b">
        <f>IF(     ISNUMBER(Table13345[[#This Row],[Strike]]),RTD("tos.rtd", , "ASK", "."&amp;Table13345[[#This Row],[Ticker]]&amp;Table13345[[#This Row],[Expiry]]&amp;""&amp;"C"&amp;Table13345[[#This Row],[Strike]]))</f>
        <v>0</v>
      </c>
      <c r="K974" s="17"/>
      <c r="M974" s="1">
        <f t="shared" si="95"/>
        <v>0</v>
      </c>
      <c r="N974" t="b">
        <f t="shared" si="96"/>
        <v>0</v>
      </c>
      <c r="P974" s="17" cm="1">
        <f t="array" aca="1" ref="P974" ca="1">IndividualLegIVCore($A$4, Table13345[[#This Row],[Strike]], 0.0411, Table13345[[#This Row],[T]], ((Table13345[[#This Row],[BIDP]]+Table13345[[#This Row],[ASKP]])/2), FALSE)</f>
        <v>0.01</v>
      </c>
      <c r="Q974" t="b">
        <f>IF(     ISNUMBER(Table13345[[#This Row],[Strike]]),RTD("tos.rtd", , "BID", "."&amp;Table13345[[#This Row],[Ticker]]&amp;Table13345[[#This Row],[Expiry]]&amp;""&amp;"P"&amp;Table13345[[#This Row],[Strike]]))</f>
        <v>0</v>
      </c>
      <c r="R974" t="b">
        <f>IF(     ISNUMBER(Table13345[[#This Row],[Strike]]),RTD("tos.rtd", , "ASK", "."&amp;Table13345[[#This Row],[Ticker]]&amp;Table13345[[#This Row],[Expiry]]&amp;""&amp;"P"&amp;Table13345[[#This Row],[Strike]]))</f>
        <v>0</v>
      </c>
      <c r="S974" s="17"/>
      <c r="T974" t="b">
        <f>IF(     ISNUMBER(Table13345[[#This Row],[Strike]]),RTD("tos.rtd", , "OPEN_INT", "."&amp;Table13345[[#This Row],[Ticker]]&amp;Table13345[[#This Row],[Expiry]]&amp;""&amp;"P"&amp;Table13345[[#This Row],[Strike]]))</f>
        <v>0</v>
      </c>
      <c r="U97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4" t="b">
        <f>IF(     ISNUMBER(Table13345[[#This Row],[Strike]]),RTD("tos.rtd", , "DELTA", "."&amp;Table13345[[#This Row],[Ticker]]&amp;Table13345[[#This Row],[Expiry]]&amp;""&amp;"P"&amp;Table13345[[#This Row],[Strike]]))</f>
        <v>0</v>
      </c>
      <c r="Y974" s="19">
        <f>26* IF($M$1="NDX", 10, IF(OR($M$1="SPX", $M$1="RUT"), 2, 1))</f>
        <v>52</v>
      </c>
      <c r="Z974">
        <f ca="1">IFERROR(Table13345[[#This Row],[call gamma]]*(Table13345[[#This Row],[Open.Int]])*$A$4^2,0)</f>
        <v>0</v>
      </c>
      <c r="AA974">
        <f ca="1">IFERROR(((Table13345[[#This Row],[Open.Int8]])*Table13345[[#This Row],[Put gamma]])*-1*$A$4^2,0)</f>
        <v>0</v>
      </c>
      <c r="AB974">
        <f ca="1">(Table13345[[#This Row],[Call Gex]]+Table13345[[#This Row],[Put Gex]])</f>
        <v>0</v>
      </c>
      <c r="AC974">
        <f ca="1">Table13345[[#This Row],[put delta adj]]+Table13345[[#This Row],[call delta adj]]</f>
        <v>0</v>
      </c>
      <c r="AD974">
        <f ca="1">Table13345[[#This Row],[Put Gex]]*Table13345[[#This Row],[DeltaP]]*-1</f>
        <v>0</v>
      </c>
      <c r="AE974">
        <f ca="1">Table13345[[#This Row],[Call Gex]]*Table13345[[#This Row],[DeltaC]]</f>
        <v>0</v>
      </c>
      <c r="AF974">
        <f>IF(Table13345[[#This Row],[DeltaC]]-ABS(Table13345[[#This Row],[DeltaP]])="0","0.01",Table13345[[#This Row],[DeltaC]]-ABS(Table13345[[#This Row],[DeltaP]]))</f>
        <v>0</v>
      </c>
      <c r="AG97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4" t="e">
        <f ca="1">(EXP(-(AG974^2)/2)/SQRT(2*PI())*EXP(0*SQRT(Table13345[[#This Row],[T]]))/$A$4*18%*SQRT(SQRT(Table13345[[#This Row],[T]])))</f>
        <v>#DIV/0!</v>
      </c>
      <c r="AJ974" t="e">
        <f ca="1">(EXP(-(AH974^2)/2)/SQRT(2*PI())*EXP(0*SQRT(Table13345[[#This Row],[T]]))/$A$4*18%*SQRT(SQRT(Table13345[[#This Row],[T]])))</f>
        <v>#DIV/0!</v>
      </c>
      <c r="AK974" t="e">
        <f ca="1">Table13345[[#This Row],[Call D1]]-Table13345[[#This Row],[IV Calc C]]*SQRT(Table13345[[#This Row],[T]])</f>
        <v>#DIV/0!</v>
      </c>
      <c r="AL974" t="e">
        <f ca="1">Table13345[[#This Row],[Put D1]]-Table13345[[#This Row],[IV Calc P]]*SQRT(Table13345[[#This Row],[T]])</f>
        <v>#DIV/0!</v>
      </c>
      <c r="AM974" t="e">
        <f ca="1">EXP(-0.5*Table13345[[#This Row],[Call D1]]^2)/SQRT(2*PI())</f>
        <v>#DIV/0!</v>
      </c>
      <c r="AN974" t="e">
        <f ca="1">EXP(-0.5*Table13345[[#This Row],[Put D1]]^2)/SQRT(2*PI())</f>
        <v>#DIV/0!</v>
      </c>
      <c r="AO97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4">
        <f ca="1">((Table13345[[#This Row],[call vanna]]+Table13345[[#This Row],[put vanna]])*$A$4)</f>
        <v>0</v>
      </c>
      <c r="AR97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4" s="9" t="str" cm="1">
        <f t="array" ref="AT974">_xlfn.IFS(     $M$1="SPX","SPXW",     $M$1="RUT","RUTW",  $M$1="NDX","NDXP",   TRUE,$M$1 )</f>
        <v>SPXW</v>
      </c>
      <c r="AU974" s="2">
        <f t="shared" si="97"/>
        <v>6915</v>
      </c>
      <c r="AV974" t="str">
        <f t="shared" si="98"/>
        <v>000100</v>
      </c>
      <c r="AY97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4">
        <f>((Table13345[[#This Row],[High C]]+Table13345[[#This Row],[Low C]])/2)*Table13345[[#This Row],[gammac]]*Table13345[[#This Row],[Volume]]</f>
        <v>0</v>
      </c>
      <c r="BD974">
        <f>((Table13345[[#This Row],[High P]]+Table13345[[#This Row],[Low P]])/2)*Table13345[[#This Row],[gammap]]*Table13345[[#This Row],[Volume9]]*-1</f>
        <v>0</v>
      </c>
      <c r="BE974">
        <f>(Table13345[[#This Row],[SgammaC]]+Table13345[[#This Row],[SgammaP]])*$A$4*-100</f>
        <v>0</v>
      </c>
      <c r="BF974">
        <f>Table13345[[#This Row],[DEXc]]+Table13345[[#This Row],[DEXp]]</f>
        <v>0</v>
      </c>
      <c r="BG974">
        <f>IFERROR(Table13345[[#This Row],[DeltaC]]*Table13345[[#This Row],[Open.Int]]*$A$4,0)</f>
        <v>0</v>
      </c>
      <c r="BH974">
        <f>IFERROR(Table13345[[#This Row],[DeltaP]]*Table13345[[#This Row],[Open.Int8]]*$A$4,0)</f>
        <v>0</v>
      </c>
      <c r="BI97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4">
        <f ca="1">Table13345[[#This Row],[charmc]]+Table13345[[#This Row],[charmp]]</f>
        <v>0</v>
      </c>
      <c r="BL97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4" s="78">
        <f ca="1">Table13345[[#This Row],[call helper]]+Table13345[[#This Row],[put helper]]</f>
        <v>0</v>
      </c>
      <c r="BP974" t="str">
        <f>RTD("tos.rtd", , "STRIKE", "."&amp;Table13345[[#This Row],[Ticker]]&amp;Table13345[[#This Row],[Expiry]]&amp;""&amp;"C"&amp;Table13345[[#This Row],[Spot]]+Table13345[[#This Row],[step]])</f>
        <v>N/A</v>
      </c>
    </row>
    <row r="975" spans="1:68" x14ac:dyDescent="0.25">
      <c r="A975" s="14">
        <f t="shared" ca="1" si="94"/>
        <v>-126.14810350076104</v>
      </c>
      <c r="C975" s="17"/>
      <c r="D975" t="str">
        <f>RTD("tos.rtd", , "OPEN_INT", "."&amp;Table13345[[#This Row],[Ticker]]&amp;Table13345[[#This Row],[Expiry]]&amp;""&amp;"C"&amp;Table13345[[#This Row],[Spot]]+Table13345[[#This Row],[step]])</f>
        <v>N/A</v>
      </c>
      <c r="E97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5" t="b">
        <f>IF(     ISNUMBER(Table13345[[#This Row],[Strike]]),RTD("tos.rtd", , "DELTA", "."&amp;Table13345[[#This Row],[Ticker]]&amp;Table13345[[#This Row],[Expiry]]&amp;""&amp;"C"&amp;Table13345[[#This Row],[Strike]]))</f>
        <v>0</v>
      </c>
      <c r="H975" s="17" cm="1">
        <f t="array" aca="1" ref="H975" ca="1">IndividualLegIVCore($A$4, Table13345[[#This Row],[Strike]], 0.0411, Table13345[[#This Row],[T]], ((Table13345[[#This Row],[BIDC]]+Table13345[[#This Row],[ASKC]])/2), TRUE)</f>
        <v>0.01</v>
      </c>
      <c r="I975" t="b">
        <f>IF(     ISNUMBER(Table13345[[#This Row],[Strike]]),RTD("tos.rtd", , "BID", "."&amp;Table13345[[#This Row],[Ticker]]&amp;Table13345[[#This Row],[Expiry]]&amp;""&amp;"C"&amp;Table13345[[#This Row],[Strike]]))</f>
        <v>0</v>
      </c>
      <c r="J975" t="b">
        <f>IF(     ISNUMBER(Table13345[[#This Row],[Strike]]),RTD("tos.rtd", , "ASK", "."&amp;Table13345[[#This Row],[Ticker]]&amp;Table13345[[#This Row],[Expiry]]&amp;""&amp;"C"&amp;Table13345[[#This Row],[Strike]]))</f>
        <v>0</v>
      </c>
      <c r="K975" s="17"/>
      <c r="M975" s="1">
        <f t="shared" si="95"/>
        <v>0</v>
      </c>
      <c r="N975" t="b">
        <f t="shared" si="96"/>
        <v>0</v>
      </c>
      <c r="P975" s="17" cm="1">
        <f t="array" aca="1" ref="P975" ca="1">IndividualLegIVCore($A$4, Table13345[[#This Row],[Strike]], 0.0411, Table13345[[#This Row],[T]], ((Table13345[[#This Row],[BIDP]]+Table13345[[#This Row],[ASKP]])/2), FALSE)</f>
        <v>0.01</v>
      </c>
      <c r="Q975" t="b">
        <f>IF(     ISNUMBER(Table13345[[#This Row],[Strike]]),RTD("tos.rtd", , "BID", "."&amp;Table13345[[#This Row],[Ticker]]&amp;Table13345[[#This Row],[Expiry]]&amp;""&amp;"P"&amp;Table13345[[#This Row],[Strike]]))</f>
        <v>0</v>
      </c>
      <c r="R975" t="b">
        <f>IF(     ISNUMBER(Table13345[[#This Row],[Strike]]),RTD("tos.rtd", , "ASK", "."&amp;Table13345[[#This Row],[Ticker]]&amp;Table13345[[#This Row],[Expiry]]&amp;""&amp;"P"&amp;Table13345[[#This Row],[Strike]]))</f>
        <v>0</v>
      </c>
      <c r="S975" s="17"/>
      <c r="T975" t="b">
        <f>IF(     ISNUMBER(Table13345[[#This Row],[Strike]]),RTD("tos.rtd", , "OPEN_INT", "."&amp;Table13345[[#This Row],[Ticker]]&amp;Table13345[[#This Row],[Expiry]]&amp;""&amp;"P"&amp;Table13345[[#This Row],[Strike]]))</f>
        <v>0</v>
      </c>
      <c r="U97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5" t="b">
        <f>IF(     ISNUMBER(Table13345[[#This Row],[Strike]]),RTD("tos.rtd", , "DELTA", "."&amp;Table13345[[#This Row],[Ticker]]&amp;Table13345[[#This Row],[Expiry]]&amp;""&amp;"P"&amp;Table13345[[#This Row],[Strike]]))</f>
        <v>0</v>
      </c>
      <c r="Y975" s="19">
        <f>26.5* IF($M$1="NDX", 10, IF(OR($M$1="SPX", $M$1="RUT"), 2, 1))</f>
        <v>53</v>
      </c>
      <c r="Z975">
        <f ca="1">IFERROR(Table13345[[#This Row],[call gamma]]*(Table13345[[#This Row],[Open.Int]])*$A$4^2,0)</f>
        <v>0</v>
      </c>
      <c r="AA975">
        <f ca="1">IFERROR(((Table13345[[#This Row],[Open.Int8]])*Table13345[[#This Row],[Put gamma]])*-1*$A$4^2,0)</f>
        <v>0</v>
      </c>
      <c r="AB975">
        <f ca="1">(Table13345[[#This Row],[Call Gex]]+Table13345[[#This Row],[Put Gex]])</f>
        <v>0</v>
      </c>
      <c r="AC975">
        <f ca="1">Table13345[[#This Row],[put delta adj]]+Table13345[[#This Row],[call delta adj]]</f>
        <v>0</v>
      </c>
      <c r="AD975">
        <f ca="1">Table13345[[#This Row],[Put Gex]]*Table13345[[#This Row],[DeltaP]]*-1</f>
        <v>0</v>
      </c>
      <c r="AE975">
        <f ca="1">Table13345[[#This Row],[Call Gex]]*Table13345[[#This Row],[DeltaC]]</f>
        <v>0</v>
      </c>
      <c r="AF975">
        <f>IF(Table13345[[#This Row],[DeltaC]]-ABS(Table13345[[#This Row],[DeltaP]])="0","0.01",Table13345[[#This Row],[DeltaC]]-ABS(Table13345[[#This Row],[DeltaP]]))</f>
        <v>0</v>
      </c>
      <c r="AG97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5" t="e">
        <f ca="1">(EXP(-(AG975^2)/2)/SQRT(2*PI())*EXP(0*SQRT(Table13345[[#This Row],[T]]))/$A$4*18%*SQRT(SQRT(Table13345[[#This Row],[T]])))</f>
        <v>#DIV/0!</v>
      </c>
      <c r="AJ975" t="e">
        <f ca="1">(EXP(-(AH975^2)/2)/SQRT(2*PI())*EXP(0*SQRT(Table13345[[#This Row],[T]]))/$A$4*18%*SQRT(SQRT(Table13345[[#This Row],[T]])))</f>
        <v>#DIV/0!</v>
      </c>
      <c r="AK975" t="e">
        <f ca="1">Table13345[[#This Row],[Call D1]]-Table13345[[#This Row],[IV Calc C]]*SQRT(Table13345[[#This Row],[T]])</f>
        <v>#DIV/0!</v>
      </c>
      <c r="AL975" t="e">
        <f ca="1">Table13345[[#This Row],[Put D1]]-Table13345[[#This Row],[IV Calc P]]*SQRT(Table13345[[#This Row],[T]])</f>
        <v>#DIV/0!</v>
      </c>
      <c r="AM975" t="e">
        <f ca="1">EXP(-0.5*Table13345[[#This Row],[Call D1]]^2)/SQRT(2*PI())</f>
        <v>#DIV/0!</v>
      </c>
      <c r="AN975" t="e">
        <f ca="1">EXP(-0.5*Table13345[[#This Row],[Put D1]]^2)/SQRT(2*PI())</f>
        <v>#DIV/0!</v>
      </c>
      <c r="AO97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5">
        <f ca="1">((Table13345[[#This Row],[call vanna]]+Table13345[[#This Row],[put vanna]])*$A$4)</f>
        <v>0</v>
      </c>
      <c r="AR97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5" s="9" t="str" cm="1">
        <f t="array" ref="AT975">_xlfn.IFS(     $M$1="SPX","SPXW",     $M$1="RUT","RUTW",  $M$1="NDX","NDXP",   TRUE,$M$1 )</f>
        <v>SPXW</v>
      </c>
      <c r="AU975" s="2">
        <f t="shared" si="97"/>
        <v>6915</v>
      </c>
      <c r="AV975" t="str">
        <f t="shared" si="98"/>
        <v>000100</v>
      </c>
      <c r="AY97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5">
        <f>((Table13345[[#This Row],[High C]]+Table13345[[#This Row],[Low C]])/2)*Table13345[[#This Row],[gammac]]*Table13345[[#This Row],[Volume]]</f>
        <v>0</v>
      </c>
      <c r="BD975">
        <f>((Table13345[[#This Row],[High P]]+Table13345[[#This Row],[Low P]])/2)*Table13345[[#This Row],[gammap]]*Table13345[[#This Row],[Volume9]]*-1</f>
        <v>0</v>
      </c>
      <c r="BE975">
        <f>(Table13345[[#This Row],[SgammaC]]+Table13345[[#This Row],[SgammaP]])*$A$4*-100</f>
        <v>0</v>
      </c>
      <c r="BF975">
        <f>Table13345[[#This Row],[DEXc]]+Table13345[[#This Row],[DEXp]]</f>
        <v>0</v>
      </c>
      <c r="BG975">
        <f>IFERROR(Table13345[[#This Row],[DeltaC]]*Table13345[[#This Row],[Open.Int]]*$A$4,0)</f>
        <v>0</v>
      </c>
      <c r="BH975">
        <f>IFERROR(Table13345[[#This Row],[DeltaP]]*Table13345[[#This Row],[Open.Int8]]*$A$4,0)</f>
        <v>0</v>
      </c>
      <c r="BI97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5">
        <f ca="1">Table13345[[#This Row],[charmc]]+Table13345[[#This Row],[charmp]]</f>
        <v>0</v>
      </c>
      <c r="BL97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5" s="78">
        <f ca="1">Table13345[[#This Row],[call helper]]+Table13345[[#This Row],[put helper]]</f>
        <v>0</v>
      </c>
      <c r="BP975" t="str">
        <f>RTD("tos.rtd", , "STRIKE", "."&amp;Table13345[[#This Row],[Ticker]]&amp;Table13345[[#This Row],[Expiry]]&amp;""&amp;"C"&amp;Table13345[[#This Row],[Spot]]+Table13345[[#This Row],[step]])</f>
        <v>N/A</v>
      </c>
    </row>
    <row r="976" spans="1:68" x14ac:dyDescent="0.25">
      <c r="A976" s="14">
        <f t="shared" ca="1" si="94"/>
        <v>-126.14810350076104</v>
      </c>
      <c r="C976" s="17"/>
      <c r="D976" t="str">
        <f>RTD("tos.rtd", , "OPEN_INT", "."&amp;Table13345[[#This Row],[Ticker]]&amp;Table13345[[#This Row],[Expiry]]&amp;""&amp;"C"&amp;Table13345[[#This Row],[Spot]]+Table13345[[#This Row],[step]])</f>
        <v>N/A</v>
      </c>
      <c r="E97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6" t="b">
        <f>IF(     ISNUMBER(Table13345[[#This Row],[Strike]]),RTD("tos.rtd", , "DELTA", "."&amp;Table13345[[#This Row],[Ticker]]&amp;Table13345[[#This Row],[Expiry]]&amp;""&amp;"C"&amp;Table13345[[#This Row],[Strike]]))</f>
        <v>0</v>
      </c>
      <c r="H976" s="17" cm="1">
        <f t="array" aca="1" ref="H976" ca="1">IndividualLegIVCore($A$4, Table13345[[#This Row],[Strike]], 0.0411, Table13345[[#This Row],[T]], ((Table13345[[#This Row],[BIDC]]+Table13345[[#This Row],[ASKC]])/2), TRUE)</f>
        <v>0.01</v>
      </c>
      <c r="I976" t="b">
        <f>IF(     ISNUMBER(Table13345[[#This Row],[Strike]]),RTD("tos.rtd", , "BID", "."&amp;Table13345[[#This Row],[Ticker]]&amp;Table13345[[#This Row],[Expiry]]&amp;""&amp;"C"&amp;Table13345[[#This Row],[Strike]]))</f>
        <v>0</v>
      </c>
      <c r="J976" t="b">
        <f>IF(     ISNUMBER(Table13345[[#This Row],[Strike]]),RTD("tos.rtd", , "ASK", "."&amp;Table13345[[#This Row],[Ticker]]&amp;Table13345[[#This Row],[Expiry]]&amp;""&amp;"C"&amp;Table13345[[#This Row],[Strike]]))</f>
        <v>0</v>
      </c>
      <c r="K976" s="17"/>
      <c r="M976" s="1">
        <f t="shared" si="95"/>
        <v>0</v>
      </c>
      <c r="N976" t="b">
        <f t="shared" si="96"/>
        <v>0</v>
      </c>
      <c r="P976" s="17" cm="1">
        <f t="array" aca="1" ref="P976" ca="1">IndividualLegIVCore($A$4, Table13345[[#This Row],[Strike]], 0.0411, Table13345[[#This Row],[T]], ((Table13345[[#This Row],[BIDP]]+Table13345[[#This Row],[ASKP]])/2), FALSE)</f>
        <v>0.01</v>
      </c>
      <c r="Q976" t="b">
        <f>IF(     ISNUMBER(Table13345[[#This Row],[Strike]]),RTD("tos.rtd", , "BID", "."&amp;Table13345[[#This Row],[Ticker]]&amp;Table13345[[#This Row],[Expiry]]&amp;""&amp;"P"&amp;Table13345[[#This Row],[Strike]]))</f>
        <v>0</v>
      </c>
      <c r="R976" t="b">
        <f>IF(     ISNUMBER(Table13345[[#This Row],[Strike]]),RTD("tos.rtd", , "ASK", "."&amp;Table13345[[#This Row],[Ticker]]&amp;Table13345[[#This Row],[Expiry]]&amp;""&amp;"P"&amp;Table13345[[#This Row],[Strike]]))</f>
        <v>0</v>
      </c>
      <c r="S976" s="17"/>
      <c r="T976" t="b">
        <f>IF(     ISNUMBER(Table13345[[#This Row],[Strike]]),RTD("tos.rtd", , "OPEN_INT", "."&amp;Table13345[[#This Row],[Ticker]]&amp;Table13345[[#This Row],[Expiry]]&amp;""&amp;"P"&amp;Table13345[[#This Row],[Strike]]))</f>
        <v>0</v>
      </c>
      <c r="U97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6" t="b">
        <f>IF(     ISNUMBER(Table13345[[#This Row],[Strike]]),RTD("tos.rtd", , "DELTA", "."&amp;Table13345[[#This Row],[Ticker]]&amp;Table13345[[#This Row],[Expiry]]&amp;""&amp;"P"&amp;Table13345[[#This Row],[Strike]]))</f>
        <v>0</v>
      </c>
      <c r="Y976" s="19">
        <f>27* IF($M$1="NDX", 10, IF(OR($M$1="SPX", $M$1="RUT"), 2, 1))</f>
        <v>54</v>
      </c>
      <c r="Z976">
        <f ca="1">IFERROR(Table13345[[#This Row],[call gamma]]*(Table13345[[#This Row],[Open.Int]])*$A$4^2,0)</f>
        <v>0</v>
      </c>
      <c r="AA976">
        <f ca="1">IFERROR(((Table13345[[#This Row],[Open.Int8]])*Table13345[[#This Row],[Put gamma]])*-1*$A$4^2,0)</f>
        <v>0</v>
      </c>
      <c r="AB976">
        <f ca="1">(Table13345[[#This Row],[Call Gex]]+Table13345[[#This Row],[Put Gex]])</f>
        <v>0</v>
      </c>
      <c r="AC976">
        <f ca="1">Table13345[[#This Row],[put delta adj]]+Table13345[[#This Row],[call delta adj]]</f>
        <v>0</v>
      </c>
      <c r="AD976">
        <f ca="1">Table13345[[#This Row],[Put Gex]]*Table13345[[#This Row],[DeltaP]]*-1</f>
        <v>0</v>
      </c>
      <c r="AE976">
        <f ca="1">Table13345[[#This Row],[Call Gex]]*Table13345[[#This Row],[DeltaC]]</f>
        <v>0</v>
      </c>
      <c r="AF976">
        <f>IF(Table13345[[#This Row],[DeltaC]]-ABS(Table13345[[#This Row],[DeltaP]])="0","0.01",Table13345[[#This Row],[DeltaC]]-ABS(Table13345[[#This Row],[DeltaP]]))</f>
        <v>0</v>
      </c>
      <c r="AG97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6" t="e">
        <f ca="1">(EXP(-(AG976^2)/2)/SQRT(2*PI())*EXP(0*SQRT(Table13345[[#This Row],[T]]))/$A$4*18%*SQRT(SQRT(Table13345[[#This Row],[T]])))</f>
        <v>#DIV/0!</v>
      </c>
      <c r="AJ976" t="e">
        <f ca="1">(EXP(-(AH976^2)/2)/SQRT(2*PI())*EXP(0*SQRT(Table13345[[#This Row],[T]]))/$A$4*18%*SQRT(SQRT(Table13345[[#This Row],[T]])))</f>
        <v>#DIV/0!</v>
      </c>
      <c r="AK976" t="e">
        <f ca="1">Table13345[[#This Row],[Call D1]]-Table13345[[#This Row],[IV Calc C]]*SQRT(Table13345[[#This Row],[T]])</f>
        <v>#DIV/0!</v>
      </c>
      <c r="AL976" t="e">
        <f ca="1">Table13345[[#This Row],[Put D1]]-Table13345[[#This Row],[IV Calc P]]*SQRT(Table13345[[#This Row],[T]])</f>
        <v>#DIV/0!</v>
      </c>
      <c r="AM976" t="e">
        <f ca="1">EXP(-0.5*Table13345[[#This Row],[Call D1]]^2)/SQRT(2*PI())</f>
        <v>#DIV/0!</v>
      </c>
      <c r="AN976" t="e">
        <f ca="1">EXP(-0.5*Table13345[[#This Row],[Put D1]]^2)/SQRT(2*PI())</f>
        <v>#DIV/0!</v>
      </c>
      <c r="AO97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6">
        <f ca="1">((Table13345[[#This Row],[call vanna]]+Table13345[[#This Row],[put vanna]])*$A$4)</f>
        <v>0</v>
      </c>
      <c r="AR97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6" s="9" t="str" cm="1">
        <f t="array" ref="AT976">_xlfn.IFS(     $M$1="SPX","SPXW",     $M$1="RUT","RUTW",  $M$1="NDX","NDXP",   TRUE,$M$1 )</f>
        <v>SPXW</v>
      </c>
      <c r="AU976" s="2">
        <f t="shared" si="97"/>
        <v>6915</v>
      </c>
      <c r="AV976" t="str">
        <f t="shared" si="98"/>
        <v>000100</v>
      </c>
      <c r="AY97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6">
        <f>((Table13345[[#This Row],[High C]]+Table13345[[#This Row],[Low C]])/2)*Table13345[[#This Row],[gammac]]*Table13345[[#This Row],[Volume]]</f>
        <v>0</v>
      </c>
      <c r="BD976">
        <f>((Table13345[[#This Row],[High P]]+Table13345[[#This Row],[Low P]])/2)*Table13345[[#This Row],[gammap]]*Table13345[[#This Row],[Volume9]]*-1</f>
        <v>0</v>
      </c>
      <c r="BE976">
        <f>(Table13345[[#This Row],[SgammaC]]+Table13345[[#This Row],[SgammaP]])*$A$4*-100</f>
        <v>0</v>
      </c>
      <c r="BF976">
        <f>Table13345[[#This Row],[DEXc]]+Table13345[[#This Row],[DEXp]]</f>
        <v>0</v>
      </c>
      <c r="BG976">
        <f>IFERROR(Table13345[[#This Row],[DeltaC]]*Table13345[[#This Row],[Open.Int]]*$A$4,0)</f>
        <v>0</v>
      </c>
      <c r="BH976">
        <f>IFERROR(Table13345[[#This Row],[DeltaP]]*Table13345[[#This Row],[Open.Int8]]*$A$4,0)</f>
        <v>0</v>
      </c>
      <c r="BI97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6">
        <f ca="1">Table13345[[#This Row],[charmc]]+Table13345[[#This Row],[charmp]]</f>
        <v>0</v>
      </c>
      <c r="BL97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6" s="78">
        <f ca="1">Table13345[[#This Row],[call helper]]+Table13345[[#This Row],[put helper]]</f>
        <v>0</v>
      </c>
      <c r="BP976" t="str">
        <f>RTD("tos.rtd", , "STRIKE", "."&amp;Table13345[[#This Row],[Ticker]]&amp;Table13345[[#This Row],[Expiry]]&amp;""&amp;"C"&amp;Table13345[[#This Row],[Spot]]+Table13345[[#This Row],[step]])</f>
        <v>N/A</v>
      </c>
    </row>
    <row r="977" spans="1:68" x14ac:dyDescent="0.25">
      <c r="A977" s="14">
        <f t="shared" ca="1" si="94"/>
        <v>-126.14810350076104</v>
      </c>
      <c r="C977" s="17"/>
      <c r="D977" t="str">
        <f>RTD("tos.rtd", , "OPEN_INT", "."&amp;Table13345[[#This Row],[Ticker]]&amp;Table13345[[#This Row],[Expiry]]&amp;""&amp;"C"&amp;Table13345[[#This Row],[Spot]]+Table13345[[#This Row],[step]])</f>
        <v>N/A</v>
      </c>
      <c r="E97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7" t="b">
        <f>IF(     ISNUMBER(Table13345[[#This Row],[Strike]]),RTD("tos.rtd", , "DELTA", "."&amp;Table13345[[#This Row],[Ticker]]&amp;Table13345[[#This Row],[Expiry]]&amp;""&amp;"C"&amp;Table13345[[#This Row],[Strike]]))</f>
        <v>0</v>
      </c>
      <c r="H977" s="17" cm="1">
        <f t="array" aca="1" ref="H977" ca="1">IndividualLegIVCore($A$4, Table13345[[#This Row],[Strike]], 0.0411, Table13345[[#This Row],[T]], ((Table13345[[#This Row],[BIDC]]+Table13345[[#This Row],[ASKC]])/2), TRUE)</f>
        <v>0.01</v>
      </c>
      <c r="I977" t="b">
        <f>IF(     ISNUMBER(Table13345[[#This Row],[Strike]]),RTD("tos.rtd", , "BID", "."&amp;Table13345[[#This Row],[Ticker]]&amp;Table13345[[#This Row],[Expiry]]&amp;""&amp;"C"&amp;Table13345[[#This Row],[Strike]]))</f>
        <v>0</v>
      </c>
      <c r="J977" t="b">
        <f>IF(     ISNUMBER(Table13345[[#This Row],[Strike]]),RTD("tos.rtd", , "ASK", "."&amp;Table13345[[#This Row],[Ticker]]&amp;Table13345[[#This Row],[Expiry]]&amp;""&amp;"C"&amp;Table13345[[#This Row],[Strike]]))</f>
        <v>0</v>
      </c>
      <c r="K977" s="17"/>
      <c r="M977" s="1">
        <f t="shared" si="95"/>
        <v>0</v>
      </c>
      <c r="N977" t="b">
        <f t="shared" si="96"/>
        <v>0</v>
      </c>
      <c r="P977" s="17" cm="1">
        <f t="array" aca="1" ref="P977" ca="1">IndividualLegIVCore($A$4, Table13345[[#This Row],[Strike]], 0.0411, Table13345[[#This Row],[T]], ((Table13345[[#This Row],[BIDP]]+Table13345[[#This Row],[ASKP]])/2), FALSE)</f>
        <v>0.01</v>
      </c>
      <c r="Q977" t="b">
        <f>IF(     ISNUMBER(Table13345[[#This Row],[Strike]]),RTD("tos.rtd", , "BID", "."&amp;Table13345[[#This Row],[Ticker]]&amp;Table13345[[#This Row],[Expiry]]&amp;""&amp;"P"&amp;Table13345[[#This Row],[Strike]]))</f>
        <v>0</v>
      </c>
      <c r="R977" t="b">
        <f>IF(     ISNUMBER(Table13345[[#This Row],[Strike]]),RTD("tos.rtd", , "ASK", "."&amp;Table13345[[#This Row],[Ticker]]&amp;Table13345[[#This Row],[Expiry]]&amp;""&amp;"P"&amp;Table13345[[#This Row],[Strike]]))</f>
        <v>0</v>
      </c>
      <c r="S977" s="17"/>
      <c r="T977" t="b">
        <f>IF(     ISNUMBER(Table13345[[#This Row],[Strike]]),RTD("tos.rtd", , "OPEN_INT", "."&amp;Table13345[[#This Row],[Ticker]]&amp;Table13345[[#This Row],[Expiry]]&amp;""&amp;"P"&amp;Table13345[[#This Row],[Strike]]))</f>
        <v>0</v>
      </c>
      <c r="U97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7" t="b">
        <f>IF(     ISNUMBER(Table13345[[#This Row],[Strike]]),RTD("tos.rtd", , "DELTA", "."&amp;Table13345[[#This Row],[Ticker]]&amp;Table13345[[#This Row],[Expiry]]&amp;""&amp;"P"&amp;Table13345[[#This Row],[Strike]]))</f>
        <v>0</v>
      </c>
      <c r="Y977" s="19">
        <f>27.5* IF($M$1="NDX", 10, IF(OR($M$1="SPX", $M$1="RUT"), 2, 1))</f>
        <v>55</v>
      </c>
      <c r="Z977">
        <f ca="1">IFERROR(Table13345[[#This Row],[call gamma]]*(Table13345[[#This Row],[Open.Int]])*$A$4^2,0)</f>
        <v>0</v>
      </c>
      <c r="AA977">
        <f ca="1">IFERROR(((Table13345[[#This Row],[Open.Int8]])*Table13345[[#This Row],[Put gamma]])*-1*$A$4^2,0)</f>
        <v>0</v>
      </c>
      <c r="AB977">
        <f ca="1">(Table13345[[#This Row],[Call Gex]]+Table13345[[#This Row],[Put Gex]])</f>
        <v>0</v>
      </c>
      <c r="AC977">
        <f ca="1">Table13345[[#This Row],[put delta adj]]+Table13345[[#This Row],[call delta adj]]</f>
        <v>0</v>
      </c>
      <c r="AD977">
        <f ca="1">Table13345[[#This Row],[Put Gex]]*Table13345[[#This Row],[DeltaP]]*-1</f>
        <v>0</v>
      </c>
      <c r="AE977">
        <f ca="1">Table13345[[#This Row],[Call Gex]]*Table13345[[#This Row],[DeltaC]]</f>
        <v>0</v>
      </c>
      <c r="AF977">
        <f>IF(Table13345[[#This Row],[DeltaC]]-ABS(Table13345[[#This Row],[DeltaP]])="0","0.01",Table13345[[#This Row],[DeltaC]]-ABS(Table13345[[#This Row],[DeltaP]]))</f>
        <v>0</v>
      </c>
      <c r="AG97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7" t="e">
        <f ca="1">(EXP(-(AG977^2)/2)/SQRT(2*PI())*EXP(0*SQRT(Table13345[[#This Row],[T]]))/$A$4*18%*SQRT(SQRT(Table13345[[#This Row],[T]])))</f>
        <v>#DIV/0!</v>
      </c>
      <c r="AJ977" t="e">
        <f ca="1">(EXP(-(AH977^2)/2)/SQRT(2*PI())*EXP(0*SQRT(Table13345[[#This Row],[T]]))/$A$4*18%*SQRT(SQRT(Table13345[[#This Row],[T]])))</f>
        <v>#DIV/0!</v>
      </c>
      <c r="AK977" t="e">
        <f ca="1">Table13345[[#This Row],[Call D1]]-Table13345[[#This Row],[IV Calc C]]*SQRT(Table13345[[#This Row],[T]])</f>
        <v>#DIV/0!</v>
      </c>
      <c r="AL977" t="e">
        <f ca="1">Table13345[[#This Row],[Put D1]]-Table13345[[#This Row],[IV Calc P]]*SQRT(Table13345[[#This Row],[T]])</f>
        <v>#DIV/0!</v>
      </c>
      <c r="AM977" t="e">
        <f ca="1">EXP(-0.5*Table13345[[#This Row],[Call D1]]^2)/SQRT(2*PI())</f>
        <v>#DIV/0!</v>
      </c>
      <c r="AN977" t="e">
        <f ca="1">EXP(-0.5*Table13345[[#This Row],[Put D1]]^2)/SQRT(2*PI())</f>
        <v>#DIV/0!</v>
      </c>
      <c r="AO97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7">
        <f ca="1">((Table13345[[#This Row],[call vanna]]+Table13345[[#This Row],[put vanna]])*$A$4)</f>
        <v>0</v>
      </c>
      <c r="AR97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7" s="9" t="str" cm="1">
        <f t="array" ref="AT977">_xlfn.IFS(     $M$1="SPX","SPXW",     $M$1="RUT","RUTW",  $M$1="NDX","NDXP",   TRUE,$M$1 )</f>
        <v>SPXW</v>
      </c>
      <c r="AU977" s="2">
        <f t="shared" si="97"/>
        <v>6915</v>
      </c>
      <c r="AV977" t="str">
        <f t="shared" si="98"/>
        <v>000100</v>
      </c>
      <c r="AY97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7">
        <f>((Table13345[[#This Row],[High C]]+Table13345[[#This Row],[Low C]])/2)*Table13345[[#This Row],[gammac]]*Table13345[[#This Row],[Volume]]</f>
        <v>0</v>
      </c>
      <c r="BD977">
        <f>((Table13345[[#This Row],[High P]]+Table13345[[#This Row],[Low P]])/2)*Table13345[[#This Row],[gammap]]*Table13345[[#This Row],[Volume9]]*-1</f>
        <v>0</v>
      </c>
      <c r="BE977">
        <f>(Table13345[[#This Row],[SgammaC]]+Table13345[[#This Row],[SgammaP]])*$A$4*-100</f>
        <v>0</v>
      </c>
      <c r="BF977">
        <f>Table13345[[#This Row],[DEXc]]+Table13345[[#This Row],[DEXp]]</f>
        <v>0</v>
      </c>
      <c r="BG977">
        <f>IFERROR(Table13345[[#This Row],[DeltaC]]*Table13345[[#This Row],[Open.Int]]*$A$4,0)</f>
        <v>0</v>
      </c>
      <c r="BH977">
        <f>IFERROR(Table13345[[#This Row],[DeltaP]]*Table13345[[#This Row],[Open.Int8]]*$A$4,0)</f>
        <v>0</v>
      </c>
      <c r="BI97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7">
        <f ca="1">Table13345[[#This Row],[charmc]]+Table13345[[#This Row],[charmp]]</f>
        <v>0</v>
      </c>
      <c r="BL97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7" s="78">
        <f ca="1">Table13345[[#This Row],[call helper]]+Table13345[[#This Row],[put helper]]</f>
        <v>0</v>
      </c>
      <c r="BP977" t="str">
        <f>RTD("tos.rtd", , "STRIKE", "."&amp;Table13345[[#This Row],[Ticker]]&amp;Table13345[[#This Row],[Expiry]]&amp;""&amp;"C"&amp;Table13345[[#This Row],[Spot]]+Table13345[[#This Row],[step]])</f>
        <v>N/A</v>
      </c>
    </row>
    <row r="978" spans="1:68" x14ac:dyDescent="0.25">
      <c r="A978" s="14">
        <f t="shared" ca="1" si="94"/>
        <v>-126.14810350076104</v>
      </c>
      <c r="C978" s="17"/>
      <c r="D978" t="str">
        <f>RTD("tos.rtd", , "OPEN_INT", "."&amp;Table13345[[#This Row],[Ticker]]&amp;Table13345[[#This Row],[Expiry]]&amp;""&amp;"C"&amp;Table13345[[#This Row],[Spot]]+Table13345[[#This Row],[step]])</f>
        <v>N/A</v>
      </c>
      <c r="E97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8" t="b">
        <f>IF(     ISNUMBER(Table13345[[#This Row],[Strike]]),RTD("tos.rtd", , "DELTA", "."&amp;Table13345[[#This Row],[Ticker]]&amp;Table13345[[#This Row],[Expiry]]&amp;""&amp;"C"&amp;Table13345[[#This Row],[Strike]]))</f>
        <v>0</v>
      </c>
      <c r="H978" s="17" cm="1">
        <f t="array" aca="1" ref="H978" ca="1">IndividualLegIVCore($A$4, Table13345[[#This Row],[Strike]], 0.0411, Table13345[[#This Row],[T]], ((Table13345[[#This Row],[BIDC]]+Table13345[[#This Row],[ASKC]])/2), TRUE)</f>
        <v>0.01</v>
      </c>
      <c r="I978" t="b">
        <f>IF(     ISNUMBER(Table13345[[#This Row],[Strike]]),RTD("tos.rtd", , "BID", "."&amp;Table13345[[#This Row],[Ticker]]&amp;Table13345[[#This Row],[Expiry]]&amp;""&amp;"C"&amp;Table13345[[#This Row],[Strike]]))</f>
        <v>0</v>
      </c>
      <c r="J978" t="b">
        <f>IF(     ISNUMBER(Table13345[[#This Row],[Strike]]),RTD("tos.rtd", , "ASK", "."&amp;Table13345[[#This Row],[Ticker]]&amp;Table13345[[#This Row],[Expiry]]&amp;""&amp;"C"&amp;Table13345[[#This Row],[Strike]]))</f>
        <v>0</v>
      </c>
      <c r="K978" s="17"/>
      <c r="M978" s="1">
        <f t="shared" si="95"/>
        <v>0</v>
      </c>
      <c r="N978" t="b">
        <f t="shared" si="96"/>
        <v>0</v>
      </c>
      <c r="P978" s="17" cm="1">
        <f t="array" aca="1" ref="P978" ca="1">IndividualLegIVCore($A$4, Table13345[[#This Row],[Strike]], 0.0411, Table13345[[#This Row],[T]], ((Table13345[[#This Row],[BIDP]]+Table13345[[#This Row],[ASKP]])/2), FALSE)</f>
        <v>0.01</v>
      </c>
      <c r="Q978" t="b">
        <f>IF(     ISNUMBER(Table13345[[#This Row],[Strike]]),RTD("tos.rtd", , "BID", "."&amp;Table13345[[#This Row],[Ticker]]&amp;Table13345[[#This Row],[Expiry]]&amp;""&amp;"P"&amp;Table13345[[#This Row],[Strike]]))</f>
        <v>0</v>
      </c>
      <c r="R978" t="b">
        <f>IF(     ISNUMBER(Table13345[[#This Row],[Strike]]),RTD("tos.rtd", , "ASK", "."&amp;Table13345[[#This Row],[Ticker]]&amp;Table13345[[#This Row],[Expiry]]&amp;""&amp;"P"&amp;Table13345[[#This Row],[Strike]]))</f>
        <v>0</v>
      </c>
      <c r="S978" s="17"/>
      <c r="T978" t="b">
        <f>IF(     ISNUMBER(Table13345[[#This Row],[Strike]]),RTD("tos.rtd", , "OPEN_INT", "."&amp;Table13345[[#This Row],[Ticker]]&amp;Table13345[[#This Row],[Expiry]]&amp;""&amp;"P"&amp;Table13345[[#This Row],[Strike]]))</f>
        <v>0</v>
      </c>
      <c r="U97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8" t="b">
        <f>IF(     ISNUMBER(Table13345[[#This Row],[Strike]]),RTD("tos.rtd", , "DELTA", "."&amp;Table13345[[#This Row],[Ticker]]&amp;Table13345[[#This Row],[Expiry]]&amp;""&amp;"P"&amp;Table13345[[#This Row],[Strike]]))</f>
        <v>0</v>
      </c>
      <c r="Y978" s="19">
        <f>28* IF($M$1="NDX", 10, IF(OR($M$1="SPX", $M$1="RUT"), 2, 1))</f>
        <v>56</v>
      </c>
      <c r="Z978">
        <f ca="1">IFERROR(Table13345[[#This Row],[call gamma]]*(Table13345[[#This Row],[Open.Int]])*$A$4^2,0)</f>
        <v>0</v>
      </c>
      <c r="AA978">
        <f ca="1">IFERROR(((Table13345[[#This Row],[Open.Int8]])*Table13345[[#This Row],[Put gamma]])*-1*$A$4^2,0)</f>
        <v>0</v>
      </c>
      <c r="AB978">
        <f ca="1">(Table13345[[#This Row],[Call Gex]]+Table13345[[#This Row],[Put Gex]])</f>
        <v>0</v>
      </c>
      <c r="AC978">
        <f ca="1">Table13345[[#This Row],[put delta adj]]+Table13345[[#This Row],[call delta adj]]</f>
        <v>0</v>
      </c>
      <c r="AD978">
        <f ca="1">Table13345[[#This Row],[Put Gex]]*Table13345[[#This Row],[DeltaP]]*-1</f>
        <v>0</v>
      </c>
      <c r="AE978">
        <f ca="1">Table13345[[#This Row],[Call Gex]]*Table13345[[#This Row],[DeltaC]]</f>
        <v>0</v>
      </c>
      <c r="AF978">
        <f>IF(Table13345[[#This Row],[DeltaC]]-ABS(Table13345[[#This Row],[DeltaP]])="0","0.01",Table13345[[#This Row],[DeltaC]]-ABS(Table13345[[#This Row],[DeltaP]]))</f>
        <v>0</v>
      </c>
      <c r="AG97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8" t="e">
        <f ca="1">(EXP(-(AG978^2)/2)/SQRT(2*PI())*EXP(0*SQRT(Table13345[[#This Row],[T]]))/$A$4*18%*SQRT(SQRT(Table13345[[#This Row],[T]])))</f>
        <v>#DIV/0!</v>
      </c>
      <c r="AJ978" t="e">
        <f ca="1">(EXP(-(AH978^2)/2)/SQRT(2*PI())*EXP(0*SQRT(Table13345[[#This Row],[T]]))/$A$4*18%*SQRT(SQRT(Table13345[[#This Row],[T]])))</f>
        <v>#DIV/0!</v>
      </c>
      <c r="AK978" t="e">
        <f ca="1">Table13345[[#This Row],[Call D1]]-Table13345[[#This Row],[IV Calc C]]*SQRT(Table13345[[#This Row],[T]])</f>
        <v>#DIV/0!</v>
      </c>
      <c r="AL978" t="e">
        <f ca="1">Table13345[[#This Row],[Put D1]]-Table13345[[#This Row],[IV Calc P]]*SQRT(Table13345[[#This Row],[T]])</f>
        <v>#DIV/0!</v>
      </c>
      <c r="AM978" t="e">
        <f ca="1">EXP(-0.5*Table13345[[#This Row],[Call D1]]^2)/SQRT(2*PI())</f>
        <v>#DIV/0!</v>
      </c>
      <c r="AN978" t="e">
        <f ca="1">EXP(-0.5*Table13345[[#This Row],[Put D1]]^2)/SQRT(2*PI())</f>
        <v>#DIV/0!</v>
      </c>
      <c r="AO97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8">
        <f ca="1">((Table13345[[#This Row],[call vanna]]+Table13345[[#This Row],[put vanna]])*$A$4)</f>
        <v>0</v>
      </c>
      <c r="AR97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8" s="9" t="str" cm="1">
        <f t="array" ref="AT978">_xlfn.IFS(     $M$1="SPX","SPXW",     $M$1="RUT","RUTW",  $M$1="NDX","NDXP",   TRUE,$M$1 )</f>
        <v>SPXW</v>
      </c>
      <c r="AU978" s="2">
        <f t="shared" si="97"/>
        <v>6915</v>
      </c>
      <c r="AV978" t="str">
        <f t="shared" si="98"/>
        <v>000100</v>
      </c>
      <c r="AY97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8">
        <f>((Table13345[[#This Row],[High C]]+Table13345[[#This Row],[Low C]])/2)*Table13345[[#This Row],[gammac]]*Table13345[[#This Row],[Volume]]</f>
        <v>0</v>
      </c>
      <c r="BD978">
        <f>((Table13345[[#This Row],[High P]]+Table13345[[#This Row],[Low P]])/2)*Table13345[[#This Row],[gammap]]*Table13345[[#This Row],[Volume9]]*-1</f>
        <v>0</v>
      </c>
      <c r="BE978">
        <f>(Table13345[[#This Row],[SgammaC]]+Table13345[[#This Row],[SgammaP]])*$A$4*-100</f>
        <v>0</v>
      </c>
      <c r="BF978">
        <f>Table13345[[#This Row],[DEXc]]+Table13345[[#This Row],[DEXp]]</f>
        <v>0</v>
      </c>
      <c r="BG978">
        <f>IFERROR(Table13345[[#This Row],[DeltaC]]*Table13345[[#This Row],[Open.Int]]*$A$4,0)</f>
        <v>0</v>
      </c>
      <c r="BH978">
        <f>IFERROR(Table13345[[#This Row],[DeltaP]]*Table13345[[#This Row],[Open.Int8]]*$A$4,0)</f>
        <v>0</v>
      </c>
      <c r="BI97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8">
        <f ca="1">Table13345[[#This Row],[charmc]]+Table13345[[#This Row],[charmp]]</f>
        <v>0</v>
      </c>
      <c r="BL97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8" s="78">
        <f ca="1">Table13345[[#This Row],[call helper]]+Table13345[[#This Row],[put helper]]</f>
        <v>0</v>
      </c>
      <c r="BP978" t="str">
        <f>RTD("tos.rtd", , "STRIKE", "."&amp;Table13345[[#This Row],[Ticker]]&amp;Table13345[[#This Row],[Expiry]]&amp;""&amp;"C"&amp;Table13345[[#This Row],[Spot]]+Table13345[[#This Row],[step]])</f>
        <v>N/A</v>
      </c>
    </row>
    <row r="979" spans="1:68" x14ac:dyDescent="0.25">
      <c r="A979" s="14">
        <f t="shared" ca="1" si="94"/>
        <v>-126.14810350076104</v>
      </c>
      <c r="C979" s="17"/>
      <c r="D979" t="str">
        <f>RTD("tos.rtd", , "OPEN_INT", "."&amp;Table13345[[#This Row],[Ticker]]&amp;Table13345[[#This Row],[Expiry]]&amp;""&amp;"C"&amp;Table13345[[#This Row],[Spot]]+Table13345[[#This Row],[step]])</f>
        <v>N/A</v>
      </c>
      <c r="E97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9" t="b">
        <f>IF(     ISNUMBER(Table13345[[#This Row],[Strike]]),RTD("tos.rtd", , "DELTA", "."&amp;Table13345[[#This Row],[Ticker]]&amp;Table13345[[#This Row],[Expiry]]&amp;""&amp;"C"&amp;Table13345[[#This Row],[Strike]]))</f>
        <v>0</v>
      </c>
      <c r="H979" s="17" cm="1">
        <f t="array" aca="1" ref="H979" ca="1">IndividualLegIVCore($A$4, Table13345[[#This Row],[Strike]], 0.0411, Table13345[[#This Row],[T]], ((Table13345[[#This Row],[BIDC]]+Table13345[[#This Row],[ASKC]])/2), TRUE)</f>
        <v>0.01</v>
      </c>
      <c r="I979" t="b">
        <f>IF(     ISNUMBER(Table13345[[#This Row],[Strike]]),RTD("tos.rtd", , "BID", "."&amp;Table13345[[#This Row],[Ticker]]&amp;Table13345[[#This Row],[Expiry]]&amp;""&amp;"C"&amp;Table13345[[#This Row],[Strike]]))</f>
        <v>0</v>
      </c>
      <c r="J979" t="b">
        <f>IF(     ISNUMBER(Table13345[[#This Row],[Strike]]),RTD("tos.rtd", , "ASK", "."&amp;Table13345[[#This Row],[Ticker]]&amp;Table13345[[#This Row],[Expiry]]&amp;""&amp;"C"&amp;Table13345[[#This Row],[Strike]]))</f>
        <v>0</v>
      </c>
      <c r="K979" s="17"/>
      <c r="M979" s="1">
        <f t="shared" si="95"/>
        <v>0</v>
      </c>
      <c r="N979" t="b">
        <f t="shared" si="96"/>
        <v>0</v>
      </c>
      <c r="P979" s="17" cm="1">
        <f t="array" aca="1" ref="P979" ca="1">IndividualLegIVCore($A$4, Table13345[[#This Row],[Strike]], 0.0411, Table13345[[#This Row],[T]], ((Table13345[[#This Row],[BIDP]]+Table13345[[#This Row],[ASKP]])/2), FALSE)</f>
        <v>0.01</v>
      </c>
      <c r="Q979" t="b">
        <f>IF(     ISNUMBER(Table13345[[#This Row],[Strike]]),RTD("tos.rtd", , "BID", "."&amp;Table13345[[#This Row],[Ticker]]&amp;Table13345[[#This Row],[Expiry]]&amp;""&amp;"P"&amp;Table13345[[#This Row],[Strike]]))</f>
        <v>0</v>
      </c>
      <c r="R979" t="b">
        <f>IF(     ISNUMBER(Table13345[[#This Row],[Strike]]),RTD("tos.rtd", , "ASK", "."&amp;Table13345[[#This Row],[Ticker]]&amp;Table13345[[#This Row],[Expiry]]&amp;""&amp;"P"&amp;Table13345[[#This Row],[Strike]]))</f>
        <v>0</v>
      </c>
      <c r="S979" s="17"/>
      <c r="T979" t="b">
        <f>IF(     ISNUMBER(Table13345[[#This Row],[Strike]]),RTD("tos.rtd", , "OPEN_INT", "."&amp;Table13345[[#This Row],[Ticker]]&amp;Table13345[[#This Row],[Expiry]]&amp;""&amp;"P"&amp;Table13345[[#This Row],[Strike]]))</f>
        <v>0</v>
      </c>
      <c r="U97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9" t="b">
        <f>IF(     ISNUMBER(Table13345[[#This Row],[Strike]]),RTD("tos.rtd", , "DELTA", "."&amp;Table13345[[#This Row],[Ticker]]&amp;Table13345[[#This Row],[Expiry]]&amp;""&amp;"P"&amp;Table13345[[#This Row],[Strike]]))</f>
        <v>0</v>
      </c>
      <c r="Y979" s="19">
        <f>28.5* IF($M$1="NDX", 10, IF(OR($M$1="SPX", $M$1="RUT"), 2, 1))</f>
        <v>57</v>
      </c>
      <c r="Z979">
        <f ca="1">IFERROR(Table13345[[#This Row],[call gamma]]*(Table13345[[#This Row],[Open.Int]])*$A$4^2,0)</f>
        <v>0</v>
      </c>
      <c r="AA979">
        <f ca="1">IFERROR(((Table13345[[#This Row],[Open.Int8]])*Table13345[[#This Row],[Put gamma]])*-1*$A$4^2,0)</f>
        <v>0</v>
      </c>
      <c r="AB979">
        <f ca="1">(Table13345[[#This Row],[Call Gex]]+Table13345[[#This Row],[Put Gex]])</f>
        <v>0</v>
      </c>
      <c r="AC979">
        <f ca="1">Table13345[[#This Row],[put delta adj]]+Table13345[[#This Row],[call delta adj]]</f>
        <v>0</v>
      </c>
      <c r="AD979">
        <f ca="1">Table13345[[#This Row],[Put Gex]]*Table13345[[#This Row],[DeltaP]]*-1</f>
        <v>0</v>
      </c>
      <c r="AE979">
        <f ca="1">Table13345[[#This Row],[Call Gex]]*Table13345[[#This Row],[DeltaC]]</f>
        <v>0</v>
      </c>
      <c r="AF979">
        <f>IF(Table13345[[#This Row],[DeltaC]]-ABS(Table13345[[#This Row],[DeltaP]])="0","0.01",Table13345[[#This Row],[DeltaC]]-ABS(Table13345[[#This Row],[DeltaP]]))</f>
        <v>0</v>
      </c>
      <c r="AG97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9" t="e">
        <f ca="1">(EXP(-(AG979^2)/2)/SQRT(2*PI())*EXP(0*SQRT(Table13345[[#This Row],[T]]))/$A$4*18%*SQRT(SQRT(Table13345[[#This Row],[T]])))</f>
        <v>#DIV/0!</v>
      </c>
      <c r="AJ979" t="e">
        <f ca="1">(EXP(-(AH979^2)/2)/SQRT(2*PI())*EXP(0*SQRT(Table13345[[#This Row],[T]]))/$A$4*18%*SQRT(SQRT(Table13345[[#This Row],[T]])))</f>
        <v>#DIV/0!</v>
      </c>
      <c r="AK979" t="e">
        <f ca="1">Table13345[[#This Row],[Call D1]]-Table13345[[#This Row],[IV Calc C]]*SQRT(Table13345[[#This Row],[T]])</f>
        <v>#DIV/0!</v>
      </c>
      <c r="AL979" t="e">
        <f ca="1">Table13345[[#This Row],[Put D1]]-Table13345[[#This Row],[IV Calc P]]*SQRT(Table13345[[#This Row],[T]])</f>
        <v>#DIV/0!</v>
      </c>
      <c r="AM979" t="e">
        <f ca="1">EXP(-0.5*Table13345[[#This Row],[Call D1]]^2)/SQRT(2*PI())</f>
        <v>#DIV/0!</v>
      </c>
      <c r="AN979" t="e">
        <f ca="1">EXP(-0.5*Table13345[[#This Row],[Put D1]]^2)/SQRT(2*PI())</f>
        <v>#DIV/0!</v>
      </c>
      <c r="AO97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9">
        <f ca="1">((Table13345[[#This Row],[call vanna]]+Table13345[[#This Row],[put vanna]])*$A$4)</f>
        <v>0</v>
      </c>
      <c r="AR97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9" s="9" t="str" cm="1">
        <f t="array" ref="AT979">_xlfn.IFS(     $M$1="SPX","SPXW",     $M$1="RUT","RUTW",  $M$1="NDX","NDXP",   TRUE,$M$1 )</f>
        <v>SPXW</v>
      </c>
      <c r="AU979" s="2">
        <f t="shared" si="97"/>
        <v>6915</v>
      </c>
      <c r="AV979" t="str">
        <f t="shared" si="98"/>
        <v>000100</v>
      </c>
      <c r="AY97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9">
        <f>((Table13345[[#This Row],[High C]]+Table13345[[#This Row],[Low C]])/2)*Table13345[[#This Row],[gammac]]*Table13345[[#This Row],[Volume]]</f>
        <v>0</v>
      </c>
      <c r="BD979">
        <f>((Table13345[[#This Row],[High P]]+Table13345[[#This Row],[Low P]])/2)*Table13345[[#This Row],[gammap]]*Table13345[[#This Row],[Volume9]]*-1</f>
        <v>0</v>
      </c>
      <c r="BE979">
        <f>(Table13345[[#This Row],[SgammaC]]+Table13345[[#This Row],[SgammaP]])*$A$4*-100</f>
        <v>0</v>
      </c>
      <c r="BF979">
        <f>Table13345[[#This Row],[DEXc]]+Table13345[[#This Row],[DEXp]]</f>
        <v>0</v>
      </c>
      <c r="BG979">
        <f>IFERROR(Table13345[[#This Row],[DeltaC]]*Table13345[[#This Row],[Open.Int]]*$A$4,0)</f>
        <v>0</v>
      </c>
      <c r="BH979">
        <f>IFERROR(Table13345[[#This Row],[DeltaP]]*Table13345[[#This Row],[Open.Int8]]*$A$4,0)</f>
        <v>0</v>
      </c>
      <c r="BI97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9">
        <f ca="1">Table13345[[#This Row],[charmc]]+Table13345[[#This Row],[charmp]]</f>
        <v>0</v>
      </c>
      <c r="BL97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9" s="78">
        <f ca="1">Table13345[[#This Row],[call helper]]+Table13345[[#This Row],[put helper]]</f>
        <v>0</v>
      </c>
      <c r="BP979" t="str">
        <f>RTD("tos.rtd", , "STRIKE", "."&amp;Table13345[[#This Row],[Ticker]]&amp;Table13345[[#This Row],[Expiry]]&amp;""&amp;"C"&amp;Table13345[[#This Row],[Spot]]+Table13345[[#This Row],[step]])</f>
        <v>N/A</v>
      </c>
    </row>
    <row r="980" spans="1:68" x14ac:dyDescent="0.25">
      <c r="A980" s="24">
        <f t="shared" ca="1" si="94"/>
        <v>-126.14810350076104</v>
      </c>
      <c r="B980" s="13"/>
      <c r="C980" s="17"/>
      <c r="D980" t="str">
        <f>RTD("tos.rtd", , "OPEN_INT", "."&amp;Table13345[[#This Row],[Ticker]]&amp;Table13345[[#This Row],[Expiry]]&amp;""&amp;"C"&amp;Table13345[[#This Row],[Spot]]+Table13345[[#This Row],[step]])</f>
        <v>N/A</v>
      </c>
      <c r="E98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0" t="b">
        <f>IF(     ISNUMBER(Table13345[[#This Row],[Strike]]),RTD("tos.rtd", , "DELTA", "."&amp;Table13345[[#This Row],[Ticker]]&amp;Table13345[[#This Row],[Expiry]]&amp;""&amp;"C"&amp;Table13345[[#This Row],[Strike]]))</f>
        <v>0</v>
      </c>
      <c r="H980" s="17" cm="1">
        <f t="array" aca="1" ref="H980" ca="1">IndividualLegIVCore($A$4, Table13345[[#This Row],[Strike]], 0.0411, Table13345[[#This Row],[T]], ((Table13345[[#This Row],[BIDC]]+Table13345[[#This Row],[ASKC]])/2), TRUE)</f>
        <v>0.01</v>
      </c>
      <c r="I980" t="b">
        <f>IF(     ISNUMBER(Table13345[[#This Row],[Strike]]),RTD("tos.rtd", , "BID", "."&amp;Table13345[[#This Row],[Ticker]]&amp;Table13345[[#This Row],[Expiry]]&amp;""&amp;"C"&amp;Table13345[[#This Row],[Strike]]))</f>
        <v>0</v>
      </c>
      <c r="J980" t="b">
        <f>IF(     ISNUMBER(Table13345[[#This Row],[Strike]]),RTD("tos.rtd", , "ASK", "."&amp;Table13345[[#This Row],[Ticker]]&amp;Table13345[[#This Row],[Expiry]]&amp;""&amp;"C"&amp;Table13345[[#This Row],[Strike]]))</f>
        <v>0</v>
      </c>
      <c r="K980" s="17"/>
      <c r="M980" s="1">
        <f t="shared" si="95"/>
        <v>0</v>
      </c>
      <c r="N980" t="b">
        <f t="shared" si="96"/>
        <v>0</v>
      </c>
      <c r="P980" s="17" cm="1">
        <f t="array" aca="1" ref="P980" ca="1">IndividualLegIVCore($A$4, Table13345[[#This Row],[Strike]], 0.0411, Table13345[[#This Row],[T]], ((Table13345[[#This Row],[BIDP]]+Table13345[[#This Row],[ASKP]])/2), FALSE)</f>
        <v>0.01</v>
      </c>
      <c r="Q980" t="b">
        <f>IF(     ISNUMBER(Table13345[[#This Row],[Strike]]),RTD("tos.rtd", , "BID", "."&amp;Table13345[[#This Row],[Ticker]]&amp;Table13345[[#This Row],[Expiry]]&amp;""&amp;"P"&amp;Table13345[[#This Row],[Strike]]))</f>
        <v>0</v>
      </c>
      <c r="R980" t="b">
        <f>IF(     ISNUMBER(Table13345[[#This Row],[Strike]]),RTD("tos.rtd", , "ASK", "."&amp;Table13345[[#This Row],[Ticker]]&amp;Table13345[[#This Row],[Expiry]]&amp;""&amp;"P"&amp;Table13345[[#This Row],[Strike]]))</f>
        <v>0</v>
      </c>
      <c r="S980" s="17"/>
      <c r="T980" t="b">
        <f>IF(     ISNUMBER(Table13345[[#This Row],[Strike]]),RTD("tos.rtd", , "OPEN_INT", "."&amp;Table13345[[#This Row],[Ticker]]&amp;Table13345[[#This Row],[Expiry]]&amp;""&amp;"P"&amp;Table13345[[#This Row],[Strike]]))</f>
        <v>0</v>
      </c>
      <c r="U98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0" t="b">
        <f>IF(     ISNUMBER(Table13345[[#This Row],[Strike]]),RTD("tos.rtd", , "DELTA", "."&amp;Table13345[[#This Row],[Ticker]]&amp;Table13345[[#This Row],[Expiry]]&amp;""&amp;"P"&amp;Table13345[[#This Row],[Strike]]))</f>
        <v>0</v>
      </c>
      <c r="X980" s="13"/>
      <c r="Y980" s="19">
        <f>29* IF($M$1="NDX", 10, IF(OR($M$1="SPX", $M$1="RUT"), 2, 1))</f>
        <v>58</v>
      </c>
      <c r="Z980">
        <f ca="1">IFERROR(Table13345[[#This Row],[call gamma]]*(Table13345[[#This Row],[Open.Int]])*$A$4^2,0)</f>
        <v>0</v>
      </c>
      <c r="AA980">
        <f ca="1">IFERROR(((Table13345[[#This Row],[Open.Int8]])*Table13345[[#This Row],[Put gamma]])*-1*$A$4^2,0)</f>
        <v>0</v>
      </c>
      <c r="AB980">
        <f ca="1">(Table13345[[#This Row],[Call Gex]]+Table13345[[#This Row],[Put Gex]])</f>
        <v>0</v>
      </c>
      <c r="AC980">
        <f ca="1">Table13345[[#This Row],[put delta adj]]+Table13345[[#This Row],[call delta adj]]</f>
        <v>0</v>
      </c>
      <c r="AD980">
        <f ca="1">Table13345[[#This Row],[Put Gex]]*Table13345[[#This Row],[DeltaP]]*-1</f>
        <v>0</v>
      </c>
      <c r="AE980">
        <f ca="1">Table13345[[#This Row],[Call Gex]]*Table13345[[#This Row],[DeltaC]]</f>
        <v>0</v>
      </c>
      <c r="AF980">
        <f>IF(Table13345[[#This Row],[DeltaC]]-ABS(Table13345[[#This Row],[DeltaP]])="0","0.01",Table13345[[#This Row],[DeltaC]]-ABS(Table13345[[#This Row],[DeltaP]]))</f>
        <v>0</v>
      </c>
      <c r="AG98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0" t="e">
        <f ca="1">(EXP(-(AG980^2)/2)/SQRT(2*PI())*EXP(0*SQRT(Table13345[[#This Row],[T]]))/$A$4*18%*SQRT(SQRT(Table13345[[#This Row],[T]])))</f>
        <v>#DIV/0!</v>
      </c>
      <c r="AJ980" t="e">
        <f ca="1">(EXP(-(AH980^2)/2)/SQRT(2*PI())*EXP(0*SQRT(Table13345[[#This Row],[T]]))/$A$4*18%*SQRT(SQRT(Table13345[[#This Row],[T]])))</f>
        <v>#DIV/0!</v>
      </c>
      <c r="AK980" t="e">
        <f ca="1">Table13345[[#This Row],[Call D1]]-Table13345[[#This Row],[IV Calc C]]*SQRT(Table13345[[#This Row],[T]])</f>
        <v>#DIV/0!</v>
      </c>
      <c r="AL980" t="e">
        <f ca="1">Table13345[[#This Row],[Put D1]]-Table13345[[#This Row],[IV Calc P]]*SQRT(Table13345[[#This Row],[T]])</f>
        <v>#DIV/0!</v>
      </c>
      <c r="AM980" t="e">
        <f ca="1">EXP(-0.5*Table13345[[#This Row],[Call D1]]^2)/SQRT(2*PI())</f>
        <v>#DIV/0!</v>
      </c>
      <c r="AN980" t="e">
        <f ca="1">EXP(-0.5*Table13345[[#This Row],[Put D1]]^2)/SQRT(2*PI())</f>
        <v>#DIV/0!</v>
      </c>
      <c r="AO98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0">
        <f ca="1">((Table13345[[#This Row],[call vanna]]+Table13345[[#This Row],[put vanna]])*$A$4)</f>
        <v>0</v>
      </c>
      <c r="AR98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0" s="22" t="str" cm="1">
        <f t="array" ref="AT980">_xlfn.IFS(     $M$1="SPX","SPXW",     $M$1="RUT","RUTW",  $M$1="NDX","NDXP",   TRUE,$M$1 )</f>
        <v>SPXW</v>
      </c>
      <c r="AU980" s="23">
        <f t="shared" si="97"/>
        <v>6915</v>
      </c>
      <c r="AV980" s="13" t="str">
        <f t="shared" si="98"/>
        <v>000100</v>
      </c>
      <c r="AY98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0">
        <f>((Table13345[[#This Row],[High C]]+Table13345[[#This Row],[Low C]])/2)*Table13345[[#This Row],[gammac]]*Table13345[[#This Row],[Volume]]</f>
        <v>0</v>
      </c>
      <c r="BD980">
        <f>((Table13345[[#This Row],[High P]]+Table13345[[#This Row],[Low P]])/2)*Table13345[[#This Row],[gammap]]*Table13345[[#This Row],[Volume9]]*-1</f>
        <v>0</v>
      </c>
      <c r="BE980">
        <f>(Table13345[[#This Row],[SgammaC]]+Table13345[[#This Row],[SgammaP]])*$A$4*-100</f>
        <v>0</v>
      </c>
      <c r="BF980">
        <f>Table13345[[#This Row],[DEXc]]+Table13345[[#This Row],[DEXp]]</f>
        <v>0</v>
      </c>
      <c r="BG980">
        <f>IFERROR(Table13345[[#This Row],[DeltaC]]*Table13345[[#This Row],[Open.Int]]*$A$4,0)</f>
        <v>0</v>
      </c>
      <c r="BH980">
        <f>IFERROR(Table13345[[#This Row],[DeltaP]]*Table13345[[#This Row],[Open.Int8]]*$A$4,0)</f>
        <v>0</v>
      </c>
      <c r="BI98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0">
        <f ca="1">Table13345[[#This Row],[charmc]]+Table13345[[#This Row],[charmp]]</f>
        <v>0</v>
      </c>
      <c r="BL98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0" s="78">
        <f ca="1">Table13345[[#This Row],[call helper]]+Table13345[[#This Row],[put helper]]</f>
        <v>0</v>
      </c>
      <c r="BP980" t="str">
        <f>RTD("tos.rtd", , "STRIKE", "."&amp;Table13345[[#This Row],[Ticker]]&amp;Table13345[[#This Row],[Expiry]]&amp;""&amp;"C"&amp;Table13345[[#This Row],[Spot]]+Table13345[[#This Row],[step]])</f>
        <v>N/A</v>
      </c>
    </row>
    <row r="981" spans="1:68" x14ac:dyDescent="0.25">
      <c r="A981" s="14">
        <f t="shared" ca="1" si="94"/>
        <v>-126.14810350076104</v>
      </c>
      <c r="C981" s="17"/>
      <c r="D981" t="str">
        <f>RTD("tos.rtd", , "OPEN_INT", "."&amp;Table13345[[#This Row],[Ticker]]&amp;Table13345[[#This Row],[Expiry]]&amp;""&amp;"C"&amp;Table13345[[#This Row],[Spot]]+Table13345[[#This Row],[step]])</f>
        <v>N/A</v>
      </c>
      <c r="E98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1" t="b">
        <f>IF(     ISNUMBER(Table13345[[#This Row],[Strike]]),RTD("tos.rtd", , "DELTA", "."&amp;Table13345[[#This Row],[Ticker]]&amp;Table13345[[#This Row],[Expiry]]&amp;""&amp;"C"&amp;Table13345[[#This Row],[Strike]]))</f>
        <v>0</v>
      </c>
      <c r="H981" s="17" cm="1">
        <f t="array" aca="1" ref="H981" ca="1">IndividualLegIVCore($A$4, Table13345[[#This Row],[Strike]], 0.0411, Table13345[[#This Row],[T]], ((Table13345[[#This Row],[BIDC]]+Table13345[[#This Row],[ASKC]])/2), TRUE)</f>
        <v>0.01</v>
      </c>
      <c r="I981" t="b">
        <f>IF(     ISNUMBER(Table13345[[#This Row],[Strike]]),RTD("tos.rtd", , "BID", "."&amp;Table13345[[#This Row],[Ticker]]&amp;Table13345[[#This Row],[Expiry]]&amp;""&amp;"C"&amp;Table13345[[#This Row],[Strike]]))</f>
        <v>0</v>
      </c>
      <c r="J981" t="b">
        <f>IF(     ISNUMBER(Table13345[[#This Row],[Strike]]),RTD("tos.rtd", , "ASK", "."&amp;Table13345[[#This Row],[Ticker]]&amp;Table13345[[#This Row],[Expiry]]&amp;""&amp;"C"&amp;Table13345[[#This Row],[Strike]]))</f>
        <v>0</v>
      </c>
      <c r="K981" s="17"/>
      <c r="M981" s="1">
        <f t="shared" si="95"/>
        <v>0</v>
      </c>
      <c r="N981" t="b">
        <f t="shared" si="96"/>
        <v>0</v>
      </c>
      <c r="P981" s="17" cm="1">
        <f t="array" aca="1" ref="P981" ca="1">IndividualLegIVCore($A$4, Table13345[[#This Row],[Strike]], 0.0411, Table13345[[#This Row],[T]], ((Table13345[[#This Row],[BIDP]]+Table13345[[#This Row],[ASKP]])/2), FALSE)</f>
        <v>0.01</v>
      </c>
      <c r="Q981" t="b">
        <f>IF(     ISNUMBER(Table13345[[#This Row],[Strike]]),RTD("tos.rtd", , "BID", "."&amp;Table13345[[#This Row],[Ticker]]&amp;Table13345[[#This Row],[Expiry]]&amp;""&amp;"P"&amp;Table13345[[#This Row],[Strike]]))</f>
        <v>0</v>
      </c>
      <c r="R981" t="b">
        <f>IF(     ISNUMBER(Table13345[[#This Row],[Strike]]),RTD("tos.rtd", , "ASK", "."&amp;Table13345[[#This Row],[Ticker]]&amp;Table13345[[#This Row],[Expiry]]&amp;""&amp;"P"&amp;Table13345[[#This Row],[Strike]]))</f>
        <v>0</v>
      </c>
      <c r="S981" s="17"/>
      <c r="T981" t="b">
        <f>IF(     ISNUMBER(Table13345[[#This Row],[Strike]]),RTD("tos.rtd", , "OPEN_INT", "."&amp;Table13345[[#This Row],[Ticker]]&amp;Table13345[[#This Row],[Expiry]]&amp;""&amp;"P"&amp;Table13345[[#This Row],[Strike]]))</f>
        <v>0</v>
      </c>
      <c r="U98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1" t="b">
        <f>IF(     ISNUMBER(Table13345[[#This Row],[Strike]]),RTD("tos.rtd", , "DELTA", "."&amp;Table13345[[#This Row],[Ticker]]&amp;Table13345[[#This Row],[Expiry]]&amp;""&amp;"P"&amp;Table13345[[#This Row],[Strike]]))</f>
        <v>0</v>
      </c>
      <c r="Y981" s="19">
        <f>29.5* IF($M$1="NDX", 10, IF(OR($M$1="SPX", $M$1="RUT"), 2, 1))</f>
        <v>59</v>
      </c>
      <c r="Z981">
        <f ca="1">IFERROR(Table13345[[#This Row],[call gamma]]*(Table13345[[#This Row],[Open.Int]])*$A$4^2,0)</f>
        <v>0</v>
      </c>
      <c r="AA981">
        <f ca="1">IFERROR(((Table13345[[#This Row],[Open.Int8]])*Table13345[[#This Row],[Put gamma]])*-1*$A$4^2,0)</f>
        <v>0</v>
      </c>
      <c r="AB981">
        <f ca="1">(Table13345[[#This Row],[Call Gex]]+Table13345[[#This Row],[Put Gex]])</f>
        <v>0</v>
      </c>
      <c r="AC981">
        <f ca="1">Table13345[[#This Row],[put delta adj]]+Table13345[[#This Row],[call delta adj]]</f>
        <v>0</v>
      </c>
      <c r="AD981">
        <f ca="1">Table13345[[#This Row],[Put Gex]]*Table13345[[#This Row],[DeltaP]]*-1</f>
        <v>0</v>
      </c>
      <c r="AE981">
        <f ca="1">Table13345[[#This Row],[Call Gex]]*Table13345[[#This Row],[DeltaC]]</f>
        <v>0</v>
      </c>
      <c r="AF981">
        <f>IF(Table13345[[#This Row],[DeltaC]]-ABS(Table13345[[#This Row],[DeltaP]])="0","0.01",Table13345[[#This Row],[DeltaC]]-ABS(Table13345[[#This Row],[DeltaP]]))</f>
        <v>0</v>
      </c>
      <c r="AG98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1" t="e">
        <f ca="1">(EXP(-(AG981^2)/2)/SQRT(2*PI())*EXP(0*SQRT(Table13345[[#This Row],[T]]))/$A$4*18%*SQRT(SQRT(Table13345[[#This Row],[T]])))</f>
        <v>#DIV/0!</v>
      </c>
      <c r="AJ981" t="e">
        <f ca="1">(EXP(-(AH981^2)/2)/SQRT(2*PI())*EXP(0*SQRT(Table13345[[#This Row],[T]]))/$A$4*18%*SQRT(SQRT(Table13345[[#This Row],[T]])))</f>
        <v>#DIV/0!</v>
      </c>
      <c r="AK981" t="e">
        <f ca="1">Table13345[[#This Row],[Call D1]]-Table13345[[#This Row],[IV Calc C]]*SQRT(Table13345[[#This Row],[T]])</f>
        <v>#DIV/0!</v>
      </c>
      <c r="AL981" t="e">
        <f ca="1">Table13345[[#This Row],[Put D1]]-Table13345[[#This Row],[IV Calc P]]*SQRT(Table13345[[#This Row],[T]])</f>
        <v>#DIV/0!</v>
      </c>
      <c r="AM981" t="e">
        <f ca="1">EXP(-0.5*Table13345[[#This Row],[Call D1]]^2)/SQRT(2*PI())</f>
        <v>#DIV/0!</v>
      </c>
      <c r="AN981" t="e">
        <f ca="1">EXP(-0.5*Table13345[[#This Row],[Put D1]]^2)/SQRT(2*PI())</f>
        <v>#DIV/0!</v>
      </c>
      <c r="AO98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1">
        <f ca="1">((Table13345[[#This Row],[call vanna]]+Table13345[[#This Row],[put vanna]])*$A$4)</f>
        <v>0</v>
      </c>
      <c r="AR98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1" s="9" t="str" cm="1">
        <f t="array" ref="AT981">_xlfn.IFS(     $M$1="SPX","SPXW",     $M$1="RUT","RUTW",  $M$1="NDX","NDXP",   TRUE,$M$1 )</f>
        <v>SPXW</v>
      </c>
      <c r="AU981" s="2">
        <f t="shared" si="97"/>
        <v>6915</v>
      </c>
      <c r="AV981" t="str">
        <f t="shared" si="98"/>
        <v>000100</v>
      </c>
      <c r="AY98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1">
        <f>((Table13345[[#This Row],[High C]]+Table13345[[#This Row],[Low C]])/2)*Table13345[[#This Row],[gammac]]*Table13345[[#This Row],[Volume]]</f>
        <v>0</v>
      </c>
      <c r="BD981">
        <f>((Table13345[[#This Row],[High P]]+Table13345[[#This Row],[Low P]])/2)*Table13345[[#This Row],[gammap]]*Table13345[[#This Row],[Volume9]]*-1</f>
        <v>0</v>
      </c>
      <c r="BE981">
        <f>(Table13345[[#This Row],[SgammaC]]+Table13345[[#This Row],[SgammaP]])*$A$4*-100</f>
        <v>0</v>
      </c>
      <c r="BF981">
        <f>Table13345[[#This Row],[DEXc]]+Table13345[[#This Row],[DEXp]]</f>
        <v>0</v>
      </c>
      <c r="BG981">
        <f>IFERROR(Table13345[[#This Row],[DeltaC]]*Table13345[[#This Row],[Open.Int]]*$A$4,0)</f>
        <v>0</v>
      </c>
      <c r="BH981">
        <f>IFERROR(Table13345[[#This Row],[DeltaP]]*Table13345[[#This Row],[Open.Int8]]*$A$4,0)</f>
        <v>0</v>
      </c>
      <c r="BI98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1">
        <f ca="1">Table13345[[#This Row],[charmc]]+Table13345[[#This Row],[charmp]]</f>
        <v>0</v>
      </c>
      <c r="BL98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1" s="78">
        <f ca="1">Table13345[[#This Row],[call helper]]+Table13345[[#This Row],[put helper]]</f>
        <v>0</v>
      </c>
      <c r="BP981" t="str">
        <f>RTD("tos.rtd", , "STRIKE", "."&amp;Table13345[[#This Row],[Ticker]]&amp;Table13345[[#This Row],[Expiry]]&amp;""&amp;"C"&amp;Table13345[[#This Row],[Spot]]+Table13345[[#This Row],[step]])</f>
        <v>N/A</v>
      </c>
    </row>
    <row r="982" spans="1:68" x14ac:dyDescent="0.25">
      <c r="A982" s="14">
        <f t="shared" ca="1" si="94"/>
        <v>-126.14810350076104</v>
      </c>
      <c r="C982" s="17"/>
      <c r="D982" t="str">
        <f>RTD("tos.rtd", , "OPEN_INT", "."&amp;Table13345[[#This Row],[Ticker]]&amp;Table13345[[#This Row],[Expiry]]&amp;""&amp;"C"&amp;Table13345[[#This Row],[Spot]]+Table13345[[#This Row],[step]])</f>
        <v>N/A</v>
      </c>
      <c r="E98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2" t="b">
        <f>IF(     ISNUMBER(Table13345[[#This Row],[Strike]]),RTD("tos.rtd", , "DELTA", "."&amp;Table13345[[#This Row],[Ticker]]&amp;Table13345[[#This Row],[Expiry]]&amp;""&amp;"C"&amp;Table13345[[#This Row],[Strike]]))</f>
        <v>0</v>
      </c>
      <c r="H982" s="17" cm="1">
        <f t="array" aca="1" ref="H982" ca="1">IndividualLegIVCore($A$4, Table13345[[#This Row],[Strike]], 0.0411, Table13345[[#This Row],[T]], ((Table13345[[#This Row],[BIDC]]+Table13345[[#This Row],[ASKC]])/2), TRUE)</f>
        <v>0.01</v>
      </c>
      <c r="I982" t="b">
        <f>IF(     ISNUMBER(Table13345[[#This Row],[Strike]]),RTD("tos.rtd", , "BID", "."&amp;Table13345[[#This Row],[Ticker]]&amp;Table13345[[#This Row],[Expiry]]&amp;""&amp;"C"&amp;Table13345[[#This Row],[Strike]]))</f>
        <v>0</v>
      </c>
      <c r="J982" t="b">
        <f>IF(     ISNUMBER(Table13345[[#This Row],[Strike]]),RTD("tos.rtd", , "ASK", "."&amp;Table13345[[#This Row],[Ticker]]&amp;Table13345[[#This Row],[Expiry]]&amp;""&amp;"C"&amp;Table13345[[#This Row],[Strike]]))</f>
        <v>0</v>
      </c>
      <c r="K982" s="17"/>
      <c r="M982" s="1">
        <f t="shared" si="95"/>
        <v>0</v>
      </c>
      <c r="N982" t="b">
        <f t="shared" si="96"/>
        <v>0</v>
      </c>
      <c r="P982" s="17" cm="1">
        <f t="array" aca="1" ref="P982" ca="1">IndividualLegIVCore($A$4, Table13345[[#This Row],[Strike]], 0.0411, Table13345[[#This Row],[T]], ((Table13345[[#This Row],[BIDP]]+Table13345[[#This Row],[ASKP]])/2), FALSE)</f>
        <v>0.01</v>
      </c>
      <c r="Q982" t="b">
        <f>IF(     ISNUMBER(Table13345[[#This Row],[Strike]]),RTD("tos.rtd", , "BID", "."&amp;Table13345[[#This Row],[Ticker]]&amp;Table13345[[#This Row],[Expiry]]&amp;""&amp;"P"&amp;Table13345[[#This Row],[Strike]]))</f>
        <v>0</v>
      </c>
      <c r="R982" t="b">
        <f>IF(     ISNUMBER(Table13345[[#This Row],[Strike]]),RTD("tos.rtd", , "ASK", "."&amp;Table13345[[#This Row],[Ticker]]&amp;Table13345[[#This Row],[Expiry]]&amp;""&amp;"P"&amp;Table13345[[#This Row],[Strike]]))</f>
        <v>0</v>
      </c>
      <c r="S982" s="17"/>
      <c r="T982" t="b">
        <f>IF(     ISNUMBER(Table13345[[#This Row],[Strike]]),RTD("tos.rtd", , "OPEN_INT", "."&amp;Table13345[[#This Row],[Ticker]]&amp;Table13345[[#This Row],[Expiry]]&amp;""&amp;"P"&amp;Table13345[[#This Row],[Strike]]))</f>
        <v>0</v>
      </c>
      <c r="U98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2" t="b">
        <f>IF(     ISNUMBER(Table13345[[#This Row],[Strike]]),RTD("tos.rtd", , "DELTA", "."&amp;Table13345[[#This Row],[Ticker]]&amp;Table13345[[#This Row],[Expiry]]&amp;""&amp;"P"&amp;Table13345[[#This Row],[Strike]]))</f>
        <v>0</v>
      </c>
      <c r="Y982" s="21">
        <f>30* IF($M$1="NDX", 10, IF(OR($M$1="SPX", $M$1="RUT"), 2, 1))</f>
        <v>60</v>
      </c>
      <c r="Z982">
        <f ca="1">IFERROR(Table13345[[#This Row],[call gamma]]*(Table13345[[#This Row],[Open.Int]])*$A$4^2,0)</f>
        <v>0</v>
      </c>
      <c r="AA982">
        <f ca="1">IFERROR(((Table13345[[#This Row],[Open.Int8]])*Table13345[[#This Row],[Put gamma]])*-1*$A$4^2,0)</f>
        <v>0</v>
      </c>
      <c r="AB982">
        <f ca="1">(Table13345[[#This Row],[Call Gex]]+Table13345[[#This Row],[Put Gex]])</f>
        <v>0</v>
      </c>
      <c r="AC982">
        <f ca="1">Table13345[[#This Row],[put delta adj]]+Table13345[[#This Row],[call delta adj]]</f>
        <v>0</v>
      </c>
      <c r="AD982">
        <f ca="1">Table13345[[#This Row],[Put Gex]]*Table13345[[#This Row],[DeltaP]]*-1</f>
        <v>0</v>
      </c>
      <c r="AE982">
        <f ca="1">Table13345[[#This Row],[Call Gex]]*Table13345[[#This Row],[DeltaC]]</f>
        <v>0</v>
      </c>
      <c r="AF982">
        <f>IF(Table13345[[#This Row],[DeltaC]]-ABS(Table13345[[#This Row],[DeltaP]])="0","0.01",Table13345[[#This Row],[DeltaC]]-ABS(Table13345[[#This Row],[DeltaP]]))</f>
        <v>0</v>
      </c>
      <c r="AG98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2" t="e">
        <f ca="1">(EXP(-(AG982^2)/2)/SQRT(2*PI())*EXP(0*SQRT(Table13345[[#This Row],[T]]))/$A$4*18%*SQRT(SQRT(Table13345[[#This Row],[T]])))</f>
        <v>#DIV/0!</v>
      </c>
      <c r="AJ982" t="e">
        <f ca="1">(EXP(-(AH982^2)/2)/SQRT(2*PI())*EXP(0*SQRT(Table13345[[#This Row],[T]]))/$A$4*18%*SQRT(SQRT(Table13345[[#This Row],[T]])))</f>
        <v>#DIV/0!</v>
      </c>
      <c r="AK982" t="e">
        <f ca="1">Table13345[[#This Row],[Call D1]]-Table13345[[#This Row],[IV Calc C]]*SQRT(Table13345[[#This Row],[T]])</f>
        <v>#DIV/0!</v>
      </c>
      <c r="AL982" t="e">
        <f ca="1">Table13345[[#This Row],[Put D1]]-Table13345[[#This Row],[IV Calc P]]*SQRT(Table13345[[#This Row],[T]])</f>
        <v>#DIV/0!</v>
      </c>
      <c r="AM982" t="e">
        <f ca="1">EXP(-0.5*Table13345[[#This Row],[Call D1]]^2)/SQRT(2*PI())</f>
        <v>#DIV/0!</v>
      </c>
      <c r="AN982" t="e">
        <f ca="1">EXP(-0.5*Table13345[[#This Row],[Put D1]]^2)/SQRT(2*PI())</f>
        <v>#DIV/0!</v>
      </c>
      <c r="AO98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2">
        <f ca="1">((Table13345[[#This Row],[call vanna]]+Table13345[[#This Row],[put vanna]])*$A$4)</f>
        <v>0</v>
      </c>
      <c r="AR98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2" s="9" t="str" cm="1">
        <f t="array" ref="AT982">_xlfn.IFS(     $M$1="SPX","SPXW",     $M$1="RUT","RUTW",  $M$1="NDX","NDXP",   TRUE,$M$1 )</f>
        <v>SPXW</v>
      </c>
      <c r="AU982" s="2">
        <f t="shared" si="97"/>
        <v>6915</v>
      </c>
      <c r="AV982" t="str">
        <f t="shared" si="98"/>
        <v>000100</v>
      </c>
      <c r="AY98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2">
        <f>((Table13345[[#This Row],[High C]]+Table13345[[#This Row],[Low C]])/2)*Table13345[[#This Row],[gammac]]*Table13345[[#This Row],[Volume]]</f>
        <v>0</v>
      </c>
      <c r="BD982">
        <f>((Table13345[[#This Row],[High P]]+Table13345[[#This Row],[Low P]])/2)*Table13345[[#This Row],[gammap]]*Table13345[[#This Row],[Volume9]]*-1</f>
        <v>0</v>
      </c>
      <c r="BE982">
        <f>(Table13345[[#This Row],[SgammaC]]+Table13345[[#This Row],[SgammaP]])*$A$4*-100</f>
        <v>0</v>
      </c>
      <c r="BF982">
        <f>Table13345[[#This Row],[DEXc]]+Table13345[[#This Row],[DEXp]]</f>
        <v>0</v>
      </c>
      <c r="BG982">
        <f>IFERROR(Table13345[[#This Row],[DeltaC]]*Table13345[[#This Row],[Open.Int]]*$A$4,0)</f>
        <v>0</v>
      </c>
      <c r="BH982">
        <f>IFERROR(Table13345[[#This Row],[DeltaP]]*Table13345[[#This Row],[Open.Int8]]*$A$4,0)</f>
        <v>0</v>
      </c>
      <c r="BI98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2">
        <f ca="1">Table13345[[#This Row],[charmc]]+Table13345[[#This Row],[charmp]]</f>
        <v>0</v>
      </c>
      <c r="BL98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2" s="78">
        <f ca="1">Table13345[[#This Row],[call helper]]+Table13345[[#This Row],[put helper]]</f>
        <v>0</v>
      </c>
      <c r="BP982" t="str">
        <f>RTD("tos.rtd", , "STRIKE", "."&amp;Table13345[[#This Row],[Ticker]]&amp;Table13345[[#This Row],[Expiry]]&amp;""&amp;"C"&amp;Table13345[[#This Row],[Spot]]+Table13345[[#This Row],[step]])</f>
        <v>N/A</v>
      </c>
    </row>
    <row r="983" spans="1:68" x14ac:dyDescent="0.25">
      <c r="A983" s="14">
        <f t="shared" ca="1" si="94"/>
        <v>-126.14810350076104</v>
      </c>
      <c r="C983" s="17"/>
      <c r="D983" t="str">
        <f>RTD("tos.rtd", , "OPEN_INT", "."&amp;Table13345[[#This Row],[Ticker]]&amp;Table13345[[#This Row],[Expiry]]&amp;""&amp;"C"&amp;Table13345[[#This Row],[Spot]]+Table13345[[#This Row],[step]])</f>
        <v>N/A</v>
      </c>
      <c r="E98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3" t="b">
        <f>IF(     ISNUMBER(Table13345[[#This Row],[Strike]]),RTD("tos.rtd", , "DELTA", "."&amp;Table13345[[#This Row],[Ticker]]&amp;Table13345[[#This Row],[Expiry]]&amp;""&amp;"C"&amp;Table13345[[#This Row],[Strike]]))</f>
        <v>0</v>
      </c>
      <c r="H983" s="17" cm="1">
        <f t="array" aca="1" ref="H983" ca="1">IndividualLegIVCore($A$4, Table13345[[#This Row],[Strike]], 0.0411, Table13345[[#This Row],[T]], ((Table13345[[#This Row],[BIDC]]+Table13345[[#This Row],[ASKC]])/2), TRUE)</f>
        <v>0.01</v>
      </c>
      <c r="I983" t="b">
        <f>IF(     ISNUMBER(Table13345[[#This Row],[Strike]]),RTD("tos.rtd", , "BID", "."&amp;Table13345[[#This Row],[Ticker]]&amp;Table13345[[#This Row],[Expiry]]&amp;""&amp;"C"&amp;Table13345[[#This Row],[Strike]]))</f>
        <v>0</v>
      </c>
      <c r="J983" t="b">
        <f>IF(     ISNUMBER(Table13345[[#This Row],[Strike]]),RTD("tos.rtd", , "ASK", "."&amp;Table13345[[#This Row],[Ticker]]&amp;Table13345[[#This Row],[Expiry]]&amp;""&amp;"C"&amp;Table13345[[#This Row],[Strike]]))</f>
        <v>0</v>
      </c>
      <c r="K983" s="17"/>
      <c r="M983" s="1">
        <f t="shared" si="95"/>
        <v>0</v>
      </c>
      <c r="N983" t="b">
        <f t="shared" si="96"/>
        <v>0</v>
      </c>
      <c r="P983" s="17" cm="1">
        <f t="array" aca="1" ref="P983" ca="1">IndividualLegIVCore($A$4, Table13345[[#This Row],[Strike]], 0.0411, Table13345[[#This Row],[T]], ((Table13345[[#This Row],[BIDP]]+Table13345[[#This Row],[ASKP]])/2), FALSE)</f>
        <v>0.01</v>
      </c>
      <c r="Q983" t="b">
        <f>IF(     ISNUMBER(Table13345[[#This Row],[Strike]]),RTD("tos.rtd", , "BID", "."&amp;Table13345[[#This Row],[Ticker]]&amp;Table13345[[#This Row],[Expiry]]&amp;""&amp;"P"&amp;Table13345[[#This Row],[Strike]]))</f>
        <v>0</v>
      </c>
      <c r="R983" t="b">
        <f>IF(     ISNUMBER(Table13345[[#This Row],[Strike]]),RTD("tos.rtd", , "ASK", "."&amp;Table13345[[#This Row],[Ticker]]&amp;Table13345[[#This Row],[Expiry]]&amp;""&amp;"P"&amp;Table13345[[#This Row],[Strike]]))</f>
        <v>0</v>
      </c>
      <c r="S983" s="17"/>
      <c r="T983" t="b">
        <f>IF(     ISNUMBER(Table13345[[#This Row],[Strike]]),RTD("tos.rtd", , "OPEN_INT", "."&amp;Table13345[[#This Row],[Ticker]]&amp;Table13345[[#This Row],[Expiry]]&amp;""&amp;"P"&amp;Table13345[[#This Row],[Strike]]))</f>
        <v>0</v>
      </c>
      <c r="U98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3" t="b">
        <f>IF(     ISNUMBER(Table13345[[#This Row],[Strike]]),RTD("tos.rtd", , "DELTA", "."&amp;Table13345[[#This Row],[Ticker]]&amp;Table13345[[#This Row],[Expiry]]&amp;""&amp;"P"&amp;Table13345[[#This Row],[Strike]]))</f>
        <v>0</v>
      </c>
      <c r="Y983" s="19">
        <f>30.5* IF($M$1="NDX", 10, IF(OR($M$1="SPX", $M$1="RUT"), 2, 1))</f>
        <v>61</v>
      </c>
      <c r="Z983">
        <f ca="1">IFERROR(Table13345[[#This Row],[call gamma]]*(Table13345[[#This Row],[Open.Int]])*$A$4^2,0)</f>
        <v>0</v>
      </c>
      <c r="AA983">
        <f ca="1">IFERROR(((Table13345[[#This Row],[Open.Int8]])*Table13345[[#This Row],[Put gamma]])*-1*$A$4^2,0)</f>
        <v>0</v>
      </c>
      <c r="AB983">
        <f ca="1">(Table13345[[#This Row],[Call Gex]]+Table13345[[#This Row],[Put Gex]])</f>
        <v>0</v>
      </c>
      <c r="AC983">
        <f ca="1">Table13345[[#This Row],[put delta adj]]+Table13345[[#This Row],[call delta adj]]</f>
        <v>0</v>
      </c>
      <c r="AD983">
        <f ca="1">Table13345[[#This Row],[Put Gex]]*Table13345[[#This Row],[DeltaP]]*-1</f>
        <v>0</v>
      </c>
      <c r="AE983">
        <f ca="1">Table13345[[#This Row],[Call Gex]]*Table13345[[#This Row],[DeltaC]]</f>
        <v>0</v>
      </c>
      <c r="AF983">
        <f>IF(Table13345[[#This Row],[DeltaC]]-ABS(Table13345[[#This Row],[DeltaP]])="0","0.01",Table13345[[#This Row],[DeltaC]]-ABS(Table13345[[#This Row],[DeltaP]]))</f>
        <v>0</v>
      </c>
      <c r="AG98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3" t="e">
        <f ca="1">(EXP(-(AG983^2)/2)/SQRT(2*PI())*EXP(0*SQRT(Table13345[[#This Row],[T]]))/$A$4*18%*SQRT(SQRT(Table13345[[#This Row],[T]])))</f>
        <v>#DIV/0!</v>
      </c>
      <c r="AJ983" t="e">
        <f ca="1">(EXP(-(AH983^2)/2)/SQRT(2*PI())*EXP(0*SQRT(Table13345[[#This Row],[T]]))/$A$4*18%*SQRT(SQRT(Table13345[[#This Row],[T]])))</f>
        <v>#DIV/0!</v>
      </c>
      <c r="AK983" t="e">
        <f ca="1">Table13345[[#This Row],[Call D1]]-Table13345[[#This Row],[IV Calc C]]*SQRT(Table13345[[#This Row],[T]])</f>
        <v>#DIV/0!</v>
      </c>
      <c r="AL983" t="e">
        <f ca="1">Table13345[[#This Row],[Put D1]]-Table13345[[#This Row],[IV Calc P]]*SQRT(Table13345[[#This Row],[T]])</f>
        <v>#DIV/0!</v>
      </c>
      <c r="AM983" t="e">
        <f ca="1">EXP(-0.5*Table13345[[#This Row],[Call D1]]^2)/SQRT(2*PI())</f>
        <v>#DIV/0!</v>
      </c>
      <c r="AN983" t="e">
        <f ca="1">EXP(-0.5*Table13345[[#This Row],[Put D1]]^2)/SQRT(2*PI())</f>
        <v>#DIV/0!</v>
      </c>
      <c r="AO98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3">
        <f ca="1">((Table13345[[#This Row],[call vanna]]+Table13345[[#This Row],[put vanna]])*$A$4)</f>
        <v>0</v>
      </c>
      <c r="AR98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3" s="9" t="str" cm="1">
        <f t="array" ref="AT983">_xlfn.IFS(     $M$1="SPX","SPXW",     $M$1="RUT","RUTW",  $M$1="NDX","NDXP",   TRUE,$M$1 )</f>
        <v>SPXW</v>
      </c>
      <c r="AU983" s="2">
        <f t="shared" si="97"/>
        <v>6915</v>
      </c>
      <c r="AV983" t="str">
        <f t="shared" si="98"/>
        <v>000100</v>
      </c>
      <c r="AY98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3">
        <f>((Table13345[[#This Row],[High C]]+Table13345[[#This Row],[Low C]])/2)*Table13345[[#This Row],[gammac]]*Table13345[[#This Row],[Volume]]</f>
        <v>0</v>
      </c>
      <c r="BD983">
        <f>((Table13345[[#This Row],[High P]]+Table13345[[#This Row],[Low P]])/2)*Table13345[[#This Row],[gammap]]*Table13345[[#This Row],[Volume9]]*-1</f>
        <v>0</v>
      </c>
      <c r="BE983">
        <f>(Table13345[[#This Row],[SgammaC]]+Table13345[[#This Row],[SgammaP]])*$A$4*-100</f>
        <v>0</v>
      </c>
      <c r="BF983">
        <f>Table13345[[#This Row],[DEXc]]+Table13345[[#This Row],[DEXp]]</f>
        <v>0</v>
      </c>
      <c r="BG983">
        <f>IFERROR(Table13345[[#This Row],[DeltaC]]*Table13345[[#This Row],[Open.Int]]*$A$4,0)</f>
        <v>0</v>
      </c>
      <c r="BH983">
        <f>IFERROR(Table13345[[#This Row],[DeltaP]]*Table13345[[#This Row],[Open.Int8]]*$A$4,0)</f>
        <v>0</v>
      </c>
      <c r="BI98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3">
        <f ca="1">Table13345[[#This Row],[charmc]]+Table13345[[#This Row],[charmp]]</f>
        <v>0</v>
      </c>
      <c r="BL98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3" s="78">
        <f ca="1">Table13345[[#This Row],[call helper]]+Table13345[[#This Row],[put helper]]</f>
        <v>0</v>
      </c>
      <c r="BP983" t="str">
        <f>RTD("tos.rtd", , "STRIKE", "."&amp;Table13345[[#This Row],[Ticker]]&amp;Table13345[[#This Row],[Expiry]]&amp;""&amp;"C"&amp;Table13345[[#This Row],[Spot]]+Table13345[[#This Row],[step]])</f>
        <v>N/A</v>
      </c>
    </row>
    <row r="984" spans="1:68" x14ac:dyDescent="0.25">
      <c r="A984" s="14">
        <f t="shared" ca="1" si="94"/>
        <v>-126.14810350076104</v>
      </c>
      <c r="C984" s="17"/>
      <c r="D984" t="str">
        <f>RTD("tos.rtd", , "OPEN_INT", "."&amp;Table13345[[#This Row],[Ticker]]&amp;Table13345[[#This Row],[Expiry]]&amp;""&amp;"C"&amp;Table13345[[#This Row],[Spot]]+Table13345[[#This Row],[step]])</f>
        <v>N/A</v>
      </c>
      <c r="E98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4" t="b">
        <f>IF(     ISNUMBER(Table13345[[#This Row],[Strike]]),RTD("tos.rtd", , "DELTA", "."&amp;Table13345[[#This Row],[Ticker]]&amp;Table13345[[#This Row],[Expiry]]&amp;""&amp;"C"&amp;Table13345[[#This Row],[Strike]]))</f>
        <v>0</v>
      </c>
      <c r="H984" s="17" cm="1">
        <f t="array" aca="1" ref="H984" ca="1">IndividualLegIVCore($A$4, Table13345[[#This Row],[Strike]], 0.0411, Table13345[[#This Row],[T]], ((Table13345[[#This Row],[BIDC]]+Table13345[[#This Row],[ASKC]])/2), TRUE)</f>
        <v>0.01</v>
      </c>
      <c r="I984" t="b">
        <f>IF(     ISNUMBER(Table13345[[#This Row],[Strike]]),RTD("tos.rtd", , "BID", "."&amp;Table13345[[#This Row],[Ticker]]&amp;Table13345[[#This Row],[Expiry]]&amp;""&amp;"C"&amp;Table13345[[#This Row],[Strike]]))</f>
        <v>0</v>
      </c>
      <c r="J984" t="b">
        <f>IF(     ISNUMBER(Table13345[[#This Row],[Strike]]),RTD("tos.rtd", , "ASK", "."&amp;Table13345[[#This Row],[Ticker]]&amp;Table13345[[#This Row],[Expiry]]&amp;""&amp;"C"&amp;Table13345[[#This Row],[Strike]]))</f>
        <v>0</v>
      </c>
      <c r="K984" s="17"/>
      <c r="M984" s="1">
        <f t="shared" si="95"/>
        <v>0</v>
      </c>
      <c r="N984" t="b">
        <f t="shared" si="96"/>
        <v>0</v>
      </c>
      <c r="P984" s="17" cm="1">
        <f t="array" aca="1" ref="P984" ca="1">IndividualLegIVCore($A$4, Table13345[[#This Row],[Strike]], 0.0411, Table13345[[#This Row],[T]], ((Table13345[[#This Row],[BIDP]]+Table13345[[#This Row],[ASKP]])/2), FALSE)</f>
        <v>0.01</v>
      </c>
      <c r="Q984" t="b">
        <f>IF(     ISNUMBER(Table13345[[#This Row],[Strike]]),RTD("tos.rtd", , "BID", "."&amp;Table13345[[#This Row],[Ticker]]&amp;Table13345[[#This Row],[Expiry]]&amp;""&amp;"P"&amp;Table13345[[#This Row],[Strike]]))</f>
        <v>0</v>
      </c>
      <c r="R984" t="b">
        <f>IF(     ISNUMBER(Table13345[[#This Row],[Strike]]),RTD("tos.rtd", , "ASK", "."&amp;Table13345[[#This Row],[Ticker]]&amp;Table13345[[#This Row],[Expiry]]&amp;""&amp;"P"&amp;Table13345[[#This Row],[Strike]]))</f>
        <v>0</v>
      </c>
      <c r="S984" s="17"/>
      <c r="T984" t="b">
        <f>IF(     ISNUMBER(Table13345[[#This Row],[Strike]]),RTD("tos.rtd", , "OPEN_INT", "."&amp;Table13345[[#This Row],[Ticker]]&amp;Table13345[[#This Row],[Expiry]]&amp;""&amp;"P"&amp;Table13345[[#This Row],[Strike]]))</f>
        <v>0</v>
      </c>
      <c r="U98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4" t="b">
        <f>IF(     ISNUMBER(Table13345[[#This Row],[Strike]]),RTD("tos.rtd", , "DELTA", "."&amp;Table13345[[#This Row],[Ticker]]&amp;Table13345[[#This Row],[Expiry]]&amp;""&amp;"P"&amp;Table13345[[#This Row],[Strike]]))</f>
        <v>0</v>
      </c>
      <c r="Y984" s="19">
        <f>31* IF($M$1="NDX", 10, IF(OR($M$1="SPX", $M$1="RUT"), 2, 1))</f>
        <v>62</v>
      </c>
      <c r="Z984">
        <f ca="1">IFERROR(Table13345[[#This Row],[call gamma]]*(Table13345[[#This Row],[Open.Int]])*$A$4^2,0)</f>
        <v>0</v>
      </c>
      <c r="AA984">
        <f ca="1">IFERROR(((Table13345[[#This Row],[Open.Int8]])*Table13345[[#This Row],[Put gamma]])*-1*$A$4^2,0)</f>
        <v>0</v>
      </c>
      <c r="AB984">
        <f ca="1">(Table13345[[#This Row],[Call Gex]]+Table13345[[#This Row],[Put Gex]])</f>
        <v>0</v>
      </c>
      <c r="AC984">
        <f ca="1">Table13345[[#This Row],[put delta adj]]+Table13345[[#This Row],[call delta adj]]</f>
        <v>0</v>
      </c>
      <c r="AD984">
        <f ca="1">Table13345[[#This Row],[Put Gex]]*Table13345[[#This Row],[DeltaP]]*-1</f>
        <v>0</v>
      </c>
      <c r="AE984">
        <f ca="1">Table13345[[#This Row],[Call Gex]]*Table13345[[#This Row],[DeltaC]]</f>
        <v>0</v>
      </c>
      <c r="AF984">
        <f>IF(Table13345[[#This Row],[DeltaC]]-ABS(Table13345[[#This Row],[DeltaP]])="0","0.01",Table13345[[#This Row],[DeltaC]]-ABS(Table13345[[#This Row],[DeltaP]]))</f>
        <v>0</v>
      </c>
      <c r="AG98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4" t="e">
        <f ca="1">(EXP(-(AG984^2)/2)/SQRT(2*PI())*EXP(0*SQRT(Table13345[[#This Row],[T]]))/$A$4*18%*SQRT(SQRT(Table13345[[#This Row],[T]])))</f>
        <v>#DIV/0!</v>
      </c>
      <c r="AJ984" t="e">
        <f ca="1">(EXP(-(AH984^2)/2)/SQRT(2*PI())*EXP(0*SQRT(Table13345[[#This Row],[T]]))/$A$4*18%*SQRT(SQRT(Table13345[[#This Row],[T]])))</f>
        <v>#DIV/0!</v>
      </c>
      <c r="AK984" t="e">
        <f ca="1">Table13345[[#This Row],[Call D1]]-Table13345[[#This Row],[IV Calc C]]*SQRT(Table13345[[#This Row],[T]])</f>
        <v>#DIV/0!</v>
      </c>
      <c r="AL984" t="e">
        <f ca="1">Table13345[[#This Row],[Put D1]]-Table13345[[#This Row],[IV Calc P]]*SQRT(Table13345[[#This Row],[T]])</f>
        <v>#DIV/0!</v>
      </c>
      <c r="AM984" t="e">
        <f ca="1">EXP(-0.5*Table13345[[#This Row],[Call D1]]^2)/SQRT(2*PI())</f>
        <v>#DIV/0!</v>
      </c>
      <c r="AN984" t="e">
        <f ca="1">EXP(-0.5*Table13345[[#This Row],[Put D1]]^2)/SQRT(2*PI())</f>
        <v>#DIV/0!</v>
      </c>
      <c r="AO98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4">
        <f ca="1">((Table13345[[#This Row],[call vanna]]+Table13345[[#This Row],[put vanna]])*$A$4)</f>
        <v>0</v>
      </c>
      <c r="AR98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4" s="9" t="str" cm="1">
        <f t="array" ref="AT984">_xlfn.IFS(     $M$1="SPX","SPXW",     $M$1="RUT","RUTW",  $M$1="NDX","NDXP",   TRUE,$M$1 )</f>
        <v>SPXW</v>
      </c>
      <c r="AU984" s="2">
        <f t="shared" si="97"/>
        <v>6915</v>
      </c>
      <c r="AV984" t="str">
        <f t="shared" si="98"/>
        <v>000100</v>
      </c>
      <c r="AY98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4">
        <f>((Table13345[[#This Row],[High C]]+Table13345[[#This Row],[Low C]])/2)*Table13345[[#This Row],[gammac]]*Table13345[[#This Row],[Volume]]</f>
        <v>0</v>
      </c>
      <c r="BD984">
        <f>((Table13345[[#This Row],[High P]]+Table13345[[#This Row],[Low P]])/2)*Table13345[[#This Row],[gammap]]*Table13345[[#This Row],[Volume9]]*-1</f>
        <v>0</v>
      </c>
      <c r="BE984">
        <f>(Table13345[[#This Row],[SgammaC]]+Table13345[[#This Row],[SgammaP]])*$A$4*-100</f>
        <v>0</v>
      </c>
      <c r="BF984">
        <f>Table13345[[#This Row],[DEXc]]+Table13345[[#This Row],[DEXp]]</f>
        <v>0</v>
      </c>
      <c r="BG984">
        <f>IFERROR(Table13345[[#This Row],[DeltaC]]*Table13345[[#This Row],[Open.Int]]*$A$4,0)</f>
        <v>0</v>
      </c>
      <c r="BH984">
        <f>IFERROR(Table13345[[#This Row],[DeltaP]]*Table13345[[#This Row],[Open.Int8]]*$A$4,0)</f>
        <v>0</v>
      </c>
      <c r="BI98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4">
        <f ca="1">Table13345[[#This Row],[charmc]]+Table13345[[#This Row],[charmp]]</f>
        <v>0</v>
      </c>
      <c r="BL98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4" s="78">
        <f ca="1">Table13345[[#This Row],[call helper]]+Table13345[[#This Row],[put helper]]</f>
        <v>0</v>
      </c>
      <c r="BP984" t="str">
        <f>RTD("tos.rtd", , "STRIKE", "."&amp;Table13345[[#This Row],[Ticker]]&amp;Table13345[[#This Row],[Expiry]]&amp;""&amp;"C"&amp;Table13345[[#This Row],[Spot]]+Table13345[[#This Row],[step]])</f>
        <v>N/A</v>
      </c>
    </row>
    <row r="985" spans="1:68" x14ac:dyDescent="0.25">
      <c r="A985" s="14">
        <f t="shared" ca="1" si="94"/>
        <v>-126.14810350076104</v>
      </c>
      <c r="C985" s="17"/>
      <c r="D985" t="str">
        <f>RTD("tos.rtd", , "OPEN_INT", "."&amp;Table13345[[#This Row],[Ticker]]&amp;Table13345[[#This Row],[Expiry]]&amp;""&amp;"C"&amp;Table13345[[#This Row],[Spot]]+Table13345[[#This Row],[step]])</f>
        <v>N/A</v>
      </c>
      <c r="E98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5" t="b">
        <f>IF(     ISNUMBER(Table13345[[#This Row],[Strike]]),RTD("tos.rtd", , "DELTA", "."&amp;Table13345[[#This Row],[Ticker]]&amp;Table13345[[#This Row],[Expiry]]&amp;""&amp;"C"&amp;Table13345[[#This Row],[Strike]]))</f>
        <v>0</v>
      </c>
      <c r="H985" s="17" cm="1">
        <f t="array" aca="1" ref="H985" ca="1">IndividualLegIVCore($A$4, Table13345[[#This Row],[Strike]], 0.0411, Table13345[[#This Row],[T]], ((Table13345[[#This Row],[BIDC]]+Table13345[[#This Row],[ASKC]])/2), TRUE)</f>
        <v>0.01</v>
      </c>
      <c r="I985" t="b">
        <f>IF(     ISNUMBER(Table13345[[#This Row],[Strike]]),RTD("tos.rtd", , "BID", "."&amp;Table13345[[#This Row],[Ticker]]&amp;Table13345[[#This Row],[Expiry]]&amp;""&amp;"C"&amp;Table13345[[#This Row],[Strike]]))</f>
        <v>0</v>
      </c>
      <c r="J985" t="b">
        <f>IF(     ISNUMBER(Table13345[[#This Row],[Strike]]),RTD("tos.rtd", , "ASK", "."&amp;Table13345[[#This Row],[Ticker]]&amp;Table13345[[#This Row],[Expiry]]&amp;""&amp;"C"&amp;Table13345[[#This Row],[Strike]]))</f>
        <v>0</v>
      </c>
      <c r="K985" s="17"/>
      <c r="M985" s="1">
        <f t="shared" si="95"/>
        <v>0</v>
      </c>
      <c r="N985" t="b">
        <f t="shared" si="96"/>
        <v>0</v>
      </c>
      <c r="P985" s="17" cm="1">
        <f t="array" aca="1" ref="P985" ca="1">IndividualLegIVCore($A$4, Table13345[[#This Row],[Strike]], 0.0411, Table13345[[#This Row],[T]], ((Table13345[[#This Row],[BIDP]]+Table13345[[#This Row],[ASKP]])/2), FALSE)</f>
        <v>0.01</v>
      </c>
      <c r="Q985" t="b">
        <f>IF(     ISNUMBER(Table13345[[#This Row],[Strike]]),RTD("tos.rtd", , "BID", "."&amp;Table13345[[#This Row],[Ticker]]&amp;Table13345[[#This Row],[Expiry]]&amp;""&amp;"P"&amp;Table13345[[#This Row],[Strike]]))</f>
        <v>0</v>
      </c>
      <c r="R985" t="b">
        <f>IF(     ISNUMBER(Table13345[[#This Row],[Strike]]),RTD("tos.rtd", , "ASK", "."&amp;Table13345[[#This Row],[Ticker]]&amp;Table13345[[#This Row],[Expiry]]&amp;""&amp;"P"&amp;Table13345[[#This Row],[Strike]]))</f>
        <v>0</v>
      </c>
      <c r="S985" s="17"/>
      <c r="T985" t="b">
        <f>IF(     ISNUMBER(Table13345[[#This Row],[Strike]]),RTD("tos.rtd", , "OPEN_INT", "."&amp;Table13345[[#This Row],[Ticker]]&amp;Table13345[[#This Row],[Expiry]]&amp;""&amp;"P"&amp;Table13345[[#This Row],[Strike]]))</f>
        <v>0</v>
      </c>
      <c r="U98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5" t="b">
        <f>IF(     ISNUMBER(Table13345[[#This Row],[Strike]]),RTD("tos.rtd", , "DELTA", "."&amp;Table13345[[#This Row],[Ticker]]&amp;Table13345[[#This Row],[Expiry]]&amp;""&amp;"P"&amp;Table13345[[#This Row],[Strike]]))</f>
        <v>0</v>
      </c>
      <c r="Y985" s="19">
        <f>31.5* IF($M$1="NDX", 10, IF(OR($M$1="SPX", $M$1="RUT"), 2, 1))</f>
        <v>63</v>
      </c>
      <c r="Z985">
        <f ca="1">IFERROR(Table13345[[#This Row],[call gamma]]*(Table13345[[#This Row],[Open.Int]])*$A$4^2,0)</f>
        <v>0</v>
      </c>
      <c r="AA985">
        <f ca="1">IFERROR(((Table13345[[#This Row],[Open.Int8]])*Table13345[[#This Row],[Put gamma]])*-1*$A$4^2,0)</f>
        <v>0</v>
      </c>
      <c r="AB985">
        <f ca="1">(Table13345[[#This Row],[Call Gex]]+Table13345[[#This Row],[Put Gex]])</f>
        <v>0</v>
      </c>
      <c r="AC985">
        <f ca="1">Table13345[[#This Row],[put delta adj]]+Table13345[[#This Row],[call delta adj]]</f>
        <v>0</v>
      </c>
      <c r="AD985">
        <f ca="1">Table13345[[#This Row],[Put Gex]]*Table13345[[#This Row],[DeltaP]]*-1</f>
        <v>0</v>
      </c>
      <c r="AE985">
        <f ca="1">Table13345[[#This Row],[Call Gex]]*Table13345[[#This Row],[DeltaC]]</f>
        <v>0</v>
      </c>
      <c r="AF985">
        <f>IF(Table13345[[#This Row],[DeltaC]]-ABS(Table13345[[#This Row],[DeltaP]])="0","0.01",Table13345[[#This Row],[DeltaC]]-ABS(Table13345[[#This Row],[DeltaP]]))</f>
        <v>0</v>
      </c>
      <c r="AG98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5" t="e">
        <f ca="1">(EXP(-(AG985^2)/2)/SQRT(2*PI())*EXP(0*SQRT(Table13345[[#This Row],[T]]))/$A$4*18%*SQRT(SQRT(Table13345[[#This Row],[T]])))</f>
        <v>#DIV/0!</v>
      </c>
      <c r="AJ985" t="e">
        <f ca="1">(EXP(-(AH985^2)/2)/SQRT(2*PI())*EXP(0*SQRT(Table13345[[#This Row],[T]]))/$A$4*18%*SQRT(SQRT(Table13345[[#This Row],[T]])))</f>
        <v>#DIV/0!</v>
      </c>
      <c r="AK985" t="e">
        <f ca="1">Table13345[[#This Row],[Call D1]]-Table13345[[#This Row],[IV Calc C]]*SQRT(Table13345[[#This Row],[T]])</f>
        <v>#DIV/0!</v>
      </c>
      <c r="AL985" t="e">
        <f ca="1">Table13345[[#This Row],[Put D1]]-Table13345[[#This Row],[IV Calc P]]*SQRT(Table13345[[#This Row],[T]])</f>
        <v>#DIV/0!</v>
      </c>
      <c r="AM985" t="e">
        <f ca="1">EXP(-0.5*Table13345[[#This Row],[Call D1]]^2)/SQRT(2*PI())</f>
        <v>#DIV/0!</v>
      </c>
      <c r="AN985" t="e">
        <f ca="1">EXP(-0.5*Table13345[[#This Row],[Put D1]]^2)/SQRT(2*PI())</f>
        <v>#DIV/0!</v>
      </c>
      <c r="AO98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5">
        <f ca="1">((Table13345[[#This Row],[call vanna]]+Table13345[[#This Row],[put vanna]])*$A$4)</f>
        <v>0</v>
      </c>
      <c r="AR98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5" s="9" t="str" cm="1">
        <f t="array" ref="AT985">_xlfn.IFS(     $M$1="SPX","SPXW",     $M$1="RUT","RUTW",  $M$1="NDX","NDXP",   TRUE,$M$1 )</f>
        <v>SPXW</v>
      </c>
      <c r="AU985" s="2">
        <f t="shared" si="97"/>
        <v>6915</v>
      </c>
      <c r="AV985" t="str">
        <f t="shared" si="98"/>
        <v>000100</v>
      </c>
      <c r="AY98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5">
        <f>((Table13345[[#This Row],[High C]]+Table13345[[#This Row],[Low C]])/2)*Table13345[[#This Row],[gammac]]*Table13345[[#This Row],[Volume]]</f>
        <v>0</v>
      </c>
      <c r="BD985">
        <f>((Table13345[[#This Row],[High P]]+Table13345[[#This Row],[Low P]])/2)*Table13345[[#This Row],[gammap]]*Table13345[[#This Row],[Volume9]]*-1</f>
        <v>0</v>
      </c>
      <c r="BE985">
        <f>(Table13345[[#This Row],[SgammaC]]+Table13345[[#This Row],[SgammaP]])*$A$4*-100</f>
        <v>0</v>
      </c>
      <c r="BF985">
        <f>Table13345[[#This Row],[DEXc]]+Table13345[[#This Row],[DEXp]]</f>
        <v>0</v>
      </c>
      <c r="BG985">
        <f>IFERROR(Table13345[[#This Row],[DeltaC]]*Table13345[[#This Row],[Open.Int]]*$A$4,0)</f>
        <v>0</v>
      </c>
      <c r="BH985">
        <f>IFERROR(Table13345[[#This Row],[DeltaP]]*Table13345[[#This Row],[Open.Int8]]*$A$4,0)</f>
        <v>0</v>
      </c>
      <c r="BI98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5">
        <f ca="1">Table13345[[#This Row],[charmc]]+Table13345[[#This Row],[charmp]]</f>
        <v>0</v>
      </c>
      <c r="BL98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5" s="78">
        <f ca="1">Table13345[[#This Row],[call helper]]+Table13345[[#This Row],[put helper]]</f>
        <v>0</v>
      </c>
      <c r="BP985" t="str">
        <f>RTD("tos.rtd", , "STRIKE", "."&amp;Table13345[[#This Row],[Ticker]]&amp;Table13345[[#This Row],[Expiry]]&amp;""&amp;"C"&amp;Table13345[[#This Row],[Spot]]+Table13345[[#This Row],[step]])</f>
        <v>N/A</v>
      </c>
    </row>
    <row r="986" spans="1:68" x14ac:dyDescent="0.25">
      <c r="A986" s="14">
        <f t="shared" ca="1" si="94"/>
        <v>-126.14810350076104</v>
      </c>
      <c r="C986" s="17"/>
      <c r="D986" t="str">
        <f>RTD("tos.rtd", , "OPEN_INT", "."&amp;Table13345[[#This Row],[Ticker]]&amp;Table13345[[#This Row],[Expiry]]&amp;""&amp;"C"&amp;Table13345[[#This Row],[Spot]]+Table13345[[#This Row],[step]])</f>
        <v>N/A</v>
      </c>
      <c r="E98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6" t="b">
        <f>IF(     ISNUMBER(Table13345[[#This Row],[Strike]]),RTD("tos.rtd", , "DELTA", "."&amp;Table13345[[#This Row],[Ticker]]&amp;Table13345[[#This Row],[Expiry]]&amp;""&amp;"C"&amp;Table13345[[#This Row],[Strike]]))</f>
        <v>0</v>
      </c>
      <c r="H986" s="17" cm="1">
        <f t="array" aca="1" ref="H986" ca="1">IndividualLegIVCore($A$4, Table13345[[#This Row],[Strike]], 0.0411, Table13345[[#This Row],[T]], ((Table13345[[#This Row],[BIDC]]+Table13345[[#This Row],[ASKC]])/2), TRUE)</f>
        <v>0.01</v>
      </c>
      <c r="I986" t="b">
        <f>IF(     ISNUMBER(Table13345[[#This Row],[Strike]]),RTD("tos.rtd", , "BID", "."&amp;Table13345[[#This Row],[Ticker]]&amp;Table13345[[#This Row],[Expiry]]&amp;""&amp;"C"&amp;Table13345[[#This Row],[Strike]]))</f>
        <v>0</v>
      </c>
      <c r="J986" t="b">
        <f>IF(     ISNUMBER(Table13345[[#This Row],[Strike]]),RTD("tos.rtd", , "ASK", "."&amp;Table13345[[#This Row],[Ticker]]&amp;Table13345[[#This Row],[Expiry]]&amp;""&amp;"C"&amp;Table13345[[#This Row],[Strike]]))</f>
        <v>0</v>
      </c>
      <c r="K986" s="17"/>
      <c r="M986" s="1">
        <f t="shared" si="95"/>
        <v>0</v>
      </c>
      <c r="N986" t="b">
        <f t="shared" si="96"/>
        <v>0</v>
      </c>
      <c r="P986" s="17" cm="1">
        <f t="array" aca="1" ref="P986" ca="1">IndividualLegIVCore($A$4, Table13345[[#This Row],[Strike]], 0.0411, Table13345[[#This Row],[T]], ((Table13345[[#This Row],[BIDP]]+Table13345[[#This Row],[ASKP]])/2), FALSE)</f>
        <v>0.01</v>
      </c>
      <c r="Q986" t="b">
        <f>IF(     ISNUMBER(Table13345[[#This Row],[Strike]]),RTD("tos.rtd", , "BID", "."&amp;Table13345[[#This Row],[Ticker]]&amp;Table13345[[#This Row],[Expiry]]&amp;""&amp;"P"&amp;Table13345[[#This Row],[Strike]]))</f>
        <v>0</v>
      </c>
      <c r="R986" t="b">
        <f>IF(     ISNUMBER(Table13345[[#This Row],[Strike]]),RTD("tos.rtd", , "ASK", "."&amp;Table13345[[#This Row],[Ticker]]&amp;Table13345[[#This Row],[Expiry]]&amp;""&amp;"P"&amp;Table13345[[#This Row],[Strike]]))</f>
        <v>0</v>
      </c>
      <c r="S986" s="17"/>
      <c r="T986" t="b">
        <f>IF(     ISNUMBER(Table13345[[#This Row],[Strike]]),RTD("tos.rtd", , "OPEN_INT", "."&amp;Table13345[[#This Row],[Ticker]]&amp;Table13345[[#This Row],[Expiry]]&amp;""&amp;"P"&amp;Table13345[[#This Row],[Strike]]))</f>
        <v>0</v>
      </c>
      <c r="U98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6" t="b">
        <f>IF(     ISNUMBER(Table13345[[#This Row],[Strike]]),RTD("tos.rtd", , "DELTA", "."&amp;Table13345[[#This Row],[Ticker]]&amp;Table13345[[#This Row],[Expiry]]&amp;""&amp;"P"&amp;Table13345[[#This Row],[Strike]]))</f>
        <v>0</v>
      </c>
      <c r="Y986" s="19">
        <f>32* IF($M$1="NDX", 10, IF(OR($M$1="SPX", $M$1="RUT"), 2, 1))</f>
        <v>64</v>
      </c>
      <c r="Z986">
        <f ca="1">IFERROR(Table13345[[#This Row],[call gamma]]*(Table13345[[#This Row],[Open.Int]])*$A$4^2,0)</f>
        <v>0</v>
      </c>
      <c r="AA986">
        <f ca="1">IFERROR(((Table13345[[#This Row],[Open.Int8]])*Table13345[[#This Row],[Put gamma]])*-1*$A$4^2,0)</f>
        <v>0</v>
      </c>
      <c r="AB986">
        <f ca="1">(Table13345[[#This Row],[Call Gex]]+Table13345[[#This Row],[Put Gex]])</f>
        <v>0</v>
      </c>
      <c r="AC986">
        <f ca="1">Table13345[[#This Row],[put delta adj]]+Table13345[[#This Row],[call delta adj]]</f>
        <v>0</v>
      </c>
      <c r="AD986">
        <f ca="1">Table13345[[#This Row],[Put Gex]]*Table13345[[#This Row],[DeltaP]]*-1</f>
        <v>0</v>
      </c>
      <c r="AE986">
        <f ca="1">Table13345[[#This Row],[Call Gex]]*Table13345[[#This Row],[DeltaC]]</f>
        <v>0</v>
      </c>
      <c r="AF986">
        <f>IF(Table13345[[#This Row],[DeltaC]]-ABS(Table13345[[#This Row],[DeltaP]])="0","0.01",Table13345[[#This Row],[DeltaC]]-ABS(Table13345[[#This Row],[DeltaP]]))</f>
        <v>0</v>
      </c>
      <c r="AG98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6" t="e">
        <f ca="1">(EXP(-(AG986^2)/2)/SQRT(2*PI())*EXP(0*SQRT(Table13345[[#This Row],[T]]))/$A$4*18%*SQRT(SQRT(Table13345[[#This Row],[T]])))</f>
        <v>#DIV/0!</v>
      </c>
      <c r="AJ986" t="e">
        <f ca="1">(EXP(-(AH986^2)/2)/SQRT(2*PI())*EXP(0*SQRT(Table13345[[#This Row],[T]]))/$A$4*18%*SQRT(SQRT(Table13345[[#This Row],[T]])))</f>
        <v>#DIV/0!</v>
      </c>
      <c r="AK986" t="e">
        <f ca="1">Table13345[[#This Row],[Call D1]]-Table13345[[#This Row],[IV Calc C]]*SQRT(Table13345[[#This Row],[T]])</f>
        <v>#DIV/0!</v>
      </c>
      <c r="AL986" t="e">
        <f ca="1">Table13345[[#This Row],[Put D1]]-Table13345[[#This Row],[IV Calc P]]*SQRT(Table13345[[#This Row],[T]])</f>
        <v>#DIV/0!</v>
      </c>
      <c r="AM986" t="e">
        <f ca="1">EXP(-0.5*Table13345[[#This Row],[Call D1]]^2)/SQRT(2*PI())</f>
        <v>#DIV/0!</v>
      </c>
      <c r="AN986" t="e">
        <f ca="1">EXP(-0.5*Table13345[[#This Row],[Put D1]]^2)/SQRT(2*PI())</f>
        <v>#DIV/0!</v>
      </c>
      <c r="AO98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6">
        <f ca="1">((Table13345[[#This Row],[call vanna]]+Table13345[[#This Row],[put vanna]])*$A$4)</f>
        <v>0</v>
      </c>
      <c r="AR98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6" s="9" t="str" cm="1">
        <f t="array" ref="AT986">_xlfn.IFS(     $M$1="SPX","SPXW",     $M$1="RUT","RUTW",  $M$1="NDX","NDXP",   TRUE,$M$1 )</f>
        <v>SPXW</v>
      </c>
      <c r="AU986" s="2">
        <f t="shared" si="97"/>
        <v>6915</v>
      </c>
      <c r="AV986" t="str">
        <f t="shared" si="98"/>
        <v>000100</v>
      </c>
      <c r="AY98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6">
        <f>((Table13345[[#This Row],[High C]]+Table13345[[#This Row],[Low C]])/2)*Table13345[[#This Row],[gammac]]*Table13345[[#This Row],[Volume]]</f>
        <v>0</v>
      </c>
      <c r="BD986">
        <f>((Table13345[[#This Row],[High P]]+Table13345[[#This Row],[Low P]])/2)*Table13345[[#This Row],[gammap]]*Table13345[[#This Row],[Volume9]]*-1</f>
        <v>0</v>
      </c>
      <c r="BE986">
        <f>(Table13345[[#This Row],[SgammaC]]+Table13345[[#This Row],[SgammaP]])*$A$4*-100</f>
        <v>0</v>
      </c>
      <c r="BF986">
        <f>Table13345[[#This Row],[DEXc]]+Table13345[[#This Row],[DEXp]]</f>
        <v>0</v>
      </c>
      <c r="BG986">
        <f>IFERROR(Table13345[[#This Row],[DeltaC]]*Table13345[[#This Row],[Open.Int]]*$A$4,0)</f>
        <v>0</v>
      </c>
      <c r="BH986">
        <f>IFERROR(Table13345[[#This Row],[DeltaP]]*Table13345[[#This Row],[Open.Int8]]*$A$4,0)</f>
        <v>0</v>
      </c>
      <c r="BI98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6">
        <f ca="1">Table13345[[#This Row],[charmc]]+Table13345[[#This Row],[charmp]]</f>
        <v>0</v>
      </c>
      <c r="BL98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6" s="78">
        <f ca="1">Table13345[[#This Row],[call helper]]+Table13345[[#This Row],[put helper]]</f>
        <v>0</v>
      </c>
      <c r="BP986" t="str">
        <f>RTD("tos.rtd", , "STRIKE", "."&amp;Table13345[[#This Row],[Ticker]]&amp;Table13345[[#This Row],[Expiry]]&amp;""&amp;"C"&amp;Table13345[[#This Row],[Spot]]+Table13345[[#This Row],[step]])</f>
        <v>N/A</v>
      </c>
    </row>
    <row r="987" spans="1:68" x14ac:dyDescent="0.25">
      <c r="A987" s="14">
        <f t="shared" ca="1" si="94"/>
        <v>-126.14810350076104</v>
      </c>
      <c r="C987" s="17"/>
      <c r="D987" t="str">
        <f>RTD("tos.rtd", , "OPEN_INT", "."&amp;Table13345[[#This Row],[Ticker]]&amp;Table13345[[#This Row],[Expiry]]&amp;""&amp;"C"&amp;Table13345[[#This Row],[Spot]]+Table13345[[#This Row],[step]])</f>
        <v>N/A</v>
      </c>
      <c r="E98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7" t="b">
        <f>IF(     ISNUMBER(Table13345[[#This Row],[Strike]]),RTD("tos.rtd", , "DELTA", "."&amp;Table13345[[#This Row],[Ticker]]&amp;Table13345[[#This Row],[Expiry]]&amp;""&amp;"C"&amp;Table13345[[#This Row],[Strike]]))</f>
        <v>0</v>
      </c>
      <c r="H987" s="17" cm="1">
        <f t="array" aca="1" ref="H987" ca="1">IndividualLegIVCore($A$4, Table13345[[#This Row],[Strike]], 0.0411, Table13345[[#This Row],[T]], ((Table13345[[#This Row],[BIDC]]+Table13345[[#This Row],[ASKC]])/2), TRUE)</f>
        <v>0.01</v>
      </c>
      <c r="I987" t="b">
        <f>IF(     ISNUMBER(Table13345[[#This Row],[Strike]]),RTD("tos.rtd", , "BID", "."&amp;Table13345[[#This Row],[Ticker]]&amp;Table13345[[#This Row],[Expiry]]&amp;""&amp;"C"&amp;Table13345[[#This Row],[Strike]]))</f>
        <v>0</v>
      </c>
      <c r="J987" t="b">
        <f>IF(     ISNUMBER(Table13345[[#This Row],[Strike]]),RTD("tos.rtd", , "ASK", "."&amp;Table13345[[#This Row],[Ticker]]&amp;Table13345[[#This Row],[Expiry]]&amp;""&amp;"C"&amp;Table13345[[#This Row],[Strike]]))</f>
        <v>0</v>
      </c>
      <c r="K987" s="17"/>
      <c r="M987" s="1">
        <f t="shared" si="95"/>
        <v>0</v>
      </c>
      <c r="N987" t="b">
        <f t="shared" si="96"/>
        <v>0</v>
      </c>
      <c r="P987" s="17" cm="1">
        <f t="array" aca="1" ref="P987" ca="1">IndividualLegIVCore($A$4, Table13345[[#This Row],[Strike]], 0.0411, Table13345[[#This Row],[T]], ((Table13345[[#This Row],[BIDP]]+Table13345[[#This Row],[ASKP]])/2), FALSE)</f>
        <v>0.01</v>
      </c>
      <c r="Q987" t="b">
        <f>IF(     ISNUMBER(Table13345[[#This Row],[Strike]]),RTD("tos.rtd", , "BID", "."&amp;Table13345[[#This Row],[Ticker]]&amp;Table13345[[#This Row],[Expiry]]&amp;""&amp;"P"&amp;Table13345[[#This Row],[Strike]]))</f>
        <v>0</v>
      </c>
      <c r="R987" t="b">
        <f>IF(     ISNUMBER(Table13345[[#This Row],[Strike]]),RTD("tos.rtd", , "ASK", "."&amp;Table13345[[#This Row],[Ticker]]&amp;Table13345[[#This Row],[Expiry]]&amp;""&amp;"P"&amp;Table13345[[#This Row],[Strike]]))</f>
        <v>0</v>
      </c>
      <c r="S987" s="17"/>
      <c r="T987" t="b">
        <f>IF(     ISNUMBER(Table13345[[#This Row],[Strike]]),RTD("tos.rtd", , "OPEN_INT", "."&amp;Table13345[[#This Row],[Ticker]]&amp;Table13345[[#This Row],[Expiry]]&amp;""&amp;"P"&amp;Table13345[[#This Row],[Strike]]))</f>
        <v>0</v>
      </c>
      <c r="U98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7" t="b">
        <f>IF(     ISNUMBER(Table13345[[#This Row],[Strike]]),RTD("tos.rtd", , "DELTA", "."&amp;Table13345[[#This Row],[Ticker]]&amp;Table13345[[#This Row],[Expiry]]&amp;""&amp;"P"&amp;Table13345[[#This Row],[Strike]]))</f>
        <v>0</v>
      </c>
      <c r="Y987" s="19">
        <f>32.5* IF($M$1="NDX", 10, IF(OR($M$1="SPX", $M$1="RUT"), 2, 1))</f>
        <v>65</v>
      </c>
      <c r="Z987">
        <f ca="1">IFERROR(Table13345[[#This Row],[call gamma]]*(Table13345[[#This Row],[Open.Int]])*$A$4^2,0)</f>
        <v>0</v>
      </c>
      <c r="AA987">
        <f ca="1">IFERROR(((Table13345[[#This Row],[Open.Int8]])*Table13345[[#This Row],[Put gamma]])*-1*$A$4^2,0)</f>
        <v>0</v>
      </c>
      <c r="AB987">
        <f ca="1">(Table13345[[#This Row],[Call Gex]]+Table13345[[#This Row],[Put Gex]])</f>
        <v>0</v>
      </c>
      <c r="AC987">
        <f ca="1">Table13345[[#This Row],[put delta adj]]+Table13345[[#This Row],[call delta adj]]</f>
        <v>0</v>
      </c>
      <c r="AD987">
        <f ca="1">Table13345[[#This Row],[Put Gex]]*Table13345[[#This Row],[DeltaP]]*-1</f>
        <v>0</v>
      </c>
      <c r="AE987">
        <f ca="1">Table13345[[#This Row],[Call Gex]]*Table13345[[#This Row],[DeltaC]]</f>
        <v>0</v>
      </c>
      <c r="AF987">
        <f>IF(Table13345[[#This Row],[DeltaC]]-ABS(Table13345[[#This Row],[DeltaP]])="0","0.01",Table13345[[#This Row],[DeltaC]]-ABS(Table13345[[#This Row],[DeltaP]]))</f>
        <v>0</v>
      </c>
      <c r="AG98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7" t="e">
        <f ca="1">(EXP(-(AG987^2)/2)/SQRT(2*PI())*EXP(0*SQRT(Table13345[[#This Row],[T]]))/$A$4*18%*SQRT(SQRT(Table13345[[#This Row],[T]])))</f>
        <v>#DIV/0!</v>
      </c>
      <c r="AJ987" t="e">
        <f ca="1">(EXP(-(AH987^2)/2)/SQRT(2*PI())*EXP(0*SQRT(Table13345[[#This Row],[T]]))/$A$4*18%*SQRT(SQRT(Table13345[[#This Row],[T]])))</f>
        <v>#DIV/0!</v>
      </c>
      <c r="AK987" t="e">
        <f ca="1">Table13345[[#This Row],[Call D1]]-Table13345[[#This Row],[IV Calc C]]*SQRT(Table13345[[#This Row],[T]])</f>
        <v>#DIV/0!</v>
      </c>
      <c r="AL987" t="e">
        <f ca="1">Table13345[[#This Row],[Put D1]]-Table13345[[#This Row],[IV Calc P]]*SQRT(Table13345[[#This Row],[T]])</f>
        <v>#DIV/0!</v>
      </c>
      <c r="AM987" t="e">
        <f ca="1">EXP(-0.5*Table13345[[#This Row],[Call D1]]^2)/SQRT(2*PI())</f>
        <v>#DIV/0!</v>
      </c>
      <c r="AN987" t="e">
        <f ca="1">EXP(-0.5*Table13345[[#This Row],[Put D1]]^2)/SQRT(2*PI())</f>
        <v>#DIV/0!</v>
      </c>
      <c r="AO98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7">
        <f ca="1">((Table13345[[#This Row],[call vanna]]+Table13345[[#This Row],[put vanna]])*$A$4)</f>
        <v>0</v>
      </c>
      <c r="AR98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7" s="9" t="str" cm="1">
        <f t="array" ref="AT987">_xlfn.IFS(     $M$1="SPX","SPXW",     $M$1="RUT","RUTW",  $M$1="NDX","NDXP",   TRUE,$M$1 )</f>
        <v>SPXW</v>
      </c>
      <c r="AU987" s="2">
        <f t="shared" si="97"/>
        <v>6915</v>
      </c>
      <c r="AV987" t="str">
        <f t="shared" si="98"/>
        <v>000100</v>
      </c>
      <c r="AY98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7">
        <f>((Table13345[[#This Row],[High C]]+Table13345[[#This Row],[Low C]])/2)*Table13345[[#This Row],[gammac]]*Table13345[[#This Row],[Volume]]</f>
        <v>0</v>
      </c>
      <c r="BD987">
        <f>((Table13345[[#This Row],[High P]]+Table13345[[#This Row],[Low P]])/2)*Table13345[[#This Row],[gammap]]*Table13345[[#This Row],[Volume9]]*-1</f>
        <v>0</v>
      </c>
      <c r="BE987">
        <f>(Table13345[[#This Row],[SgammaC]]+Table13345[[#This Row],[SgammaP]])*$A$4*-100</f>
        <v>0</v>
      </c>
      <c r="BF987">
        <f>Table13345[[#This Row],[DEXc]]+Table13345[[#This Row],[DEXp]]</f>
        <v>0</v>
      </c>
      <c r="BG987">
        <f>IFERROR(Table13345[[#This Row],[DeltaC]]*Table13345[[#This Row],[Open.Int]]*$A$4,0)</f>
        <v>0</v>
      </c>
      <c r="BH987">
        <f>IFERROR(Table13345[[#This Row],[DeltaP]]*Table13345[[#This Row],[Open.Int8]]*$A$4,0)</f>
        <v>0</v>
      </c>
      <c r="BI98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7">
        <f ca="1">Table13345[[#This Row],[charmc]]+Table13345[[#This Row],[charmp]]</f>
        <v>0</v>
      </c>
      <c r="BL98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7" s="78">
        <f ca="1">Table13345[[#This Row],[call helper]]+Table13345[[#This Row],[put helper]]</f>
        <v>0</v>
      </c>
      <c r="BP987" t="str">
        <f>RTD("tos.rtd", , "STRIKE", "."&amp;Table13345[[#This Row],[Ticker]]&amp;Table13345[[#This Row],[Expiry]]&amp;""&amp;"C"&amp;Table13345[[#This Row],[Spot]]+Table13345[[#This Row],[step]])</f>
        <v>N/A</v>
      </c>
    </row>
    <row r="988" spans="1:68" x14ac:dyDescent="0.25">
      <c r="A988" s="14">
        <f t="shared" ca="1" si="94"/>
        <v>-126.14810350076104</v>
      </c>
      <c r="C988" s="17"/>
      <c r="D988" t="str">
        <f>RTD("tos.rtd", , "OPEN_INT", "."&amp;Table13345[[#This Row],[Ticker]]&amp;Table13345[[#This Row],[Expiry]]&amp;""&amp;"C"&amp;Table13345[[#This Row],[Spot]]+Table13345[[#This Row],[step]])</f>
        <v>N/A</v>
      </c>
      <c r="E98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8" t="b">
        <f>IF(     ISNUMBER(Table13345[[#This Row],[Strike]]),RTD("tos.rtd", , "DELTA", "."&amp;Table13345[[#This Row],[Ticker]]&amp;Table13345[[#This Row],[Expiry]]&amp;""&amp;"C"&amp;Table13345[[#This Row],[Strike]]))</f>
        <v>0</v>
      </c>
      <c r="H988" s="17" cm="1">
        <f t="array" aca="1" ref="H988" ca="1">IndividualLegIVCore($A$4, Table13345[[#This Row],[Strike]], 0.0411, Table13345[[#This Row],[T]], ((Table13345[[#This Row],[BIDC]]+Table13345[[#This Row],[ASKC]])/2), TRUE)</f>
        <v>0.01</v>
      </c>
      <c r="I988" t="b">
        <f>IF(     ISNUMBER(Table13345[[#This Row],[Strike]]),RTD("tos.rtd", , "BID", "."&amp;Table13345[[#This Row],[Ticker]]&amp;Table13345[[#This Row],[Expiry]]&amp;""&amp;"C"&amp;Table13345[[#This Row],[Strike]]))</f>
        <v>0</v>
      </c>
      <c r="J988" t="b">
        <f>IF(     ISNUMBER(Table13345[[#This Row],[Strike]]),RTD("tos.rtd", , "ASK", "."&amp;Table13345[[#This Row],[Ticker]]&amp;Table13345[[#This Row],[Expiry]]&amp;""&amp;"C"&amp;Table13345[[#This Row],[Strike]]))</f>
        <v>0</v>
      </c>
      <c r="K988" s="17"/>
      <c r="M988" s="1">
        <f t="shared" si="95"/>
        <v>0</v>
      </c>
      <c r="N988" t="b">
        <f t="shared" si="96"/>
        <v>0</v>
      </c>
      <c r="P988" s="17" cm="1">
        <f t="array" aca="1" ref="P988" ca="1">IndividualLegIVCore($A$4, Table13345[[#This Row],[Strike]], 0.0411, Table13345[[#This Row],[T]], ((Table13345[[#This Row],[BIDP]]+Table13345[[#This Row],[ASKP]])/2), FALSE)</f>
        <v>0.01</v>
      </c>
      <c r="Q988" t="b">
        <f>IF(     ISNUMBER(Table13345[[#This Row],[Strike]]),RTD("tos.rtd", , "BID", "."&amp;Table13345[[#This Row],[Ticker]]&amp;Table13345[[#This Row],[Expiry]]&amp;""&amp;"P"&amp;Table13345[[#This Row],[Strike]]))</f>
        <v>0</v>
      </c>
      <c r="R988" t="b">
        <f>IF(     ISNUMBER(Table13345[[#This Row],[Strike]]),RTD("tos.rtd", , "ASK", "."&amp;Table13345[[#This Row],[Ticker]]&amp;Table13345[[#This Row],[Expiry]]&amp;""&amp;"P"&amp;Table13345[[#This Row],[Strike]]))</f>
        <v>0</v>
      </c>
      <c r="S988" s="17"/>
      <c r="T988" t="b">
        <f>IF(     ISNUMBER(Table13345[[#This Row],[Strike]]),RTD("tos.rtd", , "OPEN_INT", "."&amp;Table13345[[#This Row],[Ticker]]&amp;Table13345[[#This Row],[Expiry]]&amp;""&amp;"P"&amp;Table13345[[#This Row],[Strike]]))</f>
        <v>0</v>
      </c>
      <c r="U98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8" t="b">
        <f>IF(     ISNUMBER(Table13345[[#This Row],[Strike]]),RTD("tos.rtd", , "DELTA", "."&amp;Table13345[[#This Row],[Ticker]]&amp;Table13345[[#This Row],[Expiry]]&amp;""&amp;"P"&amp;Table13345[[#This Row],[Strike]]))</f>
        <v>0</v>
      </c>
      <c r="Y988" s="19">
        <f>33* IF($M$1="NDX", 10, IF(OR($M$1="SPX", $M$1="RUT"), 2, 1))</f>
        <v>66</v>
      </c>
      <c r="Z988">
        <f ca="1">IFERROR(Table13345[[#This Row],[call gamma]]*(Table13345[[#This Row],[Open.Int]])*$A$4^2,0)</f>
        <v>0</v>
      </c>
      <c r="AA988">
        <f ca="1">IFERROR(((Table13345[[#This Row],[Open.Int8]])*Table13345[[#This Row],[Put gamma]])*-1*$A$4^2,0)</f>
        <v>0</v>
      </c>
      <c r="AB988">
        <f ca="1">(Table13345[[#This Row],[Call Gex]]+Table13345[[#This Row],[Put Gex]])</f>
        <v>0</v>
      </c>
      <c r="AC988">
        <f ca="1">Table13345[[#This Row],[put delta adj]]+Table13345[[#This Row],[call delta adj]]</f>
        <v>0</v>
      </c>
      <c r="AD988">
        <f ca="1">Table13345[[#This Row],[Put Gex]]*Table13345[[#This Row],[DeltaP]]*-1</f>
        <v>0</v>
      </c>
      <c r="AE988">
        <f ca="1">Table13345[[#This Row],[Call Gex]]*Table13345[[#This Row],[DeltaC]]</f>
        <v>0</v>
      </c>
      <c r="AF988">
        <f>IF(Table13345[[#This Row],[DeltaC]]-ABS(Table13345[[#This Row],[DeltaP]])="0","0.01",Table13345[[#This Row],[DeltaC]]-ABS(Table13345[[#This Row],[DeltaP]]))</f>
        <v>0</v>
      </c>
      <c r="AG98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8" t="e">
        <f ca="1">(EXP(-(AG988^2)/2)/SQRT(2*PI())*EXP(0*SQRT(Table13345[[#This Row],[T]]))/$A$4*18%*SQRT(SQRT(Table13345[[#This Row],[T]])))</f>
        <v>#DIV/0!</v>
      </c>
      <c r="AJ988" t="e">
        <f ca="1">(EXP(-(AH988^2)/2)/SQRT(2*PI())*EXP(0*SQRT(Table13345[[#This Row],[T]]))/$A$4*18%*SQRT(SQRT(Table13345[[#This Row],[T]])))</f>
        <v>#DIV/0!</v>
      </c>
      <c r="AK988" t="e">
        <f ca="1">Table13345[[#This Row],[Call D1]]-Table13345[[#This Row],[IV Calc C]]*SQRT(Table13345[[#This Row],[T]])</f>
        <v>#DIV/0!</v>
      </c>
      <c r="AL988" t="e">
        <f ca="1">Table13345[[#This Row],[Put D1]]-Table13345[[#This Row],[IV Calc P]]*SQRT(Table13345[[#This Row],[T]])</f>
        <v>#DIV/0!</v>
      </c>
      <c r="AM988" t="e">
        <f ca="1">EXP(-0.5*Table13345[[#This Row],[Call D1]]^2)/SQRT(2*PI())</f>
        <v>#DIV/0!</v>
      </c>
      <c r="AN988" t="e">
        <f ca="1">EXP(-0.5*Table13345[[#This Row],[Put D1]]^2)/SQRT(2*PI())</f>
        <v>#DIV/0!</v>
      </c>
      <c r="AO98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8">
        <f ca="1">((Table13345[[#This Row],[call vanna]]+Table13345[[#This Row],[put vanna]])*$A$4)</f>
        <v>0</v>
      </c>
      <c r="AR98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8" s="9" t="str" cm="1">
        <f t="array" ref="AT988">_xlfn.IFS(     $M$1="SPX","SPXW",     $M$1="RUT","RUTW",  $M$1="NDX","NDXP",   TRUE,$M$1 )</f>
        <v>SPXW</v>
      </c>
      <c r="AU988" s="2">
        <f t="shared" si="97"/>
        <v>6915</v>
      </c>
      <c r="AV988" t="str">
        <f t="shared" si="98"/>
        <v>000100</v>
      </c>
      <c r="AY98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8">
        <f>((Table13345[[#This Row],[High C]]+Table13345[[#This Row],[Low C]])/2)*Table13345[[#This Row],[gammac]]*Table13345[[#This Row],[Volume]]</f>
        <v>0</v>
      </c>
      <c r="BD988">
        <f>((Table13345[[#This Row],[High P]]+Table13345[[#This Row],[Low P]])/2)*Table13345[[#This Row],[gammap]]*Table13345[[#This Row],[Volume9]]*-1</f>
        <v>0</v>
      </c>
      <c r="BE988">
        <f>(Table13345[[#This Row],[SgammaC]]+Table13345[[#This Row],[SgammaP]])*$A$4*-100</f>
        <v>0</v>
      </c>
      <c r="BF988">
        <f>Table13345[[#This Row],[DEXc]]+Table13345[[#This Row],[DEXp]]</f>
        <v>0</v>
      </c>
      <c r="BG988">
        <f>IFERROR(Table13345[[#This Row],[DeltaC]]*Table13345[[#This Row],[Open.Int]]*$A$4,0)</f>
        <v>0</v>
      </c>
      <c r="BH988">
        <f>IFERROR(Table13345[[#This Row],[DeltaP]]*Table13345[[#This Row],[Open.Int8]]*$A$4,0)</f>
        <v>0</v>
      </c>
      <c r="BI98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8">
        <f ca="1">Table13345[[#This Row],[charmc]]+Table13345[[#This Row],[charmp]]</f>
        <v>0</v>
      </c>
      <c r="BL98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8" s="78">
        <f ca="1">Table13345[[#This Row],[call helper]]+Table13345[[#This Row],[put helper]]</f>
        <v>0</v>
      </c>
      <c r="BP988" t="str">
        <f>RTD("tos.rtd", , "STRIKE", "."&amp;Table13345[[#This Row],[Ticker]]&amp;Table13345[[#This Row],[Expiry]]&amp;""&amp;"C"&amp;Table13345[[#This Row],[Spot]]+Table13345[[#This Row],[step]])</f>
        <v>N/A</v>
      </c>
    </row>
    <row r="989" spans="1:68" x14ac:dyDescent="0.25">
      <c r="A989" s="14">
        <f t="shared" ca="1" si="94"/>
        <v>-126.14810350076104</v>
      </c>
      <c r="C989" s="17"/>
      <c r="D989" t="str">
        <f>RTD("tos.rtd", , "OPEN_INT", "."&amp;Table13345[[#This Row],[Ticker]]&amp;Table13345[[#This Row],[Expiry]]&amp;""&amp;"C"&amp;Table13345[[#This Row],[Spot]]+Table13345[[#This Row],[step]])</f>
        <v>N/A</v>
      </c>
      <c r="E98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9" t="b">
        <f>IF(     ISNUMBER(Table13345[[#This Row],[Strike]]),RTD("tos.rtd", , "DELTA", "."&amp;Table13345[[#This Row],[Ticker]]&amp;Table13345[[#This Row],[Expiry]]&amp;""&amp;"C"&amp;Table13345[[#This Row],[Strike]]))</f>
        <v>0</v>
      </c>
      <c r="H989" s="17" cm="1">
        <f t="array" aca="1" ref="H989" ca="1">IndividualLegIVCore($A$4, Table13345[[#This Row],[Strike]], 0.0411, Table13345[[#This Row],[T]], ((Table13345[[#This Row],[BIDC]]+Table13345[[#This Row],[ASKC]])/2), TRUE)</f>
        <v>0.01</v>
      </c>
      <c r="I989" t="b">
        <f>IF(     ISNUMBER(Table13345[[#This Row],[Strike]]),RTD("tos.rtd", , "BID", "."&amp;Table13345[[#This Row],[Ticker]]&amp;Table13345[[#This Row],[Expiry]]&amp;""&amp;"C"&amp;Table13345[[#This Row],[Strike]]))</f>
        <v>0</v>
      </c>
      <c r="J989" t="b">
        <f>IF(     ISNUMBER(Table13345[[#This Row],[Strike]]),RTD("tos.rtd", , "ASK", "."&amp;Table13345[[#This Row],[Ticker]]&amp;Table13345[[#This Row],[Expiry]]&amp;""&amp;"C"&amp;Table13345[[#This Row],[Strike]]))</f>
        <v>0</v>
      </c>
      <c r="K989" s="17"/>
      <c r="M989" s="1">
        <f t="shared" si="95"/>
        <v>0</v>
      </c>
      <c r="N989" t="b">
        <f t="shared" si="96"/>
        <v>0</v>
      </c>
      <c r="P989" s="17" cm="1">
        <f t="array" aca="1" ref="P989" ca="1">IndividualLegIVCore($A$4, Table13345[[#This Row],[Strike]], 0.0411, Table13345[[#This Row],[T]], ((Table13345[[#This Row],[BIDP]]+Table13345[[#This Row],[ASKP]])/2), FALSE)</f>
        <v>0.01</v>
      </c>
      <c r="Q989" t="b">
        <f>IF(     ISNUMBER(Table13345[[#This Row],[Strike]]),RTD("tos.rtd", , "BID", "."&amp;Table13345[[#This Row],[Ticker]]&amp;Table13345[[#This Row],[Expiry]]&amp;""&amp;"P"&amp;Table13345[[#This Row],[Strike]]))</f>
        <v>0</v>
      </c>
      <c r="R989" t="b">
        <f>IF(     ISNUMBER(Table13345[[#This Row],[Strike]]),RTD("tos.rtd", , "ASK", "."&amp;Table13345[[#This Row],[Ticker]]&amp;Table13345[[#This Row],[Expiry]]&amp;""&amp;"P"&amp;Table13345[[#This Row],[Strike]]))</f>
        <v>0</v>
      </c>
      <c r="S989" s="17"/>
      <c r="T989" t="b">
        <f>IF(     ISNUMBER(Table13345[[#This Row],[Strike]]),RTD("tos.rtd", , "OPEN_INT", "."&amp;Table13345[[#This Row],[Ticker]]&amp;Table13345[[#This Row],[Expiry]]&amp;""&amp;"P"&amp;Table13345[[#This Row],[Strike]]))</f>
        <v>0</v>
      </c>
      <c r="U98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9" t="b">
        <f>IF(     ISNUMBER(Table13345[[#This Row],[Strike]]),RTD("tos.rtd", , "DELTA", "."&amp;Table13345[[#This Row],[Ticker]]&amp;Table13345[[#This Row],[Expiry]]&amp;""&amp;"P"&amp;Table13345[[#This Row],[Strike]]))</f>
        <v>0</v>
      </c>
      <c r="Y989" s="19">
        <f>33.5* IF($M$1="NDX", 10, IF(OR($M$1="SPX", $M$1="RUT"), 2, 1))</f>
        <v>67</v>
      </c>
      <c r="Z989">
        <f ca="1">IFERROR(Table13345[[#This Row],[call gamma]]*(Table13345[[#This Row],[Open.Int]])*$A$4^2,0)</f>
        <v>0</v>
      </c>
      <c r="AA989">
        <f ca="1">IFERROR(((Table13345[[#This Row],[Open.Int8]])*Table13345[[#This Row],[Put gamma]])*-1*$A$4^2,0)</f>
        <v>0</v>
      </c>
      <c r="AB989">
        <f ca="1">(Table13345[[#This Row],[Call Gex]]+Table13345[[#This Row],[Put Gex]])</f>
        <v>0</v>
      </c>
      <c r="AC989">
        <f ca="1">Table13345[[#This Row],[put delta adj]]+Table13345[[#This Row],[call delta adj]]</f>
        <v>0</v>
      </c>
      <c r="AD989">
        <f ca="1">Table13345[[#This Row],[Put Gex]]*Table13345[[#This Row],[DeltaP]]*-1</f>
        <v>0</v>
      </c>
      <c r="AE989">
        <f ca="1">Table13345[[#This Row],[Call Gex]]*Table13345[[#This Row],[DeltaC]]</f>
        <v>0</v>
      </c>
      <c r="AF989">
        <f>IF(Table13345[[#This Row],[DeltaC]]-ABS(Table13345[[#This Row],[DeltaP]])="0","0.01",Table13345[[#This Row],[DeltaC]]-ABS(Table13345[[#This Row],[DeltaP]]))</f>
        <v>0</v>
      </c>
      <c r="AG98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9" t="e">
        <f ca="1">(EXP(-(AG989^2)/2)/SQRT(2*PI())*EXP(0*SQRT(Table13345[[#This Row],[T]]))/$A$4*18%*SQRT(SQRT(Table13345[[#This Row],[T]])))</f>
        <v>#DIV/0!</v>
      </c>
      <c r="AJ989" t="e">
        <f ca="1">(EXP(-(AH989^2)/2)/SQRT(2*PI())*EXP(0*SQRT(Table13345[[#This Row],[T]]))/$A$4*18%*SQRT(SQRT(Table13345[[#This Row],[T]])))</f>
        <v>#DIV/0!</v>
      </c>
      <c r="AK989" t="e">
        <f ca="1">Table13345[[#This Row],[Call D1]]-Table13345[[#This Row],[IV Calc C]]*SQRT(Table13345[[#This Row],[T]])</f>
        <v>#DIV/0!</v>
      </c>
      <c r="AL989" t="e">
        <f ca="1">Table13345[[#This Row],[Put D1]]-Table13345[[#This Row],[IV Calc P]]*SQRT(Table13345[[#This Row],[T]])</f>
        <v>#DIV/0!</v>
      </c>
      <c r="AM989" t="e">
        <f ca="1">EXP(-0.5*Table13345[[#This Row],[Call D1]]^2)/SQRT(2*PI())</f>
        <v>#DIV/0!</v>
      </c>
      <c r="AN989" t="e">
        <f ca="1">EXP(-0.5*Table13345[[#This Row],[Put D1]]^2)/SQRT(2*PI())</f>
        <v>#DIV/0!</v>
      </c>
      <c r="AO98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9">
        <f ca="1">((Table13345[[#This Row],[call vanna]]+Table13345[[#This Row],[put vanna]])*$A$4)</f>
        <v>0</v>
      </c>
      <c r="AR98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9" s="9" t="str" cm="1">
        <f t="array" ref="AT989">_xlfn.IFS(     $M$1="SPX","SPXW",     $M$1="RUT","RUTW",  $M$1="NDX","NDXP",   TRUE,$M$1 )</f>
        <v>SPXW</v>
      </c>
      <c r="AU989" s="2">
        <f t="shared" si="97"/>
        <v>6915</v>
      </c>
      <c r="AV989" t="str">
        <f t="shared" si="98"/>
        <v>000100</v>
      </c>
      <c r="AY98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9">
        <f>((Table13345[[#This Row],[High C]]+Table13345[[#This Row],[Low C]])/2)*Table13345[[#This Row],[gammac]]*Table13345[[#This Row],[Volume]]</f>
        <v>0</v>
      </c>
      <c r="BD989">
        <f>((Table13345[[#This Row],[High P]]+Table13345[[#This Row],[Low P]])/2)*Table13345[[#This Row],[gammap]]*Table13345[[#This Row],[Volume9]]*-1</f>
        <v>0</v>
      </c>
      <c r="BE989">
        <f>(Table13345[[#This Row],[SgammaC]]+Table13345[[#This Row],[SgammaP]])*$A$4*-100</f>
        <v>0</v>
      </c>
      <c r="BF989">
        <f>Table13345[[#This Row],[DEXc]]+Table13345[[#This Row],[DEXp]]</f>
        <v>0</v>
      </c>
      <c r="BG989">
        <f>IFERROR(Table13345[[#This Row],[DeltaC]]*Table13345[[#This Row],[Open.Int]]*$A$4,0)</f>
        <v>0</v>
      </c>
      <c r="BH989">
        <f>IFERROR(Table13345[[#This Row],[DeltaP]]*Table13345[[#This Row],[Open.Int8]]*$A$4,0)</f>
        <v>0</v>
      </c>
      <c r="BI98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9">
        <f ca="1">Table13345[[#This Row],[charmc]]+Table13345[[#This Row],[charmp]]</f>
        <v>0</v>
      </c>
      <c r="BL98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9" s="78">
        <f ca="1">Table13345[[#This Row],[call helper]]+Table13345[[#This Row],[put helper]]</f>
        <v>0</v>
      </c>
      <c r="BP989" t="str">
        <f>RTD("tos.rtd", , "STRIKE", "."&amp;Table13345[[#This Row],[Ticker]]&amp;Table13345[[#This Row],[Expiry]]&amp;""&amp;"C"&amp;Table13345[[#This Row],[Spot]]+Table13345[[#This Row],[step]])</f>
        <v>N/A</v>
      </c>
    </row>
    <row r="990" spans="1:68" x14ac:dyDescent="0.25">
      <c r="A990" s="14">
        <f t="shared" ca="1" si="94"/>
        <v>-126.14810350076104</v>
      </c>
      <c r="C990" s="17"/>
      <c r="D990" t="str">
        <f>RTD("tos.rtd", , "OPEN_INT", "."&amp;Table13345[[#This Row],[Ticker]]&amp;Table13345[[#This Row],[Expiry]]&amp;""&amp;"C"&amp;Table13345[[#This Row],[Spot]]+Table13345[[#This Row],[step]])</f>
        <v>N/A</v>
      </c>
      <c r="E99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0" t="b">
        <f>IF(     ISNUMBER(Table13345[[#This Row],[Strike]]),RTD("tos.rtd", , "DELTA", "."&amp;Table13345[[#This Row],[Ticker]]&amp;Table13345[[#This Row],[Expiry]]&amp;""&amp;"C"&amp;Table13345[[#This Row],[Strike]]))</f>
        <v>0</v>
      </c>
      <c r="H990" s="17" cm="1">
        <f t="array" aca="1" ref="H990" ca="1">IndividualLegIVCore($A$4, Table13345[[#This Row],[Strike]], 0.0411, Table13345[[#This Row],[T]], ((Table13345[[#This Row],[BIDC]]+Table13345[[#This Row],[ASKC]])/2), TRUE)</f>
        <v>0.01</v>
      </c>
      <c r="I990" t="b">
        <f>IF(     ISNUMBER(Table13345[[#This Row],[Strike]]),RTD("tos.rtd", , "BID", "."&amp;Table13345[[#This Row],[Ticker]]&amp;Table13345[[#This Row],[Expiry]]&amp;""&amp;"C"&amp;Table13345[[#This Row],[Strike]]))</f>
        <v>0</v>
      </c>
      <c r="J990" t="b">
        <f>IF(     ISNUMBER(Table13345[[#This Row],[Strike]]),RTD("tos.rtd", , "ASK", "."&amp;Table13345[[#This Row],[Ticker]]&amp;Table13345[[#This Row],[Expiry]]&amp;""&amp;"C"&amp;Table13345[[#This Row],[Strike]]))</f>
        <v>0</v>
      </c>
      <c r="K990" s="17"/>
      <c r="M990" s="1">
        <f t="shared" si="95"/>
        <v>0</v>
      </c>
      <c r="N990" t="b">
        <f t="shared" si="96"/>
        <v>0</v>
      </c>
      <c r="P990" s="17" cm="1">
        <f t="array" aca="1" ref="P990" ca="1">IndividualLegIVCore($A$4, Table13345[[#This Row],[Strike]], 0.0411, Table13345[[#This Row],[T]], ((Table13345[[#This Row],[BIDP]]+Table13345[[#This Row],[ASKP]])/2), FALSE)</f>
        <v>0.01</v>
      </c>
      <c r="Q990" t="b">
        <f>IF(     ISNUMBER(Table13345[[#This Row],[Strike]]),RTD("tos.rtd", , "BID", "."&amp;Table13345[[#This Row],[Ticker]]&amp;Table13345[[#This Row],[Expiry]]&amp;""&amp;"P"&amp;Table13345[[#This Row],[Strike]]))</f>
        <v>0</v>
      </c>
      <c r="R990" t="b">
        <f>IF(     ISNUMBER(Table13345[[#This Row],[Strike]]),RTD("tos.rtd", , "ASK", "."&amp;Table13345[[#This Row],[Ticker]]&amp;Table13345[[#This Row],[Expiry]]&amp;""&amp;"P"&amp;Table13345[[#This Row],[Strike]]))</f>
        <v>0</v>
      </c>
      <c r="S990" s="17"/>
      <c r="T990" t="b">
        <f>IF(     ISNUMBER(Table13345[[#This Row],[Strike]]),RTD("tos.rtd", , "OPEN_INT", "."&amp;Table13345[[#This Row],[Ticker]]&amp;Table13345[[#This Row],[Expiry]]&amp;""&amp;"P"&amp;Table13345[[#This Row],[Strike]]))</f>
        <v>0</v>
      </c>
      <c r="U99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0" t="b">
        <f>IF(     ISNUMBER(Table13345[[#This Row],[Strike]]),RTD("tos.rtd", , "DELTA", "."&amp;Table13345[[#This Row],[Ticker]]&amp;Table13345[[#This Row],[Expiry]]&amp;""&amp;"P"&amp;Table13345[[#This Row],[Strike]]))</f>
        <v>0</v>
      </c>
      <c r="Y990" s="19">
        <f>34* IF($M$1="NDX", 10, IF(OR($M$1="SPX", $M$1="RUT"), 2, 1))</f>
        <v>68</v>
      </c>
      <c r="Z990">
        <f ca="1">IFERROR(Table13345[[#This Row],[call gamma]]*(Table13345[[#This Row],[Open.Int]])*$A$4^2,0)</f>
        <v>0</v>
      </c>
      <c r="AA990">
        <f ca="1">IFERROR(((Table13345[[#This Row],[Open.Int8]])*Table13345[[#This Row],[Put gamma]])*-1*$A$4^2,0)</f>
        <v>0</v>
      </c>
      <c r="AB990">
        <f ca="1">(Table13345[[#This Row],[Call Gex]]+Table13345[[#This Row],[Put Gex]])</f>
        <v>0</v>
      </c>
      <c r="AC990">
        <f ca="1">Table13345[[#This Row],[put delta adj]]+Table13345[[#This Row],[call delta adj]]</f>
        <v>0</v>
      </c>
      <c r="AD990">
        <f ca="1">Table13345[[#This Row],[Put Gex]]*Table13345[[#This Row],[DeltaP]]*-1</f>
        <v>0</v>
      </c>
      <c r="AE990">
        <f ca="1">Table13345[[#This Row],[Call Gex]]*Table13345[[#This Row],[DeltaC]]</f>
        <v>0</v>
      </c>
      <c r="AF990">
        <f>IF(Table13345[[#This Row],[DeltaC]]-ABS(Table13345[[#This Row],[DeltaP]])="0","0.01",Table13345[[#This Row],[DeltaC]]-ABS(Table13345[[#This Row],[DeltaP]]))</f>
        <v>0</v>
      </c>
      <c r="AG99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0" t="e">
        <f ca="1">(EXP(-(AG990^2)/2)/SQRT(2*PI())*EXP(0*SQRT(Table13345[[#This Row],[T]]))/$A$4*18%*SQRT(SQRT(Table13345[[#This Row],[T]])))</f>
        <v>#DIV/0!</v>
      </c>
      <c r="AJ990" t="e">
        <f ca="1">(EXP(-(AH990^2)/2)/SQRT(2*PI())*EXP(0*SQRT(Table13345[[#This Row],[T]]))/$A$4*18%*SQRT(SQRT(Table13345[[#This Row],[T]])))</f>
        <v>#DIV/0!</v>
      </c>
      <c r="AK990" t="e">
        <f ca="1">Table13345[[#This Row],[Call D1]]-Table13345[[#This Row],[IV Calc C]]*SQRT(Table13345[[#This Row],[T]])</f>
        <v>#DIV/0!</v>
      </c>
      <c r="AL990" t="e">
        <f ca="1">Table13345[[#This Row],[Put D1]]-Table13345[[#This Row],[IV Calc P]]*SQRT(Table13345[[#This Row],[T]])</f>
        <v>#DIV/0!</v>
      </c>
      <c r="AM990" t="e">
        <f ca="1">EXP(-0.5*Table13345[[#This Row],[Call D1]]^2)/SQRT(2*PI())</f>
        <v>#DIV/0!</v>
      </c>
      <c r="AN990" t="e">
        <f ca="1">EXP(-0.5*Table13345[[#This Row],[Put D1]]^2)/SQRT(2*PI())</f>
        <v>#DIV/0!</v>
      </c>
      <c r="AO99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0">
        <f ca="1">((Table13345[[#This Row],[call vanna]]+Table13345[[#This Row],[put vanna]])*$A$4)</f>
        <v>0</v>
      </c>
      <c r="AR99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0" s="9" t="str" cm="1">
        <f t="array" ref="AT990">_xlfn.IFS(     $M$1="SPX","SPXW",     $M$1="RUT","RUTW",  $M$1="NDX","NDXP",   TRUE,$M$1 )</f>
        <v>SPXW</v>
      </c>
      <c r="AU990" s="2">
        <f t="shared" si="97"/>
        <v>6915</v>
      </c>
      <c r="AV990" t="str">
        <f t="shared" si="98"/>
        <v>000100</v>
      </c>
      <c r="AY99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0">
        <f>((Table13345[[#This Row],[High C]]+Table13345[[#This Row],[Low C]])/2)*Table13345[[#This Row],[gammac]]*Table13345[[#This Row],[Volume]]</f>
        <v>0</v>
      </c>
      <c r="BD990">
        <f>((Table13345[[#This Row],[High P]]+Table13345[[#This Row],[Low P]])/2)*Table13345[[#This Row],[gammap]]*Table13345[[#This Row],[Volume9]]*-1</f>
        <v>0</v>
      </c>
      <c r="BE990">
        <f>(Table13345[[#This Row],[SgammaC]]+Table13345[[#This Row],[SgammaP]])*$A$4*-100</f>
        <v>0</v>
      </c>
      <c r="BF990">
        <f>Table13345[[#This Row],[DEXc]]+Table13345[[#This Row],[DEXp]]</f>
        <v>0</v>
      </c>
      <c r="BG990">
        <f>IFERROR(Table13345[[#This Row],[DeltaC]]*Table13345[[#This Row],[Open.Int]]*$A$4,0)</f>
        <v>0</v>
      </c>
      <c r="BH990">
        <f>IFERROR(Table13345[[#This Row],[DeltaP]]*Table13345[[#This Row],[Open.Int8]]*$A$4,0)</f>
        <v>0</v>
      </c>
      <c r="BI99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0">
        <f ca="1">Table13345[[#This Row],[charmc]]+Table13345[[#This Row],[charmp]]</f>
        <v>0</v>
      </c>
      <c r="BL99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0" s="78">
        <f ca="1">Table13345[[#This Row],[call helper]]+Table13345[[#This Row],[put helper]]</f>
        <v>0</v>
      </c>
      <c r="BP990" t="str">
        <f>RTD("tos.rtd", , "STRIKE", "."&amp;Table13345[[#This Row],[Ticker]]&amp;Table13345[[#This Row],[Expiry]]&amp;""&amp;"C"&amp;Table13345[[#This Row],[Spot]]+Table13345[[#This Row],[step]])</f>
        <v>N/A</v>
      </c>
    </row>
    <row r="991" spans="1:68" x14ac:dyDescent="0.25">
      <c r="A991" s="14">
        <f t="shared" ca="1" si="94"/>
        <v>-126.14810350076104</v>
      </c>
      <c r="C991" s="17"/>
      <c r="D991" t="str">
        <f>RTD("tos.rtd", , "OPEN_INT", "."&amp;Table13345[[#This Row],[Ticker]]&amp;Table13345[[#This Row],[Expiry]]&amp;""&amp;"C"&amp;Table13345[[#This Row],[Spot]]+Table13345[[#This Row],[step]])</f>
        <v>N/A</v>
      </c>
      <c r="E99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1" t="b">
        <f>IF(     ISNUMBER(Table13345[[#This Row],[Strike]]),RTD("tos.rtd", , "DELTA", "."&amp;Table13345[[#This Row],[Ticker]]&amp;Table13345[[#This Row],[Expiry]]&amp;""&amp;"C"&amp;Table13345[[#This Row],[Strike]]))</f>
        <v>0</v>
      </c>
      <c r="H991" s="17" cm="1">
        <f t="array" aca="1" ref="H991" ca="1">IndividualLegIVCore($A$4, Table13345[[#This Row],[Strike]], 0.0411, Table13345[[#This Row],[T]], ((Table13345[[#This Row],[BIDC]]+Table13345[[#This Row],[ASKC]])/2), TRUE)</f>
        <v>0.01</v>
      </c>
      <c r="I991" t="b">
        <f>IF(     ISNUMBER(Table13345[[#This Row],[Strike]]),RTD("tos.rtd", , "BID", "."&amp;Table13345[[#This Row],[Ticker]]&amp;Table13345[[#This Row],[Expiry]]&amp;""&amp;"C"&amp;Table13345[[#This Row],[Strike]]))</f>
        <v>0</v>
      </c>
      <c r="J991" t="b">
        <f>IF(     ISNUMBER(Table13345[[#This Row],[Strike]]),RTD("tos.rtd", , "ASK", "."&amp;Table13345[[#This Row],[Ticker]]&amp;Table13345[[#This Row],[Expiry]]&amp;""&amp;"C"&amp;Table13345[[#This Row],[Strike]]))</f>
        <v>0</v>
      </c>
      <c r="K991" s="17"/>
      <c r="M991" s="1">
        <f t="shared" si="95"/>
        <v>0</v>
      </c>
      <c r="N991" t="b">
        <f t="shared" si="96"/>
        <v>0</v>
      </c>
      <c r="P991" s="17" cm="1">
        <f t="array" aca="1" ref="P991" ca="1">IndividualLegIVCore($A$4, Table13345[[#This Row],[Strike]], 0.0411, Table13345[[#This Row],[T]], ((Table13345[[#This Row],[BIDP]]+Table13345[[#This Row],[ASKP]])/2), FALSE)</f>
        <v>0.01</v>
      </c>
      <c r="Q991" t="b">
        <f>IF(     ISNUMBER(Table13345[[#This Row],[Strike]]),RTD("tos.rtd", , "BID", "."&amp;Table13345[[#This Row],[Ticker]]&amp;Table13345[[#This Row],[Expiry]]&amp;""&amp;"P"&amp;Table13345[[#This Row],[Strike]]))</f>
        <v>0</v>
      </c>
      <c r="R991" t="b">
        <f>IF(     ISNUMBER(Table13345[[#This Row],[Strike]]),RTD("tos.rtd", , "ASK", "."&amp;Table13345[[#This Row],[Ticker]]&amp;Table13345[[#This Row],[Expiry]]&amp;""&amp;"P"&amp;Table13345[[#This Row],[Strike]]))</f>
        <v>0</v>
      </c>
      <c r="S991" s="17"/>
      <c r="T991" t="b">
        <f>IF(     ISNUMBER(Table13345[[#This Row],[Strike]]),RTD("tos.rtd", , "OPEN_INT", "."&amp;Table13345[[#This Row],[Ticker]]&amp;Table13345[[#This Row],[Expiry]]&amp;""&amp;"P"&amp;Table13345[[#This Row],[Strike]]))</f>
        <v>0</v>
      </c>
      <c r="U99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1" t="b">
        <f>IF(     ISNUMBER(Table13345[[#This Row],[Strike]]),RTD("tos.rtd", , "DELTA", "."&amp;Table13345[[#This Row],[Ticker]]&amp;Table13345[[#This Row],[Expiry]]&amp;""&amp;"P"&amp;Table13345[[#This Row],[Strike]]))</f>
        <v>0</v>
      </c>
      <c r="Y991" s="19">
        <f>34.5* IF($M$1="NDX", 10, IF(OR($M$1="SPX", $M$1="RUT"), 2, 1))</f>
        <v>69</v>
      </c>
      <c r="Z991">
        <f ca="1">IFERROR(Table13345[[#This Row],[call gamma]]*(Table13345[[#This Row],[Open.Int]])*$A$4^2,0)</f>
        <v>0</v>
      </c>
      <c r="AA991">
        <f ca="1">IFERROR(((Table13345[[#This Row],[Open.Int8]])*Table13345[[#This Row],[Put gamma]])*-1*$A$4^2,0)</f>
        <v>0</v>
      </c>
      <c r="AB991">
        <f ca="1">(Table13345[[#This Row],[Call Gex]]+Table13345[[#This Row],[Put Gex]])</f>
        <v>0</v>
      </c>
      <c r="AC991">
        <f ca="1">Table13345[[#This Row],[put delta adj]]+Table13345[[#This Row],[call delta adj]]</f>
        <v>0</v>
      </c>
      <c r="AD991">
        <f ca="1">Table13345[[#This Row],[Put Gex]]*Table13345[[#This Row],[DeltaP]]*-1</f>
        <v>0</v>
      </c>
      <c r="AE991">
        <f ca="1">Table13345[[#This Row],[Call Gex]]*Table13345[[#This Row],[DeltaC]]</f>
        <v>0</v>
      </c>
      <c r="AF991">
        <f>IF(Table13345[[#This Row],[DeltaC]]-ABS(Table13345[[#This Row],[DeltaP]])="0","0.01",Table13345[[#This Row],[DeltaC]]-ABS(Table13345[[#This Row],[DeltaP]]))</f>
        <v>0</v>
      </c>
      <c r="AG99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1" t="e">
        <f ca="1">(EXP(-(AG991^2)/2)/SQRT(2*PI())*EXP(0*SQRT(Table13345[[#This Row],[T]]))/$A$4*18%*SQRT(SQRT(Table13345[[#This Row],[T]])))</f>
        <v>#DIV/0!</v>
      </c>
      <c r="AJ991" t="e">
        <f ca="1">(EXP(-(AH991^2)/2)/SQRT(2*PI())*EXP(0*SQRT(Table13345[[#This Row],[T]]))/$A$4*18%*SQRT(SQRT(Table13345[[#This Row],[T]])))</f>
        <v>#DIV/0!</v>
      </c>
      <c r="AK991" t="e">
        <f ca="1">Table13345[[#This Row],[Call D1]]-Table13345[[#This Row],[IV Calc C]]*SQRT(Table13345[[#This Row],[T]])</f>
        <v>#DIV/0!</v>
      </c>
      <c r="AL991" t="e">
        <f ca="1">Table13345[[#This Row],[Put D1]]-Table13345[[#This Row],[IV Calc P]]*SQRT(Table13345[[#This Row],[T]])</f>
        <v>#DIV/0!</v>
      </c>
      <c r="AM991" t="e">
        <f ca="1">EXP(-0.5*Table13345[[#This Row],[Call D1]]^2)/SQRT(2*PI())</f>
        <v>#DIV/0!</v>
      </c>
      <c r="AN991" t="e">
        <f ca="1">EXP(-0.5*Table13345[[#This Row],[Put D1]]^2)/SQRT(2*PI())</f>
        <v>#DIV/0!</v>
      </c>
      <c r="AO99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1">
        <f ca="1">((Table13345[[#This Row],[call vanna]]+Table13345[[#This Row],[put vanna]])*$A$4)</f>
        <v>0</v>
      </c>
      <c r="AR99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1" s="9" t="str" cm="1">
        <f t="array" ref="AT991">_xlfn.IFS(     $M$1="SPX","SPXW",     $M$1="RUT","RUTW",  $M$1="NDX","NDXP",   TRUE,$M$1 )</f>
        <v>SPXW</v>
      </c>
      <c r="AU991" s="2">
        <f t="shared" si="97"/>
        <v>6915</v>
      </c>
      <c r="AV991" t="str">
        <f t="shared" si="98"/>
        <v>000100</v>
      </c>
      <c r="AY99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1">
        <f>((Table13345[[#This Row],[High C]]+Table13345[[#This Row],[Low C]])/2)*Table13345[[#This Row],[gammac]]*Table13345[[#This Row],[Volume]]</f>
        <v>0</v>
      </c>
      <c r="BD991">
        <f>((Table13345[[#This Row],[High P]]+Table13345[[#This Row],[Low P]])/2)*Table13345[[#This Row],[gammap]]*Table13345[[#This Row],[Volume9]]*-1</f>
        <v>0</v>
      </c>
      <c r="BE991">
        <f>(Table13345[[#This Row],[SgammaC]]+Table13345[[#This Row],[SgammaP]])*$A$4*-100</f>
        <v>0</v>
      </c>
      <c r="BF991">
        <f>Table13345[[#This Row],[DEXc]]+Table13345[[#This Row],[DEXp]]</f>
        <v>0</v>
      </c>
      <c r="BG991">
        <f>IFERROR(Table13345[[#This Row],[DeltaC]]*Table13345[[#This Row],[Open.Int]]*$A$4,0)</f>
        <v>0</v>
      </c>
      <c r="BH991">
        <f>IFERROR(Table13345[[#This Row],[DeltaP]]*Table13345[[#This Row],[Open.Int8]]*$A$4,0)</f>
        <v>0</v>
      </c>
      <c r="BI99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1">
        <f ca="1">Table13345[[#This Row],[charmc]]+Table13345[[#This Row],[charmp]]</f>
        <v>0</v>
      </c>
      <c r="BL99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1" s="78">
        <f ca="1">Table13345[[#This Row],[call helper]]+Table13345[[#This Row],[put helper]]</f>
        <v>0</v>
      </c>
      <c r="BP991" t="str">
        <f>RTD("tos.rtd", , "STRIKE", "."&amp;Table13345[[#This Row],[Ticker]]&amp;Table13345[[#This Row],[Expiry]]&amp;""&amp;"C"&amp;Table13345[[#This Row],[Spot]]+Table13345[[#This Row],[step]])</f>
        <v>N/A</v>
      </c>
    </row>
    <row r="992" spans="1:68" x14ac:dyDescent="0.25">
      <c r="A992" s="14">
        <f t="shared" ca="1" si="94"/>
        <v>-126.14810350076104</v>
      </c>
      <c r="C992" s="17"/>
      <c r="D992" t="str">
        <f>RTD("tos.rtd", , "OPEN_INT", "."&amp;Table13345[[#This Row],[Ticker]]&amp;Table13345[[#This Row],[Expiry]]&amp;""&amp;"C"&amp;Table13345[[#This Row],[Spot]]+Table13345[[#This Row],[step]])</f>
        <v>N/A</v>
      </c>
      <c r="E99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2" t="b">
        <f>IF(     ISNUMBER(Table13345[[#This Row],[Strike]]),RTD("tos.rtd", , "DELTA", "."&amp;Table13345[[#This Row],[Ticker]]&amp;Table13345[[#This Row],[Expiry]]&amp;""&amp;"C"&amp;Table13345[[#This Row],[Strike]]))</f>
        <v>0</v>
      </c>
      <c r="H992" s="17" cm="1">
        <f t="array" aca="1" ref="H992" ca="1">IndividualLegIVCore($A$4, Table13345[[#This Row],[Strike]], 0.0411, Table13345[[#This Row],[T]], ((Table13345[[#This Row],[BIDC]]+Table13345[[#This Row],[ASKC]])/2), TRUE)</f>
        <v>0.01</v>
      </c>
      <c r="I992" t="b">
        <f>IF(     ISNUMBER(Table13345[[#This Row],[Strike]]),RTD("tos.rtd", , "BID", "."&amp;Table13345[[#This Row],[Ticker]]&amp;Table13345[[#This Row],[Expiry]]&amp;""&amp;"C"&amp;Table13345[[#This Row],[Strike]]))</f>
        <v>0</v>
      </c>
      <c r="J992" t="b">
        <f>IF(     ISNUMBER(Table13345[[#This Row],[Strike]]),RTD("tos.rtd", , "ASK", "."&amp;Table13345[[#This Row],[Ticker]]&amp;Table13345[[#This Row],[Expiry]]&amp;""&amp;"C"&amp;Table13345[[#This Row],[Strike]]))</f>
        <v>0</v>
      </c>
      <c r="K992" s="17"/>
      <c r="M992" s="1">
        <f t="shared" si="95"/>
        <v>0</v>
      </c>
      <c r="N992" t="b">
        <f t="shared" si="96"/>
        <v>0</v>
      </c>
      <c r="P992" s="17" cm="1">
        <f t="array" aca="1" ref="P992" ca="1">IndividualLegIVCore($A$4, Table13345[[#This Row],[Strike]], 0.0411, Table13345[[#This Row],[T]], ((Table13345[[#This Row],[BIDP]]+Table13345[[#This Row],[ASKP]])/2), FALSE)</f>
        <v>0.01</v>
      </c>
      <c r="Q992" t="b">
        <f>IF(     ISNUMBER(Table13345[[#This Row],[Strike]]),RTD("tos.rtd", , "BID", "."&amp;Table13345[[#This Row],[Ticker]]&amp;Table13345[[#This Row],[Expiry]]&amp;""&amp;"P"&amp;Table13345[[#This Row],[Strike]]))</f>
        <v>0</v>
      </c>
      <c r="R992" t="b">
        <f>IF(     ISNUMBER(Table13345[[#This Row],[Strike]]),RTD("tos.rtd", , "ASK", "."&amp;Table13345[[#This Row],[Ticker]]&amp;Table13345[[#This Row],[Expiry]]&amp;""&amp;"P"&amp;Table13345[[#This Row],[Strike]]))</f>
        <v>0</v>
      </c>
      <c r="S992" s="17"/>
      <c r="T992" t="b">
        <f>IF(     ISNUMBER(Table13345[[#This Row],[Strike]]),RTD("tos.rtd", , "OPEN_INT", "."&amp;Table13345[[#This Row],[Ticker]]&amp;Table13345[[#This Row],[Expiry]]&amp;""&amp;"P"&amp;Table13345[[#This Row],[Strike]]))</f>
        <v>0</v>
      </c>
      <c r="U99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2" t="b">
        <f>IF(     ISNUMBER(Table13345[[#This Row],[Strike]]),RTD("tos.rtd", , "DELTA", "."&amp;Table13345[[#This Row],[Ticker]]&amp;Table13345[[#This Row],[Expiry]]&amp;""&amp;"P"&amp;Table13345[[#This Row],[Strike]]))</f>
        <v>0</v>
      </c>
      <c r="Y992" s="19">
        <f>35* IF($M$1="NDX", 10, IF(OR($M$1="SPX", $M$1="RUT"), 2, 1))</f>
        <v>70</v>
      </c>
      <c r="Z992">
        <f ca="1">IFERROR(Table13345[[#This Row],[call gamma]]*(Table13345[[#This Row],[Open.Int]])*$A$4^2,0)</f>
        <v>0</v>
      </c>
      <c r="AA992">
        <f ca="1">IFERROR(((Table13345[[#This Row],[Open.Int8]])*Table13345[[#This Row],[Put gamma]])*-1*$A$4^2,0)</f>
        <v>0</v>
      </c>
      <c r="AB992">
        <f ca="1">(Table13345[[#This Row],[Call Gex]]+Table13345[[#This Row],[Put Gex]])</f>
        <v>0</v>
      </c>
      <c r="AC992">
        <f ca="1">Table13345[[#This Row],[put delta adj]]+Table13345[[#This Row],[call delta adj]]</f>
        <v>0</v>
      </c>
      <c r="AD992">
        <f ca="1">Table13345[[#This Row],[Put Gex]]*Table13345[[#This Row],[DeltaP]]*-1</f>
        <v>0</v>
      </c>
      <c r="AE992">
        <f ca="1">Table13345[[#This Row],[Call Gex]]*Table13345[[#This Row],[DeltaC]]</f>
        <v>0</v>
      </c>
      <c r="AF992">
        <f>IF(Table13345[[#This Row],[DeltaC]]-ABS(Table13345[[#This Row],[DeltaP]])="0","0.01",Table13345[[#This Row],[DeltaC]]-ABS(Table13345[[#This Row],[DeltaP]]))</f>
        <v>0</v>
      </c>
      <c r="AG99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2" t="e">
        <f ca="1">(EXP(-(AG992^2)/2)/SQRT(2*PI())*EXP(0*SQRT(Table13345[[#This Row],[T]]))/$A$4*18%*SQRT(SQRT(Table13345[[#This Row],[T]])))</f>
        <v>#DIV/0!</v>
      </c>
      <c r="AJ992" t="e">
        <f ca="1">(EXP(-(AH992^2)/2)/SQRT(2*PI())*EXP(0*SQRT(Table13345[[#This Row],[T]]))/$A$4*18%*SQRT(SQRT(Table13345[[#This Row],[T]])))</f>
        <v>#DIV/0!</v>
      </c>
      <c r="AK992" t="e">
        <f ca="1">Table13345[[#This Row],[Call D1]]-Table13345[[#This Row],[IV Calc C]]*SQRT(Table13345[[#This Row],[T]])</f>
        <v>#DIV/0!</v>
      </c>
      <c r="AL992" t="e">
        <f ca="1">Table13345[[#This Row],[Put D1]]-Table13345[[#This Row],[IV Calc P]]*SQRT(Table13345[[#This Row],[T]])</f>
        <v>#DIV/0!</v>
      </c>
      <c r="AM992" t="e">
        <f ca="1">EXP(-0.5*Table13345[[#This Row],[Call D1]]^2)/SQRT(2*PI())</f>
        <v>#DIV/0!</v>
      </c>
      <c r="AN992" t="e">
        <f ca="1">EXP(-0.5*Table13345[[#This Row],[Put D1]]^2)/SQRT(2*PI())</f>
        <v>#DIV/0!</v>
      </c>
      <c r="AO99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2">
        <f ca="1">((Table13345[[#This Row],[call vanna]]+Table13345[[#This Row],[put vanna]])*$A$4)</f>
        <v>0</v>
      </c>
      <c r="AR99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2" s="9" t="str" cm="1">
        <f t="array" ref="AT992">_xlfn.IFS(     $M$1="SPX","SPXW",     $M$1="RUT","RUTW",  $M$1="NDX","NDXP",   TRUE,$M$1 )</f>
        <v>SPXW</v>
      </c>
      <c r="AU992" s="2">
        <f t="shared" si="97"/>
        <v>6915</v>
      </c>
      <c r="AV992" t="str">
        <f t="shared" si="98"/>
        <v>000100</v>
      </c>
      <c r="AY99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2">
        <f>((Table13345[[#This Row],[High C]]+Table13345[[#This Row],[Low C]])/2)*Table13345[[#This Row],[gammac]]*Table13345[[#This Row],[Volume]]</f>
        <v>0</v>
      </c>
      <c r="BD992">
        <f>((Table13345[[#This Row],[High P]]+Table13345[[#This Row],[Low P]])/2)*Table13345[[#This Row],[gammap]]*Table13345[[#This Row],[Volume9]]*-1</f>
        <v>0</v>
      </c>
      <c r="BE992">
        <f>(Table13345[[#This Row],[SgammaC]]+Table13345[[#This Row],[SgammaP]])*$A$4*-100</f>
        <v>0</v>
      </c>
      <c r="BF992">
        <f>Table13345[[#This Row],[DEXc]]+Table13345[[#This Row],[DEXp]]</f>
        <v>0</v>
      </c>
      <c r="BG992">
        <f>IFERROR(Table13345[[#This Row],[DeltaC]]*Table13345[[#This Row],[Open.Int]]*$A$4,0)</f>
        <v>0</v>
      </c>
      <c r="BH992">
        <f>IFERROR(Table13345[[#This Row],[DeltaP]]*Table13345[[#This Row],[Open.Int8]]*$A$4,0)</f>
        <v>0</v>
      </c>
      <c r="BI99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2">
        <f ca="1">Table13345[[#This Row],[charmc]]+Table13345[[#This Row],[charmp]]</f>
        <v>0</v>
      </c>
      <c r="BL99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2" s="78">
        <f ca="1">Table13345[[#This Row],[call helper]]+Table13345[[#This Row],[put helper]]</f>
        <v>0</v>
      </c>
      <c r="BP992" t="str">
        <f>RTD("tos.rtd", , "STRIKE", "."&amp;Table13345[[#This Row],[Ticker]]&amp;Table13345[[#This Row],[Expiry]]&amp;""&amp;"C"&amp;Table13345[[#This Row],[Spot]]+Table13345[[#This Row],[step]])</f>
        <v>N/A</v>
      </c>
    </row>
    <row r="993" spans="1:68" x14ac:dyDescent="0.25">
      <c r="A993" s="14">
        <f t="shared" ca="1" si="94"/>
        <v>-126.14810350076104</v>
      </c>
      <c r="C993" s="17"/>
      <c r="D993" t="str">
        <f>RTD("tos.rtd", , "OPEN_INT", "."&amp;Table13345[[#This Row],[Ticker]]&amp;Table13345[[#This Row],[Expiry]]&amp;""&amp;"C"&amp;Table13345[[#This Row],[Spot]]+Table13345[[#This Row],[step]])</f>
        <v>N/A</v>
      </c>
      <c r="E99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3" t="b">
        <f>IF(     ISNUMBER(Table13345[[#This Row],[Strike]]),RTD("tos.rtd", , "DELTA", "."&amp;Table13345[[#This Row],[Ticker]]&amp;Table13345[[#This Row],[Expiry]]&amp;""&amp;"C"&amp;Table13345[[#This Row],[Strike]]))</f>
        <v>0</v>
      </c>
      <c r="H993" s="17" cm="1">
        <f t="array" aca="1" ref="H993" ca="1">IndividualLegIVCore($A$4, Table13345[[#This Row],[Strike]], 0.0411, Table13345[[#This Row],[T]], ((Table13345[[#This Row],[BIDC]]+Table13345[[#This Row],[ASKC]])/2), TRUE)</f>
        <v>0.01</v>
      </c>
      <c r="I993" t="b">
        <f>IF(     ISNUMBER(Table13345[[#This Row],[Strike]]),RTD("tos.rtd", , "BID", "."&amp;Table13345[[#This Row],[Ticker]]&amp;Table13345[[#This Row],[Expiry]]&amp;""&amp;"C"&amp;Table13345[[#This Row],[Strike]]))</f>
        <v>0</v>
      </c>
      <c r="J993" t="b">
        <f>IF(     ISNUMBER(Table13345[[#This Row],[Strike]]),RTD("tos.rtd", , "ASK", "."&amp;Table13345[[#This Row],[Ticker]]&amp;Table13345[[#This Row],[Expiry]]&amp;""&amp;"C"&amp;Table13345[[#This Row],[Strike]]))</f>
        <v>0</v>
      </c>
      <c r="K993" s="17"/>
      <c r="M993" s="1">
        <f t="shared" si="95"/>
        <v>0</v>
      </c>
      <c r="N993" t="b">
        <f t="shared" si="96"/>
        <v>0</v>
      </c>
      <c r="P993" s="17" cm="1">
        <f t="array" aca="1" ref="P993" ca="1">IndividualLegIVCore($A$4, Table13345[[#This Row],[Strike]], 0.0411, Table13345[[#This Row],[T]], ((Table13345[[#This Row],[BIDP]]+Table13345[[#This Row],[ASKP]])/2), FALSE)</f>
        <v>0.01</v>
      </c>
      <c r="Q993" t="b">
        <f>IF(     ISNUMBER(Table13345[[#This Row],[Strike]]),RTD("tos.rtd", , "BID", "."&amp;Table13345[[#This Row],[Ticker]]&amp;Table13345[[#This Row],[Expiry]]&amp;""&amp;"P"&amp;Table13345[[#This Row],[Strike]]))</f>
        <v>0</v>
      </c>
      <c r="R993" t="b">
        <f>IF(     ISNUMBER(Table13345[[#This Row],[Strike]]),RTD("tos.rtd", , "ASK", "."&amp;Table13345[[#This Row],[Ticker]]&amp;Table13345[[#This Row],[Expiry]]&amp;""&amp;"P"&amp;Table13345[[#This Row],[Strike]]))</f>
        <v>0</v>
      </c>
      <c r="S993" s="17"/>
      <c r="T993" t="b">
        <f>IF(     ISNUMBER(Table13345[[#This Row],[Strike]]),RTD("tos.rtd", , "OPEN_INT", "."&amp;Table13345[[#This Row],[Ticker]]&amp;Table13345[[#This Row],[Expiry]]&amp;""&amp;"P"&amp;Table13345[[#This Row],[Strike]]))</f>
        <v>0</v>
      </c>
      <c r="U99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3" t="b">
        <f>IF(     ISNUMBER(Table13345[[#This Row],[Strike]]),RTD("tos.rtd", , "DELTA", "."&amp;Table13345[[#This Row],[Ticker]]&amp;Table13345[[#This Row],[Expiry]]&amp;""&amp;"P"&amp;Table13345[[#This Row],[Strike]]))</f>
        <v>0</v>
      </c>
      <c r="Y993" s="19">
        <f>35.5* IF($M$1="NDX", 10, IF(OR($M$1="SPX", $M$1="RUT"), 2, 1))</f>
        <v>71</v>
      </c>
      <c r="Z993">
        <f ca="1">IFERROR(Table13345[[#This Row],[call gamma]]*(Table13345[[#This Row],[Open.Int]])*$A$4^2,0)</f>
        <v>0</v>
      </c>
      <c r="AA993">
        <f ca="1">IFERROR(((Table13345[[#This Row],[Open.Int8]])*Table13345[[#This Row],[Put gamma]])*-1*$A$4^2,0)</f>
        <v>0</v>
      </c>
      <c r="AB993">
        <f ca="1">(Table13345[[#This Row],[Call Gex]]+Table13345[[#This Row],[Put Gex]])</f>
        <v>0</v>
      </c>
      <c r="AC993">
        <f ca="1">Table13345[[#This Row],[put delta adj]]+Table13345[[#This Row],[call delta adj]]</f>
        <v>0</v>
      </c>
      <c r="AD993">
        <f ca="1">Table13345[[#This Row],[Put Gex]]*Table13345[[#This Row],[DeltaP]]*-1</f>
        <v>0</v>
      </c>
      <c r="AE993">
        <f ca="1">Table13345[[#This Row],[Call Gex]]*Table13345[[#This Row],[DeltaC]]</f>
        <v>0</v>
      </c>
      <c r="AF993">
        <f>IF(Table13345[[#This Row],[DeltaC]]-ABS(Table13345[[#This Row],[DeltaP]])="0","0.01",Table13345[[#This Row],[DeltaC]]-ABS(Table13345[[#This Row],[DeltaP]]))</f>
        <v>0</v>
      </c>
      <c r="AG99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3" t="e">
        <f ca="1">(EXP(-(AG993^2)/2)/SQRT(2*PI())*EXP(0*SQRT(Table13345[[#This Row],[T]]))/$A$4*18%*SQRT(SQRT(Table13345[[#This Row],[T]])))</f>
        <v>#DIV/0!</v>
      </c>
      <c r="AJ993" t="e">
        <f ca="1">(EXP(-(AH993^2)/2)/SQRT(2*PI())*EXP(0*SQRT(Table13345[[#This Row],[T]]))/$A$4*18%*SQRT(SQRT(Table13345[[#This Row],[T]])))</f>
        <v>#DIV/0!</v>
      </c>
      <c r="AK993" t="e">
        <f ca="1">Table13345[[#This Row],[Call D1]]-Table13345[[#This Row],[IV Calc C]]*SQRT(Table13345[[#This Row],[T]])</f>
        <v>#DIV/0!</v>
      </c>
      <c r="AL993" t="e">
        <f ca="1">Table13345[[#This Row],[Put D1]]-Table13345[[#This Row],[IV Calc P]]*SQRT(Table13345[[#This Row],[T]])</f>
        <v>#DIV/0!</v>
      </c>
      <c r="AM993" t="e">
        <f ca="1">EXP(-0.5*Table13345[[#This Row],[Call D1]]^2)/SQRT(2*PI())</f>
        <v>#DIV/0!</v>
      </c>
      <c r="AN993" t="e">
        <f ca="1">EXP(-0.5*Table13345[[#This Row],[Put D1]]^2)/SQRT(2*PI())</f>
        <v>#DIV/0!</v>
      </c>
      <c r="AO99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3">
        <f ca="1">((Table13345[[#This Row],[call vanna]]+Table13345[[#This Row],[put vanna]])*$A$4)</f>
        <v>0</v>
      </c>
      <c r="AR99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3" s="9" t="str" cm="1">
        <f t="array" ref="AT993">_xlfn.IFS(     $M$1="SPX","SPXW",     $M$1="RUT","RUTW",  $M$1="NDX","NDXP",   TRUE,$M$1 )</f>
        <v>SPXW</v>
      </c>
      <c r="AU993" s="2">
        <f t="shared" si="97"/>
        <v>6915</v>
      </c>
      <c r="AV993" t="str">
        <f t="shared" si="98"/>
        <v>000100</v>
      </c>
      <c r="AY99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3">
        <f>((Table13345[[#This Row],[High C]]+Table13345[[#This Row],[Low C]])/2)*Table13345[[#This Row],[gammac]]*Table13345[[#This Row],[Volume]]</f>
        <v>0</v>
      </c>
      <c r="BD993">
        <f>((Table13345[[#This Row],[High P]]+Table13345[[#This Row],[Low P]])/2)*Table13345[[#This Row],[gammap]]*Table13345[[#This Row],[Volume9]]*-1</f>
        <v>0</v>
      </c>
      <c r="BE993">
        <f>(Table13345[[#This Row],[SgammaC]]+Table13345[[#This Row],[SgammaP]])*$A$4*-100</f>
        <v>0</v>
      </c>
      <c r="BF993">
        <f>Table13345[[#This Row],[DEXc]]+Table13345[[#This Row],[DEXp]]</f>
        <v>0</v>
      </c>
      <c r="BG993">
        <f>IFERROR(Table13345[[#This Row],[DeltaC]]*Table13345[[#This Row],[Open.Int]]*$A$4,0)</f>
        <v>0</v>
      </c>
      <c r="BH993">
        <f>IFERROR(Table13345[[#This Row],[DeltaP]]*Table13345[[#This Row],[Open.Int8]]*$A$4,0)</f>
        <v>0</v>
      </c>
      <c r="BI99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3">
        <f ca="1">Table13345[[#This Row],[charmc]]+Table13345[[#This Row],[charmp]]</f>
        <v>0</v>
      </c>
      <c r="BL99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3" s="78">
        <f ca="1">Table13345[[#This Row],[call helper]]+Table13345[[#This Row],[put helper]]</f>
        <v>0</v>
      </c>
      <c r="BP993" t="str">
        <f>RTD("tos.rtd", , "STRIKE", "."&amp;Table13345[[#This Row],[Ticker]]&amp;Table13345[[#This Row],[Expiry]]&amp;""&amp;"C"&amp;Table13345[[#This Row],[Spot]]+Table13345[[#This Row],[step]])</f>
        <v>N/A</v>
      </c>
    </row>
    <row r="994" spans="1:68" x14ac:dyDescent="0.25">
      <c r="A994" s="14">
        <f t="shared" ca="1" si="94"/>
        <v>-126.14810350076104</v>
      </c>
      <c r="C994" s="17"/>
      <c r="D994" t="str">
        <f>RTD("tos.rtd", , "OPEN_INT", "."&amp;Table13345[[#This Row],[Ticker]]&amp;Table13345[[#This Row],[Expiry]]&amp;""&amp;"C"&amp;Table13345[[#This Row],[Spot]]+Table13345[[#This Row],[step]])</f>
        <v>N/A</v>
      </c>
      <c r="E99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4" t="b">
        <f>IF(     ISNUMBER(Table13345[[#This Row],[Strike]]),RTD("tos.rtd", , "DELTA", "."&amp;Table13345[[#This Row],[Ticker]]&amp;Table13345[[#This Row],[Expiry]]&amp;""&amp;"C"&amp;Table13345[[#This Row],[Strike]]))</f>
        <v>0</v>
      </c>
      <c r="H994" s="17" cm="1">
        <f t="array" aca="1" ref="H994" ca="1">IndividualLegIVCore($A$4, Table13345[[#This Row],[Strike]], 0.0411, Table13345[[#This Row],[T]], ((Table13345[[#This Row],[BIDC]]+Table13345[[#This Row],[ASKC]])/2), TRUE)</f>
        <v>0.01</v>
      </c>
      <c r="I994" t="b">
        <f>IF(     ISNUMBER(Table13345[[#This Row],[Strike]]),RTD("tos.rtd", , "BID", "."&amp;Table13345[[#This Row],[Ticker]]&amp;Table13345[[#This Row],[Expiry]]&amp;""&amp;"C"&amp;Table13345[[#This Row],[Strike]]))</f>
        <v>0</v>
      </c>
      <c r="J994" t="b">
        <f>IF(     ISNUMBER(Table13345[[#This Row],[Strike]]),RTD("tos.rtd", , "ASK", "."&amp;Table13345[[#This Row],[Ticker]]&amp;Table13345[[#This Row],[Expiry]]&amp;""&amp;"C"&amp;Table13345[[#This Row],[Strike]]))</f>
        <v>0</v>
      </c>
      <c r="K994" s="17"/>
      <c r="M994" s="1">
        <f t="shared" si="95"/>
        <v>0</v>
      </c>
      <c r="N994" t="b">
        <f t="shared" si="96"/>
        <v>0</v>
      </c>
      <c r="P994" s="17" cm="1">
        <f t="array" aca="1" ref="P994" ca="1">IndividualLegIVCore($A$4, Table13345[[#This Row],[Strike]], 0.0411, Table13345[[#This Row],[T]], ((Table13345[[#This Row],[BIDP]]+Table13345[[#This Row],[ASKP]])/2), FALSE)</f>
        <v>0.01</v>
      </c>
      <c r="Q994" t="b">
        <f>IF(     ISNUMBER(Table13345[[#This Row],[Strike]]),RTD("tos.rtd", , "BID", "."&amp;Table13345[[#This Row],[Ticker]]&amp;Table13345[[#This Row],[Expiry]]&amp;""&amp;"P"&amp;Table13345[[#This Row],[Strike]]))</f>
        <v>0</v>
      </c>
      <c r="R994" t="b">
        <f>IF(     ISNUMBER(Table13345[[#This Row],[Strike]]),RTD("tos.rtd", , "ASK", "."&amp;Table13345[[#This Row],[Ticker]]&amp;Table13345[[#This Row],[Expiry]]&amp;""&amp;"P"&amp;Table13345[[#This Row],[Strike]]))</f>
        <v>0</v>
      </c>
      <c r="S994" s="17"/>
      <c r="T994" t="b">
        <f>IF(     ISNUMBER(Table13345[[#This Row],[Strike]]),RTD("tos.rtd", , "OPEN_INT", "."&amp;Table13345[[#This Row],[Ticker]]&amp;Table13345[[#This Row],[Expiry]]&amp;""&amp;"P"&amp;Table13345[[#This Row],[Strike]]))</f>
        <v>0</v>
      </c>
      <c r="U99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4" t="b">
        <f>IF(     ISNUMBER(Table13345[[#This Row],[Strike]]),RTD("tos.rtd", , "DELTA", "."&amp;Table13345[[#This Row],[Ticker]]&amp;Table13345[[#This Row],[Expiry]]&amp;""&amp;"P"&amp;Table13345[[#This Row],[Strike]]))</f>
        <v>0</v>
      </c>
      <c r="Y994" s="19">
        <f>36* IF($M$1="NDX", 10, IF(OR($M$1="SPX", $M$1="RUT"), 2, 1))</f>
        <v>72</v>
      </c>
      <c r="Z994">
        <f ca="1">IFERROR(Table13345[[#This Row],[call gamma]]*(Table13345[[#This Row],[Open.Int]])*$A$4^2,0)</f>
        <v>0</v>
      </c>
      <c r="AA994">
        <f ca="1">IFERROR(((Table13345[[#This Row],[Open.Int8]])*Table13345[[#This Row],[Put gamma]])*-1*$A$4^2,0)</f>
        <v>0</v>
      </c>
      <c r="AB994">
        <f ca="1">(Table13345[[#This Row],[Call Gex]]+Table13345[[#This Row],[Put Gex]])</f>
        <v>0</v>
      </c>
      <c r="AC994">
        <f ca="1">Table13345[[#This Row],[put delta adj]]+Table13345[[#This Row],[call delta adj]]</f>
        <v>0</v>
      </c>
      <c r="AD994">
        <f ca="1">Table13345[[#This Row],[Put Gex]]*Table13345[[#This Row],[DeltaP]]*-1</f>
        <v>0</v>
      </c>
      <c r="AE994">
        <f ca="1">Table13345[[#This Row],[Call Gex]]*Table13345[[#This Row],[DeltaC]]</f>
        <v>0</v>
      </c>
      <c r="AF994">
        <f>IF(Table13345[[#This Row],[DeltaC]]-ABS(Table13345[[#This Row],[DeltaP]])="0","0.01",Table13345[[#This Row],[DeltaC]]-ABS(Table13345[[#This Row],[DeltaP]]))</f>
        <v>0</v>
      </c>
      <c r="AG99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4" t="e">
        <f ca="1">(EXP(-(AG994^2)/2)/SQRT(2*PI())*EXP(0*SQRT(Table13345[[#This Row],[T]]))/$A$4*18%*SQRT(SQRT(Table13345[[#This Row],[T]])))</f>
        <v>#DIV/0!</v>
      </c>
      <c r="AJ994" t="e">
        <f ca="1">(EXP(-(AH994^2)/2)/SQRT(2*PI())*EXP(0*SQRT(Table13345[[#This Row],[T]]))/$A$4*18%*SQRT(SQRT(Table13345[[#This Row],[T]])))</f>
        <v>#DIV/0!</v>
      </c>
      <c r="AK994" t="e">
        <f ca="1">Table13345[[#This Row],[Call D1]]-Table13345[[#This Row],[IV Calc C]]*SQRT(Table13345[[#This Row],[T]])</f>
        <v>#DIV/0!</v>
      </c>
      <c r="AL994" t="e">
        <f ca="1">Table13345[[#This Row],[Put D1]]-Table13345[[#This Row],[IV Calc P]]*SQRT(Table13345[[#This Row],[T]])</f>
        <v>#DIV/0!</v>
      </c>
      <c r="AM994" t="e">
        <f ca="1">EXP(-0.5*Table13345[[#This Row],[Call D1]]^2)/SQRT(2*PI())</f>
        <v>#DIV/0!</v>
      </c>
      <c r="AN994" t="e">
        <f ca="1">EXP(-0.5*Table13345[[#This Row],[Put D1]]^2)/SQRT(2*PI())</f>
        <v>#DIV/0!</v>
      </c>
      <c r="AO99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4">
        <f ca="1">((Table13345[[#This Row],[call vanna]]+Table13345[[#This Row],[put vanna]])*$A$4)</f>
        <v>0</v>
      </c>
      <c r="AR99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4" s="9" t="str" cm="1">
        <f t="array" ref="AT994">_xlfn.IFS(     $M$1="SPX","SPXW",     $M$1="RUT","RUTW",  $M$1="NDX","NDXP",   TRUE,$M$1 )</f>
        <v>SPXW</v>
      </c>
      <c r="AU994" s="2">
        <f t="shared" si="97"/>
        <v>6915</v>
      </c>
      <c r="AV994" t="str">
        <f t="shared" si="98"/>
        <v>000100</v>
      </c>
      <c r="AY99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4">
        <f>((Table13345[[#This Row],[High C]]+Table13345[[#This Row],[Low C]])/2)*Table13345[[#This Row],[gammac]]*Table13345[[#This Row],[Volume]]</f>
        <v>0</v>
      </c>
      <c r="BD994">
        <f>((Table13345[[#This Row],[High P]]+Table13345[[#This Row],[Low P]])/2)*Table13345[[#This Row],[gammap]]*Table13345[[#This Row],[Volume9]]*-1</f>
        <v>0</v>
      </c>
      <c r="BE994">
        <f>(Table13345[[#This Row],[SgammaC]]+Table13345[[#This Row],[SgammaP]])*$A$4*-100</f>
        <v>0</v>
      </c>
      <c r="BF994">
        <f>Table13345[[#This Row],[DEXc]]+Table13345[[#This Row],[DEXp]]</f>
        <v>0</v>
      </c>
      <c r="BG994">
        <f>IFERROR(Table13345[[#This Row],[DeltaC]]*Table13345[[#This Row],[Open.Int]]*$A$4,0)</f>
        <v>0</v>
      </c>
      <c r="BH994">
        <f>IFERROR(Table13345[[#This Row],[DeltaP]]*Table13345[[#This Row],[Open.Int8]]*$A$4,0)</f>
        <v>0</v>
      </c>
      <c r="BI99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4">
        <f ca="1">Table13345[[#This Row],[charmc]]+Table13345[[#This Row],[charmp]]</f>
        <v>0</v>
      </c>
      <c r="BL99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4" s="78">
        <f ca="1">Table13345[[#This Row],[call helper]]+Table13345[[#This Row],[put helper]]</f>
        <v>0</v>
      </c>
      <c r="BP994" t="str">
        <f>RTD("tos.rtd", , "STRIKE", "."&amp;Table13345[[#This Row],[Ticker]]&amp;Table13345[[#This Row],[Expiry]]&amp;""&amp;"C"&amp;Table13345[[#This Row],[Spot]]+Table13345[[#This Row],[step]])</f>
        <v>N/A</v>
      </c>
    </row>
    <row r="995" spans="1:68" x14ac:dyDescent="0.25">
      <c r="A995" s="14">
        <f t="shared" ca="1" si="94"/>
        <v>-126.14810350076104</v>
      </c>
      <c r="C995" s="17"/>
      <c r="D995" t="str">
        <f>RTD("tos.rtd", , "OPEN_INT", "."&amp;Table13345[[#This Row],[Ticker]]&amp;Table13345[[#This Row],[Expiry]]&amp;""&amp;"C"&amp;Table13345[[#This Row],[Spot]]+Table13345[[#This Row],[step]])</f>
        <v>N/A</v>
      </c>
      <c r="E99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5" t="b">
        <f>IF(     ISNUMBER(Table13345[[#This Row],[Strike]]),RTD("tos.rtd", , "DELTA", "."&amp;Table13345[[#This Row],[Ticker]]&amp;Table13345[[#This Row],[Expiry]]&amp;""&amp;"C"&amp;Table13345[[#This Row],[Strike]]))</f>
        <v>0</v>
      </c>
      <c r="H995" s="17" cm="1">
        <f t="array" aca="1" ref="H995" ca="1">IndividualLegIVCore($A$4, Table13345[[#This Row],[Strike]], 0.0411, Table13345[[#This Row],[T]], ((Table13345[[#This Row],[BIDC]]+Table13345[[#This Row],[ASKC]])/2), TRUE)</f>
        <v>0.01</v>
      </c>
      <c r="I995" t="b">
        <f>IF(     ISNUMBER(Table13345[[#This Row],[Strike]]),RTD("tos.rtd", , "BID", "."&amp;Table13345[[#This Row],[Ticker]]&amp;Table13345[[#This Row],[Expiry]]&amp;""&amp;"C"&amp;Table13345[[#This Row],[Strike]]))</f>
        <v>0</v>
      </c>
      <c r="J995" t="b">
        <f>IF(     ISNUMBER(Table13345[[#This Row],[Strike]]),RTD("tos.rtd", , "ASK", "."&amp;Table13345[[#This Row],[Ticker]]&amp;Table13345[[#This Row],[Expiry]]&amp;""&amp;"C"&amp;Table13345[[#This Row],[Strike]]))</f>
        <v>0</v>
      </c>
      <c r="K995" s="17"/>
      <c r="M995" s="1">
        <f t="shared" si="95"/>
        <v>0</v>
      </c>
      <c r="N995" t="b">
        <f t="shared" si="96"/>
        <v>0</v>
      </c>
      <c r="P995" s="17" cm="1">
        <f t="array" aca="1" ref="P995" ca="1">IndividualLegIVCore($A$4, Table13345[[#This Row],[Strike]], 0.0411, Table13345[[#This Row],[T]], ((Table13345[[#This Row],[BIDP]]+Table13345[[#This Row],[ASKP]])/2), FALSE)</f>
        <v>0.01</v>
      </c>
      <c r="Q995" t="b">
        <f>IF(     ISNUMBER(Table13345[[#This Row],[Strike]]),RTD("tos.rtd", , "BID", "."&amp;Table13345[[#This Row],[Ticker]]&amp;Table13345[[#This Row],[Expiry]]&amp;""&amp;"P"&amp;Table13345[[#This Row],[Strike]]))</f>
        <v>0</v>
      </c>
      <c r="R995" t="b">
        <f>IF(     ISNUMBER(Table13345[[#This Row],[Strike]]),RTD("tos.rtd", , "ASK", "."&amp;Table13345[[#This Row],[Ticker]]&amp;Table13345[[#This Row],[Expiry]]&amp;""&amp;"P"&amp;Table13345[[#This Row],[Strike]]))</f>
        <v>0</v>
      </c>
      <c r="S995" s="17"/>
      <c r="T995" t="b">
        <f>IF(     ISNUMBER(Table13345[[#This Row],[Strike]]),RTD("tos.rtd", , "OPEN_INT", "."&amp;Table13345[[#This Row],[Ticker]]&amp;Table13345[[#This Row],[Expiry]]&amp;""&amp;"P"&amp;Table13345[[#This Row],[Strike]]))</f>
        <v>0</v>
      </c>
      <c r="U99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5" t="b">
        <f>IF(     ISNUMBER(Table13345[[#This Row],[Strike]]),RTD("tos.rtd", , "DELTA", "."&amp;Table13345[[#This Row],[Ticker]]&amp;Table13345[[#This Row],[Expiry]]&amp;""&amp;"P"&amp;Table13345[[#This Row],[Strike]]))</f>
        <v>0</v>
      </c>
      <c r="Y995" s="19">
        <f>36.5* IF($M$1="NDX", 10, IF(OR($M$1="SPX", $M$1="RUT"), 2, 1))</f>
        <v>73</v>
      </c>
      <c r="Z995">
        <f ca="1">IFERROR(Table13345[[#This Row],[call gamma]]*(Table13345[[#This Row],[Open.Int]])*$A$4^2,0)</f>
        <v>0</v>
      </c>
      <c r="AA995">
        <f ca="1">IFERROR(((Table13345[[#This Row],[Open.Int8]])*Table13345[[#This Row],[Put gamma]])*-1*$A$4^2,0)</f>
        <v>0</v>
      </c>
      <c r="AB995">
        <f ca="1">(Table13345[[#This Row],[Call Gex]]+Table13345[[#This Row],[Put Gex]])</f>
        <v>0</v>
      </c>
      <c r="AC995">
        <f ca="1">Table13345[[#This Row],[put delta adj]]+Table13345[[#This Row],[call delta adj]]</f>
        <v>0</v>
      </c>
      <c r="AD995">
        <f ca="1">Table13345[[#This Row],[Put Gex]]*Table13345[[#This Row],[DeltaP]]*-1</f>
        <v>0</v>
      </c>
      <c r="AE995">
        <f ca="1">Table13345[[#This Row],[Call Gex]]*Table13345[[#This Row],[DeltaC]]</f>
        <v>0</v>
      </c>
      <c r="AF995">
        <f>IF(Table13345[[#This Row],[DeltaC]]-ABS(Table13345[[#This Row],[DeltaP]])="0","0.01",Table13345[[#This Row],[DeltaC]]-ABS(Table13345[[#This Row],[DeltaP]]))</f>
        <v>0</v>
      </c>
      <c r="AG99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5" t="e">
        <f ca="1">(EXP(-(AG995^2)/2)/SQRT(2*PI())*EXP(0*SQRT(Table13345[[#This Row],[T]]))/$A$4*18%*SQRT(SQRT(Table13345[[#This Row],[T]])))</f>
        <v>#DIV/0!</v>
      </c>
      <c r="AJ995" t="e">
        <f ca="1">(EXP(-(AH995^2)/2)/SQRT(2*PI())*EXP(0*SQRT(Table13345[[#This Row],[T]]))/$A$4*18%*SQRT(SQRT(Table13345[[#This Row],[T]])))</f>
        <v>#DIV/0!</v>
      </c>
      <c r="AK995" t="e">
        <f ca="1">Table13345[[#This Row],[Call D1]]-Table13345[[#This Row],[IV Calc C]]*SQRT(Table13345[[#This Row],[T]])</f>
        <v>#DIV/0!</v>
      </c>
      <c r="AL995" t="e">
        <f ca="1">Table13345[[#This Row],[Put D1]]-Table13345[[#This Row],[IV Calc P]]*SQRT(Table13345[[#This Row],[T]])</f>
        <v>#DIV/0!</v>
      </c>
      <c r="AM995" t="e">
        <f ca="1">EXP(-0.5*Table13345[[#This Row],[Call D1]]^2)/SQRT(2*PI())</f>
        <v>#DIV/0!</v>
      </c>
      <c r="AN995" t="e">
        <f ca="1">EXP(-0.5*Table13345[[#This Row],[Put D1]]^2)/SQRT(2*PI())</f>
        <v>#DIV/0!</v>
      </c>
      <c r="AO99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5">
        <f ca="1">((Table13345[[#This Row],[call vanna]]+Table13345[[#This Row],[put vanna]])*$A$4)</f>
        <v>0</v>
      </c>
      <c r="AR99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5" s="9" t="str" cm="1">
        <f t="array" ref="AT995">_xlfn.IFS(     $M$1="SPX","SPXW",     $M$1="RUT","RUTW",  $M$1="NDX","NDXP",   TRUE,$M$1 )</f>
        <v>SPXW</v>
      </c>
      <c r="AU995" s="2">
        <f t="shared" si="97"/>
        <v>6915</v>
      </c>
      <c r="AV995" t="str">
        <f t="shared" si="98"/>
        <v>000100</v>
      </c>
      <c r="AY99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5">
        <f>((Table13345[[#This Row],[High C]]+Table13345[[#This Row],[Low C]])/2)*Table13345[[#This Row],[gammac]]*Table13345[[#This Row],[Volume]]</f>
        <v>0</v>
      </c>
      <c r="BD995">
        <f>((Table13345[[#This Row],[High P]]+Table13345[[#This Row],[Low P]])/2)*Table13345[[#This Row],[gammap]]*Table13345[[#This Row],[Volume9]]*-1</f>
        <v>0</v>
      </c>
      <c r="BE995">
        <f>(Table13345[[#This Row],[SgammaC]]+Table13345[[#This Row],[SgammaP]])*$A$4*-100</f>
        <v>0</v>
      </c>
      <c r="BF995">
        <f>Table13345[[#This Row],[DEXc]]+Table13345[[#This Row],[DEXp]]</f>
        <v>0</v>
      </c>
      <c r="BG995">
        <f>IFERROR(Table13345[[#This Row],[DeltaC]]*Table13345[[#This Row],[Open.Int]]*$A$4,0)</f>
        <v>0</v>
      </c>
      <c r="BH995">
        <f>IFERROR(Table13345[[#This Row],[DeltaP]]*Table13345[[#This Row],[Open.Int8]]*$A$4,0)</f>
        <v>0</v>
      </c>
      <c r="BI99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5">
        <f ca="1">Table13345[[#This Row],[charmc]]+Table13345[[#This Row],[charmp]]</f>
        <v>0</v>
      </c>
      <c r="BL99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5" s="78">
        <f ca="1">Table13345[[#This Row],[call helper]]+Table13345[[#This Row],[put helper]]</f>
        <v>0</v>
      </c>
      <c r="BP995" t="str">
        <f>RTD("tos.rtd", , "STRIKE", "."&amp;Table13345[[#This Row],[Ticker]]&amp;Table13345[[#This Row],[Expiry]]&amp;""&amp;"C"&amp;Table13345[[#This Row],[Spot]]+Table13345[[#This Row],[step]])</f>
        <v>N/A</v>
      </c>
    </row>
    <row r="996" spans="1:68" x14ac:dyDescent="0.25">
      <c r="A996" s="14">
        <f t="shared" ca="1" si="94"/>
        <v>-126.14810350076104</v>
      </c>
      <c r="C996" s="17"/>
      <c r="D996" t="str">
        <f>RTD("tos.rtd", , "OPEN_INT", "."&amp;Table13345[[#This Row],[Ticker]]&amp;Table13345[[#This Row],[Expiry]]&amp;""&amp;"C"&amp;Table13345[[#This Row],[Spot]]+Table13345[[#This Row],[step]])</f>
        <v>N/A</v>
      </c>
      <c r="E99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6" t="b">
        <f>IF(     ISNUMBER(Table13345[[#This Row],[Strike]]),RTD("tos.rtd", , "DELTA", "."&amp;Table13345[[#This Row],[Ticker]]&amp;Table13345[[#This Row],[Expiry]]&amp;""&amp;"C"&amp;Table13345[[#This Row],[Strike]]))</f>
        <v>0</v>
      </c>
      <c r="H996" s="17" cm="1">
        <f t="array" aca="1" ref="H996" ca="1">IndividualLegIVCore($A$4, Table13345[[#This Row],[Strike]], 0.0411, Table13345[[#This Row],[T]], ((Table13345[[#This Row],[BIDC]]+Table13345[[#This Row],[ASKC]])/2), TRUE)</f>
        <v>0.01</v>
      </c>
      <c r="I996" t="b">
        <f>IF(     ISNUMBER(Table13345[[#This Row],[Strike]]),RTD("tos.rtd", , "BID", "."&amp;Table13345[[#This Row],[Ticker]]&amp;Table13345[[#This Row],[Expiry]]&amp;""&amp;"C"&amp;Table13345[[#This Row],[Strike]]))</f>
        <v>0</v>
      </c>
      <c r="J996" t="b">
        <f>IF(     ISNUMBER(Table13345[[#This Row],[Strike]]),RTD("tos.rtd", , "ASK", "."&amp;Table13345[[#This Row],[Ticker]]&amp;Table13345[[#This Row],[Expiry]]&amp;""&amp;"C"&amp;Table13345[[#This Row],[Strike]]))</f>
        <v>0</v>
      </c>
      <c r="K996" s="17"/>
      <c r="M996" s="1">
        <f t="shared" si="95"/>
        <v>0</v>
      </c>
      <c r="N996" t="b">
        <f t="shared" si="96"/>
        <v>0</v>
      </c>
      <c r="P996" s="17" cm="1">
        <f t="array" aca="1" ref="P996" ca="1">IndividualLegIVCore($A$4, Table13345[[#This Row],[Strike]], 0.0411, Table13345[[#This Row],[T]], ((Table13345[[#This Row],[BIDP]]+Table13345[[#This Row],[ASKP]])/2), FALSE)</f>
        <v>0.01</v>
      </c>
      <c r="Q996" t="b">
        <f>IF(     ISNUMBER(Table13345[[#This Row],[Strike]]),RTD("tos.rtd", , "BID", "."&amp;Table13345[[#This Row],[Ticker]]&amp;Table13345[[#This Row],[Expiry]]&amp;""&amp;"P"&amp;Table13345[[#This Row],[Strike]]))</f>
        <v>0</v>
      </c>
      <c r="R996" t="b">
        <f>IF(     ISNUMBER(Table13345[[#This Row],[Strike]]),RTD("tos.rtd", , "ASK", "."&amp;Table13345[[#This Row],[Ticker]]&amp;Table13345[[#This Row],[Expiry]]&amp;""&amp;"P"&amp;Table13345[[#This Row],[Strike]]))</f>
        <v>0</v>
      </c>
      <c r="S996" s="17"/>
      <c r="T996" t="b">
        <f>IF(     ISNUMBER(Table13345[[#This Row],[Strike]]),RTD("tos.rtd", , "OPEN_INT", "."&amp;Table13345[[#This Row],[Ticker]]&amp;Table13345[[#This Row],[Expiry]]&amp;""&amp;"P"&amp;Table13345[[#This Row],[Strike]]))</f>
        <v>0</v>
      </c>
      <c r="U99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6" t="b">
        <f>IF(     ISNUMBER(Table13345[[#This Row],[Strike]]),RTD("tos.rtd", , "DELTA", "."&amp;Table13345[[#This Row],[Ticker]]&amp;Table13345[[#This Row],[Expiry]]&amp;""&amp;"P"&amp;Table13345[[#This Row],[Strike]]))</f>
        <v>0</v>
      </c>
      <c r="Y996" s="19">
        <f>37* IF($M$1="NDX", 10, IF(OR($M$1="SPX", $M$1="RUT"), 2, 1))</f>
        <v>74</v>
      </c>
      <c r="Z996">
        <f ca="1">IFERROR(Table13345[[#This Row],[call gamma]]*(Table13345[[#This Row],[Open.Int]])*$A$4^2,0)</f>
        <v>0</v>
      </c>
      <c r="AA996">
        <f ca="1">IFERROR(((Table13345[[#This Row],[Open.Int8]])*Table13345[[#This Row],[Put gamma]])*-1*$A$4^2,0)</f>
        <v>0</v>
      </c>
      <c r="AB996">
        <f ca="1">(Table13345[[#This Row],[Call Gex]]+Table13345[[#This Row],[Put Gex]])</f>
        <v>0</v>
      </c>
      <c r="AC996">
        <f ca="1">Table13345[[#This Row],[put delta adj]]+Table13345[[#This Row],[call delta adj]]</f>
        <v>0</v>
      </c>
      <c r="AD996">
        <f ca="1">Table13345[[#This Row],[Put Gex]]*Table13345[[#This Row],[DeltaP]]*-1</f>
        <v>0</v>
      </c>
      <c r="AE996">
        <f ca="1">Table13345[[#This Row],[Call Gex]]*Table13345[[#This Row],[DeltaC]]</f>
        <v>0</v>
      </c>
      <c r="AF996">
        <f>IF(Table13345[[#This Row],[DeltaC]]-ABS(Table13345[[#This Row],[DeltaP]])="0","0.01",Table13345[[#This Row],[DeltaC]]-ABS(Table13345[[#This Row],[DeltaP]]))</f>
        <v>0</v>
      </c>
      <c r="AG99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6" t="e">
        <f ca="1">(EXP(-(AG996^2)/2)/SQRT(2*PI())*EXP(0*SQRT(Table13345[[#This Row],[T]]))/$A$4*18%*SQRT(SQRT(Table13345[[#This Row],[T]])))</f>
        <v>#DIV/0!</v>
      </c>
      <c r="AJ996" t="e">
        <f ca="1">(EXP(-(AH996^2)/2)/SQRT(2*PI())*EXP(0*SQRT(Table13345[[#This Row],[T]]))/$A$4*18%*SQRT(SQRT(Table13345[[#This Row],[T]])))</f>
        <v>#DIV/0!</v>
      </c>
      <c r="AK996" t="e">
        <f ca="1">Table13345[[#This Row],[Call D1]]-Table13345[[#This Row],[IV Calc C]]*SQRT(Table13345[[#This Row],[T]])</f>
        <v>#DIV/0!</v>
      </c>
      <c r="AL996" t="e">
        <f ca="1">Table13345[[#This Row],[Put D1]]-Table13345[[#This Row],[IV Calc P]]*SQRT(Table13345[[#This Row],[T]])</f>
        <v>#DIV/0!</v>
      </c>
      <c r="AM996" t="e">
        <f ca="1">EXP(-0.5*Table13345[[#This Row],[Call D1]]^2)/SQRT(2*PI())</f>
        <v>#DIV/0!</v>
      </c>
      <c r="AN996" t="e">
        <f ca="1">EXP(-0.5*Table13345[[#This Row],[Put D1]]^2)/SQRT(2*PI())</f>
        <v>#DIV/0!</v>
      </c>
      <c r="AO99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6">
        <f ca="1">((Table13345[[#This Row],[call vanna]]+Table13345[[#This Row],[put vanna]])*$A$4)</f>
        <v>0</v>
      </c>
      <c r="AR99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6" s="9" t="str" cm="1">
        <f t="array" ref="AT996">_xlfn.IFS(     $M$1="SPX","SPXW",     $M$1="RUT","RUTW",  $M$1="NDX","NDXP",   TRUE,$M$1 )</f>
        <v>SPXW</v>
      </c>
      <c r="AU996" s="2">
        <f t="shared" si="97"/>
        <v>6915</v>
      </c>
      <c r="AV996" t="str">
        <f t="shared" si="98"/>
        <v>000100</v>
      </c>
      <c r="AY99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6">
        <f>((Table13345[[#This Row],[High C]]+Table13345[[#This Row],[Low C]])/2)*Table13345[[#This Row],[gammac]]*Table13345[[#This Row],[Volume]]</f>
        <v>0</v>
      </c>
      <c r="BD996">
        <f>((Table13345[[#This Row],[High P]]+Table13345[[#This Row],[Low P]])/2)*Table13345[[#This Row],[gammap]]*Table13345[[#This Row],[Volume9]]*-1</f>
        <v>0</v>
      </c>
      <c r="BE996">
        <f>(Table13345[[#This Row],[SgammaC]]+Table13345[[#This Row],[SgammaP]])*$A$4*-100</f>
        <v>0</v>
      </c>
      <c r="BF996">
        <f>Table13345[[#This Row],[DEXc]]+Table13345[[#This Row],[DEXp]]</f>
        <v>0</v>
      </c>
      <c r="BG996">
        <f>IFERROR(Table13345[[#This Row],[DeltaC]]*Table13345[[#This Row],[Open.Int]]*$A$4,0)</f>
        <v>0</v>
      </c>
      <c r="BH996">
        <f>IFERROR(Table13345[[#This Row],[DeltaP]]*Table13345[[#This Row],[Open.Int8]]*$A$4,0)</f>
        <v>0</v>
      </c>
      <c r="BI99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6">
        <f ca="1">Table13345[[#This Row],[charmc]]+Table13345[[#This Row],[charmp]]</f>
        <v>0</v>
      </c>
      <c r="BL99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6" s="78">
        <f ca="1">Table13345[[#This Row],[call helper]]+Table13345[[#This Row],[put helper]]</f>
        <v>0</v>
      </c>
      <c r="BP996" t="str">
        <f>RTD("tos.rtd", , "STRIKE", "."&amp;Table13345[[#This Row],[Ticker]]&amp;Table13345[[#This Row],[Expiry]]&amp;""&amp;"C"&amp;Table13345[[#This Row],[Spot]]+Table13345[[#This Row],[step]])</f>
        <v>N/A</v>
      </c>
    </row>
    <row r="997" spans="1:68" x14ac:dyDescent="0.25">
      <c r="A997" s="14">
        <f t="shared" ca="1" si="94"/>
        <v>-126.14810350076104</v>
      </c>
      <c r="C997" s="17"/>
      <c r="D997" t="str">
        <f>RTD("tos.rtd", , "OPEN_INT", "."&amp;Table13345[[#This Row],[Ticker]]&amp;Table13345[[#This Row],[Expiry]]&amp;""&amp;"C"&amp;Table13345[[#This Row],[Spot]]+Table13345[[#This Row],[step]])</f>
        <v>N/A</v>
      </c>
      <c r="E99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7" t="b">
        <f>IF(     ISNUMBER(Table13345[[#This Row],[Strike]]),RTD("tos.rtd", , "DELTA", "."&amp;Table13345[[#This Row],[Ticker]]&amp;Table13345[[#This Row],[Expiry]]&amp;""&amp;"C"&amp;Table13345[[#This Row],[Strike]]))</f>
        <v>0</v>
      </c>
      <c r="H997" s="17" cm="1">
        <f t="array" aca="1" ref="H997" ca="1">IndividualLegIVCore($A$4, Table13345[[#This Row],[Strike]], 0.0411, Table13345[[#This Row],[T]], ((Table13345[[#This Row],[BIDC]]+Table13345[[#This Row],[ASKC]])/2), TRUE)</f>
        <v>0.01</v>
      </c>
      <c r="I997" t="b">
        <f>IF(     ISNUMBER(Table13345[[#This Row],[Strike]]),RTD("tos.rtd", , "BID", "."&amp;Table13345[[#This Row],[Ticker]]&amp;Table13345[[#This Row],[Expiry]]&amp;""&amp;"C"&amp;Table13345[[#This Row],[Strike]]))</f>
        <v>0</v>
      </c>
      <c r="J997" t="b">
        <f>IF(     ISNUMBER(Table13345[[#This Row],[Strike]]),RTD("tos.rtd", , "ASK", "."&amp;Table13345[[#This Row],[Ticker]]&amp;Table13345[[#This Row],[Expiry]]&amp;""&amp;"C"&amp;Table13345[[#This Row],[Strike]]))</f>
        <v>0</v>
      </c>
      <c r="K997" s="17"/>
      <c r="M997" s="1">
        <f t="shared" si="95"/>
        <v>0</v>
      </c>
      <c r="N997" t="b">
        <f t="shared" si="96"/>
        <v>0</v>
      </c>
      <c r="P997" s="17" cm="1">
        <f t="array" aca="1" ref="P997" ca="1">IndividualLegIVCore($A$4, Table13345[[#This Row],[Strike]], 0.0411, Table13345[[#This Row],[T]], ((Table13345[[#This Row],[BIDP]]+Table13345[[#This Row],[ASKP]])/2), FALSE)</f>
        <v>0.01</v>
      </c>
      <c r="Q997" t="b">
        <f>IF(     ISNUMBER(Table13345[[#This Row],[Strike]]),RTD("tos.rtd", , "BID", "."&amp;Table13345[[#This Row],[Ticker]]&amp;Table13345[[#This Row],[Expiry]]&amp;""&amp;"P"&amp;Table13345[[#This Row],[Strike]]))</f>
        <v>0</v>
      </c>
      <c r="R997" t="b">
        <f>IF(     ISNUMBER(Table13345[[#This Row],[Strike]]),RTD("tos.rtd", , "ASK", "."&amp;Table13345[[#This Row],[Ticker]]&amp;Table13345[[#This Row],[Expiry]]&amp;""&amp;"P"&amp;Table13345[[#This Row],[Strike]]))</f>
        <v>0</v>
      </c>
      <c r="S997" s="17"/>
      <c r="T997" t="b">
        <f>IF(     ISNUMBER(Table13345[[#This Row],[Strike]]),RTD("tos.rtd", , "OPEN_INT", "."&amp;Table13345[[#This Row],[Ticker]]&amp;Table13345[[#This Row],[Expiry]]&amp;""&amp;"P"&amp;Table13345[[#This Row],[Strike]]))</f>
        <v>0</v>
      </c>
      <c r="U99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7" t="b">
        <f>IF(     ISNUMBER(Table13345[[#This Row],[Strike]]),RTD("tos.rtd", , "DELTA", "."&amp;Table13345[[#This Row],[Ticker]]&amp;Table13345[[#This Row],[Expiry]]&amp;""&amp;"P"&amp;Table13345[[#This Row],[Strike]]))</f>
        <v>0</v>
      </c>
      <c r="Y997" s="19">
        <f>37.5* IF($M$1="NDX", 10, IF(OR($M$1="SPX", $M$1="RUT"), 2, 1))</f>
        <v>75</v>
      </c>
      <c r="Z997">
        <f ca="1">IFERROR(Table13345[[#This Row],[call gamma]]*(Table13345[[#This Row],[Open.Int]])*$A$4^2,0)</f>
        <v>0</v>
      </c>
      <c r="AA997">
        <f ca="1">IFERROR(((Table13345[[#This Row],[Open.Int8]])*Table13345[[#This Row],[Put gamma]])*-1*$A$4^2,0)</f>
        <v>0</v>
      </c>
      <c r="AB997">
        <f ca="1">(Table13345[[#This Row],[Call Gex]]+Table13345[[#This Row],[Put Gex]])</f>
        <v>0</v>
      </c>
      <c r="AC997">
        <f ca="1">Table13345[[#This Row],[put delta adj]]+Table13345[[#This Row],[call delta adj]]</f>
        <v>0</v>
      </c>
      <c r="AD997">
        <f ca="1">Table13345[[#This Row],[Put Gex]]*Table13345[[#This Row],[DeltaP]]*-1</f>
        <v>0</v>
      </c>
      <c r="AE997">
        <f ca="1">Table13345[[#This Row],[Call Gex]]*Table13345[[#This Row],[DeltaC]]</f>
        <v>0</v>
      </c>
      <c r="AF997">
        <f>IF(Table13345[[#This Row],[DeltaC]]-ABS(Table13345[[#This Row],[DeltaP]])="0","0.01",Table13345[[#This Row],[DeltaC]]-ABS(Table13345[[#This Row],[DeltaP]]))</f>
        <v>0</v>
      </c>
      <c r="AG99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7" t="e">
        <f ca="1">(EXP(-(AG997^2)/2)/SQRT(2*PI())*EXP(0*SQRT(Table13345[[#This Row],[T]]))/$A$4*18%*SQRT(SQRT(Table13345[[#This Row],[T]])))</f>
        <v>#DIV/0!</v>
      </c>
      <c r="AJ997" t="e">
        <f ca="1">(EXP(-(AH997^2)/2)/SQRT(2*PI())*EXP(0*SQRT(Table13345[[#This Row],[T]]))/$A$4*18%*SQRT(SQRT(Table13345[[#This Row],[T]])))</f>
        <v>#DIV/0!</v>
      </c>
      <c r="AK997" t="e">
        <f ca="1">Table13345[[#This Row],[Call D1]]-Table13345[[#This Row],[IV Calc C]]*SQRT(Table13345[[#This Row],[T]])</f>
        <v>#DIV/0!</v>
      </c>
      <c r="AL997" t="e">
        <f ca="1">Table13345[[#This Row],[Put D1]]-Table13345[[#This Row],[IV Calc P]]*SQRT(Table13345[[#This Row],[T]])</f>
        <v>#DIV/0!</v>
      </c>
      <c r="AM997" t="e">
        <f ca="1">EXP(-0.5*Table13345[[#This Row],[Call D1]]^2)/SQRT(2*PI())</f>
        <v>#DIV/0!</v>
      </c>
      <c r="AN997" t="e">
        <f ca="1">EXP(-0.5*Table13345[[#This Row],[Put D1]]^2)/SQRT(2*PI())</f>
        <v>#DIV/0!</v>
      </c>
      <c r="AO99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7">
        <f ca="1">((Table13345[[#This Row],[call vanna]]+Table13345[[#This Row],[put vanna]])*$A$4)</f>
        <v>0</v>
      </c>
      <c r="AR99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7" s="9" t="str" cm="1">
        <f t="array" ref="AT997">_xlfn.IFS(     $M$1="SPX","SPXW",     $M$1="RUT","RUTW",  $M$1="NDX","NDXP",   TRUE,$M$1 )</f>
        <v>SPXW</v>
      </c>
      <c r="AU997" s="2">
        <f t="shared" si="97"/>
        <v>6915</v>
      </c>
      <c r="AV997" t="str">
        <f t="shared" si="98"/>
        <v>000100</v>
      </c>
      <c r="AY99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7">
        <f>((Table13345[[#This Row],[High C]]+Table13345[[#This Row],[Low C]])/2)*Table13345[[#This Row],[gammac]]*Table13345[[#This Row],[Volume]]</f>
        <v>0</v>
      </c>
      <c r="BD997">
        <f>((Table13345[[#This Row],[High P]]+Table13345[[#This Row],[Low P]])/2)*Table13345[[#This Row],[gammap]]*Table13345[[#This Row],[Volume9]]*-1</f>
        <v>0</v>
      </c>
      <c r="BE997">
        <f>(Table13345[[#This Row],[SgammaC]]+Table13345[[#This Row],[SgammaP]])*$A$4*-100</f>
        <v>0</v>
      </c>
      <c r="BF997">
        <f>Table13345[[#This Row],[DEXc]]+Table13345[[#This Row],[DEXp]]</f>
        <v>0</v>
      </c>
      <c r="BG997">
        <f>IFERROR(Table13345[[#This Row],[DeltaC]]*Table13345[[#This Row],[Open.Int]]*$A$4,0)</f>
        <v>0</v>
      </c>
      <c r="BH997">
        <f>IFERROR(Table13345[[#This Row],[DeltaP]]*Table13345[[#This Row],[Open.Int8]]*$A$4,0)</f>
        <v>0</v>
      </c>
      <c r="BI99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7">
        <f ca="1">Table13345[[#This Row],[charmc]]+Table13345[[#This Row],[charmp]]</f>
        <v>0</v>
      </c>
      <c r="BL99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7" s="78">
        <f ca="1">Table13345[[#This Row],[call helper]]+Table13345[[#This Row],[put helper]]</f>
        <v>0</v>
      </c>
      <c r="BP997" t="str">
        <f>RTD("tos.rtd", , "STRIKE", "."&amp;Table13345[[#This Row],[Ticker]]&amp;Table13345[[#This Row],[Expiry]]&amp;""&amp;"C"&amp;Table13345[[#This Row],[Spot]]+Table13345[[#This Row],[step]])</f>
        <v>N/A</v>
      </c>
    </row>
    <row r="998" spans="1:68" x14ac:dyDescent="0.25">
      <c r="A998" s="14">
        <f t="shared" ca="1" si="94"/>
        <v>-126.14810350076104</v>
      </c>
      <c r="C998" s="17"/>
      <c r="D998" t="str">
        <f>RTD("tos.rtd", , "OPEN_INT", "."&amp;Table13345[[#This Row],[Ticker]]&amp;Table13345[[#This Row],[Expiry]]&amp;""&amp;"C"&amp;Table13345[[#This Row],[Spot]]+Table13345[[#This Row],[step]])</f>
        <v>N/A</v>
      </c>
      <c r="E99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8" t="b">
        <f>IF(     ISNUMBER(Table13345[[#This Row],[Strike]]),RTD("tos.rtd", , "DELTA", "."&amp;Table13345[[#This Row],[Ticker]]&amp;Table13345[[#This Row],[Expiry]]&amp;""&amp;"C"&amp;Table13345[[#This Row],[Strike]]))</f>
        <v>0</v>
      </c>
      <c r="H998" s="17" cm="1">
        <f t="array" aca="1" ref="H998" ca="1">IndividualLegIVCore($A$4, Table13345[[#This Row],[Strike]], 0.0411, Table13345[[#This Row],[T]], ((Table13345[[#This Row],[BIDC]]+Table13345[[#This Row],[ASKC]])/2), TRUE)</f>
        <v>0.01</v>
      </c>
      <c r="I998" t="b">
        <f>IF(     ISNUMBER(Table13345[[#This Row],[Strike]]),RTD("tos.rtd", , "BID", "."&amp;Table13345[[#This Row],[Ticker]]&amp;Table13345[[#This Row],[Expiry]]&amp;""&amp;"C"&amp;Table13345[[#This Row],[Strike]]))</f>
        <v>0</v>
      </c>
      <c r="J998" t="b">
        <f>IF(     ISNUMBER(Table13345[[#This Row],[Strike]]),RTD("tos.rtd", , "ASK", "."&amp;Table13345[[#This Row],[Ticker]]&amp;Table13345[[#This Row],[Expiry]]&amp;""&amp;"C"&amp;Table13345[[#This Row],[Strike]]))</f>
        <v>0</v>
      </c>
      <c r="K998" s="17"/>
      <c r="M998" s="1">
        <f t="shared" si="95"/>
        <v>0</v>
      </c>
      <c r="N998" t="b">
        <f t="shared" si="96"/>
        <v>0</v>
      </c>
      <c r="P998" s="17" cm="1">
        <f t="array" aca="1" ref="P998" ca="1">IndividualLegIVCore($A$4, Table13345[[#This Row],[Strike]], 0.0411, Table13345[[#This Row],[T]], ((Table13345[[#This Row],[BIDP]]+Table13345[[#This Row],[ASKP]])/2), FALSE)</f>
        <v>0.01</v>
      </c>
      <c r="Q998" t="b">
        <f>IF(     ISNUMBER(Table13345[[#This Row],[Strike]]),RTD("tos.rtd", , "BID", "."&amp;Table13345[[#This Row],[Ticker]]&amp;Table13345[[#This Row],[Expiry]]&amp;""&amp;"P"&amp;Table13345[[#This Row],[Strike]]))</f>
        <v>0</v>
      </c>
      <c r="R998" t="b">
        <f>IF(     ISNUMBER(Table13345[[#This Row],[Strike]]),RTD("tos.rtd", , "ASK", "."&amp;Table13345[[#This Row],[Ticker]]&amp;Table13345[[#This Row],[Expiry]]&amp;""&amp;"P"&amp;Table13345[[#This Row],[Strike]]))</f>
        <v>0</v>
      </c>
      <c r="S998" s="17"/>
      <c r="T998" t="b">
        <f>IF(     ISNUMBER(Table13345[[#This Row],[Strike]]),RTD("tos.rtd", , "OPEN_INT", "."&amp;Table13345[[#This Row],[Ticker]]&amp;Table13345[[#This Row],[Expiry]]&amp;""&amp;"P"&amp;Table13345[[#This Row],[Strike]]))</f>
        <v>0</v>
      </c>
      <c r="U99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8" t="b">
        <f>IF(     ISNUMBER(Table13345[[#This Row],[Strike]]),RTD("tos.rtd", , "DELTA", "."&amp;Table13345[[#This Row],[Ticker]]&amp;Table13345[[#This Row],[Expiry]]&amp;""&amp;"P"&amp;Table13345[[#This Row],[Strike]]))</f>
        <v>0</v>
      </c>
      <c r="Y998" s="19">
        <f>38* IF($M$1="NDX", 10, IF(OR($M$1="SPX", $M$1="RUT"), 2, 1))</f>
        <v>76</v>
      </c>
      <c r="Z998">
        <f ca="1">IFERROR(Table13345[[#This Row],[call gamma]]*(Table13345[[#This Row],[Open.Int]])*$A$4^2,0)</f>
        <v>0</v>
      </c>
      <c r="AA998">
        <f ca="1">IFERROR(((Table13345[[#This Row],[Open.Int8]])*Table13345[[#This Row],[Put gamma]])*-1*$A$4^2,0)</f>
        <v>0</v>
      </c>
      <c r="AB998">
        <f ca="1">(Table13345[[#This Row],[Call Gex]]+Table13345[[#This Row],[Put Gex]])</f>
        <v>0</v>
      </c>
      <c r="AC998">
        <f ca="1">Table13345[[#This Row],[put delta adj]]+Table13345[[#This Row],[call delta adj]]</f>
        <v>0</v>
      </c>
      <c r="AD998">
        <f ca="1">Table13345[[#This Row],[Put Gex]]*Table13345[[#This Row],[DeltaP]]*-1</f>
        <v>0</v>
      </c>
      <c r="AE998">
        <f ca="1">Table13345[[#This Row],[Call Gex]]*Table13345[[#This Row],[DeltaC]]</f>
        <v>0</v>
      </c>
      <c r="AF998">
        <f>IF(Table13345[[#This Row],[DeltaC]]-ABS(Table13345[[#This Row],[DeltaP]])="0","0.01",Table13345[[#This Row],[DeltaC]]-ABS(Table13345[[#This Row],[DeltaP]]))</f>
        <v>0</v>
      </c>
      <c r="AG99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8" t="e">
        <f ca="1">(EXP(-(AG998^2)/2)/SQRT(2*PI())*EXP(0*SQRT(Table13345[[#This Row],[T]]))/$A$4*18%*SQRT(SQRT(Table13345[[#This Row],[T]])))</f>
        <v>#DIV/0!</v>
      </c>
      <c r="AJ998" t="e">
        <f ca="1">(EXP(-(AH998^2)/2)/SQRT(2*PI())*EXP(0*SQRT(Table13345[[#This Row],[T]]))/$A$4*18%*SQRT(SQRT(Table13345[[#This Row],[T]])))</f>
        <v>#DIV/0!</v>
      </c>
      <c r="AK998" t="e">
        <f ca="1">Table13345[[#This Row],[Call D1]]-Table13345[[#This Row],[IV Calc C]]*SQRT(Table13345[[#This Row],[T]])</f>
        <v>#DIV/0!</v>
      </c>
      <c r="AL998" t="e">
        <f ca="1">Table13345[[#This Row],[Put D1]]-Table13345[[#This Row],[IV Calc P]]*SQRT(Table13345[[#This Row],[T]])</f>
        <v>#DIV/0!</v>
      </c>
      <c r="AM998" t="e">
        <f ca="1">EXP(-0.5*Table13345[[#This Row],[Call D1]]^2)/SQRT(2*PI())</f>
        <v>#DIV/0!</v>
      </c>
      <c r="AN998" t="e">
        <f ca="1">EXP(-0.5*Table13345[[#This Row],[Put D1]]^2)/SQRT(2*PI())</f>
        <v>#DIV/0!</v>
      </c>
      <c r="AO99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8">
        <f ca="1">((Table13345[[#This Row],[call vanna]]+Table13345[[#This Row],[put vanna]])*$A$4)</f>
        <v>0</v>
      </c>
      <c r="AR99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8" s="9" t="str" cm="1">
        <f t="array" ref="AT998">_xlfn.IFS(     $M$1="SPX","SPXW",     $M$1="RUT","RUTW",  $M$1="NDX","NDXP",   TRUE,$M$1 )</f>
        <v>SPXW</v>
      </c>
      <c r="AU998" s="2">
        <f t="shared" si="97"/>
        <v>6915</v>
      </c>
      <c r="AV998" t="str">
        <f t="shared" si="98"/>
        <v>000100</v>
      </c>
      <c r="AY99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8">
        <f>((Table13345[[#This Row],[High C]]+Table13345[[#This Row],[Low C]])/2)*Table13345[[#This Row],[gammac]]*Table13345[[#This Row],[Volume]]</f>
        <v>0</v>
      </c>
      <c r="BD998">
        <f>((Table13345[[#This Row],[High P]]+Table13345[[#This Row],[Low P]])/2)*Table13345[[#This Row],[gammap]]*Table13345[[#This Row],[Volume9]]*-1</f>
        <v>0</v>
      </c>
      <c r="BE998">
        <f>(Table13345[[#This Row],[SgammaC]]+Table13345[[#This Row],[SgammaP]])*$A$4*-100</f>
        <v>0</v>
      </c>
      <c r="BF998">
        <f>Table13345[[#This Row],[DEXc]]+Table13345[[#This Row],[DEXp]]</f>
        <v>0</v>
      </c>
      <c r="BG998">
        <f>IFERROR(Table13345[[#This Row],[DeltaC]]*Table13345[[#This Row],[Open.Int]]*$A$4,0)</f>
        <v>0</v>
      </c>
      <c r="BH998">
        <f>IFERROR(Table13345[[#This Row],[DeltaP]]*Table13345[[#This Row],[Open.Int8]]*$A$4,0)</f>
        <v>0</v>
      </c>
      <c r="BI99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8">
        <f ca="1">Table13345[[#This Row],[charmc]]+Table13345[[#This Row],[charmp]]</f>
        <v>0</v>
      </c>
      <c r="BL99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8" s="78">
        <f ca="1">Table13345[[#This Row],[call helper]]+Table13345[[#This Row],[put helper]]</f>
        <v>0</v>
      </c>
      <c r="BP998" t="str">
        <f>RTD("tos.rtd", , "STRIKE", "."&amp;Table13345[[#This Row],[Ticker]]&amp;Table13345[[#This Row],[Expiry]]&amp;""&amp;"C"&amp;Table13345[[#This Row],[Spot]]+Table13345[[#This Row],[step]])</f>
        <v>N/A</v>
      </c>
    </row>
    <row r="999" spans="1:68" x14ac:dyDescent="0.25">
      <c r="A999" s="14">
        <f t="shared" ca="1" si="94"/>
        <v>-126.14810350076104</v>
      </c>
      <c r="C999" s="17"/>
      <c r="D999" t="str">
        <f>RTD("tos.rtd", , "OPEN_INT", "."&amp;Table13345[[#This Row],[Ticker]]&amp;Table13345[[#This Row],[Expiry]]&amp;""&amp;"C"&amp;Table13345[[#This Row],[Spot]]+Table13345[[#This Row],[step]])</f>
        <v>N/A</v>
      </c>
      <c r="E99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9" t="b">
        <f>IF(     ISNUMBER(Table13345[[#This Row],[Strike]]),RTD("tos.rtd", , "DELTA", "."&amp;Table13345[[#This Row],[Ticker]]&amp;Table13345[[#This Row],[Expiry]]&amp;""&amp;"C"&amp;Table13345[[#This Row],[Strike]]))</f>
        <v>0</v>
      </c>
      <c r="H999" s="17" cm="1">
        <f t="array" aca="1" ref="H999" ca="1">IndividualLegIVCore($A$4, Table13345[[#This Row],[Strike]], 0.0411, Table13345[[#This Row],[T]], ((Table13345[[#This Row],[BIDC]]+Table13345[[#This Row],[ASKC]])/2), TRUE)</f>
        <v>0.01</v>
      </c>
      <c r="I999" t="b">
        <f>IF(     ISNUMBER(Table13345[[#This Row],[Strike]]),RTD("tos.rtd", , "BID", "."&amp;Table13345[[#This Row],[Ticker]]&amp;Table13345[[#This Row],[Expiry]]&amp;""&amp;"C"&amp;Table13345[[#This Row],[Strike]]))</f>
        <v>0</v>
      </c>
      <c r="J999" t="b">
        <f>IF(     ISNUMBER(Table13345[[#This Row],[Strike]]),RTD("tos.rtd", , "ASK", "."&amp;Table13345[[#This Row],[Ticker]]&amp;Table13345[[#This Row],[Expiry]]&amp;""&amp;"C"&amp;Table13345[[#This Row],[Strike]]))</f>
        <v>0</v>
      </c>
      <c r="K999" s="17"/>
      <c r="M999" s="1">
        <f t="shared" si="95"/>
        <v>0</v>
      </c>
      <c r="N999" t="b">
        <f t="shared" si="96"/>
        <v>0</v>
      </c>
      <c r="P999" s="17" cm="1">
        <f t="array" aca="1" ref="P999" ca="1">IndividualLegIVCore($A$4, Table13345[[#This Row],[Strike]], 0.0411, Table13345[[#This Row],[T]], ((Table13345[[#This Row],[BIDP]]+Table13345[[#This Row],[ASKP]])/2), FALSE)</f>
        <v>0.01</v>
      </c>
      <c r="Q999" t="b">
        <f>IF(     ISNUMBER(Table13345[[#This Row],[Strike]]),RTD("tos.rtd", , "BID", "."&amp;Table13345[[#This Row],[Ticker]]&amp;Table13345[[#This Row],[Expiry]]&amp;""&amp;"P"&amp;Table13345[[#This Row],[Strike]]))</f>
        <v>0</v>
      </c>
      <c r="R999" t="b">
        <f>IF(     ISNUMBER(Table13345[[#This Row],[Strike]]),RTD("tos.rtd", , "ASK", "."&amp;Table13345[[#This Row],[Ticker]]&amp;Table13345[[#This Row],[Expiry]]&amp;""&amp;"P"&amp;Table13345[[#This Row],[Strike]]))</f>
        <v>0</v>
      </c>
      <c r="S999" s="17"/>
      <c r="T999" t="b">
        <f>IF(     ISNUMBER(Table13345[[#This Row],[Strike]]),RTD("tos.rtd", , "OPEN_INT", "."&amp;Table13345[[#This Row],[Ticker]]&amp;Table13345[[#This Row],[Expiry]]&amp;""&amp;"P"&amp;Table13345[[#This Row],[Strike]]))</f>
        <v>0</v>
      </c>
      <c r="U99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9" t="b">
        <f>IF(     ISNUMBER(Table13345[[#This Row],[Strike]]),RTD("tos.rtd", , "DELTA", "."&amp;Table13345[[#This Row],[Ticker]]&amp;Table13345[[#This Row],[Expiry]]&amp;""&amp;"P"&amp;Table13345[[#This Row],[Strike]]))</f>
        <v>0</v>
      </c>
      <c r="Y999" s="19">
        <f>38.5* IF($M$1="NDX", 10, IF(OR($M$1="SPX", $M$1="RUT"), 2, 1))</f>
        <v>77</v>
      </c>
      <c r="Z999">
        <f ca="1">IFERROR(Table13345[[#This Row],[call gamma]]*(Table13345[[#This Row],[Open.Int]])*$A$4^2,0)</f>
        <v>0</v>
      </c>
      <c r="AA999">
        <f ca="1">IFERROR(((Table13345[[#This Row],[Open.Int8]])*Table13345[[#This Row],[Put gamma]])*-1*$A$4^2,0)</f>
        <v>0</v>
      </c>
      <c r="AB999">
        <f ca="1">(Table13345[[#This Row],[Call Gex]]+Table13345[[#This Row],[Put Gex]])</f>
        <v>0</v>
      </c>
      <c r="AC999">
        <f ca="1">Table13345[[#This Row],[put delta adj]]+Table13345[[#This Row],[call delta adj]]</f>
        <v>0</v>
      </c>
      <c r="AD999">
        <f ca="1">Table13345[[#This Row],[Put Gex]]*Table13345[[#This Row],[DeltaP]]*-1</f>
        <v>0</v>
      </c>
      <c r="AE999">
        <f ca="1">Table13345[[#This Row],[Call Gex]]*Table13345[[#This Row],[DeltaC]]</f>
        <v>0</v>
      </c>
      <c r="AF999">
        <f>IF(Table13345[[#This Row],[DeltaC]]-ABS(Table13345[[#This Row],[DeltaP]])="0","0.01",Table13345[[#This Row],[DeltaC]]-ABS(Table13345[[#This Row],[DeltaP]]))</f>
        <v>0</v>
      </c>
      <c r="AG99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9" t="e">
        <f ca="1">(EXP(-(AG999^2)/2)/SQRT(2*PI())*EXP(0*SQRT(Table13345[[#This Row],[T]]))/$A$4*18%*SQRT(SQRT(Table13345[[#This Row],[T]])))</f>
        <v>#DIV/0!</v>
      </c>
      <c r="AJ999" t="e">
        <f ca="1">(EXP(-(AH999^2)/2)/SQRT(2*PI())*EXP(0*SQRT(Table13345[[#This Row],[T]]))/$A$4*18%*SQRT(SQRT(Table13345[[#This Row],[T]])))</f>
        <v>#DIV/0!</v>
      </c>
      <c r="AK999" t="e">
        <f ca="1">Table13345[[#This Row],[Call D1]]-Table13345[[#This Row],[IV Calc C]]*SQRT(Table13345[[#This Row],[T]])</f>
        <v>#DIV/0!</v>
      </c>
      <c r="AL999" t="e">
        <f ca="1">Table13345[[#This Row],[Put D1]]-Table13345[[#This Row],[IV Calc P]]*SQRT(Table13345[[#This Row],[T]])</f>
        <v>#DIV/0!</v>
      </c>
      <c r="AM999" t="e">
        <f ca="1">EXP(-0.5*Table13345[[#This Row],[Call D1]]^2)/SQRT(2*PI())</f>
        <v>#DIV/0!</v>
      </c>
      <c r="AN999" t="e">
        <f ca="1">EXP(-0.5*Table13345[[#This Row],[Put D1]]^2)/SQRT(2*PI())</f>
        <v>#DIV/0!</v>
      </c>
      <c r="AO99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9">
        <f ca="1">((Table13345[[#This Row],[call vanna]]+Table13345[[#This Row],[put vanna]])*$A$4)</f>
        <v>0</v>
      </c>
      <c r="AR99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9" s="9" t="str" cm="1">
        <f t="array" ref="AT999">_xlfn.IFS(     $M$1="SPX","SPXW",     $M$1="RUT","RUTW",  $M$1="NDX","NDXP",   TRUE,$M$1 )</f>
        <v>SPXW</v>
      </c>
      <c r="AU999" s="2">
        <f t="shared" si="97"/>
        <v>6915</v>
      </c>
      <c r="AV999" t="str">
        <f t="shared" si="98"/>
        <v>000100</v>
      </c>
      <c r="AY99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9">
        <f>((Table13345[[#This Row],[High C]]+Table13345[[#This Row],[Low C]])/2)*Table13345[[#This Row],[gammac]]*Table13345[[#This Row],[Volume]]</f>
        <v>0</v>
      </c>
      <c r="BD999">
        <f>((Table13345[[#This Row],[High P]]+Table13345[[#This Row],[Low P]])/2)*Table13345[[#This Row],[gammap]]*Table13345[[#This Row],[Volume9]]*-1</f>
        <v>0</v>
      </c>
      <c r="BE999">
        <f>(Table13345[[#This Row],[SgammaC]]+Table13345[[#This Row],[SgammaP]])*$A$4*-100</f>
        <v>0</v>
      </c>
      <c r="BF999">
        <f>Table13345[[#This Row],[DEXc]]+Table13345[[#This Row],[DEXp]]</f>
        <v>0</v>
      </c>
      <c r="BG999">
        <f>IFERROR(Table13345[[#This Row],[DeltaC]]*Table13345[[#This Row],[Open.Int]]*$A$4,0)</f>
        <v>0</v>
      </c>
      <c r="BH999">
        <f>IFERROR(Table13345[[#This Row],[DeltaP]]*Table13345[[#This Row],[Open.Int8]]*$A$4,0)</f>
        <v>0</v>
      </c>
      <c r="BI99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9">
        <f ca="1">Table13345[[#This Row],[charmc]]+Table13345[[#This Row],[charmp]]</f>
        <v>0</v>
      </c>
      <c r="BL99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9" s="78">
        <f ca="1">Table13345[[#This Row],[call helper]]+Table13345[[#This Row],[put helper]]</f>
        <v>0</v>
      </c>
      <c r="BP999" t="str">
        <f>RTD("tos.rtd", , "STRIKE", "."&amp;Table13345[[#This Row],[Ticker]]&amp;Table13345[[#This Row],[Expiry]]&amp;""&amp;"C"&amp;Table13345[[#This Row],[Spot]]+Table13345[[#This Row],[step]])</f>
        <v>N/A</v>
      </c>
    </row>
    <row r="1000" spans="1:68" x14ac:dyDescent="0.25">
      <c r="A1000" s="14">
        <f t="shared" ca="1" si="94"/>
        <v>-126.14810350076104</v>
      </c>
      <c r="C1000" s="17"/>
      <c r="D1000" t="str">
        <f>RTD("tos.rtd", , "OPEN_INT", "."&amp;Table13345[[#This Row],[Ticker]]&amp;Table13345[[#This Row],[Expiry]]&amp;""&amp;"C"&amp;Table13345[[#This Row],[Spot]]+Table13345[[#This Row],[step]])</f>
        <v>N/A</v>
      </c>
      <c r="E100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0" t="b">
        <f>IF(     ISNUMBER(Table13345[[#This Row],[Strike]]),RTD("tos.rtd", , "DELTA", "."&amp;Table13345[[#This Row],[Ticker]]&amp;Table13345[[#This Row],[Expiry]]&amp;""&amp;"C"&amp;Table13345[[#This Row],[Strike]]))</f>
        <v>0</v>
      </c>
      <c r="H1000" s="17" cm="1">
        <f t="array" aca="1" ref="H1000" ca="1">IndividualLegIVCore($A$4, Table13345[[#This Row],[Strike]], 0.0411, Table13345[[#This Row],[T]], ((Table13345[[#This Row],[BIDC]]+Table13345[[#This Row],[ASKC]])/2), TRUE)</f>
        <v>0.01</v>
      </c>
      <c r="I1000" t="b">
        <f>IF(     ISNUMBER(Table13345[[#This Row],[Strike]]),RTD("tos.rtd", , "BID", "."&amp;Table13345[[#This Row],[Ticker]]&amp;Table13345[[#This Row],[Expiry]]&amp;""&amp;"C"&amp;Table13345[[#This Row],[Strike]]))</f>
        <v>0</v>
      </c>
      <c r="J1000" t="b">
        <f>IF(     ISNUMBER(Table13345[[#This Row],[Strike]]),RTD("tos.rtd", , "ASK", "."&amp;Table13345[[#This Row],[Ticker]]&amp;Table13345[[#This Row],[Expiry]]&amp;""&amp;"C"&amp;Table13345[[#This Row],[Strike]]))</f>
        <v>0</v>
      </c>
      <c r="K1000" s="17"/>
      <c r="M1000" s="1">
        <f t="shared" si="95"/>
        <v>0</v>
      </c>
      <c r="N1000" t="b">
        <f t="shared" si="96"/>
        <v>0</v>
      </c>
      <c r="P1000" s="17" cm="1">
        <f t="array" aca="1" ref="P1000" ca="1">IndividualLegIVCore($A$4, Table13345[[#This Row],[Strike]], 0.0411, Table13345[[#This Row],[T]], ((Table13345[[#This Row],[BIDP]]+Table13345[[#This Row],[ASKP]])/2), FALSE)</f>
        <v>0.01</v>
      </c>
      <c r="Q1000" t="b">
        <f>IF(     ISNUMBER(Table13345[[#This Row],[Strike]]),RTD("tos.rtd", , "BID", "."&amp;Table13345[[#This Row],[Ticker]]&amp;Table13345[[#This Row],[Expiry]]&amp;""&amp;"P"&amp;Table13345[[#This Row],[Strike]]))</f>
        <v>0</v>
      </c>
      <c r="R1000" t="b">
        <f>IF(     ISNUMBER(Table13345[[#This Row],[Strike]]),RTD("tos.rtd", , "ASK", "."&amp;Table13345[[#This Row],[Ticker]]&amp;Table13345[[#This Row],[Expiry]]&amp;""&amp;"P"&amp;Table13345[[#This Row],[Strike]]))</f>
        <v>0</v>
      </c>
      <c r="S1000" s="17"/>
      <c r="T100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0" t="b">
        <f>IF(     ISNUMBER(Table13345[[#This Row],[Strike]]),RTD("tos.rtd", , "DELTA", "."&amp;Table13345[[#This Row],[Ticker]]&amp;Table13345[[#This Row],[Expiry]]&amp;""&amp;"P"&amp;Table13345[[#This Row],[Strike]]))</f>
        <v>0</v>
      </c>
      <c r="Y1000" s="19">
        <f>39* IF($M$1="NDX", 10, IF(OR($M$1="SPX", $M$1="RUT"), 2, 1))</f>
        <v>78</v>
      </c>
      <c r="Z1000">
        <f ca="1">IFERROR(Table13345[[#This Row],[call gamma]]*(Table13345[[#This Row],[Open.Int]])*$A$4^2,0)</f>
        <v>0</v>
      </c>
      <c r="AA1000">
        <f ca="1">IFERROR(((Table13345[[#This Row],[Open.Int8]])*Table13345[[#This Row],[Put gamma]])*-1*$A$4^2,0)</f>
        <v>0</v>
      </c>
      <c r="AB1000">
        <f ca="1">(Table13345[[#This Row],[Call Gex]]+Table13345[[#This Row],[Put Gex]])</f>
        <v>0</v>
      </c>
      <c r="AC1000">
        <f ca="1">Table13345[[#This Row],[put delta adj]]+Table13345[[#This Row],[call delta adj]]</f>
        <v>0</v>
      </c>
      <c r="AD1000">
        <f ca="1">Table13345[[#This Row],[Put Gex]]*Table13345[[#This Row],[DeltaP]]*-1</f>
        <v>0</v>
      </c>
      <c r="AE1000">
        <f ca="1">Table13345[[#This Row],[Call Gex]]*Table13345[[#This Row],[DeltaC]]</f>
        <v>0</v>
      </c>
      <c r="AF1000">
        <f>IF(Table13345[[#This Row],[DeltaC]]-ABS(Table13345[[#This Row],[DeltaP]])="0","0.01",Table13345[[#This Row],[DeltaC]]-ABS(Table13345[[#This Row],[DeltaP]]))</f>
        <v>0</v>
      </c>
      <c r="AG100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0" t="e">
        <f ca="1">(EXP(-(AG1000^2)/2)/SQRT(2*PI())*EXP(0*SQRT(Table13345[[#This Row],[T]]))/$A$4*18%*SQRT(SQRT(Table13345[[#This Row],[T]])))</f>
        <v>#DIV/0!</v>
      </c>
      <c r="AJ1000" t="e">
        <f ca="1">(EXP(-(AH1000^2)/2)/SQRT(2*PI())*EXP(0*SQRT(Table13345[[#This Row],[T]]))/$A$4*18%*SQRT(SQRT(Table13345[[#This Row],[T]])))</f>
        <v>#DIV/0!</v>
      </c>
      <c r="AK1000" t="e">
        <f ca="1">Table13345[[#This Row],[Call D1]]-Table13345[[#This Row],[IV Calc C]]*SQRT(Table13345[[#This Row],[T]])</f>
        <v>#DIV/0!</v>
      </c>
      <c r="AL1000" t="e">
        <f ca="1">Table13345[[#This Row],[Put D1]]-Table13345[[#This Row],[IV Calc P]]*SQRT(Table13345[[#This Row],[T]])</f>
        <v>#DIV/0!</v>
      </c>
      <c r="AM1000" t="e">
        <f ca="1">EXP(-0.5*Table13345[[#This Row],[Call D1]]^2)/SQRT(2*PI())</f>
        <v>#DIV/0!</v>
      </c>
      <c r="AN1000" t="e">
        <f ca="1">EXP(-0.5*Table13345[[#This Row],[Put D1]]^2)/SQRT(2*PI())</f>
        <v>#DIV/0!</v>
      </c>
      <c r="AO100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0">
        <f ca="1">((Table13345[[#This Row],[call vanna]]+Table13345[[#This Row],[put vanna]])*$A$4)</f>
        <v>0</v>
      </c>
      <c r="AR100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0" s="9" t="str" cm="1">
        <f t="array" ref="AT1000">_xlfn.IFS(     $M$1="SPX","SPXW",     $M$1="RUT","RUTW",  $M$1="NDX","NDXP",   TRUE,$M$1 )</f>
        <v>SPXW</v>
      </c>
      <c r="AU1000" s="2">
        <f t="shared" si="97"/>
        <v>6915</v>
      </c>
      <c r="AV1000" t="str">
        <f t="shared" si="98"/>
        <v>000100</v>
      </c>
      <c r="AY100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0">
        <f>((Table13345[[#This Row],[High C]]+Table13345[[#This Row],[Low C]])/2)*Table13345[[#This Row],[gammac]]*Table13345[[#This Row],[Volume]]</f>
        <v>0</v>
      </c>
      <c r="BD1000">
        <f>((Table13345[[#This Row],[High P]]+Table13345[[#This Row],[Low P]])/2)*Table13345[[#This Row],[gammap]]*Table13345[[#This Row],[Volume9]]*-1</f>
        <v>0</v>
      </c>
      <c r="BE1000">
        <f>(Table13345[[#This Row],[SgammaC]]+Table13345[[#This Row],[SgammaP]])*$A$4*-100</f>
        <v>0</v>
      </c>
      <c r="BF1000">
        <f>Table13345[[#This Row],[DEXc]]+Table13345[[#This Row],[DEXp]]</f>
        <v>0</v>
      </c>
      <c r="BG1000">
        <f>IFERROR(Table13345[[#This Row],[DeltaC]]*Table13345[[#This Row],[Open.Int]]*$A$4,0)</f>
        <v>0</v>
      </c>
      <c r="BH1000">
        <f>IFERROR(Table13345[[#This Row],[DeltaP]]*Table13345[[#This Row],[Open.Int8]]*$A$4,0)</f>
        <v>0</v>
      </c>
      <c r="BI100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0">
        <f ca="1">Table13345[[#This Row],[charmc]]+Table13345[[#This Row],[charmp]]</f>
        <v>0</v>
      </c>
      <c r="BL100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0" s="78">
        <f ca="1">Table13345[[#This Row],[call helper]]+Table13345[[#This Row],[put helper]]</f>
        <v>0</v>
      </c>
      <c r="BP1000" t="str">
        <f>RTD("tos.rtd", , "STRIKE", "."&amp;Table13345[[#This Row],[Ticker]]&amp;Table13345[[#This Row],[Expiry]]&amp;""&amp;"C"&amp;Table13345[[#This Row],[Spot]]+Table13345[[#This Row],[step]])</f>
        <v>N/A</v>
      </c>
    </row>
    <row r="1001" spans="1:68" x14ac:dyDescent="0.25">
      <c r="A1001" s="14">
        <f t="shared" ca="1" si="94"/>
        <v>-126.14810350076104</v>
      </c>
      <c r="C1001" s="17"/>
      <c r="D1001" t="str">
        <f>RTD("tos.rtd", , "OPEN_INT", "."&amp;Table13345[[#This Row],[Ticker]]&amp;Table13345[[#This Row],[Expiry]]&amp;""&amp;"C"&amp;Table13345[[#This Row],[Spot]]+Table13345[[#This Row],[step]])</f>
        <v>N/A</v>
      </c>
      <c r="E100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1" t="b">
        <f>IF(     ISNUMBER(Table13345[[#This Row],[Strike]]),RTD("tos.rtd", , "DELTA", "."&amp;Table13345[[#This Row],[Ticker]]&amp;Table13345[[#This Row],[Expiry]]&amp;""&amp;"C"&amp;Table13345[[#This Row],[Strike]]))</f>
        <v>0</v>
      </c>
      <c r="H1001" s="17" cm="1">
        <f t="array" aca="1" ref="H1001" ca="1">IndividualLegIVCore($A$4, Table13345[[#This Row],[Strike]], 0.0411, Table13345[[#This Row],[T]], ((Table13345[[#This Row],[BIDC]]+Table13345[[#This Row],[ASKC]])/2), TRUE)</f>
        <v>0.01</v>
      </c>
      <c r="I1001" t="b">
        <f>IF(     ISNUMBER(Table13345[[#This Row],[Strike]]),RTD("tos.rtd", , "BID", "."&amp;Table13345[[#This Row],[Ticker]]&amp;Table13345[[#This Row],[Expiry]]&amp;""&amp;"C"&amp;Table13345[[#This Row],[Strike]]))</f>
        <v>0</v>
      </c>
      <c r="J1001" t="b">
        <f>IF(     ISNUMBER(Table13345[[#This Row],[Strike]]),RTD("tos.rtd", , "ASK", "."&amp;Table13345[[#This Row],[Ticker]]&amp;Table13345[[#This Row],[Expiry]]&amp;""&amp;"C"&amp;Table13345[[#This Row],[Strike]]))</f>
        <v>0</v>
      </c>
      <c r="K1001" s="17"/>
      <c r="M1001" s="1">
        <f t="shared" si="95"/>
        <v>0</v>
      </c>
      <c r="N1001" t="b">
        <f t="shared" si="96"/>
        <v>0</v>
      </c>
      <c r="P1001" s="17" cm="1">
        <f t="array" aca="1" ref="P1001" ca="1">IndividualLegIVCore($A$4, Table13345[[#This Row],[Strike]], 0.0411, Table13345[[#This Row],[T]], ((Table13345[[#This Row],[BIDP]]+Table13345[[#This Row],[ASKP]])/2), FALSE)</f>
        <v>0.01</v>
      </c>
      <c r="Q1001" t="b">
        <f>IF(     ISNUMBER(Table13345[[#This Row],[Strike]]),RTD("tos.rtd", , "BID", "."&amp;Table13345[[#This Row],[Ticker]]&amp;Table13345[[#This Row],[Expiry]]&amp;""&amp;"P"&amp;Table13345[[#This Row],[Strike]]))</f>
        <v>0</v>
      </c>
      <c r="R1001" t="b">
        <f>IF(     ISNUMBER(Table13345[[#This Row],[Strike]]),RTD("tos.rtd", , "ASK", "."&amp;Table13345[[#This Row],[Ticker]]&amp;Table13345[[#This Row],[Expiry]]&amp;""&amp;"P"&amp;Table13345[[#This Row],[Strike]]))</f>
        <v>0</v>
      </c>
      <c r="S1001" s="17"/>
      <c r="T100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1" t="b">
        <f>IF(     ISNUMBER(Table13345[[#This Row],[Strike]]),RTD("tos.rtd", , "DELTA", "."&amp;Table13345[[#This Row],[Ticker]]&amp;Table13345[[#This Row],[Expiry]]&amp;""&amp;"P"&amp;Table13345[[#This Row],[Strike]]))</f>
        <v>0</v>
      </c>
      <c r="Y1001" s="19">
        <f>39.5* IF($M$1="NDX", 10, IF(OR($M$1="SPX", $M$1="RUT"), 2, 1))</f>
        <v>79</v>
      </c>
      <c r="Z1001">
        <f ca="1">IFERROR(Table13345[[#This Row],[call gamma]]*(Table13345[[#This Row],[Open.Int]])*$A$4^2,0)</f>
        <v>0</v>
      </c>
      <c r="AA1001">
        <f ca="1">IFERROR(((Table13345[[#This Row],[Open.Int8]])*Table13345[[#This Row],[Put gamma]])*-1*$A$4^2,0)</f>
        <v>0</v>
      </c>
      <c r="AB1001">
        <f ca="1">(Table13345[[#This Row],[Call Gex]]+Table13345[[#This Row],[Put Gex]])</f>
        <v>0</v>
      </c>
      <c r="AC1001">
        <f ca="1">Table13345[[#This Row],[put delta adj]]+Table13345[[#This Row],[call delta adj]]</f>
        <v>0</v>
      </c>
      <c r="AD1001">
        <f ca="1">Table13345[[#This Row],[Put Gex]]*Table13345[[#This Row],[DeltaP]]*-1</f>
        <v>0</v>
      </c>
      <c r="AE1001">
        <f ca="1">Table13345[[#This Row],[Call Gex]]*Table13345[[#This Row],[DeltaC]]</f>
        <v>0</v>
      </c>
      <c r="AF1001">
        <f>IF(Table13345[[#This Row],[DeltaC]]-ABS(Table13345[[#This Row],[DeltaP]])="0","0.01",Table13345[[#This Row],[DeltaC]]-ABS(Table13345[[#This Row],[DeltaP]]))</f>
        <v>0</v>
      </c>
      <c r="AG100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1" t="e">
        <f ca="1">(EXP(-(AG1001^2)/2)/SQRT(2*PI())*EXP(0*SQRT(Table13345[[#This Row],[T]]))/$A$4*18%*SQRT(SQRT(Table13345[[#This Row],[T]])))</f>
        <v>#DIV/0!</v>
      </c>
      <c r="AJ1001" t="e">
        <f ca="1">(EXP(-(AH1001^2)/2)/SQRT(2*PI())*EXP(0*SQRT(Table13345[[#This Row],[T]]))/$A$4*18%*SQRT(SQRT(Table13345[[#This Row],[T]])))</f>
        <v>#DIV/0!</v>
      </c>
      <c r="AK1001" t="e">
        <f ca="1">Table13345[[#This Row],[Call D1]]-Table13345[[#This Row],[IV Calc C]]*SQRT(Table13345[[#This Row],[T]])</f>
        <v>#DIV/0!</v>
      </c>
      <c r="AL1001" t="e">
        <f ca="1">Table13345[[#This Row],[Put D1]]-Table13345[[#This Row],[IV Calc P]]*SQRT(Table13345[[#This Row],[T]])</f>
        <v>#DIV/0!</v>
      </c>
      <c r="AM1001" t="e">
        <f ca="1">EXP(-0.5*Table13345[[#This Row],[Call D1]]^2)/SQRT(2*PI())</f>
        <v>#DIV/0!</v>
      </c>
      <c r="AN1001" t="e">
        <f ca="1">EXP(-0.5*Table13345[[#This Row],[Put D1]]^2)/SQRT(2*PI())</f>
        <v>#DIV/0!</v>
      </c>
      <c r="AO100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1">
        <f ca="1">((Table13345[[#This Row],[call vanna]]+Table13345[[#This Row],[put vanna]])*$A$4)</f>
        <v>0</v>
      </c>
      <c r="AR100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1" s="9" t="str" cm="1">
        <f t="array" ref="AT1001">_xlfn.IFS(     $M$1="SPX","SPXW",     $M$1="RUT","RUTW",  $M$1="NDX","NDXP",   TRUE,$M$1 )</f>
        <v>SPXW</v>
      </c>
      <c r="AU1001" s="2">
        <f t="shared" si="97"/>
        <v>6915</v>
      </c>
      <c r="AV1001" t="str">
        <f t="shared" si="98"/>
        <v>000100</v>
      </c>
      <c r="AY100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1">
        <f>((Table13345[[#This Row],[High C]]+Table13345[[#This Row],[Low C]])/2)*Table13345[[#This Row],[gammac]]*Table13345[[#This Row],[Volume]]</f>
        <v>0</v>
      </c>
      <c r="BD1001">
        <f>((Table13345[[#This Row],[High P]]+Table13345[[#This Row],[Low P]])/2)*Table13345[[#This Row],[gammap]]*Table13345[[#This Row],[Volume9]]*-1</f>
        <v>0</v>
      </c>
      <c r="BE1001">
        <f>(Table13345[[#This Row],[SgammaC]]+Table13345[[#This Row],[SgammaP]])*$A$4*-100</f>
        <v>0</v>
      </c>
      <c r="BF1001">
        <f>Table13345[[#This Row],[DEXc]]+Table13345[[#This Row],[DEXp]]</f>
        <v>0</v>
      </c>
      <c r="BG1001">
        <f>IFERROR(Table13345[[#This Row],[DeltaC]]*Table13345[[#This Row],[Open.Int]]*$A$4,0)</f>
        <v>0</v>
      </c>
      <c r="BH1001">
        <f>IFERROR(Table13345[[#This Row],[DeltaP]]*Table13345[[#This Row],[Open.Int8]]*$A$4,0)</f>
        <v>0</v>
      </c>
      <c r="BI100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1">
        <f ca="1">Table13345[[#This Row],[charmc]]+Table13345[[#This Row],[charmp]]</f>
        <v>0</v>
      </c>
      <c r="BL100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1" s="78">
        <f ca="1">Table13345[[#This Row],[call helper]]+Table13345[[#This Row],[put helper]]</f>
        <v>0</v>
      </c>
      <c r="BP1001" t="str">
        <f>RTD("tos.rtd", , "STRIKE", "."&amp;Table13345[[#This Row],[Ticker]]&amp;Table13345[[#This Row],[Expiry]]&amp;""&amp;"C"&amp;Table13345[[#This Row],[Spot]]+Table13345[[#This Row],[step]])</f>
        <v>N/A</v>
      </c>
    </row>
    <row r="1002" spans="1:68" x14ac:dyDescent="0.25">
      <c r="A1002" s="14">
        <f t="shared" ca="1" si="94"/>
        <v>-126.14810350076104</v>
      </c>
      <c r="C1002" s="17"/>
      <c r="D1002" t="str">
        <f>RTD("tos.rtd", , "OPEN_INT", "."&amp;Table13345[[#This Row],[Ticker]]&amp;Table13345[[#This Row],[Expiry]]&amp;""&amp;"C"&amp;Table13345[[#This Row],[Spot]]+Table13345[[#This Row],[step]])</f>
        <v>N/A</v>
      </c>
      <c r="E100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2" t="b">
        <f>IF(     ISNUMBER(Table13345[[#This Row],[Strike]]),RTD("tos.rtd", , "DELTA", "."&amp;Table13345[[#This Row],[Ticker]]&amp;Table13345[[#This Row],[Expiry]]&amp;""&amp;"C"&amp;Table13345[[#This Row],[Strike]]))</f>
        <v>0</v>
      </c>
      <c r="H1002" s="17" cm="1">
        <f t="array" aca="1" ref="H1002" ca="1">IndividualLegIVCore($A$4, Table13345[[#This Row],[Strike]], 0.0411, Table13345[[#This Row],[T]], ((Table13345[[#This Row],[BIDC]]+Table13345[[#This Row],[ASKC]])/2), TRUE)</f>
        <v>0.01</v>
      </c>
      <c r="I1002" t="b">
        <f>IF(     ISNUMBER(Table13345[[#This Row],[Strike]]),RTD("tos.rtd", , "BID", "."&amp;Table13345[[#This Row],[Ticker]]&amp;Table13345[[#This Row],[Expiry]]&amp;""&amp;"C"&amp;Table13345[[#This Row],[Strike]]))</f>
        <v>0</v>
      </c>
      <c r="J1002" t="b">
        <f>IF(     ISNUMBER(Table13345[[#This Row],[Strike]]),RTD("tos.rtd", , "ASK", "."&amp;Table13345[[#This Row],[Ticker]]&amp;Table13345[[#This Row],[Expiry]]&amp;""&amp;"C"&amp;Table13345[[#This Row],[Strike]]))</f>
        <v>0</v>
      </c>
      <c r="K1002" s="17"/>
      <c r="M1002" s="1">
        <f t="shared" si="95"/>
        <v>0</v>
      </c>
      <c r="N1002" t="b">
        <f t="shared" si="96"/>
        <v>0</v>
      </c>
      <c r="P1002" s="17" cm="1">
        <f t="array" aca="1" ref="P1002" ca="1">IndividualLegIVCore($A$4, Table13345[[#This Row],[Strike]], 0.0411, Table13345[[#This Row],[T]], ((Table13345[[#This Row],[BIDP]]+Table13345[[#This Row],[ASKP]])/2), FALSE)</f>
        <v>0.01</v>
      </c>
      <c r="Q1002" t="b">
        <f>IF(     ISNUMBER(Table13345[[#This Row],[Strike]]),RTD("tos.rtd", , "BID", "."&amp;Table13345[[#This Row],[Ticker]]&amp;Table13345[[#This Row],[Expiry]]&amp;""&amp;"P"&amp;Table13345[[#This Row],[Strike]]))</f>
        <v>0</v>
      </c>
      <c r="R1002" t="b">
        <f>IF(     ISNUMBER(Table13345[[#This Row],[Strike]]),RTD("tos.rtd", , "ASK", "."&amp;Table13345[[#This Row],[Ticker]]&amp;Table13345[[#This Row],[Expiry]]&amp;""&amp;"P"&amp;Table13345[[#This Row],[Strike]]))</f>
        <v>0</v>
      </c>
      <c r="S1002" s="17"/>
      <c r="T100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2" t="b">
        <f>IF(     ISNUMBER(Table13345[[#This Row],[Strike]]),RTD("tos.rtd", , "DELTA", "."&amp;Table13345[[#This Row],[Ticker]]&amp;Table13345[[#This Row],[Expiry]]&amp;""&amp;"P"&amp;Table13345[[#This Row],[Strike]]))</f>
        <v>0</v>
      </c>
      <c r="Y1002" s="19">
        <f>40* IF($M$1="NDX", 10, IF(OR($M$1="SPX", $M$1="RUT"), 2, 1))</f>
        <v>80</v>
      </c>
      <c r="Z1002">
        <f ca="1">IFERROR(Table13345[[#This Row],[call gamma]]*(Table13345[[#This Row],[Open.Int]])*$A$4^2,0)</f>
        <v>0</v>
      </c>
      <c r="AA1002">
        <f ca="1">IFERROR(((Table13345[[#This Row],[Open.Int8]])*Table13345[[#This Row],[Put gamma]])*-1*$A$4^2,0)</f>
        <v>0</v>
      </c>
      <c r="AB1002">
        <f ca="1">(Table13345[[#This Row],[Call Gex]]+Table13345[[#This Row],[Put Gex]])</f>
        <v>0</v>
      </c>
      <c r="AC1002">
        <f ca="1">Table13345[[#This Row],[put delta adj]]+Table13345[[#This Row],[call delta adj]]</f>
        <v>0</v>
      </c>
      <c r="AD1002">
        <f ca="1">Table13345[[#This Row],[Put Gex]]*Table13345[[#This Row],[DeltaP]]*-1</f>
        <v>0</v>
      </c>
      <c r="AE1002">
        <f ca="1">Table13345[[#This Row],[Call Gex]]*Table13345[[#This Row],[DeltaC]]</f>
        <v>0</v>
      </c>
      <c r="AF1002">
        <f>IF(Table13345[[#This Row],[DeltaC]]-ABS(Table13345[[#This Row],[DeltaP]])="0","0.01",Table13345[[#This Row],[DeltaC]]-ABS(Table13345[[#This Row],[DeltaP]]))</f>
        <v>0</v>
      </c>
      <c r="AG100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2" t="e">
        <f ca="1">(EXP(-(AG1002^2)/2)/SQRT(2*PI())*EXP(0*SQRT(Table13345[[#This Row],[T]]))/$A$4*18%*SQRT(SQRT(Table13345[[#This Row],[T]])))</f>
        <v>#DIV/0!</v>
      </c>
      <c r="AJ1002" t="e">
        <f ca="1">(EXP(-(AH1002^2)/2)/SQRT(2*PI())*EXP(0*SQRT(Table13345[[#This Row],[T]]))/$A$4*18%*SQRT(SQRT(Table13345[[#This Row],[T]])))</f>
        <v>#DIV/0!</v>
      </c>
      <c r="AK1002" t="e">
        <f ca="1">Table13345[[#This Row],[Call D1]]-Table13345[[#This Row],[IV Calc C]]*SQRT(Table13345[[#This Row],[T]])</f>
        <v>#DIV/0!</v>
      </c>
      <c r="AL1002" t="e">
        <f ca="1">Table13345[[#This Row],[Put D1]]-Table13345[[#This Row],[IV Calc P]]*SQRT(Table13345[[#This Row],[T]])</f>
        <v>#DIV/0!</v>
      </c>
      <c r="AM1002" t="e">
        <f ca="1">EXP(-0.5*Table13345[[#This Row],[Call D1]]^2)/SQRT(2*PI())</f>
        <v>#DIV/0!</v>
      </c>
      <c r="AN1002" t="e">
        <f ca="1">EXP(-0.5*Table13345[[#This Row],[Put D1]]^2)/SQRT(2*PI())</f>
        <v>#DIV/0!</v>
      </c>
      <c r="AO100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2">
        <f ca="1">((Table13345[[#This Row],[call vanna]]+Table13345[[#This Row],[put vanna]])*$A$4)</f>
        <v>0</v>
      </c>
      <c r="AR100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2" s="9" t="str" cm="1">
        <f t="array" ref="AT1002">_xlfn.IFS(     $M$1="SPX","SPXW",     $M$1="RUT","RUTW",  $M$1="NDX","NDXP",   TRUE,$M$1 )</f>
        <v>SPXW</v>
      </c>
      <c r="AU1002" s="2">
        <f t="shared" si="97"/>
        <v>6915</v>
      </c>
      <c r="AV1002" t="str">
        <f t="shared" si="98"/>
        <v>000100</v>
      </c>
      <c r="AY100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2">
        <f>((Table13345[[#This Row],[High C]]+Table13345[[#This Row],[Low C]])/2)*Table13345[[#This Row],[gammac]]*Table13345[[#This Row],[Volume]]</f>
        <v>0</v>
      </c>
      <c r="BD1002">
        <f>((Table13345[[#This Row],[High P]]+Table13345[[#This Row],[Low P]])/2)*Table13345[[#This Row],[gammap]]*Table13345[[#This Row],[Volume9]]*-1</f>
        <v>0</v>
      </c>
      <c r="BE1002">
        <f>(Table13345[[#This Row],[SgammaC]]+Table13345[[#This Row],[SgammaP]])*$A$4*-100</f>
        <v>0</v>
      </c>
      <c r="BF1002">
        <f>Table13345[[#This Row],[DEXc]]+Table13345[[#This Row],[DEXp]]</f>
        <v>0</v>
      </c>
      <c r="BG1002">
        <f>IFERROR(Table13345[[#This Row],[DeltaC]]*Table13345[[#This Row],[Open.Int]]*$A$4,0)</f>
        <v>0</v>
      </c>
      <c r="BH1002">
        <f>IFERROR(Table13345[[#This Row],[DeltaP]]*Table13345[[#This Row],[Open.Int8]]*$A$4,0)</f>
        <v>0</v>
      </c>
      <c r="BI100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2">
        <f ca="1">Table13345[[#This Row],[charmc]]+Table13345[[#This Row],[charmp]]</f>
        <v>0</v>
      </c>
      <c r="BL100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2" s="78">
        <f ca="1">Table13345[[#This Row],[call helper]]+Table13345[[#This Row],[put helper]]</f>
        <v>0</v>
      </c>
      <c r="BP1002" t="str">
        <f>RTD("tos.rtd", , "STRIKE", "."&amp;Table13345[[#This Row],[Ticker]]&amp;Table13345[[#This Row],[Expiry]]&amp;""&amp;"C"&amp;Table13345[[#This Row],[Spot]]+Table13345[[#This Row],[step]])</f>
        <v>N/A</v>
      </c>
    </row>
    <row r="1003" spans="1:68" x14ac:dyDescent="0.25">
      <c r="A1003" s="14">
        <f t="shared" ca="1" si="94"/>
        <v>-126.14810350076104</v>
      </c>
      <c r="C1003" s="17"/>
      <c r="D1003" t="str">
        <f>RTD("tos.rtd", , "OPEN_INT", "."&amp;Table13345[[#This Row],[Ticker]]&amp;Table13345[[#This Row],[Expiry]]&amp;""&amp;"C"&amp;Table13345[[#This Row],[Spot]]+Table13345[[#This Row],[step]])</f>
        <v>N/A</v>
      </c>
      <c r="E100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3" t="b">
        <f>IF(     ISNUMBER(Table13345[[#This Row],[Strike]]),RTD("tos.rtd", , "DELTA", "."&amp;Table13345[[#This Row],[Ticker]]&amp;Table13345[[#This Row],[Expiry]]&amp;""&amp;"C"&amp;Table13345[[#This Row],[Strike]]))</f>
        <v>0</v>
      </c>
      <c r="H1003" s="17" cm="1">
        <f t="array" aca="1" ref="H1003" ca="1">IndividualLegIVCore($A$4, Table13345[[#This Row],[Strike]], 0.0411, Table13345[[#This Row],[T]], ((Table13345[[#This Row],[BIDC]]+Table13345[[#This Row],[ASKC]])/2), TRUE)</f>
        <v>0.01</v>
      </c>
      <c r="I1003" t="b">
        <f>IF(     ISNUMBER(Table13345[[#This Row],[Strike]]),RTD("tos.rtd", , "BID", "."&amp;Table13345[[#This Row],[Ticker]]&amp;Table13345[[#This Row],[Expiry]]&amp;""&amp;"C"&amp;Table13345[[#This Row],[Strike]]))</f>
        <v>0</v>
      </c>
      <c r="J1003" t="b">
        <f>IF(     ISNUMBER(Table13345[[#This Row],[Strike]]),RTD("tos.rtd", , "ASK", "."&amp;Table13345[[#This Row],[Ticker]]&amp;Table13345[[#This Row],[Expiry]]&amp;""&amp;"C"&amp;Table13345[[#This Row],[Strike]]))</f>
        <v>0</v>
      </c>
      <c r="K1003" s="17"/>
      <c r="M1003" s="1">
        <f t="shared" si="95"/>
        <v>0</v>
      </c>
      <c r="N1003" t="b">
        <f t="shared" si="96"/>
        <v>0</v>
      </c>
      <c r="P1003" s="17" cm="1">
        <f t="array" aca="1" ref="P1003" ca="1">IndividualLegIVCore($A$4, Table13345[[#This Row],[Strike]], 0.0411, Table13345[[#This Row],[T]], ((Table13345[[#This Row],[BIDP]]+Table13345[[#This Row],[ASKP]])/2), FALSE)</f>
        <v>0.01</v>
      </c>
      <c r="Q1003" t="b">
        <f>IF(     ISNUMBER(Table13345[[#This Row],[Strike]]),RTD("tos.rtd", , "BID", "."&amp;Table13345[[#This Row],[Ticker]]&amp;Table13345[[#This Row],[Expiry]]&amp;""&amp;"P"&amp;Table13345[[#This Row],[Strike]]))</f>
        <v>0</v>
      </c>
      <c r="R1003" t="b">
        <f>IF(     ISNUMBER(Table13345[[#This Row],[Strike]]),RTD("tos.rtd", , "ASK", "."&amp;Table13345[[#This Row],[Ticker]]&amp;Table13345[[#This Row],[Expiry]]&amp;""&amp;"P"&amp;Table13345[[#This Row],[Strike]]))</f>
        <v>0</v>
      </c>
      <c r="S1003" s="17"/>
      <c r="T1003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3" t="b">
        <f>IF(     ISNUMBER(Table13345[[#This Row],[Strike]]),RTD("tos.rtd", , "DELTA", "."&amp;Table13345[[#This Row],[Ticker]]&amp;Table13345[[#This Row],[Expiry]]&amp;""&amp;"P"&amp;Table13345[[#This Row],[Strike]]))</f>
        <v>0</v>
      </c>
      <c r="Y1003" s="19">
        <f>40.5* IF($M$1="NDX", 10, IF(OR($M$1="SPX", $M$1="RUT"), 2, 1))</f>
        <v>81</v>
      </c>
      <c r="Z1003">
        <f ca="1">IFERROR(Table13345[[#This Row],[call gamma]]*(Table13345[[#This Row],[Open.Int]])*$A$4^2,0)</f>
        <v>0</v>
      </c>
      <c r="AA1003">
        <f ca="1">IFERROR(((Table13345[[#This Row],[Open.Int8]])*Table13345[[#This Row],[Put gamma]])*-1*$A$4^2,0)</f>
        <v>0</v>
      </c>
      <c r="AB1003">
        <f ca="1">(Table13345[[#This Row],[Call Gex]]+Table13345[[#This Row],[Put Gex]])</f>
        <v>0</v>
      </c>
      <c r="AC1003">
        <f ca="1">Table13345[[#This Row],[put delta adj]]+Table13345[[#This Row],[call delta adj]]</f>
        <v>0</v>
      </c>
      <c r="AD1003">
        <f ca="1">Table13345[[#This Row],[Put Gex]]*Table13345[[#This Row],[DeltaP]]*-1</f>
        <v>0</v>
      </c>
      <c r="AE1003">
        <f ca="1">Table13345[[#This Row],[Call Gex]]*Table13345[[#This Row],[DeltaC]]</f>
        <v>0</v>
      </c>
      <c r="AF1003">
        <f>IF(Table13345[[#This Row],[DeltaC]]-ABS(Table13345[[#This Row],[DeltaP]])="0","0.01",Table13345[[#This Row],[DeltaC]]-ABS(Table13345[[#This Row],[DeltaP]]))</f>
        <v>0</v>
      </c>
      <c r="AG100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3" t="e">
        <f ca="1">(EXP(-(AG1003^2)/2)/SQRT(2*PI())*EXP(0*SQRT(Table13345[[#This Row],[T]]))/$A$4*18%*SQRT(SQRT(Table13345[[#This Row],[T]])))</f>
        <v>#DIV/0!</v>
      </c>
      <c r="AJ1003" t="e">
        <f ca="1">(EXP(-(AH1003^2)/2)/SQRT(2*PI())*EXP(0*SQRT(Table13345[[#This Row],[T]]))/$A$4*18%*SQRT(SQRT(Table13345[[#This Row],[T]])))</f>
        <v>#DIV/0!</v>
      </c>
      <c r="AK1003" t="e">
        <f ca="1">Table13345[[#This Row],[Call D1]]-Table13345[[#This Row],[IV Calc C]]*SQRT(Table13345[[#This Row],[T]])</f>
        <v>#DIV/0!</v>
      </c>
      <c r="AL1003" t="e">
        <f ca="1">Table13345[[#This Row],[Put D1]]-Table13345[[#This Row],[IV Calc P]]*SQRT(Table13345[[#This Row],[T]])</f>
        <v>#DIV/0!</v>
      </c>
      <c r="AM1003" t="e">
        <f ca="1">EXP(-0.5*Table13345[[#This Row],[Call D1]]^2)/SQRT(2*PI())</f>
        <v>#DIV/0!</v>
      </c>
      <c r="AN1003" t="e">
        <f ca="1">EXP(-0.5*Table13345[[#This Row],[Put D1]]^2)/SQRT(2*PI())</f>
        <v>#DIV/0!</v>
      </c>
      <c r="AO100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3">
        <f ca="1">((Table13345[[#This Row],[call vanna]]+Table13345[[#This Row],[put vanna]])*$A$4)</f>
        <v>0</v>
      </c>
      <c r="AR100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3" s="9" t="str" cm="1">
        <f t="array" ref="AT1003">_xlfn.IFS(     $M$1="SPX","SPXW",     $M$1="RUT","RUTW",  $M$1="NDX","NDXP",   TRUE,$M$1 )</f>
        <v>SPXW</v>
      </c>
      <c r="AU1003" s="2">
        <f t="shared" si="97"/>
        <v>6915</v>
      </c>
      <c r="AV1003" t="str">
        <f t="shared" si="98"/>
        <v>000100</v>
      </c>
      <c r="AY100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3">
        <f>((Table13345[[#This Row],[High C]]+Table13345[[#This Row],[Low C]])/2)*Table13345[[#This Row],[gammac]]*Table13345[[#This Row],[Volume]]</f>
        <v>0</v>
      </c>
      <c r="BD1003">
        <f>((Table13345[[#This Row],[High P]]+Table13345[[#This Row],[Low P]])/2)*Table13345[[#This Row],[gammap]]*Table13345[[#This Row],[Volume9]]*-1</f>
        <v>0</v>
      </c>
      <c r="BE1003">
        <f>(Table13345[[#This Row],[SgammaC]]+Table13345[[#This Row],[SgammaP]])*$A$4*-100</f>
        <v>0</v>
      </c>
      <c r="BF1003">
        <f>Table13345[[#This Row],[DEXc]]+Table13345[[#This Row],[DEXp]]</f>
        <v>0</v>
      </c>
      <c r="BG1003">
        <f>IFERROR(Table13345[[#This Row],[DeltaC]]*Table13345[[#This Row],[Open.Int]]*$A$4,0)</f>
        <v>0</v>
      </c>
      <c r="BH1003">
        <f>IFERROR(Table13345[[#This Row],[DeltaP]]*Table13345[[#This Row],[Open.Int8]]*$A$4,0)</f>
        <v>0</v>
      </c>
      <c r="BI100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3">
        <f ca="1">Table13345[[#This Row],[charmc]]+Table13345[[#This Row],[charmp]]</f>
        <v>0</v>
      </c>
      <c r="BL100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3" s="78">
        <f ca="1">Table13345[[#This Row],[call helper]]+Table13345[[#This Row],[put helper]]</f>
        <v>0</v>
      </c>
      <c r="BP1003" t="str">
        <f>RTD("tos.rtd", , "STRIKE", "."&amp;Table13345[[#This Row],[Ticker]]&amp;Table13345[[#This Row],[Expiry]]&amp;""&amp;"C"&amp;Table13345[[#This Row],[Spot]]+Table13345[[#This Row],[step]])</f>
        <v>N/A</v>
      </c>
    </row>
    <row r="1004" spans="1:68" x14ac:dyDescent="0.25">
      <c r="A1004" s="14">
        <f t="shared" ca="1" si="94"/>
        <v>-126.14810350076104</v>
      </c>
      <c r="C1004" s="17"/>
      <c r="D1004" t="str">
        <f>RTD("tos.rtd", , "OPEN_INT", "."&amp;Table13345[[#This Row],[Ticker]]&amp;Table13345[[#This Row],[Expiry]]&amp;""&amp;"C"&amp;Table13345[[#This Row],[Spot]]+Table13345[[#This Row],[step]])</f>
        <v>N/A</v>
      </c>
      <c r="E100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4" t="b">
        <f>IF(     ISNUMBER(Table13345[[#This Row],[Strike]]),RTD("tos.rtd", , "DELTA", "."&amp;Table13345[[#This Row],[Ticker]]&amp;Table13345[[#This Row],[Expiry]]&amp;""&amp;"C"&amp;Table13345[[#This Row],[Strike]]))</f>
        <v>0</v>
      </c>
      <c r="H1004" s="17" cm="1">
        <f t="array" aca="1" ref="H1004" ca="1">IndividualLegIVCore($A$4, Table13345[[#This Row],[Strike]], 0.0411, Table13345[[#This Row],[T]], ((Table13345[[#This Row],[BIDC]]+Table13345[[#This Row],[ASKC]])/2), TRUE)</f>
        <v>0.01</v>
      </c>
      <c r="I1004" t="b">
        <f>IF(     ISNUMBER(Table13345[[#This Row],[Strike]]),RTD("tos.rtd", , "BID", "."&amp;Table13345[[#This Row],[Ticker]]&amp;Table13345[[#This Row],[Expiry]]&amp;""&amp;"C"&amp;Table13345[[#This Row],[Strike]]))</f>
        <v>0</v>
      </c>
      <c r="J1004" t="b">
        <f>IF(     ISNUMBER(Table13345[[#This Row],[Strike]]),RTD("tos.rtd", , "ASK", "."&amp;Table13345[[#This Row],[Ticker]]&amp;Table13345[[#This Row],[Expiry]]&amp;""&amp;"C"&amp;Table13345[[#This Row],[Strike]]))</f>
        <v>0</v>
      </c>
      <c r="K1004" s="17"/>
      <c r="M1004" s="1">
        <f t="shared" si="95"/>
        <v>0</v>
      </c>
      <c r="N1004" t="b">
        <f t="shared" si="96"/>
        <v>0</v>
      </c>
      <c r="P1004" s="17" cm="1">
        <f t="array" aca="1" ref="P1004" ca="1">IndividualLegIVCore($A$4, Table13345[[#This Row],[Strike]], 0.0411, Table13345[[#This Row],[T]], ((Table13345[[#This Row],[BIDP]]+Table13345[[#This Row],[ASKP]])/2), FALSE)</f>
        <v>0.01</v>
      </c>
      <c r="Q1004" t="b">
        <f>IF(     ISNUMBER(Table13345[[#This Row],[Strike]]),RTD("tos.rtd", , "BID", "."&amp;Table13345[[#This Row],[Ticker]]&amp;Table13345[[#This Row],[Expiry]]&amp;""&amp;"P"&amp;Table13345[[#This Row],[Strike]]))</f>
        <v>0</v>
      </c>
      <c r="R1004" t="b">
        <f>IF(     ISNUMBER(Table13345[[#This Row],[Strike]]),RTD("tos.rtd", , "ASK", "."&amp;Table13345[[#This Row],[Ticker]]&amp;Table13345[[#This Row],[Expiry]]&amp;""&amp;"P"&amp;Table13345[[#This Row],[Strike]]))</f>
        <v>0</v>
      </c>
      <c r="S1004" s="17"/>
      <c r="T1004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4" t="b">
        <f>IF(     ISNUMBER(Table13345[[#This Row],[Strike]]),RTD("tos.rtd", , "DELTA", "."&amp;Table13345[[#This Row],[Ticker]]&amp;Table13345[[#This Row],[Expiry]]&amp;""&amp;"P"&amp;Table13345[[#This Row],[Strike]]))</f>
        <v>0</v>
      </c>
      <c r="Y1004" s="19">
        <f>41* IF($M$1="NDX", 10, IF(OR($M$1="SPX", $M$1="RUT"), 2, 1))</f>
        <v>82</v>
      </c>
      <c r="Z1004">
        <f ca="1">IFERROR(Table13345[[#This Row],[call gamma]]*(Table13345[[#This Row],[Open.Int]])*$A$4^2,0)</f>
        <v>0</v>
      </c>
      <c r="AA1004">
        <f ca="1">IFERROR(((Table13345[[#This Row],[Open.Int8]])*Table13345[[#This Row],[Put gamma]])*-1*$A$4^2,0)</f>
        <v>0</v>
      </c>
      <c r="AB1004">
        <f ca="1">(Table13345[[#This Row],[Call Gex]]+Table13345[[#This Row],[Put Gex]])</f>
        <v>0</v>
      </c>
      <c r="AC1004">
        <f ca="1">Table13345[[#This Row],[put delta adj]]+Table13345[[#This Row],[call delta adj]]</f>
        <v>0</v>
      </c>
      <c r="AD1004">
        <f ca="1">Table13345[[#This Row],[Put Gex]]*Table13345[[#This Row],[DeltaP]]*-1</f>
        <v>0</v>
      </c>
      <c r="AE1004">
        <f ca="1">Table13345[[#This Row],[Call Gex]]*Table13345[[#This Row],[DeltaC]]</f>
        <v>0</v>
      </c>
      <c r="AF1004">
        <f>IF(Table13345[[#This Row],[DeltaC]]-ABS(Table13345[[#This Row],[DeltaP]])="0","0.01",Table13345[[#This Row],[DeltaC]]-ABS(Table13345[[#This Row],[DeltaP]]))</f>
        <v>0</v>
      </c>
      <c r="AG100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4" t="e">
        <f ca="1">(EXP(-(AG1004^2)/2)/SQRT(2*PI())*EXP(0*SQRT(Table13345[[#This Row],[T]]))/$A$4*18%*SQRT(SQRT(Table13345[[#This Row],[T]])))</f>
        <v>#DIV/0!</v>
      </c>
      <c r="AJ1004" t="e">
        <f ca="1">(EXP(-(AH1004^2)/2)/SQRT(2*PI())*EXP(0*SQRT(Table13345[[#This Row],[T]]))/$A$4*18%*SQRT(SQRT(Table13345[[#This Row],[T]])))</f>
        <v>#DIV/0!</v>
      </c>
      <c r="AK1004" t="e">
        <f ca="1">Table13345[[#This Row],[Call D1]]-Table13345[[#This Row],[IV Calc C]]*SQRT(Table13345[[#This Row],[T]])</f>
        <v>#DIV/0!</v>
      </c>
      <c r="AL1004" t="e">
        <f ca="1">Table13345[[#This Row],[Put D1]]-Table13345[[#This Row],[IV Calc P]]*SQRT(Table13345[[#This Row],[T]])</f>
        <v>#DIV/0!</v>
      </c>
      <c r="AM1004" t="e">
        <f ca="1">EXP(-0.5*Table13345[[#This Row],[Call D1]]^2)/SQRT(2*PI())</f>
        <v>#DIV/0!</v>
      </c>
      <c r="AN1004" t="e">
        <f ca="1">EXP(-0.5*Table13345[[#This Row],[Put D1]]^2)/SQRT(2*PI())</f>
        <v>#DIV/0!</v>
      </c>
      <c r="AO100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4">
        <f ca="1">((Table13345[[#This Row],[call vanna]]+Table13345[[#This Row],[put vanna]])*$A$4)</f>
        <v>0</v>
      </c>
      <c r="AR100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4" s="9" t="str" cm="1">
        <f t="array" ref="AT1004">_xlfn.IFS(     $M$1="SPX","SPXW",     $M$1="RUT","RUTW",  $M$1="NDX","NDXP",   TRUE,$M$1 )</f>
        <v>SPXW</v>
      </c>
      <c r="AU1004" s="2">
        <f t="shared" si="97"/>
        <v>6915</v>
      </c>
      <c r="AV1004" t="str">
        <f t="shared" si="98"/>
        <v>000100</v>
      </c>
      <c r="AY100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4">
        <f>((Table13345[[#This Row],[High C]]+Table13345[[#This Row],[Low C]])/2)*Table13345[[#This Row],[gammac]]*Table13345[[#This Row],[Volume]]</f>
        <v>0</v>
      </c>
      <c r="BD1004">
        <f>((Table13345[[#This Row],[High P]]+Table13345[[#This Row],[Low P]])/2)*Table13345[[#This Row],[gammap]]*Table13345[[#This Row],[Volume9]]*-1</f>
        <v>0</v>
      </c>
      <c r="BE1004">
        <f>(Table13345[[#This Row],[SgammaC]]+Table13345[[#This Row],[SgammaP]])*$A$4*-100</f>
        <v>0</v>
      </c>
      <c r="BF1004">
        <f>Table13345[[#This Row],[DEXc]]+Table13345[[#This Row],[DEXp]]</f>
        <v>0</v>
      </c>
      <c r="BG1004">
        <f>IFERROR(Table13345[[#This Row],[DeltaC]]*Table13345[[#This Row],[Open.Int]]*$A$4,0)</f>
        <v>0</v>
      </c>
      <c r="BH1004">
        <f>IFERROR(Table13345[[#This Row],[DeltaP]]*Table13345[[#This Row],[Open.Int8]]*$A$4,0)</f>
        <v>0</v>
      </c>
      <c r="BI100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4">
        <f ca="1">Table13345[[#This Row],[charmc]]+Table13345[[#This Row],[charmp]]</f>
        <v>0</v>
      </c>
      <c r="BL100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4" s="78">
        <f ca="1">Table13345[[#This Row],[call helper]]+Table13345[[#This Row],[put helper]]</f>
        <v>0</v>
      </c>
      <c r="BP1004" t="str">
        <f>RTD("tos.rtd", , "STRIKE", "."&amp;Table13345[[#This Row],[Ticker]]&amp;Table13345[[#This Row],[Expiry]]&amp;""&amp;"C"&amp;Table13345[[#This Row],[Spot]]+Table13345[[#This Row],[step]])</f>
        <v>N/A</v>
      </c>
    </row>
    <row r="1005" spans="1:68" x14ac:dyDescent="0.25">
      <c r="A1005" s="14">
        <f t="shared" ca="1" si="94"/>
        <v>-126.14810350076104</v>
      </c>
      <c r="C1005" s="17"/>
      <c r="D1005" t="str">
        <f>RTD("tos.rtd", , "OPEN_INT", "."&amp;Table13345[[#This Row],[Ticker]]&amp;Table13345[[#This Row],[Expiry]]&amp;""&amp;"C"&amp;Table13345[[#This Row],[Spot]]+Table13345[[#This Row],[step]])</f>
        <v>N/A</v>
      </c>
      <c r="E100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5" t="b">
        <f>IF(     ISNUMBER(Table13345[[#This Row],[Strike]]),RTD("tos.rtd", , "DELTA", "."&amp;Table13345[[#This Row],[Ticker]]&amp;Table13345[[#This Row],[Expiry]]&amp;""&amp;"C"&amp;Table13345[[#This Row],[Strike]]))</f>
        <v>0</v>
      </c>
      <c r="H1005" s="17" cm="1">
        <f t="array" aca="1" ref="H1005" ca="1">IndividualLegIVCore($A$4, Table13345[[#This Row],[Strike]], 0.0411, Table13345[[#This Row],[T]], ((Table13345[[#This Row],[BIDC]]+Table13345[[#This Row],[ASKC]])/2), TRUE)</f>
        <v>0.01</v>
      </c>
      <c r="I1005" t="b">
        <f>IF(     ISNUMBER(Table13345[[#This Row],[Strike]]),RTD("tos.rtd", , "BID", "."&amp;Table13345[[#This Row],[Ticker]]&amp;Table13345[[#This Row],[Expiry]]&amp;""&amp;"C"&amp;Table13345[[#This Row],[Strike]]))</f>
        <v>0</v>
      </c>
      <c r="J1005" t="b">
        <f>IF(     ISNUMBER(Table13345[[#This Row],[Strike]]),RTD("tos.rtd", , "ASK", "."&amp;Table13345[[#This Row],[Ticker]]&amp;Table13345[[#This Row],[Expiry]]&amp;""&amp;"C"&amp;Table13345[[#This Row],[Strike]]))</f>
        <v>0</v>
      </c>
      <c r="K1005" s="17"/>
      <c r="M1005" s="1">
        <f t="shared" si="95"/>
        <v>0</v>
      </c>
      <c r="N1005" t="b">
        <f t="shared" si="96"/>
        <v>0</v>
      </c>
      <c r="P1005" s="17" cm="1">
        <f t="array" aca="1" ref="P1005" ca="1">IndividualLegIVCore($A$4, Table13345[[#This Row],[Strike]], 0.0411, Table13345[[#This Row],[T]], ((Table13345[[#This Row],[BIDP]]+Table13345[[#This Row],[ASKP]])/2), FALSE)</f>
        <v>0.01</v>
      </c>
      <c r="Q1005" t="b">
        <f>IF(     ISNUMBER(Table13345[[#This Row],[Strike]]),RTD("tos.rtd", , "BID", "."&amp;Table13345[[#This Row],[Ticker]]&amp;Table13345[[#This Row],[Expiry]]&amp;""&amp;"P"&amp;Table13345[[#This Row],[Strike]]))</f>
        <v>0</v>
      </c>
      <c r="R1005" t="b">
        <f>IF(     ISNUMBER(Table13345[[#This Row],[Strike]]),RTD("tos.rtd", , "ASK", "."&amp;Table13345[[#This Row],[Ticker]]&amp;Table13345[[#This Row],[Expiry]]&amp;""&amp;"P"&amp;Table13345[[#This Row],[Strike]]))</f>
        <v>0</v>
      </c>
      <c r="S1005" s="17"/>
      <c r="T1005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5" t="b">
        <f>IF(     ISNUMBER(Table13345[[#This Row],[Strike]]),RTD("tos.rtd", , "DELTA", "."&amp;Table13345[[#This Row],[Ticker]]&amp;Table13345[[#This Row],[Expiry]]&amp;""&amp;"P"&amp;Table13345[[#This Row],[Strike]]))</f>
        <v>0</v>
      </c>
      <c r="Y1005" s="19">
        <f>41.5* IF($M$1="NDX", 10, IF(OR($M$1="SPX", $M$1="RUT"), 2, 1))</f>
        <v>83</v>
      </c>
      <c r="Z1005">
        <f ca="1">IFERROR(Table13345[[#This Row],[call gamma]]*(Table13345[[#This Row],[Open.Int]])*$A$4^2,0)</f>
        <v>0</v>
      </c>
      <c r="AA1005">
        <f ca="1">IFERROR(((Table13345[[#This Row],[Open.Int8]])*Table13345[[#This Row],[Put gamma]])*-1*$A$4^2,0)</f>
        <v>0</v>
      </c>
      <c r="AB1005">
        <f ca="1">(Table13345[[#This Row],[Call Gex]]+Table13345[[#This Row],[Put Gex]])</f>
        <v>0</v>
      </c>
      <c r="AC1005">
        <f ca="1">Table13345[[#This Row],[put delta adj]]+Table13345[[#This Row],[call delta adj]]</f>
        <v>0</v>
      </c>
      <c r="AD1005">
        <f ca="1">Table13345[[#This Row],[Put Gex]]*Table13345[[#This Row],[DeltaP]]*-1</f>
        <v>0</v>
      </c>
      <c r="AE1005">
        <f ca="1">Table13345[[#This Row],[Call Gex]]*Table13345[[#This Row],[DeltaC]]</f>
        <v>0</v>
      </c>
      <c r="AF1005">
        <f>IF(Table13345[[#This Row],[DeltaC]]-ABS(Table13345[[#This Row],[DeltaP]])="0","0.01",Table13345[[#This Row],[DeltaC]]-ABS(Table13345[[#This Row],[DeltaP]]))</f>
        <v>0</v>
      </c>
      <c r="AG100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5" t="e">
        <f ca="1">(EXP(-(AG1005^2)/2)/SQRT(2*PI())*EXP(0*SQRT(Table13345[[#This Row],[T]]))/$A$4*18%*SQRT(SQRT(Table13345[[#This Row],[T]])))</f>
        <v>#DIV/0!</v>
      </c>
      <c r="AJ1005" t="e">
        <f ca="1">(EXP(-(AH1005^2)/2)/SQRT(2*PI())*EXP(0*SQRT(Table13345[[#This Row],[T]]))/$A$4*18%*SQRT(SQRT(Table13345[[#This Row],[T]])))</f>
        <v>#DIV/0!</v>
      </c>
      <c r="AK1005" t="e">
        <f ca="1">Table13345[[#This Row],[Call D1]]-Table13345[[#This Row],[IV Calc C]]*SQRT(Table13345[[#This Row],[T]])</f>
        <v>#DIV/0!</v>
      </c>
      <c r="AL1005" t="e">
        <f ca="1">Table13345[[#This Row],[Put D1]]-Table13345[[#This Row],[IV Calc P]]*SQRT(Table13345[[#This Row],[T]])</f>
        <v>#DIV/0!</v>
      </c>
      <c r="AM1005" t="e">
        <f ca="1">EXP(-0.5*Table13345[[#This Row],[Call D1]]^2)/SQRT(2*PI())</f>
        <v>#DIV/0!</v>
      </c>
      <c r="AN1005" t="e">
        <f ca="1">EXP(-0.5*Table13345[[#This Row],[Put D1]]^2)/SQRT(2*PI())</f>
        <v>#DIV/0!</v>
      </c>
      <c r="AO100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5">
        <f ca="1">((Table13345[[#This Row],[call vanna]]+Table13345[[#This Row],[put vanna]])*$A$4)</f>
        <v>0</v>
      </c>
      <c r="AR100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5" s="9" t="str" cm="1">
        <f t="array" ref="AT1005">_xlfn.IFS(     $M$1="SPX","SPXW",     $M$1="RUT","RUTW",  $M$1="NDX","NDXP",   TRUE,$M$1 )</f>
        <v>SPXW</v>
      </c>
      <c r="AU1005" s="2">
        <f t="shared" si="97"/>
        <v>6915</v>
      </c>
      <c r="AV1005" t="str">
        <f t="shared" si="98"/>
        <v>000100</v>
      </c>
      <c r="AY100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5">
        <f>((Table13345[[#This Row],[High C]]+Table13345[[#This Row],[Low C]])/2)*Table13345[[#This Row],[gammac]]*Table13345[[#This Row],[Volume]]</f>
        <v>0</v>
      </c>
      <c r="BD1005">
        <f>((Table13345[[#This Row],[High P]]+Table13345[[#This Row],[Low P]])/2)*Table13345[[#This Row],[gammap]]*Table13345[[#This Row],[Volume9]]*-1</f>
        <v>0</v>
      </c>
      <c r="BE1005">
        <f>(Table13345[[#This Row],[SgammaC]]+Table13345[[#This Row],[SgammaP]])*$A$4*-100</f>
        <v>0</v>
      </c>
      <c r="BF1005">
        <f>Table13345[[#This Row],[DEXc]]+Table13345[[#This Row],[DEXp]]</f>
        <v>0</v>
      </c>
      <c r="BG1005">
        <f>IFERROR(Table13345[[#This Row],[DeltaC]]*Table13345[[#This Row],[Open.Int]]*$A$4,0)</f>
        <v>0</v>
      </c>
      <c r="BH1005">
        <f>IFERROR(Table13345[[#This Row],[DeltaP]]*Table13345[[#This Row],[Open.Int8]]*$A$4,0)</f>
        <v>0</v>
      </c>
      <c r="BI100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5">
        <f ca="1">Table13345[[#This Row],[charmc]]+Table13345[[#This Row],[charmp]]</f>
        <v>0</v>
      </c>
      <c r="BL100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5" s="78">
        <f ca="1">Table13345[[#This Row],[call helper]]+Table13345[[#This Row],[put helper]]</f>
        <v>0</v>
      </c>
      <c r="BP1005" t="str">
        <f>RTD("tos.rtd", , "STRIKE", "."&amp;Table13345[[#This Row],[Ticker]]&amp;Table13345[[#This Row],[Expiry]]&amp;""&amp;"C"&amp;Table13345[[#This Row],[Spot]]+Table13345[[#This Row],[step]])</f>
        <v>N/A</v>
      </c>
    </row>
    <row r="1006" spans="1:68" x14ac:dyDescent="0.25">
      <c r="A1006" s="14">
        <f t="shared" ca="1" si="94"/>
        <v>-126.14810350076104</v>
      </c>
      <c r="C1006" s="17"/>
      <c r="D1006" t="str">
        <f>RTD("tos.rtd", , "OPEN_INT", "."&amp;Table13345[[#This Row],[Ticker]]&amp;Table13345[[#This Row],[Expiry]]&amp;""&amp;"C"&amp;Table13345[[#This Row],[Spot]]+Table13345[[#This Row],[step]])</f>
        <v>N/A</v>
      </c>
      <c r="E100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6" t="b">
        <f>IF(     ISNUMBER(Table13345[[#This Row],[Strike]]),RTD("tos.rtd", , "DELTA", "."&amp;Table13345[[#This Row],[Ticker]]&amp;Table13345[[#This Row],[Expiry]]&amp;""&amp;"C"&amp;Table13345[[#This Row],[Strike]]))</f>
        <v>0</v>
      </c>
      <c r="H1006" s="17" cm="1">
        <f t="array" aca="1" ref="H1006" ca="1">IndividualLegIVCore($A$4, Table13345[[#This Row],[Strike]], 0.0411, Table13345[[#This Row],[T]], ((Table13345[[#This Row],[BIDC]]+Table13345[[#This Row],[ASKC]])/2), TRUE)</f>
        <v>0.01</v>
      </c>
      <c r="I1006" t="b">
        <f>IF(     ISNUMBER(Table13345[[#This Row],[Strike]]),RTD("tos.rtd", , "BID", "."&amp;Table13345[[#This Row],[Ticker]]&amp;Table13345[[#This Row],[Expiry]]&amp;""&amp;"C"&amp;Table13345[[#This Row],[Strike]]))</f>
        <v>0</v>
      </c>
      <c r="J1006" t="b">
        <f>IF(     ISNUMBER(Table13345[[#This Row],[Strike]]),RTD("tos.rtd", , "ASK", "."&amp;Table13345[[#This Row],[Ticker]]&amp;Table13345[[#This Row],[Expiry]]&amp;""&amp;"C"&amp;Table13345[[#This Row],[Strike]]))</f>
        <v>0</v>
      </c>
      <c r="K1006" s="17"/>
      <c r="M1006" s="1">
        <f t="shared" si="95"/>
        <v>0</v>
      </c>
      <c r="N1006" t="b">
        <f t="shared" si="96"/>
        <v>0</v>
      </c>
      <c r="P1006" s="17" cm="1">
        <f t="array" aca="1" ref="P1006" ca="1">IndividualLegIVCore($A$4, Table13345[[#This Row],[Strike]], 0.0411, Table13345[[#This Row],[T]], ((Table13345[[#This Row],[BIDP]]+Table13345[[#This Row],[ASKP]])/2), FALSE)</f>
        <v>0.01</v>
      </c>
      <c r="Q1006" t="b">
        <f>IF(     ISNUMBER(Table13345[[#This Row],[Strike]]),RTD("tos.rtd", , "BID", "."&amp;Table13345[[#This Row],[Ticker]]&amp;Table13345[[#This Row],[Expiry]]&amp;""&amp;"P"&amp;Table13345[[#This Row],[Strike]]))</f>
        <v>0</v>
      </c>
      <c r="R1006" t="b">
        <f>IF(     ISNUMBER(Table13345[[#This Row],[Strike]]),RTD("tos.rtd", , "ASK", "."&amp;Table13345[[#This Row],[Ticker]]&amp;Table13345[[#This Row],[Expiry]]&amp;""&amp;"P"&amp;Table13345[[#This Row],[Strike]]))</f>
        <v>0</v>
      </c>
      <c r="S1006" s="17"/>
      <c r="T1006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6" t="b">
        <f>IF(     ISNUMBER(Table13345[[#This Row],[Strike]]),RTD("tos.rtd", , "DELTA", "."&amp;Table13345[[#This Row],[Ticker]]&amp;Table13345[[#This Row],[Expiry]]&amp;""&amp;"P"&amp;Table13345[[#This Row],[Strike]]))</f>
        <v>0</v>
      </c>
      <c r="Y1006" s="19">
        <f>42* IF($M$1="NDX", 10, IF(OR($M$1="SPX", $M$1="RUT"), 2, 1))</f>
        <v>84</v>
      </c>
      <c r="Z1006">
        <f ca="1">IFERROR(Table13345[[#This Row],[call gamma]]*(Table13345[[#This Row],[Open.Int]])*$A$4^2,0)</f>
        <v>0</v>
      </c>
      <c r="AA1006">
        <f ca="1">IFERROR(((Table13345[[#This Row],[Open.Int8]])*Table13345[[#This Row],[Put gamma]])*-1*$A$4^2,0)</f>
        <v>0</v>
      </c>
      <c r="AB1006">
        <f ca="1">(Table13345[[#This Row],[Call Gex]]+Table13345[[#This Row],[Put Gex]])</f>
        <v>0</v>
      </c>
      <c r="AC1006">
        <f ca="1">Table13345[[#This Row],[put delta adj]]+Table13345[[#This Row],[call delta adj]]</f>
        <v>0</v>
      </c>
      <c r="AD1006">
        <f ca="1">Table13345[[#This Row],[Put Gex]]*Table13345[[#This Row],[DeltaP]]*-1</f>
        <v>0</v>
      </c>
      <c r="AE1006">
        <f ca="1">Table13345[[#This Row],[Call Gex]]*Table13345[[#This Row],[DeltaC]]</f>
        <v>0</v>
      </c>
      <c r="AF1006">
        <f>IF(Table13345[[#This Row],[DeltaC]]-ABS(Table13345[[#This Row],[DeltaP]])="0","0.01",Table13345[[#This Row],[DeltaC]]-ABS(Table13345[[#This Row],[DeltaP]]))</f>
        <v>0</v>
      </c>
      <c r="AG100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6" t="e">
        <f ca="1">(EXP(-(AG1006^2)/2)/SQRT(2*PI())*EXP(0*SQRT(Table13345[[#This Row],[T]]))/$A$4*18%*SQRT(SQRT(Table13345[[#This Row],[T]])))</f>
        <v>#DIV/0!</v>
      </c>
      <c r="AJ1006" t="e">
        <f ca="1">(EXP(-(AH1006^2)/2)/SQRT(2*PI())*EXP(0*SQRT(Table13345[[#This Row],[T]]))/$A$4*18%*SQRT(SQRT(Table13345[[#This Row],[T]])))</f>
        <v>#DIV/0!</v>
      </c>
      <c r="AK1006" t="e">
        <f ca="1">Table13345[[#This Row],[Call D1]]-Table13345[[#This Row],[IV Calc C]]*SQRT(Table13345[[#This Row],[T]])</f>
        <v>#DIV/0!</v>
      </c>
      <c r="AL1006" t="e">
        <f ca="1">Table13345[[#This Row],[Put D1]]-Table13345[[#This Row],[IV Calc P]]*SQRT(Table13345[[#This Row],[T]])</f>
        <v>#DIV/0!</v>
      </c>
      <c r="AM1006" t="e">
        <f ca="1">EXP(-0.5*Table13345[[#This Row],[Call D1]]^2)/SQRT(2*PI())</f>
        <v>#DIV/0!</v>
      </c>
      <c r="AN1006" t="e">
        <f ca="1">EXP(-0.5*Table13345[[#This Row],[Put D1]]^2)/SQRT(2*PI())</f>
        <v>#DIV/0!</v>
      </c>
      <c r="AO100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6">
        <f ca="1">((Table13345[[#This Row],[call vanna]]+Table13345[[#This Row],[put vanna]])*$A$4)</f>
        <v>0</v>
      </c>
      <c r="AR100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6" s="9" t="str" cm="1">
        <f t="array" ref="AT1006">_xlfn.IFS(     $M$1="SPX","SPXW",     $M$1="RUT","RUTW",  $M$1="NDX","NDXP",   TRUE,$M$1 )</f>
        <v>SPXW</v>
      </c>
      <c r="AU1006" s="2">
        <f t="shared" si="97"/>
        <v>6915</v>
      </c>
      <c r="AV1006" t="str">
        <f t="shared" si="98"/>
        <v>000100</v>
      </c>
      <c r="AY100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6">
        <f>((Table13345[[#This Row],[High C]]+Table13345[[#This Row],[Low C]])/2)*Table13345[[#This Row],[gammac]]*Table13345[[#This Row],[Volume]]</f>
        <v>0</v>
      </c>
      <c r="BD1006">
        <f>((Table13345[[#This Row],[High P]]+Table13345[[#This Row],[Low P]])/2)*Table13345[[#This Row],[gammap]]*Table13345[[#This Row],[Volume9]]*-1</f>
        <v>0</v>
      </c>
      <c r="BE1006">
        <f>(Table13345[[#This Row],[SgammaC]]+Table13345[[#This Row],[SgammaP]])*$A$4*-100</f>
        <v>0</v>
      </c>
      <c r="BF1006">
        <f>Table13345[[#This Row],[DEXc]]+Table13345[[#This Row],[DEXp]]</f>
        <v>0</v>
      </c>
      <c r="BG1006">
        <f>IFERROR(Table13345[[#This Row],[DeltaC]]*Table13345[[#This Row],[Open.Int]]*$A$4,0)</f>
        <v>0</v>
      </c>
      <c r="BH1006">
        <f>IFERROR(Table13345[[#This Row],[DeltaP]]*Table13345[[#This Row],[Open.Int8]]*$A$4,0)</f>
        <v>0</v>
      </c>
      <c r="BI100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6">
        <f ca="1">Table13345[[#This Row],[charmc]]+Table13345[[#This Row],[charmp]]</f>
        <v>0</v>
      </c>
      <c r="BL100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6" s="78">
        <f ca="1">Table13345[[#This Row],[call helper]]+Table13345[[#This Row],[put helper]]</f>
        <v>0</v>
      </c>
      <c r="BP1006" t="str">
        <f>RTD("tos.rtd", , "STRIKE", "."&amp;Table13345[[#This Row],[Ticker]]&amp;Table13345[[#This Row],[Expiry]]&amp;""&amp;"C"&amp;Table13345[[#This Row],[Spot]]+Table13345[[#This Row],[step]])</f>
        <v>N/A</v>
      </c>
    </row>
    <row r="1007" spans="1:68" x14ac:dyDescent="0.25">
      <c r="A1007" s="14">
        <f t="shared" ca="1" si="94"/>
        <v>-126.14810350076104</v>
      </c>
      <c r="C1007" s="17"/>
      <c r="D1007" t="str">
        <f>RTD("tos.rtd", , "OPEN_INT", "."&amp;Table13345[[#This Row],[Ticker]]&amp;Table13345[[#This Row],[Expiry]]&amp;""&amp;"C"&amp;Table13345[[#This Row],[Spot]]+Table13345[[#This Row],[step]])</f>
        <v>N/A</v>
      </c>
      <c r="E100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7" t="b">
        <f>IF(     ISNUMBER(Table13345[[#This Row],[Strike]]),RTD("tos.rtd", , "DELTA", "."&amp;Table13345[[#This Row],[Ticker]]&amp;Table13345[[#This Row],[Expiry]]&amp;""&amp;"C"&amp;Table13345[[#This Row],[Strike]]))</f>
        <v>0</v>
      </c>
      <c r="H1007" s="17" cm="1">
        <f t="array" aca="1" ref="H1007" ca="1">IndividualLegIVCore($A$4, Table13345[[#This Row],[Strike]], 0.0411, Table13345[[#This Row],[T]], ((Table13345[[#This Row],[BIDC]]+Table13345[[#This Row],[ASKC]])/2), TRUE)</f>
        <v>0.01</v>
      </c>
      <c r="I1007" t="b">
        <f>IF(     ISNUMBER(Table13345[[#This Row],[Strike]]),RTD("tos.rtd", , "BID", "."&amp;Table13345[[#This Row],[Ticker]]&amp;Table13345[[#This Row],[Expiry]]&amp;""&amp;"C"&amp;Table13345[[#This Row],[Strike]]))</f>
        <v>0</v>
      </c>
      <c r="J1007" t="b">
        <f>IF(     ISNUMBER(Table13345[[#This Row],[Strike]]),RTD("tos.rtd", , "ASK", "."&amp;Table13345[[#This Row],[Ticker]]&amp;Table13345[[#This Row],[Expiry]]&amp;""&amp;"C"&amp;Table13345[[#This Row],[Strike]]))</f>
        <v>0</v>
      </c>
      <c r="K1007" s="17"/>
      <c r="M1007" s="1">
        <f t="shared" si="95"/>
        <v>0</v>
      </c>
      <c r="N1007" t="b">
        <f t="shared" si="96"/>
        <v>0</v>
      </c>
      <c r="P1007" s="17" cm="1">
        <f t="array" aca="1" ref="P1007" ca="1">IndividualLegIVCore($A$4, Table13345[[#This Row],[Strike]], 0.0411, Table13345[[#This Row],[T]], ((Table13345[[#This Row],[BIDP]]+Table13345[[#This Row],[ASKP]])/2), FALSE)</f>
        <v>0.01</v>
      </c>
      <c r="Q1007" t="b">
        <f>IF(     ISNUMBER(Table13345[[#This Row],[Strike]]),RTD("tos.rtd", , "BID", "."&amp;Table13345[[#This Row],[Ticker]]&amp;Table13345[[#This Row],[Expiry]]&amp;""&amp;"P"&amp;Table13345[[#This Row],[Strike]]))</f>
        <v>0</v>
      </c>
      <c r="R1007" t="b">
        <f>IF(     ISNUMBER(Table13345[[#This Row],[Strike]]),RTD("tos.rtd", , "ASK", "."&amp;Table13345[[#This Row],[Ticker]]&amp;Table13345[[#This Row],[Expiry]]&amp;""&amp;"P"&amp;Table13345[[#This Row],[Strike]]))</f>
        <v>0</v>
      </c>
      <c r="S1007" s="17"/>
      <c r="T1007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7" t="b">
        <f>IF(     ISNUMBER(Table13345[[#This Row],[Strike]]),RTD("tos.rtd", , "DELTA", "."&amp;Table13345[[#This Row],[Ticker]]&amp;Table13345[[#This Row],[Expiry]]&amp;""&amp;"P"&amp;Table13345[[#This Row],[Strike]]))</f>
        <v>0</v>
      </c>
      <c r="Y1007" s="19">
        <f>42.5* IF($M$1="NDX", 10, IF(OR($M$1="SPX", $M$1="RUT"), 2, 1))</f>
        <v>85</v>
      </c>
      <c r="Z1007">
        <f ca="1">IFERROR(Table13345[[#This Row],[call gamma]]*(Table13345[[#This Row],[Open.Int]])*$A$4^2,0)</f>
        <v>0</v>
      </c>
      <c r="AA1007">
        <f ca="1">IFERROR(((Table13345[[#This Row],[Open.Int8]])*Table13345[[#This Row],[Put gamma]])*-1*$A$4^2,0)</f>
        <v>0</v>
      </c>
      <c r="AB1007">
        <f ca="1">(Table13345[[#This Row],[Call Gex]]+Table13345[[#This Row],[Put Gex]])</f>
        <v>0</v>
      </c>
      <c r="AC1007">
        <f ca="1">Table13345[[#This Row],[put delta adj]]+Table13345[[#This Row],[call delta adj]]</f>
        <v>0</v>
      </c>
      <c r="AD1007">
        <f ca="1">Table13345[[#This Row],[Put Gex]]*Table13345[[#This Row],[DeltaP]]*-1</f>
        <v>0</v>
      </c>
      <c r="AE1007">
        <f ca="1">Table13345[[#This Row],[Call Gex]]*Table13345[[#This Row],[DeltaC]]</f>
        <v>0</v>
      </c>
      <c r="AF1007">
        <f>IF(Table13345[[#This Row],[DeltaC]]-ABS(Table13345[[#This Row],[DeltaP]])="0","0.01",Table13345[[#This Row],[DeltaC]]-ABS(Table13345[[#This Row],[DeltaP]]))</f>
        <v>0</v>
      </c>
      <c r="AG100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7" t="e">
        <f ca="1">(EXP(-(AG1007^2)/2)/SQRT(2*PI())*EXP(0*SQRT(Table13345[[#This Row],[T]]))/$A$4*18%*SQRT(SQRT(Table13345[[#This Row],[T]])))</f>
        <v>#DIV/0!</v>
      </c>
      <c r="AJ1007" t="e">
        <f ca="1">(EXP(-(AH1007^2)/2)/SQRT(2*PI())*EXP(0*SQRT(Table13345[[#This Row],[T]]))/$A$4*18%*SQRT(SQRT(Table13345[[#This Row],[T]])))</f>
        <v>#DIV/0!</v>
      </c>
      <c r="AK1007" t="e">
        <f ca="1">Table13345[[#This Row],[Call D1]]-Table13345[[#This Row],[IV Calc C]]*SQRT(Table13345[[#This Row],[T]])</f>
        <v>#DIV/0!</v>
      </c>
      <c r="AL1007" t="e">
        <f ca="1">Table13345[[#This Row],[Put D1]]-Table13345[[#This Row],[IV Calc P]]*SQRT(Table13345[[#This Row],[T]])</f>
        <v>#DIV/0!</v>
      </c>
      <c r="AM1007" t="e">
        <f ca="1">EXP(-0.5*Table13345[[#This Row],[Call D1]]^2)/SQRT(2*PI())</f>
        <v>#DIV/0!</v>
      </c>
      <c r="AN1007" t="e">
        <f ca="1">EXP(-0.5*Table13345[[#This Row],[Put D1]]^2)/SQRT(2*PI())</f>
        <v>#DIV/0!</v>
      </c>
      <c r="AO100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7">
        <f ca="1">((Table13345[[#This Row],[call vanna]]+Table13345[[#This Row],[put vanna]])*$A$4)</f>
        <v>0</v>
      </c>
      <c r="AR100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7" s="9" t="str" cm="1">
        <f t="array" ref="AT1007">_xlfn.IFS(     $M$1="SPX","SPXW",     $M$1="RUT","RUTW",  $M$1="NDX","NDXP",   TRUE,$M$1 )</f>
        <v>SPXW</v>
      </c>
      <c r="AU1007" s="2">
        <f t="shared" si="97"/>
        <v>6915</v>
      </c>
      <c r="AV1007" t="str">
        <f t="shared" si="98"/>
        <v>000100</v>
      </c>
      <c r="AY100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7">
        <f>((Table13345[[#This Row],[High C]]+Table13345[[#This Row],[Low C]])/2)*Table13345[[#This Row],[gammac]]*Table13345[[#This Row],[Volume]]</f>
        <v>0</v>
      </c>
      <c r="BD1007">
        <f>((Table13345[[#This Row],[High P]]+Table13345[[#This Row],[Low P]])/2)*Table13345[[#This Row],[gammap]]*Table13345[[#This Row],[Volume9]]*-1</f>
        <v>0</v>
      </c>
      <c r="BE1007">
        <f>(Table13345[[#This Row],[SgammaC]]+Table13345[[#This Row],[SgammaP]])*$A$4*-100</f>
        <v>0</v>
      </c>
      <c r="BF1007">
        <f>Table13345[[#This Row],[DEXc]]+Table13345[[#This Row],[DEXp]]</f>
        <v>0</v>
      </c>
      <c r="BG1007">
        <f>IFERROR(Table13345[[#This Row],[DeltaC]]*Table13345[[#This Row],[Open.Int]]*$A$4,0)</f>
        <v>0</v>
      </c>
      <c r="BH1007">
        <f>IFERROR(Table13345[[#This Row],[DeltaP]]*Table13345[[#This Row],[Open.Int8]]*$A$4,0)</f>
        <v>0</v>
      </c>
      <c r="BI100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7">
        <f ca="1">Table13345[[#This Row],[charmc]]+Table13345[[#This Row],[charmp]]</f>
        <v>0</v>
      </c>
      <c r="BL100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7" s="78">
        <f ca="1">Table13345[[#This Row],[call helper]]+Table13345[[#This Row],[put helper]]</f>
        <v>0</v>
      </c>
      <c r="BP1007" t="str">
        <f>RTD("tos.rtd", , "STRIKE", "."&amp;Table13345[[#This Row],[Ticker]]&amp;Table13345[[#This Row],[Expiry]]&amp;""&amp;"C"&amp;Table13345[[#This Row],[Spot]]+Table13345[[#This Row],[step]])</f>
        <v>N/A</v>
      </c>
    </row>
    <row r="1008" spans="1:68" x14ac:dyDescent="0.25">
      <c r="A1008" s="14">
        <f t="shared" ca="1" si="94"/>
        <v>-126.14810350076104</v>
      </c>
      <c r="C1008" s="17"/>
      <c r="D1008" t="str">
        <f>RTD("tos.rtd", , "OPEN_INT", "."&amp;Table13345[[#This Row],[Ticker]]&amp;Table13345[[#This Row],[Expiry]]&amp;""&amp;"C"&amp;Table13345[[#This Row],[Spot]]+Table13345[[#This Row],[step]])</f>
        <v>N/A</v>
      </c>
      <c r="E100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8" t="b">
        <f>IF(     ISNUMBER(Table13345[[#This Row],[Strike]]),RTD("tos.rtd", , "DELTA", "."&amp;Table13345[[#This Row],[Ticker]]&amp;Table13345[[#This Row],[Expiry]]&amp;""&amp;"C"&amp;Table13345[[#This Row],[Strike]]))</f>
        <v>0</v>
      </c>
      <c r="H1008" s="17" cm="1">
        <f t="array" aca="1" ref="H1008" ca="1">IndividualLegIVCore($A$4, Table13345[[#This Row],[Strike]], 0.0411, Table13345[[#This Row],[T]], ((Table13345[[#This Row],[BIDC]]+Table13345[[#This Row],[ASKC]])/2), TRUE)</f>
        <v>0.01</v>
      </c>
      <c r="I1008" t="b">
        <f>IF(     ISNUMBER(Table13345[[#This Row],[Strike]]),RTD("tos.rtd", , "BID", "."&amp;Table13345[[#This Row],[Ticker]]&amp;Table13345[[#This Row],[Expiry]]&amp;""&amp;"C"&amp;Table13345[[#This Row],[Strike]]))</f>
        <v>0</v>
      </c>
      <c r="J1008" t="b">
        <f>IF(     ISNUMBER(Table13345[[#This Row],[Strike]]),RTD("tos.rtd", , "ASK", "."&amp;Table13345[[#This Row],[Ticker]]&amp;Table13345[[#This Row],[Expiry]]&amp;""&amp;"C"&amp;Table13345[[#This Row],[Strike]]))</f>
        <v>0</v>
      </c>
      <c r="K1008" s="17"/>
      <c r="M1008" s="1">
        <f t="shared" si="95"/>
        <v>0</v>
      </c>
      <c r="N1008" t="b">
        <f t="shared" si="96"/>
        <v>0</v>
      </c>
      <c r="P1008" s="17" cm="1">
        <f t="array" aca="1" ref="P1008" ca="1">IndividualLegIVCore($A$4, Table13345[[#This Row],[Strike]], 0.0411, Table13345[[#This Row],[T]], ((Table13345[[#This Row],[BIDP]]+Table13345[[#This Row],[ASKP]])/2), FALSE)</f>
        <v>0.01</v>
      </c>
      <c r="Q1008" t="b">
        <f>IF(     ISNUMBER(Table13345[[#This Row],[Strike]]),RTD("tos.rtd", , "BID", "."&amp;Table13345[[#This Row],[Ticker]]&amp;Table13345[[#This Row],[Expiry]]&amp;""&amp;"P"&amp;Table13345[[#This Row],[Strike]]))</f>
        <v>0</v>
      </c>
      <c r="R1008" t="b">
        <f>IF(     ISNUMBER(Table13345[[#This Row],[Strike]]),RTD("tos.rtd", , "ASK", "."&amp;Table13345[[#This Row],[Ticker]]&amp;Table13345[[#This Row],[Expiry]]&amp;""&amp;"P"&amp;Table13345[[#This Row],[Strike]]))</f>
        <v>0</v>
      </c>
      <c r="S1008" s="17"/>
      <c r="T1008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8" t="b">
        <f>IF(     ISNUMBER(Table13345[[#This Row],[Strike]]),RTD("tos.rtd", , "DELTA", "."&amp;Table13345[[#This Row],[Ticker]]&amp;Table13345[[#This Row],[Expiry]]&amp;""&amp;"P"&amp;Table13345[[#This Row],[Strike]]))</f>
        <v>0</v>
      </c>
      <c r="Y1008" s="19">
        <f>43* IF($M$1="NDX", 10, IF(OR($M$1="SPX", $M$1="RUT"), 2, 1))</f>
        <v>86</v>
      </c>
      <c r="Z1008">
        <f ca="1">IFERROR(Table13345[[#This Row],[call gamma]]*(Table13345[[#This Row],[Open.Int]])*$A$4^2,0)</f>
        <v>0</v>
      </c>
      <c r="AA1008">
        <f ca="1">IFERROR(((Table13345[[#This Row],[Open.Int8]])*Table13345[[#This Row],[Put gamma]])*-1*$A$4^2,0)</f>
        <v>0</v>
      </c>
      <c r="AB1008">
        <f ca="1">(Table13345[[#This Row],[Call Gex]]+Table13345[[#This Row],[Put Gex]])</f>
        <v>0</v>
      </c>
      <c r="AC1008">
        <f ca="1">Table13345[[#This Row],[put delta adj]]+Table13345[[#This Row],[call delta adj]]</f>
        <v>0</v>
      </c>
      <c r="AD1008">
        <f ca="1">Table13345[[#This Row],[Put Gex]]*Table13345[[#This Row],[DeltaP]]*-1</f>
        <v>0</v>
      </c>
      <c r="AE1008">
        <f ca="1">Table13345[[#This Row],[Call Gex]]*Table13345[[#This Row],[DeltaC]]</f>
        <v>0</v>
      </c>
      <c r="AF1008">
        <f>IF(Table13345[[#This Row],[DeltaC]]-ABS(Table13345[[#This Row],[DeltaP]])="0","0.01",Table13345[[#This Row],[DeltaC]]-ABS(Table13345[[#This Row],[DeltaP]]))</f>
        <v>0</v>
      </c>
      <c r="AG100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8" t="e">
        <f ca="1">(EXP(-(AG1008^2)/2)/SQRT(2*PI())*EXP(0*SQRT(Table13345[[#This Row],[T]]))/$A$4*18%*SQRT(SQRT(Table13345[[#This Row],[T]])))</f>
        <v>#DIV/0!</v>
      </c>
      <c r="AJ1008" t="e">
        <f ca="1">(EXP(-(AH1008^2)/2)/SQRT(2*PI())*EXP(0*SQRT(Table13345[[#This Row],[T]]))/$A$4*18%*SQRT(SQRT(Table13345[[#This Row],[T]])))</f>
        <v>#DIV/0!</v>
      </c>
      <c r="AK1008" t="e">
        <f ca="1">Table13345[[#This Row],[Call D1]]-Table13345[[#This Row],[IV Calc C]]*SQRT(Table13345[[#This Row],[T]])</f>
        <v>#DIV/0!</v>
      </c>
      <c r="AL1008" t="e">
        <f ca="1">Table13345[[#This Row],[Put D1]]-Table13345[[#This Row],[IV Calc P]]*SQRT(Table13345[[#This Row],[T]])</f>
        <v>#DIV/0!</v>
      </c>
      <c r="AM1008" t="e">
        <f ca="1">EXP(-0.5*Table13345[[#This Row],[Call D1]]^2)/SQRT(2*PI())</f>
        <v>#DIV/0!</v>
      </c>
      <c r="AN1008" t="e">
        <f ca="1">EXP(-0.5*Table13345[[#This Row],[Put D1]]^2)/SQRT(2*PI())</f>
        <v>#DIV/0!</v>
      </c>
      <c r="AO100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8">
        <f ca="1">((Table13345[[#This Row],[call vanna]]+Table13345[[#This Row],[put vanna]])*$A$4)</f>
        <v>0</v>
      </c>
      <c r="AR100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8" s="9" t="str" cm="1">
        <f t="array" ref="AT1008">_xlfn.IFS(     $M$1="SPX","SPXW",     $M$1="RUT","RUTW",  $M$1="NDX","NDXP",   TRUE,$M$1 )</f>
        <v>SPXW</v>
      </c>
      <c r="AU1008" s="2">
        <f t="shared" si="97"/>
        <v>6915</v>
      </c>
      <c r="AV1008" t="str">
        <f t="shared" si="98"/>
        <v>000100</v>
      </c>
      <c r="AY100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8">
        <f>((Table13345[[#This Row],[High C]]+Table13345[[#This Row],[Low C]])/2)*Table13345[[#This Row],[gammac]]*Table13345[[#This Row],[Volume]]</f>
        <v>0</v>
      </c>
      <c r="BD1008">
        <f>((Table13345[[#This Row],[High P]]+Table13345[[#This Row],[Low P]])/2)*Table13345[[#This Row],[gammap]]*Table13345[[#This Row],[Volume9]]*-1</f>
        <v>0</v>
      </c>
      <c r="BE1008">
        <f>(Table13345[[#This Row],[SgammaC]]+Table13345[[#This Row],[SgammaP]])*$A$4*-100</f>
        <v>0</v>
      </c>
      <c r="BF1008">
        <f>Table13345[[#This Row],[DEXc]]+Table13345[[#This Row],[DEXp]]</f>
        <v>0</v>
      </c>
      <c r="BG1008">
        <f>IFERROR(Table13345[[#This Row],[DeltaC]]*Table13345[[#This Row],[Open.Int]]*$A$4,0)</f>
        <v>0</v>
      </c>
      <c r="BH1008">
        <f>IFERROR(Table13345[[#This Row],[DeltaP]]*Table13345[[#This Row],[Open.Int8]]*$A$4,0)</f>
        <v>0</v>
      </c>
      <c r="BI100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8">
        <f ca="1">Table13345[[#This Row],[charmc]]+Table13345[[#This Row],[charmp]]</f>
        <v>0</v>
      </c>
      <c r="BL100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8" s="78">
        <f ca="1">Table13345[[#This Row],[call helper]]+Table13345[[#This Row],[put helper]]</f>
        <v>0</v>
      </c>
      <c r="BP1008" t="str">
        <f>RTD("tos.rtd", , "STRIKE", "."&amp;Table13345[[#This Row],[Ticker]]&amp;Table13345[[#This Row],[Expiry]]&amp;""&amp;"C"&amp;Table13345[[#This Row],[Spot]]+Table13345[[#This Row],[step]])</f>
        <v>N/A</v>
      </c>
    </row>
    <row r="1009" spans="1:68" x14ac:dyDescent="0.25">
      <c r="A1009" s="14">
        <f t="shared" ca="1" si="94"/>
        <v>-126.14810350076104</v>
      </c>
      <c r="C1009" s="17"/>
      <c r="D1009" t="str">
        <f>RTD("tos.rtd", , "OPEN_INT", "."&amp;Table13345[[#This Row],[Ticker]]&amp;Table13345[[#This Row],[Expiry]]&amp;""&amp;"C"&amp;Table13345[[#This Row],[Spot]]+Table13345[[#This Row],[step]])</f>
        <v>N/A</v>
      </c>
      <c r="E100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9" t="b">
        <f>IF(     ISNUMBER(Table13345[[#This Row],[Strike]]),RTD("tos.rtd", , "DELTA", "."&amp;Table13345[[#This Row],[Ticker]]&amp;Table13345[[#This Row],[Expiry]]&amp;""&amp;"C"&amp;Table13345[[#This Row],[Strike]]))</f>
        <v>0</v>
      </c>
      <c r="H1009" s="17" cm="1">
        <f t="array" aca="1" ref="H1009" ca="1">IndividualLegIVCore($A$4, Table13345[[#This Row],[Strike]], 0.0411, Table13345[[#This Row],[T]], ((Table13345[[#This Row],[BIDC]]+Table13345[[#This Row],[ASKC]])/2), TRUE)</f>
        <v>0.01</v>
      </c>
      <c r="I1009" t="b">
        <f>IF(     ISNUMBER(Table13345[[#This Row],[Strike]]),RTD("tos.rtd", , "BID", "."&amp;Table13345[[#This Row],[Ticker]]&amp;Table13345[[#This Row],[Expiry]]&amp;""&amp;"C"&amp;Table13345[[#This Row],[Strike]]))</f>
        <v>0</v>
      </c>
      <c r="J1009" t="b">
        <f>IF(     ISNUMBER(Table13345[[#This Row],[Strike]]),RTD("tos.rtd", , "ASK", "."&amp;Table13345[[#This Row],[Ticker]]&amp;Table13345[[#This Row],[Expiry]]&amp;""&amp;"C"&amp;Table13345[[#This Row],[Strike]]))</f>
        <v>0</v>
      </c>
      <c r="K1009" s="17"/>
      <c r="M1009" s="1">
        <f t="shared" si="95"/>
        <v>0</v>
      </c>
      <c r="N1009" t="b">
        <f t="shared" si="96"/>
        <v>0</v>
      </c>
      <c r="P1009" s="17" cm="1">
        <f t="array" aca="1" ref="P1009" ca="1">IndividualLegIVCore($A$4, Table13345[[#This Row],[Strike]], 0.0411, Table13345[[#This Row],[T]], ((Table13345[[#This Row],[BIDP]]+Table13345[[#This Row],[ASKP]])/2), FALSE)</f>
        <v>0.01</v>
      </c>
      <c r="Q1009" t="b">
        <f>IF(     ISNUMBER(Table13345[[#This Row],[Strike]]),RTD("tos.rtd", , "BID", "."&amp;Table13345[[#This Row],[Ticker]]&amp;Table13345[[#This Row],[Expiry]]&amp;""&amp;"P"&amp;Table13345[[#This Row],[Strike]]))</f>
        <v>0</v>
      </c>
      <c r="R1009" t="b">
        <f>IF(     ISNUMBER(Table13345[[#This Row],[Strike]]),RTD("tos.rtd", , "ASK", "."&amp;Table13345[[#This Row],[Ticker]]&amp;Table13345[[#This Row],[Expiry]]&amp;""&amp;"P"&amp;Table13345[[#This Row],[Strike]]))</f>
        <v>0</v>
      </c>
      <c r="S1009" s="17"/>
      <c r="T1009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9" t="b">
        <f>IF(     ISNUMBER(Table13345[[#This Row],[Strike]]),RTD("tos.rtd", , "DELTA", "."&amp;Table13345[[#This Row],[Ticker]]&amp;Table13345[[#This Row],[Expiry]]&amp;""&amp;"P"&amp;Table13345[[#This Row],[Strike]]))</f>
        <v>0</v>
      </c>
      <c r="Y1009" s="19">
        <f>43.5* IF($M$1="NDX", 10, IF(OR($M$1="SPX", $M$1="RUT"), 2, 1))</f>
        <v>87</v>
      </c>
      <c r="Z1009">
        <f ca="1">IFERROR(Table13345[[#This Row],[call gamma]]*(Table13345[[#This Row],[Open.Int]])*$A$4^2,0)</f>
        <v>0</v>
      </c>
      <c r="AA1009">
        <f ca="1">IFERROR(((Table13345[[#This Row],[Open.Int8]])*Table13345[[#This Row],[Put gamma]])*-1*$A$4^2,0)</f>
        <v>0</v>
      </c>
      <c r="AB1009">
        <f ca="1">(Table13345[[#This Row],[Call Gex]]+Table13345[[#This Row],[Put Gex]])</f>
        <v>0</v>
      </c>
      <c r="AC1009">
        <f ca="1">Table13345[[#This Row],[put delta adj]]+Table13345[[#This Row],[call delta adj]]</f>
        <v>0</v>
      </c>
      <c r="AD1009">
        <f ca="1">Table13345[[#This Row],[Put Gex]]*Table13345[[#This Row],[DeltaP]]*-1</f>
        <v>0</v>
      </c>
      <c r="AE1009">
        <f ca="1">Table13345[[#This Row],[Call Gex]]*Table13345[[#This Row],[DeltaC]]</f>
        <v>0</v>
      </c>
      <c r="AF1009">
        <f>IF(Table13345[[#This Row],[DeltaC]]-ABS(Table13345[[#This Row],[DeltaP]])="0","0.01",Table13345[[#This Row],[DeltaC]]-ABS(Table13345[[#This Row],[DeltaP]]))</f>
        <v>0</v>
      </c>
      <c r="AG100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9" t="e">
        <f ca="1">(EXP(-(AG1009^2)/2)/SQRT(2*PI())*EXP(0*SQRT(Table13345[[#This Row],[T]]))/$A$4*18%*SQRT(SQRT(Table13345[[#This Row],[T]])))</f>
        <v>#DIV/0!</v>
      </c>
      <c r="AJ1009" t="e">
        <f ca="1">(EXP(-(AH1009^2)/2)/SQRT(2*PI())*EXP(0*SQRT(Table13345[[#This Row],[T]]))/$A$4*18%*SQRT(SQRT(Table13345[[#This Row],[T]])))</f>
        <v>#DIV/0!</v>
      </c>
      <c r="AK1009" t="e">
        <f ca="1">Table13345[[#This Row],[Call D1]]-Table13345[[#This Row],[IV Calc C]]*SQRT(Table13345[[#This Row],[T]])</f>
        <v>#DIV/0!</v>
      </c>
      <c r="AL1009" t="e">
        <f ca="1">Table13345[[#This Row],[Put D1]]-Table13345[[#This Row],[IV Calc P]]*SQRT(Table13345[[#This Row],[T]])</f>
        <v>#DIV/0!</v>
      </c>
      <c r="AM1009" t="e">
        <f ca="1">EXP(-0.5*Table13345[[#This Row],[Call D1]]^2)/SQRT(2*PI())</f>
        <v>#DIV/0!</v>
      </c>
      <c r="AN1009" t="e">
        <f ca="1">EXP(-0.5*Table13345[[#This Row],[Put D1]]^2)/SQRT(2*PI())</f>
        <v>#DIV/0!</v>
      </c>
      <c r="AO100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9">
        <f ca="1">((Table13345[[#This Row],[call vanna]]+Table13345[[#This Row],[put vanna]])*$A$4)</f>
        <v>0</v>
      </c>
      <c r="AR100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9" s="9" t="str" cm="1">
        <f t="array" ref="AT1009">_xlfn.IFS(     $M$1="SPX","SPXW",     $M$1="RUT","RUTW",  $M$1="NDX","NDXP",   TRUE,$M$1 )</f>
        <v>SPXW</v>
      </c>
      <c r="AU1009" s="2">
        <f t="shared" si="97"/>
        <v>6915</v>
      </c>
      <c r="AV1009" t="str">
        <f t="shared" si="98"/>
        <v>000100</v>
      </c>
      <c r="AY100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9">
        <f>((Table13345[[#This Row],[High C]]+Table13345[[#This Row],[Low C]])/2)*Table13345[[#This Row],[gammac]]*Table13345[[#This Row],[Volume]]</f>
        <v>0</v>
      </c>
      <c r="BD1009">
        <f>((Table13345[[#This Row],[High P]]+Table13345[[#This Row],[Low P]])/2)*Table13345[[#This Row],[gammap]]*Table13345[[#This Row],[Volume9]]*-1</f>
        <v>0</v>
      </c>
      <c r="BE1009">
        <f>(Table13345[[#This Row],[SgammaC]]+Table13345[[#This Row],[SgammaP]])*$A$4*-100</f>
        <v>0</v>
      </c>
      <c r="BF1009">
        <f>Table13345[[#This Row],[DEXc]]+Table13345[[#This Row],[DEXp]]</f>
        <v>0</v>
      </c>
      <c r="BG1009">
        <f>IFERROR(Table13345[[#This Row],[DeltaC]]*Table13345[[#This Row],[Open.Int]]*$A$4,0)</f>
        <v>0</v>
      </c>
      <c r="BH1009">
        <f>IFERROR(Table13345[[#This Row],[DeltaP]]*Table13345[[#This Row],[Open.Int8]]*$A$4,0)</f>
        <v>0</v>
      </c>
      <c r="BI100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9">
        <f ca="1">Table13345[[#This Row],[charmc]]+Table13345[[#This Row],[charmp]]</f>
        <v>0</v>
      </c>
      <c r="BL100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9" s="78">
        <f ca="1">Table13345[[#This Row],[call helper]]+Table13345[[#This Row],[put helper]]</f>
        <v>0</v>
      </c>
      <c r="BP1009" t="str">
        <f>RTD("tos.rtd", , "STRIKE", "."&amp;Table13345[[#This Row],[Ticker]]&amp;Table13345[[#This Row],[Expiry]]&amp;""&amp;"C"&amp;Table13345[[#This Row],[Spot]]+Table13345[[#This Row],[step]])</f>
        <v>N/A</v>
      </c>
    </row>
    <row r="1010" spans="1:68" x14ac:dyDescent="0.25">
      <c r="A1010" s="14">
        <f t="shared" ca="1" si="94"/>
        <v>-126.14810350076104</v>
      </c>
      <c r="C1010" s="17"/>
      <c r="D1010" t="str">
        <f>RTD("tos.rtd", , "OPEN_INT", "."&amp;Table13345[[#This Row],[Ticker]]&amp;Table13345[[#This Row],[Expiry]]&amp;""&amp;"C"&amp;Table13345[[#This Row],[Spot]]+Table13345[[#This Row],[step]])</f>
        <v>N/A</v>
      </c>
      <c r="E101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0" t="b">
        <f>IF(     ISNUMBER(Table13345[[#This Row],[Strike]]),RTD("tos.rtd", , "DELTA", "."&amp;Table13345[[#This Row],[Ticker]]&amp;Table13345[[#This Row],[Expiry]]&amp;""&amp;"C"&amp;Table13345[[#This Row],[Strike]]))</f>
        <v>0</v>
      </c>
      <c r="H1010" s="17" cm="1">
        <f t="array" aca="1" ref="H1010" ca="1">IndividualLegIVCore($A$4, Table13345[[#This Row],[Strike]], 0.0411, Table13345[[#This Row],[T]], ((Table13345[[#This Row],[BIDC]]+Table13345[[#This Row],[ASKC]])/2), TRUE)</f>
        <v>0.01</v>
      </c>
      <c r="I1010" t="b">
        <f>IF(     ISNUMBER(Table13345[[#This Row],[Strike]]),RTD("tos.rtd", , "BID", "."&amp;Table13345[[#This Row],[Ticker]]&amp;Table13345[[#This Row],[Expiry]]&amp;""&amp;"C"&amp;Table13345[[#This Row],[Strike]]))</f>
        <v>0</v>
      </c>
      <c r="J1010" t="b">
        <f>IF(     ISNUMBER(Table13345[[#This Row],[Strike]]),RTD("tos.rtd", , "ASK", "."&amp;Table13345[[#This Row],[Ticker]]&amp;Table13345[[#This Row],[Expiry]]&amp;""&amp;"C"&amp;Table13345[[#This Row],[Strike]]))</f>
        <v>0</v>
      </c>
      <c r="K1010" s="17"/>
      <c r="M1010" s="1">
        <f t="shared" si="95"/>
        <v>0</v>
      </c>
      <c r="N1010" t="b">
        <f t="shared" si="96"/>
        <v>0</v>
      </c>
      <c r="P1010" s="17" cm="1">
        <f t="array" aca="1" ref="P1010" ca="1">IndividualLegIVCore($A$4, Table13345[[#This Row],[Strike]], 0.0411, Table13345[[#This Row],[T]], ((Table13345[[#This Row],[BIDP]]+Table13345[[#This Row],[ASKP]])/2), FALSE)</f>
        <v>0.01</v>
      </c>
      <c r="Q1010" t="b">
        <f>IF(     ISNUMBER(Table13345[[#This Row],[Strike]]),RTD("tos.rtd", , "BID", "."&amp;Table13345[[#This Row],[Ticker]]&amp;Table13345[[#This Row],[Expiry]]&amp;""&amp;"P"&amp;Table13345[[#This Row],[Strike]]))</f>
        <v>0</v>
      </c>
      <c r="R1010" t="b">
        <f>IF(     ISNUMBER(Table13345[[#This Row],[Strike]]),RTD("tos.rtd", , "ASK", "."&amp;Table13345[[#This Row],[Ticker]]&amp;Table13345[[#This Row],[Expiry]]&amp;""&amp;"P"&amp;Table13345[[#This Row],[Strike]]))</f>
        <v>0</v>
      </c>
      <c r="S1010" s="17"/>
      <c r="T101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0" t="b">
        <f>IF(     ISNUMBER(Table13345[[#This Row],[Strike]]),RTD("tos.rtd", , "DELTA", "."&amp;Table13345[[#This Row],[Ticker]]&amp;Table13345[[#This Row],[Expiry]]&amp;""&amp;"P"&amp;Table13345[[#This Row],[Strike]]))</f>
        <v>0</v>
      </c>
      <c r="Y1010" s="19">
        <f>44* IF($M$1="NDX", 10, IF(OR($M$1="SPX", $M$1="RUT"), 2, 1))</f>
        <v>88</v>
      </c>
      <c r="Z1010">
        <f ca="1">IFERROR(Table13345[[#This Row],[call gamma]]*(Table13345[[#This Row],[Open.Int]])*$A$4^2,0)</f>
        <v>0</v>
      </c>
      <c r="AA1010">
        <f ca="1">IFERROR(((Table13345[[#This Row],[Open.Int8]])*Table13345[[#This Row],[Put gamma]])*-1*$A$4^2,0)</f>
        <v>0</v>
      </c>
      <c r="AB1010">
        <f ca="1">(Table13345[[#This Row],[Call Gex]]+Table13345[[#This Row],[Put Gex]])</f>
        <v>0</v>
      </c>
      <c r="AC1010">
        <f ca="1">Table13345[[#This Row],[put delta adj]]+Table13345[[#This Row],[call delta adj]]</f>
        <v>0</v>
      </c>
      <c r="AD1010">
        <f ca="1">Table13345[[#This Row],[Put Gex]]*Table13345[[#This Row],[DeltaP]]*-1</f>
        <v>0</v>
      </c>
      <c r="AE1010">
        <f ca="1">Table13345[[#This Row],[Call Gex]]*Table13345[[#This Row],[DeltaC]]</f>
        <v>0</v>
      </c>
      <c r="AF1010">
        <f>IF(Table13345[[#This Row],[DeltaC]]-ABS(Table13345[[#This Row],[DeltaP]])="0","0.01",Table13345[[#This Row],[DeltaC]]-ABS(Table13345[[#This Row],[DeltaP]]))</f>
        <v>0</v>
      </c>
      <c r="AG101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0" t="e">
        <f ca="1">(EXP(-(AG1010^2)/2)/SQRT(2*PI())*EXP(0*SQRT(Table13345[[#This Row],[T]]))/$A$4*18%*SQRT(SQRT(Table13345[[#This Row],[T]])))</f>
        <v>#DIV/0!</v>
      </c>
      <c r="AJ1010" t="e">
        <f ca="1">(EXP(-(AH1010^2)/2)/SQRT(2*PI())*EXP(0*SQRT(Table13345[[#This Row],[T]]))/$A$4*18%*SQRT(SQRT(Table13345[[#This Row],[T]])))</f>
        <v>#DIV/0!</v>
      </c>
      <c r="AK1010" t="e">
        <f ca="1">Table13345[[#This Row],[Call D1]]-Table13345[[#This Row],[IV Calc C]]*SQRT(Table13345[[#This Row],[T]])</f>
        <v>#DIV/0!</v>
      </c>
      <c r="AL1010" t="e">
        <f ca="1">Table13345[[#This Row],[Put D1]]-Table13345[[#This Row],[IV Calc P]]*SQRT(Table13345[[#This Row],[T]])</f>
        <v>#DIV/0!</v>
      </c>
      <c r="AM1010" t="e">
        <f ca="1">EXP(-0.5*Table13345[[#This Row],[Call D1]]^2)/SQRT(2*PI())</f>
        <v>#DIV/0!</v>
      </c>
      <c r="AN1010" t="e">
        <f ca="1">EXP(-0.5*Table13345[[#This Row],[Put D1]]^2)/SQRT(2*PI())</f>
        <v>#DIV/0!</v>
      </c>
      <c r="AO101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0">
        <f ca="1">((Table13345[[#This Row],[call vanna]]+Table13345[[#This Row],[put vanna]])*$A$4)</f>
        <v>0</v>
      </c>
      <c r="AR101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0" s="9" t="str" cm="1">
        <f t="array" ref="AT1010">_xlfn.IFS(     $M$1="SPX","SPXW",     $M$1="RUT","RUTW",  $M$1="NDX","NDXP",   TRUE,$M$1 )</f>
        <v>SPXW</v>
      </c>
      <c r="AU1010" s="2">
        <f t="shared" si="97"/>
        <v>6915</v>
      </c>
      <c r="AV1010" t="str">
        <f t="shared" si="98"/>
        <v>000100</v>
      </c>
      <c r="AY101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0">
        <f>((Table13345[[#This Row],[High C]]+Table13345[[#This Row],[Low C]])/2)*Table13345[[#This Row],[gammac]]*Table13345[[#This Row],[Volume]]</f>
        <v>0</v>
      </c>
      <c r="BD1010">
        <f>((Table13345[[#This Row],[High P]]+Table13345[[#This Row],[Low P]])/2)*Table13345[[#This Row],[gammap]]*Table13345[[#This Row],[Volume9]]*-1</f>
        <v>0</v>
      </c>
      <c r="BE1010">
        <f>(Table13345[[#This Row],[SgammaC]]+Table13345[[#This Row],[SgammaP]])*$A$4*-100</f>
        <v>0</v>
      </c>
      <c r="BF1010">
        <f>Table13345[[#This Row],[DEXc]]+Table13345[[#This Row],[DEXp]]</f>
        <v>0</v>
      </c>
      <c r="BG1010">
        <f>IFERROR(Table13345[[#This Row],[DeltaC]]*Table13345[[#This Row],[Open.Int]]*$A$4,0)</f>
        <v>0</v>
      </c>
      <c r="BH1010">
        <f>IFERROR(Table13345[[#This Row],[DeltaP]]*Table13345[[#This Row],[Open.Int8]]*$A$4,0)</f>
        <v>0</v>
      </c>
      <c r="BI101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0">
        <f ca="1">Table13345[[#This Row],[charmc]]+Table13345[[#This Row],[charmp]]</f>
        <v>0</v>
      </c>
      <c r="BL101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0" s="78">
        <f ca="1">Table13345[[#This Row],[call helper]]+Table13345[[#This Row],[put helper]]</f>
        <v>0</v>
      </c>
      <c r="BP1010" t="str">
        <f>RTD("tos.rtd", , "STRIKE", "."&amp;Table13345[[#This Row],[Ticker]]&amp;Table13345[[#This Row],[Expiry]]&amp;""&amp;"C"&amp;Table13345[[#This Row],[Spot]]+Table13345[[#This Row],[step]])</f>
        <v>N/A</v>
      </c>
    </row>
    <row r="1011" spans="1:68" x14ac:dyDescent="0.25">
      <c r="A1011" s="14">
        <f t="shared" ca="1" si="94"/>
        <v>-126.14810350076104</v>
      </c>
      <c r="C1011" s="17"/>
      <c r="D1011" t="str">
        <f>RTD("tos.rtd", , "OPEN_INT", "."&amp;Table13345[[#This Row],[Ticker]]&amp;Table13345[[#This Row],[Expiry]]&amp;""&amp;"C"&amp;Table13345[[#This Row],[Spot]]+Table13345[[#This Row],[step]])</f>
        <v>N/A</v>
      </c>
      <c r="E101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1" t="b">
        <f>IF(     ISNUMBER(Table13345[[#This Row],[Strike]]),RTD("tos.rtd", , "DELTA", "."&amp;Table13345[[#This Row],[Ticker]]&amp;Table13345[[#This Row],[Expiry]]&amp;""&amp;"C"&amp;Table13345[[#This Row],[Strike]]))</f>
        <v>0</v>
      </c>
      <c r="H1011" s="17" cm="1">
        <f t="array" aca="1" ref="H1011" ca="1">IndividualLegIVCore($A$4, Table13345[[#This Row],[Strike]], 0.0411, Table13345[[#This Row],[T]], ((Table13345[[#This Row],[BIDC]]+Table13345[[#This Row],[ASKC]])/2), TRUE)</f>
        <v>0.01</v>
      </c>
      <c r="I1011" t="b">
        <f>IF(     ISNUMBER(Table13345[[#This Row],[Strike]]),RTD("tos.rtd", , "BID", "."&amp;Table13345[[#This Row],[Ticker]]&amp;Table13345[[#This Row],[Expiry]]&amp;""&amp;"C"&amp;Table13345[[#This Row],[Strike]]))</f>
        <v>0</v>
      </c>
      <c r="J1011" t="b">
        <f>IF(     ISNUMBER(Table13345[[#This Row],[Strike]]),RTD("tos.rtd", , "ASK", "."&amp;Table13345[[#This Row],[Ticker]]&amp;Table13345[[#This Row],[Expiry]]&amp;""&amp;"C"&amp;Table13345[[#This Row],[Strike]]))</f>
        <v>0</v>
      </c>
      <c r="K1011" s="17"/>
      <c r="M1011" s="1">
        <f t="shared" si="95"/>
        <v>0</v>
      </c>
      <c r="N1011" t="b">
        <f t="shared" si="96"/>
        <v>0</v>
      </c>
      <c r="P1011" s="17" cm="1">
        <f t="array" aca="1" ref="P1011" ca="1">IndividualLegIVCore($A$4, Table13345[[#This Row],[Strike]], 0.0411, Table13345[[#This Row],[T]], ((Table13345[[#This Row],[BIDP]]+Table13345[[#This Row],[ASKP]])/2), FALSE)</f>
        <v>0.01</v>
      </c>
      <c r="Q1011" t="b">
        <f>IF(     ISNUMBER(Table13345[[#This Row],[Strike]]),RTD("tos.rtd", , "BID", "."&amp;Table13345[[#This Row],[Ticker]]&amp;Table13345[[#This Row],[Expiry]]&amp;""&amp;"P"&amp;Table13345[[#This Row],[Strike]]))</f>
        <v>0</v>
      </c>
      <c r="R1011" t="b">
        <f>IF(     ISNUMBER(Table13345[[#This Row],[Strike]]),RTD("tos.rtd", , "ASK", "."&amp;Table13345[[#This Row],[Ticker]]&amp;Table13345[[#This Row],[Expiry]]&amp;""&amp;"P"&amp;Table13345[[#This Row],[Strike]]))</f>
        <v>0</v>
      </c>
      <c r="S1011" s="17"/>
      <c r="T101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1" t="b">
        <f>IF(     ISNUMBER(Table13345[[#This Row],[Strike]]),RTD("tos.rtd", , "DELTA", "."&amp;Table13345[[#This Row],[Ticker]]&amp;Table13345[[#This Row],[Expiry]]&amp;""&amp;"P"&amp;Table13345[[#This Row],[Strike]]))</f>
        <v>0</v>
      </c>
      <c r="Y1011" s="19">
        <f>44.5* IF($M$1="NDX", 10, IF(OR($M$1="SPX", $M$1="RUT"), 2, 1))</f>
        <v>89</v>
      </c>
      <c r="Z1011">
        <f ca="1">IFERROR(Table13345[[#This Row],[call gamma]]*(Table13345[[#This Row],[Open.Int]])*$A$4^2,0)</f>
        <v>0</v>
      </c>
      <c r="AA1011">
        <f ca="1">IFERROR(((Table13345[[#This Row],[Open.Int8]])*Table13345[[#This Row],[Put gamma]])*-1*$A$4^2,0)</f>
        <v>0</v>
      </c>
      <c r="AB1011">
        <f ca="1">(Table13345[[#This Row],[Call Gex]]+Table13345[[#This Row],[Put Gex]])</f>
        <v>0</v>
      </c>
      <c r="AC1011">
        <f ca="1">Table13345[[#This Row],[put delta adj]]+Table13345[[#This Row],[call delta adj]]</f>
        <v>0</v>
      </c>
      <c r="AD1011">
        <f ca="1">Table13345[[#This Row],[Put Gex]]*Table13345[[#This Row],[DeltaP]]*-1</f>
        <v>0</v>
      </c>
      <c r="AE1011">
        <f ca="1">Table13345[[#This Row],[Call Gex]]*Table13345[[#This Row],[DeltaC]]</f>
        <v>0</v>
      </c>
      <c r="AF1011">
        <f>IF(Table13345[[#This Row],[DeltaC]]-ABS(Table13345[[#This Row],[DeltaP]])="0","0.01",Table13345[[#This Row],[DeltaC]]-ABS(Table13345[[#This Row],[DeltaP]]))</f>
        <v>0</v>
      </c>
      <c r="AG101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1" t="e">
        <f ca="1">(EXP(-(AG1011^2)/2)/SQRT(2*PI())*EXP(0*SQRT(Table13345[[#This Row],[T]]))/$A$4*18%*SQRT(SQRT(Table13345[[#This Row],[T]])))</f>
        <v>#DIV/0!</v>
      </c>
      <c r="AJ1011" t="e">
        <f ca="1">(EXP(-(AH1011^2)/2)/SQRT(2*PI())*EXP(0*SQRT(Table13345[[#This Row],[T]]))/$A$4*18%*SQRT(SQRT(Table13345[[#This Row],[T]])))</f>
        <v>#DIV/0!</v>
      </c>
      <c r="AK1011" t="e">
        <f ca="1">Table13345[[#This Row],[Call D1]]-Table13345[[#This Row],[IV Calc C]]*SQRT(Table13345[[#This Row],[T]])</f>
        <v>#DIV/0!</v>
      </c>
      <c r="AL1011" t="e">
        <f ca="1">Table13345[[#This Row],[Put D1]]-Table13345[[#This Row],[IV Calc P]]*SQRT(Table13345[[#This Row],[T]])</f>
        <v>#DIV/0!</v>
      </c>
      <c r="AM1011" t="e">
        <f ca="1">EXP(-0.5*Table13345[[#This Row],[Call D1]]^2)/SQRT(2*PI())</f>
        <v>#DIV/0!</v>
      </c>
      <c r="AN1011" t="e">
        <f ca="1">EXP(-0.5*Table13345[[#This Row],[Put D1]]^2)/SQRT(2*PI())</f>
        <v>#DIV/0!</v>
      </c>
      <c r="AO101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1">
        <f ca="1">((Table13345[[#This Row],[call vanna]]+Table13345[[#This Row],[put vanna]])*$A$4)</f>
        <v>0</v>
      </c>
      <c r="AR101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1" s="9" t="str" cm="1">
        <f t="array" ref="AT1011">_xlfn.IFS(     $M$1="SPX","SPXW",     $M$1="RUT","RUTW",  $M$1="NDX","NDXP",   TRUE,$M$1 )</f>
        <v>SPXW</v>
      </c>
      <c r="AU1011" s="2">
        <f t="shared" si="97"/>
        <v>6915</v>
      </c>
      <c r="AV1011" t="str">
        <f t="shared" si="98"/>
        <v>000100</v>
      </c>
      <c r="AY101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1">
        <f>((Table13345[[#This Row],[High C]]+Table13345[[#This Row],[Low C]])/2)*Table13345[[#This Row],[gammac]]*Table13345[[#This Row],[Volume]]</f>
        <v>0</v>
      </c>
      <c r="BD1011">
        <f>((Table13345[[#This Row],[High P]]+Table13345[[#This Row],[Low P]])/2)*Table13345[[#This Row],[gammap]]*Table13345[[#This Row],[Volume9]]*-1</f>
        <v>0</v>
      </c>
      <c r="BE1011">
        <f>(Table13345[[#This Row],[SgammaC]]+Table13345[[#This Row],[SgammaP]])*$A$4*-100</f>
        <v>0</v>
      </c>
      <c r="BF1011">
        <f>Table13345[[#This Row],[DEXc]]+Table13345[[#This Row],[DEXp]]</f>
        <v>0</v>
      </c>
      <c r="BG1011">
        <f>IFERROR(Table13345[[#This Row],[DeltaC]]*Table13345[[#This Row],[Open.Int]]*$A$4,0)</f>
        <v>0</v>
      </c>
      <c r="BH1011">
        <f>IFERROR(Table13345[[#This Row],[DeltaP]]*Table13345[[#This Row],[Open.Int8]]*$A$4,0)</f>
        <v>0</v>
      </c>
      <c r="BI101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1">
        <f ca="1">Table13345[[#This Row],[charmc]]+Table13345[[#This Row],[charmp]]</f>
        <v>0</v>
      </c>
      <c r="BL101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1" s="78">
        <f ca="1">Table13345[[#This Row],[call helper]]+Table13345[[#This Row],[put helper]]</f>
        <v>0</v>
      </c>
      <c r="BP1011" t="str">
        <f>RTD("tos.rtd", , "STRIKE", "."&amp;Table13345[[#This Row],[Ticker]]&amp;Table13345[[#This Row],[Expiry]]&amp;""&amp;"C"&amp;Table13345[[#This Row],[Spot]]+Table13345[[#This Row],[step]])</f>
        <v>N/A</v>
      </c>
    </row>
    <row r="1012" spans="1:68" x14ac:dyDescent="0.25">
      <c r="A1012" s="14">
        <f t="shared" ca="1" si="94"/>
        <v>-126.14810350076104</v>
      </c>
      <c r="C1012" s="17"/>
      <c r="D1012" t="str">
        <f>RTD("tos.rtd", , "OPEN_INT", "."&amp;Table13345[[#This Row],[Ticker]]&amp;Table13345[[#This Row],[Expiry]]&amp;""&amp;"C"&amp;Table13345[[#This Row],[Spot]]+Table13345[[#This Row],[step]])</f>
        <v>N/A</v>
      </c>
      <c r="E101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2" t="b">
        <f>IF(     ISNUMBER(Table13345[[#This Row],[Strike]]),RTD("tos.rtd", , "DELTA", "."&amp;Table13345[[#This Row],[Ticker]]&amp;Table13345[[#This Row],[Expiry]]&amp;""&amp;"C"&amp;Table13345[[#This Row],[Strike]]))</f>
        <v>0</v>
      </c>
      <c r="H1012" s="17" cm="1">
        <f t="array" aca="1" ref="H1012" ca="1">IndividualLegIVCore($A$4, Table13345[[#This Row],[Strike]], 0.0411, Table13345[[#This Row],[T]], ((Table13345[[#This Row],[BIDC]]+Table13345[[#This Row],[ASKC]])/2), TRUE)</f>
        <v>0.01</v>
      </c>
      <c r="I1012" t="b">
        <f>IF(     ISNUMBER(Table13345[[#This Row],[Strike]]),RTD("tos.rtd", , "BID", "."&amp;Table13345[[#This Row],[Ticker]]&amp;Table13345[[#This Row],[Expiry]]&amp;""&amp;"C"&amp;Table13345[[#This Row],[Strike]]))</f>
        <v>0</v>
      </c>
      <c r="J1012" t="b">
        <f>IF(     ISNUMBER(Table13345[[#This Row],[Strike]]),RTD("tos.rtd", , "ASK", "."&amp;Table13345[[#This Row],[Ticker]]&amp;Table13345[[#This Row],[Expiry]]&amp;""&amp;"C"&amp;Table13345[[#This Row],[Strike]]))</f>
        <v>0</v>
      </c>
      <c r="K1012" s="17"/>
      <c r="M1012" s="1">
        <f t="shared" si="95"/>
        <v>0</v>
      </c>
      <c r="N1012" t="b">
        <f t="shared" si="96"/>
        <v>0</v>
      </c>
      <c r="P1012" s="17" cm="1">
        <f t="array" aca="1" ref="P1012" ca="1">IndividualLegIVCore($A$4, Table13345[[#This Row],[Strike]], 0.0411, Table13345[[#This Row],[T]], ((Table13345[[#This Row],[BIDP]]+Table13345[[#This Row],[ASKP]])/2), FALSE)</f>
        <v>0.01</v>
      </c>
      <c r="Q1012" t="b">
        <f>IF(     ISNUMBER(Table13345[[#This Row],[Strike]]),RTD("tos.rtd", , "BID", "."&amp;Table13345[[#This Row],[Ticker]]&amp;Table13345[[#This Row],[Expiry]]&amp;""&amp;"P"&amp;Table13345[[#This Row],[Strike]]))</f>
        <v>0</v>
      </c>
      <c r="R1012" t="b">
        <f>IF(     ISNUMBER(Table13345[[#This Row],[Strike]]),RTD("tos.rtd", , "ASK", "."&amp;Table13345[[#This Row],[Ticker]]&amp;Table13345[[#This Row],[Expiry]]&amp;""&amp;"P"&amp;Table13345[[#This Row],[Strike]]))</f>
        <v>0</v>
      </c>
      <c r="S1012" s="17"/>
      <c r="T101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2" t="b">
        <f>IF(     ISNUMBER(Table13345[[#This Row],[Strike]]),RTD("tos.rtd", , "DELTA", "."&amp;Table13345[[#This Row],[Ticker]]&amp;Table13345[[#This Row],[Expiry]]&amp;""&amp;"P"&amp;Table13345[[#This Row],[Strike]]))</f>
        <v>0</v>
      </c>
      <c r="Y1012" s="20">
        <f>45* IF($M$1="NDX", 10, IF(OR($M$1="SPX", $M$1="RUT"), 2, 1))</f>
        <v>90</v>
      </c>
      <c r="Z1012">
        <f ca="1">IFERROR(Table13345[[#This Row],[call gamma]]*(Table13345[[#This Row],[Open.Int]])*$A$4^2,0)</f>
        <v>0</v>
      </c>
      <c r="AA1012">
        <f ca="1">IFERROR(((Table13345[[#This Row],[Open.Int8]])*Table13345[[#This Row],[Put gamma]])*-1*$A$4^2,0)</f>
        <v>0</v>
      </c>
      <c r="AB1012">
        <f ca="1">(Table13345[[#This Row],[Call Gex]]+Table13345[[#This Row],[Put Gex]])</f>
        <v>0</v>
      </c>
      <c r="AC1012">
        <f ca="1">Table13345[[#This Row],[put delta adj]]+Table13345[[#This Row],[call delta adj]]</f>
        <v>0</v>
      </c>
      <c r="AD1012">
        <f ca="1">Table13345[[#This Row],[Put Gex]]*Table13345[[#This Row],[DeltaP]]*-1</f>
        <v>0</v>
      </c>
      <c r="AE1012">
        <f ca="1">Table13345[[#This Row],[Call Gex]]*Table13345[[#This Row],[DeltaC]]</f>
        <v>0</v>
      </c>
      <c r="AF1012">
        <f>IF(Table13345[[#This Row],[DeltaC]]-ABS(Table13345[[#This Row],[DeltaP]])="0","0.01",Table13345[[#This Row],[DeltaC]]-ABS(Table13345[[#This Row],[DeltaP]]))</f>
        <v>0</v>
      </c>
      <c r="AG101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2" t="e">
        <f ca="1">(EXP(-(AG1012^2)/2)/SQRT(2*PI())*EXP(0*SQRT(Table13345[[#This Row],[T]]))/$A$4*18%*SQRT(SQRT(Table13345[[#This Row],[T]])))</f>
        <v>#DIV/0!</v>
      </c>
      <c r="AJ1012" t="e">
        <f ca="1">(EXP(-(AH1012^2)/2)/SQRT(2*PI())*EXP(0*SQRT(Table13345[[#This Row],[T]]))/$A$4*18%*SQRT(SQRT(Table13345[[#This Row],[T]])))</f>
        <v>#DIV/0!</v>
      </c>
      <c r="AK1012" t="e">
        <f ca="1">Table13345[[#This Row],[Call D1]]-Table13345[[#This Row],[IV Calc C]]*SQRT(Table13345[[#This Row],[T]])</f>
        <v>#DIV/0!</v>
      </c>
      <c r="AL1012" t="e">
        <f ca="1">Table13345[[#This Row],[Put D1]]-Table13345[[#This Row],[IV Calc P]]*SQRT(Table13345[[#This Row],[T]])</f>
        <v>#DIV/0!</v>
      </c>
      <c r="AM1012" t="e">
        <f ca="1">EXP(-0.5*Table13345[[#This Row],[Call D1]]^2)/SQRT(2*PI())</f>
        <v>#DIV/0!</v>
      </c>
      <c r="AN1012" t="e">
        <f ca="1">EXP(-0.5*Table13345[[#This Row],[Put D1]]^2)/SQRT(2*PI())</f>
        <v>#DIV/0!</v>
      </c>
      <c r="AO101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2">
        <f ca="1">((Table13345[[#This Row],[call vanna]]+Table13345[[#This Row],[put vanna]])*$A$4)</f>
        <v>0</v>
      </c>
      <c r="AR101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2" s="9" t="str" cm="1">
        <f t="array" ref="AT1012">_xlfn.IFS(     $M$1="SPX","SPXW",     $M$1="RUT","RUTW",  $M$1="NDX","NDXP",   TRUE,$M$1 )</f>
        <v>SPXW</v>
      </c>
      <c r="AU1012" s="2">
        <f t="shared" si="97"/>
        <v>6915</v>
      </c>
      <c r="AV1012" t="str">
        <f t="shared" si="98"/>
        <v>000100</v>
      </c>
      <c r="AY101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2">
        <f>((Table13345[[#This Row],[High C]]+Table13345[[#This Row],[Low C]])/2)*Table13345[[#This Row],[gammac]]*Table13345[[#This Row],[Volume]]</f>
        <v>0</v>
      </c>
      <c r="BD1012">
        <f>((Table13345[[#This Row],[High P]]+Table13345[[#This Row],[Low P]])/2)*Table13345[[#This Row],[gammap]]*Table13345[[#This Row],[Volume9]]*-1</f>
        <v>0</v>
      </c>
      <c r="BE1012">
        <f>(Table13345[[#This Row],[SgammaC]]+Table13345[[#This Row],[SgammaP]])*$A$4*-100</f>
        <v>0</v>
      </c>
      <c r="BF1012">
        <f>Table13345[[#This Row],[DEXc]]+Table13345[[#This Row],[DEXp]]</f>
        <v>0</v>
      </c>
      <c r="BG1012">
        <f>IFERROR(Table13345[[#This Row],[DeltaC]]*Table13345[[#This Row],[Open.Int]]*$A$4,0)</f>
        <v>0</v>
      </c>
      <c r="BH1012">
        <f>IFERROR(Table13345[[#This Row],[DeltaP]]*Table13345[[#This Row],[Open.Int8]]*$A$4,0)</f>
        <v>0</v>
      </c>
      <c r="BI101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2">
        <f ca="1">Table13345[[#This Row],[charmc]]+Table13345[[#This Row],[charmp]]</f>
        <v>0</v>
      </c>
      <c r="BL101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2" s="78">
        <f ca="1">Table13345[[#This Row],[call helper]]+Table13345[[#This Row],[put helper]]</f>
        <v>0</v>
      </c>
      <c r="BP1012" t="str">
        <f>RTD("tos.rtd", , "STRIKE", "."&amp;Table13345[[#This Row],[Ticker]]&amp;Table13345[[#This Row],[Expiry]]&amp;""&amp;"C"&amp;Table13345[[#This Row],[Spot]]+Table13345[[#This Row],[step]])</f>
        <v>N/A</v>
      </c>
    </row>
    <row r="1013" spans="1:68" x14ac:dyDescent="0.25">
      <c r="A1013" s="14">
        <f t="shared" ca="1" si="94"/>
        <v>-126.14810350076104</v>
      </c>
      <c r="C1013" s="17"/>
      <c r="D1013" t="str">
        <f>RTD("tos.rtd", , "OPEN_INT", "."&amp;Table13345[[#This Row],[Ticker]]&amp;Table13345[[#This Row],[Expiry]]&amp;""&amp;"C"&amp;Table13345[[#This Row],[Spot]]+Table13345[[#This Row],[step]])</f>
        <v>N/A</v>
      </c>
      <c r="E101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3" t="b">
        <f>IF(     ISNUMBER(Table13345[[#This Row],[Strike]]),RTD("tos.rtd", , "DELTA", "."&amp;Table13345[[#This Row],[Ticker]]&amp;Table13345[[#This Row],[Expiry]]&amp;""&amp;"C"&amp;Table13345[[#This Row],[Strike]]))</f>
        <v>0</v>
      </c>
      <c r="H1013" s="17" cm="1">
        <f t="array" aca="1" ref="H1013" ca="1">IndividualLegIVCore($A$4, Table13345[[#This Row],[Strike]], 0.0411, Table13345[[#This Row],[T]], ((Table13345[[#This Row],[BIDC]]+Table13345[[#This Row],[ASKC]])/2), TRUE)</f>
        <v>0.01</v>
      </c>
      <c r="I1013" t="b">
        <f>IF(     ISNUMBER(Table13345[[#This Row],[Strike]]),RTD("tos.rtd", , "BID", "."&amp;Table13345[[#This Row],[Ticker]]&amp;Table13345[[#This Row],[Expiry]]&amp;""&amp;"C"&amp;Table13345[[#This Row],[Strike]]))</f>
        <v>0</v>
      </c>
      <c r="J1013" t="b">
        <f>IF(     ISNUMBER(Table13345[[#This Row],[Strike]]),RTD("tos.rtd", , "ASK", "."&amp;Table13345[[#This Row],[Ticker]]&amp;Table13345[[#This Row],[Expiry]]&amp;""&amp;"C"&amp;Table13345[[#This Row],[Strike]]))</f>
        <v>0</v>
      </c>
      <c r="K1013" s="17"/>
      <c r="M1013" s="1">
        <f t="shared" si="95"/>
        <v>0</v>
      </c>
      <c r="N1013" t="b">
        <f t="shared" si="96"/>
        <v>0</v>
      </c>
      <c r="P1013" s="17" cm="1">
        <f t="array" aca="1" ref="P1013" ca="1">IndividualLegIVCore($A$4, Table13345[[#This Row],[Strike]], 0.0411, Table13345[[#This Row],[T]], ((Table13345[[#This Row],[BIDP]]+Table13345[[#This Row],[ASKP]])/2), FALSE)</f>
        <v>0.01</v>
      </c>
      <c r="Q1013" t="b">
        <f>IF(     ISNUMBER(Table13345[[#This Row],[Strike]]),RTD("tos.rtd", , "BID", "."&amp;Table13345[[#This Row],[Ticker]]&amp;Table13345[[#This Row],[Expiry]]&amp;""&amp;"P"&amp;Table13345[[#This Row],[Strike]]))</f>
        <v>0</v>
      </c>
      <c r="R1013" t="b">
        <f>IF(     ISNUMBER(Table13345[[#This Row],[Strike]]),RTD("tos.rtd", , "ASK", "."&amp;Table13345[[#This Row],[Ticker]]&amp;Table13345[[#This Row],[Expiry]]&amp;""&amp;"P"&amp;Table13345[[#This Row],[Strike]]))</f>
        <v>0</v>
      </c>
      <c r="S1013" s="17"/>
      <c r="T1013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3" t="b">
        <f>IF(     ISNUMBER(Table13345[[#This Row],[Strike]]),RTD("tos.rtd", , "DELTA", "."&amp;Table13345[[#This Row],[Ticker]]&amp;Table13345[[#This Row],[Expiry]]&amp;""&amp;"P"&amp;Table13345[[#This Row],[Strike]]))</f>
        <v>0</v>
      </c>
      <c r="Y1013" s="19">
        <f>45.5* IF($M$1="NDX", 10, IF(OR($M$1="SPX", $M$1="RUT"), 2, 1))</f>
        <v>91</v>
      </c>
      <c r="Z1013">
        <f ca="1">IFERROR(Table13345[[#This Row],[call gamma]]*(Table13345[[#This Row],[Open.Int]])*$A$4^2,0)</f>
        <v>0</v>
      </c>
      <c r="AA1013">
        <f ca="1">IFERROR(((Table13345[[#This Row],[Open.Int8]])*Table13345[[#This Row],[Put gamma]])*-1*$A$4^2,0)</f>
        <v>0</v>
      </c>
      <c r="AB1013">
        <f ca="1">(Table13345[[#This Row],[Call Gex]]+Table13345[[#This Row],[Put Gex]])</f>
        <v>0</v>
      </c>
      <c r="AC1013">
        <f ca="1">Table13345[[#This Row],[put delta adj]]+Table13345[[#This Row],[call delta adj]]</f>
        <v>0</v>
      </c>
      <c r="AD1013">
        <f ca="1">Table13345[[#This Row],[Put Gex]]*Table13345[[#This Row],[DeltaP]]*-1</f>
        <v>0</v>
      </c>
      <c r="AE1013">
        <f ca="1">Table13345[[#This Row],[Call Gex]]*Table13345[[#This Row],[DeltaC]]</f>
        <v>0</v>
      </c>
      <c r="AF1013">
        <f>IF(Table13345[[#This Row],[DeltaC]]-ABS(Table13345[[#This Row],[DeltaP]])="0","0.01",Table13345[[#This Row],[DeltaC]]-ABS(Table13345[[#This Row],[DeltaP]]))</f>
        <v>0</v>
      </c>
      <c r="AG101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3" t="e">
        <f ca="1">(EXP(-(AG1013^2)/2)/SQRT(2*PI())*EXP(0*SQRT(Table13345[[#This Row],[T]]))/$A$4*18%*SQRT(SQRT(Table13345[[#This Row],[T]])))</f>
        <v>#DIV/0!</v>
      </c>
      <c r="AJ1013" t="e">
        <f ca="1">(EXP(-(AH1013^2)/2)/SQRT(2*PI())*EXP(0*SQRT(Table13345[[#This Row],[T]]))/$A$4*18%*SQRT(SQRT(Table13345[[#This Row],[T]])))</f>
        <v>#DIV/0!</v>
      </c>
      <c r="AK1013" t="e">
        <f ca="1">Table13345[[#This Row],[Call D1]]-Table13345[[#This Row],[IV Calc C]]*SQRT(Table13345[[#This Row],[T]])</f>
        <v>#DIV/0!</v>
      </c>
      <c r="AL1013" t="e">
        <f ca="1">Table13345[[#This Row],[Put D1]]-Table13345[[#This Row],[IV Calc P]]*SQRT(Table13345[[#This Row],[T]])</f>
        <v>#DIV/0!</v>
      </c>
      <c r="AM1013" t="e">
        <f ca="1">EXP(-0.5*Table13345[[#This Row],[Call D1]]^2)/SQRT(2*PI())</f>
        <v>#DIV/0!</v>
      </c>
      <c r="AN1013" t="e">
        <f ca="1">EXP(-0.5*Table13345[[#This Row],[Put D1]]^2)/SQRT(2*PI())</f>
        <v>#DIV/0!</v>
      </c>
      <c r="AO101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3">
        <f ca="1">((Table13345[[#This Row],[call vanna]]+Table13345[[#This Row],[put vanna]])*$A$4)</f>
        <v>0</v>
      </c>
      <c r="AR101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3" s="9" t="str" cm="1">
        <f t="array" ref="AT1013">_xlfn.IFS(     $M$1="SPX","SPXW",     $M$1="RUT","RUTW",  $M$1="NDX","NDXP",   TRUE,$M$1 )</f>
        <v>SPXW</v>
      </c>
      <c r="AU1013" s="2">
        <f t="shared" si="97"/>
        <v>6915</v>
      </c>
      <c r="AV1013" t="str">
        <f t="shared" si="98"/>
        <v>000100</v>
      </c>
      <c r="AY101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3">
        <f>((Table13345[[#This Row],[High C]]+Table13345[[#This Row],[Low C]])/2)*Table13345[[#This Row],[gammac]]*Table13345[[#This Row],[Volume]]</f>
        <v>0</v>
      </c>
      <c r="BD1013">
        <f>((Table13345[[#This Row],[High P]]+Table13345[[#This Row],[Low P]])/2)*Table13345[[#This Row],[gammap]]*Table13345[[#This Row],[Volume9]]*-1</f>
        <v>0</v>
      </c>
      <c r="BE1013">
        <f>(Table13345[[#This Row],[SgammaC]]+Table13345[[#This Row],[SgammaP]])*$A$4*-100</f>
        <v>0</v>
      </c>
      <c r="BF1013">
        <f>Table13345[[#This Row],[DEXc]]+Table13345[[#This Row],[DEXp]]</f>
        <v>0</v>
      </c>
      <c r="BG1013">
        <f>IFERROR(Table13345[[#This Row],[DeltaC]]*Table13345[[#This Row],[Open.Int]]*$A$4,0)</f>
        <v>0</v>
      </c>
      <c r="BH1013">
        <f>IFERROR(Table13345[[#This Row],[DeltaP]]*Table13345[[#This Row],[Open.Int8]]*$A$4,0)</f>
        <v>0</v>
      </c>
      <c r="BI101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3">
        <f ca="1">Table13345[[#This Row],[charmc]]+Table13345[[#This Row],[charmp]]</f>
        <v>0</v>
      </c>
      <c r="BL1013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3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3" s="78">
        <f ca="1">Table13345[[#This Row],[call helper]]+Table13345[[#This Row],[put helper]]</f>
        <v>0</v>
      </c>
      <c r="BP1013" t="str">
        <f>RTD("tos.rtd", , "STRIKE", "."&amp;Table13345[[#This Row],[Ticker]]&amp;Table13345[[#This Row],[Expiry]]&amp;""&amp;"C"&amp;Table13345[[#This Row],[Spot]]+Table13345[[#This Row],[step]])</f>
        <v>N/A</v>
      </c>
    </row>
    <row r="1014" spans="1:68" x14ac:dyDescent="0.25">
      <c r="A1014" s="14">
        <f t="shared" ref="A1014:A1022" ca="1" si="99">$S$3</f>
        <v>-126.14810350076104</v>
      </c>
      <c r="C1014" s="17"/>
      <c r="D1014" t="str">
        <f>RTD("tos.rtd", , "OPEN_INT", "."&amp;Table13345[[#This Row],[Ticker]]&amp;Table13345[[#This Row],[Expiry]]&amp;""&amp;"C"&amp;Table13345[[#This Row],[Spot]]+Table13345[[#This Row],[step]])</f>
        <v>N/A</v>
      </c>
      <c r="E101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4" t="b">
        <f>IF(     ISNUMBER(Table13345[[#This Row],[Strike]]),RTD("tos.rtd", , "DELTA", "."&amp;Table13345[[#This Row],[Ticker]]&amp;Table13345[[#This Row],[Expiry]]&amp;""&amp;"C"&amp;Table13345[[#This Row],[Strike]]))</f>
        <v>0</v>
      </c>
      <c r="H1014" s="17" cm="1">
        <f t="array" aca="1" ref="H1014" ca="1">IndividualLegIVCore($A$4, Table13345[[#This Row],[Strike]], 0.0411, Table13345[[#This Row],[T]], ((Table13345[[#This Row],[BIDC]]+Table13345[[#This Row],[ASKC]])/2), TRUE)</f>
        <v>0.01</v>
      </c>
      <c r="I1014" t="b">
        <f>IF(     ISNUMBER(Table13345[[#This Row],[Strike]]),RTD("tos.rtd", , "BID", "."&amp;Table13345[[#This Row],[Ticker]]&amp;Table13345[[#This Row],[Expiry]]&amp;""&amp;"C"&amp;Table13345[[#This Row],[Strike]]))</f>
        <v>0</v>
      </c>
      <c r="J1014" t="b">
        <f>IF(     ISNUMBER(Table13345[[#This Row],[Strike]]),RTD("tos.rtd", , "ASK", "."&amp;Table13345[[#This Row],[Ticker]]&amp;Table13345[[#This Row],[Expiry]]&amp;""&amp;"C"&amp;Table13345[[#This Row],[Strike]]))</f>
        <v>0</v>
      </c>
      <c r="K1014" s="17"/>
      <c r="M1014" s="1">
        <f t="shared" ref="M1014:M1022" si="100">$S$1</f>
        <v>0</v>
      </c>
      <c r="N1014" t="b">
        <f t="shared" ref="N1014:N1022" si="101">IF(ISNUMBER($BP1014), $BP1014, FALSE)</f>
        <v>0</v>
      </c>
      <c r="P1014" s="17" cm="1">
        <f t="array" aca="1" ref="P1014" ca="1">IndividualLegIVCore($A$4, Table13345[[#This Row],[Strike]], 0.0411, Table13345[[#This Row],[T]], ((Table13345[[#This Row],[BIDP]]+Table13345[[#This Row],[ASKP]])/2), FALSE)</f>
        <v>0.01</v>
      </c>
      <c r="Q1014" t="b">
        <f>IF(     ISNUMBER(Table13345[[#This Row],[Strike]]),RTD("tos.rtd", , "BID", "."&amp;Table13345[[#This Row],[Ticker]]&amp;Table13345[[#This Row],[Expiry]]&amp;""&amp;"P"&amp;Table13345[[#This Row],[Strike]]))</f>
        <v>0</v>
      </c>
      <c r="R1014" t="b">
        <f>IF(     ISNUMBER(Table13345[[#This Row],[Strike]]),RTD("tos.rtd", , "ASK", "."&amp;Table13345[[#This Row],[Ticker]]&amp;Table13345[[#This Row],[Expiry]]&amp;""&amp;"P"&amp;Table13345[[#This Row],[Strike]]))</f>
        <v>0</v>
      </c>
      <c r="S1014" s="17"/>
      <c r="T1014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4" t="b">
        <f>IF(     ISNUMBER(Table13345[[#This Row],[Strike]]),RTD("tos.rtd", , "DELTA", "."&amp;Table13345[[#This Row],[Ticker]]&amp;Table13345[[#This Row],[Expiry]]&amp;""&amp;"P"&amp;Table13345[[#This Row],[Strike]]))</f>
        <v>0</v>
      </c>
      <c r="Y1014">
        <f>46* IF($M$1="NDX", 10, IF(OR($M$1="SPX", $M$1="RUT"), 2, 1))</f>
        <v>92</v>
      </c>
      <c r="Z1014">
        <f ca="1">IFERROR(Table13345[[#This Row],[call gamma]]*(Table13345[[#This Row],[Open.Int]])*$A$4^2,0)</f>
        <v>0</v>
      </c>
      <c r="AA1014">
        <f ca="1">IFERROR(((Table13345[[#This Row],[Open.Int8]])*Table13345[[#This Row],[Put gamma]])*-1*$A$4^2,0)</f>
        <v>0</v>
      </c>
      <c r="AB1014">
        <f ca="1">(Table13345[[#This Row],[Call Gex]]+Table13345[[#This Row],[Put Gex]])</f>
        <v>0</v>
      </c>
      <c r="AC1014">
        <f ca="1">Table13345[[#This Row],[put delta adj]]+Table13345[[#This Row],[call delta adj]]</f>
        <v>0</v>
      </c>
      <c r="AD1014">
        <f ca="1">Table13345[[#This Row],[Put Gex]]*Table13345[[#This Row],[DeltaP]]*-1</f>
        <v>0</v>
      </c>
      <c r="AE1014">
        <f ca="1">Table13345[[#This Row],[Call Gex]]*Table13345[[#This Row],[DeltaC]]</f>
        <v>0</v>
      </c>
      <c r="AF1014">
        <f>IF(Table13345[[#This Row],[DeltaC]]-ABS(Table13345[[#This Row],[DeltaP]])="0","0.01",Table13345[[#This Row],[DeltaC]]-ABS(Table13345[[#This Row],[DeltaP]]))</f>
        <v>0</v>
      </c>
      <c r="AG101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4" t="e">
        <f ca="1">(EXP(-(AG1014^2)/2)/SQRT(2*PI())*EXP(0*SQRT(Table13345[[#This Row],[T]]))/$A$4*18%*SQRT(SQRT(Table13345[[#This Row],[T]])))</f>
        <v>#DIV/0!</v>
      </c>
      <c r="AJ1014" t="e">
        <f ca="1">(EXP(-(AH1014^2)/2)/SQRT(2*PI())*EXP(0*SQRT(Table13345[[#This Row],[T]]))/$A$4*18%*SQRT(SQRT(Table13345[[#This Row],[T]])))</f>
        <v>#DIV/0!</v>
      </c>
      <c r="AK1014" t="e">
        <f ca="1">Table13345[[#This Row],[Call D1]]-Table13345[[#This Row],[IV Calc C]]*SQRT(Table13345[[#This Row],[T]])</f>
        <v>#DIV/0!</v>
      </c>
      <c r="AL1014" t="e">
        <f ca="1">Table13345[[#This Row],[Put D1]]-Table13345[[#This Row],[IV Calc P]]*SQRT(Table13345[[#This Row],[T]])</f>
        <v>#DIV/0!</v>
      </c>
      <c r="AM1014" t="e">
        <f ca="1">EXP(-0.5*Table13345[[#This Row],[Call D1]]^2)/SQRT(2*PI())</f>
        <v>#DIV/0!</v>
      </c>
      <c r="AN1014" t="e">
        <f ca="1">EXP(-0.5*Table13345[[#This Row],[Put D1]]^2)/SQRT(2*PI())</f>
        <v>#DIV/0!</v>
      </c>
      <c r="AO101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4">
        <f ca="1">((Table13345[[#This Row],[call vanna]]+Table13345[[#This Row],[put vanna]])*$A$4)</f>
        <v>0</v>
      </c>
      <c r="AR101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4" s="9" t="str" cm="1">
        <f t="array" ref="AT1014">_xlfn.IFS(     $M$1="SPX","SPXW",     $M$1="RUT","RUTW",  $M$1="NDX","NDXP",   TRUE,$M$1 )</f>
        <v>SPXW</v>
      </c>
      <c r="AU1014" s="2">
        <f t="shared" ref="AU1014:AU1022" si="102">$N$1</f>
        <v>6915</v>
      </c>
      <c r="AV1014" t="str">
        <f t="shared" ref="AV1014:AV1022" si="103">$S$2</f>
        <v>000100</v>
      </c>
      <c r="AY101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4">
        <f>((Table13345[[#This Row],[High C]]+Table13345[[#This Row],[Low C]])/2)*Table13345[[#This Row],[gammac]]*Table13345[[#This Row],[Volume]]</f>
        <v>0</v>
      </c>
      <c r="BD1014">
        <f>((Table13345[[#This Row],[High P]]+Table13345[[#This Row],[Low P]])/2)*Table13345[[#This Row],[gammap]]*Table13345[[#This Row],[Volume9]]*-1</f>
        <v>0</v>
      </c>
      <c r="BE1014">
        <f>(Table13345[[#This Row],[SgammaC]]+Table13345[[#This Row],[SgammaP]])*$A$4*-100</f>
        <v>0</v>
      </c>
      <c r="BF1014">
        <f>Table13345[[#This Row],[DEXc]]+Table13345[[#This Row],[DEXp]]</f>
        <v>0</v>
      </c>
      <c r="BG1014">
        <f>IFERROR(Table13345[[#This Row],[DeltaC]]*Table13345[[#This Row],[Open.Int]]*$A$4,0)</f>
        <v>0</v>
      </c>
      <c r="BH1014">
        <f>IFERROR(Table13345[[#This Row],[DeltaP]]*Table13345[[#This Row],[Open.Int8]]*$A$4,0)</f>
        <v>0</v>
      </c>
      <c r="BI101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4">
        <f ca="1">Table13345[[#This Row],[charmc]]+Table13345[[#This Row],[charmp]]</f>
        <v>0</v>
      </c>
      <c r="BL1014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4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4" s="78">
        <f ca="1">Table13345[[#This Row],[call helper]]+Table13345[[#This Row],[put helper]]</f>
        <v>0</v>
      </c>
      <c r="BP1014" t="str">
        <f>RTD("tos.rtd", , "STRIKE", "."&amp;Table13345[[#This Row],[Ticker]]&amp;Table13345[[#This Row],[Expiry]]&amp;""&amp;"C"&amp;Table13345[[#This Row],[Spot]]+Table13345[[#This Row],[step]])</f>
        <v>N/A</v>
      </c>
    </row>
    <row r="1015" spans="1:68" x14ac:dyDescent="0.25">
      <c r="A1015" s="14">
        <f t="shared" ca="1" si="99"/>
        <v>-126.14810350076104</v>
      </c>
      <c r="C1015" s="17"/>
      <c r="D1015" t="str">
        <f>RTD("tos.rtd", , "OPEN_INT", "."&amp;Table13345[[#This Row],[Ticker]]&amp;Table13345[[#This Row],[Expiry]]&amp;""&amp;"C"&amp;Table13345[[#This Row],[Spot]]+Table13345[[#This Row],[step]])</f>
        <v>N/A</v>
      </c>
      <c r="E101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5" t="b">
        <f>IF(     ISNUMBER(Table13345[[#This Row],[Strike]]),RTD("tos.rtd", , "DELTA", "."&amp;Table13345[[#This Row],[Ticker]]&amp;Table13345[[#This Row],[Expiry]]&amp;""&amp;"C"&amp;Table13345[[#This Row],[Strike]]))</f>
        <v>0</v>
      </c>
      <c r="H1015" s="17" cm="1">
        <f t="array" aca="1" ref="H1015" ca="1">IndividualLegIVCore($A$4, Table13345[[#This Row],[Strike]], 0.0411, Table13345[[#This Row],[T]], ((Table13345[[#This Row],[BIDC]]+Table13345[[#This Row],[ASKC]])/2), TRUE)</f>
        <v>0.01</v>
      </c>
      <c r="I1015" t="b">
        <f>IF(     ISNUMBER(Table13345[[#This Row],[Strike]]),RTD("tos.rtd", , "BID", "."&amp;Table13345[[#This Row],[Ticker]]&amp;Table13345[[#This Row],[Expiry]]&amp;""&amp;"C"&amp;Table13345[[#This Row],[Strike]]))</f>
        <v>0</v>
      </c>
      <c r="J1015" t="b">
        <f>IF(     ISNUMBER(Table13345[[#This Row],[Strike]]),RTD("tos.rtd", , "ASK", "."&amp;Table13345[[#This Row],[Ticker]]&amp;Table13345[[#This Row],[Expiry]]&amp;""&amp;"C"&amp;Table13345[[#This Row],[Strike]]))</f>
        <v>0</v>
      </c>
      <c r="K1015" s="17"/>
      <c r="M1015" s="1">
        <f t="shared" si="100"/>
        <v>0</v>
      </c>
      <c r="N1015" t="b">
        <f t="shared" si="101"/>
        <v>0</v>
      </c>
      <c r="P1015" s="17" cm="1">
        <f t="array" aca="1" ref="P1015" ca="1">IndividualLegIVCore($A$4, Table13345[[#This Row],[Strike]], 0.0411, Table13345[[#This Row],[T]], ((Table13345[[#This Row],[BIDP]]+Table13345[[#This Row],[ASKP]])/2), FALSE)</f>
        <v>0.01</v>
      </c>
      <c r="Q1015" t="b">
        <f>IF(     ISNUMBER(Table13345[[#This Row],[Strike]]),RTD("tos.rtd", , "BID", "."&amp;Table13345[[#This Row],[Ticker]]&amp;Table13345[[#This Row],[Expiry]]&amp;""&amp;"P"&amp;Table13345[[#This Row],[Strike]]))</f>
        <v>0</v>
      </c>
      <c r="R1015" t="b">
        <f>IF(     ISNUMBER(Table13345[[#This Row],[Strike]]),RTD("tos.rtd", , "ASK", "."&amp;Table13345[[#This Row],[Ticker]]&amp;Table13345[[#This Row],[Expiry]]&amp;""&amp;"P"&amp;Table13345[[#This Row],[Strike]]))</f>
        <v>0</v>
      </c>
      <c r="S1015" s="17"/>
      <c r="T1015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5" t="b">
        <f>IF(     ISNUMBER(Table13345[[#This Row],[Strike]]),RTD("tos.rtd", , "DELTA", "."&amp;Table13345[[#This Row],[Ticker]]&amp;Table13345[[#This Row],[Expiry]]&amp;""&amp;"P"&amp;Table13345[[#This Row],[Strike]]))</f>
        <v>0</v>
      </c>
      <c r="Y1015">
        <f>46.5* IF($M$1="NDX", 10, IF(OR($M$1="SPX", $M$1="RUT"), 2, 1))</f>
        <v>93</v>
      </c>
      <c r="Z1015">
        <f ca="1">IFERROR(Table13345[[#This Row],[call gamma]]*(Table13345[[#This Row],[Open.Int]])*$A$4^2,0)</f>
        <v>0</v>
      </c>
      <c r="AA1015">
        <f ca="1">IFERROR(((Table13345[[#This Row],[Open.Int8]])*Table13345[[#This Row],[Put gamma]])*-1*$A$4^2,0)</f>
        <v>0</v>
      </c>
      <c r="AB1015">
        <f ca="1">(Table13345[[#This Row],[Call Gex]]+Table13345[[#This Row],[Put Gex]])</f>
        <v>0</v>
      </c>
      <c r="AC1015">
        <f ca="1">Table13345[[#This Row],[put delta adj]]+Table13345[[#This Row],[call delta adj]]</f>
        <v>0</v>
      </c>
      <c r="AD1015">
        <f ca="1">Table13345[[#This Row],[Put Gex]]*Table13345[[#This Row],[DeltaP]]*-1</f>
        <v>0</v>
      </c>
      <c r="AE1015">
        <f ca="1">Table13345[[#This Row],[Call Gex]]*Table13345[[#This Row],[DeltaC]]</f>
        <v>0</v>
      </c>
      <c r="AF1015">
        <f>IF(Table13345[[#This Row],[DeltaC]]-ABS(Table13345[[#This Row],[DeltaP]])="0","0.01",Table13345[[#This Row],[DeltaC]]-ABS(Table13345[[#This Row],[DeltaP]]))</f>
        <v>0</v>
      </c>
      <c r="AG101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5" t="e">
        <f ca="1">(EXP(-(AG1015^2)/2)/SQRT(2*PI())*EXP(0*SQRT(Table13345[[#This Row],[T]]))/$A$4*18%*SQRT(SQRT(Table13345[[#This Row],[T]])))</f>
        <v>#DIV/0!</v>
      </c>
      <c r="AJ1015" t="e">
        <f ca="1">(EXP(-(AH1015^2)/2)/SQRT(2*PI())*EXP(0*SQRT(Table13345[[#This Row],[T]]))/$A$4*18%*SQRT(SQRT(Table13345[[#This Row],[T]])))</f>
        <v>#DIV/0!</v>
      </c>
      <c r="AK1015" t="e">
        <f ca="1">Table13345[[#This Row],[Call D1]]-Table13345[[#This Row],[IV Calc C]]*SQRT(Table13345[[#This Row],[T]])</f>
        <v>#DIV/0!</v>
      </c>
      <c r="AL1015" t="e">
        <f ca="1">Table13345[[#This Row],[Put D1]]-Table13345[[#This Row],[IV Calc P]]*SQRT(Table13345[[#This Row],[T]])</f>
        <v>#DIV/0!</v>
      </c>
      <c r="AM1015" t="e">
        <f ca="1">EXP(-0.5*Table13345[[#This Row],[Call D1]]^2)/SQRT(2*PI())</f>
        <v>#DIV/0!</v>
      </c>
      <c r="AN1015" t="e">
        <f ca="1">EXP(-0.5*Table13345[[#This Row],[Put D1]]^2)/SQRT(2*PI())</f>
        <v>#DIV/0!</v>
      </c>
      <c r="AO101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5">
        <f ca="1">((Table13345[[#This Row],[call vanna]]+Table13345[[#This Row],[put vanna]])*$A$4)</f>
        <v>0</v>
      </c>
      <c r="AR101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5" s="9" t="str" cm="1">
        <f t="array" ref="AT1015">_xlfn.IFS(     $M$1="SPX","SPXW",     $M$1="RUT","RUTW",  $M$1="NDX","NDXP",   TRUE,$M$1 )</f>
        <v>SPXW</v>
      </c>
      <c r="AU1015" s="2">
        <f t="shared" si="102"/>
        <v>6915</v>
      </c>
      <c r="AV1015" t="str">
        <f t="shared" si="103"/>
        <v>000100</v>
      </c>
      <c r="AY101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5">
        <f>((Table13345[[#This Row],[High C]]+Table13345[[#This Row],[Low C]])/2)*Table13345[[#This Row],[gammac]]*Table13345[[#This Row],[Volume]]</f>
        <v>0</v>
      </c>
      <c r="BD1015">
        <f>((Table13345[[#This Row],[High P]]+Table13345[[#This Row],[Low P]])/2)*Table13345[[#This Row],[gammap]]*Table13345[[#This Row],[Volume9]]*-1</f>
        <v>0</v>
      </c>
      <c r="BE1015">
        <f>(Table13345[[#This Row],[SgammaC]]+Table13345[[#This Row],[SgammaP]])*$A$4*-100</f>
        <v>0</v>
      </c>
      <c r="BF1015">
        <f>Table13345[[#This Row],[DEXc]]+Table13345[[#This Row],[DEXp]]</f>
        <v>0</v>
      </c>
      <c r="BG1015">
        <f>IFERROR(Table13345[[#This Row],[DeltaC]]*Table13345[[#This Row],[Open.Int]]*$A$4,0)</f>
        <v>0</v>
      </c>
      <c r="BH1015">
        <f>IFERROR(Table13345[[#This Row],[DeltaP]]*Table13345[[#This Row],[Open.Int8]]*$A$4,0)</f>
        <v>0</v>
      </c>
      <c r="BI101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5">
        <f ca="1">Table13345[[#This Row],[charmc]]+Table13345[[#This Row],[charmp]]</f>
        <v>0</v>
      </c>
      <c r="BL1015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5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5" s="78">
        <f ca="1">Table13345[[#This Row],[call helper]]+Table13345[[#This Row],[put helper]]</f>
        <v>0</v>
      </c>
      <c r="BP1015" t="str">
        <f>RTD("tos.rtd", , "STRIKE", "."&amp;Table13345[[#This Row],[Ticker]]&amp;Table13345[[#This Row],[Expiry]]&amp;""&amp;"C"&amp;Table13345[[#This Row],[Spot]]+Table13345[[#This Row],[step]])</f>
        <v>N/A</v>
      </c>
    </row>
    <row r="1016" spans="1:68" x14ac:dyDescent="0.25">
      <c r="A1016" s="14">
        <f t="shared" ca="1" si="99"/>
        <v>-126.14810350076104</v>
      </c>
      <c r="C1016" s="17"/>
      <c r="D1016" t="str">
        <f>RTD("tos.rtd", , "OPEN_INT", "."&amp;Table13345[[#This Row],[Ticker]]&amp;Table13345[[#This Row],[Expiry]]&amp;""&amp;"C"&amp;Table13345[[#This Row],[Spot]]+Table13345[[#This Row],[step]])</f>
        <v>N/A</v>
      </c>
      <c r="E101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6" t="b">
        <f>IF(     ISNUMBER(Table13345[[#This Row],[Strike]]),RTD("tos.rtd", , "DELTA", "."&amp;Table13345[[#This Row],[Ticker]]&amp;Table13345[[#This Row],[Expiry]]&amp;""&amp;"C"&amp;Table13345[[#This Row],[Strike]]))</f>
        <v>0</v>
      </c>
      <c r="H1016" s="17" cm="1">
        <f t="array" aca="1" ref="H1016" ca="1">IndividualLegIVCore($A$4, Table13345[[#This Row],[Strike]], 0.0411, Table13345[[#This Row],[T]], ((Table13345[[#This Row],[BIDC]]+Table13345[[#This Row],[ASKC]])/2), TRUE)</f>
        <v>0.01</v>
      </c>
      <c r="I1016" t="b">
        <f>IF(     ISNUMBER(Table13345[[#This Row],[Strike]]),RTD("tos.rtd", , "BID", "."&amp;Table13345[[#This Row],[Ticker]]&amp;Table13345[[#This Row],[Expiry]]&amp;""&amp;"C"&amp;Table13345[[#This Row],[Strike]]))</f>
        <v>0</v>
      </c>
      <c r="J1016" t="b">
        <f>IF(     ISNUMBER(Table13345[[#This Row],[Strike]]),RTD("tos.rtd", , "ASK", "."&amp;Table13345[[#This Row],[Ticker]]&amp;Table13345[[#This Row],[Expiry]]&amp;""&amp;"C"&amp;Table13345[[#This Row],[Strike]]))</f>
        <v>0</v>
      </c>
      <c r="K1016" s="17"/>
      <c r="M1016" s="1">
        <f t="shared" si="100"/>
        <v>0</v>
      </c>
      <c r="N1016" t="b">
        <f t="shared" si="101"/>
        <v>0</v>
      </c>
      <c r="P1016" s="17" cm="1">
        <f t="array" aca="1" ref="P1016" ca="1">IndividualLegIVCore($A$4, Table13345[[#This Row],[Strike]], 0.0411, Table13345[[#This Row],[T]], ((Table13345[[#This Row],[BIDP]]+Table13345[[#This Row],[ASKP]])/2), FALSE)</f>
        <v>0.01</v>
      </c>
      <c r="Q1016" t="b">
        <f>IF(     ISNUMBER(Table13345[[#This Row],[Strike]]),RTD("tos.rtd", , "BID", "."&amp;Table13345[[#This Row],[Ticker]]&amp;Table13345[[#This Row],[Expiry]]&amp;""&amp;"P"&amp;Table13345[[#This Row],[Strike]]))</f>
        <v>0</v>
      </c>
      <c r="R1016" t="b">
        <f>IF(     ISNUMBER(Table13345[[#This Row],[Strike]]),RTD("tos.rtd", , "ASK", "."&amp;Table13345[[#This Row],[Ticker]]&amp;Table13345[[#This Row],[Expiry]]&amp;""&amp;"P"&amp;Table13345[[#This Row],[Strike]]))</f>
        <v>0</v>
      </c>
      <c r="S1016" s="17"/>
      <c r="T1016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6" t="b">
        <f>IF(     ISNUMBER(Table13345[[#This Row],[Strike]]),RTD("tos.rtd", , "DELTA", "."&amp;Table13345[[#This Row],[Ticker]]&amp;Table13345[[#This Row],[Expiry]]&amp;""&amp;"P"&amp;Table13345[[#This Row],[Strike]]))</f>
        <v>0</v>
      </c>
      <c r="Y1016">
        <f>47* IF($M$1="NDX", 10, IF(OR($M$1="SPX", $M$1="RUT"), 2, 1))</f>
        <v>94</v>
      </c>
      <c r="Z1016">
        <f ca="1">IFERROR(Table13345[[#This Row],[call gamma]]*(Table13345[[#This Row],[Open.Int]])*$A$4^2,0)</f>
        <v>0</v>
      </c>
      <c r="AA1016">
        <f ca="1">IFERROR(((Table13345[[#This Row],[Open.Int8]])*Table13345[[#This Row],[Put gamma]])*-1*$A$4^2,0)</f>
        <v>0</v>
      </c>
      <c r="AB1016">
        <f ca="1">(Table13345[[#This Row],[Call Gex]]+Table13345[[#This Row],[Put Gex]])</f>
        <v>0</v>
      </c>
      <c r="AC1016">
        <f ca="1">Table13345[[#This Row],[put delta adj]]+Table13345[[#This Row],[call delta adj]]</f>
        <v>0</v>
      </c>
      <c r="AD1016">
        <f ca="1">Table13345[[#This Row],[Put Gex]]*Table13345[[#This Row],[DeltaP]]*-1</f>
        <v>0</v>
      </c>
      <c r="AE1016">
        <f ca="1">Table13345[[#This Row],[Call Gex]]*Table13345[[#This Row],[DeltaC]]</f>
        <v>0</v>
      </c>
      <c r="AF1016">
        <f>IF(Table13345[[#This Row],[DeltaC]]-ABS(Table13345[[#This Row],[DeltaP]])="0","0.01",Table13345[[#This Row],[DeltaC]]-ABS(Table13345[[#This Row],[DeltaP]]))</f>
        <v>0</v>
      </c>
      <c r="AG101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6" t="e">
        <f ca="1">(EXP(-(AG1016^2)/2)/SQRT(2*PI())*EXP(0*SQRT(Table13345[[#This Row],[T]]))/$A$4*18%*SQRT(SQRT(Table13345[[#This Row],[T]])))</f>
        <v>#DIV/0!</v>
      </c>
      <c r="AJ1016" t="e">
        <f ca="1">(EXP(-(AH1016^2)/2)/SQRT(2*PI())*EXP(0*SQRT(Table13345[[#This Row],[T]]))/$A$4*18%*SQRT(SQRT(Table13345[[#This Row],[T]])))</f>
        <v>#DIV/0!</v>
      </c>
      <c r="AK1016" t="e">
        <f ca="1">Table13345[[#This Row],[Call D1]]-Table13345[[#This Row],[IV Calc C]]*SQRT(Table13345[[#This Row],[T]])</f>
        <v>#DIV/0!</v>
      </c>
      <c r="AL1016" t="e">
        <f ca="1">Table13345[[#This Row],[Put D1]]-Table13345[[#This Row],[IV Calc P]]*SQRT(Table13345[[#This Row],[T]])</f>
        <v>#DIV/0!</v>
      </c>
      <c r="AM1016" t="e">
        <f ca="1">EXP(-0.5*Table13345[[#This Row],[Call D1]]^2)/SQRT(2*PI())</f>
        <v>#DIV/0!</v>
      </c>
      <c r="AN1016" t="e">
        <f ca="1">EXP(-0.5*Table13345[[#This Row],[Put D1]]^2)/SQRT(2*PI())</f>
        <v>#DIV/0!</v>
      </c>
      <c r="AO101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6">
        <f ca="1">((Table13345[[#This Row],[call vanna]]+Table13345[[#This Row],[put vanna]])*$A$4)</f>
        <v>0</v>
      </c>
      <c r="AR101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6" s="9" t="str" cm="1">
        <f t="array" ref="AT1016">_xlfn.IFS(     $M$1="SPX","SPXW",     $M$1="RUT","RUTW",  $M$1="NDX","NDXP",   TRUE,$M$1 )</f>
        <v>SPXW</v>
      </c>
      <c r="AU1016" s="2">
        <f t="shared" si="102"/>
        <v>6915</v>
      </c>
      <c r="AV1016" t="str">
        <f t="shared" si="103"/>
        <v>000100</v>
      </c>
      <c r="AY101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6">
        <f>((Table13345[[#This Row],[High C]]+Table13345[[#This Row],[Low C]])/2)*Table13345[[#This Row],[gammac]]*Table13345[[#This Row],[Volume]]</f>
        <v>0</v>
      </c>
      <c r="BD1016">
        <f>((Table13345[[#This Row],[High P]]+Table13345[[#This Row],[Low P]])/2)*Table13345[[#This Row],[gammap]]*Table13345[[#This Row],[Volume9]]*-1</f>
        <v>0</v>
      </c>
      <c r="BE1016">
        <f>(Table13345[[#This Row],[SgammaC]]+Table13345[[#This Row],[SgammaP]])*$A$4*-100</f>
        <v>0</v>
      </c>
      <c r="BF1016">
        <f>Table13345[[#This Row],[DEXc]]+Table13345[[#This Row],[DEXp]]</f>
        <v>0</v>
      </c>
      <c r="BG1016">
        <f>IFERROR(Table13345[[#This Row],[DeltaC]]*Table13345[[#This Row],[Open.Int]]*$A$4,0)</f>
        <v>0</v>
      </c>
      <c r="BH1016">
        <f>IFERROR(Table13345[[#This Row],[DeltaP]]*Table13345[[#This Row],[Open.Int8]]*$A$4,0)</f>
        <v>0</v>
      </c>
      <c r="BI101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6">
        <f ca="1">Table13345[[#This Row],[charmc]]+Table13345[[#This Row],[charmp]]</f>
        <v>0</v>
      </c>
      <c r="BL1016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6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6" s="78">
        <f ca="1">Table13345[[#This Row],[call helper]]+Table13345[[#This Row],[put helper]]</f>
        <v>0</v>
      </c>
      <c r="BP1016" t="str">
        <f>RTD("tos.rtd", , "STRIKE", "."&amp;Table13345[[#This Row],[Ticker]]&amp;Table13345[[#This Row],[Expiry]]&amp;""&amp;"C"&amp;Table13345[[#This Row],[Spot]]+Table13345[[#This Row],[step]])</f>
        <v>N/A</v>
      </c>
    </row>
    <row r="1017" spans="1:68" x14ac:dyDescent="0.25">
      <c r="A1017" s="14">
        <f t="shared" ca="1" si="99"/>
        <v>-126.14810350076104</v>
      </c>
      <c r="C1017" s="17"/>
      <c r="D1017" t="str">
        <f>RTD("tos.rtd", , "OPEN_INT", "."&amp;Table13345[[#This Row],[Ticker]]&amp;Table13345[[#This Row],[Expiry]]&amp;""&amp;"C"&amp;Table13345[[#This Row],[Spot]]+Table13345[[#This Row],[step]])</f>
        <v>N/A</v>
      </c>
      <c r="E101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7" t="b">
        <f>IF(     ISNUMBER(Table13345[[#This Row],[Strike]]),RTD("tos.rtd", , "DELTA", "."&amp;Table13345[[#This Row],[Ticker]]&amp;Table13345[[#This Row],[Expiry]]&amp;""&amp;"C"&amp;Table13345[[#This Row],[Strike]]))</f>
        <v>0</v>
      </c>
      <c r="H1017" s="17" cm="1">
        <f t="array" aca="1" ref="H1017" ca="1">IndividualLegIVCore($A$4, Table13345[[#This Row],[Strike]], 0.0411, Table13345[[#This Row],[T]], ((Table13345[[#This Row],[BIDC]]+Table13345[[#This Row],[ASKC]])/2), TRUE)</f>
        <v>0.01</v>
      </c>
      <c r="I1017" t="b">
        <f>IF(     ISNUMBER(Table13345[[#This Row],[Strike]]),RTD("tos.rtd", , "BID", "."&amp;Table13345[[#This Row],[Ticker]]&amp;Table13345[[#This Row],[Expiry]]&amp;""&amp;"C"&amp;Table13345[[#This Row],[Strike]]))</f>
        <v>0</v>
      </c>
      <c r="J1017" t="b">
        <f>IF(     ISNUMBER(Table13345[[#This Row],[Strike]]),RTD("tos.rtd", , "ASK", "."&amp;Table13345[[#This Row],[Ticker]]&amp;Table13345[[#This Row],[Expiry]]&amp;""&amp;"C"&amp;Table13345[[#This Row],[Strike]]))</f>
        <v>0</v>
      </c>
      <c r="K1017" s="17"/>
      <c r="M1017" s="1">
        <f t="shared" si="100"/>
        <v>0</v>
      </c>
      <c r="N1017" t="b">
        <f t="shared" si="101"/>
        <v>0</v>
      </c>
      <c r="P1017" s="17" cm="1">
        <f t="array" aca="1" ref="P1017" ca="1">IndividualLegIVCore($A$4, Table13345[[#This Row],[Strike]], 0.0411, Table13345[[#This Row],[T]], ((Table13345[[#This Row],[BIDP]]+Table13345[[#This Row],[ASKP]])/2), FALSE)</f>
        <v>0.01</v>
      </c>
      <c r="Q1017" t="b">
        <f>IF(     ISNUMBER(Table13345[[#This Row],[Strike]]),RTD("tos.rtd", , "BID", "."&amp;Table13345[[#This Row],[Ticker]]&amp;Table13345[[#This Row],[Expiry]]&amp;""&amp;"P"&amp;Table13345[[#This Row],[Strike]]))</f>
        <v>0</v>
      </c>
      <c r="R1017" t="b">
        <f>IF(     ISNUMBER(Table13345[[#This Row],[Strike]]),RTD("tos.rtd", , "ASK", "."&amp;Table13345[[#This Row],[Ticker]]&amp;Table13345[[#This Row],[Expiry]]&amp;""&amp;"P"&amp;Table13345[[#This Row],[Strike]]))</f>
        <v>0</v>
      </c>
      <c r="S1017" s="17"/>
      <c r="T1017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7" t="b">
        <f>IF(     ISNUMBER(Table13345[[#This Row],[Strike]]),RTD("tos.rtd", , "DELTA", "."&amp;Table13345[[#This Row],[Ticker]]&amp;Table13345[[#This Row],[Expiry]]&amp;""&amp;"P"&amp;Table13345[[#This Row],[Strike]]))</f>
        <v>0</v>
      </c>
      <c r="Y1017">
        <f>47.5* IF($M$1="NDX", 10, IF(OR($M$1="SPX", $M$1="RUT"), 2, 1))</f>
        <v>95</v>
      </c>
      <c r="Z1017">
        <f ca="1">IFERROR(Table13345[[#This Row],[call gamma]]*(Table13345[[#This Row],[Open.Int]])*$A$4^2,0)</f>
        <v>0</v>
      </c>
      <c r="AA1017">
        <f ca="1">IFERROR(((Table13345[[#This Row],[Open.Int8]])*Table13345[[#This Row],[Put gamma]])*-1*$A$4^2,0)</f>
        <v>0</v>
      </c>
      <c r="AB1017">
        <f ca="1">(Table13345[[#This Row],[Call Gex]]+Table13345[[#This Row],[Put Gex]])</f>
        <v>0</v>
      </c>
      <c r="AC1017">
        <f ca="1">Table13345[[#This Row],[put delta adj]]+Table13345[[#This Row],[call delta adj]]</f>
        <v>0</v>
      </c>
      <c r="AD1017">
        <f ca="1">Table13345[[#This Row],[Put Gex]]*Table13345[[#This Row],[DeltaP]]*-1</f>
        <v>0</v>
      </c>
      <c r="AE1017">
        <f ca="1">Table13345[[#This Row],[Call Gex]]*Table13345[[#This Row],[DeltaC]]</f>
        <v>0</v>
      </c>
      <c r="AF1017">
        <f>IF(Table13345[[#This Row],[DeltaC]]-ABS(Table13345[[#This Row],[DeltaP]])="0","0.01",Table13345[[#This Row],[DeltaC]]-ABS(Table13345[[#This Row],[DeltaP]]))</f>
        <v>0</v>
      </c>
      <c r="AG101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7" t="e">
        <f ca="1">(EXP(-(AG1017^2)/2)/SQRT(2*PI())*EXP(0*SQRT(Table13345[[#This Row],[T]]))/$A$4*18%*SQRT(SQRT(Table13345[[#This Row],[T]])))</f>
        <v>#DIV/0!</v>
      </c>
      <c r="AJ1017" t="e">
        <f ca="1">(EXP(-(AH1017^2)/2)/SQRT(2*PI())*EXP(0*SQRT(Table13345[[#This Row],[T]]))/$A$4*18%*SQRT(SQRT(Table13345[[#This Row],[T]])))</f>
        <v>#DIV/0!</v>
      </c>
      <c r="AK1017" t="e">
        <f ca="1">Table13345[[#This Row],[Call D1]]-Table13345[[#This Row],[IV Calc C]]*SQRT(Table13345[[#This Row],[T]])</f>
        <v>#DIV/0!</v>
      </c>
      <c r="AL1017" t="e">
        <f ca="1">Table13345[[#This Row],[Put D1]]-Table13345[[#This Row],[IV Calc P]]*SQRT(Table13345[[#This Row],[T]])</f>
        <v>#DIV/0!</v>
      </c>
      <c r="AM1017" t="e">
        <f ca="1">EXP(-0.5*Table13345[[#This Row],[Call D1]]^2)/SQRT(2*PI())</f>
        <v>#DIV/0!</v>
      </c>
      <c r="AN1017" t="e">
        <f ca="1">EXP(-0.5*Table13345[[#This Row],[Put D1]]^2)/SQRT(2*PI())</f>
        <v>#DIV/0!</v>
      </c>
      <c r="AO101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7">
        <f ca="1">((Table13345[[#This Row],[call vanna]]+Table13345[[#This Row],[put vanna]])*$A$4)</f>
        <v>0</v>
      </c>
      <c r="AR101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7" s="9" t="str" cm="1">
        <f t="array" ref="AT1017">_xlfn.IFS(     $M$1="SPX","SPXW",     $M$1="RUT","RUTW",  $M$1="NDX","NDXP",   TRUE,$M$1 )</f>
        <v>SPXW</v>
      </c>
      <c r="AU1017" s="2">
        <f t="shared" si="102"/>
        <v>6915</v>
      </c>
      <c r="AV1017" t="str">
        <f t="shared" si="103"/>
        <v>000100</v>
      </c>
      <c r="AY101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7">
        <f>((Table13345[[#This Row],[High C]]+Table13345[[#This Row],[Low C]])/2)*Table13345[[#This Row],[gammac]]*Table13345[[#This Row],[Volume]]</f>
        <v>0</v>
      </c>
      <c r="BD1017">
        <f>((Table13345[[#This Row],[High P]]+Table13345[[#This Row],[Low P]])/2)*Table13345[[#This Row],[gammap]]*Table13345[[#This Row],[Volume9]]*-1</f>
        <v>0</v>
      </c>
      <c r="BE1017">
        <f>(Table13345[[#This Row],[SgammaC]]+Table13345[[#This Row],[SgammaP]])*$A$4*-100</f>
        <v>0</v>
      </c>
      <c r="BF1017">
        <f>Table13345[[#This Row],[DEXc]]+Table13345[[#This Row],[DEXp]]</f>
        <v>0</v>
      </c>
      <c r="BG1017">
        <f>IFERROR(Table13345[[#This Row],[DeltaC]]*Table13345[[#This Row],[Open.Int]]*$A$4,0)</f>
        <v>0</v>
      </c>
      <c r="BH1017">
        <f>IFERROR(Table13345[[#This Row],[DeltaP]]*Table13345[[#This Row],[Open.Int8]]*$A$4,0)</f>
        <v>0</v>
      </c>
      <c r="BI101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7">
        <f ca="1">Table13345[[#This Row],[charmc]]+Table13345[[#This Row],[charmp]]</f>
        <v>0</v>
      </c>
      <c r="BL1017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7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7" s="78">
        <f ca="1">Table13345[[#This Row],[call helper]]+Table13345[[#This Row],[put helper]]</f>
        <v>0</v>
      </c>
      <c r="BP1017" t="str">
        <f>RTD("tos.rtd", , "STRIKE", "."&amp;Table13345[[#This Row],[Ticker]]&amp;Table13345[[#This Row],[Expiry]]&amp;""&amp;"C"&amp;Table13345[[#This Row],[Spot]]+Table13345[[#This Row],[step]])</f>
        <v>N/A</v>
      </c>
    </row>
    <row r="1018" spans="1:68" x14ac:dyDescent="0.25">
      <c r="A1018" s="14">
        <f t="shared" ca="1" si="99"/>
        <v>-126.14810350076104</v>
      </c>
      <c r="C1018" s="17"/>
      <c r="D1018" t="str">
        <f>RTD("tos.rtd", , "OPEN_INT", "."&amp;Table13345[[#This Row],[Ticker]]&amp;Table13345[[#This Row],[Expiry]]&amp;""&amp;"C"&amp;Table13345[[#This Row],[Spot]]+Table13345[[#This Row],[step]])</f>
        <v>N/A</v>
      </c>
      <c r="E101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8" t="b">
        <f>IF(     ISNUMBER(Table13345[[#This Row],[Strike]]),RTD("tos.rtd", , "DELTA", "."&amp;Table13345[[#This Row],[Ticker]]&amp;Table13345[[#This Row],[Expiry]]&amp;""&amp;"C"&amp;Table13345[[#This Row],[Strike]]))</f>
        <v>0</v>
      </c>
      <c r="H1018" s="17" cm="1">
        <f t="array" aca="1" ref="H1018" ca="1">IndividualLegIVCore($A$4, Table13345[[#This Row],[Strike]], 0.0411, Table13345[[#This Row],[T]], ((Table13345[[#This Row],[BIDC]]+Table13345[[#This Row],[ASKC]])/2), TRUE)</f>
        <v>0.01</v>
      </c>
      <c r="I1018" t="b">
        <f>IF(     ISNUMBER(Table13345[[#This Row],[Strike]]),RTD("tos.rtd", , "BID", "."&amp;Table13345[[#This Row],[Ticker]]&amp;Table13345[[#This Row],[Expiry]]&amp;""&amp;"C"&amp;Table13345[[#This Row],[Strike]]))</f>
        <v>0</v>
      </c>
      <c r="J1018" t="b">
        <f>IF(     ISNUMBER(Table13345[[#This Row],[Strike]]),RTD("tos.rtd", , "ASK", "."&amp;Table13345[[#This Row],[Ticker]]&amp;Table13345[[#This Row],[Expiry]]&amp;""&amp;"C"&amp;Table13345[[#This Row],[Strike]]))</f>
        <v>0</v>
      </c>
      <c r="K1018" s="17"/>
      <c r="M1018" s="1">
        <f t="shared" si="100"/>
        <v>0</v>
      </c>
      <c r="N1018" t="b">
        <f t="shared" si="101"/>
        <v>0</v>
      </c>
      <c r="P1018" s="17" cm="1">
        <f t="array" aca="1" ref="P1018" ca="1">IndividualLegIVCore($A$4, Table13345[[#This Row],[Strike]], 0.0411, Table13345[[#This Row],[T]], ((Table13345[[#This Row],[BIDP]]+Table13345[[#This Row],[ASKP]])/2), FALSE)</f>
        <v>0.01</v>
      </c>
      <c r="Q1018" t="b">
        <f>IF(     ISNUMBER(Table13345[[#This Row],[Strike]]),RTD("tos.rtd", , "BID", "."&amp;Table13345[[#This Row],[Ticker]]&amp;Table13345[[#This Row],[Expiry]]&amp;""&amp;"P"&amp;Table13345[[#This Row],[Strike]]))</f>
        <v>0</v>
      </c>
      <c r="R1018" t="b">
        <f>IF(     ISNUMBER(Table13345[[#This Row],[Strike]]),RTD("tos.rtd", , "ASK", "."&amp;Table13345[[#This Row],[Ticker]]&amp;Table13345[[#This Row],[Expiry]]&amp;""&amp;"P"&amp;Table13345[[#This Row],[Strike]]))</f>
        <v>0</v>
      </c>
      <c r="S1018" s="17"/>
      <c r="T1018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8" t="b">
        <f>IF(     ISNUMBER(Table13345[[#This Row],[Strike]]),RTD("tos.rtd", , "DELTA", "."&amp;Table13345[[#This Row],[Ticker]]&amp;Table13345[[#This Row],[Expiry]]&amp;""&amp;"P"&amp;Table13345[[#This Row],[Strike]]))</f>
        <v>0</v>
      </c>
      <c r="Y1018">
        <f>48* IF($M$1="NDX", 10, IF(OR($M$1="SPX", $M$1="RUT"), 2, 1))</f>
        <v>96</v>
      </c>
      <c r="Z1018">
        <f ca="1">IFERROR(Table13345[[#This Row],[call gamma]]*(Table13345[[#This Row],[Open.Int]])*$A$4^2,0)</f>
        <v>0</v>
      </c>
      <c r="AA1018">
        <f ca="1">IFERROR(((Table13345[[#This Row],[Open.Int8]])*Table13345[[#This Row],[Put gamma]])*-1*$A$4^2,0)</f>
        <v>0</v>
      </c>
      <c r="AB1018">
        <f ca="1">(Table13345[[#This Row],[Call Gex]]+Table13345[[#This Row],[Put Gex]])</f>
        <v>0</v>
      </c>
      <c r="AC1018">
        <f ca="1">Table13345[[#This Row],[put delta adj]]+Table13345[[#This Row],[call delta adj]]</f>
        <v>0</v>
      </c>
      <c r="AD1018">
        <f ca="1">Table13345[[#This Row],[Put Gex]]*Table13345[[#This Row],[DeltaP]]*-1</f>
        <v>0</v>
      </c>
      <c r="AE1018">
        <f ca="1">Table13345[[#This Row],[Call Gex]]*Table13345[[#This Row],[DeltaC]]</f>
        <v>0</v>
      </c>
      <c r="AF1018">
        <f>IF(Table13345[[#This Row],[DeltaC]]-ABS(Table13345[[#This Row],[DeltaP]])="0","0.01",Table13345[[#This Row],[DeltaC]]-ABS(Table13345[[#This Row],[DeltaP]]))</f>
        <v>0</v>
      </c>
      <c r="AG101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8" t="e">
        <f ca="1">(EXP(-(AG1018^2)/2)/SQRT(2*PI())*EXP(0*SQRT(Table13345[[#This Row],[T]]))/$A$4*18%*SQRT(SQRT(Table13345[[#This Row],[T]])))</f>
        <v>#DIV/0!</v>
      </c>
      <c r="AJ1018" t="e">
        <f ca="1">(EXP(-(AH1018^2)/2)/SQRT(2*PI())*EXP(0*SQRT(Table13345[[#This Row],[T]]))/$A$4*18%*SQRT(SQRT(Table13345[[#This Row],[T]])))</f>
        <v>#DIV/0!</v>
      </c>
      <c r="AK1018" t="e">
        <f ca="1">Table13345[[#This Row],[Call D1]]-Table13345[[#This Row],[IV Calc C]]*SQRT(Table13345[[#This Row],[T]])</f>
        <v>#DIV/0!</v>
      </c>
      <c r="AL1018" t="e">
        <f ca="1">Table13345[[#This Row],[Put D1]]-Table13345[[#This Row],[IV Calc P]]*SQRT(Table13345[[#This Row],[T]])</f>
        <v>#DIV/0!</v>
      </c>
      <c r="AM1018" t="e">
        <f ca="1">EXP(-0.5*Table13345[[#This Row],[Call D1]]^2)/SQRT(2*PI())</f>
        <v>#DIV/0!</v>
      </c>
      <c r="AN1018" t="e">
        <f ca="1">EXP(-0.5*Table13345[[#This Row],[Put D1]]^2)/SQRT(2*PI())</f>
        <v>#DIV/0!</v>
      </c>
      <c r="AO101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8">
        <f ca="1">((Table13345[[#This Row],[call vanna]]+Table13345[[#This Row],[put vanna]])*$A$4)</f>
        <v>0</v>
      </c>
      <c r="AR101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8" s="9" t="str" cm="1">
        <f t="array" ref="AT1018">_xlfn.IFS(     $M$1="SPX","SPXW",     $M$1="RUT","RUTW",  $M$1="NDX","NDXP",   TRUE,$M$1 )</f>
        <v>SPXW</v>
      </c>
      <c r="AU1018" s="2">
        <f t="shared" si="102"/>
        <v>6915</v>
      </c>
      <c r="AV1018" t="str">
        <f t="shared" si="103"/>
        <v>000100</v>
      </c>
      <c r="AY101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8">
        <f>((Table13345[[#This Row],[High C]]+Table13345[[#This Row],[Low C]])/2)*Table13345[[#This Row],[gammac]]*Table13345[[#This Row],[Volume]]</f>
        <v>0</v>
      </c>
      <c r="BD1018">
        <f>((Table13345[[#This Row],[High P]]+Table13345[[#This Row],[Low P]])/2)*Table13345[[#This Row],[gammap]]*Table13345[[#This Row],[Volume9]]*-1</f>
        <v>0</v>
      </c>
      <c r="BE1018">
        <f>(Table13345[[#This Row],[SgammaC]]+Table13345[[#This Row],[SgammaP]])*$A$4*-100</f>
        <v>0</v>
      </c>
      <c r="BF1018">
        <f>Table13345[[#This Row],[DEXc]]+Table13345[[#This Row],[DEXp]]</f>
        <v>0</v>
      </c>
      <c r="BG1018">
        <f>IFERROR(Table13345[[#This Row],[DeltaC]]*Table13345[[#This Row],[Open.Int]]*$A$4,0)</f>
        <v>0</v>
      </c>
      <c r="BH1018">
        <f>IFERROR(Table13345[[#This Row],[DeltaP]]*Table13345[[#This Row],[Open.Int8]]*$A$4,0)</f>
        <v>0</v>
      </c>
      <c r="BI101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8">
        <f ca="1">Table13345[[#This Row],[charmc]]+Table13345[[#This Row],[charmp]]</f>
        <v>0</v>
      </c>
      <c r="BL1018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8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8" s="78">
        <f ca="1">Table13345[[#This Row],[call helper]]+Table13345[[#This Row],[put helper]]</f>
        <v>0</v>
      </c>
      <c r="BP1018" t="str">
        <f>RTD("tos.rtd", , "STRIKE", "."&amp;Table13345[[#This Row],[Ticker]]&amp;Table13345[[#This Row],[Expiry]]&amp;""&amp;"C"&amp;Table13345[[#This Row],[Spot]]+Table13345[[#This Row],[step]])</f>
        <v>N/A</v>
      </c>
    </row>
    <row r="1019" spans="1:68" x14ac:dyDescent="0.25">
      <c r="A1019" s="14">
        <f t="shared" ca="1" si="99"/>
        <v>-126.14810350076104</v>
      </c>
      <c r="C1019" s="17"/>
      <c r="D1019" t="str">
        <f>RTD("tos.rtd", , "OPEN_INT", "."&amp;Table13345[[#This Row],[Ticker]]&amp;Table13345[[#This Row],[Expiry]]&amp;""&amp;"C"&amp;Table13345[[#This Row],[Spot]]+Table13345[[#This Row],[step]])</f>
        <v>N/A</v>
      </c>
      <c r="E101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9" t="b">
        <f>IF(     ISNUMBER(Table13345[[#This Row],[Strike]]),RTD("tos.rtd", , "DELTA", "."&amp;Table13345[[#This Row],[Ticker]]&amp;Table13345[[#This Row],[Expiry]]&amp;""&amp;"C"&amp;Table13345[[#This Row],[Strike]]))</f>
        <v>0</v>
      </c>
      <c r="H1019" s="17" cm="1">
        <f t="array" aca="1" ref="H1019" ca="1">IndividualLegIVCore($A$4, Table13345[[#This Row],[Strike]], 0.0411, Table13345[[#This Row],[T]], ((Table13345[[#This Row],[BIDC]]+Table13345[[#This Row],[ASKC]])/2), TRUE)</f>
        <v>0.01</v>
      </c>
      <c r="I1019" t="b">
        <f>IF(     ISNUMBER(Table13345[[#This Row],[Strike]]),RTD("tos.rtd", , "BID", "."&amp;Table13345[[#This Row],[Ticker]]&amp;Table13345[[#This Row],[Expiry]]&amp;""&amp;"C"&amp;Table13345[[#This Row],[Strike]]))</f>
        <v>0</v>
      </c>
      <c r="J1019" t="b">
        <f>IF(     ISNUMBER(Table13345[[#This Row],[Strike]]),RTD("tos.rtd", , "ASK", "."&amp;Table13345[[#This Row],[Ticker]]&amp;Table13345[[#This Row],[Expiry]]&amp;""&amp;"C"&amp;Table13345[[#This Row],[Strike]]))</f>
        <v>0</v>
      </c>
      <c r="K1019" s="17"/>
      <c r="M1019" s="1">
        <f t="shared" si="100"/>
        <v>0</v>
      </c>
      <c r="N1019" t="b">
        <f t="shared" si="101"/>
        <v>0</v>
      </c>
      <c r="P1019" s="17" cm="1">
        <f t="array" aca="1" ref="P1019" ca="1">IndividualLegIVCore($A$4, Table13345[[#This Row],[Strike]], 0.0411, Table13345[[#This Row],[T]], ((Table13345[[#This Row],[BIDP]]+Table13345[[#This Row],[ASKP]])/2), FALSE)</f>
        <v>0.01</v>
      </c>
      <c r="Q1019" t="b">
        <f>IF(     ISNUMBER(Table13345[[#This Row],[Strike]]),RTD("tos.rtd", , "BID", "."&amp;Table13345[[#This Row],[Ticker]]&amp;Table13345[[#This Row],[Expiry]]&amp;""&amp;"P"&amp;Table13345[[#This Row],[Strike]]))</f>
        <v>0</v>
      </c>
      <c r="R1019" t="b">
        <f>IF(     ISNUMBER(Table13345[[#This Row],[Strike]]),RTD("tos.rtd", , "ASK", "."&amp;Table13345[[#This Row],[Ticker]]&amp;Table13345[[#This Row],[Expiry]]&amp;""&amp;"P"&amp;Table13345[[#This Row],[Strike]]))</f>
        <v>0</v>
      </c>
      <c r="S1019" s="17"/>
      <c r="T1019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9" t="b">
        <f>IF(     ISNUMBER(Table13345[[#This Row],[Strike]]),RTD("tos.rtd", , "DELTA", "."&amp;Table13345[[#This Row],[Ticker]]&amp;Table13345[[#This Row],[Expiry]]&amp;""&amp;"P"&amp;Table13345[[#This Row],[Strike]]))</f>
        <v>0</v>
      </c>
      <c r="Y1019">
        <f>48.5* IF($M$1="NDX", 10, IF(OR($M$1="SPX", $M$1="RUT"), 2, 1))</f>
        <v>97</v>
      </c>
      <c r="Z1019">
        <f ca="1">IFERROR(Table13345[[#This Row],[call gamma]]*(Table13345[[#This Row],[Open.Int]])*$A$4^2,0)</f>
        <v>0</v>
      </c>
      <c r="AA1019">
        <f ca="1">IFERROR(((Table13345[[#This Row],[Open.Int8]])*Table13345[[#This Row],[Put gamma]])*-1*$A$4^2,0)</f>
        <v>0</v>
      </c>
      <c r="AB1019">
        <f ca="1">(Table13345[[#This Row],[Call Gex]]+Table13345[[#This Row],[Put Gex]])</f>
        <v>0</v>
      </c>
      <c r="AC1019">
        <f ca="1">Table13345[[#This Row],[put delta adj]]+Table13345[[#This Row],[call delta adj]]</f>
        <v>0</v>
      </c>
      <c r="AD1019">
        <f ca="1">Table13345[[#This Row],[Put Gex]]*Table13345[[#This Row],[DeltaP]]*-1</f>
        <v>0</v>
      </c>
      <c r="AE1019">
        <f ca="1">Table13345[[#This Row],[Call Gex]]*Table13345[[#This Row],[DeltaC]]</f>
        <v>0</v>
      </c>
      <c r="AF1019">
        <f>IF(Table13345[[#This Row],[DeltaC]]-ABS(Table13345[[#This Row],[DeltaP]])="0","0.01",Table13345[[#This Row],[DeltaC]]-ABS(Table13345[[#This Row],[DeltaP]]))</f>
        <v>0</v>
      </c>
      <c r="AG101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9" t="e">
        <f ca="1">(EXP(-(AG1019^2)/2)/SQRT(2*PI())*EXP(0*SQRT(Table13345[[#This Row],[T]]))/$A$4*18%*SQRT(SQRT(Table13345[[#This Row],[T]])))</f>
        <v>#DIV/0!</v>
      </c>
      <c r="AJ1019" t="e">
        <f ca="1">(EXP(-(AH1019^2)/2)/SQRT(2*PI())*EXP(0*SQRT(Table13345[[#This Row],[T]]))/$A$4*18%*SQRT(SQRT(Table13345[[#This Row],[T]])))</f>
        <v>#DIV/0!</v>
      </c>
      <c r="AK1019" t="e">
        <f ca="1">Table13345[[#This Row],[Call D1]]-Table13345[[#This Row],[IV Calc C]]*SQRT(Table13345[[#This Row],[T]])</f>
        <v>#DIV/0!</v>
      </c>
      <c r="AL1019" t="e">
        <f ca="1">Table13345[[#This Row],[Put D1]]-Table13345[[#This Row],[IV Calc P]]*SQRT(Table13345[[#This Row],[T]])</f>
        <v>#DIV/0!</v>
      </c>
      <c r="AM1019" t="e">
        <f ca="1">EXP(-0.5*Table13345[[#This Row],[Call D1]]^2)/SQRT(2*PI())</f>
        <v>#DIV/0!</v>
      </c>
      <c r="AN1019" t="e">
        <f ca="1">EXP(-0.5*Table13345[[#This Row],[Put D1]]^2)/SQRT(2*PI())</f>
        <v>#DIV/0!</v>
      </c>
      <c r="AO101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9">
        <f ca="1">((Table13345[[#This Row],[call vanna]]+Table13345[[#This Row],[put vanna]])*$A$4)</f>
        <v>0</v>
      </c>
      <c r="AR101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9" s="9" t="str" cm="1">
        <f t="array" ref="AT1019">_xlfn.IFS(     $M$1="SPX","SPXW",     $M$1="RUT","RUTW",  $M$1="NDX","NDXP",   TRUE,$M$1 )</f>
        <v>SPXW</v>
      </c>
      <c r="AU1019" s="2">
        <f t="shared" si="102"/>
        <v>6915</v>
      </c>
      <c r="AV1019" t="str">
        <f t="shared" si="103"/>
        <v>000100</v>
      </c>
      <c r="AY101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9">
        <f>((Table13345[[#This Row],[High C]]+Table13345[[#This Row],[Low C]])/2)*Table13345[[#This Row],[gammac]]*Table13345[[#This Row],[Volume]]</f>
        <v>0</v>
      </c>
      <c r="BD1019">
        <f>((Table13345[[#This Row],[High P]]+Table13345[[#This Row],[Low P]])/2)*Table13345[[#This Row],[gammap]]*Table13345[[#This Row],[Volume9]]*-1</f>
        <v>0</v>
      </c>
      <c r="BE1019">
        <f>(Table13345[[#This Row],[SgammaC]]+Table13345[[#This Row],[SgammaP]])*$A$4*-100</f>
        <v>0</v>
      </c>
      <c r="BF1019">
        <f>Table13345[[#This Row],[DEXc]]+Table13345[[#This Row],[DEXp]]</f>
        <v>0</v>
      </c>
      <c r="BG1019">
        <f>IFERROR(Table13345[[#This Row],[DeltaC]]*Table13345[[#This Row],[Open.Int]]*$A$4,0)</f>
        <v>0</v>
      </c>
      <c r="BH1019">
        <f>IFERROR(Table13345[[#This Row],[DeltaP]]*Table13345[[#This Row],[Open.Int8]]*$A$4,0)</f>
        <v>0</v>
      </c>
      <c r="BI101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9">
        <f ca="1">Table13345[[#This Row],[charmc]]+Table13345[[#This Row],[charmp]]</f>
        <v>0</v>
      </c>
      <c r="BL1019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9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9" s="78">
        <f ca="1">Table13345[[#This Row],[call helper]]+Table13345[[#This Row],[put helper]]</f>
        <v>0</v>
      </c>
      <c r="BP1019" t="str">
        <f>RTD("tos.rtd", , "STRIKE", "."&amp;Table13345[[#This Row],[Ticker]]&amp;Table13345[[#This Row],[Expiry]]&amp;""&amp;"C"&amp;Table13345[[#This Row],[Spot]]+Table13345[[#This Row],[step]])</f>
        <v>N/A</v>
      </c>
    </row>
    <row r="1020" spans="1:68" x14ac:dyDescent="0.25">
      <c r="A1020" s="14">
        <f t="shared" ca="1" si="99"/>
        <v>-126.14810350076104</v>
      </c>
      <c r="C1020" s="17"/>
      <c r="D1020" t="str">
        <f>RTD("tos.rtd", , "OPEN_INT", "."&amp;Table13345[[#This Row],[Ticker]]&amp;Table13345[[#This Row],[Expiry]]&amp;""&amp;"C"&amp;Table13345[[#This Row],[Spot]]+Table13345[[#This Row],[step]])</f>
        <v>N/A</v>
      </c>
      <c r="E102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0" t="b">
        <f>IF(     ISNUMBER(Table13345[[#This Row],[Strike]]),RTD("tos.rtd", , "DELTA", "."&amp;Table13345[[#This Row],[Ticker]]&amp;Table13345[[#This Row],[Expiry]]&amp;""&amp;"C"&amp;Table13345[[#This Row],[Strike]]))</f>
        <v>0</v>
      </c>
      <c r="H1020" s="17" cm="1">
        <f t="array" aca="1" ref="H1020" ca="1">IndividualLegIVCore($A$4, Table13345[[#This Row],[Strike]], 0.0411, Table13345[[#This Row],[T]], ((Table13345[[#This Row],[BIDC]]+Table13345[[#This Row],[ASKC]])/2), TRUE)</f>
        <v>0.01</v>
      </c>
      <c r="I1020" t="b">
        <f>IF(     ISNUMBER(Table13345[[#This Row],[Strike]]),RTD("tos.rtd", , "BID", "."&amp;Table13345[[#This Row],[Ticker]]&amp;Table13345[[#This Row],[Expiry]]&amp;""&amp;"C"&amp;Table13345[[#This Row],[Strike]]))</f>
        <v>0</v>
      </c>
      <c r="J1020" t="b">
        <f>IF(     ISNUMBER(Table13345[[#This Row],[Strike]]),RTD("tos.rtd", , "ASK", "."&amp;Table13345[[#This Row],[Ticker]]&amp;Table13345[[#This Row],[Expiry]]&amp;""&amp;"C"&amp;Table13345[[#This Row],[Strike]]))</f>
        <v>0</v>
      </c>
      <c r="K1020" s="17"/>
      <c r="M1020" s="1">
        <f t="shared" si="100"/>
        <v>0</v>
      </c>
      <c r="N1020" t="b">
        <f t="shared" si="101"/>
        <v>0</v>
      </c>
      <c r="P1020" s="17" cm="1">
        <f t="array" aca="1" ref="P1020" ca="1">IndividualLegIVCore($A$4, Table13345[[#This Row],[Strike]], 0.0411, Table13345[[#This Row],[T]], ((Table13345[[#This Row],[BIDP]]+Table13345[[#This Row],[ASKP]])/2), FALSE)</f>
        <v>0.01</v>
      </c>
      <c r="Q1020" t="b">
        <f>IF(     ISNUMBER(Table13345[[#This Row],[Strike]]),RTD("tos.rtd", , "BID", "."&amp;Table13345[[#This Row],[Ticker]]&amp;Table13345[[#This Row],[Expiry]]&amp;""&amp;"P"&amp;Table13345[[#This Row],[Strike]]))</f>
        <v>0</v>
      </c>
      <c r="R1020" t="b">
        <f>IF(     ISNUMBER(Table13345[[#This Row],[Strike]]),RTD("tos.rtd", , "ASK", "."&amp;Table13345[[#This Row],[Ticker]]&amp;Table13345[[#This Row],[Expiry]]&amp;""&amp;"P"&amp;Table13345[[#This Row],[Strike]]))</f>
        <v>0</v>
      </c>
      <c r="S1020" s="17"/>
      <c r="T102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0" t="b">
        <f>IF(     ISNUMBER(Table13345[[#This Row],[Strike]]),RTD("tos.rtd", , "DELTA", "."&amp;Table13345[[#This Row],[Ticker]]&amp;Table13345[[#This Row],[Expiry]]&amp;""&amp;"P"&amp;Table13345[[#This Row],[Strike]]))</f>
        <v>0</v>
      </c>
      <c r="Y1020">
        <f>49* IF($M$1="NDX", 10, IF(OR($M$1="SPX", $M$1="RUT"), 2, 1))</f>
        <v>98</v>
      </c>
      <c r="Z1020">
        <f ca="1">IFERROR(Table13345[[#This Row],[call gamma]]*(Table13345[[#This Row],[Open.Int]])*$A$4^2,0)</f>
        <v>0</v>
      </c>
      <c r="AA1020">
        <f ca="1">IFERROR(((Table13345[[#This Row],[Open.Int8]])*Table13345[[#This Row],[Put gamma]])*-1*$A$4^2,0)</f>
        <v>0</v>
      </c>
      <c r="AB1020">
        <f ca="1">(Table13345[[#This Row],[Call Gex]]+Table13345[[#This Row],[Put Gex]])</f>
        <v>0</v>
      </c>
      <c r="AC1020">
        <f ca="1">Table13345[[#This Row],[put delta adj]]+Table13345[[#This Row],[call delta adj]]</f>
        <v>0</v>
      </c>
      <c r="AD1020">
        <f ca="1">Table13345[[#This Row],[Put Gex]]*Table13345[[#This Row],[DeltaP]]*-1</f>
        <v>0</v>
      </c>
      <c r="AE1020">
        <f ca="1">Table13345[[#This Row],[Call Gex]]*Table13345[[#This Row],[DeltaC]]</f>
        <v>0</v>
      </c>
      <c r="AF1020">
        <f>IF(Table13345[[#This Row],[DeltaC]]-ABS(Table13345[[#This Row],[DeltaP]])="0","0.01",Table13345[[#This Row],[DeltaC]]-ABS(Table13345[[#This Row],[DeltaP]]))</f>
        <v>0</v>
      </c>
      <c r="AG102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0" t="e">
        <f ca="1">(EXP(-(AG1020^2)/2)/SQRT(2*PI())*EXP(0*SQRT(Table13345[[#This Row],[T]]))/$A$4*18%*SQRT(SQRT(Table13345[[#This Row],[T]])))</f>
        <v>#DIV/0!</v>
      </c>
      <c r="AJ1020" t="e">
        <f ca="1">(EXP(-(AH1020^2)/2)/SQRT(2*PI())*EXP(0*SQRT(Table13345[[#This Row],[T]]))/$A$4*18%*SQRT(SQRT(Table13345[[#This Row],[T]])))</f>
        <v>#DIV/0!</v>
      </c>
      <c r="AK1020" t="e">
        <f ca="1">Table13345[[#This Row],[Call D1]]-Table13345[[#This Row],[IV Calc C]]*SQRT(Table13345[[#This Row],[T]])</f>
        <v>#DIV/0!</v>
      </c>
      <c r="AL1020" t="e">
        <f ca="1">Table13345[[#This Row],[Put D1]]-Table13345[[#This Row],[IV Calc P]]*SQRT(Table13345[[#This Row],[T]])</f>
        <v>#DIV/0!</v>
      </c>
      <c r="AM1020" t="e">
        <f ca="1">EXP(-0.5*Table13345[[#This Row],[Call D1]]^2)/SQRT(2*PI())</f>
        <v>#DIV/0!</v>
      </c>
      <c r="AN1020" t="e">
        <f ca="1">EXP(-0.5*Table13345[[#This Row],[Put D1]]^2)/SQRT(2*PI())</f>
        <v>#DIV/0!</v>
      </c>
      <c r="AO102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0">
        <f ca="1">((Table13345[[#This Row],[call vanna]]+Table13345[[#This Row],[put vanna]])*$A$4)</f>
        <v>0</v>
      </c>
      <c r="AR102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0" s="9" t="str" cm="1">
        <f t="array" ref="AT1020">_xlfn.IFS(     $M$1="SPX","SPXW",     $M$1="RUT","RUTW",  $M$1="NDX","NDXP",   TRUE,$M$1 )</f>
        <v>SPXW</v>
      </c>
      <c r="AU1020" s="2">
        <f t="shared" si="102"/>
        <v>6915</v>
      </c>
      <c r="AV1020" t="str">
        <f t="shared" si="103"/>
        <v>000100</v>
      </c>
      <c r="AY102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0">
        <f>((Table13345[[#This Row],[High C]]+Table13345[[#This Row],[Low C]])/2)*Table13345[[#This Row],[gammac]]*Table13345[[#This Row],[Volume]]</f>
        <v>0</v>
      </c>
      <c r="BD1020">
        <f>((Table13345[[#This Row],[High P]]+Table13345[[#This Row],[Low P]])/2)*Table13345[[#This Row],[gammap]]*Table13345[[#This Row],[Volume9]]*-1</f>
        <v>0</v>
      </c>
      <c r="BE1020">
        <f>(Table13345[[#This Row],[SgammaC]]+Table13345[[#This Row],[SgammaP]])*$A$4*-100</f>
        <v>0</v>
      </c>
      <c r="BF1020">
        <f>Table13345[[#This Row],[DEXc]]+Table13345[[#This Row],[DEXp]]</f>
        <v>0</v>
      </c>
      <c r="BG1020">
        <f>IFERROR(Table13345[[#This Row],[DeltaC]]*Table13345[[#This Row],[Open.Int]]*$A$4,0)</f>
        <v>0</v>
      </c>
      <c r="BH1020">
        <f>IFERROR(Table13345[[#This Row],[DeltaP]]*Table13345[[#This Row],[Open.Int8]]*$A$4,0)</f>
        <v>0</v>
      </c>
      <c r="BI102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0">
        <f ca="1">Table13345[[#This Row],[charmc]]+Table13345[[#This Row],[charmp]]</f>
        <v>0</v>
      </c>
      <c r="BL1020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0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0" s="78">
        <f ca="1">Table13345[[#This Row],[call helper]]+Table13345[[#This Row],[put helper]]</f>
        <v>0</v>
      </c>
      <c r="BP1020" t="str">
        <f>RTD("tos.rtd", , "STRIKE", "."&amp;Table13345[[#This Row],[Ticker]]&amp;Table13345[[#This Row],[Expiry]]&amp;""&amp;"C"&amp;Table13345[[#This Row],[Spot]]+Table13345[[#This Row],[step]])</f>
        <v>N/A</v>
      </c>
    </row>
    <row r="1021" spans="1:68" x14ac:dyDescent="0.25">
      <c r="A1021" s="14">
        <f t="shared" ca="1" si="99"/>
        <v>-126.14810350076104</v>
      </c>
      <c r="C1021" s="17"/>
      <c r="D1021" t="str">
        <f>RTD("tos.rtd", , "OPEN_INT", "."&amp;Table13345[[#This Row],[Ticker]]&amp;Table13345[[#This Row],[Expiry]]&amp;""&amp;"C"&amp;Table13345[[#This Row],[Spot]]+Table13345[[#This Row],[step]])</f>
        <v>N/A</v>
      </c>
      <c r="E102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1" t="b">
        <f>IF(     ISNUMBER(Table13345[[#This Row],[Strike]]),RTD("tos.rtd", , "DELTA", "."&amp;Table13345[[#This Row],[Ticker]]&amp;Table13345[[#This Row],[Expiry]]&amp;""&amp;"C"&amp;Table13345[[#This Row],[Strike]]))</f>
        <v>0</v>
      </c>
      <c r="H1021" s="17" cm="1">
        <f t="array" aca="1" ref="H1021" ca="1">IndividualLegIVCore($A$4, Table13345[[#This Row],[Strike]], 0.0411, Table13345[[#This Row],[T]], ((Table13345[[#This Row],[BIDC]]+Table13345[[#This Row],[ASKC]])/2), TRUE)</f>
        <v>0.01</v>
      </c>
      <c r="I1021" t="b">
        <f>IF(     ISNUMBER(Table13345[[#This Row],[Strike]]),RTD("tos.rtd", , "BID", "."&amp;Table13345[[#This Row],[Ticker]]&amp;Table13345[[#This Row],[Expiry]]&amp;""&amp;"C"&amp;Table13345[[#This Row],[Strike]]))</f>
        <v>0</v>
      </c>
      <c r="J1021" t="b">
        <f>IF(     ISNUMBER(Table13345[[#This Row],[Strike]]),RTD("tos.rtd", , "ASK", "."&amp;Table13345[[#This Row],[Ticker]]&amp;Table13345[[#This Row],[Expiry]]&amp;""&amp;"C"&amp;Table13345[[#This Row],[Strike]]))</f>
        <v>0</v>
      </c>
      <c r="K1021" s="17"/>
      <c r="M1021" s="1">
        <f t="shared" si="100"/>
        <v>0</v>
      </c>
      <c r="N1021" t="b">
        <f t="shared" si="101"/>
        <v>0</v>
      </c>
      <c r="P1021" s="17" cm="1">
        <f t="array" aca="1" ref="P1021" ca="1">IndividualLegIVCore($A$4, Table13345[[#This Row],[Strike]], 0.0411, Table13345[[#This Row],[T]], ((Table13345[[#This Row],[BIDP]]+Table13345[[#This Row],[ASKP]])/2), FALSE)</f>
        <v>0.01</v>
      </c>
      <c r="Q1021" t="b">
        <f>IF(     ISNUMBER(Table13345[[#This Row],[Strike]]),RTD("tos.rtd", , "BID", "."&amp;Table13345[[#This Row],[Ticker]]&amp;Table13345[[#This Row],[Expiry]]&amp;""&amp;"P"&amp;Table13345[[#This Row],[Strike]]))</f>
        <v>0</v>
      </c>
      <c r="R1021" t="b">
        <f>IF(     ISNUMBER(Table13345[[#This Row],[Strike]]),RTD("tos.rtd", , "ASK", "."&amp;Table13345[[#This Row],[Ticker]]&amp;Table13345[[#This Row],[Expiry]]&amp;""&amp;"P"&amp;Table13345[[#This Row],[Strike]]))</f>
        <v>0</v>
      </c>
      <c r="S1021" s="17"/>
      <c r="T102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1" t="b">
        <f>IF(     ISNUMBER(Table13345[[#This Row],[Strike]]),RTD("tos.rtd", , "DELTA", "."&amp;Table13345[[#This Row],[Ticker]]&amp;Table13345[[#This Row],[Expiry]]&amp;""&amp;"P"&amp;Table13345[[#This Row],[Strike]]))</f>
        <v>0</v>
      </c>
      <c r="Y1021">
        <f>49.5* IF($M$1="NDX", 10, IF(OR($M$1="SPX", $M$1="RUT"), 2, 1))</f>
        <v>99</v>
      </c>
      <c r="Z1021">
        <f ca="1">IFERROR(Table13345[[#This Row],[call gamma]]*(Table13345[[#This Row],[Open.Int]])*$A$4^2,0)</f>
        <v>0</v>
      </c>
      <c r="AA1021">
        <f ca="1">IFERROR(((Table13345[[#This Row],[Open.Int8]])*Table13345[[#This Row],[Put gamma]])*-1*$A$4^2,0)</f>
        <v>0</v>
      </c>
      <c r="AB1021">
        <f ca="1">(Table13345[[#This Row],[Call Gex]]+Table13345[[#This Row],[Put Gex]])</f>
        <v>0</v>
      </c>
      <c r="AC1021">
        <f ca="1">Table13345[[#This Row],[put delta adj]]+Table13345[[#This Row],[call delta adj]]</f>
        <v>0</v>
      </c>
      <c r="AD1021">
        <f ca="1">Table13345[[#This Row],[Put Gex]]*Table13345[[#This Row],[DeltaP]]*-1</f>
        <v>0</v>
      </c>
      <c r="AE1021">
        <f ca="1">Table13345[[#This Row],[Call Gex]]*Table13345[[#This Row],[DeltaC]]</f>
        <v>0</v>
      </c>
      <c r="AF1021">
        <f>IF(Table13345[[#This Row],[DeltaC]]-ABS(Table13345[[#This Row],[DeltaP]])="0","0.01",Table13345[[#This Row],[DeltaC]]-ABS(Table13345[[#This Row],[DeltaP]]))</f>
        <v>0</v>
      </c>
      <c r="AG102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1" t="e">
        <f ca="1">(EXP(-(AG1021^2)/2)/SQRT(2*PI())*EXP(0*SQRT(Table13345[[#This Row],[T]]))/$A$4*18%*SQRT(SQRT(Table13345[[#This Row],[T]])))</f>
        <v>#DIV/0!</v>
      </c>
      <c r="AJ1021" t="e">
        <f ca="1">(EXP(-(AH1021^2)/2)/SQRT(2*PI())*EXP(0*SQRT(Table13345[[#This Row],[T]]))/$A$4*18%*SQRT(SQRT(Table13345[[#This Row],[T]])))</f>
        <v>#DIV/0!</v>
      </c>
      <c r="AK1021" t="e">
        <f ca="1">Table13345[[#This Row],[Call D1]]-Table13345[[#This Row],[IV Calc C]]*SQRT(Table13345[[#This Row],[T]])</f>
        <v>#DIV/0!</v>
      </c>
      <c r="AL1021" t="e">
        <f ca="1">Table13345[[#This Row],[Put D1]]-Table13345[[#This Row],[IV Calc P]]*SQRT(Table13345[[#This Row],[T]])</f>
        <v>#DIV/0!</v>
      </c>
      <c r="AM1021" t="e">
        <f ca="1">EXP(-0.5*Table13345[[#This Row],[Call D1]]^2)/SQRT(2*PI())</f>
        <v>#DIV/0!</v>
      </c>
      <c r="AN1021" t="e">
        <f ca="1">EXP(-0.5*Table13345[[#This Row],[Put D1]]^2)/SQRT(2*PI())</f>
        <v>#DIV/0!</v>
      </c>
      <c r="AO102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1">
        <f ca="1">((Table13345[[#This Row],[call vanna]]+Table13345[[#This Row],[put vanna]])*$A$4)</f>
        <v>0</v>
      </c>
      <c r="AR102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1" s="9" t="str" cm="1">
        <f t="array" ref="AT1021">_xlfn.IFS(     $M$1="SPX","SPXW",     $M$1="RUT","RUTW",  $M$1="NDX","NDXP",   TRUE,$M$1 )</f>
        <v>SPXW</v>
      </c>
      <c r="AU1021" s="2">
        <f t="shared" si="102"/>
        <v>6915</v>
      </c>
      <c r="AV1021" t="str">
        <f t="shared" si="103"/>
        <v>000100</v>
      </c>
      <c r="AY102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1">
        <f>((Table13345[[#This Row],[High C]]+Table13345[[#This Row],[Low C]])/2)*Table13345[[#This Row],[gammac]]*Table13345[[#This Row],[Volume]]</f>
        <v>0</v>
      </c>
      <c r="BD1021">
        <f>((Table13345[[#This Row],[High P]]+Table13345[[#This Row],[Low P]])/2)*Table13345[[#This Row],[gammap]]*Table13345[[#This Row],[Volume9]]*-1</f>
        <v>0</v>
      </c>
      <c r="BE1021">
        <f>(Table13345[[#This Row],[SgammaC]]+Table13345[[#This Row],[SgammaP]])*$A$4*-100</f>
        <v>0</v>
      </c>
      <c r="BF1021">
        <f>Table13345[[#This Row],[DEXc]]+Table13345[[#This Row],[DEXp]]</f>
        <v>0</v>
      </c>
      <c r="BG1021">
        <f>IFERROR(Table13345[[#This Row],[DeltaC]]*Table13345[[#This Row],[Open.Int]]*$A$4,0)</f>
        <v>0</v>
      </c>
      <c r="BH1021">
        <f>IFERROR(Table13345[[#This Row],[DeltaP]]*Table13345[[#This Row],[Open.Int8]]*$A$4,0)</f>
        <v>0</v>
      </c>
      <c r="BI102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1">
        <f ca="1">Table13345[[#This Row],[charmc]]+Table13345[[#This Row],[charmp]]</f>
        <v>0</v>
      </c>
      <c r="BL1021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1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1" s="78">
        <f ca="1">Table13345[[#This Row],[call helper]]+Table13345[[#This Row],[put helper]]</f>
        <v>0</v>
      </c>
      <c r="BP1021" t="str">
        <f>RTD("tos.rtd", , "STRIKE", "."&amp;Table13345[[#This Row],[Ticker]]&amp;Table13345[[#This Row],[Expiry]]&amp;""&amp;"C"&amp;Table13345[[#This Row],[Spot]]+Table13345[[#This Row],[step]])</f>
        <v>N/A</v>
      </c>
    </row>
    <row r="1022" spans="1:68" x14ac:dyDescent="0.25">
      <c r="A1022" s="14">
        <f t="shared" ca="1" si="99"/>
        <v>-126.14810350076104</v>
      </c>
      <c r="C1022" s="17"/>
      <c r="D1022" t="str">
        <f>RTD("tos.rtd", , "OPEN_INT", "."&amp;Table13345[[#This Row],[Ticker]]&amp;Table13345[[#This Row],[Expiry]]&amp;""&amp;"C"&amp;Table13345[[#This Row],[Spot]]+Table13345[[#This Row],[step]])</f>
        <v>N/A</v>
      </c>
      <c r="E10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2" t="b">
        <f>IF(     ISNUMBER(Table13345[[#This Row],[Strike]]),RTD("tos.rtd", , "DELTA", "."&amp;Table13345[[#This Row],[Ticker]]&amp;Table13345[[#This Row],[Expiry]]&amp;""&amp;"C"&amp;Table13345[[#This Row],[Strike]]))</f>
        <v>0</v>
      </c>
      <c r="H1022" s="17" cm="1">
        <f t="array" aca="1" ref="H1022" ca="1">IFERROR(
  IndividualLegIVCore(
    $A$4,
    Table13345[[#This Row],[Strike]],
    0.0411,
    Table13345[[#This Row],[T]],
    0,
    TRUE,
    0,
    0.001,
    5,
    0.0001,
    40,
    0,
    0.2,
    Table13345[[#This Row],[BIDC]],
    Table13345[[#This Row],[ASKC]],
    Table13345[[#This Row],[Volume]]
  ),
  NA()
)</f>
        <v>0.2</v>
      </c>
      <c r="I1022" t="b">
        <f>IF(     ISNUMBER(Table13345[[#This Row],[Strike]]),RTD("tos.rtd", , "BID", "."&amp;Table13345[[#This Row],[Ticker]]&amp;Table13345[[#This Row],[Expiry]]&amp;""&amp;"C"&amp;Table13345[[#This Row],[Strike]]))</f>
        <v>0</v>
      </c>
      <c r="J1022" t="b">
        <f>IF(     ISNUMBER(Table13345[[#This Row],[Strike]]),RTD("tos.rtd", , "ASK", "."&amp;Table13345[[#This Row],[Ticker]]&amp;Table13345[[#This Row],[Expiry]]&amp;""&amp;"C"&amp;Table13345[[#This Row],[Strike]]))</f>
        <v>0</v>
      </c>
      <c r="K1022" s="17"/>
      <c r="M1022" s="1">
        <f t="shared" si="100"/>
        <v>0</v>
      </c>
      <c r="N1022" t="b">
        <f t="shared" si="101"/>
        <v>0</v>
      </c>
      <c r="P1022" s="17" cm="1">
        <f t="array" aca="1" ref="P1022" ca="1">IFERROR(
  IndividualLegIVCore(
    $A$4,
    Table13345[[#This Row],[Strike]],
    0.0411,
    Table13345[[#This Row],[T]],
    0,
    FALSE,
    0,
    0.001,
    5,
    0.0001,
    40,
    0,
    0,
    Table13345[[#This Row],[BIDP]],
    Table13345[[#This Row],[ASKP]],
    Table13345[[#This Row],[Volume9]]
  ),
  NA()
)</f>
        <v>0.01</v>
      </c>
      <c r="Q1022" t="b">
        <f>IF(     ISNUMBER(Table13345[[#This Row],[Strike]]),RTD("tos.rtd", , "BID", "."&amp;Table13345[[#This Row],[Ticker]]&amp;Table13345[[#This Row],[Expiry]]&amp;""&amp;"P"&amp;Table13345[[#This Row],[Strike]]))</f>
        <v>0</v>
      </c>
      <c r="R1022" t="b">
        <f>IF(     ISNUMBER(Table13345[[#This Row],[Strike]]),RTD("tos.rtd", , "ASK", "."&amp;Table13345[[#This Row],[Ticker]]&amp;Table13345[[#This Row],[Expiry]]&amp;""&amp;"P"&amp;Table13345[[#This Row],[Strike]]))</f>
        <v>0</v>
      </c>
      <c r="S1022" s="17"/>
      <c r="T102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2" t="b">
        <f>IF(     ISNUMBER(Table13345[[#This Row],[Strike]]),RTD("tos.rtd", , "DELTA", "."&amp;Table13345[[#This Row],[Ticker]]&amp;Table13345[[#This Row],[Expiry]]&amp;""&amp;"P"&amp;Table13345[[#This Row],[Strike]]))</f>
        <v>0</v>
      </c>
      <c r="Y1022">
        <f>50* IF($M$1="NDX", 10, IF(OR($M$1="SPX", $M$1="RUT"), 2, 1))</f>
        <v>100</v>
      </c>
      <c r="Z1022">
        <f ca="1">IFERROR(Table13345[[#This Row],[call gamma]]*(Table13345[[#This Row],[Open.Int]])*$A$4^2,0)</f>
        <v>0</v>
      </c>
      <c r="AA1022">
        <f ca="1">IFERROR(((Table13345[[#This Row],[Open.Int8]])*Table13345[[#This Row],[Put gamma]])*-1*$A$4^2,0)</f>
        <v>0</v>
      </c>
      <c r="AB1022">
        <f ca="1">(Table13345[[#This Row],[Call Gex]]+Table13345[[#This Row],[Put Gex]])</f>
        <v>0</v>
      </c>
      <c r="AC1022">
        <f ca="1">Table13345[[#This Row],[put delta adj]]+Table13345[[#This Row],[call delta adj]]</f>
        <v>0</v>
      </c>
      <c r="AD1022">
        <f ca="1">Table13345[[#This Row],[Put Gex]]*Table13345[[#This Row],[DeltaP]]*-1</f>
        <v>0</v>
      </c>
      <c r="AE1022">
        <f ca="1">Table13345[[#This Row],[Call Gex]]*Table13345[[#This Row],[DeltaC]]</f>
        <v>0</v>
      </c>
      <c r="AF1022">
        <f>IF(Table13345[[#This Row],[DeltaC]]-ABS(Table13345[[#This Row],[DeltaP]])="0","0.01",Table13345[[#This Row],[DeltaC]]-ABS(Table13345[[#This Row],[DeltaP]]))</f>
        <v>0</v>
      </c>
      <c r="AG10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2" t="e">
        <f ca="1">(EXP(-(AG1022^2)/2)/SQRT(2*PI())*EXP(0*SQRT(Table13345[[#This Row],[T]]))/$A$4*18%*SQRT(SQRT(Table13345[[#This Row],[T]])))</f>
        <v>#DIV/0!</v>
      </c>
      <c r="AJ1022" t="e">
        <f ca="1">(EXP(-(AH1022^2)/2)/SQRT(2*PI())*EXP(0*SQRT(Table13345[[#This Row],[T]]))/$A$4*18%*SQRT(SQRT(Table13345[[#This Row],[T]])))</f>
        <v>#DIV/0!</v>
      </c>
      <c r="AK1022" t="e">
        <f ca="1">Table13345[[#This Row],[Call D1]]-Table13345[[#This Row],[IV Calc C]]*SQRT(Table13345[[#This Row],[T]])</f>
        <v>#DIV/0!</v>
      </c>
      <c r="AL1022" t="e">
        <f ca="1">Table13345[[#This Row],[Put D1]]-Table13345[[#This Row],[IV Calc P]]*SQRT(Table13345[[#This Row],[T]])</f>
        <v>#DIV/0!</v>
      </c>
      <c r="AM1022" t="e">
        <f ca="1">EXP(-0.5*Table13345[[#This Row],[Call D1]]^2)/SQRT(2*PI())</f>
        <v>#DIV/0!</v>
      </c>
      <c r="AN1022" t="e">
        <f ca="1">EXP(-0.5*Table13345[[#This Row],[Put D1]]^2)/SQRT(2*PI())</f>
        <v>#DIV/0!</v>
      </c>
      <c r="AO10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2">
        <f ca="1">((Table13345[[#This Row],[call vanna]]+Table13345[[#This Row],[put vanna]])*$A$4)</f>
        <v>0</v>
      </c>
      <c r="AR10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2" s="9" t="str" cm="1">
        <f t="array" ref="AT1022">_xlfn.IFS(     $M$1="SPX","SPXW",     $M$1="RUT","RUTW",  $M$1="NDX","NDXP",   TRUE,$M$1 )</f>
        <v>SPXW</v>
      </c>
      <c r="AU1022" s="2">
        <f t="shared" si="102"/>
        <v>6915</v>
      </c>
      <c r="AV1022" t="str">
        <f t="shared" si="103"/>
        <v>000100</v>
      </c>
      <c r="AY10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2">
        <f>((Table13345[[#This Row],[High C]]+Table13345[[#This Row],[Low C]])/2)*Table13345[[#This Row],[gammac]]*Table13345[[#This Row],[Volume]]</f>
        <v>0</v>
      </c>
      <c r="BD1022">
        <f>((Table13345[[#This Row],[High P]]+Table13345[[#This Row],[Low P]])/2)*Table13345[[#This Row],[gammap]]*Table13345[[#This Row],[Volume9]]*-1</f>
        <v>0</v>
      </c>
      <c r="BE1022">
        <f>(Table13345[[#This Row],[SgammaC]]+Table13345[[#This Row],[SgammaP]])*$A$4*-100</f>
        <v>0</v>
      </c>
      <c r="BF1022">
        <f>Table13345[[#This Row],[DEXc]]+Table13345[[#This Row],[DEXp]]</f>
        <v>0</v>
      </c>
      <c r="BG1022">
        <f>IFERROR(Table13345[[#This Row],[DeltaC]]*Table13345[[#This Row],[Open.Int]]*$A$4,0)</f>
        <v>0</v>
      </c>
      <c r="BH1022">
        <f>IFERROR(Table13345[[#This Row],[DeltaP]]*Table13345[[#This Row],[Open.Int8]]*$A$4,0)</f>
        <v>0</v>
      </c>
      <c r="BI102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2">
        <f ca="1">Table13345[[#This Row],[charmc]]+Table13345[[#This Row],[charmp]]</f>
        <v>0</v>
      </c>
      <c r="BL1022" s="78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2" s="78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2" s="78">
        <f ca="1">Table13345[[#This Row],[call helper]]+Table13345[[#This Row],[put helper]]</f>
        <v>0</v>
      </c>
      <c r="BP1022" t="str">
        <f>RTD("tos.rtd", , "STRIKE", "."&amp;Table13345[[#This Row],[Ticker]]&amp;Table13345[[#This Row],[Expiry]]&amp;""&amp;"C"&amp;Table13345[[#This Row],[Spot]]+Table13345[[#This Row],[step]])</f>
        <v>N/A</v>
      </c>
    </row>
    <row r="1024" spans="1:68" ht="30" x14ac:dyDescent="0.25">
      <c r="A1024" t="s">
        <v>53</v>
      </c>
      <c r="B1024" t="s">
        <v>12</v>
      </c>
      <c r="C1024" t="s">
        <v>26</v>
      </c>
      <c r="D1024" t="s">
        <v>2</v>
      </c>
      <c r="E1024" t="s">
        <v>1</v>
      </c>
      <c r="F1024" t="s">
        <v>29</v>
      </c>
      <c r="G1024" t="s">
        <v>36</v>
      </c>
      <c r="H1024" t="s">
        <v>43</v>
      </c>
      <c r="I1024" t="s">
        <v>34</v>
      </c>
      <c r="J1024" t="s">
        <v>33</v>
      </c>
      <c r="K1024" t="s">
        <v>47</v>
      </c>
      <c r="L1024" s="17" t="s">
        <v>44</v>
      </c>
      <c r="M1024" t="s">
        <v>3</v>
      </c>
      <c r="N1024" t="s">
        <v>4</v>
      </c>
      <c r="O1024" t="s">
        <v>27</v>
      </c>
      <c r="P1024" t="s">
        <v>42</v>
      </c>
      <c r="Q1024" t="s">
        <v>35</v>
      </c>
      <c r="R1024" t="s">
        <v>32</v>
      </c>
      <c r="S1024" t="s">
        <v>11</v>
      </c>
      <c r="T1024" t="s">
        <v>13</v>
      </c>
      <c r="U1024" t="s">
        <v>14</v>
      </c>
      <c r="V1024" t="s">
        <v>30</v>
      </c>
      <c r="W1024" t="s">
        <v>39</v>
      </c>
      <c r="X1024" t="s">
        <v>31</v>
      </c>
      <c r="Y1024" t="s">
        <v>10</v>
      </c>
      <c r="Z1024" t="s">
        <v>5</v>
      </c>
      <c r="AA1024" t="s">
        <v>6</v>
      </c>
      <c r="AB1024" t="s">
        <v>7</v>
      </c>
      <c r="AC1024" t="s">
        <v>40</v>
      </c>
      <c r="AD1024" t="s">
        <v>37</v>
      </c>
      <c r="AE1024" t="s">
        <v>38</v>
      </c>
      <c r="AF1024" t="s">
        <v>8</v>
      </c>
      <c r="AG1024" t="s">
        <v>15</v>
      </c>
      <c r="AH1024" t="s">
        <v>16</v>
      </c>
      <c r="AI1024" t="s">
        <v>17</v>
      </c>
      <c r="AJ1024" t="s">
        <v>18</v>
      </c>
      <c r="AK1024" t="s">
        <v>19</v>
      </c>
      <c r="AL1024" t="s">
        <v>20</v>
      </c>
      <c r="AM1024" t="s">
        <v>21</v>
      </c>
      <c r="AN1024" t="s">
        <v>22</v>
      </c>
      <c r="AO1024" t="s">
        <v>23</v>
      </c>
      <c r="AP1024" t="s">
        <v>24</v>
      </c>
      <c r="AQ1024" t="s">
        <v>25</v>
      </c>
      <c r="AR1024" t="s">
        <v>45</v>
      </c>
      <c r="AS1024" t="s">
        <v>46</v>
      </c>
      <c r="AT1024" t="s">
        <v>54</v>
      </c>
      <c r="AU1024" t="s">
        <v>55</v>
      </c>
      <c r="AV1024" t="s">
        <v>56</v>
      </c>
      <c r="AW1024" t="s">
        <v>60</v>
      </c>
      <c r="AX1024" t="s">
        <v>61</v>
      </c>
      <c r="AY1024" s="61" t="s">
        <v>48</v>
      </c>
      <c r="AZ1024" s="61" t="s">
        <v>49</v>
      </c>
      <c r="BA1024" s="61" t="s">
        <v>50</v>
      </c>
      <c r="BB1024" s="61" t="s">
        <v>51</v>
      </c>
      <c r="BC1024" s="61" t="s">
        <v>52</v>
      </c>
      <c r="BD1024" s="61" t="s">
        <v>59</v>
      </c>
      <c r="BE1024" s="61" t="s">
        <v>62</v>
      </c>
      <c r="BF1024" s="61" t="s">
        <v>28</v>
      </c>
      <c r="BG1024" s="61" t="s">
        <v>68</v>
      </c>
      <c r="BH1024" s="61" t="s">
        <v>69</v>
      </c>
      <c r="BI1024" s="61" t="s">
        <v>70</v>
      </c>
      <c r="BJ1024" s="61" t="s">
        <v>71</v>
      </c>
      <c r="BK1024" s="61" t="s">
        <v>72</v>
      </c>
      <c r="BL1024" s="89" t="s">
        <v>78</v>
      </c>
      <c r="BM1024" s="89" t="s">
        <v>79</v>
      </c>
      <c r="BN1024" s="17" t="s">
        <v>84</v>
      </c>
    </row>
    <row r="1025" spans="1:69" x14ac:dyDescent="0.25">
      <c r="A1025" s="14">
        <f t="shared" ref="A1025:A1088" ca="1" si="104">$T$3</f>
        <v>-126.14810350076104</v>
      </c>
      <c r="C1025" s="17"/>
      <c r="D1025" t="str">
        <f>RTD("tos.rtd", , "OPEN_INT", "."&amp;Table133456[[#This Row],[Ticker]]&amp;Table133456[[#This Row],[Expiry]]&amp;""&amp;"C"&amp;Table133456[[#This Row],[Spot]]+Table133456[[#This Row],[step]])</f>
        <v>N/A</v>
      </c>
      <c r="E10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5" s="17" cm="1">
        <f t="array" aca="1" ref="H1025" ca="1">IndividualLegIVCore($A$4, Table133456[[#This Row],[Strike]], 0.0411, Table133456[[#This Row],[T]], ((Table133456[[#This Row],[BIDC]]+Table133456[[#This Row],[ASKC]])/2), TRUE)</f>
        <v>0.01</v>
      </c>
      <c r="I1025" t="b">
        <f>IF(     ISNUMBER(Table133456[[#This Row],[Strike]]),RTD("tos.rtd", , "BID", "."&amp;Table133456[[#This Row],[Ticker]]&amp;Table133456[[#This Row],[Expiry]]&amp;""&amp;"C"&amp;Table133456[[#This Row],[Strike]]))</f>
        <v>0</v>
      </c>
      <c r="J1025" t="b">
        <f>IF(     ISNUMBER(Table133456[[#This Row],[Strike]]),RTD("tos.rtd", , "ASK", "."&amp;Table133456[[#This Row],[Ticker]]&amp;Table133456[[#This Row],[Expiry]]&amp;""&amp;"C"&amp;Table133456[[#This Row],[Strike]]))</f>
        <v>0</v>
      </c>
      <c r="K1025" s="17"/>
      <c r="M1025" s="1">
        <f t="shared" ref="M1025:M1088" si="105">$T$1</f>
        <v>0</v>
      </c>
      <c r="N1025" t="b">
        <f t="shared" ref="N1025:N1088" si="106">IF(ISNUMBER($BP1025), $BP1025, FALSE)</f>
        <v>0</v>
      </c>
      <c r="P1025" s="17" cm="1">
        <f t="array" aca="1" ref="P1025" ca="1">IndividualLegIVCore($A$4, Table133456[[#This Row],[Strike]], 0.0411, Table133456[[#This Row],[T]], ((Table133456[[#This Row],[BIDP]]+Table133456[[#This Row],[ASKP]])/2), FALSE)</f>
        <v>0.01</v>
      </c>
      <c r="Q1025" t="b">
        <f>IF(     ISNUMBER(Table133456[[#This Row],[Strike]]),RTD("tos.rtd", , "BID", "."&amp;Table133456[[#This Row],[Ticker]]&amp;Table133456[[#This Row],[Expiry]]&amp;""&amp;"P"&amp;Table133456[[#This Row],[Strike]]))</f>
        <v>0</v>
      </c>
      <c r="R1025" t="b">
        <f>IF(     ISNUMBER(Table133456[[#This Row],[Strike]]),RTD("tos.rtd", , "ASK", "."&amp;Table133456[[#This Row],[Ticker]]&amp;Table133456[[#This Row],[Expiry]]&amp;""&amp;"P"&amp;Table133456[[#This Row],[Strike]]))</f>
        <v>0</v>
      </c>
      <c r="S1025" s="17"/>
      <c r="T10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5" s="19">
        <f>-50* IF($M$1="NDX", 10, IF(OR($M$1="SPX", $M$1="RUT"), 2, 1))</f>
        <v>-100</v>
      </c>
      <c r="Z1025">
        <f ca="1">IFERROR(Table133456[[#This Row],[call gamma]]*(Table133456[[#This Row],[Open.Int]])*$A$4^2,0)</f>
        <v>0</v>
      </c>
      <c r="AA1025">
        <f ca="1">IFERROR(((Table133456[[#This Row],[Open.Int8]])*Table133456[[#This Row],[Put gamma]])*-1*$A$4^2,0)</f>
        <v>0</v>
      </c>
      <c r="AB1025">
        <f ca="1">(Table133456[[#This Row],[Call Gex]]+Table133456[[#This Row],[Put Gex]])</f>
        <v>0</v>
      </c>
      <c r="AC1025">
        <f ca="1">Table133456[[#This Row],[put delta adj]]+Table133456[[#This Row],[call delta adj]]</f>
        <v>0</v>
      </c>
      <c r="AD1025">
        <f ca="1">Table133456[[#This Row],[Put Gex]]*Table133456[[#This Row],[DeltaP]]*-1</f>
        <v>0</v>
      </c>
      <c r="AE1025">
        <f ca="1">Table133456[[#This Row],[Call Gex]]*Table133456[[#This Row],[DeltaC]]</f>
        <v>0</v>
      </c>
      <c r="AF1025">
        <f>IF(Table133456[[#This Row],[DeltaC]]-ABS(Table133456[[#This Row],[DeltaP]])="0","0.01",Table133456[[#This Row],[DeltaC]]-ABS(Table133456[[#This Row],[DeltaP]]))</f>
        <v>0</v>
      </c>
      <c r="AG10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5" t="e">
        <f ca="1">(EXP(-(AG1025^2)/2)/SQRT(2*PI())*EXP(0*SQRT(Table133456[[#This Row],[T]]))/$A$4*18%*SQRT(SQRT(Table133456[[#This Row],[T]])))</f>
        <v>#DIV/0!</v>
      </c>
      <c r="AJ1025" t="e">
        <f ca="1">(EXP(-(AH1025^2)/2)/SQRT(2*PI())*EXP(0*SQRT(Table133456[[#This Row],[T]]))/$A$4*18%*SQRT(SQRT(Table133456[[#This Row],[T]])))</f>
        <v>#DIV/0!</v>
      </c>
      <c r="AK1025" t="e">
        <f ca="1">Table133456[[#This Row],[Call D1]]-Table133456[[#This Row],[IV Calc C]]*SQRT(Table133456[[#This Row],[T]])</f>
        <v>#DIV/0!</v>
      </c>
      <c r="AL1025" t="e">
        <f ca="1">Table133456[[#This Row],[Put D1]]-Table133456[[#This Row],[IV Calc P]]*SQRT(Table133456[[#This Row],[T]])</f>
        <v>#DIV/0!</v>
      </c>
      <c r="AM1025" t="e">
        <f ca="1">EXP(-0.5*Table133456[[#This Row],[Call D1]]^2)/SQRT(2*PI())</f>
        <v>#DIV/0!</v>
      </c>
      <c r="AN1025" t="e">
        <f ca="1">EXP(-0.5*Table133456[[#This Row],[Put D1]]^2)/SQRT(2*PI())</f>
        <v>#DIV/0!</v>
      </c>
      <c r="AO10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5">
        <f ca="1">((Table133456[[#This Row],[call vanna]]+Table133456[[#This Row],[put vanna]])*$A$4)</f>
        <v>0</v>
      </c>
      <c r="AR10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5" s="9" t="str" cm="1">
        <f t="array" ref="AT1025">_xlfn.IFS(     $M$1="SPX","SPXW",     $M$1="RUT","RUTW",  $M$1="NDX","NDXP",   TRUE,$M$1 )</f>
        <v>SPXW</v>
      </c>
      <c r="AU1025" s="2">
        <f t="shared" ref="AU1025:AU1088" si="107">$N$1</f>
        <v>6915</v>
      </c>
      <c r="AV1025" t="str">
        <f t="shared" ref="AV1025:AV1088" si="108">$T$2</f>
        <v>000100</v>
      </c>
      <c r="AY10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5">
        <f>((Table133456[[#This Row],[High C]]+Table133456[[#This Row],[Low C]])/2)*Table133456[[#This Row],[gammac]]*Table133456[[#This Row],[Volume]]</f>
        <v>0</v>
      </c>
      <c r="BD1025">
        <f>((Table133456[[#This Row],[High P]]+Table133456[[#This Row],[Low P]])/2)*Table133456[[#This Row],[gammap]]*Table133456[[#This Row],[Volume9]]*-1</f>
        <v>0</v>
      </c>
      <c r="BE1025">
        <f>(Table133456[[#This Row],[SgammaC]]+Table133456[[#This Row],[SgammaP]])*$A$4*-100</f>
        <v>0</v>
      </c>
      <c r="BF1025" s="78">
        <f>Table133456[[#This Row],[DEXc]]+Table133456[[#This Row],[DEXp]]</f>
        <v>0</v>
      </c>
      <c r="BG1025" s="78">
        <f>IFERROR(Table133456[[#This Row],[DeltaC]]*Table133456[[#This Row],[Open.Int]]*$A$4,0)</f>
        <v>0</v>
      </c>
      <c r="BH1025">
        <f>IFERROR(Table133456[[#This Row],[DeltaP]]*Table133456[[#This Row],[Open.Int8]]*$A$4,0)</f>
        <v>0</v>
      </c>
      <c r="BI1025" s="6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5">
        <f ca="1">Table133456[[#This Row],[charmc]]+Table133456[[#This Row],[charmp]]</f>
        <v>0</v>
      </c>
      <c r="BL102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5" s="78">
        <f ca="1">Table133456[[#This Row],[call helper]]+Table133456[[#This Row],[put helper]]</f>
        <v>0</v>
      </c>
      <c r="BP1025" t="str">
        <f>RTD("tos.rtd", , "STRIKE", "."&amp;Table133456[[#This Row],[Ticker]]&amp;Table133456[[#This Row],[Expiry]]&amp;""&amp;"C"&amp;Table133456[[#This Row],[Spot]]+Table133456[[#This Row],[step]])</f>
        <v>N/A</v>
      </c>
      <c r="BQ1025" t="e" cm="1" vm="1">
        <f t="array" ref="BQ1025">_xlfn._xlws.FILTER(
    BP1025:BP1225,
    ISNUMBER(BP1025:BP1225)
)</f>
        <v>#VALUE!</v>
      </c>
    </row>
    <row r="1026" spans="1:69" x14ac:dyDescent="0.25">
      <c r="A1026" s="14">
        <f t="shared" ca="1" si="104"/>
        <v>-126.14810350076104</v>
      </c>
      <c r="C1026" s="17"/>
      <c r="D1026" t="str">
        <f>RTD("tos.rtd", , "OPEN_INT", "."&amp;Table133456[[#This Row],[Ticker]]&amp;Table133456[[#This Row],[Expiry]]&amp;""&amp;"C"&amp;Table133456[[#This Row],[Spot]]+Table133456[[#This Row],[step]])</f>
        <v>N/A</v>
      </c>
      <c r="E102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6" s="17" cm="1">
        <f t="array" aca="1" ref="H1026" ca="1">IndividualLegIVCore($A$4, Table133456[[#This Row],[Strike]], 0.0411, Table133456[[#This Row],[T]], ((Table133456[[#This Row],[BIDC]]+Table133456[[#This Row],[ASKC]])/2), TRUE)</f>
        <v>0.01</v>
      </c>
      <c r="I1026" t="b">
        <f>IF(     ISNUMBER(Table133456[[#This Row],[Strike]]),RTD("tos.rtd", , "BID", "."&amp;Table133456[[#This Row],[Ticker]]&amp;Table133456[[#This Row],[Expiry]]&amp;""&amp;"C"&amp;Table133456[[#This Row],[Strike]]))</f>
        <v>0</v>
      </c>
      <c r="J1026" t="b">
        <f>IF(     ISNUMBER(Table133456[[#This Row],[Strike]]),RTD("tos.rtd", , "ASK", "."&amp;Table133456[[#This Row],[Ticker]]&amp;Table133456[[#This Row],[Expiry]]&amp;""&amp;"C"&amp;Table133456[[#This Row],[Strike]]))</f>
        <v>0</v>
      </c>
      <c r="K1026" s="17"/>
      <c r="M1026" s="1">
        <f t="shared" si="105"/>
        <v>0</v>
      </c>
      <c r="N1026" t="b">
        <f t="shared" si="106"/>
        <v>0</v>
      </c>
      <c r="P1026" s="17" cm="1">
        <f t="array" aca="1" ref="P1026" ca="1">IndividualLegIVCore($A$4, Table133456[[#This Row],[Strike]], 0.0411, Table133456[[#This Row],[T]], ((Table133456[[#This Row],[BIDP]]+Table133456[[#This Row],[ASKP]])/2), FALSE)</f>
        <v>0.01</v>
      </c>
      <c r="Q1026" t="b">
        <f>IF(     ISNUMBER(Table133456[[#This Row],[Strike]]),RTD("tos.rtd", , "BID", "."&amp;Table133456[[#This Row],[Ticker]]&amp;Table133456[[#This Row],[Expiry]]&amp;""&amp;"P"&amp;Table133456[[#This Row],[Strike]]))</f>
        <v>0</v>
      </c>
      <c r="R1026" t="b">
        <f>IF(     ISNUMBER(Table133456[[#This Row],[Strike]]),RTD("tos.rtd", , "ASK", "."&amp;Table133456[[#This Row],[Ticker]]&amp;Table133456[[#This Row],[Expiry]]&amp;""&amp;"P"&amp;Table133456[[#This Row],[Strike]]))</f>
        <v>0</v>
      </c>
      <c r="S1026" s="17"/>
      <c r="T102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6" s="19">
        <f>-49.5* IF($M$1="NDX", 10, IF(OR($M$1="SPX", $M$1="RUT"), 2, 1))</f>
        <v>-99</v>
      </c>
      <c r="Z1026">
        <f ca="1">IFERROR(Table133456[[#This Row],[call gamma]]*(Table133456[[#This Row],[Open.Int]])*$A$4^2,0)</f>
        <v>0</v>
      </c>
      <c r="AA1026">
        <f ca="1">IFERROR(((Table133456[[#This Row],[Open.Int8]])*Table133456[[#This Row],[Put gamma]])*-1*$A$4^2,0)</f>
        <v>0</v>
      </c>
      <c r="AB1026">
        <f ca="1">(Table133456[[#This Row],[Call Gex]]+Table133456[[#This Row],[Put Gex]])</f>
        <v>0</v>
      </c>
      <c r="AC1026">
        <f ca="1">Table133456[[#This Row],[put delta adj]]+Table133456[[#This Row],[call delta adj]]</f>
        <v>0</v>
      </c>
      <c r="AD1026">
        <f ca="1">Table133456[[#This Row],[Put Gex]]*Table133456[[#This Row],[DeltaP]]*-1</f>
        <v>0</v>
      </c>
      <c r="AE1026">
        <f ca="1">Table133456[[#This Row],[Call Gex]]*Table133456[[#This Row],[DeltaC]]</f>
        <v>0</v>
      </c>
      <c r="AF1026">
        <f>IF(Table133456[[#This Row],[DeltaC]]-ABS(Table133456[[#This Row],[DeltaP]])="0","0.01",Table133456[[#This Row],[DeltaC]]-ABS(Table133456[[#This Row],[DeltaP]]))</f>
        <v>0</v>
      </c>
      <c r="AG102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6" t="e">
        <f ca="1">(EXP(-(AG1026^2)/2)/SQRT(2*PI())*EXP(0*SQRT(Table133456[[#This Row],[T]]))/$A$4*18%*SQRT(SQRT(Table133456[[#This Row],[T]])))</f>
        <v>#DIV/0!</v>
      </c>
      <c r="AJ1026" t="e">
        <f ca="1">(EXP(-(AH1026^2)/2)/SQRT(2*PI())*EXP(0*SQRT(Table133456[[#This Row],[T]]))/$A$4*18%*SQRT(SQRT(Table133456[[#This Row],[T]])))</f>
        <v>#DIV/0!</v>
      </c>
      <c r="AK1026" t="e">
        <f ca="1">Table133456[[#This Row],[Call D1]]-Table133456[[#This Row],[IV Calc C]]*SQRT(Table133456[[#This Row],[T]])</f>
        <v>#DIV/0!</v>
      </c>
      <c r="AL1026" t="e">
        <f ca="1">Table133456[[#This Row],[Put D1]]-Table133456[[#This Row],[IV Calc P]]*SQRT(Table133456[[#This Row],[T]])</f>
        <v>#DIV/0!</v>
      </c>
      <c r="AM1026" t="e">
        <f ca="1">EXP(-0.5*Table133456[[#This Row],[Call D1]]^2)/SQRT(2*PI())</f>
        <v>#DIV/0!</v>
      </c>
      <c r="AN1026" t="e">
        <f ca="1">EXP(-0.5*Table133456[[#This Row],[Put D1]]^2)/SQRT(2*PI())</f>
        <v>#DIV/0!</v>
      </c>
      <c r="AO102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6">
        <f ca="1">((Table133456[[#This Row],[call vanna]]+Table133456[[#This Row],[put vanna]])*$A$4)</f>
        <v>0</v>
      </c>
      <c r="AR102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6" s="9" t="str" cm="1">
        <f t="array" ref="AT1026">_xlfn.IFS(     $M$1="SPX","SPXW",     $M$1="RUT","RUTW",  $M$1="NDX","NDXP",   TRUE,$M$1 )</f>
        <v>SPXW</v>
      </c>
      <c r="AU1026" s="2">
        <f t="shared" si="107"/>
        <v>6915</v>
      </c>
      <c r="AV1026" t="str">
        <f t="shared" si="108"/>
        <v>000100</v>
      </c>
      <c r="AY102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6">
        <f>((Table133456[[#This Row],[High C]]+Table133456[[#This Row],[Low C]])/2)*Table133456[[#This Row],[gammac]]*Table133456[[#This Row],[Volume]]</f>
        <v>0</v>
      </c>
      <c r="BD1026">
        <f>((Table133456[[#This Row],[High P]]+Table133456[[#This Row],[Low P]])/2)*Table133456[[#This Row],[gammap]]*Table133456[[#This Row],[Volume9]]*-1</f>
        <v>0</v>
      </c>
      <c r="BE1026">
        <f>(Table133456[[#This Row],[SgammaC]]+Table133456[[#This Row],[SgammaP]])*$A$4*-100</f>
        <v>0</v>
      </c>
      <c r="BF1026">
        <f>Table133456[[#This Row],[DEXc]]+Table133456[[#This Row],[DEXp]]</f>
        <v>0</v>
      </c>
      <c r="BG1026">
        <f>IFERROR(Table133456[[#This Row],[DeltaC]]*Table133456[[#This Row],[Open.Int]]*$A$4,0)</f>
        <v>0</v>
      </c>
      <c r="BH1026">
        <f>IFERROR(Table133456[[#This Row],[DeltaP]]*Table133456[[#This Row],[Open.Int8]]*$A$4,0)</f>
        <v>0</v>
      </c>
      <c r="BI102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6">
        <f ca="1">Table133456[[#This Row],[charmc]]+Table133456[[#This Row],[charmp]]</f>
        <v>0</v>
      </c>
      <c r="BL102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6" s="78">
        <f ca="1">Table133456[[#This Row],[call helper]]+Table133456[[#This Row],[put helper]]</f>
        <v>0</v>
      </c>
      <c r="BP1026" t="str">
        <f>RTD("tos.rtd", , "STRIKE", "."&amp;Table133456[[#This Row],[Ticker]]&amp;Table133456[[#This Row],[Expiry]]&amp;""&amp;"C"&amp;Table133456[[#This Row],[Spot]]+Table133456[[#This Row],[step]])</f>
        <v>N/A</v>
      </c>
    </row>
    <row r="1027" spans="1:69" x14ac:dyDescent="0.25">
      <c r="A1027" s="14">
        <f t="shared" ca="1" si="104"/>
        <v>-126.14810350076104</v>
      </c>
      <c r="C1027" s="17"/>
      <c r="D1027" t="str">
        <f>RTD("tos.rtd", , "OPEN_INT", "."&amp;Table133456[[#This Row],[Ticker]]&amp;Table133456[[#This Row],[Expiry]]&amp;""&amp;"C"&amp;Table133456[[#This Row],[Spot]]+Table133456[[#This Row],[step]])</f>
        <v>N/A</v>
      </c>
      <c r="E102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7" s="17" cm="1">
        <f t="array" aca="1" ref="H1027" ca="1">IndividualLegIVCore($A$4, Table133456[[#This Row],[Strike]], 0.0411, Table133456[[#This Row],[T]], ((Table133456[[#This Row],[BIDC]]+Table133456[[#This Row],[ASKC]])/2), TRUE)</f>
        <v>0.01</v>
      </c>
      <c r="I1027" t="b">
        <f>IF(     ISNUMBER(Table133456[[#This Row],[Strike]]),RTD("tos.rtd", , "BID", "."&amp;Table133456[[#This Row],[Ticker]]&amp;Table133456[[#This Row],[Expiry]]&amp;""&amp;"C"&amp;Table133456[[#This Row],[Strike]]))</f>
        <v>0</v>
      </c>
      <c r="J1027" t="b">
        <f>IF(     ISNUMBER(Table133456[[#This Row],[Strike]]),RTD("tos.rtd", , "ASK", "."&amp;Table133456[[#This Row],[Ticker]]&amp;Table133456[[#This Row],[Expiry]]&amp;""&amp;"C"&amp;Table133456[[#This Row],[Strike]]))</f>
        <v>0</v>
      </c>
      <c r="K1027" s="17"/>
      <c r="M1027" s="1">
        <f t="shared" si="105"/>
        <v>0</v>
      </c>
      <c r="N1027" t="b">
        <f t="shared" si="106"/>
        <v>0</v>
      </c>
      <c r="P1027" s="17" cm="1">
        <f t="array" aca="1" ref="P1027" ca="1">IndividualLegIVCore($A$4, Table133456[[#This Row],[Strike]], 0.0411, Table133456[[#This Row],[T]], ((Table133456[[#This Row],[BIDP]]+Table133456[[#This Row],[ASKP]])/2), FALSE)</f>
        <v>0.01</v>
      </c>
      <c r="Q1027" t="b">
        <f>IF(     ISNUMBER(Table133456[[#This Row],[Strike]]),RTD("tos.rtd", , "BID", "."&amp;Table133456[[#This Row],[Ticker]]&amp;Table133456[[#This Row],[Expiry]]&amp;""&amp;"P"&amp;Table133456[[#This Row],[Strike]]))</f>
        <v>0</v>
      </c>
      <c r="R1027" t="b">
        <f>IF(     ISNUMBER(Table133456[[#This Row],[Strike]]),RTD("tos.rtd", , "ASK", "."&amp;Table133456[[#This Row],[Ticker]]&amp;Table133456[[#This Row],[Expiry]]&amp;""&amp;"P"&amp;Table133456[[#This Row],[Strike]]))</f>
        <v>0</v>
      </c>
      <c r="S1027" s="17"/>
      <c r="T102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7" s="19">
        <f>-49* IF($M$1="NDX", 10, IF(OR($M$1="SPX", $M$1="RUT"), 2, 1))</f>
        <v>-98</v>
      </c>
      <c r="Z1027">
        <f ca="1">IFERROR(Table133456[[#This Row],[call gamma]]*(Table133456[[#This Row],[Open.Int]])*$A$4^2,0)</f>
        <v>0</v>
      </c>
      <c r="AA1027">
        <f ca="1">IFERROR(((Table133456[[#This Row],[Open.Int8]])*Table133456[[#This Row],[Put gamma]])*-1*$A$4^2,0)</f>
        <v>0</v>
      </c>
      <c r="AB1027">
        <f ca="1">(Table133456[[#This Row],[Call Gex]]+Table133456[[#This Row],[Put Gex]])</f>
        <v>0</v>
      </c>
      <c r="AC1027">
        <f ca="1">Table133456[[#This Row],[put delta adj]]+Table133456[[#This Row],[call delta adj]]</f>
        <v>0</v>
      </c>
      <c r="AD1027">
        <f ca="1">Table133456[[#This Row],[Put Gex]]*Table133456[[#This Row],[DeltaP]]*-1</f>
        <v>0</v>
      </c>
      <c r="AE1027">
        <f ca="1">Table133456[[#This Row],[Call Gex]]*Table133456[[#This Row],[DeltaC]]</f>
        <v>0</v>
      </c>
      <c r="AF1027">
        <f>IF(Table133456[[#This Row],[DeltaC]]-ABS(Table133456[[#This Row],[DeltaP]])="0","0.01",Table133456[[#This Row],[DeltaC]]-ABS(Table133456[[#This Row],[DeltaP]]))</f>
        <v>0</v>
      </c>
      <c r="AG102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7" t="e">
        <f ca="1">(EXP(-(AG1027^2)/2)/SQRT(2*PI())*EXP(0*SQRT(Table133456[[#This Row],[T]]))/$A$4*18%*SQRT(SQRT(Table133456[[#This Row],[T]])))</f>
        <v>#DIV/0!</v>
      </c>
      <c r="AJ1027" t="e">
        <f ca="1">(EXP(-(AH1027^2)/2)/SQRT(2*PI())*EXP(0*SQRT(Table133456[[#This Row],[T]]))/$A$4*18%*SQRT(SQRT(Table133456[[#This Row],[T]])))</f>
        <v>#DIV/0!</v>
      </c>
      <c r="AK1027" t="e">
        <f ca="1">Table133456[[#This Row],[Call D1]]-Table133456[[#This Row],[IV Calc C]]*SQRT(Table133456[[#This Row],[T]])</f>
        <v>#DIV/0!</v>
      </c>
      <c r="AL1027" t="e">
        <f ca="1">Table133456[[#This Row],[Put D1]]-Table133456[[#This Row],[IV Calc P]]*SQRT(Table133456[[#This Row],[T]])</f>
        <v>#DIV/0!</v>
      </c>
      <c r="AM1027" t="e">
        <f ca="1">EXP(-0.5*Table133456[[#This Row],[Call D1]]^2)/SQRT(2*PI())</f>
        <v>#DIV/0!</v>
      </c>
      <c r="AN1027" t="e">
        <f ca="1">EXP(-0.5*Table133456[[#This Row],[Put D1]]^2)/SQRT(2*PI())</f>
        <v>#DIV/0!</v>
      </c>
      <c r="AO102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7">
        <f ca="1">((Table133456[[#This Row],[call vanna]]+Table133456[[#This Row],[put vanna]])*$A$4)</f>
        <v>0</v>
      </c>
      <c r="AR102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7" s="9" t="str" cm="1">
        <f t="array" ref="AT1027">_xlfn.IFS(     $M$1="SPX","SPXW",     $M$1="RUT","RUTW",  $M$1="NDX","NDXP",   TRUE,$M$1 )</f>
        <v>SPXW</v>
      </c>
      <c r="AU1027" s="2">
        <f t="shared" si="107"/>
        <v>6915</v>
      </c>
      <c r="AV1027" t="str">
        <f t="shared" si="108"/>
        <v>000100</v>
      </c>
      <c r="AY102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7">
        <f>((Table133456[[#This Row],[High C]]+Table133456[[#This Row],[Low C]])/2)*Table133456[[#This Row],[gammac]]*Table133456[[#This Row],[Volume]]</f>
        <v>0</v>
      </c>
      <c r="BD1027">
        <f>((Table133456[[#This Row],[High P]]+Table133456[[#This Row],[Low P]])/2)*Table133456[[#This Row],[gammap]]*Table133456[[#This Row],[Volume9]]*-1</f>
        <v>0</v>
      </c>
      <c r="BE1027">
        <f>(Table133456[[#This Row],[SgammaC]]+Table133456[[#This Row],[SgammaP]])*$A$4*-100</f>
        <v>0</v>
      </c>
      <c r="BF1027">
        <f>Table133456[[#This Row],[DEXc]]+Table133456[[#This Row],[DEXp]]</f>
        <v>0</v>
      </c>
      <c r="BG1027">
        <f>IFERROR(Table133456[[#This Row],[DeltaC]]*Table133456[[#This Row],[Open.Int]]*$A$4,0)</f>
        <v>0</v>
      </c>
      <c r="BH1027">
        <f>IFERROR(Table133456[[#This Row],[DeltaP]]*Table133456[[#This Row],[Open.Int8]]*$A$4,0)</f>
        <v>0</v>
      </c>
      <c r="BI102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7">
        <f ca="1">Table133456[[#This Row],[charmc]]+Table133456[[#This Row],[charmp]]</f>
        <v>0</v>
      </c>
      <c r="BL102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7" s="78">
        <f ca="1">Table133456[[#This Row],[call helper]]+Table133456[[#This Row],[put helper]]</f>
        <v>0</v>
      </c>
      <c r="BP1027" t="str">
        <f>RTD("tos.rtd", , "STRIKE", "."&amp;Table133456[[#This Row],[Ticker]]&amp;Table133456[[#This Row],[Expiry]]&amp;""&amp;"C"&amp;Table133456[[#This Row],[Spot]]+Table133456[[#This Row],[step]])</f>
        <v>N/A</v>
      </c>
    </row>
    <row r="1028" spans="1:69" x14ac:dyDescent="0.25">
      <c r="A1028" s="14">
        <f t="shared" ca="1" si="104"/>
        <v>-126.14810350076104</v>
      </c>
      <c r="C1028" s="17"/>
      <c r="D1028" t="str">
        <f>RTD("tos.rtd", , "OPEN_INT", "."&amp;Table133456[[#This Row],[Ticker]]&amp;Table133456[[#This Row],[Expiry]]&amp;""&amp;"C"&amp;Table133456[[#This Row],[Spot]]+Table133456[[#This Row],[step]])</f>
        <v>N/A</v>
      </c>
      <c r="E102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8" s="17" cm="1">
        <f t="array" aca="1" ref="H1028" ca="1">IndividualLegIVCore($A$4, Table133456[[#This Row],[Strike]], 0.0411, Table133456[[#This Row],[T]], ((Table133456[[#This Row],[BIDC]]+Table133456[[#This Row],[ASKC]])/2), TRUE)</f>
        <v>0.01</v>
      </c>
      <c r="I1028" t="b">
        <f>IF(     ISNUMBER(Table133456[[#This Row],[Strike]]),RTD("tos.rtd", , "BID", "."&amp;Table133456[[#This Row],[Ticker]]&amp;Table133456[[#This Row],[Expiry]]&amp;""&amp;"C"&amp;Table133456[[#This Row],[Strike]]))</f>
        <v>0</v>
      </c>
      <c r="J1028" t="b">
        <f>IF(     ISNUMBER(Table133456[[#This Row],[Strike]]),RTD("tos.rtd", , "ASK", "."&amp;Table133456[[#This Row],[Ticker]]&amp;Table133456[[#This Row],[Expiry]]&amp;""&amp;"C"&amp;Table133456[[#This Row],[Strike]]))</f>
        <v>0</v>
      </c>
      <c r="K1028" s="17"/>
      <c r="M1028" s="1">
        <f t="shared" si="105"/>
        <v>0</v>
      </c>
      <c r="N1028" t="b">
        <f t="shared" si="106"/>
        <v>0</v>
      </c>
      <c r="P1028" s="17" cm="1">
        <f t="array" aca="1" ref="P1028" ca="1">IndividualLegIVCore($A$4, Table133456[[#This Row],[Strike]], 0.0411, Table133456[[#This Row],[T]], ((Table133456[[#This Row],[BIDP]]+Table133456[[#This Row],[ASKP]])/2), FALSE)</f>
        <v>0.01</v>
      </c>
      <c r="Q1028" t="b">
        <f>IF(     ISNUMBER(Table133456[[#This Row],[Strike]]),RTD("tos.rtd", , "BID", "."&amp;Table133456[[#This Row],[Ticker]]&amp;Table133456[[#This Row],[Expiry]]&amp;""&amp;"P"&amp;Table133456[[#This Row],[Strike]]))</f>
        <v>0</v>
      </c>
      <c r="R1028" t="b">
        <f>IF(     ISNUMBER(Table133456[[#This Row],[Strike]]),RTD("tos.rtd", , "ASK", "."&amp;Table133456[[#This Row],[Ticker]]&amp;Table133456[[#This Row],[Expiry]]&amp;""&amp;"P"&amp;Table133456[[#This Row],[Strike]]))</f>
        <v>0</v>
      </c>
      <c r="S1028" s="17"/>
      <c r="T102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8" s="19">
        <f>-48.5* IF($M$1="NDX", 10, IF(OR($M$1="SPX", $M$1="RUT"), 2, 1))</f>
        <v>-97</v>
      </c>
      <c r="Z1028">
        <f ca="1">IFERROR(Table133456[[#This Row],[call gamma]]*(Table133456[[#This Row],[Open.Int]])*$A$4^2,0)</f>
        <v>0</v>
      </c>
      <c r="AA1028">
        <f ca="1">IFERROR(((Table133456[[#This Row],[Open.Int8]])*Table133456[[#This Row],[Put gamma]])*-1*$A$4^2,0)</f>
        <v>0</v>
      </c>
      <c r="AB1028">
        <f ca="1">(Table133456[[#This Row],[Call Gex]]+Table133456[[#This Row],[Put Gex]])</f>
        <v>0</v>
      </c>
      <c r="AC1028">
        <f ca="1">Table133456[[#This Row],[put delta adj]]+Table133456[[#This Row],[call delta adj]]</f>
        <v>0</v>
      </c>
      <c r="AD1028">
        <f ca="1">Table133456[[#This Row],[Put Gex]]*Table133456[[#This Row],[DeltaP]]*-1</f>
        <v>0</v>
      </c>
      <c r="AE1028">
        <f ca="1">Table133456[[#This Row],[Call Gex]]*Table133456[[#This Row],[DeltaC]]</f>
        <v>0</v>
      </c>
      <c r="AF1028">
        <f>IF(Table133456[[#This Row],[DeltaC]]-ABS(Table133456[[#This Row],[DeltaP]])="0","0.01",Table133456[[#This Row],[DeltaC]]-ABS(Table133456[[#This Row],[DeltaP]]))</f>
        <v>0</v>
      </c>
      <c r="AG102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8" t="e">
        <f ca="1">(EXP(-(AG1028^2)/2)/SQRT(2*PI())*EXP(0*SQRT(Table133456[[#This Row],[T]]))/$A$4*18%*SQRT(SQRT(Table133456[[#This Row],[T]])))</f>
        <v>#DIV/0!</v>
      </c>
      <c r="AJ1028" t="e">
        <f ca="1">(EXP(-(AH1028^2)/2)/SQRT(2*PI())*EXP(0*SQRT(Table133456[[#This Row],[T]]))/$A$4*18%*SQRT(SQRT(Table133456[[#This Row],[T]])))</f>
        <v>#DIV/0!</v>
      </c>
      <c r="AK1028" t="e">
        <f ca="1">Table133456[[#This Row],[Call D1]]-Table133456[[#This Row],[IV Calc C]]*SQRT(Table133456[[#This Row],[T]])</f>
        <v>#DIV/0!</v>
      </c>
      <c r="AL1028" t="e">
        <f ca="1">Table133456[[#This Row],[Put D1]]-Table133456[[#This Row],[IV Calc P]]*SQRT(Table133456[[#This Row],[T]])</f>
        <v>#DIV/0!</v>
      </c>
      <c r="AM1028" t="e">
        <f ca="1">EXP(-0.5*Table133456[[#This Row],[Call D1]]^2)/SQRT(2*PI())</f>
        <v>#DIV/0!</v>
      </c>
      <c r="AN1028" t="e">
        <f ca="1">EXP(-0.5*Table133456[[#This Row],[Put D1]]^2)/SQRT(2*PI())</f>
        <v>#DIV/0!</v>
      </c>
      <c r="AO102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8">
        <f ca="1">((Table133456[[#This Row],[call vanna]]+Table133456[[#This Row],[put vanna]])*$A$4)</f>
        <v>0</v>
      </c>
      <c r="AR102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8" s="9" t="str" cm="1">
        <f t="array" ref="AT1028">_xlfn.IFS(     $M$1="SPX","SPXW",     $M$1="RUT","RUTW",  $M$1="NDX","NDXP",   TRUE,$M$1 )</f>
        <v>SPXW</v>
      </c>
      <c r="AU1028" s="2">
        <f t="shared" si="107"/>
        <v>6915</v>
      </c>
      <c r="AV1028" t="str">
        <f t="shared" si="108"/>
        <v>000100</v>
      </c>
      <c r="AY102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8">
        <f>((Table133456[[#This Row],[High C]]+Table133456[[#This Row],[Low C]])/2)*Table133456[[#This Row],[gammac]]*Table133456[[#This Row],[Volume]]</f>
        <v>0</v>
      </c>
      <c r="BD1028">
        <f>((Table133456[[#This Row],[High P]]+Table133456[[#This Row],[Low P]])/2)*Table133456[[#This Row],[gammap]]*Table133456[[#This Row],[Volume9]]*-1</f>
        <v>0</v>
      </c>
      <c r="BE1028">
        <f>(Table133456[[#This Row],[SgammaC]]+Table133456[[#This Row],[SgammaP]])*$A$4*-100</f>
        <v>0</v>
      </c>
      <c r="BF1028">
        <f>Table133456[[#This Row],[DEXc]]+Table133456[[#This Row],[DEXp]]</f>
        <v>0</v>
      </c>
      <c r="BG1028">
        <f>IFERROR(Table133456[[#This Row],[DeltaC]]*Table133456[[#This Row],[Open.Int]]*$A$4,0)</f>
        <v>0</v>
      </c>
      <c r="BH1028">
        <f>IFERROR(Table133456[[#This Row],[DeltaP]]*Table133456[[#This Row],[Open.Int8]]*$A$4,0)</f>
        <v>0</v>
      </c>
      <c r="BI102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8">
        <f ca="1">Table133456[[#This Row],[charmc]]+Table133456[[#This Row],[charmp]]</f>
        <v>0</v>
      </c>
      <c r="BL102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8" s="78">
        <f ca="1">Table133456[[#This Row],[call helper]]+Table133456[[#This Row],[put helper]]</f>
        <v>0</v>
      </c>
      <c r="BP1028" t="str">
        <f>RTD("tos.rtd", , "STRIKE", "."&amp;Table133456[[#This Row],[Ticker]]&amp;Table133456[[#This Row],[Expiry]]&amp;""&amp;"C"&amp;Table133456[[#This Row],[Spot]]+Table133456[[#This Row],[step]])</f>
        <v>N/A</v>
      </c>
    </row>
    <row r="1029" spans="1:69" x14ac:dyDescent="0.25">
      <c r="A1029" s="14">
        <f t="shared" ca="1" si="104"/>
        <v>-126.14810350076104</v>
      </c>
      <c r="C1029" s="17"/>
      <c r="D1029" t="str">
        <f>RTD("tos.rtd", , "OPEN_INT", "."&amp;Table133456[[#This Row],[Ticker]]&amp;Table133456[[#This Row],[Expiry]]&amp;""&amp;"C"&amp;Table133456[[#This Row],[Spot]]+Table133456[[#This Row],[step]])</f>
        <v>N/A</v>
      </c>
      <c r="E102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9" s="17" cm="1">
        <f t="array" aca="1" ref="H1029" ca="1">IndividualLegIVCore($A$4, Table133456[[#This Row],[Strike]], 0.0411, Table133456[[#This Row],[T]], ((Table133456[[#This Row],[BIDC]]+Table133456[[#This Row],[ASKC]])/2), TRUE)</f>
        <v>0.01</v>
      </c>
      <c r="I1029" t="b">
        <f>IF(     ISNUMBER(Table133456[[#This Row],[Strike]]),RTD("tos.rtd", , "BID", "."&amp;Table133456[[#This Row],[Ticker]]&amp;Table133456[[#This Row],[Expiry]]&amp;""&amp;"C"&amp;Table133456[[#This Row],[Strike]]))</f>
        <v>0</v>
      </c>
      <c r="J1029" t="b">
        <f>IF(     ISNUMBER(Table133456[[#This Row],[Strike]]),RTD("tos.rtd", , "ASK", "."&amp;Table133456[[#This Row],[Ticker]]&amp;Table133456[[#This Row],[Expiry]]&amp;""&amp;"C"&amp;Table133456[[#This Row],[Strike]]))</f>
        <v>0</v>
      </c>
      <c r="K1029" s="17"/>
      <c r="M1029" s="1">
        <f t="shared" si="105"/>
        <v>0</v>
      </c>
      <c r="N1029" t="b">
        <f t="shared" si="106"/>
        <v>0</v>
      </c>
      <c r="P1029" s="17" cm="1">
        <f t="array" aca="1" ref="P1029" ca="1">IndividualLegIVCore($A$4, Table133456[[#This Row],[Strike]], 0.0411, Table133456[[#This Row],[T]], ((Table133456[[#This Row],[BIDP]]+Table133456[[#This Row],[ASKP]])/2), FALSE)</f>
        <v>0.01</v>
      </c>
      <c r="Q1029" t="b">
        <f>IF(     ISNUMBER(Table133456[[#This Row],[Strike]]),RTD("tos.rtd", , "BID", "."&amp;Table133456[[#This Row],[Ticker]]&amp;Table133456[[#This Row],[Expiry]]&amp;""&amp;"P"&amp;Table133456[[#This Row],[Strike]]))</f>
        <v>0</v>
      </c>
      <c r="R1029" t="b">
        <f>IF(     ISNUMBER(Table133456[[#This Row],[Strike]]),RTD("tos.rtd", , "ASK", "."&amp;Table133456[[#This Row],[Ticker]]&amp;Table133456[[#This Row],[Expiry]]&amp;""&amp;"P"&amp;Table133456[[#This Row],[Strike]]))</f>
        <v>0</v>
      </c>
      <c r="S1029" s="17"/>
      <c r="T102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9" s="19">
        <f>-48* IF($M$1="NDX", 10, IF(OR($M$1="SPX", $M$1="RUT"), 2, 1))</f>
        <v>-96</v>
      </c>
      <c r="Z1029">
        <f ca="1">IFERROR(Table133456[[#This Row],[call gamma]]*(Table133456[[#This Row],[Open.Int]])*$A$4^2,0)</f>
        <v>0</v>
      </c>
      <c r="AA1029">
        <f ca="1">IFERROR(((Table133456[[#This Row],[Open.Int8]])*Table133456[[#This Row],[Put gamma]])*-1*$A$4^2,0)</f>
        <v>0</v>
      </c>
      <c r="AB1029">
        <f ca="1">(Table133456[[#This Row],[Call Gex]]+Table133456[[#This Row],[Put Gex]])</f>
        <v>0</v>
      </c>
      <c r="AC1029">
        <f ca="1">Table133456[[#This Row],[put delta adj]]+Table133456[[#This Row],[call delta adj]]</f>
        <v>0</v>
      </c>
      <c r="AD1029">
        <f ca="1">Table133456[[#This Row],[Put Gex]]*Table133456[[#This Row],[DeltaP]]*-1</f>
        <v>0</v>
      </c>
      <c r="AE1029">
        <f ca="1">Table133456[[#This Row],[Call Gex]]*Table133456[[#This Row],[DeltaC]]</f>
        <v>0</v>
      </c>
      <c r="AF1029">
        <f>IF(Table133456[[#This Row],[DeltaC]]-ABS(Table133456[[#This Row],[DeltaP]])="0","0.01",Table133456[[#This Row],[DeltaC]]-ABS(Table133456[[#This Row],[DeltaP]]))</f>
        <v>0</v>
      </c>
      <c r="AG102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9" t="e">
        <f ca="1">(EXP(-(AG1029^2)/2)/SQRT(2*PI())*EXP(0*SQRT(Table133456[[#This Row],[T]]))/$A$4*18%*SQRT(SQRT(Table133456[[#This Row],[T]])))</f>
        <v>#DIV/0!</v>
      </c>
      <c r="AJ1029" t="e">
        <f ca="1">(EXP(-(AH1029^2)/2)/SQRT(2*PI())*EXP(0*SQRT(Table133456[[#This Row],[T]]))/$A$4*18%*SQRT(SQRT(Table133456[[#This Row],[T]])))</f>
        <v>#DIV/0!</v>
      </c>
      <c r="AK1029" t="e">
        <f ca="1">Table133456[[#This Row],[Call D1]]-Table133456[[#This Row],[IV Calc C]]*SQRT(Table133456[[#This Row],[T]])</f>
        <v>#DIV/0!</v>
      </c>
      <c r="AL1029" t="e">
        <f ca="1">Table133456[[#This Row],[Put D1]]-Table133456[[#This Row],[IV Calc P]]*SQRT(Table133456[[#This Row],[T]])</f>
        <v>#DIV/0!</v>
      </c>
      <c r="AM1029" t="e">
        <f ca="1">EXP(-0.5*Table133456[[#This Row],[Call D1]]^2)/SQRT(2*PI())</f>
        <v>#DIV/0!</v>
      </c>
      <c r="AN1029" t="e">
        <f ca="1">EXP(-0.5*Table133456[[#This Row],[Put D1]]^2)/SQRT(2*PI())</f>
        <v>#DIV/0!</v>
      </c>
      <c r="AO102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9">
        <f ca="1">((Table133456[[#This Row],[call vanna]]+Table133456[[#This Row],[put vanna]])*$A$4)</f>
        <v>0</v>
      </c>
      <c r="AR102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9" s="9" t="str" cm="1">
        <f t="array" ref="AT1029">_xlfn.IFS(     $M$1="SPX","SPXW",     $M$1="RUT","RUTW",  $M$1="NDX","NDXP",   TRUE,$M$1 )</f>
        <v>SPXW</v>
      </c>
      <c r="AU1029" s="2">
        <f t="shared" si="107"/>
        <v>6915</v>
      </c>
      <c r="AV1029" t="str">
        <f t="shared" si="108"/>
        <v>000100</v>
      </c>
      <c r="AY102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9">
        <f>((Table133456[[#This Row],[High C]]+Table133456[[#This Row],[Low C]])/2)*Table133456[[#This Row],[gammac]]*Table133456[[#This Row],[Volume]]</f>
        <v>0</v>
      </c>
      <c r="BD1029">
        <f>((Table133456[[#This Row],[High P]]+Table133456[[#This Row],[Low P]])/2)*Table133456[[#This Row],[gammap]]*Table133456[[#This Row],[Volume9]]*-1</f>
        <v>0</v>
      </c>
      <c r="BE1029">
        <f>(Table133456[[#This Row],[SgammaC]]+Table133456[[#This Row],[SgammaP]])*$A$4*-100</f>
        <v>0</v>
      </c>
      <c r="BF1029">
        <f>Table133456[[#This Row],[DEXc]]+Table133456[[#This Row],[DEXp]]</f>
        <v>0</v>
      </c>
      <c r="BG1029">
        <f>IFERROR(Table133456[[#This Row],[DeltaC]]*Table133456[[#This Row],[Open.Int]]*$A$4,0)</f>
        <v>0</v>
      </c>
      <c r="BH1029">
        <f>IFERROR(Table133456[[#This Row],[DeltaP]]*Table133456[[#This Row],[Open.Int8]]*$A$4,0)</f>
        <v>0</v>
      </c>
      <c r="BI102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9">
        <f ca="1">Table133456[[#This Row],[charmc]]+Table133456[[#This Row],[charmp]]</f>
        <v>0</v>
      </c>
      <c r="BL102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9" s="78">
        <f ca="1">Table133456[[#This Row],[call helper]]+Table133456[[#This Row],[put helper]]</f>
        <v>0</v>
      </c>
      <c r="BP1029" t="str">
        <f>RTD("tos.rtd", , "STRIKE", "."&amp;Table133456[[#This Row],[Ticker]]&amp;Table133456[[#This Row],[Expiry]]&amp;""&amp;"C"&amp;Table133456[[#This Row],[Spot]]+Table133456[[#This Row],[step]])</f>
        <v>N/A</v>
      </c>
    </row>
    <row r="1030" spans="1:69" x14ac:dyDescent="0.25">
      <c r="A1030" s="14">
        <f t="shared" ca="1" si="104"/>
        <v>-126.14810350076104</v>
      </c>
      <c r="C1030" s="17"/>
      <c r="D1030" t="str">
        <f>RTD("tos.rtd", , "OPEN_INT", "."&amp;Table133456[[#This Row],[Ticker]]&amp;Table133456[[#This Row],[Expiry]]&amp;""&amp;"C"&amp;Table133456[[#This Row],[Spot]]+Table133456[[#This Row],[step]])</f>
        <v>N/A</v>
      </c>
      <c r="E103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0" s="17" cm="1">
        <f t="array" aca="1" ref="H1030" ca="1">IndividualLegIVCore($A$4, Table133456[[#This Row],[Strike]], 0.0411, Table133456[[#This Row],[T]], ((Table133456[[#This Row],[BIDC]]+Table133456[[#This Row],[ASKC]])/2), TRUE)</f>
        <v>0.01</v>
      </c>
      <c r="I1030" t="b">
        <f>IF(     ISNUMBER(Table133456[[#This Row],[Strike]]),RTD("tos.rtd", , "BID", "."&amp;Table133456[[#This Row],[Ticker]]&amp;Table133456[[#This Row],[Expiry]]&amp;""&amp;"C"&amp;Table133456[[#This Row],[Strike]]))</f>
        <v>0</v>
      </c>
      <c r="J1030" t="b">
        <f>IF(     ISNUMBER(Table133456[[#This Row],[Strike]]),RTD("tos.rtd", , "ASK", "."&amp;Table133456[[#This Row],[Ticker]]&amp;Table133456[[#This Row],[Expiry]]&amp;""&amp;"C"&amp;Table133456[[#This Row],[Strike]]))</f>
        <v>0</v>
      </c>
      <c r="K1030" s="17"/>
      <c r="M1030" s="1">
        <f t="shared" si="105"/>
        <v>0</v>
      </c>
      <c r="N1030" t="b">
        <f t="shared" si="106"/>
        <v>0</v>
      </c>
      <c r="P1030" s="17" cm="1">
        <f t="array" aca="1" ref="P1030" ca="1">IndividualLegIVCore($A$4, Table133456[[#This Row],[Strike]], 0.0411, Table133456[[#This Row],[T]], ((Table133456[[#This Row],[BIDP]]+Table133456[[#This Row],[ASKP]])/2), FALSE)</f>
        <v>0.01</v>
      </c>
      <c r="Q1030" t="b">
        <f>IF(     ISNUMBER(Table133456[[#This Row],[Strike]]),RTD("tos.rtd", , "BID", "."&amp;Table133456[[#This Row],[Ticker]]&amp;Table133456[[#This Row],[Expiry]]&amp;""&amp;"P"&amp;Table133456[[#This Row],[Strike]]))</f>
        <v>0</v>
      </c>
      <c r="R1030" t="b">
        <f>IF(     ISNUMBER(Table133456[[#This Row],[Strike]]),RTD("tos.rtd", , "ASK", "."&amp;Table133456[[#This Row],[Ticker]]&amp;Table133456[[#This Row],[Expiry]]&amp;""&amp;"P"&amp;Table133456[[#This Row],[Strike]]))</f>
        <v>0</v>
      </c>
      <c r="S1030" s="17"/>
      <c r="T103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0" s="19">
        <f>-47.5* IF($M$1="NDX", 10, IF(OR($M$1="SPX", $M$1="RUT"), 2, 1))</f>
        <v>-95</v>
      </c>
      <c r="Z1030">
        <f ca="1">IFERROR(Table133456[[#This Row],[call gamma]]*(Table133456[[#This Row],[Open.Int]])*$A$4^2,0)</f>
        <v>0</v>
      </c>
      <c r="AA1030">
        <f ca="1">IFERROR(((Table133456[[#This Row],[Open.Int8]])*Table133456[[#This Row],[Put gamma]])*-1*$A$4^2,0)</f>
        <v>0</v>
      </c>
      <c r="AB1030">
        <f ca="1">(Table133456[[#This Row],[Call Gex]]+Table133456[[#This Row],[Put Gex]])</f>
        <v>0</v>
      </c>
      <c r="AC1030">
        <f ca="1">Table133456[[#This Row],[put delta adj]]+Table133456[[#This Row],[call delta adj]]</f>
        <v>0</v>
      </c>
      <c r="AD1030">
        <f ca="1">Table133456[[#This Row],[Put Gex]]*Table133456[[#This Row],[DeltaP]]*-1</f>
        <v>0</v>
      </c>
      <c r="AE1030">
        <f ca="1">Table133456[[#This Row],[Call Gex]]*Table133456[[#This Row],[DeltaC]]</f>
        <v>0</v>
      </c>
      <c r="AF1030">
        <f>IF(Table133456[[#This Row],[DeltaC]]-ABS(Table133456[[#This Row],[DeltaP]])="0","0.01",Table133456[[#This Row],[DeltaC]]-ABS(Table133456[[#This Row],[DeltaP]]))</f>
        <v>0</v>
      </c>
      <c r="AG103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0" t="e">
        <f ca="1">(EXP(-(AG1030^2)/2)/SQRT(2*PI())*EXP(0*SQRT(Table133456[[#This Row],[T]]))/$A$4*18%*SQRT(SQRT(Table133456[[#This Row],[T]])))</f>
        <v>#DIV/0!</v>
      </c>
      <c r="AJ1030" t="e">
        <f ca="1">(EXP(-(AH1030^2)/2)/SQRT(2*PI())*EXP(0*SQRT(Table133456[[#This Row],[T]]))/$A$4*18%*SQRT(SQRT(Table133456[[#This Row],[T]])))</f>
        <v>#DIV/0!</v>
      </c>
      <c r="AK1030" t="e">
        <f ca="1">Table133456[[#This Row],[Call D1]]-Table133456[[#This Row],[IV Calc C]]*SQRT(Table133456[[#This Row],[T]])</f>
        <v>#DIV/0!</v>
      </c>
      <c r="AL1030" t="e">
        <f ca="1">Table133456[[#This Row],[Put D1]]-Table133456[[#This Row],[IV Calc P]]*SQRT(Table133456[[#This Row],[T]])</f>
        <v>#DIV/0!</v>
      </c>
      <c r="AM1030" t="e">
        <f ca="1">EXP(-0.5*Table133456[[#This Row],[Call D1]]^2)/SQRT(2*PI())</f>
        <v>#DIV/0!</v>
      </c>
      <c r="AN1030" t="e">
        <f ca="1">EXP(-0.5*Table133456[[#This Row],[Put D1]]^2)/SQRT(2*PI())</f>
        <v>#DIV/0!</v>
      </c>
      <c r="AO103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0">
        <f ca="1">((Table133456[[#This Row],[call vanna]]+Table133456[[#This Row],[put vanna]])*$A$4)</f>
        <v>0</v>
      </c>
      <c r="AR103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0" s="9" t="str" cm="1">
        <f t="array" ref="AT1030">_xlfn.IFS(     $M$1="SPX","SPXW",     $M$1="RUT","RUTW",  $M$1="NDX","NDXP",   TRUE,$M$1 )</f>
        <v>SPXW</v>
      </c>
      <c r="AU1030" s="2">
        <f t="shared" si="107"/>
        <v>6915</v>
      </c>
      <c r="AV1030" t="str">
        <f t="shared" si="108"/>
        <v>000100</v>
      </c>
      <c r="AY103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0">
        <f>((Table133456[[#This Row],[High C]]+Table133456[[#This Row],[Low C]])/2)*Table133456[[#This Row],[gammac]]*Table133456[[#This Row],[Volume]]</f>
        <v>0</v>
      </c>
      <c r="BD1030">
        <f>((Table133456[[#This Row],[High P]]+Table133456[[#This Row],[Low P]])/2)*Table133456[[#This Row],[gammap]]*Table133456[[#This Row],[Volume9]]*-1</f>
        <v>0</v>
      </c>
      <c r="BE1030">
        <f>(Table133456[[#This Row],[SgammaC]]+Table133456[[#This Row],[SgammaP]])*$A$4*-100</f>
        <v>0</v>
      </c>
      <c r="BF1030">
        <f>Table133456[[#This Row],[DEXc]]+Table133456[[#This Row],[DEXp]]</f>
        <v>0</v>
      </c>
      <c r="BG1030">
        <f>IFERROR(Table133456[[#This Row],[DeltaC]]*Table133456[[#This Row],[Open.Int]]*$A$4,0)</f>
        <v>0</v>
      </c>
      <c r="BH1030">
        <f>IFERROR(Table133456[[#This Row],[DeltaP]]*Table133456[[#This Row],[Open.Int8]]*$A$4,0)</f>
        <v>0</v>
      </c>
      <c r="BI103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0">
        <f ca="1">Table133456[[#This Row],[charmc]]+Table133456[[#This Row],[charmp]]</f>
        <v>0</v>
      </c>
      <c r="BL103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0" s="78">
        <f ca="1">Table133456[[#This Row],[call helper]]+Table133456[[#This Row],[put helper]]</f>
        <v>0</v>
      </c>
      <c r="BP1030" t="str">
        <f>RTD("tos.rtd", , "STRIKE", "."&amp;Table133456[[#This Row],[Ticker]]&amp;Table133456[[#This Row],[Expiry]]&amp;""&amp;"C"&amp;Table133456[[#This Row],[Spot]]+Table133456[[#This Row],[step]])</f>
        <v>N/A</v>
      </c>
    </row>
    <row r="1031" spans="1:69" x14ac:dyDescent="0.25">
      <c r="A1031" s="14">
        <f t="shared" ca="1" si="104"/>
        <v>-126.14810350076104</v>
      </c>
      <c r="C1031" s="17"/>
      <c r="D1031" t="str">
        <f>RTD("tos.rtd", , "OPEN_INT", "."&amp;Table133456[[#This Row],[Ticker]]&amp;Table133456[[#This Row],[Expiry]]&amp;""&amp;"C"&amp;Table133456[[#This Row],[Spot]]+Table133456[[#This Row],[step]])</f>
        <v>N/A</v>
      </c>
      <c r="E103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1" s="17" cm="1">
        <f t="array" aca="1" ref="H1031" ca="1">IndividualLegIVCore($A$4, Table133456[[#This Row],[Strike]], 0.0411, Table133456[[#This Row],[T]], ((Table133456[[#This Row],[BIDC]]+Table133456[[#This Row],[ASKC]])/2), TRUE)</f>
        <v>0.01</v>
      </c>
      <c r="I1031" t="b">
        <f>IF(     ISNUMBER(Table133456[[#This Row],[Strike]]),RTD("tos.rtd", , "BID", "."&amp;Table133456[[#This Row],[Ticker]]&amp;Table133456[[#This Row],[Expiry]]&amp;""&amp;"C"&amp;Table133456[[#This Row],[Strike]]))</f>
        <v>0</v>
      </c>
      <c r="J1031" t="b">
        <f>IF(     ISNUMBER(Table133456[[#This Row],[Strike]]),RTD("tos.rtd", , "ASK", "."&amp;Table133456[[#This Row],[Ticker]]&amp;Table133456[[#This Row],[Expiry]]&amp;""&amp;"C"&amp;Table133456[[#This Row],[Strike]]))</f>
        <v>0</v>
      </c>
      <c r="K1031" s="17"/>
      <c r="M1031" s="1">
        <f t="shared" si="105"/>
        <v>0</v>
      </c>
      <c r="N1031" t="b">
        <f t="shared" si="106"/>
        <v>0</v>
      </c>
      <c r="P1031" s="17" cm="1">
        <f t="array" aca="1" ref="P1031" ca="1">IndividualLegIVCore($A$4, Table133456[[#This Row],[Strike]], 0.0411, Table133456[[#This Row],[T]], ((Table133456[[#This Row],[BIDP]]+Table133456[[#This Row],[ASKP]])/2), FALSE)</f>
        <v>0.01</v>
      </c>
      <c r="Q1031" t="b">
        <f>IF(     ISNUMBER(Table133456[[#This Row],[Strike]]),RTD("tos.rtd", , "BID", "."&amp;Table133456[[#This Row],[Ticker]]&amp;Table133456[[#This Row],[Expiry]]&amp;""&amp;"P"&amp;Table133456[[#This Row],[Strike]]))</f>
        <v>0</v>
      </c>
      <c r="R1031" t="b">
        <f>IF(     ISNUMBER(Table133456[[#This Row],[Strike]]),RTD("tos.rtd", , "ASK", "."&amp;Table133456[[#This Row],[Ticker]]&amp;Table133456[[#This Row],[Expiry]]&amp;""&amp;"P"&amp;Table133456[[#This Row],[Strike]]))</f>
        <v>0</v>
      </c>
      <c r="S1031" s="17"/>
      <c r="T103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1" s="19">
        <f>-47* IF($M$1="NDX", 10, IF(OR($M$1="SPX", $M$1="RUT"), 2, 1))</f>
        <v>-94</v>
      </c>
      <c r="Z1031">
        <f ca="1">IFERROR(Table133456[[#This Row],[call gamma]]*(Table133456[[#This Row],[Open.Int]])*$A$4^2,0)</f>
        <v>0</v>
      </c>
      <c r="AA1031">
        <f ca="1">IFERROR(((Table133456[[#This Row],[Open.Int8]])*Table133456[[#This Row],[Put gamma]])*-1*$A$4^2,0)</f>
        <v>0</v>
      </c>
      <c r="AB1031">
        <f ca="1">(Table133456[[#This Row],[Call Gex]]+Table133456[[#This Row],[Put Gex]])</f>
        <v>0</v>
      </c>
      <c r="AC1031">
        <f ca="1">Table133456[[#This Row],[put delta adj]]+Table133456[[#This Row],[call delta adj]]</f>
        <v>0</v>
      </c>
      <c r="AD1031">
        <f ca="1">Table133456[[#This Row],[Put Gex]]*Table133456[[#This Row],[DeltaP]]*-1</f>
        <v>0</v>
      </c>
      <c r="AE1031">
        <f ca="1">Table133456[[#This Row],[Call Gex]]*Table133456[[#This Row],[DeltaC]]</f>
        <v>0</v>
      </c>
      <c r="AF1031">
        <f>IF(Table133456[[#This Row],[DeltaC]]-ABS(Table133456[[#This Row],[DeltaP]])="0","0.01",Table133456[[#This Row],[DeltaC]]-ABS(Table133456[[#This Row],[DeltaP]]))</f>
        <v>0</v>
      </c>
      <c r="AG103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1" t="e">
        <f ca="1">(EXP(-(AG1031^2)/2)/SQRT(2*PI())*EXP(0*SQRT(Table133456[[#This Row],[T]]))/$A$4*18%*SQRT(SQRT(Table133456[[#This Row],[T]])))</f>
        <v>#DIV/0!</v>
      </c>
      <c r="AJ1031" t="e">
        <f ca="1">(EXP(-(AH1031^2)/2)/SQRT(2*PI())*EXP(0*SQRT(Table133456[[#This Row],[T]]))/$A$4*18%*SQRT(SQRT(Table133456[[#This Row],[T]])))</f>
        <v>#DIV/0!</v>
      </c>
      <c r="AK1031" t="e">
        <f ca="1">Table133456[[#This Row],[Call D1]]-Table133456[[#This Row],[IV Calc C]]*SQRT(Table133456[[#This Row],[T]])</f>
        <v>#DIV/0!</v>
      </c>
      <c r="AL1031" t="e">
        <f ca="1">Table133456[[#This Row],[Put D1]]-Table133456[[#This Row],[IV Calc P]]*SQRT(Table133456[[#This Row],[T]])</f>
        <v>#DIV/0!</v>
      </c>
      <c r="AM1031" t="e">
        <f ca="1">EXP(-0.5*Table133456[[#This Row],[Call D1]]^2)/SQRT(2*PI())</f>
        <v>#DIV/0!</v>
      </c>
      <c r="AN1031" t="e">
        <f ca="1">EXP(-0.5*Table133456[[#This Row],[Put D1]]^2)/SQRT(2*PI())</f>
        <v>#DIV/0!</v>
      </c>
      <c r="AO103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1">
        <f ca="1">((Table133456[[#This Row],[call vanna]]+Table133456[[#This Row],[put vanna]])*$A$4)</f>
        <v>0</v>
      </c>
      <c r="AR103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1" s="9" t="str" cm="1">
        <f t="array" ref="AT1031">_xlfn.IFS(     $M$1="SPX","SPXW",     $M$1="RUT","RUTW",  $M$1="NDX","NDXP",   TRUE,$M$1 )</f>
        <v>SPXW</v>
      </c>
      <c r="AU1031" s="2">
        <f t="shared" si="107"/>
        <v>6915</v>
      </c>
      <c r="AV1031" t="str">
        <f t="shared" si="108"/>
        <v>000100</v>
      </c>
      <c r="AY103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1">
        <f>((Table133456[[#This Row],[High C]]+Table133456[[#This Row],[Low C]])/2)*Table133456[[#This Row],[gammac]]*Table133456[[#This Row],[Volume]]</f>
        <v>0</v>
      </c>
      <c r="BD1031">
        <f>((Table133456[[#This Row],[High P]]+Table133456[[#This Row],[Low P]])/2)*Table133456[[#This Row],[gammap]]*Table133456[[#This Row],[Volume9]]*-1</f>
        <v>0</v>
      </c>
      <c r="BE1031">
        <f>(Table133456[[#This Row],[SgammaC]]+Table133456[[#This Row],[SgammaP]])*$A$4*-100</f>
        <v>0</v>
      </c>
      <c r="BF1031">
        <f>Table133456[[#This Row],[DEXc]]+Table133456[[#This Row],[DEXp]]</f>
        <v>0</v>
      </c>
      <c r="BG1031">
        <f>IFERROR(Table133456[[#This Row],[DeltaC]]*Table133456[[#This Row],[Open.Int]]*$A$4,0)</f>
        <v>0</v>
      </c>
      <c r="BH1031">
        <f>IFERROR(Table133456[[#This Row],[DeltaP]]*Table133456[[#This Row],[Open.Int8]]*$A$4,0)</f>
        <v>0</v>
      </c>
      <c r="BI103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1">
        <f ca="1">Table133456[[#This Row],[charmc]]+Table133456[[#This Row],[charmp]]</f>
        <v>0</v>
      </c>
      <c r="BL103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1" s="78">
        <f ca="1">Table133456[[#This Row],[call helper]]+Table133456[[#This Row],[put helper]]</f>
        <v>0</v>
      </c>
      <c r="BP1031" t="str">
        <f>RTD("tos.rtd", , "STRIKE", "."&amp;Table133456[[#This Row],[Ticker]]&amp;Table133456[[#This Row],[Expiry]]&amp;""&amp;"C"&amp;Table133456[[#This Row],[Spot]]+Table133456[[#This Row],[step]])</f>
        <v>N/A</v>
      </c>
    </row>
    <row r="1032" spans="1:69" x14ac:dyDescent="0.25">
      <c r="A1032" s="14">
        <f t="shared" ca="1" si="104"/>
        <v>-126.14810350076104</v>
      </c>
      <c r="C1032" s="17"/>
      <c r="D1032" t="str">
        <f>RTD("tos.rtd", , "OPEN_INT", "."&amp;Table133456[[#This Row],[Ticker]]&amp;Table133456[[#This Row],[Expiry]]&amp;""&amp;"C"&amp;Table133456[[#This Row],[Spot]]+Table133456[[#This Row],[step]])</f>
        <v>N/A</v>
      </c>
      <c r="E103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2" s="17" cm="1">
        <f t="array" aca="1" ref="H1032" ca="1">IndividualLegIVCore($A$4, Table133456[[#This Row],[Strike]], 0.0411, Table133456[[#This Row],[T]], ((Table133456[[#This Row],[BIDC]]+Table133456[[#This Row],[ASKC]])/2), TRUE)</f>
        <v>0.01</v>
      </c>
      <c r="I1032" t="b">
        <f>IF(     ISNUMBER(Table133456[[#This Row],[Strike]]),RTD("tos.rtd", , "BID", "."&amp;Table133456[[#This Row],[Ticker]]&amp;Table133456[[#This Row],[Expiry]]&amp;""&amp;"C"&amp;Table133456[[#This Row],[Strike]]))</f>
        <v>0</v>
      </c>
      <c r="J1032" t="b">
        <f>IF(     ISNUMBER(Table133456[[#This Row],[Strike]]),RTD("tos.rtd", , "ASK", "."&amp;Table133456[[#This Row],[Ticker]]&amp;Table133456[[#This Row],[Expiry]]&amp;""&amp;"C"&amp;Table133456[[#This Row],[Strike]]))</f>
        <v>0</v>
      </c>
      <c r="K1032" s="17"/>
      <c r="M1032" s="1">
        <f t="shared" si="105"/>
        <v>0</v>
      </c>
      <c r="N1032" t="b">
        <f t="shared" si="106"/>
        <v>0</v>
      </c>
      <c r="P1032" s="17" cm="1">
        <f t="array" aca="1" ref="P1032" ca="1">IndividualLegIVCore($A$4, Table133456[[#This Row],[Strike]], 0.0411, Table133456[[#This Row],[T]], ((Table133456[[#This Row],[BIDP]]+Table133456[[#This Row],[ASKP]])/2), FALSE)</f>
        <v>0.01</v>
      </c>
      <c r="Q1032" t="b">
        <f>IF(     ISNUMBER(Table133456[[#This Row],[Strike]]),RTD("tos.rtd", , "BID", "."&amp;Table133456[[#This Row],[Ticker]]&amp;Table133456[[#This Row],[Expiry]]&amp;""&amp;"P"&amp;Table133456[[#This Row],[Strike]]))</f>
        <v>0</v>
      </c>
      <c r="R1032" t="b">
        <f>IF(     ISNUMBER(Table133456[[#This Row],[Strike]]),RTD("tos.rtd", , "ASK", "."&amp;Table133456[[#This Row],[Ticker]]&amp;Table133456[[#This Row],[Expiry]]&amp;""&amp;"P"&amp;Table133456[[#This Row],[Strike]]))</f>
        <v>0</v>
      </c>
      <c r="S1032" s="17"/>
      <c r="T103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2" s="19">
        <f>-46.5* IF($M$1="NDX", 10, IF(OR($M$1="SPX", $M$1="RUT"), 2, 1))</f>
        <v>-93</v>
      </c>
      <c r="Z1032">
        <f ca="1">IFERROR(Table133456[[#This Row],[call gamma]]*(Table133456[[#This Row],[Open.Int]])*$A$4^2,0)</f>
        <v>0</v>
      </c>
      <c r="AA1032">
        <f ca="1">IFERROR(((Table133456[[#This Row],[Open.Int8]])*Table133456[[#This Row],[Put gamma]])*-1*$A$4^2,0)</f>
        <v>0</v>
      </c>
      <c r="AB1032">
        <f ca="1">(Table133456[[#This Row],[Call Gex]]+Table133456[[#This Row],[Put Gex]])</f>
        <v>0</v>
      </c>
      <c r="AC1032">
        <f ca="1">Table133456[[#This Row],[put delta adj]]+Table133456[[#This Row],[call delta adj]]</f>
        <v>0</v>
      </c>
      <c r="AD1032">
        <f ca="1">Table133456[[#This Row],[Put Gex]]*Table133456[[#This Row],[DeltaP]]*-1</f>
        <v>0</v>
      </c>
      <c r="AE1032">
        <f ca="1">Table133456[[#This Row],[Call Gex]]*Table133456[[#This Row],[DeltaC]]</f>
        <v>0</v>
      </c>
      <c r="AF1032">
        <f>IF(Table133456[[#This Row],[DeltaC]]-ABS(Table133456[[#This Row],[DeltaP]])="0","0.01",Table133456[[#This Row],[DeltaC]]-ABS(Table133456[[#This Row],[DeltaP]]))</f>
        <v>0</v>
      </c>
      <c r="AG103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2" t="e">
        <f ca="1">(EXP(-(AG1032^2)/2)/SQRT(2*PI())*EXP(0*SQRT(Table133456[[#This Row],[T]]))/$A$4*18%*SQRT(SQRT(Table133456[[#This Row],[T]])))</f>
        <v>#DIV/0!</v>
      </c>
      <c r="AJ1032" t="e">
        <f ca="1">(EXP(-(AH1032^2)/2)/SQRT(2*PI())*EXP(0*SQRT(Table133456[[#This Row],[T]]))/$A$4*18%*SQRT(SQRT(Table133456[[#This Row],[T]])))</f>
        <v>#DIV/0!</v>
      </c>
      <c r="AK1032" t="e">
        <f ca="1">Table133456[[#This Row],[Call D1]]-Table133456[[#This Row],[IV Calc C]]*SQRT(Table133456[[#This Row],[T]])</f>
        <v>#DIV/0!</v>
      </c>
      <c r="AL1032" t="e">
        <f ca="1">Table133456[[#This Row],[Put D1]]-Table133456[[#This Row],[IV Calc P]]*SQRT(Table133456[[#This Row],[T]])</f>
        <v>#DIV/0!</v>
      </c>
      <c r="AM1032" t="e">
        <f ca="1">EXP(-0.5*Table133456[[#This Row],[Call D1]]^2)/SQRT(2*PI())</f>
        <v>#DIV/0!</v>
      </c>
      <c r="AN1032" t="e">
        <f ca="1">EXP(-0.5*Table133456[[#This Row],[Put D1]]^2)/SQRT(2*PI())</f>
        <v>#DIV/0!</v>
      </c>
      <c r="AO103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2">
        <f ca="1">((Table133456[[#This Row],[call vanna]]+Table133456[[#This Row],[put vanna]])*$A$4)</f>
        <v>0</v>
      </c>
      <c r="AR103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2" s="9" t="str" cm="1">
        <f t="array" ref="AT1032">_xlfn.IFS(     $M$1="SPX","SPXW",     $M$1="RUT","RUTW",  $M$1="NDX","NDXP",   TRUE,$M$1 )</f>
        <v>SPXW</v>
      </c>
      <c r="AU1032" s="2">
        <f t="shared" si="107"/>
        <v>6915</v>
      </c>
      <c r="AV1032" t="str">
        <f t="shared" si="108"/>
        <v>000100</v>
      </c>
      <c r="AY103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2">
        <f>((Table133456[[#This Row],[High C]]+Table133456[[#This Row],[Low C]])/2)*Table133456[[#This Row],[gammac]]*Table133456[[#This Row],[Volume]]</f>
        <v>0</v>
      </c>
      <c r="BD1032">
        <f>((Table133456[[#This Row],[High P]]+Table133456[[#This Row],[Low P]])/2)*Table133456[[#This Row],[gammap]]*Table133456[[#This Row],[Volume9]]*-1</f>
        <v>0</v>
      </c>
      <c r="BE1032">
        <f>(Table133456[[#This Row],[SgammaC]]+Table133456[[#This Row],[SgammaP]])*$A$4*-100</f>
        <v>0</v>
      </c>
      <c r="BF1032">
        <f>Table133456[[#This Row],[DEXc]]+Table133456[[#This Row],[DEXp]]</f>
        <v>0</v>
      </c>
      <c r="BG1032">
        <f>IFERROR(Table133456[[#This Row],[DeltaC]]*Table133456[[#This Row],[Open.Int]]*$A$4,0)</f>
        <v>0</v>
      </c>
      <c r="BH1032">
        <f>IFERROR(Table133456[[#This Row],[DeltaP]]*Table133456[[#This Row],[Open.Int8]]*$A$4,0)</f>
        <v>0</v>
      </c>
      <c r="BI103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2">
        <f ca="1">Table133456[[#This Row],[charmc]]+Table133456[[#This Row],[charmp]]</f>
        <v>0</v>
      </c>
      <c r="BL103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2" s="78">
        <f ca="1">Table133456[[#This Row],[call helper]]+Table133456[[#This Row],[put helper]]</f>
        <v>0</v>
      </c>
      <c r="BP1032" t="str">
        <f>RTD("tos.rtd", , "STRIKE", "."&amp;Table133456[[#This Row],[Ticker]]&amp;Table133456[[#This Row],[Expiry]]&amp;""&amp;"C"&amp;Table133456[[#This Row],[Spot]]+Table133456[[#This Row],[step]])</f>
        <v>N/A</v>
      </c>
    </row>
    <row r="1033" spans="1:69" x14ac:dyDescent="0.25">
      <c r="A1033" s="14">
        <f t="shared" ca="1" si="104"/>
        <v>-126.14810350076104</v>
      </c>
      <c r="C1033" s="17"/>
      <c r="D1033" t="str">
        <f>RTD("tos.rtd", , "OPEN_INT", "."&amp;Table133456[[#This Row],[Ticker]]&amp;Table133456[[#This Row],[Expiry]]&amp;""&amp;"C"&amp;Table133456[[#This Row],[Spot]]+Table133456[[#This Row],[step]])</f>
        <v>N/A</v>
      </c>
      <c r="E103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3" s="17" cm="1">
        <f t="array" aca="1" ref="H1033" ca="1">IndividualLegIVCore($A$4, Table133456[[#This Row],[Strike]], 0.0411, Table133456[[#This Row],[T]], ((Table133456[[#This Row],[BIDC]]+Table133456[[#This Row],[ASKC]])/2), TRUE)</f>
        <v>0.01</v>
      </c>
      <c r="I1033" t="b">
        <f>IF(     ISNUMBER(Table133456[[#This Row],[Strike]]),RTD("tos.rtd", , "BID", "."&amp;Table133456[[#This Row],[Ticker]]&amp;Table133456[[#This Row],[Expiry]]&amp;""&amp;"C"&amp;Table133456[[#This Row],[Strike]]))</f>
        <v>0</v>
      </c>
      <c r="J1033" t="b">
        <f>IF(     ISNUMBER(Table133456[[#This Row],[Strike]]),RTD("tos.rtd", , "ASK", "."&amp;Table133456[[#This Row],[Ticker]]&amp;Table133456[[#This Row],[Expiry]]&amp;""&amp;"C"&amp;Table133456[[#This Row],[Strike]]))</f>
        <v>0</v>
      </c>
      <c r="K1033" s="17"/>
      <c r="M1033" s="1">
        <f t="shared" si="105"/>
        <v>0</v>
      </c>
      <c r="N1033" t="b">
        <f t="shared" si="106"/>
        <v>0</v>
      </c>
      <c r="P1033" s="17" cm="1">
        <f t="array" aca="1" ref="P1033" ca="1">IndividualLegIVCore($A$4, Table133456[[#This Row],[Strike]], 0.0411, Table133456[[#This Row],[T]], ((Table133456[[#This Row],[BIDP]]+Table133456[[#This Row],[ASKP]])/2), FALSE)</f>
        <v>0.01</v>
      </c>
      <c r="Q1033" t="b">
        <f>IF(     ISNUMBER(Table133456[[#This Row],[Strike]]),RTD("tos.rtd", , "BID", "."&amp;Table133456[[#This Row],[Ticker]]&amp;Table133456[[#This Row],[Expiry]]&amp;""&amp;"P"&amp;Table133456[[#This Row],[Strike]]))</f>
        <v>0</v>
      </c>
      <c r="R1033" t="b">
        <f>IF(     ISNUMBER(Table133456[[#This Row],[Strike]]),RTD("tos.rtd", , "ASK", "."&amp;Table133456[[#This Row],[Ticker]]&amp;Table133456[[#This Row],[Expiry]]&amp;""&amp;"P"&amp;Table133456[[#This Row],[Strike]]))</f>
        <v>0</v>
      </c>
      <c r="S1033" s="17"/>
      <c r="T103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3" s="19">
        <f>-46* IF($M$1="NDX", 10, IF(OR($M$1="SPX", $M$1="RUT"), 2, 1))</f>
        <v>-92</v>
      </c>
      <c r="Z1033">
        <f ca="1">IFERROR(Table133456[[#This Row],[call gamma]]*(Table133456[[#This Row],[Open.Int]])*$A$4^2,0)</f>
        <v>0</v>
      </c>
      <c r="AA1033">
        <f ca="1">IFERROR(((Table133456[[#This Row],[Open.Int8]])*Table133456[[#This Row],[Put gamma]])*-1*$A$4^2,0)</f>
        <v>0</v>
      </c>
      <c r="AB1033">
        <f ca="1">(Table133456[[#This Row],[Call Gex]]+Table133456[[#This Row],[Put Gex]])</f>
        <v>0</v>
      </c>
      <c r="AC1033">
        <f ca="1">Table133456[[#This Row],[put delta adj]]+Table133456[[#This Row],[call delta adj]]</f>
        <v>0</v>
      </c>
      <c r="AD1033">
        <f ca="1">Table133456[[#This Row],[Put Gex]]*Table133456[[#This Row],[DeltaP]]*-1</f>
        <v>0</v>
      </c>
      <c r="AE1033">
        <f ca="1">Table133456[[#This Row],[Call Gex]]*Table133456[[#This Row],[DeltaC]]</f>
        <v>0</v>
      </c>
      <c r="AF1033">
        <f>IF(Table133456[[#This Row],[DeltaC]]-ABS(Table133456[[#This Row],[DeltaP]])="0","0.01",Table133456[[#This Row],[DeltaC]]-ABS(Table133456[[#This Row],[DeltaP]]))</f>
        <v>0</v>
      </c>
      <c r="AG103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3" t="e">
        <f ca="1">(EXP(-(AG1033^2)/2)/SQRT(2*PI())*EXP(0*SQRT(Table133456[[#This Row],[T]]))/$A$4*18%*SQRT(SQRT(Table133456[[#This Row],[T]])))</f>
        <v>#DIV/0!</v>
      </c>
      <c r="AJ1033" t="e">
        <f ca="1">(EXP(-(AH1033^2)/2)/SQRT(2*PI())*EXP(0*SQRT(Table133456[[#This Row],[T]]))/$A$4*18%*SQRT(SQRT(Table133456[[#This Row],[T]])))</f>
        <v>#DIV/0!</v>
      </c>
      <c r="AK1033" t="e">
        <f ca="1">Table133456[[#This Row],[Call D1]]-Table133456[[#This Row],[IV Calc C]]*SQRT(Table133456[[#This Row],[T]])</f>
        <v>#DIV/0!</v>
      </c>
      <c r="AL1033" t="e">
        <f ca="1">Table133456[[#This Row],[Put D1]]-Table133456[[#This Row],[IV Calc P]]*SQRT(Table133456[[#This Row],[T]])</f>
        <v>#DIV/0!</v>
      </c>
      <c r="AM1033" t="e">
        <f ca="1">EXP(-0.5*Table133456[[#This Row],[Call D1]]^2)/SQRT(2*PI())</f>
        <v>#DIV/0!</v>
      </c>
      <c r="AN1033" t="e">
        <f ca="1">EXP(-0.5*Table133456[[#This Row],[Put D1]]^2)/SQRT(2*PI())</f>
        <v>#DIV/0!</v>
      </c>
      <c r="AO103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3">
        <f ca="1">((Table133456[[#This Row],[call vanna]]+Table133456[[#This Row],[put vanna]])*$A$4)</f>
        <v>0</v>
      </c>
      <c r="AR103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3" s="9" t="str" cm="1">
        <f t="array" ref="AT1033">_xlfn.IFS(     $M$1="SPX","SPXW",     $M$1="RUT","RUTW",  $M$1="NDX","NDXP",   TRUE,$M$1 )</f>
        <v>SPXW</v>
      </c>
      <c r="AU1033" s="2">
        <f t="shared" si="107"/>
        <v>6915</v>
      </c>
      <c r="AV1033" t="str">
        <f t="shared" si="108"/>
        <v>000100</v>
      </c>
      <c r="AY103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3">
        <f>((Table133456[[#This Row],[High C]]+Table133456[[#This Row],[Low C]])/2)*Table133456[[#This Row],[gammac]]*Table133456[[#This Row],[Volume]]</f>
        <v>0</v>
      </c>
      <c r="BD1033">
        <f>((Table133456[[#This Row],[High P]]+Table133456[[#This Row],[Low P]])/2)*Table133456[[#This Row],[gammap]]*Table133456[[#This Row],[Volume9]]*-1</f>
        <v>0</v>
      </c>
      <c r="BE1033">
        <f>(Table133456[[#This Row],[SgammaC]]+Table133456[[#This Row],[SgammaP]])*$A$4*-100</f>
        <v>0</v>
      </c>
      <c r="BF1033">
        <f>Table133456[[#This Row],[DEXc]]+Table133456[[#This Row],[DEXp]]</f>
        <v>0</v>
      </c>
      <c r="BG1033">
        <f>IFERROR(Table133456[[#This Row],[DeltaC]]*Table133456[[#This Row],[Open.Int]]*$A$4,0)</f>
        <v>0</v>
      </c>
      <c r="BH1033">
        <f>IFERROR(Table133456[[#This Row],[DeltaP]]*Table133456[[#This Row],[Open.Int8]]*$A$4,0)</f>
        <v>0</v>
      </c>
      <c r="BI103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3">
        <f ca="1">Table133456[[#This Row],[charmc]]+Table133456[[#This Row],[charmp]]</f>
        <v>0</v>
      </c>
      <c r="BL103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3" s="78">
        <f ca="1">Table133456[[#This Row],[call helper]]+Table133456[[#This Row],[put helper]]</f>
        <v>0</v>
      </c>
      <c r="BP1033" t="str">
        <f>RTD("tos.rtd", , "STRIKE", "."&amp;Table133456[[#This Row],[Ticker]]&amp;Table133456[[#This Row],[Expiry]]&amp;""&amp;"C"&amp;Table133456[[#This Row],[Spot]]+Table133456[[#This Row],[step]])</f>
        <v>N/A</v>
      </c>
    </row>
    <row r="1034" spans="1:69" x14ac:dyDescent="0.25">
      <c r="A1034" s="14">
        <f t="shared" ca="1" si="104"/>
        <v>-126.14810350076104</v>
      </c>
      <c r="C1034" s="17"/>
      <c r="D1034" t="str">
        <f>RTD("tos.rtd", , "OPEN_INT", "."&amp;Table133456[[#This Row],[Ticker]]&amp;Table133456[[#This Row],[Expiry]]&amp;""&amp;"C"&amp;Table133456[[#This Row],[Spot]]+Table133456[[#This Row],[step]])</f>
        <v>N/A</v>
      </c>
      <c r="E103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4" s="17" cm="1">
        <f t="array" aca="1" ref="H1034" ca="1">IndividualLegIVCore($A$4, Table133456[[#This Row],[Strike]], 0.0411, Table133456[[#This Row],[T]], ((Table133456[[#This Row],[BIDC]]+Table133456[[#This Row],[ASKC]])/2), TRUE)</f>
        <v>0.01</v>
      </c>
      <c r="I1034" t="b">
        <f>IF(     ISNUMBER(Table133456[[#This Row],[Strike]]),RTD("tos.rtd", , "BID", "."&amp;Table133456[[#This Row],[Ticker]]&amp;Table133456[[#This Row],[Expiry]]&amp;""&amp;"C"&amp;Table133456[[#This Row],[Strike]]))</f>
        <v>0</v>
      </c>
      <c r="J1034" t="b">
        <f>IF(     ISNUMBER(Table133456[[#This Row],[Strike]]),RTD("tos.rtd", , "ASK", "."&amp;Table133456[[#This Row],[Ticker]]&amp;Table133456[[#This Row],[Expiry]]&amp;""&amp;"C"&amp;Table133456[[#This Row],[Strike]]))</f>
        <v>0</v>
      </c>
      <c r="K1034" s="17"/>
      <c r="M1034" s="1">
        <f t="shared" si="105"/>
        <v>0</v>
      </c>
      <c r="N1034" t="b">
        <f t="shared" si="106"/>
        <v>0</v>
      </c>
      <c r="P1034" s="17" cm="1">
        <f t="array" aca="1" ref="P1034" ca="1">IndividualLegIVCore($A$4, Table133456[[#This Row],[Strike]], 0.0411, Table133456[[#This Row],[T]], ((Table133456[[#This Row],[BIDP]]+Table133456[[#This Row],[ASKP]])/2), FALSE)</f>
        <v>0.01</v>
      </c>
      <c r="Q1034" t="b">
        <f>IF(     ISNUMBER(Table133456[[#This Row],[Strike]]),RTD("tos.rtd", , "BID", "."&amp;Table133456[[#This Row],[Ticker]]&amp;Table133456[[#This Row],[Expiry]]&amp;""&amp;"P"&amp;Table133456[[#This Row],[Strike]]))</f>
        <v>0</v>
      </c>
      <c r="R1034" t="b">
        <f>IF(     ISNUMBER(Table133456[[#This Row],[Strike]]),RTD("tos.rtd", , "ASK", "."&amp;Table133456[[#This Row],[Ticker]]&amp;Table133456[[#This Row],[Expiry]]&amp;""&amp;"P"&amp;Table133456[[#This Row],[Strike]]))</f>
        <v>0</v>
      </c>
      <c r="S1034" s="17"/>
      <c r="T103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4" s="19">
        <f>-45.5* IF($M$1="NDX", 10, IF(OR($M$1="SPX", $M$1="RUT"), 2, 1))</f>
        <v>-91</v>
      </c>
      <c r="Z1034">
        <f ca="1">IFERROR(Table133456[[#This Row],[call gamma]]*(Table133456[[#This Row],[Open.Int]])*$A$4^2,0)</f>
        <v>0</v>
      </c>
      <c r="AA1034">
        <f ca="1">IFERROR(((Table133456[[#This Row],[Open.Int8]])*Table133456[[#This Row],[Put gamma]])*-1*$A$4^2,0)</f>
        <v>0</v>
      </c>
      <c r="AB1034">
        <f ca="1">(Table133456[[#This Row],[Call Gex]]+Table133456[[#This Row],[Put Gex]])</f>
        <v>0</v>
      </c>
      <c r="AC1034">
        <f ca="1">Table133456[[#This Row],[put delta adj]]+Table133456[[#This Row],[call delta adj]]</f>
        <v>0</v>
      </c>
      <c r="AD1034">
        <f ca="1">Table133456[[#This Row],[Put Gex]]*Table133456[[#This Row],[DeltaP]]*-1</f>
        <v>0</v>
      </c>
      <c r="AE1034">
        <f ca="1">Table133456[[#This Row],[Call Gex]]*Table133456[[#This Row],[DeltaC]]</f>
        <v>0</v>
      </c>
      <c r="AF1034">
        <f>IF(Table133456[[#This Row],[DeltaC]]-ABS(Table133456[[#This Row],[DeltaP]])="0","0.01",Table133456[[#This Row],[DeltaC]]-ABS(Table133456[[#This Row],[DeltaP]]))</f>
        <v>0</v>
      </c>
      <c r="AG103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4" t="e">
        <f ca="1">(EXP(-(AG1034^2)/2)/SQRT(2*PI())*EXP(0*SQRT(Table133456[[#This Row],[T]]))/$A$4*18%*SQRT(SQRT(Table133456[[#This Row],[T]])))</f>
        <v>#DIV/0!</v>
      </c>
      <c r="AJ1034" t="e">
        <f ca="1">(EXP(-(AH1034^2)/2)/SQRT(2*PI())*EXP(0*SQRT(Table133456[[#This Row],[T]]))/$A$4*18%*SQRT(SQRT(Table133456[[#This Row],[T]])))</f>
        <v>#DIV/0!</v>
      </c>
      <c r="AK1034" t="e">
        <f ca="1">Table133456[[#This Row],[Call D1]]-Table133456[[#This Row],[IV Calc C]]*SQRT(Table133456[[#This Row],[T]])</f>
        <v>#DIV/0!</v>
      </c>
      <c r="AL1034" t="e">
        <f ca="1">Table133456[[#This Row],[Put D1]]-Table133456[[#This Row],[IV Calc P]]*SQRT(Table133456[[#This Row],[T]])</f>
        <v>#DIV/0!</v>
      </c>
      <c r="AM1034" t="e">
        <f ca="1">EXP(-0.5*Table133456[[#This Row],[Call D1]]^2)/SQRT(2*PI())</f>
        <v>#DIV/0!</v>
      </c>
      <c r="AN1034" t="e">
        <f ca="1">EXP(-0.5*Table133456[[#This Row],[Put D1]]^2)/SQRT(2*PI())</f>
        <v>#DIV/0!</v>
      </c>
      <c r="AO103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4">
        <f ca="1">((Table133456[[#This Row],[call vanna]]+Table133456[[#This Row],[put vanna]])*$A$4)</f>
        <v>0</v>
      </c>
      <c r="AR103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4" s="9" t="str" cm="1">
        <f t="array" ref="AT1034">_xlfn.IFS(     $M$1="SPX","SPXW",     $M$1="RUT","RUTW",  $M$1="NDX","NDXP",   TRUE,$M$1 )</f>
        <v>SPXW</v>
      </c>
      <c r="AU1034" s="2">
        <f t="shared" si="107"/>
        <v>6915</v>
      </c>
      <c r="AV1034" t="str">
        <f t="shared" si="108"/>
        <v>000100</v>
      </c>
      <c r="AY103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4">
        <f>((Table133456[[#This Row],[High C]]+Table133456[[#This Row],[Low C]])/2)*Table133456[[#This Row],[gammac]]*Table133456[[#This Row],[Volume]]</f>
        <v>0</v>
      </c>
      <c r="BD1034">
        <f>((Table133456[[#This Row],[High P]]+Table133456[[#This Row],[Low P]])/2)*Table133456[[#This Row],[gammap]]*Table133456[[#This Row],[Volume9]]*-1</f>
        <v>0</v>
      </c>
      <c r="BE1034">
        <f>(Table133456[[#This Row],[SgammaC]]+Table133456[[#This Row],[SgammaP]])*$A$4*-100</f>
        <v>0</v>
      </c>
      <c r="BF1034">
        <f>Table133456[[#This Row],[DEXc]]+Table133456[[#This Row],[DEXp]]</f>
        <v>0</v>
      </c>
      <c r="BG1034">
        <f>IFERROR(Table133456[[#This Row],[DeltaC]]*Table133456[[#This Row],[Open.Int]]*$A$4,0)</f>
        <v>0</v>
      </c>
      <c r="BH1034">
        <f>IFERROR(Table133456[[#This Row],[DeltaP]]*Table133456[[#This Row],[Open.Int8]]*$A$4,0)</f>
        <v>0</v>
      </c>
      <c r="BI103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4">
        <f ca="1">Table133456[[#This Row],[charmc]]+Table133456[[#This Row],[charmp]]</f>
        <v>0</v>
      </c>
      <c r="BL103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4" s="78">
        <f ca="1">Table133456[[#This Row],[call helper]]+Table133456[[#This Row],[put helper]]</f>
        <v>0</v>
      </c>
      <c r="BP1034" t="str">
        <f>RTD("tos.rtd", , "STRIKE", "."&amp;Table133456[[#This Row],[Ticker]]&amp;Table133456[[#This Row],[Expiry]]&amp;""&amp;"C"&amp;Table133456[[#This Row],[Spot]]+Table133456[[#This Row],[step]])</f>
        <v>N/A</v>
      </c>
    </row>
    <row r="1035" spans="1:69" x14ac:dyDescent="0.25">
      <c r="A1035" s="14">
        <f t="shared" ca="1" si="104"/>
        <v>-126.14810350076104</v>
      </c>
      <c r="C1035" s="17"/>
      <c r="D1035" t="str">
        <f>RTD("tos.rtd", , "OPEN_INT", "."&amp;Table133456[[#This Row],[Ticker]]&amp;Table133456[[#This Row],[Expiry]]&amp;""&amp;"C"&amp;Table133456[[#This Row],[Spot]]+Table133456[[#This Row],[step]])</f>
        <v>N/A</v>
      </c>
      <c r="E103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5" s="17" cm="1">
        <f t="array" aca="1" ref="H1035" ca="1">IndividualLegIVCore($A$4, Table133456[[#This Row],[Strike]], 0.0411, Table133456[[#This Row],[T]], ((Table133456[[#This Row],[BIDC]]+Table133456[[#This Row],[ASKC]])/2), TRUE)</f>
        <v>0.01</v>
      </c>
      <c r="I1035" t="b">
        <f>IF(     ISNUMBER(Table133456[[#This Row],[Strike]]),RTD("tos.rtd", , "BID", "."&amp;Table133456[[#This Row],[Ticker]]&amp;Table133456[[#This Row],[Expiry]]&amp;""&amp;"C"&amp;Table133456[[#This Row],[Strike]]))</f>
        <v>0</v>
      </c>
      <c r="J1035" t="b">
        <f>IF(     ISNUMBER(Table133456[[#This Row],[Strike]]),RTD("tos.rtd", , "ASK", "."&amp;Table133456[[#This Row],[Ticker]]&amp;Table133456[[#This Row],[Expiry]]&amp;""&amp;"C"&amp;Table133456[[#This Row],[Strike]]))</f>
        <v>0</v>
      </c>
      <c r="K1035" s="17"/>
      <c r="M1035" s="1">
        <f t="shared" si="105"/>
        <v>0</v>
      </c>
      <c r="N1035" t="b">
        <f t="shared" si="106"/>
        <v>0</v>
      </c>
      <c r="P1035" s="17" cm="1">
        <f t="array" aca="1" ref="P1035" ca="1">IndividualLegIVCore($A$4, Table133456[[#This Row],[Strike]], 0.0411, Table133456[[#This Row],[T]], ((Table133456[[#This Row],[BIDP]]+Table133456[[#This Row],[ASKP]])/2), FALSE)</f>
        <v>0.01</v>
      </c>
      <c r="Q1035" t="b">
        <f>IF(     ISNUMBER(Table133456[[#This Row],[Strike]]),RTD("tos.rtd", , "BID", "."&amp;Table133456[[#This Row],[Ticker]]&amp;Table133456[[#This Row],[Expiry]]&amp;""&amp;"P"&amp;Table133456[[#This Row],[Strike]]))</f>
        <v>0</v>
      </c>
      <c r="R1035" t="b">
        <f>IF(     ISNUMBER(Table133456[[#This Row],[Strike]]),RTD("tos.rtd", , "ASK", "."&amp;Table133456[[#This Row],[Ticker]]&amp;Table133456[[#This Row],[Expiry]]&amp;""&amp;"P"&amp;Table133456[[#This Row],[Strike]]))</f>
        <v>0</v>
      </c>
      <c r="S1035" s="17"/>
      <c r="T103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5" s="19">
        <f>-45* IF($M$1="NDX", 10, IF(OR($M$1="SPX", $M$1="RUT"), 2, 1))</f>
        <v>-90</v>
      </c>
      <c r="Z1035">
        <f ca="1">IFERROR(Table133456[[#This Row],[call gamma]]*(Table133456[[#This Row],[Open.Int]])*$A$4^2,0)</f>
        <v>0</v>
      </c>
      <c r="AA1035">
        <f ca="1">IFERROR(((Table133456[[#This Row],[Open.Int8]])*Table133456[[#This Row],[Put gamma]])*-1*$A$4^2,0)</f>
        <v>0</v>
      </c>
      <c r="AB1035">
        <f ca="1">(Table133456[[#This Row],[Call Gex]]+Table133456[[#This Row],[Put Gex]])</f>
        <v>0</v>
      </c>
      <c r="AC1035">
        <f ca="1">Table133456[[#This Row],[put delta adj]]+Table133456[[#This Row],[call delta adj]]</f>
        <v>0</v>
      </c>
      <c r="AD1035">
        <f ca="1">Table133456[[#This Row],[Put Gex]]*Table133456[[#This Row],[DeltaP]]*-1</f>
        <v>0</v>
      </c>
      <c r="AE1035">
        <f ca="1">Table133456[[#This Row],[Call Gex]]*Table133456[[#This Row],[DeltaC]]</f>
        <v>0</v>
      </c>
      <c r="AF1035">
        <f>IF(Table133456[[#This Row],[DeltaC]]-ABS(Table133456[[#This Row],[DeltaP]])="0","0.01",Table133456[[#This Row],[DeltaC]]-ABS(Table133456[[#This Row],[DeltaP]]))</f>
        <v>0</v>
      </c>
      <c r="AG103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5" t="e">
        <f ca="1">(EXP(-(AG1035^2)/2)/SQRT(2*PI())*EXP(0*SQRT(Table133456[[#This Row],[T]]))/$A$4*18%*SQRT(SQRT(Table133456[[#This Row],[T]])))</f>
        <v>#DIV/0!</v>
      </c>
      <c r="AJ1035" t="e">
        <f ca="1">(EXP(-(AH1035^2)/2)/SQRT(2*PI())*EXP(0*SQRT(Table133456[[#This Row],[T]]))/$A$4*18%*SQRT(SQRT(Table133456[[#This Row],[T]])))</f>
        <v>#DIV/0!</v>
      </c>
      <c r="AK1035" t="e">
        <f ca="1">Table133456[[#This Row],[Call D1]]-Table133456[[#This Row],[IV Calc C]]*SQRT(Table133456[[#This Row],[T]])</f>
        <v>#DIV/0!</v>
      </c>
      <c r="AL1035" t="e">
        <f ca="1">Table133456[[#This Row],[Put D1]]-Table133456[[#This Row],[IV Calc P]]*SQRT(Table133456[[#This Row],[T]])</f>
        <v>#DIV/0!</v>
      </c>
      <c r="AM1035" t="e">
        <f ca="1">EXP(-0.5*Table133456[[#This Row],[Call D1]]^2)/SQRT(2*PI())</f>
        <v>#DIV/0!</v>
      </c>
      <c r="AN1035" t="e">
        <f ca="1">EXP(-0.5*Table133456[[#This Row],[Put D1]]^2)/SQRT(2*PI())</f>
        <v>#DIV/0!</v>
      </c>
      <c r="AO103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5">
        <f ca="1">((Table133456[[#This Row],[call vanna]]+Table133456[[#This Row],[put vanna]])*$A$4)</f>
        <v>0</v>
      </c>
      <c r="AR103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5" s="9" t="str" cm="1">
        <f t="array" ref="AT1035">_xlfn.IFS(     $M$1="SPX","SPXW",     $M$1="RUT","RUTW",  $M$1="NDX","NDXP",   TRUE,$M$1 )</f>
        <v>SPXW</v>
      </c>
      <c r="AU1035" s="2">
        <f t="shared" si="107"/>
        <v>6915</v>
      </c>
      <c r="AV1035" t="str">
        <f t="shared" si="108"/>
        <v>000100</v>
      </c>
      <c r="AY103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5">
        <f>((Table133456[[#This Row],[High C]]+Table133456[[#This Row],[Low C]])/2)*Table133456[[#This Row],[gammac]]*Table133456[[#This Row],[Volume]]</f>
        <v>0</v>
      </c>
      <c r="BD1035">
        <f>((Table133456[[#This Row],[High P]]+Table133456[[#This Row],[Low P]])/2)*Table133456[[#This Row],[gammap]]*Table133456[[#This Row],[Volume9]]*-1</f>
        <v>0</v>
      </c>
      <c r="BE1035">
        <f>(Table133456[[#This Row],[SgammaC]]+Table133456[[#This Row],[SgammaP]])*$A$4*-100</f>
        <v>0</v>
      </c>
      <c r="BF1035">
        <f>Table133456[[#This Row],[DEXc]]+Table133456[[#This Row],[DEXp]]</f>
        <v>0</v>
      </c>
      <c r="BG1035">
        <f>IFERROR(Table133456[[#This Row],[DeltaC]]*Table133456[[#This Row],[Open.Int]]*$A$4,0)</f>
        <v>0</v>
      </c>
      <c r="BH1035">
        <f>IFERROR(Table133456[[#This Row],[DeltaP]]*Table133456[[#This Row],[Open.Int8]]*$A$4,0)</f>
        <v>0</v>
      </c>
      <c r="BI103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5">
        <f ca="1">Table133456[[#This Row],[charmc]]+Table133456[[#This Row],[charmp]]</f>
        <v>0</v>
      </c>
      <c r="BL103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5" s="78">
        <f ca="1">Table133456[[#This Row],[call helper]]+Table133456[[#This Row],[put helper]]</f>
        <v>0</v>
      </c>
      <c r="BP1035" t="str">
        <f>RTD("tos.rtd", , "STRIKE", "."&amp;Table133456[[#This Row],[Ticker]]&amp;Table133456[[#This Row],[Expiry]]&amp;""&amp;"C"&amp;Table133456[[#This Row],[Spot]]+Table133456[[#This Row],[step]])</f>
        <v>N/A</v>
      </c>
    </row>
    <row r="1036" spans="1:69" x14ac:dyDescent="0.25">
      <c r="A1036" s="14">
        <f t="shared" ca="1" si="104"/>
        <v>-126.14810350076104</v>
      </c>
      <c r="C1036" s="17"/>
      <c r="D1036" t="str">
        <f>RTD("tos.rtd", , "OPEN_INT", "."&amp;Table133456[[#This Row],[Ticker]]&amp;Table133456[[#This Row],[Expiry]]&amp;""&amp;"C"&amp;Table133456[[#This Row],[Spot]]+Table133456[[#This Row],[step]])</f>
        <v>N/A</v>
      </c>
      <c r="E103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6" s="17" cm="1">
        <f t="array" aca="1" ref="H1036" ca="1">IndividualLegIVCore($A$4, Table133456[[#This Row],[Strike]], 0.0411, Table133456[[#This Row],[T]], ((Table133456[[#This Row],[BIDC]]+Table133456[[#This Row],[ASKC]])/2), TRUE)</f>
        <v>0.01</v>
      </c>
      <c r="I1036" t="b">
        <f>IF(     ISNUMBER(Table133456[[#This Row],[Strike]]),RTD("tos.rtd", , "BID", "."&amp;Table133456[[#This Row],[Ticker]]&amp;Table133456[[#This Row],[Expiry]]&amp;""&amp;"C"&amp;Table133456[[#This Row],[Strike]]))</f>
        <v>0</v>
      </c>
      <c r="J1036" t="b">
        <f>IF(     ISNUMBER(Table133456[[#This Row],[Strike]]),RTD("tos.rtd", , "ASK", "."&amp;Table133456[[#This Row],[Ticker]]&amp;Table133456[[#This Row],[Expiry]]&amp;""&amp;"C"&amp;Table133456[[#This Row],[Strike]]))</f>
        <v>0</v>
      </c>
      <c r="K1036" s="17"/>
      <c r="M1036" s="1">
        <f t="shared" si="105"/>
        <v>0</v>
      </c>
      <c r="N1036" t="b">
        <f t="shared" si="106"/>
        <v>0</v>
      </c>
      <c r="P1036" s="17" cm="1">
        <f t="array" aca="1" ref="P1036" ca="1">IndividualLegIVCore($A$4, Table133456[[#This Row],[Strike]], 0.0411, Table133456[[#This Row],[T]], ((Table133456[[#This Row],[BIDP]]+Table133456[[#This Row],[ASKP]])/2), FALSE)</f>
        <v>0.01</v>
      </c>
      <c r="Q1036" t="b">
        <f>IF(     ISNUMBER(Table133456[[#This Row],[Strike]]),RTD("tos.rtd", , "BID", "."&amp;Table133456[[#This Row],[Ticker]]&amp;Table133456[[#This Row],[Expiry]]&amp;""&amp;"P"&amp;Table133456[[#This Row],[Strike]]))</f>
        <v>0</v>
      </c>
      <c r="R1036" t="b">
        <f>IF(     ISNUMBER(Table133456[[#This Row],[Strike]]),RTD("tos.rtd", , "ASK", "."&amp;Table133456[[#This Row],[Ticker]]&amp;Table133456[[#This Row],[Expiry]]&amp;""&amp;"P"&amp;Table133456[[#This Row],[Strike]]))</f>
        <v>0</v>
      </c>
      <c r="S1036" s="17"/>
      <c r="T103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6" s="19">
        <f>-44.5* IF($M$1="NDX", 10, IF(OR($M$1="SPX", $M$1="RUT"), 2, 1))</f>
        <v>-89</v>
      </c>
      <c r="Z1036">
        <f ca="1">IFERROR(Table133456[[#This Row],[call gamma]]*(Table133456[[#This Row],[Open.Int]])*$A$4^2,0)</f>
        <v>0</v>
      </c>
      <c r="AA1036">
        <f ca="1">IFERROR(((Table133456[[#This Row],[Open.Int8]])*Table133456[[#This Row],[Put gamma]])*-1*$A$4^2,0)</f>
        <v>0</v>
      </c>
      <c r="AB1036">
        <f ca="1">(Table133456[[#This Row],[Call Gex]]+Table133456[[#This Row],[Put Gex]])</f>
        <v>0</v>
      </c>
      <c r="AC1036">
        <f ca="1">Table133456[[#This Row],[put delta adj]]+Table133456[[#This Row],[call delta adj]]</f>
        <v>0</v>
      </c>
      <c r="AD1036">
        <f ca="1">Table133456[[#This Row],[Put Gex]]*Table133456[[#This Row],[DeltaP]]*-1</f>
        <v>0</v>
      </c>
      <c r="AE1036">
        <f ca="1">Table133456[[#This Row],[Call Gex]]*Table133456[[#This Row],[DeltaC]]</f>
        <v>0</v>
      </c>
      <c r="AF1036">
        <f>IF(Table133456[[#This Row],[DeltaC]]-ABS(Table133456[[#This Row],[DeltaP]])="0","0.01",Table133456[[#This Row],[DeltaC]]-ABS(Table133456[[#This Row],[DeltaP]]))</f>
        <v>0</v>
      </c>
      <c r="AG103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6" t="e">
        <f ca="1">(EXP(-(AG1036^2)/2)/SQRT(2*PI())*EXP(0*SQRT(Table133456[[#This Row],[T]]))/$A$4*18%*SQRT(SQRT(Table133456[[#This Row],[T]])))</f>
        <v>#DIV/0!</v>
      </c>
      <c r="AJ1036" t="e">
        <f ca="1">(EXP(-(AH1036^2)/2)/SQRT(2*PI())*EXP(0*SQRT(Table133456[[#This Row],[T]]))/$A$4*18%*SQRT(SQRT(Table133456[[#This Row],[T]])))</f>
        <v>#DIV/0!</v>
      </c>
      <c r="AK1036" t="e">
        <f ca="1">Table133456[[#This Row],[Call D1]]-Table133456[[#This Row],[IV Calc C]]*SQRT(Table133456[[#This Row],[T]])</f>
        <v>#DIV/0!</v>
      </c>
      <c r="AL1036" t="e">
        <f ca="1">Table133456[[#This Row],[Put D1]]-Table133456[[#This Row],[IV Calc P]]*SQRT(Table133456[[#This Row],[T]])</f>
        <v>#DIV/0!</v>
      </c>
      <c r="AM1036" t="e">
        <f ca="1">EXP(-0.5*Table133456[[#This Row],[Call D1]]^2)/SQRT(2*PI())</f>
        <v>#DIV/0!</v>
      </c>
      <c r="AN1036" t="e">
        <f ca="1">EXP(-0.5*Table133456[[#This Row],[Put D1]]^2)/SQRT(2*PI())</f>
        <v>#DIV/0!</v>
      </c>
      <c r="AO103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6">
        <f ca="1">((Table133456[[#This Row],[call vanna]]+Table133456[[#This Row],[put vanna]])*$A$4)</f>
        <v>0</v>
      </c>
      <c r="AR103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6" s="9" t="str" cm="1">
        <f t="array" ref="AT1036">_xlfn.IFS(     $M$1="SPX","SPXW",     $M$1="RUT","RUTW",  $M$1="NDX","NDXP",   TRUE,$M$1 )</f>
        <v>SPXW</v>
      </c>
      <c r="AU1036" s="2">
        <f t="shared" si="107"/>
        <v>6915</v>
      </c>
      <c r="AV1036" t="str">
        <f t="shared" si="108"/>
        <v>000100</v>
      </c>
      <c r="AY103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6">
        <f>((Table133456[[#This Row],[High C]]+Table133456[[#This Row],[Low C]])/2)*Table133456[[#This Row],[gammac]]*Table133456[[#This Row],[Volume]]</f>
        <v>0</v>
      </c>
      <c r="BD1036">
        <f>((Table133456[[#This Row],[High P]]+Table133456[[#This Row],[Low P]])/2)*Table133456[[#This Row],[gammap]]*Table133456[[#This Row],[Volume9]]*-1</f>
        <v>0</v>
      </c>
      <c r="BE1036">
        <f>(Table133456[[#This Row],[SgammaC]]+Table133456[[#This Row],[SgammaP]])*$A$4*-100</f>
        <v>0</v>
      </c>
      <c r="BF1036">
        <f>Table133456[[#This Row],[DEXc]]+Table133456[[#This Row],[DEXp]]</f>
        <v>0</v>
      </c>
      <c r="BG1036">
        <f>IFERROR(Table133456[[#This Row],[DeltaC]]*Table133456[[#This Row],[Open.Int]]*$A$4,0)</f>
        <v>0</v>
      </c>
      <c r="BH1036">
        <f>IFERROR(Table133456[[#This Row],[DeltaP]]*Table133456[[#This Row],[Open.Int8]]*$A$4,0)</f>
        <v>0</v>
      </c>
      <c r="BI103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6">
        <f ca="1">Table133456[[#This Row],[charmc]]+Table133456[[#This Row],[charmp]]</f>
        <v>0</v>
      </c>
      <c r="BL103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6" s="78">
        <f ca="1">Table133456[[#This Row],[call helper]]+Table133456[[#This Row],[put helper]]</f>
        <v>0</v>
      </c>
      <c r="BP1036" t="str">
        <f>RTD("tos.rtd", , "STRIKE", "."&amp;Table133456[[#This Row],[Ticker]]&amp;Table133456[[#This Row],[Expiry]]&amp;""&amp;"C"&amp;Table133456[[#This Row],[Spot]]+Table133456[[#This Row],[step]])</f>
        <v>N/A</v>
      </c>
    </row>
    <row r="1037" spans="1:69" x14ac:dyDescent="0.25">
      <c r="A1037" s="14">
        <f t="shared" ca="1" si="104"/>
        <v>-126.14810350076104</v>
      </c>
      <c r="C1037" s="17"/>
      <c r="D1037" t="str">
        <f>RTD("tos.rtd", , "OPEN_INT", "."&amp;Table133456[[#This Row],[Ticker]]&amp;Table133456[[#This Row],[Expiry]]&amp;""&amp;"C"&amp;Table133456[[#This Row],[Spot]]+Table133456[[#This Row],[step]])</f>
        <v>N/A</v>
      </c>
      <c r="E103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7" s="17" cm="1">
        <f t="array" aca="1" ref="H1037" ca="1">IndividualLegIVCore($A$4, Table133456[[#This Row],[Strike]], 0.0411, Table133456[[#This Row],[T]], ((Table133456[[#This Row],[BIDC]]+Table133456[[#This Row],[ASKC]])/2), TRUE)</f>
        <v>0.01</v>
      </c>
      <c r="I1037" t="b">
        <f>IF(     ISNUMBER(Table133456[[#This Row],[Strike]]),RTD("tos.rtd", , "BID", "."&amp;Table133456[[#This Row],[Ticker]]&amp;Table133456[[#This Row],[Expiry]]&amp;""&amp;"C"&amp;Table133456[[#This Row],[Strike]]))</f>
        <v>0</v>
      </c>
      <c r="J1037" t="b">
        <f>IF(     ISNUMBER(Table133456[[#This Row],[Strike]]),RTD("tos.rtd", , "ASK", "."&amp;Table133456[[#This Row],[Ticker]]&amp;Table133456[[#This Row],[Expiry]]&amp;""&amp;"C"&amp;Table133456[[#This Row],[Strike]]))</f>
        <v>0</v>
      </c>
      <c r="K1037" s="17"/>
      <c r="M1037" s="1">
        <f t="shared" si="105"/>
        <v>0</v>
      </c>
      <c r="N1037" t="b">
        <f t="shared" si="106"/>
        <v>0</v>
      </c>
      <c r="P1037" s="17" cm="1">
        <f t="array" aca="1" ref="P1037" ca="1">IndividualLegIVCore($A$4, Table133456[[#This Row],[Strike]], 0.0411, Table133456[[#This Row],[T]], ((Table133456[[#This Row],[BIDP]]+Table133456[[#This Row],[ASKP]])/2), FALSE)</f>
        <v>0.01</v>
      </c>
      <c r="Q1037" t="b">
        <f>IF(     ISNUMBER(Table133456[[#This Row],[Strike]]),RTD("tos.rtd", , "BID", "."&amp;Table133456[[#This Row],[Ticker]]&amp;Table133456[[#This Row],[Expiry]]&amp;""&amp;"P"&amp;Table133456[[#This Row],[Strike]]))</f>
        <v>0</v>
      </c>
      <c r="R1037" t="b">
        <f>IF(     ISNUMBER(Table133456[[#This Row],[Strike]]),RTD("tos.rtd", , "ASK", "."&amp;Table133456[[#This Row],[Ticker]]&amp;Table133456[[#This Row],[Expiry]]&amp;""&amp;"P"&amp;Table133456[[#This Row],[Strike]]))</f>
        <v>0</v>
      </c>
      <c r="S1037" s="17"/>
      <c r="T103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7" s="19">
        <f>-44* IF($M$1="NDX", 10, IF(OR($M$1="SPX", $M$1="RUT"), 2, 1))</f>
        <v>-88</v>
      </c>
      <c r="Z1037">
        <f ca="1">IFERROR(Table133456[[#This Row],[call gamma]]*(Table133456[[#This Row],[Open.Int]])*$A$4^2,0)</f>
        <v>0</v>
      </c>
      <c r="AA1037">
        <f ca="1">IFERROR(((Table133456[[#This Row],[Open.Int8]])*Table133456[[#This Row],[Put gamma]])*-1*$A$4^2,0)</f>
        <v>0</v>
      </c>
      <c r="AB1037">
        <f ca="1">(Table133456[[#This Row],[Call Gex]]+Table133456[[#This Row],[Put Gex]])</f>
        <v>0</v>
      </c>
      <c r="AC1037">
        <f ca="1">Table133456[[#This Row],[put delta adj]]+Table133456[[#This Row],[call delta adj]]</f>
        <v>0</v>
      </c>
      <c r="AD1037">
        <f ca="1">Table133456[[#This Row],[Put Gex]]*Table133456[[#This Row],[DeltaP]]*-1</f>
        <v>0</v>
      </c>
      <c r="AE1037">
        <f ca="1">Table133456[[#This Row],[Call Gex]]*Table133456[[#This Row],[DeltaC]]</f>
        <v>0</v>
      </c>
      <c r="AF1037">
        <f>IF(Table133456[[#This Row],[DeltaC]]-ABS(Table133456[[#This Row],[DeltaP]])="0","0.01",Table133456[[#This Row],[DeltaC]]-ABS(Table133456[[#This Row],[DeltaP]]))</f>
        <v>0</v>
      </c>
      <c r="AG103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7" t="e">
        <f ca="1">(EXP(-(AG1037^2)/2)/SQRT(2*PI())*EXP(0*SQRT(Table133456[[#This Row],[T]]))/$A$4*18%*SQRT(SQRT(Table133456[[#This Row],[T]])))</f>
        <v>#DIV/0!</v>
      </c>
      <c r="AJ1037" t="e">
        <f ca="1">(EXP(-(AH1037^2)/2)/SQRT(2*PI())*EXP(0*SQRT(Table133456[[#This Row],[T]]))/$A$4*18%*SQRT(SQRT(Table133456[[#This Row],[T]])))</f>
        <v>#DIV/0!</v>
      </c>
      <c r="AK1037" t="e">
        <f ca="1">Table133456[[#This Row],[Call D1]]-Table133456[[#This Row],[IV Calc C]]*SQRT(Table133456[[#This Row],[T]])</f>
        <v>#DIV/0!</v>
      </c>
      <c r="AL1037" t="e">
        <f ca="1">Table133456[[#This Row],[Put D1]]-Table133456[[#This Row],[IV Calc P]]*SQRT(Table133456[[#This Row],[T]])</f>
        <v>#DIV/0!</v>
      </c>
      <c r="AM1037" t="e">
        <f ca="1">EXP(-0.5*Table133456[[#This Row],[Call D1]]^2)/SQRT(2*PI())</f>
        <v>#DIV/0!</v>
      </c>
      <c r="AN1037" t="e">
        <f ca="1">EXP(-0.5*Table133456[[#This Row],[Put D1]]^2)/SQRT(2*PI())</f>
        <v>#DIV/0!</v>
      </c>
      <c r="AO103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7">
        <f ca="1">((Table133456[[#This Row],[call vanna]]+Table133456[[#This Row],[put vanna]])*$A$4)</f>
        <v>0</v>
      </c>
      <c r="AR103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7" s="9" t="str" cm="1">
        <f t="array" ref="AT1037">_xlfn.IFS(     $M$1="SPX","SPXW",     $M$1="RUT","RUTW",  $M$1="NDX","NDXP",   TRUE,$M$1 )</f>
        <v>SPXW</v>
      </c>
      <c r="AU1037" s="2">
        <f t="shared" si="107"/>
        <v>6915</v>
      </c>
      <c r="AV1037" t="str">
        <f t="shared" si="108"/>
        <v>000100</v>
      </c>
      <c r="AY103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7">
        <f>((Table133456[[#This Row],[High C]]+Table133456[[#This Row],[Low C]])/2)*Table133456[[#This Row],[gammac]]*Table133456[[#This Row],[Volume]]</f>
        <v>0</v>
      </c>
      <c r="BD1037">
        <f>((Table133456[[#This Row],[High P]]+Table133456[[#This Row],[Low P]])/2)*Table133456[[#This Row],[gammap]]*Table133456[[#This Row],[Volume9]]*-1</f>
        <v>0</v>
      </c>
      <c r="BE1037">
        <f>(Table133456[[#This Row],[SgammaC]]+Table133456[[#This Row],[SgammaP]])*$A$4*-100</f>
        <v>0</v>
      </c>
      <c r="BF1037">
        <f>Table133456[[#This Row],[DEXc]]+Table133456[[#This Row],[DEXp]]</f>
        <v>0</v>
      </c>
      <c r="BG1037">
        <f>IFERROR(Table133456[[#This Row],[DeltaC]]*Table133456[[#This Row],[Open.Int]]*$A$4,0)</f>
        <v>0</v>
      </c>
      <c r="BH1037">
        <f>IFERROR(Table133456[[#This Row],[DeltaP]]*Table133456[[#This Row],[Open.Int8]]*$A$4,0)</f>
        <v>0</v>
      </c>
      <c r="BI103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7">
        <f ca="1">Table133456[[#This Row],[charmc]]+Table133456[[#This Row],[charmp]]</f>
        <v>0</v>
      </c>
      <c r="BL103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7" s="78">
        <f ca="1">Table133456[[#This Row],[call helper]]+Table133456[[#This Row],[put helper]]</f>
        <v>0</v>
      </c>
      <c r="BP1037" t="str">
        <f>RTD("tos.rtd", , "STRIKE", "."&amp;Table133456[[#This Row],[Ticker]]&amp;Table133456[[#This Row],[Expiry]]&amp;""&amp;"C"&amp;Table133456[[#This Row],[Spot]]+Table133456[[#This Row],[step]])</f>
        <v>N/A</v>
      </c>
    </row>
    <row r="1038" spans="1:69" x14ac:dyDescent="0.25">
      <c r="A1038" s="14">
        <f t="shared" ca="1" si="104"/>
        <v>-126.14810350076104</v>
      </c>
      <c r="C1038" s="17"/>
      <c r="D1038" t="str">
        <f>RTD("tos.rtd", , "OPEN_INT", "."&amp;Table133456[[#This Row],[Ticker]]&amp;Table133456[[#This Row],[Expiry]]&amp;""&amp;"C"&amp;Table133456[[#This Row],[Spot]]+Table133456[[#This Row],[step]])</f>
        <v>N/A</v>
      </c>
      <c r="E103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8" s="17" cm="1">
        <f t="array" aca="1" ref="H1038" ca="1">IndividualLegIVCore($A$4, Table133456[[#This Row],[Strike]], 0.0411, Table133456[[#This Row],[T]], ((Table133456[[#This Row],[BIDC]]+Table133456[[#This Row],[ASKC]])/2), TRUE)</f>
        <v>0.01</v>
      </c>
      <c r="I1038" t="b">
        <f>IF(     ISNUMBER(Table133456[[#This Row],[Strike]]),RTD("tos.rtd", , "BID", "."&amp;Table133456[[#This Row],[Ticker]]&amp;Table133456[[#This Row],[Expiry]]&amp;""&amp;"C"&amp;Table133456[[#This Row],[Strike]]))</f>
        <v>0</v>
      </c>
      <c r="J1038" t="b">
        <f>IF(     ISNUMBER(Table133456[[#This Row],[Strike]]),RTD("tos.rtd", , "ASK", "."&amp;Table133456[[#This Row],[Ticker]]&amp;Table133456[[#This Row],[Expiry]]&amp;""&amp;"C"&amp;Table133456[[#This Row],[Strike]]))</f>
        <v>0</v>
      </c>
      <c r="K1038" s="17"/>
      <c r="M1038" s="1">
        <f t="shared" si="105"/>
        <v>0</v>
      </c>
      <c r="N1038" t="b">
        <f t="shared" si="106"/>
        <v>0</v>
      </c>
      <c r="P1038" s="17" cm="1">
        <f t="array" aca="1" ref="P1038" ca="1">IndividualLegIVCore($A$4, Table133456[[#This Row],[Strike]], 0.0411, Table133456[[#This Row],[T]], ((Table133456[[#This Row],[BIDP]]+Table133456[[#This Row],[ASKP]])/2), FALSE)</f>
        <v>0.01</v>
      </c>
      <c r="Q1038" t="b">
        <f>IF(     ISNUMBER(Table133456[[#This Row],[Strike]]),RTD("tos.rtd", , "BID", "."&amp;Table133456[[#This Row],[Ticker]]&amp;Table133456[[#This Row],[Expiry]]&amp;""&amp;"P"&amp;Table133456[[#This Row],[Strike]]))</f>
        <v>0</v>
      </c>
      <c r="R1038" t="b">
        <f>IF(     ISNUMBER(Table133456[[#This Row],[Strike]]),RTD("tos.rtd", , "ASK", "."&amp;Table133456[[#This Row],[Ticker]]&amp;Table133456[[#This Row],[Expiry]]&amp;""&amp;"P"&amp;Table133456[[#This Row],[Strike]]))</f>
        <v>0</v>
      </c>
      <c r="S1038" s="17"/>
      <c r="T103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8" s="19">
        <f>-43.5* IF($M$1="NDX", 10, IF(OR($M$1="SPX", $M$1="RUT"), 2, 1))</f>
        <v>-87</v>
      </c>
      <c r="Z1038">
        <f ca="1">IFERROR(Table133456[[#This Row],[call gamma]]*(Table133456[[#This Row],[Open.Int]])*$A$4^2,0)</f>
        <v>0</v>
      </c>
      <c r="AA1038">
        <f ca="1">IFERROR(((Table133456[[#This Row],[Open.Int8]])*Table133456[[#This Row],[Put gamma]])*-1*$A$4^2,0)</f>
        <v>0</v>
      </c>
      <c r="AB1038">
        <f ca="1">(Table133456[[#This Row],[Call Gex]]+Table133456[[#This Row],[Put Gex]])</f>
        <v>0</v>
      </c>
      <c r="AC1038">
        <f ca="1">Table133456[[#This Row],[put delta adj]]+Table133456[[#This Row],[call delta adj]]</f>
        <v>0</v>
      </c>
      <c r="AD1038">
        <f ca="1">Table133456[[#This Row],[Put Gex]]*Table133456[[#This Row],[DeltaP]]*-1</f>
        <v>0</v>
      </c>
      <c r="AE1038">
        <f ca="1">Table133456[[#This Row],[Call Gex]]*Table133456[[#This Row],[DeltaC]]</f>
        <v>0</v>
      </c>
      <c r="AF1038">
        <f>IF(Table133456[[#This Row],[DeltaC]]-ABS(Table133456[[#This Row],[DeltaP]])="0","0.01",Table133456[[#This Row],[DeltaC]]-ABS(Table133456[[#This Row],[DeltaP]]))</f>
        <v>0</v>
      </c>
      <c r="AG103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8" t="e">
        <f ca="1">(EXP(-(AG1038^2)/2)/SQRT(2*PI())*EXP(0*SQRT(Table133456[[#This Row],[T]]))/$A$4*18%*SQRT(SQRT(Table133456[[#This Row],[T]])))</f>
        <v>#DIV/0!</v>
      </c>
      <c r="AJ1038" t="e">
        <f ca="1">(EXP(-(AH1038^2)/2)/SQRT(2*PI())*EXP(0*SQRT(Table133456[[#This Row],[T]]))/$A$4*18%*SQRT(SQRT(Table133456[[#This Row],[T]])))</f>
        <v>#DIV/0!</v>
      </c>
      <c r="AK1038" t="e">
        <f ca="1">Table133456[[#This Row],[Call D1]]-Table133456[[#This Row],[IV Calc C]]*SQRT(Table133456[[#This Row],[T]])</f>
        <v>#DIV/0!</v>
      </c>
      <c r="AL1038" t="e">
        <f ca="1">Table133456[[#This Row],[Put D1]]-Table133456[[#This Row],[IV Calc P]]*SQRT(Table133456[[#This Row],[T]])</f>
        <v>#DIV/0!</v>
      </c>
      <c r="AM1038" t="e">
        <f ca="1">EXP(-0.5*Table133456[[#This Row],[Call D1]]^2)/SQRT(2*PI())</f>
        <v>#DIV/0!</v>
      </c>
      <c r="AN1038" t="e">
        <f ca="1">EXP(-0.5*Table133456[[#This Row],[Put D1]]^2)/SQRT(2*PI())</f>
        <v>#DIV/0!</v>
      </c>
      <c r="AO103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8">
        <f ca="1">((Table133456[[#This Row],[call vanna]]+Table133456[[#This Row],[put vanna]])*$A$4)</f>
        <v>0</v>
      </c>
      <c r="AR103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8" s="9" t="str" cm="1">
        <f t="array" ref="AT1038">_xlfn.IFS(     $M$1="SPX","SPXW",     $M$1="RUT","RUTW",  $M$1="NDX","NDXP",   TRUE,$M$1 )</f>
        <v>SPXW</v>
      </c>
      <c r="AU1038" s="2">
        <f t="shared" si="107"/>
        <v>6915</v>
      </c>
      <c r="AV1038" t="str">
        <f t="shared" si="108"/>
        <v>000100</v>
      </c>
      <c r="AY103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8">
        <f>((Table133456[[#This Row],[High C]]+Table133456[[#This Row],[Low C]])/2)*Table133456[[#This Row],[gammac]]*Table133456[[#This Row],[Volume]]</f>
        <v>0</v>
      </c>
      <c r="BD1038">
        <f>((Table133456[[#This Row],[High P]]+Table133456[[#This Row],[Low P]])/2)*Table133456[[#This Row],[gammap]]*Table133456[[#This Row],[Volume9]]*-1</f>
        <v>0</v>
      </c>
      <c r="BE1038">
        <f>(Table133456[[#This Row],[SgammaC]]+Table133456[[#This Row],[SgammaP]])*$A$4*-100</f>
        <v>0</v>
      </c>
      <c r="BF1038">
        <f>Table133456[[#This Row],[DEXc]]+Table133456[[#This Row],[DEXp]]</f>
        <v>0</v>
      </c>
      <c r="BG1038">
        <f>IFERROR(Table133456[[#This Row],[DeltaC]]*Table133456[[#This Row],[Open.Int]]*$A$4,0)</f>
        <v>0</v>
      </c>
      <c r="BH1038">
        <f>IFERROR(Table133456[[#This Row],[DeltaP]]*Table133456[[#This Row],[Open.Int8]]*$A$4,0)</f>
        <v>0</v>
      </c>
      <c r="BI103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8">
        <f ca="1">Table133456[[#This Row],[charmc]]+Table133456[[#This Row],[charmp]]</f>
        <v>0</v>
      </c>
      <c r="BL103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8" s="78">
        <f ca="1">Table133456[[#This Row],[call helper]]+Table133456[[#This Row],[put helper]]</f>
        <v>0</v>
      </c>
      <c r="BP1038" t="str">
        <f>RTD("tos.rtd", , "STRIKE", "."&amp;Table133456[[#This Row],[Ticker]]&amp;Table133456[[#This Row],[Expiry]]&amp;""&amp;"C"&amp;Table133456[[#This Row],[Spot]]+Table133456[[#This Row],[step]])</f>
        <v>N/A</v>
      </c>
    </row>
    <row r="1039" spans="1:69" x14ac:dyDescent="0.25">
      <c r="A1039" s="14">
        <f t="shared" ca="1" si="104"/>
        <v>-126.14810350076104</v>
      </c>
      <c r="C1039" s="17"/>
      <c r="D1039" t="str">
        <f>RTD("tos.rtd", , "OPEN_INT", "."&amp;Table133456[[#This Row],[Ticker]]&amp;Table133456[[#This Row],[Expiry]]&amp;""&amp;"C"&amp;Table133456[[#This Row],[Spot]]+Table133456[[#This Row],[step]])</f>
        <v>N/A</v>
      </c>
      <c r="E103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9" s="17" cm="1">
        <f t="array" aca="1" ref="H1039" ca="1">IndividualLegIVCore($A$4, Table133456[[#This Row],[Strike]], 0.0411, Table133456[[#This Row],[T]], ((Table133456[[#This Row],[BIDC]]+Table133456[[#This Row],[ASKC]])/2), TRUE)</f>
        <v>0.01</v>
      </c>
      <c r="I1039" t="b">
        <f>IF(     ISNUMBER(Table133456[[#This Row],[Strike]]),RTD("tos.rtd", , "BID", "."&amp;Table133456[[#This Row],[Ticker]]&amp;Table133456[[#This Row],[Expiry]]&amp;""&amp;"C"&amp;Table133456[[#This Row],[Strike]]))</f>
        <v>0</v>
      </c>
      <c r="J1039" t="b">
        <f>IF(     ISNUMBER(Table133456[[#This Row],[Strike]]),RTD("tos.rtd", , "ASK", "."&amp;Table133456[[#This Row],[Ticker]]&amp;Table133456[[#This Row],[Expiry]]&amp;""&amp;"C"&amp;Table133456[[#This Row],[Strike]]))</f>
        <v>0</v>
      </c>
      <c r="K1039" s="17"/>
      <c r="M1039" s="1">
        <f t="shared" si="105"/>
        <v>0</v>
      </c>
      <c r="N1039" t="b">
        <f t="shared" si="106"/>
        <v>0</v>
      </c>
      <c r="P1039" s="17" cm="1">
        <f t="array" aca="1" ref="P1039" ca="1">IndividualLegIVCore($A$4, Table133456[[#This Row],[Strike]], 0.0411, Table133456[[#This Row],[T]], ((Table133456[[#This Row],[BIDP]]+Table133456[[#This Row],[ASKP]])/2), FALSE)</f>
        <v>0.01</v>
      </c>
      <c r="Q1039" t="b">
        <f>IF(     ISNUMBER(Table133456[[#This Row],[Strike]]),RTD("tos.rtd", , "BID", "."&amp;Table133456[[#This Row],[Ticker]]&amp;Table133456[[#This Row],[Expiry]]&amp;""&amp;"P"&amp;Table133456[[#This Row],[Strike]]))</f>
        <v>0</v>
      </c>
      <c r="R1039" t="b">
        <f>IF(     ISNUMBER(Table133456[[#This Row],[Strike]]),RTD("tos.rtd", , "ASK", "."&amp;Table133456[[#This Row],[Ticker]]&amp;Table133456[[#This Row],[Expiry]]&amp;""&amp;"P"&amp;Table133456[[#This Row],[Strike]]))</f>
        <v>0</v>
      </c>
      <c r="S1039" s="17"/>
      <c r="T103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9" s="19">
        <f>-43* IF($M$1="NDX", 10, IF(OR($M$1="SPX", $M$1="RUT"), 2, 1))</f>
        <v>-86</v>
      </c>
      <c r="Z1039">
        <f ca="1">IFERROR(Table133456[[#This Row],[call gamma]]*(Table133456[[#This Row],[Open.Int]])*$A$4^2,0)</f>
        <v>0</v>
      </c>
      <c r="AA1039">
        <f ca="1">IFERROR(((Table133456[[#This Row],[Open.Int8]])*Table133456[[#This Row],[Put gamma]])*-1*$A$4^2,0)</f>
        <v>0</v>
      </c>
      <c r="AB1039">
        <f ca="1">(Table133456[[#This Row],[Call Gex]]+Table133456[[#This Row],[Put Gex]])</f>
        <v>0</v>
      </c>
      <c r="AC1039">
        <f ca="1">Table133456[[#This Row],[put delta adj]]+Table133456[[#This Row],[call delta adj]]</f>
        <v>0</v>
      </c>
      <c r="AD1039">
        <f ca="1">Table133456[[#This Row],[Put Gex]]*Table133456[[#This Row],[DeltaP]]*-1</f>
        <v>0</v>
      </c>
      <c r="AE1039">
        <f ca="1">Table133456[[#This Row],[Call Gex]]*Table133456[[#This Row],[DeltaC]]</f>
        <v>0</v>
      </c>
      <c r="AF1039">
        <f>IF(Table133456[[#This Row],[DeltaC]]-ABS(Table133456[[#This Row],[DeltaP]])="0","0.01",Table133456[[#This Row],[DeltaC]]-ABS(Table133456[[#This Row],[DeltaP]]))</f>
        <v>0</v>
      </c>
      <c r="AG103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9" t="e">
        <f ca="1">(EXP(-(AG1039^2)/2)/SQRT(2*PI())*EXP(0*SQRT(Table133456[[#This Row],[T]]))/$A$4*18%*SQRT(SQRT(Table133456[[#This Row],[T]])))</f>
        <v>#DIV/0!</v>
      </c>
      <c r="AJ1039" t="e">
        <f ca="1">(EXP(-(AH1039^2)/2)/SQRT(2*PI())*EXP(0*SQRT(Table133456[[#This Row],[T]]))/$A$4*18%*SQRT(SQRT(Table133456[[#This Row],[T]])))</f>
        <v>#DIV/0!</v>
      </c>
      <c r="AK1039" t="e">
        <f ca="1">Table133456[[#This Row],[Call D1]]-Table133456[[#This Row],[IV Calc C]]*SQRT(Table133456[[#This Row],[T]])</f>
        <v>#DIV/0!</v>
      </c>
      <c r="AL1039" t="e">
        <f ca="1">Table133456[[#This Row],[Put D1]]-Table133456[[#This Row],[IV Calc P]]*SQRT(Table133456[[#This Row],[T]])</f>
        <v>#DIV/0!</v>
      </c>
      <c r="AM1039" t="e">
        <f ca="1">EXP(-0.5*Table133456[[#This Row],[Call D1]]^2)/SQRT(2*PI())</f>
        <v>#DIV/0!</v>
      </c>
      <c r="AN1039" t="e">
        <f ca="1">EXP(-0.5*Table133456[[#This Row],[Put D1]]^2)/SQRT(2*PI())</f>
        <v>#DIV/0!</v>
      </c>
      <c r="AO103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9">
        <f ca="1">((Table133456[[#This Row],[call vanna]]+Table133456[[#This Row],[put vanna]])*$A$4)</f>
        <v>0</v>
      </c>
      <c r="AR103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9" s="9" t="str" cm="1">
        <f t="array" ref="AT1039">_xlfn.IFS(     $M$1="SPX","SPXW",     $M$1="RUT","RUTW",  $M$1="NDX","NDXP",   TRUE,$M$1 )</f>
        <v>SPXW</v>
      </c>
      <c r="AU1039" s="2">
        <f t="shared" si="107"/>
        <v>6915</v>
      </c>
      <c r="AV1039" t="str">
        <f t="shared" si="108"/>
        <v>000100</v>
      </c>
      <c r="AY103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9">
        <f>((Table133456[[#This Row],[High C]]+Table133456[[#This Row],[Low C]])/2)*Table133456[[#This Row],[gammac]]*Table133456[[#This Row],[Volume]]</f>
        <v>0</v>
      </c>
      <c r="BD1039">
        <f>((Table133456[[#This Row],[High P]]+Table133456[[#This Row],[Low P]])/2)*Table133456[[#This Row],[gammap]]*Table133456[[#This Row],[Volume9]]*-1</f>
        <v>0</v>
      </c>
      <c r="BE1039">
        <f>(Table133456[[#This Row],[SgammaC]]+Table133456[[#This Row],[SgammaP]])*$A$4*-100</f>
        <v>0</v>
      </c>
      <c r="BF1039">
        <f>Table133456[[#This Row],[DEXc]]+Table133456[[#This Row],[DEXp]]</f>
        <v>0</v>
      </c>
      <c r="BG1039">
        <f>IFERROR(Table133456[[#This Row],[DeltaC]]*Table133456[[#This Row],[Open.Int]]*$A$4,0)</f>
        <v>0</v>
      </c>
      <c r="BH1039">
        <f>IFERROR(Table133456[[#This Row],[DeltaP]]*Table133456[[#This Row],[Open.Int8]]*$A$4,0)</f>
        <v>0</v>
      </c>
      <c r="BI103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9">
        <f ca="1">Table133456[[#This Row],[charmc]]+Table133456[[#This Row],[charmp]]</f>
        <v>0</v>
      </c>
      <c r="BL103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9" s="78">
        <f ca="1">Table133456[[#This Row],[call helper]]+Table133456[[#This Row],[put helper]]</f>
        <v>0</v>
      </c>
      <c r="BP1039" t="str">
        <f>RTD("tos.rtd", , "STRIKE", "."&amp;Table133456[[#This Row],[Ticker]]&amp;Table133456[[#This Row],[Expiry]]&amp;""&amp;"C"&amp;Table133456[[#This Row],[Spot]]+Table133456[[#This Row],[step]])</f>
        <v>N/A</v>
      </c>
    </row>
    <row r="1040" spans="1:69" x14ac:dyDescent="0.25">
      <c r="A1040" s="14">
        <f t="shared" ca="1" si="104"/>
        <v>-126.14810350076104</v>
      </c>
      <c r="C1040" s="17"/>
      <c r="D1040" t="str">
        <f>RTD("tos.rtd", , "OPEN_INT", "."&amp;Table133456[[#This Row],[Ticker]]&amp;Table133456[[#This Row],[Expiry]]&amp;""&amp;"C"&amp;Table133456[[#This Row],[Spot]]+Table133456[[#This Row],[step]])</f>
        <v>N/A</v>
      </c>
      <c r="E104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0" s="17" cm="1">
        <f t="array" aca="1" ref="H1040" ca="1">IndividualLegIVCore($A$4, Table133456[[#This Row],[Strike]], 0.0411, Table133456[[#This Row],[T]], ((Table133456[[#This Row],[BIDC]]+Table133456[[#This Row],[ASKC]])/2), TRUE)</f>
        <v>0.01</v>
      </c>
      <c r="I1040" t="b">
        <f>IF(     ISNUMBER(Table133456[[#This Row],[Strike]]),RTD("tos.rtd", , "BID", "."&amp;Table133456[[#This Row],[Ticker]]&amp;Table133456[[#This Row],[Expiry]]&amp;""&amp;"C"&amp;Table133456[[#This Row],[Strike]]))</f>
        <v>0</v>
      </c>
      <c r="J1040" t="b">
        <f>IF(     ISNUMBER(Table133456[[#This Row],[Strike]]),RTD("tos.rtd", , "ASK", "."&amp;Table133456[[#This Row],[Ticker]]&amp;Table133456[[#This Row],[Expiry]]&amp;""&amp;"C"&amp;Table133456[[#This Row],[Strike]]))</f>
        <v>0</v>
      </c>
      <c r="K1040" s="17"/>
      <c r="M1040" s="1">
        <f t="shared" si="105"/>
        <v>0</v>
      </c>
      <c r="N1040" t="b">
        <f t="shared" si="106"/>
        <v>0</v>
      </c>
      <c r="P1040" s="17" cm="1">
        <f t="array" aca="1" ref="P1040" ca="1">IndividualLegIVCore($A$4, Table133456[[#This Row],[Strike]], 0.0411, Table133456[[#This Row],[T]], ((Table133456[[#This Row],[BIDP]]+Table133456[[#This Row],[ASKP]])/2), FALSE)</f>
        <v>0.01</v>
      </c>
      <c r="Q1040" t="b">
        <f>IF(     ISNUMBER(Table133456[[#This Row],[Strike]]),RTD("tos.rtd", , "BID", "."&amp;Table133456[[#This Row],[Ticker]]&amp;Table133456[[#This Row],[Expiry]]&amp;""&amp;"P"&amp;Table133456[[#This Row],[Strike]]))</f>
        <v>0</v>
      </c>
      <c r="R1040" t="b">
        <f>IF(     ISNUMBER(Table133456[[#This Row],[Strike]]),RTD("tos.rtd", , "ASK", "."&amp;Table133456[[#This Row],[Ticker]]&amp;Table133456[[#This Row],[Expiry]]&amp;""&amp;"P"&amp;Table133456[[#This Row],[Strike]]))</f>
        <v>0</v>
      </c>
      <c r="S1040" s="17"/>
      <c r="T104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0" s="19">
        <f>-42.5* IF($M$1="NDX", 10, IF(OR($M$1="SPX", $M$1="RUT"), 2, 1))</f>
        <v>-85</v>
      </c>
      <c r="Z1040">
        <f ca="1">IFERROR(Table133456[[#This Row],[call gamma]]*(Table133456[[#This Row],[Open.Int]])*$A$4^2,0)</f>
        <v>0</v>
      </c>
      <c r="AA1040">
        <f ca="1">IFERROR(((Table133456[[#This Row],[Open.Int8]])*Table133456[[#This Row],[Put gamma]])*-1*$A$4^2,0)</f>
        <v>0</v>
      </c>
      <c r="AB1040">
        <f ca="1">(Table133456[[#This Row],[Call Gex]]+Table133456[[#This Row],[Put Gex]])</f>
        <v>0</v>
      </c>
      <c r="AC1040">
        <f ca="1">Table133456[[#This Row],[put delta adj]]+Table133456[[#This Row],[call delta adj]]</f>
        <v>0</v>
      </c>
      <c r="AD1040">
        <f ca="1">Table133456[[#This Row],[Put Gex]]*Table133456[[#This Row],[DeltaP]]*-1</f>
        <v>0</v>
      </c>
      <c r="AE1040">
        <f ca="1">Table133456[[#This Row],[Call Gex]]*Table133456[[#This Row],[DeltaC]]</f>
        <v>0</v>
      </c>
      <c r="AF1040">
        <f>IF(Table133456[[#This Row],[DeltaC]]-ABS(Table133456[[#This Row],[DeltaP]])="0","0.01",Table133456[[#This Row],[DeltaC]]-ABS(Table133456[[#This Row],[DeltaP]]))</f>
        <v>0</v>
      </c>
      <c r="AG104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0" t="e">
        <f ca="1">(EXP(-(AG1040^2)/2)/SQRT(2*PI())*EXP(0*SQRT(Table133456[[#This Row],[T]]))/$A$4*18%*SQRT(SQRT(Table133456[[#This Row],[T]])))</f>
        <v>#DIV/0!</v>
      </c>
      <c r="AJ1040" t="e">
        <f ca="1">(EXP(-(AH1040^2)/2)/SQRT(2*PI())*EXP(0*SQRT(Table133456[[#This Row],[T]]))/$A$4*18%*SQRT(SQRT(Table133456[[#This Row],[T]])))</f>
        <v>#DIV/0!</v>
      </c>
      <c r="AK1040" t="e">
        <f ca="1">Table133456[[#This Row],[Call D1]]-Table133456[[#This Row],[IV Calc C]]*SQRT(Table133456[[#This Row],[T]])</f>
        <v>#DIV/0!</v>
      </c>
      <c r="AL1040" t="e">
        <f ca="1">Table133456[[#This Row],[Put D1]]-Table133456[[#This Row],[IV Calc P]]*SQRT(Table133456[[#This Row],[T]])</f>
        <v>#DIV/0!</v>
      </c>
      <c r="AM1040" t="e">
        <f ca="1">EXP(-0.5*Table133456[[#This Row],[Call D1]]^2)/SQRT(2*PI())</f>
        <v>#DIV/0!</v>
      </c>
      <c r="AN1040" t="e">
        <f ca="1">EXP(-0.5*Table133456[[#This Row],[Put D1]]^2)/SQRT(2*PI())</f>
        <v>#DIV/0!</v>
      </c>
      <c r="AO104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0">
        <f ca="1">((Table133456[[#This Row],[call vanna]]+Table133456[[#This Row],[put vanna]])*$A$4)</f>
        <v>0</v>
      </c>
      <c r="AR104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0" s="9" t="str" cm="1">
        <f t="array" ref="AT1040">_xlfn.IFS(     $M$1="SPX","SPXW",     $M$1="RUT","RUTW",  $M$1="NDX","NDXP",   TRUE,$M$1 )</f>
        <v>SPXW</v>
      </c>
      <c r="AU1040" s="2">
        <f t="shared" si="107"/>
        <v>6915</v>
      </c>
      <c r="AV1040" t="str">
        <f t="shared" si="108"/>
        <v>000100</v>
      </c>
      <c r="AY104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0">
        <f>((Table133456[[#This Row],[High C]]+Table133456[[#This Row],[Low C]])/2)*Table133456[[#This Row],[gammac]]*Table133456[[#This Row],[Volume]]</f>
        <v>0</v>
      </c>
      <c r="BD1040">
        <f>((Table133456[[#This Row],[High P]]+Table133456[[#This Row],[Low P]])/2)*Table133456[[#This Row],[gammap]]*Table133456[[#This Row],[Volume9]]*-1</f>
        <v>0</v>
      </c>
      <c r="BE1040">
        <f>(Table133456[[#This Row],[SgammaC]]+Table133456[[#This Row],[SgammaP]])*$A$4*-100</f>
        <v>0</v>
      </c>
      <c r="BF1040">
        <f>Table133456[[#This Row],[DEXc]]+Table133456[[#This Row],[DEXp]]</f>
        <v>0</v>
      </c>
      <c r="BG1040">
        <f>IFERROR(Table133456[[#This Row],[DeltaC]]*Table133456[[#This Row],[Open.Int]]*$A$4,0)</f>
        <v>0</v>
      </c>
      <c r="BH1040">
        <f>IFERROR(Table133456[[#This Row],[DeltaP]]*Table133456[[#This Row],[Open.Int8]]*$A$4,0)</f>
        <v>0</v>
      </c>
      <c r="BI104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0">
        <f ca="1">Table133456[[#This Row],[charmc]]+Table133456[[#This Row],[charmp]]</f>
        <v>0</v>
      </c>
      <c r="BL104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0" s="78">
        <f ca="1">Table133456[[#This Row],[call helper]]+Table133456[[#This Row],[put helper]]</f>
        <v>0</v>
      </c>
      <c r="BP1040" t="str">
        <f>RTD("tos.rtd", , "STRIKE", "."&amp;Table133456[[#This Row],[Ticker]]&amp;Table133456[[#This Row],[Expiry]]&amp;""&amp;"C"&amp;Table133456[[#This Row],[Spot]]+Table133456[[#This Row],[step]])</f>
        <v>N/A</v>
      </c>
    </row>
    <row r="1041" spans="1:68" x14ac:dyDescent="0.25">
      <c r="A1041" s="14">
        <f t="shared" ca="1" si="104"/>
        <v>-126.14810350076104</v>
      </c>
      <c r="C1041" s="17"/>
      <c r="D1041" t="str">
        <f>RTD("tos.rtd", , "OPEN_INT", "."&amp;Table133456[[#This Row],[Ticker]]&amp;Table133456[[#This Row],[Expiry]]&amp;""&amp;"C"&amp;Table133456[[#This Row],[Spot]]+Table133456[[#This Row],[step]])</f>
        <v>N/A</v>
      </c>
      <c r="E104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1" s="17" cm="1">
        <f t="array" aca="1" ref="H1041" ca="1">IndividualLegIVCore($A$4, Table133456[[#This Row],[Strike]], 0.0411, Table133456[[#This Row],[T]], ((Table133456[[#This Row],[BIDC]]+Table133456[[#This Row],[ASKC]])/2), TRUE)</f>
        <v>0.01</v>
      </c>
      <c r="I1041" t="b">
        <f>IF(     ISNUMBER(Table133456[[#This Row],[Strike]]),RTD("tos.rtd", , "BID", "."&amp;Table133456[[#This Row],[Ticker]]&amp;Table133456[[#This Row],[Expiry]]&amp;""&amp;"C"&amp;Table133456[[#This Row],[Strike]]))</f>
        <v>0</v>
      </c>
      <c r="J1041" t="b">
        <f>IF(     ISNUMBER(Table133456[[#This Row],[Strike]]),RTD("tos.rtd", , "ASK", "."&amp;Table133456[[#This Row],[Ticker]]&amp;Table133456[[#This Row],[Expiry]]&amp;""&amp;"C"&amp;Table133456[[#This Row],[Strike]]))</f>
        <v>0</v>
      </c>
      <c r="K1041" s="17"/>
      <c r="M1041" s="1">
        <f t="shared" si="105"/>
        <v>0</v>
      </c>
      <c r="N1041" t="b">
        <f t="shared" si="106"/>
        <v>0</v>
      </c>
      <c r="P1041" s="17" cm="1">
        <f t="array" aca="1" ref="P1041" ca="1">IndividualLegIVCore($A$4, Table133456[[#This Row],[Strike]], 0.0411, Table133456[[#This Row],[T]], ((Table133456[[#This Row],[BIDP]]+Table133456[[#This Row],[ASKP]])/2), FALSE)</f>
        <v>0.01</v>
      </c>
      <c r="Q1041" t="b">
        <f>IF(     ISNUMBER(Table133456[[#This Row],[Strike]]),RTD("tos.rtd", , "BID", "."&amp;Table133456[[#This Row],[Ticker]]&amp;Table133456[[#This Row],[Expiry]]&amp;""&amp;"P"&amp;Table133456[[#This Row],[Strike]]))</f>
        <v>0</v>
      </c>
      <c r="R1041" t="b">
        <f>IF(     ISNUMBER(Table133456[[#This Row],[Strike]]),RTD("tos.rtd", , "ASK", "."&amp;Table133456[[#This Row],[Ticker]]&amp;Table133456[[#This Row],[Expiry]]&amp;""&amp;"P"&amp;Table133456[[#This Row],[Strike]]))</f>
        <v>0</v>
      </c>
      <c r="S1041" s="17"/>
      <c r="T104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1" s="19">
        <f>-42* IF($M$1="NDX", 10, IF(OR($M$1="SPX", $M$1="RUT"), 2, 1))</f>
        <v>-84</v>
      </c>
      <c r="Z1041">
        <f ca="1">IFERROR(Table133456[[#This Row],[call gamma]]*(Table133456[[#This Row],[Open.Int]])*$A$4^2,0)</f>
        <v>0</v>
      </c>
      <c r="AA1041">
        <f ca="1">IFERROR(((Table133456[[#This Row],[Open.Int8]])*Table133456[[#This Row],[Put gamma]])*-1*$A$4^2,0)</f>
        <v>0</v>
      </c>
      <c r="AB1041">
        <f ca="1">(Table133456[[#This Row],[Call Gex]]+Table133456[[#This Row],[Put Gex]])</f>
        <v>0</v>
      </c>
      <c r="AC1041">
        <f ca="1">Table133456[[#This Row],[put delta adj]]+Table133456[[#This Row],[call delta adj]]</f>
        <v>0</v>
      </c>
      <c r="AD1041">
        <f ca="1">Table133456[[#This Row],[Put Gex]]*Table133456[[#This Row],[DeltaP]]*-1</f>
        <v>0</v>
      </c>
      <c r="AE1041">
        <f ca="1">Table133456[[#This Row],[Call Gex]]*Table133456[[#This Row],[DeltaC]]</f>
        <v>0</v>
      </c>
      <c r="AF1041">
        <f>IF(Table133456[[#This Row],[DeltaC]]-ABS(Table133456[[#This Row],[DeltaP]])="0","0.01",Table133456[[#This Row],[DeltaC]]-ABS(Table133456[[#This Row],[DeltaP]]))</f>
        <v>0</v>
      </c>
      <c r="AG104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1" t="e">
        <f ca="1">(EXP(-(AG1041^2)/2)/SQRT(2*PI())*EXP(0*SQRT(Table133456[[#This Row],[T]]))/$A$4*18%*SQRT(SQRT(Table133456[[#This Row],[T]])))</f>
        <v>#DIV/0!</v>
      </c>
      <c r="AJ1041" t="e">
        <f ca="1">(EXP(-(AH1041^2)/2)/SQRT(2*PI())*EXP(0*SQRT(Table133456[[#This Row],[T]]))/$A$4*18%*SQRT(SQRT(Table133456[[#This Row],[T]])))</f>
        <v>#DIV/0!</v>
      </c>
      <c r="AK1041" t="e">
        <f ca="1">Table133456[[#This Row],[Call D1]]-Table133456[[#This Row],[IV Calc C]]*SQRT(Table133456[[#This Row],[T]])</f>
        <v>#DIV/0!</v>
      </c>
      <c r="AL1041" t="e">
        <f ca="1">Table133456[[#This Row],[Put D1]]-Table133456[[#This Row],[IV Calc P]]*SQRT(Table133456[[#This Row],[T]])</f>
        <v>#DIV/0!</v>
      </c>
      <c r="AM1041" t="e">
        <f ca="1">EXP(-0.5*Table133456[[#This Row],[Call D1]]^2)/SQRT(2*PI())</f>
        <v>#DIV/0!</v>
      </c>
      <c r="AN1041" t="e">
        <f ca="1">EXP(-0.5*Table133456[[#This Row],[Put D1]]^2)/SQRT(2*PI())</f>
        <v>#DIV/0!</v>
      </c>
      <c r="AO104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1">
        <f ca="1">((Table133456[[#This Row],[call vanna]]+Table133456[[#This Row],[put vanna]])*$A$4)</f>
        <v>0</v>
      </c>
      <c r="AR104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1" s="9" t="str" cm="1">
        <f t="array" ref="AT1041">_xlfn.IFS(     $M$1="SPX","SPXW",     $M$1="RUT","RUTW",  $M$1="NDX","NDXP",   TRUE,$M$1 )</f>
        <v>SPXW</v>
      </c>
      <c r="AU1041" s="2">
        <f t="shared" si="107"/>
        <v>6915</v>
      </c>
      <c r="AV1041" t="str">
        <f t="shared" si="108"/>
        <v>000100</v>
      </c>
      <c r="AY104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1">
        <f>((Table133456[[#This Row],[High C]]+Table133456[[#This Row],[Low C]])/2)*Table133456[[#This Row],[gammac]]*Table133456[[#This Row],[Volume]]</f>
        <v>0</v>
      </c>
      <c r="BD1041">
        <f>((Table133456[[#This Row],[High P]]+Table133456[[#This Row],[Low P]])/2)*Table133456[[#This Row],[gammap]]*Table133456[[#This Row],[Volume9]]*-1</f>
        <v>0</v>
      </c>
      <c r="BE1041">
        <f>(Table133456[[#This Row],[SgammaC]]+Table133456[[#This Row],[SgammaP]])*$A$4*-100</f>
        <v>0</v>
      </c>
      <c r="BF1041">
        <f>Table133456[[#This Row],[DEXc]]+Table133456[[#This Row],[DEXp]]</f>
        <v>0</v>
      </c>
      <c r="BG1041">
        <f>IFERROR(Table133456[[#This Row],[DeltaC]]*Table133456[[#This Row],[Open.Int]]*$A$4,0)</f>
        <v>0</v>
      </c>
      <c r="BH1041">
        <f>IFERROR(Table133456[[#This Row],[DeltaP]]*Table133456[[#This Row],[Open.Int8]]*$A$4,0)</f>
        <v>0</v>
      </c>
      <c r="BI104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1">
        <f ca="1">Table133456[[#This Row],[charmc]]+Table133456[[#This Row],[charmp]]</f>
        <v>0</v>
      </c>
      <c r="BL104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1" s="78">
        <f ca="1">Table133456[[#This Row],[call helper]]+Table133456[[#This Row],[put helper]]</f>
        <v>0</v>
      </c>
      <c r="BP1041" t="str">
        <f>RTD("tos.rtd", , "STRIKE", "."&amp;Table133456[[#This Row],[Ticker]]&amp;Table133456[[#This Row],[Expiry]]&amp;""&amp;"C"&amp;Table133456[[#This Row],[Spot]]+Table133456[[#This Row],[step]])</f>
        <v>N/A</v>
      </c>
    </row>
    <row r="1042" spans="1:68" x14ac:dyDescent="0.25">
      <c r="A1042" s="14">
        <f t="shared" ca="1" si="104"/>
        <v>-126.14810350076104</v>
      </c>
      <c r="C1042" s="17"/>
      <c r="D1042" t="str">
        <f>RTD("tos.rtd", , "OPEN_INT", "."&amp;Table133456[[#This Row],[Ticker]]&amp;Table133456[[#This Row],[Expiry]]&amp;""&amp;"C"&amp;Table133456[[#This Row],[Spot]]+Table133456[[#This Row],[step]])</f>
        <v>N/A</v>
      </c>
      <c r="E104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2" s="17" cm="1">
        <f t="array" aca="1" ref="H1042" ca="1">IndividualLegIVCore($A$4, Table133456[[#This Row],[Strike]], 0.0411, Table133456[[#This Row],[T]], ((Table133456[[#This Row],[BIDC]]+Table133456[[#This Row],[ASKC]])/2), TRUE)</f>
        <v>0.01</v>
      </c>
      <c r="I1042" t="b">
        <f>IF(     ISNUMBER(Table133456[[#This Row],[Strike]]),RTD("tos.rtd", , "BID", "."&amp;Table133456[[#This Row],[Ticker]]&amp;Table133456[[#This Row],[Expiry]]&amp;""&amp;"C"&amp;Table133456[[#This Row],[Strike]]))</f>
        <v>0</v>
      </c>
      <c r="J1042" t="b">
        <f>IF(     ISNUMBER(Table133456[[#This Row],[Strike]]),RTD("tos.rtd", , "ASK", "."&amp;Table133456[[#This Row],[Ticker]]&amp;Table133456[[#This Row],[Expiry]]&amp;""&amp;"C"&amp;Table133456[[#This Row],[Strike]]))</f>
        <v>0</v>
      </c>
      <c r="K1042" s="17"/>
      <c r="M1042" s="1">
        <f t="shared" si="105"/>
        <v>0</v>
      </c>
      <c r="N1042" t="b">
        <f t="shared" si="106"/>
        <v>0</v>
      </c>
      <c r="P1042" s="17" cm="1">
        <f t="array" aca="1" ref="P1042" ca="1">IndividualLegIVCore($A$4, Table133456[[#This Row],[Strike]], 0.0411, Table133456[[#This Row],[T]], ((Table133456[[#This Row],[BIDP]]+Table133456[[#This Row],[ASKP]])/2), FALSE)</f>
        <v>0.01</v>
      </c>
      <c r="Q1042" t="b">
        <f>IF(     ISNUMBER(Table133456[[#This Row],[Strike]]),RTD("tos.rtd", , "BID", "."&amp;Table133456[[#This Row],[Ticker]]&amp;Table133456[[#This Row],[Expiry]]&amp;""&amp;"P"&amp;Table133456[[#This Row],[Strike]]))</f>
        <v>0</v>
      </c>
      <c r="R1042" t="b">
        <f>IF(     ISNUMBER(Table133456[[#This Row],[Strike]]),RTD("tos.rtd", , "ASK", "."&amp;Table133456[[#This Row],[Ticker]]&amp;Table133456[[#This Row],[Expiry]]&amp;""&amp;"P"&amp;Table133456[[#This Row],[Strike]]))</f>
        <v>0</v>
      </c>
      <c r="S1042" s="17"/>
      <c r="T104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2" s="19">
        <f>-41.5* IF($M$1="NDX", 10, IF(OR($M$1="SPX", $M$1="RUT"), 2, 1))</f>
        <v>-83</v>
      </c>
      <c r="Z1042">
        <f ca="1">IFERROR(Table133456[[#This Row],[call gamma]]*(Table133456[[#This Row],[Open.Int]])*$A$4^2,0)</f>
        <v>0</v>
      </c>
      <c r="AA1042">
        <f ca="1">IFERROR(((Table133456[[#This Row],[Open.Int8]])*Table133456[[#This Row],[Put gamma]])*-1*$A$4^2,0)</f>
        <v>0</v>
      </c>
      <c r="AB1042">
        <f ca="1">(Table133456[[#This Row],[Call Gex]]+Table133456[[#This Row],[Put Gex]])</f>
        <v>0</v>
      </c>
      <c r="AC1042">
        <f ca="1">Table133456[[#This Row],[put delta adj]]+Table133456[[#This Row],[call delta adj]]</f>
        <v>0</v>
      </c>
      <c r="AD1042">
        <f ca="1">Table133456[[#This Row],[Put Gex]]*Table133456[[#This Row],[DeltaP]]*-1</f>
        <v>0</v>
      </c>
      <c r="AE1042">
        <f ca="1">Table133456[[#This Row],[Call Gex]]*Table133456[[#This Row],[DeltaC]]</f>
        <v>0</v>
      </c>
      <c r="AF1042">
        <f>IF(Table133456[[#This Row],[DeltaC]]-ABS(Table133456[[#This Row],[DeltaP]])="0","0.01",Table133456[[#This Row],[DeltaC]]-ABS(Table133456[[#This Row],[DeltaP]]))</f>
        <v>0</v>
      </c>
      <c r="AG104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2" t="e">
        <f ca="1">(EXP(-(AG1042^2)/2)/SQRT(2*PI())*EXP(0*SQRT(Table133456[[#This Row],[T]]))/$A$4*18%*SQRT(SQRT(Table133456[[#This Row],[T]])))</f>
        <v>#DIV/0!</v>
      </c>
      <c r="AJ1042" t="e">
        <f ca="1">(EXP(-(AH1042^2)/2)/SQRT(2*PI())*EXP(0*SQRT(Table133456[[#This Row],[T]]))/$A$4*18%*SQRT(SQRT(Table133456[[#This Row],[T]])))</f>
        <v>#DIV/0!</v>
      </c>
      <c r="AK1042" t="e">
        <f ca="1">Table133456[[#This Row],[Call D1]]-Table133456[[#This Row],[IV Calc C]]*SQRT(Table133456[[#This Row],[T]])</f>
        <v>#DIV/0!</v>
      </c>
      <c r="AL1042" t="e">
        <f ca="1">Table133456[[#This Row],[Put D1]]-Table133456[[#This Row],[IV Calc P]]*SQRT(Table133456[[#This Row],[T]])</f>
        <v>#DIV/0!</v>
      </c>
      <c r="AM1042" t="e">
        <f ca="1">EXP(-0.5*Table133456[[#This Row],[Call D1]]^2)/SQRT(2*PI())</f>
        <v>#DIV/0!</v>
      </c>
      <c r="AN1042" t="e">
        <f ca="1">EXP(-0.5*Table133456[[#This Row],[Put D1]]^2)/SQRT(2*PI())</f>
        <v>#DIV/0!</v>
      </c>
      <c r="AO104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2">
        <f ca="1">((Table133456[[#This Row],[call vanna]]+Table133456[[#This Row],[put vanna]])*$A$4)</f>
        <v>0</v>
      </c>
      <c r="AR104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2" s="9" t="str" cm="1">
        <f t="array" ref="AT1042">_xlfn.IFS(     $M$1="SPX","SPXW",     $M$1="RUT","RUTW",  $M$1="NDX","NDXP",   TRUE,$M$1 )</f>
        <v>SPXW</v>
      </c>
      <c r="AU1042" s="2">
        <f t="shared" si="107"/>
        <v>6915</v>
      </c>
      <c r="AV1042" t="str">
        <f t="shared" si="108"/>
        <v>000100</v>
      </c>
      <c r="AY104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2">
        <f>((Table133456[[#This Row],[High C]]+Table133456[[#This Row],[Low C]])/2)*Table133456[[#This Row],[gammac]]*Table133456[[#This Row],[Volume]]</f>
        <v>0</v>
      </c>
      <c r="BD1042">
        <f>((Table133456[[#This Row],[High P]]+Table133456[[#This Row],[Low P]])/2)*Table133456[[#This Row],[gammap]]*Table133456[[#This Row],[Volume9]]*-1</f>
        <v>0</v>
      </c>
      <c r="BE1042">
        <f>(Table133456[[#This Row],[SgammaC]]+Table133456[[#This Row],[SgammaP]])*$A$4*-100</f>
        <v>0</v>
      </c>
      <c r="BF1042">
        <f>Table133456[[#This Row],[DEXc]]+Table133456[[#This Row],[DEXp]]</f>
        <v>0</v>
      </c>
      <c r="BG1042">
        <f>IFERROR(Table133456[[#This Row],[DeltaC]]*Table133456[[#This Row],[Open.Int]]*$A$4,0)</f>
        <v>0</v>
      </c>
      <c r="BH1042">
        <f>IFERROR(Table133456[[#This Row],[DeltaP]]*Table133456[[#This Row],[Open.Int8]]*$A$4,0)</f>
        <v>0</v>
      </c>
      <c r="BI104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2">
        <f ca="1">Table133456[[#This Row],[charmc]]+Table133456[[#This Row],[charmp]]</f>
        <v>0</v>
      </c>
      <c r="BL104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2" s="78">
        <f ca="1">Table133456[[#This Row],[call helper]]+Table133456[[#This Row],[put helper]]</f>
        <v>0</v>
      </c>
      <c r="BP1042" t="str">
        <f>RTD("tos.rtd", , "STRIKE", "."&amp;Table133456[[#This Row],[Ticker]]&amp;Table133456[[#This Row],[Expiry]]&amp;""&amp;"C"&amp;Table133456[[#This Row],[Spot]]+Table133456[[#This Row],[step]])</f>
        <v>N/A</v>
      </c>
    </row>
    <row r="1043" spans="1:68" x14ac:dyDescent="0.25">
      <c r="A1043" s="14">
        <f t="shared" ca="1" si="104"/>
        <v>-126.14810350076104</v>
      </c>
      <c r="C1043" s="17"/>
      <c r="D1043" t="str">
        <f>RTD("tos.rtd", , "OPEN_INT", "."&amp;Table133456[[#This Row],[Ticker]]&amp;Table133456[[#This Row],[Expiry]]&amp;""&amp;"C"&amp;Table133456[[#This Row],[Spot]]+Table133456[[#This Row],[step]])</f>
        <v>N/A</v>
      </c>
      <c r="E104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3" s="17" cm="1">
        <f t="array" aca="1" ref="H1043" ca="1">IndividualLegIVCore($A$4, Table133456[[#This Row],[Strike]], 0.0411, Table133456[[#This Row],[T]], ((Table133456[[#This Row],[BIDC]]+Table133456[[#This Row],[ASKC]])/2), TRUE)</f>
        <v>0.01</v>
      </c>
      <c r="I1043" t="b">
        <f>IF(     ISNUMBER(Table133456[[#This Row],[Strike]]),RTD("tos.rtd", , "BID", "."&amp;Table133456[[#This Row],[Ticker]]&amp;Table133456[[#This Row],[Expiry]]&amp;""&amp;"C"&amp;Table133456[[#This Row],[Strike]]))</f>
        <v>0</v>
      </c>
      <c r="J1043" t="b">
        <f>IF(     ISNUMBER(Table133456[[#This Row],[Strike]]),RTD("tos.rtd", , "ASK", "."&amp;Table133456[[#This Row],[Ticker]]&amp;Table133456[[#This Row],[Expiry]]&amp;""&amp;"C"&amp;Table133456[[#This Row],[Strike]]))</f>
        <v>0</v>
      </c>
      <c r="K1043" s="17"/>
      <c r="M1043" s="1">
        <f t="shared" si="105"/>
        <v>0</v>
      </c>
      <c r="N1043" t="b">
        <f t="shared" si="106"/>
        <v>0</v>
      </c>
      <c r="P1043" s="17" cm="1">
        <f t="array" aca="1" ref="P1043" ca="1">IndividualLegIVCore($A$4, Table133456[[#This Row],[Strike]], 0.0411, Table133456[[#This Row],[T]], ((Table133456[[#This Row],[BIDP]]+Table133456[[#This Row],[ASKP]])/2), FALSE)</f>
        <v>0.01</v>
      </c>
      <c r="Q1043" t="b">
        <f>IF(     ISNUMBER(Table133456[[#This Row],[Strike]]),RTD("tos.rtd", , "BID", "."&amp;Table133456[[#This Row],[Ticker]]&amp;Table133456[[#This Row],[Expiry]]&amp;""&amp;"P"&amp;Table133456[[#This Row],[Strike]]))</f>
        <v>0</v>
      </c>
      <c r="R1043" t="b">
        <f>IF(     ISNUMBER(Table133456[[#This Row],[Strike]]),RTD("tos.rtd", , "ASK", "."&amp;Table133456[[#This Row],[Ticker]]&amp;Table133456[[#This Row],[Expiry]]&amp;""&amp;"P"&amp;Table133456[[#This Row],[Strike]]))</f>
        <v>0</v>
      </c>
      <c r="S1043" s="17"/>
      <c r="T104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3" s="19">
        <f>-41* IF($M$1="NDX", 10, IF(OR($M$1="SPX", $M$1="RUT"), 2, 1))</f>
        <v>-82</v>
      </c>
      <c r="Z1043">
        <f ca="1">IFERROR(Table133456[[#This Row],[call gamma]]*(Table133456[[#This Row],[Open.Int]])*$A$4^2,0)</f>
        <v>0</v>
      </c>
      <c r="AA1043">
        <f ca="1">IFERROR(((Table133456[[#This Row],[Open.Int8]])*Table133456[[#This Row],[Put gamma]])*-1*$A$4^2,0)</f>
        <v>0</v>
      </c>
      <c r="AB1043">
        <f ca="1">(Table133456[[#This Row],[Call Gex]]+Table133456[[#This Row],[Put Gex]])</f>
        <v>0</v>
      </c>
      <c r="AC1043">
        <f ca="1">Table133456[[#This Row],[put delta adj]]+Table133456[[#This Row],[call delta adj]]</f>
        <v>0</v>
      </c>
      <c r="AD1043">
        <f ca="1">Table133456[[#This Row],[Put Gex]]*Table133456[[#This Row],[DeltaP]]*-1</f>
        <v>0</v>
      </c>
      <c r="AE1043">
        <f ca="1">Table133456[[#This Row],[Call Gex]]*Table133456[[#This Row],[DeltaC]]</f>
        <v>0</v>
      </c>
      <c r="AF1043">
        <f>IF(Table133456[[#This Row],[DeltaC]]-ABS(Table133456[[#This Row],[DeltaP]])="0","0.01",Table133456[[#This Row],[DeltaC]]-ABS(Table133456[[#This Row],[DeltaP]]))</f>
        <v>0</v>
      </c>
      <c r="AG104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3" t="e">
        <f ca="1">(EXP(-(AG1043^2)/2)/SQRT(2*PI())*EXP(0*SQRT(Table133456[[#This Row],[T]]))/$A$4*18%*SQRT(SQRT(Table133456[[#This Row],[T]])))</f>
        <v>#DIV/0!</v>
      </c>
      <c r="AJ1043" t="e">
        <f ca="1">(EXP(-(AH1043^2)/2)/SQRT(2*PI())*EXP(0*SQRT(Table133456[[#This Row],[T]]))/$A$4*18%*SQRT(SQRT(Table133456[[#This Row],[T]])))</f>
        <v>#DIV/0!</v>
      </c>
      <c r="AK1043" t="e">
        <f ca="1">Table133456[[#This Row],[Call D1]]-Table133456[[#This Row],[IV Calc C]]*SQRT(Table133456[[#This Row],[T]])</f>
        <v>#DIV/0!</v>
      </c>
      <c r="AL1043" t="e">
        <f ca="1">Table133456[[#This Row],[Put D1]]-Table133456[[#This Row],[IV Calc P]]*SQRT(Table133456[[#This Row],[T]])</f>
        <v>#DIV/0!</v>
      </c>
      <c r="AM1043" t="e">
        <f ca="1">EXP(-0.5*Table133456[[#This Row],[Call D1]]^2)/SQRT(2*PI())</f>
        <v>#DIV/0!</v>
      </c>
      <c r="AN1043" t="e">
        <f ca="1">EXP(-0.5*Table133456[[#This Row],[Put D1]]^2)/SQRT(2*PI())</f>
        <v>#DIV/0!</v>
      </c>
      <c r="AO104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3">
        <f ca="1">((Table133456[[#This Row],[call vanna]]+Table133456[[#This Row],[put vanna]])*$A$4)</f>
        <v>0</v>
      </c>
      <c r="AR104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3" s="9" t="str" cm="1">
        <f t="array" ref="AT1043">_xlfn.IFS(     $M$1="SPX","SPXW",     $M$1="RUT","RUTW",  $M$1="NDX","NDXP",   TRUE,$M$1 )</f>
        <v>SPXW</v>
      </c>
      <c r="AU1043" s="2">
        <f t="shared" si="107"/>
        <v>6915</v>
      </c>
      <c r="AV1043" t="str">
        <f t="shared" si="108"/>
        <v>000100</v>
      </c>
      <c r="AY104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3">
        <f>((Table133456[[#This Row],[High C]]+Table133456[[#This Row],[Low C]])/2)*Table133456[[#This Row],[gammac]]*Table133456[[#This Row],[Volume]]</f>
        <v>0</v>
      </c>
      <c r="BD1043">
        <f>((Table133456[[#This Row],[High P]]+Table133456[[#This Row],[Low P]])/2)*Table133456[[#This Row],[gammap]]*Table133456[[#This Row],[Volume9]]*-1</f>
        <v>0</v>
      </c>
      <c r="BE1043">
        <f>(Table133456[[#This Row],[SgammaC]]+Table133456[[#This Row],[SgammaP]])*$A$4*-100</f>
        <v>0</v>
      </c>
      <c r="BF1043">
        <f>Table133456[[#This Row],[DEXc]]+Table133456[[#This Row],[DEXp]]</f>
        <v>0</v>
      </c>
      <c r="BG1043">
        <f>IFERROR(Table133456[[#This Row],[DeltaC]]*Table133456[[#This Row],[Open.Int]]*$A$4,0)</f>
        <v>0</v>
      </c>
      <c r="BH1043">
        <f>IFERROR(Table133456[[#This Row],[DeltaP]]*Table133456[[#This Row],[Open.Int8]]*$A$4,0)</f>
        <v>0</v>
      </c>
      <c r="BI104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3">
        <f ca="1">Table133456[[#This Row],[charmc]]+Table133456[[#This Row],[charmp]]</f>
        <v>0</v>
      </c>
      <c r="BL104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3" s="78">
        <f ca="1">Table133456[[#This Row],[call helper]]+Table133456[[#This Row],[put helper]]</f>
        <v>0</v>
      </c>
      <c r="BP1043" t="str">
        <f>RTD("tos.rtd", , "STRIKE", "."&amp;Table133456[[#This Row],[Ticker]]&amp;Table133456[[#This Row],[Expiry]]&amp;""&amp;"C"&amp;Table133456[[#This Row],[Spot]]+Table133456[[#This Row],[step]])</f>
        <v>N/A</v>
      </c>
    </row>
    <row r="1044" spans="1:68" x14ac:dyDescent="0.25">
      <c r="A1044" s="14">
        <f t="shared" ca="1" si="104"/>
        <v>-126.14810350076104</v>
      </c>
      <c r="C1044" s="17"/>
      <c r="D1044" t="str">
        <f>RTD("tos.rtd", , "OPEN_INT", "."&amp;Table133456[[#This Row],[Ticker]]&amp;Table133456[[#This Row],[Expiry]]&amp;""&amp;"C"&amp;Table133456[[#This Row],[Spot]]+Table133456[[#This Row],[step]])</f>
        <v>N/A</v>
      </c>
      <c r="E104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4" s="17" cm="1">
        <f t="array" aca="1" ref="H1044" ca="1">IndividualLegIVCore($A$4, Table133456[[#This Row],[Strike]], 0.0411, Table133456[[#This Row],[T]], ((Table133456[[#This Row],[BIDC]]+Table133456[[#This Row],[ASKC]])/2), TRUE)</f>
        <v>0.01</v>
      </c>
      <c r="I1044" t="b">
        <f>IF(     ISNUMBER(Table133456[[#This Row],[Strike]]),RTD("tos.rtd", , "BID", "."&amp;Table133456[[#This Row],[Ticker]]&amp;Table133456[[#This Row],[Expiry]]&amp;""&amp;"C"&amp;Table133456[[#This Row],[Strike]]))</f>
        <v>0</v>
      </c>
      <c r="J1044" t="b">
        <f>IF(     ISNUMBER(Table133456[[#This Row],[Strike]]),RTD("tos.rtd", , "ASK", "."&amp;Table133456[[#This Row],[Ticker]]&amp;Table133456[[#This Row],[Expiry]]&amp;""&amp;"C"&amp;Table133456[[#This Row],[Strike]]))</f>
        <v>0</v>
      </c>
      <c r="K1044" s="17"/>
      <c r="M1044" s="1">
        <f t="shared" si="105"/>
        <v>0</v>
      </c>
      <c r="N1044" t="b">
        <f t="shared" si="106"/>
        <v>0</v>
      </c>
      <c r="P1044" s="17" cm="1">
        <f t="array" aca="1" ref="P1044" ca="1">IndividualLegIVCore($A$4, Table133456[[#This Row],[Strike]], 0.0411, Table133456[[#This Row],[T]], ((Table133456[[#This Row],[BIDP]]+Table133456[[#This Row],[ASKP]])/2), FALSE)</f>
        <v>0.01</v>
      </c>
      <c r="Q1044" t="b">
        <f>IF(     ISNUMBER(Table133456[[#This Row],[Strike]]),RTD("tos.rtd", , "BID", "."&amp;Table133456[[#This Row],[Ticker]]&amp;Table133456[[#This Row],[Expiry]]&amp;""&amp;"P"&amp;Table133456[[#This Row],[Strike]]))</f>
        <v>0</v>
      </c>
      <c r="R1044" t="b">
        <f>IF(     ISNUMBER(Table133456[[#This Row],[Strike]]),RTD("tos.rtd", , "ASK", "."&amp;Table133456[[#This Row],[Ticker]]&amp;Table133456[[#This Row],[Expiry]]&amp;""&amp;"P"&amp;Table133456[[#This Row],[Strike]]))</f>
        <v>0</v>
      </c>
      <c r="S1044" s="17"/>
      <c r="T104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4" s="19">
        <f>-40.5* IF($M$1="NDX", 10, IF(OR($M$1="SPX", $M$1="RUT"), 2, 1))</f>
        <v>-81</v>
      </c>
      <c r="Z1044">
        <f ca="1">IFERROR(Table133456[[#This Row],[call gamma]]*(Table133456[[#This Row],[Open.Int]])*$A$4^2,0)</f>
        <v>0</v>
      </c>
      <c r="AA1044">
        <f ca="1">IFERROR(((Table133456[[#This Row],[Open.Int8]])*Table133456[[#This Row],[Put gamma]])*-1*$A$4^2,0)</f>
        <v>0</v>
      </c>
      <c r="AB1044">
        <f ca="1">(Table133456[[#This Row],[Call Gex]]+Table133456[[#This Row],[Put Gex]])</f>
        <v>0</v>
      </c>
      <c r="AC1044">
        <f ca="1">Table133456[[#This Row],[put delta adj]]+Table133456[[#This Row],[call delta adj]]</f>
        <v>0</v>
      </c>
      <c r="AD1044">
        <f ca="1">Table133456[[#This Row],[Put Gex]]*Table133456[[#This Row],[DeltaP]]*-1</f>
        <v>0</v>
      </c>
      <c r="AE1044">
        <f ca="1">Table133456[[#This Row],[Call Gex]]*Table133456[[#This Row],[DeltaC]]</f>
        <v>0</v>
      </c>
      <c r="AF1044">
        <f>IF(Table133456[[#This Row],[DeltaC]]-ABS(Table133456[[#This Row],[DeltaP]])="0","0.01",Table133456[[#This Row],[DeltaC]]-ABS(Table133456[[#This Row],[DeltaP]]))</f>
        <v>0</v>
      </c>
      <c r="AG104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4" t="e">
        <f ca="1">(EXP(-(AG1044^2)/2)/SQRT(2*PI())*EXP(0*SQRT(Table133456[[#This Row],[T]]))/$A$4*18%*SQRT(SQRT(Table133456[[#This Row],[T]])))</f>
        <v>#DIV/0!</v>
      </c>
      <c r="AJ1044" t="e">
        <f ca="1">(EXP(-(AH1044^2)/2)/SQRT(2*PI())*EXP(0*SQRT(Table133456[[#This Row],[T]]))/$A$4*18%*SQRT(SQRT(Table133456[[#This Row],[T]])))</f>
        <v>#DIV/0!</v>
      </c>
      <c r="AK1044" t="e">
        <f ca="1">Table133456[[#This Row],[Call D1]]-Table133456[[#This Row],[IV Calc C]]*SQRT(Table133456[[#This Row],[T]])</f>
        <v>#DIV/0!</v>
      </c>
      <c r="AL1044" t="e">
        <f ca="1">Table133456[[#This Row],[Put D1]]-Table133456[[#This Row],[IV Calc P]]*SQRT(Table133456[[#This Row],[T]])</f>
        <v>#DIV/0!</v>
      </c>
      <c r="AM1044" t="e">
        <f ca="1">EXP(-0.5*Table133456[[#This Row],[Call D1]]^2)/SQRT(2*PI())</f>
        <v>#DIV/0!</v>
      </c>
      <c r="AN1044" t="e">
        <f ca="1">EXP(-0.5*Table133456[[#This Row],[Put D1]]^2)/SQRT(2*PI())</f>
        <v>#DIV/0!</v>
      </c>
      <c r="AO104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4">
        <f ca="1">((Table133456[[#This Row],[call vanna]]+Table133456[[#This Row],[put vanna]])*$A$4)</f>
        <v>0</v>
      </c>
      <c r="AR104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4" s="9" t="str" cm="1">
        <f t="array" ref="AT1044">_xlfn.IFS(     $M$1="SPX","SPXW",     $M$1="RUT","RUTW",  $M$1="NDX","NDXP",   TRUE,$M$1 )</f>
        <v>SPXW</v>
      </c>
      <c r="AU1044" s="2">
        <f t="shared" si="107"/>
        <v>6915</v>
      </c>
      <c r="AV1044" t="str">
        <f t="shared" si="108"/>
        <v>000100</v>
      </c>
      <c r="AY104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4">
        <f>((Table133456[[#This Row],[High C]]+Table133456[[#This Row],[Low C]])/2)*Table133456[[#This Row],[gammac]]*Table133456[[#This Row],[Volume]]</f>
        <v>0</v>
      </c>
      <c r="BD1044">
        <f>((Table133456[[#This Row],[High P]]+Table133456[[#This Row],[Low P]])/2)*Table133456[[#This Row],[gammap]]*Table133456[[#This Row],[Volume9]]*-1</f>
        <v>0</v>
      </c>
      <c r="BE1044">
        <f>(Table133456[[#This Row],[SgammaC]]+Table133456[[#This Row],[SgammaP]])*$A$4*-100</f>
        <v>0</v>
      </c>
      <c r="BF1044">
        <f>Table133456[[#This Row],[DEXc]]+Table133456[[#This Row],[DEXp]]</f>
        <v>0</v>
      </c>
      <c r="BG1044">
        <f>IFERROR(Table133456[[#This Row],[DeltaC]]*Table133456[[#This Row],[Open.Int]]*$A$4,0)</f>
        <v>0</v>
      </c>
      <c r="BH1044">
        <f>IFERROR(Table133456[[#This Row],[DeltaP]]*Table133456[[#This Row],[Open.Int8]]*$A$4,0)</f>
        <v>0</v>
      </c>
      <c r="BI104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4">
        <f ca="1">Table133456[[#This Row],[charmc]]+Table133456[[#This Row],[charmp]]</f>
        <v>0</v>
      </c>
      <c r="BL104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4" s="78">
        <f ca="1">Table133456[[#This Row],[call helper]]+Table133456[[#This Row],[put helper]]</f>
        <v>0</v>
      </c>
      <c r="BP1044" t="str">
        <f>RTD("tos.rtd", , "STRIKE", "."&amp;Table133456[[#This Row],[Ticker]]&amp;Table133456[[#This Row],[Expiry]]&amp;""&amp;"C"&amp;Table133456[[#This Row],[Spot]]+Table133456[[#This Row],[step]])</f>
        <v>N/A</v>
      </c>
    </row>
    <row r="1045" spans="1:68" x14ac:dyDescent="0.25">
      <c r="A1045" s="14">
        <f t="shared" ca="1" si="104"/>
        <v>-126.14810350076104</v>
      </c>
      <c r="C1045" s="17"/>
      <c r="D1045" t="str">
        <f>RTD("tos.rtd", , "OPEN_INT", "."&amp;Table133456[[#This Row],[Ticker]]&amp;Table133456[[#This Row],[Expiry]]&amp;""&amp;"C"&amp;Table133456[[#This Row],[Spot]]+Table133456[[#This Row],[step]])</f>
        <v>N/A</v>
      </c>
      <c r="E104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5" s="17" cm="1">
        <f t="array" aca="1" ref="H1045" ca="1">IndividualLegIVCore($A$4, Table133456[[#This Row],[Strike]], 0.0411, Table133456[[#This Row],[T]], ((Table133456[[#This Row],[BIDC]]+Table133456[[#This Row],[ASKC]])/2), TRUE)</f>
        <v>0.01</v>
      </c>
      <c r="I1045" t="b">
        <f>IF(     ISNUMBER(Table133456[[#This Row],[Strike]]),RTD("tos.rtd", , "BID", "."&amp;Table133456[[#This Row],[Ticker]]&amp;Table133456[[#This Row],[Expiry]]&amp;""&amp;"C"&amp;Table133456[[#This Row],[Strike]]))</f>
        <v>0</v>
      </c>
      <c r="J1045" t="b">
        <f>IF(     ISNUMBER(Table133456[[#This Row],[Strike]]),RTD("tos.rtd", , "ASK", "."&amp;Table133456[[#This Row],[Ticker]]&amp;Table133456[[#This Row],[Expiry]]&amp;""&amp;"C"&amp;Table133456[[#This Row],[Strike]]))</f>
        <v>0</v>
      </c>
      <c r="K1045" s="17"/>
      <c r="M1045" s="1">
        <f t="shared" si="105"/>
        <v>0</v>
      </c>
      <c r="N1045" t="b">
        <f t="shared" si="106"/>
        <v>0</v>
      </c>
      <c r="P1045" s="17" cm="1">
        <f t="array" aca="1" ref="P1045" ca="1">IndividualLegIVCore($A$4, Table133456[[#This Row],[Strike]], 0.0411, Table133456[[#This Row],[T]], ((Table133456[[#This Row],[BIDP]]+Table133456[[#This Row],[ASKP]])/2), FALSE)</f>
        <v>0.01</v>
      </c>
      <c r="Q1045" t="b">
        <f>IF(     ISNUMBER(Table133456[[#This Row],[Strike]]),RTD("tos.rtd", , "BID", "."&amp;Table133456[[#This Row],[Ticker]]&amp;Table133456[[#This Row],[Expiry]]&amp;""&amp;"P"&amp;Table133456[[#This Row],[Strike]]))</f>
        <v>0</v>
      </c>
      <c r="R1045" t="b">
        <f>IF(     ISNUMBER(Table133456[[#This Row],[Strike]]),RTD("tos.rtd", , "ASK", "."&amp;Table133456[[#This Row],[Ticker]]&amp;Table133456[[#This Row],[Expiry]]&amp;""&amp;"P"&amp;Table133456[[#This Row],[Strike]]))</f>
        <v>0</v>
      </c>
      <c r="S1045" s="17"/>
      <c r="T104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5" s="19">
        <f>-40* IF($M$1="NDX", 10, IF(OR($M$1="SPX", $M$1="RUT"), 2, 1))</f>
        <v>-80</v>
      </c>
      <c r="Z1045">
        <f ca="1">IFERROR(Table133456[[#This Row],[call gamma]]*(Table133456[[#This Row],[Open.Int]])*$A$4^2,0)</f>
        <v>0</v>
      </c>
      <c r="AA1045">
        <f ca="1">IFERROR(((Table133456[[#This Row],[Open.Int8]])*Table133456[[#This Row],[Put gamma]])*-1*$A$4^2,0)</f>
        <v>0</v>
      </c>
      <c r="AB1045">
        <f ca="1">(Table133456[[#This Row],[Call Gex]]+Table133456[[#This Row],[Put Gex]])</f>
        <v>0</v>
      </c>
      <c r="AC1045">
        <f ca="1">Table133456[[#This Row],[put delta adj]]+Table133456[[#This Row],[call delta adj]]</f>
        <v>0</v>
      </c>
      <c r="AD1045">
        <f ca="1">Table133456[[#This Row],[Put Gex]]*Table133456[[#This Row],[DeltaP]]*-1</f>
        <v>0</v>
      </c>
      <c r="AE1045">
        <f ca="1">Table133456[[#This Row],[Call Gex]]*Table133456[[#This Row],[DeltaC]]</f>
        <v>0</v>
      </c>
      <c r="AF1045">
        <f>IF(Table133456[[#This Row],[DeltaC]]-ABS(Table133456[[#This Row],[DeltaP]])="0","0.01",Table133456[[#This Row],[DeltaC]]-ABS(Table133456[[#This Row],[DeltaP]]))</f>
        <v>0</v>
      </c>
      <c r="AG104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5" t="e">
        <f ca="1">(EXP(-(AG1045^2)/2)/SQRT(2*PI())*EXP(0*SQRT(Table133456[[#This Row],[T]]))/$A$4*18%*SQRT(SQRT(Table133456[[#This Row],[T]])))</f>
        <v>#DIV/0!</v>
      </c>
      <c r="AJ1045" t="e">
        <f ca="1">(EXP(-(AH1045^2)/2)/SQRT(2*PI())*EXP(0*SQRT(Table133456[[#This Row],[T]]))/$A$4*18%*SQRT(SQRT(Table133456[[#This Row],[T]])))</f>
        <v>#DIV/0!</v>
      </c>
      <c r="AK1045" t="e">
        <f ca="1">Table133456[[#This Row],[Call D1]]-Table133456[[#This Row],[IV Calc C]]*SQRT(Table133456[[#This Row],[T]])</f>
        <v>#DIV/0!</v>
      </c>
      <c r="AL1045" t="e">
        <f ca="1">Table133456[[#This Row],[Put D1]]-Table133456[[#This Row],[IV Calc P]]*SQRT(Table133456[[#This Row],[T]])</f>
        <v>#DIV/0!</v>
      </c>
      <c r="AM1045" t="e">
        <f ca="1">EXP(-0.5*Table133456[[#This Row],[Call D1]]^2)/SQRT(2*PI())</f>
        <v>#DIV/0!</v>
      </c>
      <c r="AN1045" t="e">
        <f ca="1">EXP(-0.5*Table133456[[#This Row],[Put D1]]^2)/SQRT(2*PI())</f>
        <v>#DIV/0!</v>
      </c>
      <c r="AO104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5">
        <f ca="1">((Table133456[[#This Row],[call vanna]]+Table133456[[#This Row],[put vanna]])*$A$4)</f>
        <v>0</v>
      </c>
      <c r="AR104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5" s="9" t="str" cm="1">
        <f t="array" ref="AT1045">_xlfn.IFS(     $M$1="SPX","SPXW",     $M$1="RUT","RUTW",  $M$1="NDX","NDXP",   TRUE,$M$1 )</f>
        <v>SPXW</v>
      </c>
      <c r="AU1045" s="2">
        <f t="shared" si="107"/>
        <v>6915</v>
      </c>
      <c r="AV1045" t="str">
        <f t="shared" si="108"/>
        <v>000100</v>
      </c>
      <c r="AY104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5">
        <f>((Table133456[[#This Row],[High C]]+Table133456[[#This Row],[Low C]])/2)*Table133456[[#This Row],[gammac]]*Table133456[[#This Row],[Volume]]</f>
        <v>0</v>
      </c>
      <c r="BD1045">
        <f>((Table133456[[#This Row],[High P]]+Table133456[[#This Row],[Low P]])/2)*Table133456[[#This Row],[gammap]]*Table133456[[#This Row],[Volume9]]*-1</f>
        <v>0</v>
      </c>
      <c r="BE1045">
        <f>(Table133456[[#This Row],[SgammaC]]+Table133456[[#This Row],[SgammaP]])*$A$4*-100</f>
        <v>0</v>
      </c>
      <c r="BF1045">
        <f>Table133456[[#This Row],[DEXc]]+Table133456[[#This Row],[DEXp]]</f>
        <v>0</v>
      </c>
      <c r="BG1045">
        <f>IFERROR(Table133456[[#This Row],[DeltaC]]*Table133456[[#This Row],[Open.Int]]*$A$4,0)</f>
        <v>0</v>
      </c>
      <c r="BH1045">
        <f>IFERROR(Table133456[[#This Row],[DeltaP]]*Table133456[[#This Row],[Open.Int8]]*$A$4,0)</f>
        <v>0</v>
      </c>
      <c r="BI104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5">
        <f ca="1">Table133456[[#This Row],[charmc]]+Table133456[[#This Row],[charmp]]</f>
        <v>0</v>
      </c>
      <c r="BL104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5" s="78">
        <f ca="1">Table133456[[#This Row],[call helper]]+Table133456[[#This Row],[put helper]]</f>
        <v>0</v>
      </c>
      <c r="BP1045" t="str">
        <f>RTD("tos.rtd", , "STRIKE", "."&amp;Table133456[[#This Row],[Ticker]]&amp;Table133456[[#This Row],[Expiry]]&amp;""&amp;"C"&amp;Table133456[[#This Row],[Spot]]+Table133456[[#This Row],[step]])</f>
        <v>N/A</v>
      </c>
    </row>
    <row r="1046" spans="1:68" x14ac:dyDescent="0.25">
      <c r="A1046" s="14">
        <f t="shared" ca="1" si="104"/>
        <v>-126.14810350076104</v>
      </c>
      <c r="C1046" s="17"/>
      <c r="D1046" t="str">
        <f>RTD("tos.rtd", , "OPEN_INT", "."&amp;Table133456[[#This Row],[Ticker]]&amp;Table133456[[#This Row],[Expiry]]&amp;""&amp;"C"&amp;Table133456[[#This Row],[Spot]]+Table133456[[#This Row],[step]])</f>
        <v>N/A</v>
      </c>
      <c r="E104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6" s="17" cm="1">
        <f t="array" aca="1" ref="H1046" ca="1">IndividualLegIVCore($A$4, Table133456[[#This Row],[Strike]], 0.0411, Table133456[[#This Row],[T]], ((Table133456[[#This Row],[BIDC]]+Table133456[[#This Row],[ASKC]])/2), TRUE)</f>
        <v>0.01</v>
      </c>
      <c r="I1046" t="b">
        <f>IF(     ISNUMBER(Table133456[[#This Row],[Strike]]),RTD("tos.rtd", , "BID", "."&amp;Table133456[[#This Row],[Ticker]]&amp;Table133456[[#This Row],[Expiry]]&amp;""&amp;"C"&amp;Table133456[[#This Row],[Strike]]))</f>
        <v>0</v>
      </c>
      <c r="J1046" t="b">
        <f>IF(     ISNUMBER(Table133456[[#This Row],[Strike]]),RTD("tos.rtd", , "ASK", "."&amp;Table133456[[#This Row],[Ticker]]&amp;Table133456[[#This Row],[Expiry]]&amp;""&amp;"C"&amp;Table133456[[#This Row],[Strike]]))</f>
        <v>0</v>
      </c>
      <c r="K1046" s="17"/>
      <c r="M1046" s="1">
        <f t="shared" si="105"/>
        <v>0</v>
      </c>
      <c r="N1046" t="b">
        <f t="shared" si="106"/>
        <v>0</v>
      </c>
      <c r="P1046" s="17" cm="1">
        <f t="array" aca="1" ref="P1046" ca="1">IndividualLegIVCore($A$4, Table133456[[#This Row],[Strike]], 0.0411, Table133456[[#This Row],[T]], ((Table133456[[#This Row],[BIDP]]+Table133456[[#This Row],[ASKP]])/2), FALSE)</f>
        <v>0.01</v>
      </c>
      <c r="Q1046" t="b">
        <f>IF(     ISNUMBER(Table133456[[#This Row],[Strike]]),RTD("tos.rtd", , "BID", "."&amp;Table133456[[#This Row],[Ticker]]&amp;Table133456[[#This Row],[Expiry]]&amp;""&amp;"P"&amp;Table133456[[#This Row],[Strike]]))</f>
        <v>0</v>
      </c>
      <c r="R1046" t="b">
        <f>IF(     ISNUMBER(Table133456[[#This Row],[Strike]]),RTD("tos.rtd", , "ASK", "."&amp;Table133456[[#This Row],[Ticker]]&amp;Table133456[[#This Row],[Expiry]]&amp;""&amp;"P"&amp;Table133456[[#This Row],[Strike]]))</f>
        <v>0</v>
      </c>
      <c r="S1046" s="17"/>
      <c r="T104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6" s="19">
        <f>-39.5* IF($M$1="NDX", 10, IF(OR($M$1="SPX", $M$1="RUT"), 2, 1))</f>
        <v>-79</v>
      </c>
      <c r="Z1046">
        <f ca="1">IFERROR(Table133456[[#This Row],[call gamma]]*(Table133456[[#This Row],[Open.Int]])*$A$4^2,0)</f>
        <v>0</v>
      </c>
      <c r="AA1046">
        <f ca="1">IFERROR(((Table133456[[#This Row],[Open.Int8]])*Table133456[[#This Row],[Put gamma]])*-1*$A$4^2,0)</f>
        <v>0</v>
      </c>
      <c r="AB1046">
        <f ca="1">(Table133456[[#This Row],[Call Gex]]+Table133456[[#This Row],[Put Gex]])</f>
        <v>0</v>
      </c>
      <c r="AC1046">
        <f ca="1">Table133456[[#This Row],[put delta adj]]+Table133456[[#This Row],[call delta adj]]</f>
        <v>0</v>
      </c>
      <c r="AD1046">
        <f ca="1">Table133456[[#This Row],[Put Gex]]*Table133456[[#This Row],[DeltaP]]*-1</f>
        <v>0</v>
      </c>
      <c r="AE1046">
        <f ca="1">Table133456[[#This Row],[Call Gex]]*Table133456[[#This Row],[DeltaC]]</f>
        <v>0</v>
      </c>
      <c r="AF1046">
        <f>IF(Table133456[[#This Row],[DeltaC]]-ABS(Table133456[[#This Row],[DeltaP]])="0","0.01",Table133456[[#This Row],[DeltaC]]-ABS(Table133456[[#This Row],[DeltaP]]))</f>
        <v>0</v>
      </c>
      <c r="AG104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6" t="e">
        <f ca="1">(EXP(-(AG1046^2)/2)/SQRT(2*PI())*EXP(0*SQRT(Table133456[[#This Row],[T]]))/$A$4*18%*SQRT(SQRT(Table133456[[#This Row],[T]])))</f>
        <v>#DIV/0!</v>
      </c>
      <c r="AJ1046" t="e">
        <f ca="1">(EXP(-(AH1046^2)/2)/SQRT(2*PI())*EXP(0*SQRT(Table133456[[#This Row],[T]]))/$A$4*18%*SQRT(SQRT(Table133456[[#This Row],[T]])))</f>
        <v>#DIV/0!</v>
      </c>
      <c r="AK1046" t="e">
        <f ca="1">Table133456[[#This Row],[Call D1]]-Table133456[[#This Row],[IV Calc C]]*SQRT(Table133456[[#This Row],[T]])</f>
        <v>#DIV/0!</v>
      </c>
      <c r="AL1046" t="e">
        <f ca="1">Table133456[[#This Row],[Put D1]]-Table133456[[#This Row],[IV Calc P]]*SQRT(Table133456[[#This Row],[T]])</f>
        <v>#DIV/0!</v>
      </c>
      <c r="AM1046" t="e">
        <f ca="1">EXP(-0.5*Table133456[[#This Row],[Call D1]]^2)/SQRT(2*PI())</f>
        <v>#DIV/0!</v>
      </c>
      <c r="AN1046" t="e">
        <f ca="1">EXP(-0.5*Table133456[[#This Row],[Put D1]]^2)/SQRT(2*PI())</f>
        <v>#DIV/0!</v>
      </c>
      <c r="AO104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6">
        <f ca="1">((Table133456[[#This Row],[call vanna]]+Table133456[[#This Row],[put vanna]])*$A$4)</f>
        <v>0</v>
      </c>
      <c r="AR104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6" s="9" t="str" cm="1">
        <f t="array" ref="AT1046">_xlfn.IFS(     $M$1="SPX","SPXW",     $M$1="RUT","RUTW",  $M$1="NDX","NDXP",   TRUE,$M$1 )</f>
        <v>SPXW</v>
      </c>
      <c r="AU1046" s="2">
        <f t="shared" si="107"/>
        <v>6915</v>
      </c>
      <c r="AV1046" t="str">
        <f t="shared" si="108"/>
        <v>000100</v>
      </c>
      <c r="AY104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6">
        <f>((Table133456[[#This Row],[High C]]+Table133456[[#This Row],[Low C]])/2)*Table133456[[#This Row],[gammac]]*Table133456[[#This Row],[Volume]]</f>
        <v>0</v>
      </c>
      <c r="BD1046">
        <f>((Table133456[[#This Row],[High P]]+Table133456[[#This Row],[Low P]])/2)*Table133456[[#This Row],[gammap]]*Table133456[[#This Row],[Volume9]]*-1</f>
        <v>0</v>
      </c>
      <c r="BE1046">
        <f>(Table133456[[#This Row],[SgammaC]]+Table133456[[#This Row],[SgammaP]])*$A$4*-100</f>
        <v>0</v>
      </c>
      <c r="BF1046">
        <f>Table133456[[#This Row],[DEXc]]+Table133456[[#This Row],[DEXp]]</f>
        <v>0</v>
      </c>
      <c r="BG1046">
        <f>IFERROR(Table133456[[#This Row],[DeltaC]]*Table133456[[#This Row],[Open.Int]]*$A$4,0)</f>
        <v>0</v>
      </c>
      <c r="BH1046">
        <f>IFERROR(Table133456[[#This Row],[DeltaP]]*Table133456[[#This Row],[Open.Int8]]*$A$4,0)</f>
        <v>0</v>
      </c>
      <c r="BI104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6">
        <f ca="1">Table133456[[#This Row],[charmc]]+Table133456[[#This Row],[charmp]]</f>
        <v>0</v>
      </c>
      <c r="BL104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6" s="78">
        <f ca="1">Table133456[[#This Row],[call helper]]+Table133456[[#This Row],[put helper]]</f>
        <v>0</v>
      </c>
      <c r="BP1046" t="str">
        <f>RTD("tos.rtd", , "STRIKE", "."&amp;Table133456[[#This Row],[Ticker]]&amp;Table133456[[#This Row],[Expiry]]&amp;""&amp;"C"&amp;Table133456[[#This Row],[Spot]]+Table133456[[#This Row],[step]])</f>
        <v>N/A</v>
      </c>
    </row>
    <row r="1047" spans="1:68" x14ac:dyDescent="0.25">
      <c r="A1047" s="14">
        <f t="shared" ca="1" si="104"/>
        <v>-126.14810350076104</v>
      </c>
      <c r="C1047" s="17"/>
      <c r="D1047" t="str">
        <f>RTD("tos.rtd", , "OPEN_INT", "."&amp;Table133456[[#This Row],[Ticker]]&amp;Table133456[[#This Row],[Expiry]]&amp;""&amp;"C"&amp;Table133456[[#This Row],[Spot]]+Table133456[[#This Row],[step]])</f>
        <v>N/A</v>
      </c>
      <c r="E104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7" s="17" cm="1">
        <f t="array" aca="1" ref="H1047" ca="1">IndividualLegIVCore($A$4, Table133456[[#This Row],[Strike]], 0.0411, Table133456[[#This Row],[T]], ((Table133456[[#This Row],[BIDC]]+Table133456[[#This Row],[ASKC]])/2), TRUE)</f>
        <v>0.01</v>
      </c>
      <c r="I1047" t="b">
        <f>IF(     ISNUMBER(Table133456[[#This Row],[Strike]]),RTD("tos.rtd", , "BID", "."&amp;Table133456[[#This Row],[Ticker]]&amp;Table133456[[#This Row],[Expiry]]&amp;""&amp;"C"&amp;Table133456[[#This Row],[Strike]]))</f>
        <v>0</v>
      </c>
      <c r="J1047" t="b">
        <f>IF(     ISNUMBER(Table133456[[#This Row],[Strike]]),RTD("tos.rtd", , "ASK", "."&amp;Table133456[[#This Row],[Ticker]]&amp;Table133456[[#This Row],[Expiry]]&amp;""&amp;"C"&amp;Table133456[[#This Row],[Strike]]))</f>
        <v>0</v>
      </c>
      <c r="K1047" s="17"/>
      <c r="M1047" s="1">
        <f t="shared" si="105"/>
        <v>0</v>
      </c>
      <c r="N1047" t="b">
        <f t="shared" si="106"/>
        <v>0</v>
      </c>
      <c r="P1047" s="17" cm="1">
        <f t="array" aca="1" ref="P1047" ca="1">IndividualLegIVCore($A$4, Table133456[[#This Row],[Strike]], 0.0411, Table133456[[#This Row],[T]], ((Table133456[[#This Row],[BIDP]]+Table133456[[#This Row],[ASKP]])/2), FALSE)</f>
        <v>0.01</v>
      </c>
      <c r="Q1047" t="b">
        <f>IF(     ISNUMBER(Table133456[[#This Row],[Strike]]),RTD("tos.rtd", , "BID", "."&amp;Table133456[[#This Row],[Ticker]]&amp;Table133456[[#This Row],[Expiry]]&amp;""&amp;"P"&amp;Table133456[[#This Row],[Strike]]))</f>
        <v>0</v>
      </c>
      <c r="R1047" t="b">
        <f>IF(     ISNUMBER(Table133456[[#This Row],[Strike]]),RTD("tos.rtd", , "ASK", "."&amp;Table133456[[#This Row],[Ticker]]&amp;Table133456[[#This Row],[Expiry]]&amp;""&amp;"P"&amp;Table133456[[#This Row],[Strike]]))</f>
        <v>0</v>
      </c>
      <c r="S1047" s="17"/>
      <c r="T104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7" s="19">
        <f>-39* IF($M$1="NDX", 10, IF(OR($M$1="SPX", $M$1="RUT"), 2, 1))</f>
        <v>-78</v>
      </c>
      <c r="Z1047">
        <f ca="1">IFERROR(Table133456[[#This Row],[call gamma]]*(Table133456[[#This Row],[Open.Int]])*$A$4^2,0)</f>
        <v>0</v>
      </c>
      <c r="AA1047">
        <f ca="1">IFERROR(((Table133456[[#This Row],[Open.Int8]])*Table133456[[#This Row],[Put gamma]])*-1*$A$4^2,0)</f>
        <v>0</v>
      </c>
      <c r="AB1047">
        <f ca="1">(Table133456[[#This Row],[Call Gex]]+Table133456[[#This Row],[Put Gex]])</f>
        <v>0</v>
      </c>
      <c r="AC1047">
        <f ca="1">Table133456[[#This Row],[put delta adj]]+Table133456[[#This Row],[call delta adj]]</f>
        <v>0</v>
      </c>
      <c r="AD1047">
        <f ca="1">Table133456[[#This Row],[Put Gex]]*Table133456[[#This Row],[DeltaP]]*-1</f>
        <v>0</v>
      </c>
      <c r="AE1047">
        <f ca="1">Table133456[[#This Row],[Call Gex]]*Table133456[[#This Row],[DeltaC]]</f>
        <v>0</v>
      </c>
      <c r="AF1047">
        <f>IF(Table133456[[#This Row],[DeltaC]]-ABS(Table133456[[#This Row],[DeltaP]])="0","0.01",Table133456[[#This Row],[DeltaC]]-ABS(Table133456[[#This Row],[DeltaP]]))</f>
        <v>0</v>
      </c>
      <c r="AG104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7" t="e">
        <f ca="1">(EXP(-(AG1047^2)/2)/SQRT(2*PI())*EXP(0*SQRT(Table133456[[#This Row],[T]]))/$A$4*18%*SQRT(SQRT(Table133456[[#This Row],[T]])))</f>
        <v>#DIV/0!</v>
      </c>
      <c r="AJ1047" t="e">
        <f ca="1">(EXP(-(AH1047^2)/2)/SQRT(2*PI())*EXP(0*SQRT(Table133456[[#This Row],[T]]))/$A$4*18%*SQRT(SQRT(Table133456[[#This Row],[T]])))</f>
        <v>#DIV/0!</v>
      </c>
      <c r="AK1047" t="e">
        <f ca="1">Table133456[[#This Row],[Call D1]]-Table133456[[#This Row],[IV Calc C]]*SQRT(Table133456[[#This Row],[T]])</f>
        <v>#DIV/0!</v>
      </c>
      <c r="AL1047" t="e">
        <f ca="1">Table133456[[#This Row],[Put D1]]-Table133456[[#This Row],[IV Calc P]]*SQRT(Table133456[[#This Row],[T]])</f>
        <v>#DIV/0!</v>
      </c>
      <c r="AM1047" t="e">
        <f ca="1">EXP(-0.5*Table133456[[#This Row],[Call D1]]^2)/SQRT(2*PI())</f>
        <v>#DIV/0!</v>
      </c>
      <c r="AN1047" t="e">
        <f ca="1">EXP(-0.5*Table133456[[#This Row],[Put D1]]^2)/SQRT(2*PI())</f>
        <v>#DIV/0!</v>
      </c>
      <c r="AO104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7">
        <f ca="1">((Table133456[[#This Row],[call vanna]]+Table133456[[#This Row],[put vanna]])*$A$4)</f>
        <v>0</v>
      </c>
      <c r="AR104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7" s="9" t="str" cm="1">
        <f t="array" ref="AT1047">_xlfn.IFS(     $M$1="SPX","SPXW",     $M$1="RUT","RUTW",  $M$1="NDX","NDXP",   TRUE,$M$1 )</f>
        <v>SPXW</v>
      </c>
      <c r="AU1047" s="2">
        <f t="shared" si="107"/>
        <v>6915</v>
      </c>
      <c r="AV1047" t="str">
        <f t="shared" si="108"/>
        <v>000100</v>
      </c>
      <c r="AY104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7">
        <f>((Table133456[[#This Row],[High C]]+Table133456[[#This Row],[Low C]])/2)*Table133456[[#This Row],[gammac]]*Table133456[[#This Row],[Volume]]</f>
        <v>0</v>
      </c>
      <c r="BD1047">
        <f>((Table133456[[#This Row],[High P]]+Table133456[[#This Row],[Low P]])/2)*Table133456[[#This Row],[gammap]]*Table133456[[#This Row],[Volume9]]*-1</f>
        <v>0</v>
      </c>
      <c r="BE1047">
        <f>(Table133456[[#This Row],[SgammaC]]+Table133456[[#This Row],[SgammaP]])*$A$4*-100</f>
        <v>0</v>
      </c>
      <c r="BF1047">
        <f>Table133456[[#This Row],[DEXc]]+Table133456[[#This Row],[DEXp]]</f>
        <v>0</v>
      </c>
      <c r="BG1047">
        <f>IFERROR(Table133456[[#This Row],[DeltaC]]*Table133456[[#This Row],[Open.Int]]*$A$4,0)</f>
        <v>0</v>
      </c>
      <c r="BH1047">
        <f>IFERROR(Table133456[[#This Row],[DeltaP]]*Table133456[[#This Row],[Open.Int8]]*$A$4,0)</f>
        <v>0</v>
      </c>
      <c r="BI104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7">
        <f ca="1">Table133456[[#This Row],[charmc]]+Table133456[[#This Row],[charmp]]</f>
        <v>0</v>
      </c>
      <c r="BL104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7" s="78">
        <f ca="1">Table133456[[#This Row],[call helper]]+Table133456[[#This Row],[put helper]]</f>
        <v>0</v>
      </c>
      <c r="BP1047" t="str">
        <f>RTD("tos.rtd", , "STRIKE", "."&amp;Table133456[[#This Row],[Ticker]]&amp;Table133456[[#This Row],[Expiry]]&amp;""&amp;"C"&amp;Table133456[[#This Row],[Spot]]+Table133456[[#This Row],[step]])</f>
        <v>N/A</v>
      </c>
    </row>
    <row r="1048" spans="1:68" x14ac:dyDescent="0.25">
      <c r="A1048" s="14">
        <f t="shared" ca="1" si="104"/>
        <v>-126.14810350076104</v>
      </c>
      <c r="C1048" s="17"/>
      <c r="D1048" t="str">
        <f>RTD("tos.rtd", , "OPEN_INT", "."&amp;Table133456[[#This Row],[Ticker]]&amp;Table133456[[#This Row],[Expiry]]&amp;""&amp;"C"&amp;Table133456[[#This Row],[Spot]]+Table133456[[#This Row],[step]])</f>
        <v>N/A</v>
      </c>
      <c r="E104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8" s="17" cm="1">
        <f t="array" aca="1" ref="H1048" ca="1">IndividualLegIVCore($A$4, Table133456[[#This Row],[Strike]], 0.0411, Table133456[[#This Row],[T]], ((Table133456[[#This Row],[BIDC]]+Table133456[[#This Row],[ASKC]])/2), TRUE)</f>
        <v>0.01</v>
      </c>
      <c r="I1048" t="b">
        <f>IF(     ISNUMBER(Table133456[[#This Row],[Strike]]),RTD("tos.rtd", , "BID", "."&amp;Table133456[[#This Row],[Ticker]]&amp;Table133456[[#This Row],[Expiry]]&amp;""&amp;"C"&amp;Table133456[[#This Row],[Strike]]))</f>
        <v>0</v>
      </c>
      <c r="J1048" t="b">
        <f>IF(     ISNUMBER(Table133456[[#This Row],[Strike]]),RTD("tos.rtd", , "ASK", "."&amp;Table133456[[#This Row],[Ticker]]&amp;Table133456[[#This Row],[Expiry]]&amp;""&amp;"C"&amp;Table133456[[#This Row],[Strike]]))</f>
        <v>0</v>
      </c>
      <c r="K1048" s="17"/>
      <c r="M1048" s="1">
        <f t="shared" si="105"/>
        <v>0</v>
      </c>
      <c r="N1048" t="b">
        <f t="shared" si="106"/>
        <v>0</v>
      </c>
      <c r="P1048" s="17" cm="1">
        <f t="array" aca="1" ref="P1048" ca="1">IndividualLegIVCore($A$4, Table133456[[#This Row],[Strike]], 0.0411, Table133456[[#This Row],[T]], ((Table133456[[#This Row],[BIDP]]+Table133456[[#This Row],[ASKP]])/2), FALSE)</f>
        <v>0.01</v>
      </c>
      <c r="Q1048" t="b">
        <f>IF(     ISNUMBER(Table133456[[#This Row],[Strike]]),RTD("tos.rtd", , "BID", "."&amp;Table133456[[#This Row],[Ticker]]&amp;Table133456[[#This Row],[Expiry]]&amp;""&amp;"P"&amp;Table133456[[#This Row],[Strike]]))</f>
        <v>0</v>
      </c>
      <c r="R1048" t="b">
        <f>IF(     ISNUMBER(Table133456[[#This Row],[Strike]]),RTD("tos.rtd", , "ASK", "."&amp;Table133456[[#This Row],[Ticker]]&amp;Table133456[[#This Row],[Expiry]]&amp;""&amp;"P"&amp;Table133456[[#This Row],[Strike]]))</f>
        <v>0</v>
      </c>
      <c r="S1048" s="17"/>
      <c r="T104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8" s="19">
        <f>-38.5* IF($M$1="NDX", 10, IF(OR($M$1="SPX", $M$1="RUT"), 2, 1))</f>
        <v>-77</v>
      </c>
      <c r="Z1048">
        <f ca="1">IFERROR(Table133456[[#This Row],[call gamma]]*(Table133456[[#This Row],[Open.Int]])*$A$4^2,0)</f>
        <v>0</v>
      </c>
      <c r="AA1048">
        <f ca="1">IFERROR(((Table133456[[#This Row],[Open.Int8]])*Table133456[[#This Row],[Put gamma]])*-1*$A$4^2,0)</f>
        <v>0</v>
      </c>
      <c r="AB1048">
        <f ca="1">(Table133456[[#This Row],[Call Gex]]+Table133456[[#This Row],[Put Gex]])</f>
        <v>0</v>
      </c>
      <c r="AC1048">
        <f ca="1">Table133456[[#This Row],[put delta adj]]+Table133456[[#This Row],[call delta adj]]</f>
        <v>0</v>
      </c>
      <c r="AD1048">
        <f ca="1">Table133456[[#This Row],[Put Gex]]*Table133456[[#This Row],[DeltaP]]*-1</f>
        <v>0</v>
      </c>
      <c r="AE1048">
        <f ca="1">Table133456[[#This Row],[Call Gex]]*Table133456[[#This Row],[DeltaC]]</f>
        <v>0</v>
      </c>
      <c r="AF1048">
        <f>IF(Table133456[[#This Row],[DeltaC]]-ABS(Table133456[[#This Row],[DeltaP]])="0","0.01",Table133456[[#This Row],[DeltaC]]-ABS(Table133456[[#This Row],[DeltaP]]))</f>
        <v>0</v>
      </c>
      <c r="AG104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8" t="e">
        <f ca="1">(EXP(-(AG1048^2)/2)/SQRT(2*PI())*EXP(0*SQRT(Table133456[[#This Row],[T]]))/$A$4*18%*SQRT(SQRT(Table133456[[#This Row],[T]])))</f>
        <v>#DIV/0!</v>
      </c>
      <c r="AJ1048" t="e">
        <f ca="1">(EXP(-(AH1048^2)/2)/SQRT(2*PI())*EXP(0*SQRT(Table133456[[#This Row],[T]]))/$A$4*18%*SQRT(SQRT(Table133456[[#This Row],[T]])))</f>
        <v>#DIV/0!</v>
      </c>
      <c r="AK1048" t="e">
        <f ca="1">Table133456[[#This Row],[Call D1]]-Table133456[[#This Row],[IV Calc C]]*SQRT(Table133456[[#This Row],[T]])</f>
        <v>#DIV/0!</v>
      </c>
      <c r="AL1048" t="e">
        <f ca="1">Table133456[[#This Row],[Put D1]]-Table133456[[#This Row],[IV Calc P]]*SQRT(Table133456[[#This Row],[T]])</f>
        <v>#DIV/0!</v>
      </c>
      <c r="AM1048" t="e">
        <f ca="1">EXP(-0.5*Table133456[[#This Row],[Call D1]]^2)/SQRT(2*PI())</f>
        <v>#DIV/0!</v>
      </c>
      <c r="AN1048" t="e">
        <f ca="1">EXP(-0.5*Table133456[[#This Row],[Put D1]]^2)/SQRT(2*PI())</f>
        <v>#DIV/0!</v>
      </c>
      <c r="AO104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8">
        <f ca="1">((Table133456[[#This Row],[call vanna]]+Table133456[[#This Row],[put vanna]])*$A$4)</f>
        <v>0</v>
      </c>
      <c r="AR104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8" s="9" t="str" cm="1">
        <f t="array" ref="AT1048">_xlfn.IFS(     $M$1="SPX","SPXW",     $M$1="RUT","RUTW",  $M$1="NDX","NDXP",   TRUE,$M$1 )</f>
        <v>SPXW</v>
      </c>
      <c r="AU1048" s="2">
        <f t="shared" si="107"/>
        <v>6915</v>
      </c>
      <c r="AV1048" t="str">
        <f t="shared" si="108"/>
        <v>000100</v>
      </c>
      <c r="AY104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8">
        <f>((Table133456[[#This Row],[High C]]+Table133456[[#This Row],[Low C]])/2)*Table133456[[#This Row],[gammac]]*Table133456[[#This Row],[Volume]]</f>
        <v>0</v>
      </c>
      <c r="BD1048">
        <f>((Table133456[[#This Row],[High P]]+Table133456[[#This Row],[Low P]])/2)*Table133456[[#This Row],[gammap]]*Table133456[[#This Row],[Volume9]]*-1</f>
        <v>0</v>
      </c>
      <c r="BE1048">
        <f>(Table133456[[#This Row],[SgammaC]]+Table133456[[#This Row],[SgammaP]])*$A$4*-100</f>
        <v>0</v>
      </c>
      <c r="BF1048">
        <f>Table133456[[#This Row],[DEXc]]+Table133456[[#This Row],[DEXp]]</f>
        <v>0</v>
      </c>
      <c r="BG1048">
        <f>IFERROR(Table133456[[#This Row],[DeltaC]]*Table133456[[#This Row],[Open.Int]]*$A$4,0)</f>
        <v>0</v>
      </c>
      <c r="BH1048">
        <f>IFERROR(Table133456[[#This Row],[DeltaP]]*Table133456[[#This Row],[Open.Int8]]*$A$4,0)</f>
        <v>0</v>
      </c>
      <c r="BI104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8">
        <f ca="1">Table133456[[#This Row],[charmc]]+Table133456[[#This Row],[charmp]]</f>
        <v>0</v>
      </c>
      <c r="BL104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8" s="78">
        <f ca="1">Table133456[[#This Row],[call helper]]+Table133456[[#This Row],[put helper]]</f>
        <v>0</v>
      </c>
      <c r="BP1048" t="str">
        <f>RTD("tos.rtd", , "STRIKE", "."&amp;Table133456[[#This Row],[Ticker]]&amp;Table133456[[#This Row],[Expiry]]&amp;""&amp;"C"&amp;Table133456[[#This Row],[Spot]]+Table133456[[#This Row],[step]])</f>
        <v>N/A</v>
      </c>
    </row>
    <row r="1049" spans="1:68" x14ac:dyDescent="0.25">
      <c r="A1049" s="14">
        <f t="shared" ca="1" si="104"/>
        <v>-126.14810350076104</v>
      </c>
      <c r="C1049" s="17"/>
      <c r="D1049" t="str">
        <f>RTD("tos.rtd", , "OPEN_INT", "."&amp;Table133456[[#This Row],[Ticker]]&amp;Table133456[[#This Row],[Expiry]]&amp;""&amp;"C"&amp;Table133456[[#This Row],[Spot]]+Table133456[[#This Row],[step]])</f>
        <v>N/A</v>
      </c>
      <c r="E104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9" s="17" cm="1">
        <f t="array" aca="1" ref="H1049" ca="1">IndividualLegIVCore($A$4, Table133456[[#This Row],[Strike]], 0.0411, Table133456[[#This Row],[T]], ((Table133456[[#This Row],[BIDC]]+Table133456[[#This Row],[ASKC]])/2), TRUE)</f>
        <v>0.01</v>
      </c>
      <c r="I1049" t="b">
        <f>IF(     ISNUMBER(Table133456[[#This Row],[Strike]]),RTD("tos.rtd", , "BID", "."&amp;Table133456[[#This Row],[Ticker]]&amp;Table133456[[#This Row],[Expiry]]&amp;""&amp;"C"&amp;Table133456[[#This Row],[Strike]]))</f>
        <v>0</v>
      </c>
      <c r="J1049" t="b">
        <f>IF(     ISNUMBER(Table133456[[#This Row],[Strike]]),RTD("tos.rtd", , "ASK", "."&amp;Table133456[[#This Row],[Ticker]]&amp;Table133456[[#This Row],[Expiry]]&amp;""&amp;"C"&amp;Table133456[[#This Row],[Strike]]))</f>
        <v>0</v>
      </c>
      <c r="K1049" s="17"/>
      <c r="M1049" s="1">
        <f t="shared" si="105"/>
        <v>0</v>
      </c>
      <c r="N1049" t="b">
        <f t="shared" si="106"/>
        <v>0</v>
      </c>
      <c r="P1049" s="17" cm="1">
        <f t="array" aca="1" ref="P1049" ca="1">IndividualLegIVCore($A$4, Table133456[[#This Row],[Strike]], 0.0411, Table133456[[#This Row],[T]], ((Table133456[[#This Row],[BIDP]]+Table133456[[#This Row],[ASKP]])/2), FALSE)</f>
        <v>0.01</v>
      </c>
      <c r="Q1049" t="b">
        <f>IF(     ISNUMBER(Table133456[[#This Row],[Strike]]),RTD("tos.rtd", , "BID", "."&amp;Table133456[[#This Row],[Ticker]]&amp;Table133456[[#This Row],[Expiry]]&amp;""&amp;"P"&amp;Table133456[[#This Row],[Strike]]))</f>
        <v>0</v>
      </c>
      <c r="R1049" t="b">
        <f>IF(     ISNUMBER(Table133456[[#This Row],[Strike]]),RTD("tos.rtd", , "ASK", "."&amp;Table133456[[#This Row],[Ticker]]&amp;Table133456[[#This Row],[Expiry]]&amp;""&amp;"P"&amp;Table133456[[#This Row],[Strike]]))</f>
        <v>0</v>
      </c>
      <c r="S1049" s="17"/>
      <c r="T104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9" s="19">
        <f>-38* IF($M$1="NDX", 10, IF(OR($M$1="SPX", $M$1="RUT"), 2, 1))</f>
        <v>-76</v>
      </c>
      <c r="Z1049">
        <f ca="1">IFERROR(Table133456[[#This Row],[call gamma]]*(Table133456[[#This Row],[Open.Int]])*$A$4^2,0)</f>
        <v>0</v>
      </c>
      <c r="AA1049">
        <f ca="1">IFERROR(((Table133456[[#This Row],[Open.Int8]])*Table133456[[#This Row],[Put gamma]])*-1*$A$4^2,0)</f>
        <v>0</v>
      </c>
      <c r="AB1049">
        <f ca="1">(Table133456[[#This Row],[Call Gex]]+Table133456[[#This Row],[Put Gex]])</f>
        <v>0</v>
      </c>
      <c r="AC1049">
        <f ca="1">Table133456[[#This Row],[put delta adj]]+Table133456[[#This Row],[call delta adj]]</f>
        <v>0</v>
      </c>
      <c r="AD1049">
        <f ca="1">Table133456[[#This Row],[Put Gex]]*Table133456[[#This Row],[DeltaP]]*-1</f>
        <v>0</v>
      </c>
      <c r="AE1049">
        <f ca="1">Table133456[[#This Row],[Call Gex]]*Table133456[[#This Row],[DeltaC]]</f>
        <v>0</v>
      </c>
      <c r="AF1049">
        <f>IF(Table133456[[#This Row],[DeltaC]]-ABS(Table133456[[#This Row],[DeltaP]])="0","0.01",Table133456[[#This Row],[DeltaC]]-ABS(Table133456[[#This Row],[DeltaP]]))</f>
        <v>0</v>
      </c>
      <c r="AG104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9" t="e">
        <f ca="1">(EXP(-(AG1049^2)/2)/SQRT(2*PI())*EXP(0*SQRT(Table133456[[#This Row],[T]]))/$A$4*18%*SQRT(SQRT(Table133456[[#This Row],[T]])))</f>
        <v>#DIV/0!</v>
      </c>
      <c r="AJ1049" t="e">
        <f ca="1">(EXP(-(AH1049^2)/2)/SQRT(2*PI())*EXP(0*SQRT(Table133456[[#This Row],[T]]))/$A$4*18%*SQRT(SQRT(Table133456[[#This Row],[T]])))</f>
        <v>#DIV/0!</v>
      </c>
      <c r="AK1049" t="e">
        <f ca="1">Table133456[[#This Row],[Call D1]]-Table133456[[#This Row],[IV Calc C]]*SQRT(Table133456[[#This Row],[T]])</f>
        <v>#DIV/0!</v>
      </c>
      <c r="AL1049" t="e">
        <f ca="1">Table133456[[#This Row],[Put D1]]-Table133456[[#This Row],[IV Calc P]]*SQRT(Table133456[[#This Row],[T]])</f>
        <v>#DIV/0!</v>
      </c>
      <c r="AM1049" t="e">
        <f ca="1">EXP(-0.5*Table133456[[#This Row],[Call D1]]^2)/SQRT(2*PI())</f>
        <v>#DIV/0!</v>
      </c>
      <c r="AN1049" t="e">
        <f ca="1">EXP(-0.5*Table133456[[#This Row],[Put D1]]^2)/SQRT(2*PI())</f>
        <v>#DIV/0!</v>
      </c>
      <c r="AO104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9">
        <f ca="1">((Table133456[[#This Row],[call vanna]]+Table133456[[#This Row],[put vanna]])*$A$4)</f>
        <v>0</v>
      </c>
      <c r="AR104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9" s="9" t="str" cm="1">
        <f t="array" ref="AT1049">_xlfn.IFS(     $M$1="SPX","SPXW",     $M$1="RUT","RUTW",  $M$1="NDX","NDXP",   TRUE,$M$1 )</f>
        <v>SPXW</v>
      </c>
      <c r="AU1049" s="2">
        <f t="shared" si="107"/>
        <v>6915</v>
      </c>
      <c r="AV1049" t="str">
        <f t="shared" si="108"/>
        <v>000100</v>
      </c>
      <c r="AY104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9">
        <f>((Table133456[[#This Row],[High C]]+Table133456[[#This Row],[Low C]])/2)*Table133456[[#This Row],[gammac]]*Table133456[[#This Row],[Volume]]</f>
        <v>0</v>
      </c>
      <c r="BD1049">
        <f>((Table133456[[#This Row],[High P]]+Table133456[[#This Row],[Low P]])/2)*Table133456[[#This Row],[gammap]]*Table133456[[#This Row],[Volume9]]*-1</f>
        <v>0</v>
      </c>
      <c r="BE1049">
        <f>(Table133456[[#This Row],[SgammaC]]+Table133456[[#This Row],[SgammaP]])*$A$4*-100</f>
        <v>0</v>
      </c>
      <c r="BF1049">
        <f>Table133456[[#This Row],[DEXc]]+Table133456[[#This Row],[DEXp]]</f>
        <v>0</v>
      </c>
      <c r="BG1049">
        <f>IFERROR(Table133456[[#This Row],[DeltaC]]*Table133456[[#This Row],[Open.Int]]*$A$4,0)</f>
        <v>0</v>
      </c>
      <c r="BH1049">
        <f>IFERROR(Table133456[[#This Row],[DeltaP]]*Table133456[[#This Row],[Open.Int8]]*$A$4,0)</f>
        <v>0</v>
      </c>
      <c r="BI104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9">
        <f ca="1">Table133456[[#This Row],[charmc]]+Table133456[[#This Row],[charmp]]</f>
        <v>0</v>
      </c>
      <c r="BL104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9" s="78">
        <f ca="1">Table133456[[#This Row],[call helper]]+Table133456[[#This Row],[put helper]]</f>
        <v>0</v>
      </c>
      <c r="BP1049" t="str">
        <f>RTD("tos.rtd", , "STRIKE", "."&amp;Table133456[[#This Row],[Ticker]]&amp;Table133456[[#This Row],[Expiry]]&amp;""&amp;"C"&amp;Table133456[[#This Row],[Spot]]+Table133456[[#This Row],[step]])</f>
        <v>N/A</v>
      </c>
    </row>
    <row r="1050" spans="1:68" x14ac:dyDescent="0.25">
      <c r="A1050" s="14">
        <f t="shared" ca="1" si="104"/>
        <v>-126.14810350076104</v>
      </c>
      <c r="C1050" s="17"/>
      <c r="D1050" t="str">
        <f>RTD("tos.rtd", , "OPEN_INT", "."&amp;Table133456[[#This Row],[Ticker]]&amp;Table133456[[#This Row],[Expiry]]&amp;""&amp;"C"&amp;Table133456[[#This Row],[Spot]]+Table133456[[#This Row],[step]])</f>
        <v>N/A</v>
      </c>
      <c r="E105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0" s="17" cm="1">
        <f t="array" aca="1" ref="H1050" ca="1">IndividualLegIVCore($A$4, Table133456[[#This Row],[Strike]], 0.0411, Table133456[[#This Row],[T]], ((Table133456[[#This Row],[BIDC]]+Table133456[[#This Row],[ASKC]])/2), TRUE)</f>
        <v>0.01</v>
      </c>
      <c r="I1050" t="b">
        <f>IF(     ISNUMBER(Table133456[[#This Row],[Strike]]),RTD("tos.rtd", , "BID", "."&amp;Table133456[[#This Row],[Ticker]]&amp;Table133456[[#This Row],[Expiry]]&amp;""&amp;"C"&amp;Table133456[[#This Row],[Strike]]))</f>
        <v>0</v>
      </c>
      <c r="J1050" t="b">
        <f>IF(     ISNUMBER(Table133456[[#This Row],[Strike]]),RTD("tos.rtd", , "ASK", "."&amp;Table133456[[#This Row],[Ticker]]&amp;Table133456[[#This Row],[Expiry]]&amp;""&amp;"C"&amp;Table133456[[#This Row],[Strike]]))</f>
        <v>0</v>
      </c>
      <c r="K1050" s="17"/>
      <c r="M1050" s="1">
        <f t="shared" si="105"/>
        <v>0</v>
      </c>
      <c r="N1050" t="b">
        <f t="shared" si="106"/>
        <v>0</v>
      </c>
      <c r="P1050" s="17" cm="1">
        <f t="array" aca="1" ref="P1050" ca="1">IndividualLegIVCore($A$4, Table133456[[#This Row],[Strike]], 0.0411, Table133456[[#This Row],[T]], ((Table133456[[#This Row],[BIDP]]+Table133456[[#This Row],[ASKP]])/2), FALSE)</f>
        <v>0.01</v>
      </c>
      <c r="Q1050" t="b">
        <f>IF(     ISNUMBER(Table133456[[#This Row],[Strike]]),RTD("tos.rtd", , "BID", "."&amp;Table133456[[#This Row],[Ticker]]&amp;Table133456[[#This Row],[Expiry]]&amp;""&amp;"P"&amp;Table133456[[#This Row],[Strike]]))</f>
        <v>0</v>
      </c>
      <c r="R1050" t="b">
        <f>IF(     ISNUMBER(Table133456[[#This Row],[Strike]]),RTD("tos.rtd", , "ASK", "."&amp;Table133456[[#This Row],[Ticker]]&amp;Table133456[[#This Row],[Expiry]]&amp;""&amp;"P"&amp;Table133456[[#This Row],[Strike]]))</f>
        <v>0</v>
      </c>
      <c r="S1050" s="17"/>
      <c r="T105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0" s="19">
        <f>-37.5* IF($M$1="NDX", 10, IF(OR($M$1="SPX", $M$1="RUT"), 2, 1))</f>
        <v>-75</v>
      </c>
      <c r="Z1050">
        <f ca="1">IFERROR(Table133456[[#This Row],[call gamma]]*(Table133456[[#This Row],[Open.Int]])*$A$4^2,0)</f>
        <v>0</v>
      </c>
      <c r="AA1050">
        <f ca="1">IFERROR(((Table133456[[#This Row],[Open.Int8]])*Table133456[[#This Row],[Put gamma]])*-1*$A$4^2,0)</f>
        <v>0</v>
      </c>
      <c r="AB1050">
        <f ca="1">(Table133456[[#This Row],[Call Gex]]+Table133456[[#This Row],[Put Gex]])</f>
        <v>0</v>
      </c>
      <c r="AC1050">
        <f ca="1">Table133456[[#This Row],[put delta adj]]+Table133456[[#This Row],[call delta adj]]</f>
        <v>0</v>
      </c>
      <c r="AD1050">
        <f ca="1">Table133456[[#This Row],[Put Gex]]*Table133456[[#This Row],[DeltaP]]*-1</f>
        <v>0</v>
      </c>
      <c r="AE1050">
        <f ca="1">Table133456[[#This Row],[Call Gex]]*Table133456[[#This Row],[DeltaC]]</f>
        <v>0</v>
      </c>
      <c r="AF1050">
        <f>IF(Table133456[[#This Row],[DeltaC]]-ABS(Table133456[[#This Row],[DeltaP]])="0","0.01",Table133456[[#This Row],[DeltaC]]-ABS(Table133456[[#This Row],[DeltaP]]))</f>
        <v>0</v>
      </c>
      <c r="AG105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0" t="e">
        <f ca="1">(EXP(-(AG1050^2)/2)/SQRT(2*PI())*EXP(0*SQRT(Table133456[[#This Row],[T]]))/$A$4*18%*SQRT(SQRT(Table133456[[#This Row],[T]])))</f>
        <v>#DIV/0!</v>
      </c>
      <c r="AJ1050" t="e">
        <f ca="1">(EXP(-(AH1050^2)/2)/SQRT(2*PI())*EXP(0*SQRT(Table133456[[#This Row],[T]]))/$A$4*18%*SQRT(SQRT(Table133456[[#This Row],[T]])))</f>
        <v>#DIV/0!</v>
      </c>
      <c r="AK1050" t="e">
        <f ca="1">Table133456[[#This Row],[Call D1]]-Table133456[[#This Row],[IV Calc C]]*SQRT(Table133456[[#This Row],[T]])</f>
        <v>#DIV/0!</v>
      </c>
      <c r="AL1050" t="e">
        <f ca="1">Table133456[[#This Row],[Put D1]]-Table133456[[#This Row],[IV Calc P]]*SQRT(Table133456[[#This Row],[T]])</f>
        <v>#DIV/0!</v>
      </c>
      <c r="AM1050" t="e">
        <f ca="1">EXP(-0.5*Table133456[[#This Row],[Call D1]]^2)/SQRT(2*PI())</f>
        <v>#DIV/0!</v>
      </c>
      <c r="AN1050" t="e">
        <f ca="1">EXP(-0.5*Table133456[[#This Row],[Put D1]]^2)/SQRT(2*PI())</f>
        <v>#DIV/0!</v>
      </c>
      <c r="AO105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0">
        <f ca="1">((Table133456[[#This Row],[call vanna]]+Table133456[[#This Row],[put vanna]])*$A$4)</f>
        <v>0</v>
      </c>
      <c r="AR105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0" s="9" t="str" cm="1">
        <f t="array" ref="AT1050">_xlfn.IFS(     $M$1="SPX","SPXW",     $M$1="RUT","RUTW",  $M$1="NDX","NDXP",   TRUE,$M$1 )</f>
        <v>SPXW</v>
      </c>
      <c r="AU1050" s="2">
        <f t="shared" si="107"/>
        <v>6915</v>
      </c>
      <c r="AV1050" t="str">
        <f t="shared" si="108"/>
        <v>000100</v>
      </c>
      <c r="AY105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0">
        <f>((Table133456[[#This Row],[High C]]+Table133456[[#This Row],[Low C]])/2)*Table133456[[#This Row],[gammac]]*Table133456[[#This Row],[Volume]]</f>
        <v>0</v>
      </c>
      <c r="BD1050">
        <f>((Table133456[[#This Row],[High P]]+Table133456[[#This Row],[Low P]])/2)*Table133456[[#This Row],[gammap]]*Table133456[[#This Row],[Volume9]]*-1</f>
        <v>0</v>
      </c>
      <c r="BE1050">
        <f>(Table133456[[#This Row],[SgammaC]]+Table133456[[#This Row],[SgammaP]])*$A$4*-100</f>
        <v>0</v>
      </c>
      <c r="BF1050">
        <f>Table133456[[#This Row],[DEXc]]+Table133456[[#This Row],[DEXp]]</f>
        <v>0</v>
      </c>
      <c r="BG1050">
        <f>IFERROR(Table133456[[#This Row],[DeltaC]]*Table133456[[#This Row],[Open.Int]]*$A$4,0)</f>
        <v>0</v>
      </c>
      <c r="BH1050">
        <f>IFERROR(Table133456[[#This Row],[DeltaP]]*Table133456[[#This Row],[Open.Int8]]*$A$4,0)</f>
        <v>0</v>
      </c>
      <c r="BI105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0">
        <f ca="1">Table133456[[#This Row],[charmc]]+Table133456[[#This Row],[charmp]]</f>
        <v>0</v>
      </c>
      <c r="BL105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0" s="78">
        <f ca="1">Table133456[[#This Row],[call helper]]+Table133456[[#This Row],[put helper]]</f>
        <v>0</v>
      </c>
      <c r="BP1050" t="str">
        <f>RTD("tos.rtd", , "STRIKE", "."&amp;Table133456[[#This Row],[Ticker]]&amp;Table133456[[#This Row],[Expiry]]&amp;""&amp;"C"&amp;Table133456[[#This Row],[Spot]]+Table133456[[#This Row],[step]])</f>
        <v>N/A</v>
      </c>
    </row>
    <row r="1051" spans="1:68" x14ac:dyDescent="0.25">
      <c r="A1051" s="14">
        <f t="shared" ca="1" si="104"/>
        <v>-126.14810350076104</v>
      </c>
      <c r="C1051" s="17"/>
      <c r="D1051" t="str">
        <f>RTD("tos.rtd", , "OPEN_INT", "."&amp;Table133456[[#This Row],[Ticker]]&amp;Table133456[[#This Row],[Expiry]]&amp;""&amp;"C"&amp;Table133456[[#This Row],[Spot]]+Table133456[[#This Row],[step]])</f>
        <v>N/A</v>
      </c>
      <c r="E105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1" s="17" cm="1">
        <f t="array" aca="1" ref="H1051" ca="1">IndividualLegIVCore($A$4, Table133456[[#This Row],[Strike]], 0.0411, Table133456[[#This Row],[T]], ((Table133456[[#This Row],[BIDC]]+Table133456[[#This Row],[ASKC]])/2), TRUE)</f>
        <v>0.01</v>
      </c>
      <c r="I1051" t="b">
        <f>IF(     ISNUMBER(Table133456[[#This Row],[Strike]]),RTD("tos.rtd", , "BID", "."&amp;Table133456[[#This Row],[Ticker]]&amp;Table133456[[#This Row],[Expiry]]&amp;""&amp;"C"&amp;Table133456[[#This Row],[Strike]]))</f>
        <v>0</v>
      </c>
      <c r="J1051" t="b">
        <f>IF(     ISNUMBER(Table133456[[#This Row],[Strike]]),RTD("tos.rtd", , "ASK", "."&amp;Table133456[[#This Row],[Ticker]]&amp;Table133456[[#This Row],[Expiry]]&amp;""&amp;"C"&amp;Table133456[[#This Row],[Strike]]))</f>
        <v>0</v>
      </c>
      <c r="K1051" s="17"/>
      <c r="M1051" s="1">
        <f t="shared" si="105"/>
        <v>0</v>
      </c>
      <c r="N1051" t="b">
        <f t="shared" si="106"/>
        <v>0</v>
      </c>
      <c r="P1051" s="17" cm="1">
        <f t="array" aca="1" ref="P1051" ca="1">IndividualLegIVCore($A$4, Table133456[[#This Row],[Strike]], 0.0411, Table133456[[#This Row],[T]], ((Table133456[[#This Row],[BIDP]]+Table133456[[#This Row],[ASKP]])/2), FALSE)</f>
        <v>0.01</v>
      </c>
      <c r="Q1051" t="b">
        <f>IF(     ISNUMBER(Table133456[[#This Row],[Strike]]),RTD("tos.rtd", , "BID", "."&amp;Table133456[[#This Row],[Ticker]]&amp;Table133456[[#This Row],[Expiry]]&amp;""&amp;"P"&amp;Table133456[[#This Row],[Strike]]))</f>
        <v>0</v>
      </c>
      <c r="R1051" t="b">
        <f>IF(     ISNUMBER(Table133456[[#This Row],[Strike]]),RTD("tos.rtd", , "ASK", "."&amp;Table133456[[#This Row],[Ticker]]&amp;Table133456[[#This Row],[Expiry]]&amp;""&amp;"P"&amp;Table133456[[#This Row],[Strike]]))</f>
        <v>0</v>
      </c>
      <c r="S1051" s="17"/>
      <c r="T105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1" s="19">
        <f xml:space="preserve"> -37 * IF($M$1="NDX", 10, IF(OR($M$1="SPX", $M$1="RUT"), 2, 1))</f>
        <v>-74</v>
      </c>
      <c r="Z1051">
        <f ca="1">IFERROR(Table133456[[#This Row],[call gamma]]*(Table133456[[#This Row],[Open.Int]])*$A$4^2,0)</f>
        <v>0</v>
      </c>
      <c r="AA1051">
        <f ca="1">IFERROR(((Table133456[[#This Row],[Open.Int8]])*Table133456[[#This Row],[Put gamma]])*-1*$A$4^2,0)</f>
        <v>0</v>
      </c>
      <c r="AB1051">
        <f ca="1">(Table133456[[#This Row],[Call Gex]]+Table133456[[#This Row],[Put Gex]])</f>
        <v>0</v>
      </c>
      <c r="AC1051">
        <f ca="1">Table133456[[#This Row],[put delta adj]]+Table133456[[#This Row],[call delta adj]]</f>
        <v>0</v>
      </c>
      <c r="AD1051">
        <f ca="1">Table133456[[#This Row],[Put Gex]]*Table133456[[#This Row],[DeltaP]]*-1</f>
        <v>0</v>
      </c>
      <c r="AE1051">
        <f ca="1">Table133456[[#This Row],[Call Gex]]*Table133456[[#This Row],[DeltaC]]</f>
        <v>0</v>
      </c>
      <c r="AF1051">
        <f>IF(Table133456[[#This Row],[DeltaC]]-ABS(Table133456[[#This Row],[DeltaP]])="0","0.01",Table133456[[#This Row],[DeltaC]]-ABS(Table133456[[#This Row],[DeltaP]]))</f>
        <v>0</v>
      </c>
      <c r="AG105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1" t="e">
        <f ca="1">(EXP(-(AG1051^2)/2)/SQRT(2*PI())*EXP(0*SQRT(Table133456[[#This Row],[T]]))/$A$4*18%*SQRT(SQRT(Table133456[[#This Row],[T]])))</f>
        <v>#DIV/0!</v>
      </c>
      <c r="AJ1051" t="e">
        <f ca="1">(EXP(-(AH1051^2)/2)/SQRT(2*PI())*EXP(0*SQRT(Table133456[[#This Row],[T]]))/$A$4*18%*SQRT(SQRT(Table133456[[#This Row],[T]])))</f>
        <v>#DIV/0!</v>
      </c>
      <c r="AK1051" t="e">
        <f ca="1">Table133456[[#This Row],[Call D1]]-Table133456[[#This Row],[IV Calc C]]*SQRT(Table133456[[#This Row],[T]])</f>
        <v>#DIV/0!</v>
      </c>
      <c r="AL1051" t="e">
        <f ca="1">Table133456[[#This Row],[Put D1]]-Table133456[[#This Row],[IV Calc P]]*SQRT(Table133456[[#This Row],[T]])</f>
        <v>#DIV/0!</v>
      </c>
      <c r="AM1051" t="e">
        <f ca="1">EXP(-0.5*Table133456[[#This Row],[Call D1]]^2)/SQRT(2*PI())</f>
        <v>#DIV/0!</v>
      </c>
      <c r="AN1051" t="e">
        <f ca="1">EXP(-0.5*Table133456[[#This Row],[Put D1]]^2)/SQRT(2*PI())</f>
        <v>#DIV/0!</v>
      </c>
      <c r="AO105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1">
        <f ca="1">((Table133456[[#This Row],[call vanna]]+Table133456[[#This Row],[put vanna]])*$A$4)</f>
        <v>0</v>
      </c>
      <c r="AR105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1" s="9" t="str" cm="1">
        <f t="array" ref="AT1051">_xlfn.IFS(     $M$1="SPX","SPXW",     $M$1="RUT","RUTW",  $M$1="NDX","NDXP",   TRUE,$M$1 )</f>
        <v>SPXW</v>
      </c>
      <c r="AU1051" s="2">
        <f t="shared" si="107"/>
        <v>6915</v>
      </c>
      <c r="AV1051" t="str">
        <f t="shared" si="108"/>
        <v>000100</v>
      </c>
      <c r="AY105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1">
        <f>((Table133456[[#This Row],[High C]]+Table133456[[#This Row],[Low C]])/2)*Table133456[[#This Row],[gammac]]*Table133456[[#This Row],[Volume]]</f>
        <v>0</v>
      </c>
      <c r="BD1051">
        <f>((Table133456[[#This Row],[High P]]+Table133456[[#This Row],[Low P]])/2)*Table133456[[#This Row],[gammap]]*Table133456[[#This Row],[Volume9]]*-1</f>
        <v>0</v>
      </c>
      <c r="BE1051">
        <f>(Table133456[[#This Row],[SgammaC]]+Table133456[[#This Row],[SgammaP]])*$A$4*-100</f>
        <v>0</v>
      </c>
      <c r="BF1051">
        <f>Table133456[[#This Row],[DEXc]]+Table133456[[#This Row],[DEXp]]</f>
        <v>0</v>
      </c>
      <c r="BG1051">
        <f>IFERROR(Table133456[[#This Row],[DeltaC]]*Table133456[[#This Row],[Open.Int]]*$A$4,0)</f>
        <v>0</v>
      </c>
      <c r="BH1051">
        <f>IFERROR(Table133456[[#This Row],[DeltaP]]*Table133456[[#This Row],[Open.Int8]]*$A$4,0)</f>
        <v>0</v>
      </c>
      <c r="BI105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1">
        <f ca="1">Table133456[[#This Row],[charmc]]+Table133456[[#This Row],[charmp]]</f>
        <v>0</v>
      </c>
      <c r="BL105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1" s="78">
        <f ca="1">Table133456[[#This Row],[call helper]]+Table133456[[#This Row],[put helper]]</f>
        <v>0</v>
      </c>
      <c r="BP1051" t="str">
        <f>RTD("tos.rtd", , "STRIKE", "."&amp;Table133456[[#This Row],[Ticker]]&amp;Table133456[[#This Row],[Expiry]]&amp;""&amp;"C"&amp;Table133456[[#This Row],[Spot]]+Table133456[[#This Row],[step]])</f>
        <v>N/A</v>
      </c>
    </row>
    <row r="1052" spans="1:68" x14ac:dyDescent="0.25">
      <c r="A1052" s="14">
        <f t="shared" ca="1" si="104"/>
        <v>-126.14810350076104</v>
      </c>
      <c r="C1052" s="17"/>
      <c r="D1052" t="str">
        <f>RTD("tos.rtd", , "OPEN_INT", "."&amp;Table133456[[#This Row],[Ticker]]&amp;Table133456[[#This Row],[Expiry]]&amp;""&amp;"C"&amp;Table133456[[#This Row],[Spot]]+Table133456[[#This Row],[step]])</f>
        <v>N/A</v>
      </c>
      <c r="E105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2" s="17" cm="1">
        <f t="array" aca="1" ref="H1052" ca="1">IndividualLegIVCore($A$4, Table133456[[#This Row],[Strike]], 0.0411, Table133456[[#This Row],[T]], ((Table133456[[#This Row],[BIDC]]+Table133456[[#This Row],[ASKC]])/2), TRUE)</f>
        <v>0.01</v>
      </c>
      <c r="I1052" t="b">
        <f>IF(     ISNUMBER(Table133456[[#This Row],[Strike]]),RTD("tos.rtd", , "BID", "."&amp;Table133456[[#This Row],[Ticker]]&amp;Table133456[[#This Row],[Expiry]]&amp;""&amp;"C"&amp;Table133456[[#This Row],[Strike]]))</f>
        <v>0</v>
      </c>
      <c r="J1052" t="b">
        <f>IF(     ISNUMBER(Table133456[[#This Row],[Strike]]),RTD("tos.rtd", , "ASK", "."&amp;Table133456[[#This Row],[Ticker]]&amp;Table133456[[#This Row],[Expiry]]&amp;""&amp;"C"&amp;Table133456[[#This Row],[Strike]]))</f>
        <v>0</v>
      </c>
      <c r="K1052" s="17"/>
      <c r="M1052" s="1">
        <f t="shared" si="105"/>
        <v>0</v>
      </c>
      <c r="N1052" t="b">
        <f t="shared" si="106"/>
        <v>0</v>
      </c>
      <c r="P1052" s="17" cm="1">
        <f t="array" aca="1" ref="P1052" ca="1">IndividualLegIVCore($A$4, Table133456[[#This Row],[Strike]], 0.0411, Table133456[[#This Row],[T]], ((Table133456[[#This Row],[BIDP]]+Table133456[[#This Row],[ASKP]])/2), FALSE)</f>
        <v>0.01</v>
      </c>
      <c r="Q1052" t="b">
        <f>IF(     ISNUMBER(Table133456[[#This Row],[Strike]]),RTD("tos.rtd", , "BID", "."&amp;Table133456[[#This Row],[Ticker]]&amp;Table133456[[#This Row],[Expiry]]&amp;""&amp;"P"&amp;Table133456[[#This Row],[Strike]]))</f>
        <v>0</v>
      </c>
      <c r="R1052" t="b">
        <f>IF(     ISNUMBER(Table133456[[#This Row],[Strike]]),RTD("tos.rtd", , "ASK", "."&amp;Table133456[[#This Row],[Ticker]]&amp;Table133456[[#This Row],[Expiry]]&amp;""&amp;"P"&amp;Table133456[[#This Row],[Strike]]))</f>
        <v>0</v>
      </c>
      <c r="S1052" s="17"/>
      <c r="T105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2" s="19">
        <f>-36.5 * IF($M$1="NDX", 10, IF(OR($M$1="SPX", $M$1="RUT"), 2, 1))</f>
        <v>-73</v>
      </c>
      <c r="Z1052">
        <f ca="1">IFERROR(Table133456[[#This Row],[call gamma]]*(Table133456[[#This Row],[Open.Int]])*$A$4^2,0)</f>
        <v>0</v>
      </c>
      <c r="AA1052">
        <f ca="1">IFERROR(((Table133456[[#This Row],[Open.Int8]])*Table133456[[#This Row],[Put gamma]])*-1*$A$4^2,0)</f>
        <v>0</v>
      </c>
      <c r="AB1052">
        <f ca="1">(Table133456[[#This Row],[Call Gex]]+Table133456[[#This Row],[Put Gex]])</f>
        <v>0</v>
      </c>
      <c r="AC1052">
        <f ca="1">Table133456[[#This Row],[put delta adj]]+Table133456[[#This Row],[call delta adj]]</f>
        <v>0</v>
      </c>
      <c r="AD1052">
        <f ca="1">Table133456[[#This Row],[Put Gex]]*Table133456[[#This Row],[DeltaP]]*-1</f>
        <v>0</v>
      </c>
      <c r="AE1052">
        <f ca="1">Table133456[[#This Row],[Call Gex]]*Table133456[[#This Row],[DeltaC]]</f>
        <v>0</v>
      </c>
      <c r="AF1052">
        <f>IF(Table133456[[#This Row],[DeltaC]]-ABS(Table133456[[#This Row],[DeltaP]])="0","0.01",Table133456[[#This Row],[DeltaC]]-ABS(Table133456[[#This Row],[DeltaP]]))</f>
        <v>0</v>
      </c>
      <c r="AG105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2" t="e">
        <f ca="1">(EXP(-(AG1052^2)/2)/SQRT(2*PI())*EXP(0*SQRT(Table133456[[#This Row],[T]]))/$A$4*18%*SQRT(SQRT(Table133456[[#This Row],[T]])))</f>
        <v>#DIV/0!</v>
      </c>
      <c r="AJ1052" t="e">
        <f ca="1">(EXP(-(AH1052^2)/2)/SQRT(2*PI())*EXP(0*SQRT(Table133456[[#This Row],[T]]))/$A$4*18%*SQRT(SQRT(Table133456[[#This Row],[T]])))</f>
        <v>#DIV/0!</v>
      </c>
      <c r="AK1052" t="e">
        <f ca="1">Table133456[[#This Row],[Call D1]]-Table133456[[#This Row],[IV Calc C]]*SQRT(Table133456[[#This Row],[T]])</f>
        <v>#DIV/0!</v>
      </c>
      <c r="AL1052" t="e">
        <f ca="1">Table133456[[#This Row],[Put D1]]-Table133456[[#This Row],[IV Calc P]]*SQRT(Table133456[[#This Row],[T]])</f>
        <v>#DIV/0!</v>
      </c>
      <c r="AM1052" t="e">
        <f ca="1">EXP(-0.5*Table133456[[#This Row],[Call D1]]^2)/SQRT(2*PI())</f>
        <v>#DIV/0!</v>
      </c>
      <c r="AN1052" t="e">
        <f ca="1">EXP(-0.5*Table133456[[#This Row],[Put D1]]^2)/SQRT(2*PI())</f>
        <v>#DIV/0!</v>
      </c>
      <c r="AO105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2">
        <f ca="1">((Table133456[[#This Row],[call vanna]]+Table133456[[#This Row],[put vanna]])*$A$4)</f>
        <v>0</v>
      </c>
      <c r="AR105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2" s="9" t="str" cm="1">
        <f t="array" ref="AT1052">_xlfn.IFS(     $M$1="SPX","SPXW",     $M$1="RUT","RUTW",  $M$1="NDX","NDXP",   TRUE,$M$1 )</f>
        <v>SPXW</v>
      </c>
      <c r="AU1052" s="2">
        <f t="shared" si="107"/>
        <v>6915</v>
      </c>
      <c r="AV1052" t="str">
        <f t="shared" si="108"/>
        <v>000100</v>
      </c>
      <c r="AY105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2">
        <f>((Table133456[[#This Row],[High C]]+Table133456[[#This Row],[Low C]])/2)*Table133456[[#This Row],[gammac]]*Table133456[[#This Row],[Volume]]</f>
        <v>0</v>
      </c>
      <c r="BD1052">
        <f>((Table133456[[#This Row],[High P]]+Table133456[[#This Row],[Low P]])/2)*Table133456[[#This Row],[gammap]]*Table133456[[#This Row],[Volume9]]*-1</f>
        <v>0</v>
      </c>
      <c r="BE1052">
        <f>(Table133456[[#This Row],[SgammaC]]+Table133456[[#This Row],[SgammaP]])*$A$4*-100</f>
        <v>0</v>
      </c>
      <c r="BF1052">
        <f>Table133456[[#This Row],[DEXc]]+Table133456[[#This Row],[DEXp]]</f>
        <v>0</v>
      </c>
      <c r="BG1052">
        <f>IFERROR(Table133456[[#This Row],[DeltaC]]*Table133456[[#This Row],[Open.Int]]*$A$4,0)</f>
        <v>0</v>
      </c>
      <c r="BH1052">
        <f>IFERROR(Table133456[[#This Row],[DeltaP]]*Table133456[[#This Row],[Open.Int8]]*$A$4,0)</f>
        <v>0</v>
      </c>
      <c r="BI105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2">
        <f ca="1">Table133456[[#This Row],[charmc]]+Table133456[[#This Row],[charmp]]</f>
        <v>0</v>
      </c>
      <c r="BL105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2" s="78">
        <f ca="1">Table133456[[#This Row],[call helper]]+Table133456[[#This Row],[put helper]]</f>
        <v>0</v>
      </c>
      <c r="BP1052" t="str">
        <f>RTD("tos.rtd", , "STRIKE", "."&amp;Table133456[[#This Row],[Ticker]]&amp;Table133456[[#This Row],[Expiry]]&amp;""&amp;"C"&amp;Table133456[[#This Row],[Spot]]+Table133456[[#This Row],[step]])</f>
        <v>N/A</v>
      </c>
    </row>
    <row r="1053" spans="1:68" x14ac:dyDescent="0.25">
      <c r="A1053" s="14">
        <f t="shared" ca="1" si="104"/>
        <v>-126.14810350076104</v>
      </c>
      <c r="C1053" s="17"/>
      <c r="D1053" t="str">
        <f>RTD("tos.rtd", , "OPEN_INT", "."&amp;Table133456[[#This Row],[Ticker]]&amp;Table133456[[#This Row],[Expiry]]&amp;""&amp;"C"&amp;Table133456[[#This Row],[Spot]]+Table133456[[#This Row],[step]])</f>
        <v>N/A</v>
      </c>
      <c r="E105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3" s="17" cm="1">
        <f t="array" aca="1" ref="H1053" ca="1">IndividualLegIVCore($A$4, Table133456[[#This Row],[Strike]], 0.0411, Table133456[[#This Row],[T]], ((Table133456[[#This Row],[BIDC]]+Table133456[[#This Row],[ASKC]])/2), TRUE)</f>
        <v>0.01</v>
      </c>
      <c r="I1053" t="b">
        <f>IF(     ISNUMBER(Table133456[[#This Row],[Strike]]),RTD("tos.rtd", , "BID", "."&amp;Table133456[[#This Row],[Ticker]]&amp;Table133456[[#This Row],[Expiry]]&amp;""&amp;"C"&amp;Table133456[[#This Row],[Strike]]))</f>
        <v>0</v>
      </c>
      <c r="J1053" t="b">
        <f>IF(     ISNUMBER(Table133456[[#This Row],[Strike]]),RTD("tos.rtd", , "ASK", "."&amp;Table133456[[#This Row],[Ticker]]&amp;Table133456[[#This Row],[Expiry]]&amp;""&amp;"C"&amp;Table133456[[#This Row],[Strike]]))</f>
        <v>0</v>
      </c>
      <c r="K1053" s="17"/>
      <c r="M1053" s="1">
        <f t="shared" si="105"/>
        <v>0</v>
      </c>
      <c r="N1053" t="b">
        <f t="shared" si="106"/>
        <v>0</v>
      </c>
      <c r="P1053" s="17" cm="1">
        <f t="array" aca="1" ref="P1053" ca="1">IndividualLegIVCore($A$4, Table133456[[#This Row],[Strike]], 0.0411, Table133456[[#This Row],[T]], ((Table133456[[#This Row],[BIDP]]+Table133456[[#This Row],[ASKP]])/2), FALSE)</f>
        <v>0.01</v>
      </c>
      <c r="Q1053" t="b">
        <f>IF(     ISNUMBER(Table133456[[#This Row],[Strike]]),RTD("tos.rtd", , "BID", "."&amp;Table133456[[#This Row],[Ticker]]&amp;Table133456[[#This Row],[Expiry]]&amp;""&amp;"P"&amp;Table133456[[#This Row],[Strike]]))</f>
        <v>0</v>
      </c>
      <c r="R1053" t="b">
        <f>IF(     ISNUMBER(Table133456[[#This Row],[Strike]]),RTD("tos.rtd", , "ASK", "."&amp;Table133456[[#This Row],[Ticker]]&amp;Table133456[[#This Row],[Expiry]]&amp;""&amp;"P"&amp;Table133456[[#This Row],[Strike]]))</f>
        <v>0</v>
      </c>
      <c r="S1053" s="17"/>
      <c r="T105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3" s="19">
        <f>-36 * IF($M$1="NDX", 10, IF(OR($M$1="SPX", $M$1="RUT"), 2, 1))</f>
        <v>-72</v>
      </c>
      <c r="Z1053">
        <f ca="1">IFERROR(Table133456[[#This Row],[call gamma]]*(Table133456[[#This Row],[Open.Int]])*$A$4^2,0)</f>
        <v>0</v>
      </c>
      <c r="AA1053">
        <f ca="1">IFERROR(((Table133456[[#This Row],[Open.Int8]])*Table133456[[#This Row],[Put gamma]])*-1*$A$4^2,0)</f>
        <v>0</v>
      </c>
      <c r="AB1053">
        <f ca="1">(Table133456[[#This Row],[Call Gex]]+Table133456[[#This Row],[Put Gex]])</f>
        <v>0</v>
      </c>
      <c r="AC1053">
        <f ca="1">Table133456[[#This Row],[put delta adj]]+Table133456[[#This Row],[call delta adj]]</f>
        <v>0</v>
      </c>
      <c r="AD1053">
        <f ca="1">Table133456[[#This Row],[Put Gex]]*Table133456[[#This Row],[DeltaP]]*-1</f>
        <v>0</v>
      </c>
      <c r="AE1053">
        <f ca="1">Table133456[[#This Row],[Call Gex]]*Table133456[[#This Row],[DeltaC]]</f>
        <v>0</v>
      </c>
      <c r="AF1053">
        <f>IF(Table133456[[#This Row],[DeltaC]]-ABS(Table133456[[#This Row],[DeltaP]])="0","0.01",Table133456[[#This Row],[DeltaC]]-ABS(Table133456[[#This Row],[DeltaP]]))</f>
        <v>0</v>
      </c>
      <c r="AG105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3" t="e">
        <f ca="1">(EXP(-(AG1053^2)/2)/SQRT(2*PI())*EXP(0*SQRT(Table133456[[#This Row],[T]]))/$A$4*18%*SQRT(SQRT(Table133456[[#This Row],[T]])))</f>
        <v>#DIV/0!</v>
      </c>
      <c r="AJ1053" t="e">
        <f ca="1">(EXP(-(AH1053^2)/2)/SQRT(2*PI())*EXP(0*SQRT(Table133456[[#This Row],[T]]))/$A$4*18%*SQRT(SQRT(Table133456[[#This Row],[T]])))</f>
        <v>#DIV/0!</v>
      </c>
      <c r="AK1053" t="e">
        <f ca="1">Table133456[[#This Row],[Call D1]]-Table133456[[#This Row],[IV Calc C]]*SQRT(Table133456[[#This Row],[T]])</f>
        <v>#DIV/0!</v>
      </c>
      <c r="AL1053" t="e">
        <f ca="1">Table133456[[#This Row],[Put D1]]-Table133456[[#This Row],[IV Calc P]]*SQRT(Table133456[[#This Row],[T]])</f>
        <v>#DIV/0!</v>
      </c>
      <c r="AM1053" t="e">
        <f ca="1">EXP(-0.5*Table133456[[#This Row],[Call D1]]^2)/SQRT(2*PI())</f>
        <v>#DIV/0!</v>
      </c>
      <c r="AN1053" t="e">
        <f ca="1">EXP(-0.5*Table133456[[#This Row],[Put D1]]^2)/SQRT(2*PI())</f>
        <v>#DIV/0!</v>
      </c>
      <c r="AO105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3">
        <f ca="1">((Table133456[[#This Row],[call vanna]]+Table133456[[#This Row],[put vanna]])*$A$4)</f>
        <v>0</v>
      </c>
      <c r="AR105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3" s="9" t="str" cm="1">
        <f t="array" ref="AT1053">_xlfn.IFS(     $M$1="SPX","SPXW",     $M$1="RUT","RUTW",  $M$1="NDX","NDXP",   TRUE,$M$1 )</f>
        <v>SPXW</v>
      </c>
      <c r="AU1053" s="2">
        <f t="shared" si="107"/>
        <v>6915</v>
      </c>
      <c r="AV1053" t="str">
        <f t="shared" si="108"/>
        <v>000100</v>
      </c>
      <c r="AY105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3">
        <f>((Table133456[[#This Row],[High C]]+Table133456[[#This Row],[Low C]])/2)*Table133456[[#This Row],[gammac]]*Table133456[[#This Row],[Volume]]</f>
        <v>0</v>
      </c>
      <c r="BD1053">
        <f>((Table133456[[#This Row],[High P]]+Table133456[[#This Row],[Low P]])/2)*Table133456[[#This Row],[gammap]]*Table133456[[#This Row],[Volume9]]*-1</f>
        <v>0</v>
      </c>
      <c r="BE1053">
        <f>(Table133456[[#This Row],[SgammaC]]+Table133456[[#This Row],[SgammaP]])*$A$4*-100</f>
        <v>0</v>
      </c>
      <c r="BF1053">
        <f>Table133456[[#This Row],[DEXc]]+Table133456[[#This Row],[DEXp]]</f>
        <v>0</v>
      </c>
      <c r="BG1053">
        <f>IFERROR(Table133456[[#This Row],[DeltaC]]*Table133456[[#This Row],[Open.Int]]*$A$4,0)</f>
        <v>0</v>
      </c>
      <c r="BH1053">
        <f>IFERROR(Table133456[[#This Row],[DeltaP]]*Table133456[[#This Row],[Open.Int8]]*$A$4,0)</f>
        <v>0</v>
      </c>
      <c r="BI105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3">
        <f ca="1">Table133456[[#This Row],[charmc]]+Table133456[[#This Row],[charmp]]</f>
        <v>0</v>
      </c>
      <c r="BL105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3" s="78">
        <f ca="1">Table133456[[#This Row],[call helper]]+Table133456[[#This Row],[put helper]]</f>
        <v>0</v>
      </c>
      <c r="BP1053" t="str">
        <f>RTD("tos.rtd", , "STRIKE", "."&amp;Table133456[[#This Row],[Ticker]]&amp;Table133456[[#This Row],[Expiry]]&amp;""&amp;"C"&amp;Table133456[[#This Row],[Spot]]+Table133456[[#This Row],[step]])</f>
        <v>N/A</v>
      </c>
    </row>
    <row r="1054" spans="1:68" x14ac:dyDescent="0.25">
      <c r="A1054" s="14">
        <f t="shared" ca="1" si="104"/>
        <v>-126.14810350076104</v>
      </c>
      <c r="C1054" s="17"/>
      <c r="D1054" t="str">
        <f>RTD("tos.rtd", , "OPEN_INT", "."&amp;Table133456[[#This Row],[Ticker]]&amp;Table133456[[#This Row],[Expiry]]&amp;""&amp;"C"&amp;Table133456[[#This Row],[Spot]]+Table133456[[#This Row],[step]])</f>
        <v>N/A</v>
      </c>
      <c r="E105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4" s="17" cm="1">
        <f t="array" aca="1" ref="H1054" ca="1">IndividualLegIVCore($A$4, Table133456[[#This Row],[Strike]], 0.0411, Table133456[[#This Row],[T]], ((Table133456[[#This Row],[BIDC]]+Table133456[[#This Row],[ASKC]])/2), TRUE)</f>
        <v>0.01</v>
      </c>
      <c r="I1054" t="b">
        <f>IF(     ISNUMBER(Table133456[[#This Row],[Strike]]),RTD("tos.rtd", , "BID", "."&amp;Table133456[[#This Row],[Ticker]]&amp;Table133456[[#This Row],[Expiry]]&amp;""&amp;"C"&amp;Table133456[[#This Row],[Strike]]))</f>
        <v>0</v>
      </c>
      <c r="J1054" t="b">
        <f>IF(     ISNUMBER(Table133456[[#This Row],[Strike]]),RTD("tos.rtd", , "ASK", "."&amp;Table133456[[#This Row],[Ticker]]&amp;Table133456[[#This Row],[Expiry]]&amp;""&amp;"C"&amp;Table133456[[#This Row],[Strike]]))</f>
        <v>0</v>
      </c>
      <c r="K1054" s="17"/>
      <c r="M1054" s="1">
        <f t="shared" si="105"/>
        <v>0</v>
      </c>
      <c r="N1054" t="b">
        <f t="shared" si="106"/>
        <v>0</v>
      </c>
      <c r="P1054" s="17" cm="1">
        <f t="array" aca="1" ref="P1054" ca="1">IndividualLegIVCore($A$4, Table133456[[#This Row],[Strike]], 0.0411, Table133456[[#This Row],[T]], ((Table133456[[#This Row],[BIDP]]+Table133456[[#This Row],[ASKP]])/2), FALSE)</f>
        <v>0.01</v>
      </c>
      <c r="Q1054" t="b">
        <f>IF(     ISNUMBER(Table133456[[#This Row],[Strike]]),RTD("tos.rtd", , "BID", "."&amp;Table133456[[#This Row],[Ticker]]&amp;Table133456[[#This Row],[Expiry]]&amp;""&amp;"P"&amp;Table133456[[#This Row],[Strike]]))</f>
        <v>0</v>
      </c>
      <c r="R1054" t="b">
        <f>IF(     ISNUMBER(Table133456[[#This Row],[Strike]]),RTD("tos.rtd", , "ASK", "."&amp;Table133456[[#This Row],[Ticker]]&amp;Table133456[[#This Row],[Expiry]]&amp;""&amp;"P"&amp;Table133456[[#This Row],[Strike]]))</f>
        <v>0</v>
      </c>
      <c r="S1054" s="17"/>
      <c r="T105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4" s="19">
        <f>-35.5 * IF($M$1="NDX", 10, IF(OR($M$1="SPX", $M$1="RUT"), 2, 1))</f>
        <v>-71</v>
      </c>
      <c r="Z1054">
        <f ca="1">IFERROR(Table133456[[#This Row],[call gamma]]*(Table133456[[#This Row],[Open.Int]])*$A$4^2,0)</f>
        <v>0</v>
      </c>
      <c r="AA1054">
        <f ca="1">IFERROR(((Table133456[[#This Row],[Open.Int8]])*Table133456[[#This Row],[Put gamma]])*-1*$A$4^2,0)</f>
        <v>0</v>
      </c>
      <c r="AB1054">
        <f ca="1">(Table133456[[#This Row],[Call Gex]]+Table133456[[#This Row],[Put Gex]])</f>
        <v>0</v>
      </c>
      <c r="AC1054">
        <f ca="1">Table133456[[#This Row],[put delta adj]]+Table133456[[#This Row],[call delta adj]]</f>
        <v>0</v>
      </c>
      <c r="AD1054">
        <f ca="1">Table133456[[#This Row],[Put Gex]]*Table133456[[#This Row],[DeltaP]]*-1</f>
        <v>0</v>
      </c>
      <c r="AE1054">
        <f ca="1">Table133456[[#This Row],[Call Gex]]*Table133456[[#This Row],[DeltaC]]</f>
        <v>0</v>
      </c>
      <c r="AF1054">
        <f>IF(Table133456[[#This Row],[DeltaC]]-ABS(Table133456[[#This Row],[DeltaP]])="0","0.01",Table133456[[#This Row],[DeltaC]]-ABS(Table133456[[#This Row],[DeltaP]]))</f>
        <v>0</v>
      </c>
      <c r="AG105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4" t="e">
        <f ca="1">(EXP(-(AG1054^2)/2)/SQRT(2*PI())*EXP(0*SQRT(Table133456[[#This Row],[T]]))/$A$4*18%*SQRT(SQRT(Table133456[[#This Row],[T]])))</f>
        <v>#DIV/0!</v>
      </c>
      <c r="AJ1054" t="e">
        <f ca="1">(EXP(-(AH1054^2)/2)/SQRT(2*PI())*EXP(0*SQRT(Table133456[[#This Row],[T]]))/$A$4*18%*SQRT(SQRT(Table133456[[#This Row],[T]])))</f>
        <v>#DIV/0!</v>
      </c>
      <c r="AK1054" t="e">
        <f ca="1">Table133456[[#This Row],[Call D1]]-Table133456[[#This Row],[IV Calc C]]*SQRT(Table133456[[#This Row],[T]])</f>
        <v>#DIV/0!</v>
      </c>
      <c r="AL1054" t="e">
        <f ca="1">Table133456[[#This Row],[Put D1]]-Table133456[[#This Row],[IV Calc P]]*SQRT(Table133456[[#This Row],[T]])</f>
        <v>#DIV/0!</v>
      </c>
      <c r="AM1054" t="e">
        <f ca="1">EXP(-0.5*Table133456[[#This Row],[Call D1]]^2)/SQRT(2*PI())</f>
        <v>#DIV/0!</v>
      </c>
      <c r="AN1054" t="e">
        <f ca="1">EXP(-0.5*Table133456[[#This Row],[Put D1]]^2)/SQRT(2*PI())</f>
        <v>#DIV/0!</v>
      </c>
      <c r="AO105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4">
        <f ca="1">((Table133456[[#This Row],[call vanna]]+Table133456[[#This Row],[put vanna]])*$A$4)</f>
        <v>0</v>
      </c>
      <c r="AR105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4" s="9" t="str" cm="1">
        <f t="array" ref="AT1054">_xlfn.IFS(     $M$1="SPX","SPXW",     $M$1="RUT","RUTW",  $M$1="NDX","NDXP",   TRUE,$M$1 )</f>
        <v>SPXW</v>
      </c>
      <c r="AU1054" s="2">
        <f t="shared" si="107"/>
        <v>6915</v>
      </c>
      <c r="AV1054" t="str">
        <f t="shared" si="108"/>
        <v>000100</v>
      </c>
      <c r="AY105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4">
        <f>((Table133456[[#This Row],[High C]]+Table133456[[#This Row],[Low C]])/2)*Table133456[[#This Row],[gammac]]*Table133456[[#This Row],[Volume]]</f>
        <v>0</v>
      </c>
      <c r="BD1054">
        <f>((Table133456[[#This Row],[High P]]+Table133456[[#This Row],[Low P]])/2)*Table133456[[#This Row],[gammap]]*Table133456[[#This Row],[Volume9]]*-1</f>
        <v>0</v>
      </c>
      <c r="BE1054">
        <f>(Table133456[[#This Row],[SgammaC]]+Table133456[[#This Row],[SgammaP]])*$A$4*-100</f>
        <v>0</v>
      </c>
      <c r="BF1054">
        <f>Table133456[[#This Row],[DEXc]]+Table133456[[#This Row],[DEXp]]</f>
        <v>0</v>
      </c>
      <c r="BG1054">
        <f>IFERROR(Table133456[[#This Row],[DeltaC]]*Table133456[[#This Row],[Open.Int]]*$A$4,0)</f>
        <v>0</v>
      </c>
      <c r="BH1054">
        <f>IFERROR(Table133456[[#This Row],[DeltaP]]*Table133456[[#This Row],[Open.Int8]]*$A$4,0)</f>
        <v>0</v>
      </c>
      <c r="BI105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4">
        <f ca="1">Table133456[[#This Row],[charmc]]+Table133456[[#This Row],[charmp]]</f>
        <v>0</v>
      </c>
      <c r="BL105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4" s="78">
        <f ca="1">Table133456[[#This Row],[call helper]]+Table133456[[#This Row],[put helper]]</f>
        <v>0</v>
      </c>
      <c r="BP1054" t="str">
        <f>RTD("tos.rtd", , "STRIKE", "."&amp;Table133456[[#This Row],[Ticker]]&amp;Table133456[[#This Row],[Expiry]]&amp;""&amp;"C"&amp;Table133456[[#This Row],[Spot]]+Table133456[[#This Row],[step]])</f>
        <v>N/A</v>
      </c>
    </row>
    <row r="1055" spans="1:68" x14ac:dyDescent="0.25">
      <c r="A1055" s="14">
        <f t="shared" ca="1" si="104"/>
        <v>-126.14810350076104</v>
      </c>
      <c r="C1055" s="17"/>
      <c r="D1055" t="str">
        <f>RTD("tos.rtd", , "OPEN_INT", "."&amp;Table133456[[#This Row],[Ticker]]&amp;Table133456[[#This Row],[Expiry]]&amp;""&amp;"C"&amp;Table133456[[#This Row],[Spot]]+Table133456[[#This Row],[step]])</f>
        <v>N/A</v>
      </c>
      <c r="E105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5" s="17" cm="1">
        <f t="array" aca="1" ref="H1055" ca="1">IndividualLegIVCore($A$4, Table133456[[#This Row],[Strike]], 0.0411, Table133456[[#This Row],[T]], ((Table133456[[#This Row],[BIDC]]+Table133456[[#This Row],[ASKC]])/2), TRUE)</f>
        <v>0.01</v>
      </c>
      <c r="I1055" t="b">
        <f>IF(     ISNUMBER(Table133456[[#This Row],[Strike]]),RTD("tos.rtd", , "BID", "."&amp;Table133456[[#This Row],[Ticker]]&amp;Table133456[[#This Row],[Expiry]]&amp;""&amp;"C"&amp;Table133456[[#This Row],[Strike]]))</f>
        <v>0</v>
      </c>
      <c r="J1055" t="b">
        <f>IF(     ISNUMBER(Table133456[[#This Row],[Strike]]),RTD("tos.rtd", , "ASK", "."&amp;Table133456[[#This Row],[Ticker]]&amp;Table133456[[#This Row],[Expiry]]&amp;""&amp;"C"&amp;Table133456[[#This Row],[Strike]]))</f>
        <v>0</v>
      </c>
      <c r="K1055" s="17"/>
      <c r="M1055" s="1">
        <f t="shared" si="105"/>
        <v>0</v>
      </c>
      <c r="N1055" t="b">
        <f t="shared" si="106"/>
        <v>0</v>
      </c>
      <c r="P1055" s="17" cm="1">
        <f t="array" aca="1" ref="P1055" ca="1">IndividualLegIVCore($A$4, Table133456[[#This Row],[Strike]], 0.0411, Table133456[[#This Row],[T]], ((Table133456[[#This Row],[BIDP]]+Table133456[[#This Row],[ASKP]])/2), FALSE)</f>
        <v>0.01</v>
      </c>
      <c r="Q1055" t="b">
        <f>IF(     ISNUMBER(Table133456[[#This Row],[Strike]]),RTD("tos.rtd", , "BID", "."&amp;Table133456[[#This Row],[Ticker]]&amp;Table133456[[#This Row],[Expiry]]&amp;""&amp;"P"&amp;Table133456[[#This Row],[Strike]]))</f>
        <v>0</v>
      </c>
      <c r="R1055" t="b">
        <f>IF(     ISNUMBER(Table133456[[#This Row],[Strike]]),RTD("tos.rtd", , "ASK", "."&amp;Table133456[[#This Row],[Ticker]]&amp;Table133456[[#This Row],[Expiry]]&amp;""&amp;"P"&amp;Table133456[[#This Row],[Strike]]))</f>
        <v>0</v>
      </c>
      <c r="S1055" s="17"/>
      <c r="T105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5" s="19">
        <f>-35 * IF($M$1="NDX", 10, IF(OR($M$1="SPX", $M$1="RUT"), 2, 1))</f>
        <v>-70</v>
      </c>
      <c r="Z1055">
        <f ca="1">IFERROR(Table133456[[#This Row],[call gamma]]*(Table133456[[#This Row],[Open.Int]])*$A$4^2,0)</f>
        <v>0</v>
      </c>
      <c r="AA1055">
        <f ca="1">IFERROR(((Table133456[[#This Row],[Open.Int8]])*Table133456[[#This Row],[Put gamma]])*-1*$A$4^2,0)</f>
        <v>0</v>
      </c>
      <c r="AB1055">
        <f ca="1">(Table133456[[#This Row],[Call Gex]]+Table133456[[#This Row],[Put Gex]])</f>
        <v>0</v>
      </c>
      <c r="AC1055">
        <f ca="1">Table133456[[#This Row],[put delta adj]]+Table133456[[#This Row],[call delta adj]]</f>
        <v>0</v>
      </c>
      <c r="AD1055">
        <f ca="1">Table133456[[#This Row],[Put Gex]]*Table133456[[#This Row],[DeltaP]]*-1</f>
        <v>0</v>
      </c>
      <c r="AE1055">
        <f ca="1">Table133456[[#This Row],[Call Gex]]*Table133456[[#This Row],[DeltaC]]</f>
        <v>0</v>
      </c>
      <c r="AF1055">
        <f>IF(Table133456[[#This Row],[DeltaC]]-ABS(Table133456[[#This Row],[DeltaP]])="0","0.01",Table133456[[#This Row],[DeltaC]]-ABS(Table133456[[#This Row],[DeltaP]]))</f>
        <v>0</v>
      </c>
      <c r="AG105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5" t="e">
        <f ca="1">(EXP(-(AG1055^2)/2)/SQRT(2*PI())*EXP(0*SQRT(Table133456[[#This Row],[T]]))/$A$4*18%*SQRT(SQRT(Table133456[[#This Row],[T]])))</f>
        <v>#DIV/0!</v>
      </c>
      <c r="AJ1055" t="e">
        <f ca="1">(EXP(-(AH1055^2)/2)/SQRT(2*PI())*EXP(0*SQRT(Table133456[[#This Row],[T]]))/$A$4*18%*SQRT(SQRT(Table133456[[#This Row],[T]])))</f>
        <v>#DIV/0!</v>
      </c>
      <c r="AK1055" t="e">
        <f ca="1">Table133456[[#This Row],[Call D1]]-Table133456[[#This Row],[IV Calc C]]*SQRT(Table133456[[#This Row],[T]])</f>
        <v>#DIV/0!</v>
      </c>
      <c r="AL1055" t="e">
        <f ca="1">Table133456[[#This Row],[Put D1]]-Table133456[[#This Row],[IV Calc P]]*SQRT(Table133456[[#This Row],[T]])</f>
        <v>#DIV/0!</v>
      </c>
      <c r="AM1055" t="e">
        <f ca="1">EXP(-0.5*Table133456[[#This Row],[Call D1]]^2)/SQRT(2*PI())</f>
        <v>#DIV/0!</v>
      </c>
      <c r="AN1055" t="e">
        <f ca="1">EXP(-0.5*Table133456[[#This Row],[Put D1]]^2)/SQRT(2*PI())</f>
        <v>#DIV/0!</v>
      </c>
      <c r="AO105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5">
        <f ca="1">((Table133456[[#This Row],[call vanna]]+Table133456[[#This Row],[put vanna]])*$A$4)</f>
        <v>0</v>
      </c>
      <c r="AR105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5" s="9" t="str" cm="1">
        <f t="array" ref="AT1055">_xlfn.IFS(     $M$1="SPX","SPXW",     $M$1="RUT","RUTW",  $M$1="NDX","NDXP",   TRUE,$M$1 )</f>
        <v>SPXW</v>
      </c>
      <c r="AU1055" s="2">
        <f t="shared" si="107"/>
        <v>6915</v>
      </c>
      <c r="AV1055" t="str">
        <f t="shared" si="108"/>
        <v>000100</v>
      </c>
      <c r="AY105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5">
        <f>((Table133456[[#This Row],[High C]]+Table133456[[#This Row],[Low C]])/2)*Table133456[[#This Row],[gammac]]*Table133456[[#This Row],[Volume]]</f>
        <v>0</v>
      </c>
      <c r="BD1055">
        <f>((Table133456[[#This Row],[High P]]+Table133456[[#This Row],[Low P]])/2)*Table133456[[#This Row],[gammap]]*Table133456[[#This Row],[Volume9]]*-1</f>
        <v>0</v>
      </c>
      <c r="BE1055">
        <f>(Table133456[[#This Row],[SgammaC]]+Table133456[[#This Row],[SgammaP]])*$A$4*-100</f>
        <v>0</v>
      </c>
      <c r="BF1055">
        <f>Table133456[[#This Row],[DEXc]]+Table133456[[#This Row],[DEXp]]</f>
        <v>0</v>
      </c>
      <c r="BG1055">
        <f>IFERROR(Table133456[[#This Row],[DeltaC]]*Table133456[[#This Row],[Open.Int]]*$A$4,0)</f>
        <v>0</v>
      </c>
      <c r="BH1055">
        <f>IFERROR(Table133456[[#This Row],[DeltaP]]*Table133456[[#This Row],[Open.Int8]]*$A$4,0)</f>
        <v>0</v>
      </c>
      <c r="BI105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5">
        <f ca="1">Table133456[[#This Row],[charmc]]+Table133456[[#This Row],[charmp]]</f>
        <v>0</v>
      </c>
      <c r="BL105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5" s="78">
        <f ca="1">Table133456[[#This Row],[call helper]]+Table133456[[#This Row],[put helper]]</f>
        <v>0</v>
      </c>
      <c r="BP1055" t="str">
        <f>RTD("tos.rtd", , "STRIKE", "."&amp;Table133456[[#This Row],[Ticker]]&amp;Table133456[[#This Row],[Expiry]]&amp;""&amp;"C"&amp;Table133456[[#This Row],[Spot]]+Table133456[[#This Row],[step]])</f>
        <v>N/A</v>
      </c>
    </row>
    <row r="1056" spans="1:68" x14ac:dyDescent="0.25">
      <c r="A1056" s="14">
        <f t="shared" ca="1" si="104"/>
        <v>-126.14810350076104</v>
      </c>
      <c r="C1056" s="17"/>
      <c r="D1056" t="str">
        <f>RTD("tos.rtd", , "OPEN_INT", "."&amp;Table133456[[#This Row],[Ticker]]&amp;Table133456[[#This Row],[Expiry]]&amp;""&amp;"C"&amp;Table133456[[#This Row],[Spot]]+Table133456[[#This Row],[step]])</f>
        <v>N/A</v>
      </c>
      <c r="E105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6" s="17" cm="1">
        <f t="array" aca="1" ref="H1056" ca="1">IndividualLegIVCore($A$4, Table133456[[#This Row],[Strike]], 0.0411, Table133456[[#This Row],[T]], ((Table133456[[#This Row],[BIDC]]+Table133456[[#This Row],[ASKC]])/2), TRUE)</f>
        <v>0.01</v>
      </c>
      <c r="I1056" t="b">
        <f>IF(     ISNUMBER(Table133456[[#This Row],[Strike]]),RTD("tos.rtd", , "BID", "."&amp;Table133456[[#This Row],[Ticker]]&amp;Table133456[[#This Row],[Expiry]]&amp;""&amp;"C"&amp;Table133456[[#This Row],[Strike]]))</f>
        <v>0</v>
      </c>
      <c r="J1056" t="b">
        <f>IF(     ISNUMBER(Table133456[[#This Row],[Strike]]),RTD("tos.rtd", , "ASK", "."&amp;Table133456[[#This Row],[Ticker]]&amp;Table133456[[#This Row],[Expiry]]&amp;""&amp;"C"&amp;Table133456[[#This Row],[Strike]]))</f>
        <v>0</v>
      </c>
      <c r="K1056" s="17"/>
      <c r="M1056" s="1">
        <f t="shared" si="105"/>
        <v>0</v>
      </c>
      <c r="N1056" t="b">
        <f t="shared" si="106"/>
        <v>0</v>
      </c>
      <c r="P1056" s="17" cm="1">
        <f t="array" aca="1" ref="P1056" ca="1">IndividualLegIVCore($A$4, Table133456[[#This Row],[Strike]], 0.0411, Table133456[[#This Row],[T]], ((Table133456[[#This Row],[BIDP]]+Table133456[[#This Row],[ASKP]])/2), FALSE)</f>
        <v>0.01</v>
      </c>
      <c r="Q1056" t="b">
        <f>IF(     ISNUMBER(Table133456[[#This Row],[Strike]]),RTD("tos.rtd", , "BID", "."&amp;Table133456[[#This Row],[Ticker]]&amp;Table133456[[#This Row],[Expiry]]&amp;""&amp;"P"&amp;Table133456[[#This Row],[Strike]]))</f>
        <v>0</v>
      </c>
      <c r="R1056" t="b">
        <f>IF(     ISNUMBER(Table133456[[#This Row],[Strike]]),RTD("tos.rtd", , "ASK", "."&amp;Table133456[[#This Row],[Ticker]]&amp;Table133456[[#This Row],[Expiry]]&amp;""&amp;"P"&amp;Table133456[[#This Row],[Strike]]))</f>
        <v>0</v>
      </c>
      <c r="S1056" s="17"/>
      <c r="T105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6" s="19">
        <f>-34.5 * IF($M$1="NDX", 10, IF(OR($M$1="SPX", $M$1="RUT"), 2, 1))</f>
        <v>-69</v>
      </c>
      <c r="Z1056">
        <f ca="1">IFERROR(Table133456[[#This Row],[call gamma]]*(Table133456[[#This Row],[Open.Int]])*$A$4^2,0)</f>
        <v>0</v>
      </c>
      <c r="AA1056">
        <f ca="1">IFERROR(((Table133456[[#This Row],[Open.Int8]])*Table133456[[#This Row],[Put gamma]])*-1*$A$4^2,0)</f>
        <v>0</v>
      </c>
      <c r="AB1056">
        <f ca="1">(Table133456[[#This Row],[Call Gex]]+Table133456[[#This Row],[Put Gex]])</f>
        <v>0</v>
      </c>
      <c r="AC1056">
        <f ca="1">Table133456[[#This Row],[put delta adj]]+Table133456[[#This Row],[call delta adj]]</f>
        <v>0</v>
      </c>
      <c r="AD1056">
        <f ca="1">Table133456[[#This Row],[Put Gex]]*Table133456[[#This Row],[DeltaP]]*-1</f>
        <v>0</v>
      </c>
      <c r="AE1056">
        <f ca="1">Table133456[[#This Row],[Call Gex]]*Table133456[[#This Row],[DeltaC]]</f>
        <v>0</v>
      </c>
      <c r="AF1056">
        <f>IF(Table133456[[#This Row],[DeltaC]]-ABS(Table133456[[#This Row],[DeltaP]])="0","0.01",Table133456[[#This Row],[DeltaC]]-ABS(Table133456[[#This Row],[DeltaP]]))</f>
        <v>0</v>
      </c>
      <c r="AG105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6" t="e">
        <f ca="1">(EXP(-(AG1056^2)/2)/SQRT(2*PI())*EXP(0*SQRT(Table133456[[#This Row],[T]]))/$A$4*18%*SQRT(SQRT(Table133456[[#This Row],[T]])))</f>
        <v>#DIV/0!</v>
      </c>
      <c r="AJ1056" t="e">
        <f ca="1">(EXP(-(AH1056^2)/2)/SQRT(2*PI())*EXP(0*SQRT(Table133456[[#This Row],[T]]))/$A$4*18%*SQRT(SQRT(Table133456[[#This Row],[T]])))</f>
        <v>#DIV/0!</v>
      </c>
      <c r="AK1056" t="e">
        <f ca="1">Table133456[[#This Row],[Call D1]]-Table133456[[#This Row],[IV Calc C]]*SQRT(Table133456[[#This Row],[T]])</f>
        <v>#DIV/0!</v>
      </c>
      <c r="AL1056" t="e">
        <f ca="1">Table133456[[#This Row],[Put D1]]-Table133456[[#This Row],[IV Calc P]]*SQRT(Table133456[[#This Row],[T]])</f>
        <v>#DIV/0!</v>
      </c>
      <c r="AM1056" t="e">
        <f ca="1">EXP(-0.5*Table133456[[#This Row],[Call D1]]^2)/SQRT(2*PI())</f>
        <v>#DIV/0!</v>
      </c>
      <c r="AN1056" t="e">
        <f ca="1">EXP(-0.5*Table133456[[#This Row],[Put D1]]^2)/SQRT(2*PI())</f>
        <v>#DIV/0!</v>
      </c>
      <c r="AO105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6">
        <f ca="1">((Table133456[[#This Row],[call vanna]]+Table133456[[#This Row],[put vanna]])*$A$4)</f>
        <v>0</v>
      </c>
      <c r="AR105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6" s="9" t="str" cm="1">
        <f t="array" ref="AT1056">_xlfn.IFS(     $M$1="SPX","SPXW",     $M$1="RUT","RUTW",  $M$1="NDX","NDXP",   TRUE,$M$1 )</f>
        <v>SPXW</v>
      </c>
      <c r="AU1056" s="2">
        <f t="shared" si="107"/>
        <v>6915</v>
      </c>
      <c r="AV1056" t="str">
        <f t="shared" si="108"/>
        <v>000100</v>
      </c>
      <c r="AY105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6">
        <f>((Table133456[[#This Row],[High C]]+Table133456[[#This Row],[Low C]])/2)*Table133456[[#This Row],[gammac]]*Table133456[[#This Row],[Volume]]</f>
        <v>0</v>
      </c>
      <c r="BD1056">
        <f>((Table133456[[#This Row],[High P]]+Table133456[[#This Row],[Low P]])/2)*Table133456[[#This Row],[gammap]]*Table133456[[#This Row],[Volume9]]*-1</f>
        <v>0</v>
      </c>
      <c r="BE1056">
        <f>(Table133456[[#This Row],[SgammaC]]+Table133456[[#This Row],[SgammaP]])*$A$4*-100</f>
        <v>0</v>
      </c>
      <c r="BF1056">
        <f>Table133456[[#This Row],[DEXc]]+Table133456[[#This Row],[DEXp]]</f>
        <v>0</v>
      </c>
      <c r="BG1056">
        <f>IFERROR(Table133456[[#This Row],[DeltaC]]*Table133456[[#This Row],[Open.Int]]*$A$4,0)</f>
        <v>0</v>
      </c>
      <c r="BH1056">
        <f>IFERROR(Table133456[[#This Row],[DeltaP]]*Table133456[[#This Row],[Open.Int8]]*$A$4,0)</f>
        <v>0</v>
      </c>
      <c r="BI105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6">
        <f ca="1">Table133456[[#This Row],[charmc]]+Table133456[[#This Row],[charmp]]</f>
        <v>0</v>
      </c>
      <c r="BL105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6" s="78">
        <f ca="1">Table133456[[#This Row],[call helper]]+Table133456[[#This Row],[put helper]]</f>
        <v>0</v>
      </c>
      <c r="BP1056" t="str">
        <f>RTD("tos.rtd", , "STRIKE", "."&amp;Table133456[[#This Row],[Ticker]]&amp;Table133456[[#This Row],[Expiry]]&amp;""&amp;"C"&amp;Table133456[[#This Row],[Spot]]+Table133456[[#This Row],[step]])</f>
        <v>N/A</v>
      </c>
    </row>
    <row r="1057" spans="1:68" x14ac:dyDescent="0.25">
      <c r="A1057" s="14">
        <f t="shared" ca="1" si="104"/>
        <v>-126.14810350076104</v>
      </c>
      <c r="C1057" s="17"/>
      <c r="D1057" t="str">
        <f>RTD("tos.rtd", , "OPEN_INT", "."&amp;Table133456[[#This Row],[Ticker]]&amp;Table133456[[#This Row],[Expiry]]&amp;""&amp;"C"&amp;Table133456[[#This Row],[Spot]]+Table133456[[#This Row],[step]])</f>
        <v>N/A</v>
      </c>
      <c r="E105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7" s="17" cm="1">
        <f t="array" aca="1" ref="H1057" ca="1">IndividualLegIVCore($A$4, Table133456[[#This Row],[Strike]], 0.0411, Table133456[[#This Row],[T]], ((Table133456[[#This Row],[BIDC]]+Table133456[[#This Row],[ASKC]])/2), TRUE)</f>
        <v>0.01</v>
      </c>
      <c r="I1057" t="b">
        <f>IF(     ISNUMBER(Table133456[[#This Row],[Strike]]),RTD("tos.rtd", , "BID", "."&amp;Table133456[[#This Row],[Ticker]]&amp;Table133456[[#This Row],[Expiry]]&amp;""&amp;"C"&amp;Table133456[[#This Row],[Strike]]))</f>
        <v>0</v>
      </c>
      <c r="J1057" t="b">
        <f>IF(     ISNUMBER(Table133456[[#This Row],[Strike]]),RTD("tos.rtd", , "ASK", "."&amp;Table133456[[#This Row],[Ticker]]&amp;Table133456[[#This Row],[Expiry]]&amp;""&amp;"C"&amp;Table133456[[#This Row],[Strike]]))</f>
        <v>0</v>
      </c>
      <c r="K1057" s="17"/>
      <c r="M1057" s="1">
        <f t="shared" si="105"/>
        <v>0</v>
      </c>
      <c r="N1057" t="b">
        <f t="shared" si="106"/>
        <v>0</v>
      </c>
      <c r="P1057" s="17" cm="1">
        <f t="array" aca="1" ref="P1057" ca="1">IndividualLegIVCore($A$4, Table133456[[#This Row],[Strike]], 0.0411, Table133456[[#This Row],[T]], ((Table133456[[#This Row],[BIDP]]+Table133456[[#This Row],[ASKP]])/2), FALSE)</f>
        <v>0.01</v>
      </c>
      <c r="Q1057" t="b">
        <f>IF(     ISNUMBER(Table133456[[#This Row],[Strike]]),RTD("tos.rtd", , "BID", "."&amp;Table133456[[#This Row],[Ticker]]&amp;Table133456[[#This Row],[Expiry]]&amp;""&amp;"P"&amp;Table133456[[#This Row],[Strike]]))</f>
        <v>0</v>
      </c>
      <c r="R1057" t="b">
        <f>IF(     ISNUMBER(Table133456[[#This Row],[Strike]]),RTD("tos.rtd", , "ASK", "."&amp;Table133456[[#This Row],[Ticker]]&amp;Table133456[[#This Row],[Expiry]]&amp;""&amp;"P"&amp;Table133456[[#This Row],[Strike]]))</f>
        <v>0</v>
      </c>
      <c r="S1057" s="17"/>
      <c r="T105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7" s="19">
        <f>-34 * IF($M$1="NDX", 10, IF(OR($M$1="SPX", $M$1="RUT"), 2, 1))</f>
        <v>-68</v>
      </c>
      <c r="Z1057">
        <f ca="1">IFERROR(Table133456[[#This Row],[call gamma]]*(Table133456[[#This Row],[Open.Int]])*$A$4^2,0)</f>
        <v>0</v>
      </c>
      <c r="AA1057">
        <f ca="1">IFERROR(((Table133456[[#This Row],[Open.Int8]])*Table133456[[#This Row],[Put gamma]])*-1*$A$4^2,0)</f>
        <v>0</v>
      </c>
      <c r="AB1057">
        <f ca="1">(Table133456[[#This Row],[Call Gex]]+Table133456[[#This Row],[Put Gex]])</f>
        <v>0</v>
      </c>
      <c r="AC1057">
        <f ca="1">Table133456[[#This Row],[put delta adj]]+Table133456[[#This Row],[call delta adj]]</f>
        <v>0</v>
      </c>
      <c r="AD1057">
        <f ca="1">Table133456[[#This Row],[Put Gex]]*Table133456[[#This Row],[DeltaP]]*-1</f>
        <v>0</v>
      </c>
      <c r="AE1057">
        <f ca="1">Table133456[[#This Row],[Call Gex]]*Table133456[[#This Row],[DeltaC]]</f>
        <v>0</v>
      </c>
      <c r="AF1057">
        <f>IF(Table133456[[#This Row],[DeltaC]]-ABS(Table133456[[#This Row],[DeltaP]])="0","0.01",Table133456[[#This Row],[DeltaC]]-ABS(Table133456[[#This Row],[DeltaP]]))</f>
        <v>0</v>
      </c>
      <c r="AG105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7" t="e">
        <f ca="1">(EXP(-(AG1057^2)/2)/SQRT(2*PI())*EXP(0*SQRT(Table133456[[#This Row],[T]]))/$A$4*18%*SQRT(SQRT(Table133456[[#This Row],[T]])))</f>
        <v>#DIV/0!</v>
      </c>
      <c r="AJ1057" t="e">
        <f ca="1">(EXP(-(AH1057^2)/2)/SQRT(2*PI())*EXP(0*SQRT(Table133456[[#This Row],[T]]))/$A$4*18%*SQRT(SQRT(Table133456[[#This Row],[T]])))</f>
        <v>#DIV/0!</v>
      </c>
      <c r="AK1057" t="e">
        <f ca="1">Table133456[[#This Row],[Call D1]]-Table133456[[#This Row],[IV Calc C]]*SQRT(Table133456[[#This Row],[T]])</f>
        <v>#DIV/0!</v>
      </c>
      <c r="AL1057" t="e">
        <f ca="1">Table133456[[#This Row],[Put D1]]-Table133456[[#This Row],[IV Calc P]]*SQRT(Table133456[[#This Row],[T]])</f>
        <v>#DIV/0!</v>
      </c>
      <c r="AM1057" t="e">
        <f ca="1">EXP(-0.5*Table133456[[#This Row],[Call D1]]^2)/SQRT(2*PI())</f>
        <v>#DIV/0!</v>
      </c>
      <c r="AN1057" t="e">
        <f ca="1">EXP(-0.5*Table133456[[#This Row],[Put D1]]^2)/SQRT(2*PI())</f>
        <v>#DIV/0!</v>
      </c>
      <c r="AO105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7">
        <f ca="1">((Table133456[[#This Row],[call vanna]]+Table133456[[#This Row],[put vanna]])*$A$4)</f>
        <v>0</v>
      </c>
      <c r="AR105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7" s="9" t="str" cm="1">
        <f t="array" ref="AT1057">_xlfn.IFS(     $M$1="SPX","SPXW",     $M$1="RUT","RUTW",  $M$1="NDX","NDXP",   TRUE,$M$1 )</f>
        <v>SPXW</v>
      </c>
      <c r="AU1057" s="2">
        <f t="shared" si="107"/>
        <v>6915</v>
      </c>
      <c r="AV1057" t="str">
        <f t="shared" si="108"/>
        <v>000100</v>
      </c>
      <c r="AY105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7">
        <f>((Table133456[[#This Row],[High C]]+Table133456[[#This Row],[Low C]])/2)*Table133456[[#This Row],[gammac]]*Table133456[[#This Row],[Volume]]</f>
        <v>0</v>
      </c>
      <c r="BD1057">
        <f>((Table133456[[#This Row],[High P]]+Table133456[[#This Row],[Low P]])/2)*Table133456[[#This Row],[gammap]]*Table133456[[#This Row],[Volume9]]*-1</f>
        <v>0</v>
      </c>
      <c r="BE1057">
        <f>(Table133456[[#This Row],[SgammaC]]+Table133456[[#This Row],[SgammaP]])*$A$4*-100</f>
        <v>0</v>
      </c>
      <c r="BF1057">
        <f>Table133456[[#This Row],[DEXc]]+Table133456[[#This Row],[DEXp]]</f>
        <v>0</v>
      </c>
      <c r="BG1057">
        <f>IFERROR(Table133456[[#This Row],[DeltaC]]*Table133456[[#This Row],[Open.Int]]*$A$4,0)</f>
        <v>0</v>
      </c>
      <c r="BH1057">
        <f>IFERROR(Table133456[[#This Row],[DeltaP]]*Table133456[[#This Row],[Open.Int8]]*$A$4,0)</f>
        <v>0</v>
      </c>
      <c r="BI105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7">
        <f ca="1">Table133456[[#This Row],[charmc]]+Table133456[[#This Row],[charmp]]</f>
        <v>0</v>
      </c>
      <c r="BL105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7" s="78">
        <f ca="1">Table133456[[#This Row],[call helper]]+Table133456[[#This Row],[put helper]]</f>
        <v>0</v>
      </c>
      <c r="BP1057" t="str">
        <f>RTD("tos.rtd", , "STRIKE", "."&amp;Table133456[[#This Row],[Ticker]]&amp;Table133456[[#This Row],[Expiry]]&amp;""&amp;"C"&amp;Table133456[[#This Row],[Spot]]+Table133456[[#This Row],[step]])</f>
        <v>N/A</v>
      </c>
    </row>
    <row r="1058" spans="1:68" x14ac:dyDescent="0.25">
      <c r="A1058" s="14">
        <f t="shared" ca="1" si="104"/>
        <v>-126.14810350076104</v>
      </c>
      <c r="C1058" s="17"/>
      <c r="D1058" t="str">
        <f>RTD("tos.rtd", , "OPEN_INT", "."&amp;Table133456[[#This Row],[Ticker]]&amp;Table133456[[#This Row],[Expiry]]&amp;""&amp;"C"&amp;Table133456[[#This Row],[Spot]]+Table133456[[#This Row],[step]])</f>
        <v>N/A</v>
      </c>
      <c r="E105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8" s="17" cm="1">
        <f t="array" aca="1" ref="H1058" ca="1">IndividualLegIVCore($A$4, Table133456[[#This Row],[Strike]], 0.0411, Table133456[[#This Row],[T]], ((Table133456[[#This Row],[BIDC]]+Table133456[[#This Row],[ASKC]])/2), TRUE)</f>
        <v>0.01</v>
      </c>
      <c r="I1058" t="b">
        <f>IF(     ISNUMBER(Table133456[[#This Row],[Strike]]),RTD("tos.rtd", , "BID", "."&amp;Table133456[[#This Row],[Ticker]]&amp;Table133456[[#This Row],[Expiry]]&amp;""&amp;"C"&amp;Table133456[[#This Row],[Strike]]))</f>
        <v>0</v>
      </c>
      <c r="J1058" t="b">
        <f>IF(     ISNUMBER(Table133456[[#This Row],[Strike]]),RTD("tos.rtd", , "ASK", "."&amp;Table133456[[#This Row],[Ticker]]&amp;Table133456[[#This Row],[Expiry]]&amp;""&amp;"C"&amp;Table133456[[#This Row],[Strike]]))</f>
        <v>0</v>
      </c>
      <c r="K1058" s="17"/>
      <c r="M1058" s="1">
        <f t="shared" si="105"/>
        <v>0</v>
      </c>
      <c r="N1058" t="b">
        <f t="shared" si="106"/>
        <v>0</v>
      </c>
      <c r="P1058" s="17" cm="1">
        <f t="array" aca="1" ref="P1058" ca="1">IndividualLegIVCore($A$4, Table133456[[#This Row],[Strike]], 0.0411, Table133456[[#This Row],[T]], ((Table133456[[#This Row],[BIDP]]+Table133456[[#This Row],[ASKP]])/2), FALSE)</f>
        <v>0.01</v>
      </c>
      <c r="Q1058" t="b">
        <f>IF(     ISNUMBER(Table133456[[#This Row],[Strike]]),RTD("tos.rtd", , "BID", "."&amp;Table133456[[#This Row],[Ticker]]&amp;Table133456[[#This Row],[Expiry]]&amp;""&amp;"P"&amp;Table133456[[#This Row],[Strike]]))</f>
        <v>0</v>
      </c>
      <c r="R1058" t="b">
        <f>IF(     ISNUMBER(Table133456[[#This Row],[Strike]]),RTD("tos.rtd", , "ASK", "."&amp;Table133456[[#This Row],[Ticker]]&amp;Table133456[[#This Row],[Expiry]]&amp;""&amp;"P"&amp;Table133456[[#This Row],[Strike]]))</f>
        <v>0</v>
      </c>
      <c r="S1058" s="17"/>
      <c r="T105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8" s="19">
        <f>-33.5 * IF($M$1="NDX", 10, IF(OR($M$1="SPX", $M$1="RUT"), 2, 1))</f>
        <v>-67</v>
      </c>
      <c r="Z1058">
        <f ca="1">IFERROR(Table133456[[#This Row],[call gamma]]*(Table133456[[#This Row],[Open.Int]])*$A$4^2,0)</f>
        <v>0</v>
      </c>
      <c r="AA1058">
        <f ca="1">IFERROR(((Table133456[[#This Row],[Open.Int8]])*Table133456[[#This Row],[Put gamma]])*-1*$A$4^2,0)</f>
        <v>0</v>
      </c>
      <c r="AB1058">
        <f ca="1">(Table133456[[#This Row],[Call Gex]]+Table133456[[#This Row],[Put Gex]])</f>
        <v>0</v>
      </c>
      <c r="AC1058">
        <f ca="1">Table133456[[#This Row],[put delta adj]]+Table133456[[#This Row],[call delta adj]]</f>
        <v>0</v>
      </c>
      <c r="AD1058">
        <f ca="1">Table133456[[#This Row],[Put Gex]]*Table133456[[#This Row],[DeltaP]]*-1</f>
        <v>0</v>
      </c>
      <c r="AE1058">
        <f ca="1">Table133456[[#This Row],[Call Gex]]*Table133456[[#This Row],[DeltaC]]</f>
        <v>0</v>
      </c>
      <c r="AF1058">
        <f>IF(Table133456[[#This Row],[DeltaC]]-ABS(Table133456[[#This Row],[DeltaP]])="0","0.01",Table133456[[#This Row],[DeltaC]]-ABS(Table133456[[#This Row],[DeltaP]]))</f>
        <v>0</v>
      </c>
      <c r="AG105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8" t="e">
        <f ca="1">(EXP(-(AG1058^2)/2)/SQRT(2*PI())*EXP(0*SQRT(Table133456[[#This Row],[T]]))/$A$4*18%*SQRT(SQRT(Table133456[[#This Row],[T]])))</f>
        <v>#DIV/0!</v>
      </c>
      <c r="AJ1058" t="e">
        <f ca="1">(EXP(-(AH1058^2)/2)/SQRT(2*PI())*EXP(0*SQRT(Table133456[[#This Row],[T]]))/$A$4*18%*SQRT(SQRT(Table133456[[#This Row],[T]])))</f>
        <v>#DIV/0!</v>
      </c>
      <c r="AK1058" t="e">
        <f ca="1">Table133456[[#This Row],[Call D1]]-Table133456[[#This Row],[IV Calc C]]*SQRT(Table133456[[#This Row],[T]])</f>
        <v>#DIV/0!</v>
      </c>
      <c r="AL1058" t="e">
        <f ca="1">Table133456[[#This Row],[Put D1]]-Table133456[[#This Row],[IV Calc P]]*SQRT(Table133456[[#This Row],[T]])</f>
        <v>#DIV/0!</v>
      </c>
      <c r="AM1058" t="e">
        <f ca="1">EXP(-0.5*Table133456[[#This Row],[Call D1]]^2)/SQRT(2*PI())</f>
        <v>#DIV/0!</v>
      </c>
      <c r="AN1058" t="e">
        <f ca="1">EXP(-0.5*Table133456[[#This Row],[Put D1]]^2)/SQRT(2*PI())</f>
        <v>#DIV/0!</v>
      </c>
      <c r="AO105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8">
        <f ca="1">((Table133456[[#This Row],[call vanna]]+Table133456[[#This Row],[put vanna]])*$A$4)</f>
        <v>0</v>
      </c>
      <c r="AR105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8" s="9" t="str" cm="1">
        <f t="array" ref="AT1058">_xlfn.IFS(     $M$1="SPX","SPXW",     $M$1="RUT","RUTW",  $M$1="NDX","NDXP",   TRUE,$M$1 )</f>
        <v>SPXW</v>
      </c>
      <c r="AU1058" s="2">
        <f t="shared" si="107"/>
        <v>6915</v>
      </c>
      <c r="AV1058" t="str">
        <f t="shared" si="108"/>
        <v>000100</v>
      </c>
      <c r="AY105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8">
        <f>((Table133456[[#This Row],[High C]]+Table133456[[#This Row],[Low C]])/2)*Table133456[[#This Row],[gammac]]*Table133456[[#This Row],[Volume]]</f>
        <v>0</v>
      </c>
      <c r="BD1058">
        <f>((Table133456[[#This Row],[High P]]+Table133456[[#This Row],[Low P]])/2)*Table133456[[#This Row],[gammap]]*Table133456[[#This Row],[Volume9]]*-1</f>
        <v>0</v>
      </c>
      <c r="BE1058">
        <f>(Table133456[[#This Row],[SgammaC]]+Table133456[[#This Row],[SgammaP]])*$A$4*-100</f>
        <v>0</v>
      </c>
      <c r="BF1058">
        <f>Table133456[[#This Row],[DEXc]]+Table133456[[#This Row],[DEXp]]</f>
        <v>0</v>
      </c>
      <c r="BG1058">
        <f>IFERROR(Table133456[[#This Row],[DeltaC]]*Table133456[[#This Row],[Open.Int]]*$A$4,0)</f>
        <v>0</v>
      </c>
      <c r="BH1058">
        <f>IFERROR(Table133456[[#This Row],[DeltaP]]*Table133456[[#This Row],[Open.Int8]]*$A$4,0)</f>
        <v>0</v>
      </c>
      <c r="BI105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8">
        <f ca="1">Table133456[[#This Row],[charmc]]+Table133456[[#This Row],[charmp]]</f>
        <v>0</v>
      </c>
      <c r="BL105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8" s="78">
        <f ca="1">Table133456[[#This Row],[call helper]]+Table133456[[#This Row],[put helper]]</f>
        <v>0</v>
      </c>
      <c r="BP1058" t="str">
        <f>RTD("tos.rtd", , "STRIKE", "."&amp;Table133456[[#This Row],[Ticker]]&amp;Table133456[[#This Row],[Expiry]]&amp;""&amp;"C"&amp;Table133456[[#This Row],[Spot]]+Table133456[[#This Row],[step]])</f>
        <v>N/A</v>
      </c>
    </row>
    <row r="1059" spans="1:68" x14ac:dyDescent="0.25">
      <c r="A1059" s="14">
        <f t="shared" ca="1" si="104"/>
        <v>-126.14810350076104</v>
      </c>
      <c r="C1059" s="17"/>
      <c r="D1059" t="str">
        <f>RTD("tos.rtd", , "OPEN_INT", "."&amp;Table133456[[#This Row],[Ticker]]&amp;Table133456[[#This Row],[Expiry]]&amp;""&amp;"C"&amp;Table133456[[#This Row],[Spot]]+Table133456[[#This Row],[step]])</f>
        <v>N/A</v>
      </c>
      <c r="E105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9" s="17" cm="1">
        <f t="array" aca="1" ref="H1059" ca="1">IndividualLegIVCore($A$4, Table133456[[#This Row],[Strike]], 0.0411, Table133456[[#This Row],[T]], ((Table133456[[#This Row],[BIDC]]+Table133456[[#This Row],[ASKC]])/2), TRUE)</f>
        <v>0.01</v>
      </c>
      <c r="I1059" t="b">
        <f>IF(     ISNUMBER(Table133456[[#This Row],[Strike]]),RTD("tos.rtd", , "BID", "."&amp;Table133456[[#This Row],[Ticker]]&amp;Table133456[[#This Row],[Expiry]]&amp;""&amp;"C"&amp;Table133456[[#This Row],[Strike]]))</f>
        <v>0</v>
      </c>
      <c r="J1059" t="b">
        <f>IF(     ISNUMBER(Table133456[[#This Row],[Strike]]),RTD("tos.rtd", , "ASK", "."&amp;Table133456[[#This Row],[Ticker]]&amp;Table133456[[#This Row],[Expiry]]&amp;""&amp;"C"&amp;Table133456[[#This Row],[Strike]]))</f>
        <v>0</v>
      </c>
      <c r="K1059" s="17"/>
      <c r="M1059" s="1">
        <f t="shared" si="105"/>
        <v>0</v>
      </c>
      <c r="N1059" t="b">
        <f t="shared" si="106"/>
        <v>0</v>
      </c>
      <c r="P1059" s="17" cm="1">
        <f t="array" aca="1" ref="P1059" ca="1">IndividualLegIVCore($A$4, Table133456[[#This Row],[Strike]], 0.0411, Table133456[[#This Row],[T]], ((Table133456[[#This Row],[BIDP]]+Table133456[[#This Row],[ASKP]])/2), FALSE)</f>
        <v>0.01</v>
      </c>
      <c r="Q1059" t="b">
        <f>IF(     ISNUMBER(Table133456[[#This Row],[Strike]]),RTD("tos.rtd", , "BID", "."&amp;Table133456[[#This Row],[Ticker]]&amp;Table133456[[#This Row],[Expiry]]&amp;""&amp;"P"&amp;Table133456[[#This Row],[Strike]]))</f>
        <v>0</v>
      </c>
      <c r="R1059" t="b">
        <f>IF(     ISNUMBER(Table133456[[#This Row],[Strike]]),RTD("tos.rtd", , "ASK", "."&amp;Table133456[[#This Row],[Ticker]]&amp;Table133456[[#This Row],[Expiry]]&amp;""&amp;"P"&amp;Table133456[[#This Row],[Strike]]))</f>
        <v>0</v>
      </c>
      <c r="S1059" s="17"/>
      <c r="T105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9" s="19">
        <f>-33 * IF($M$1="NDX", 10, IF(OR($M$1="SPX", $M$1="RUT"), 2, 1))</f>
        <v>-66</v>
      </c>
      <c r="Z1059">
        <f ca="1">IFERROR(Table133456[[#This Row],[call gamma]]*(Table133456[[#This Row],[Open.Int]])*$A$4^2,0)</f>
        <v>0</v>
      </c>
      <c r="AA1059">
        <f ca="1">IFERROR(((Table133456[[#This Row],[Open.Int8]])*Table133456[[#This Row],[Put gamma]])*-1*$A$4^2,0)</f>
        <v>0</v>
      </c>
      <c r="AB1059">
        <f ca="1">(Table133456[[#This Row],[Call Gex]]+Table133456[[#This Row],[Put Gex]])</f>
        <v>0</v>
      </c>
      <c r="AC1059">
        <f ca="1">Table133456[[#This Row],[put delta adj]]+Table133456[[#This Row],[call delta adj]]</f>
        <v>0</v>
      </c>
      <c r="AD1059">
        <f ca="1">Table133456[[#This Row],[Put Gex]]*Table133456[[#This Row],[DeltaP]]*-1</f>
        <v>0</v>
      </c>
      <c r="AE1059">
        <f ca="1">Table133456[[#This Row],[Call Gex]]*Table133456[[#This Row],[DeltaC]]</f>
        <v>0</v>
      </c>
      <c r="AF1059">
        <f>IF(Table133456[[#This Row],[DeltaC]]-ABS(Table133456[[#This Row],[DeltaP]])="0","0.01",Table133456[[#This Row],[DeltaC]]-ABS(Table133456[[#This Row],[DeltaP]]))</f>
        <v>0</v>
      </c>
      <c r="AG105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9" t="e">
        <f ca="1">(EXP(-(AG1059^2)/2)/SQRT(2*PI())*EXP(0*SQRT(Table133456[[#This Row],[T]]))/$A$4*18%*SQRT(SQRT(Table133456[[#This Row],[T]])))</f>
        <v>#DIV/0!</v>
      </c>
      <c r="AJ1059" t="e">
        <f ca="1">(EXP(-(AH1059^2)/2)/SQRT(2*PI())*EXP(0*SQRT(Table133456[[#This Row],[T]]))/$A$4*18%*SQRT(SQRT(Table133456[[#This Row],[T]])))</f>
        <v>#DIV/0!</v>
      </c>
      <c r="AK1059" t="e">
        <f ca="1">Table133456[[#This Row],[Call D1]]-Table133456[[#This Row],[IV Calc C]]*SQRT(Table133456[[#This Row],[T]])</f>
        <v>#DIV/0!</v>
      </c>
      <c r="AL1059" t="e">
        <f ca="1">Table133456[[#This Row],[Put D1]]-Table133456[[#This Row],[IV Calc P]]*SQRT(Table133456[[#This Row],[T]])</f>
        <v>#DIV/0!</v>
      </c>
      <c r="AM1059" t="e">
        <f ca="1">EXP(-0.5*Table133456[[#This Row],[Call D1]]^2)/SQRT(2*PI())</f>
        <v>#DIV/0!</v>
      </c>
      <c r="AN1059" t="e">
        <f ca="1">EXP(-0.5*Table133456[[#This Row],[Put D1]]^2)/SQRT(2*PI())</f>
        <v>#DIV/0!</v>
      </c>
      <c r="AO105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9">
        <f ca="1">((Table133456[[#This Row],[call vanna]]+Table133456[[#This Row],[put vanna]])*$A$4)</f>
        <v>0</v>
      </c>
      <c r="AR105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9" s="9" t="str" cm="1">
        <f t="array" ref="AT1059">_xlfn.IFS(     $M$1="SPX","SPXW",     $M$1="RUT","RUTW",  $M$1="NDX","NDXP",   TRUE,$M$1 )</f>
        <v>SPXW</v>
      </c>
      <c r="AU1059" s="2">
        <f t="shared" si="107"/>
        <v>6915</v>
      </c>
      <c r="AV1059" t="str">
        <f t="shared" si="108"/>
        <v>000100</v>
      </c>
      <c r="AY105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9">
        <f>((Table133456[[#This Row],[High C]]+Table133456[[#This Row],[Low C]])/2)*Table133456[[#This Row],[gammac]]*Table133456[[#This Row],[Volume]]</f>
        <v>0</v>
      </c>
      <c r="BD1059">
        <f>((Table133456[[#This Row],[High P]]+Table133456[[#This Row],[Low P]])/2)*Table133456[[#This Row],[gammap]]*Table133456[[#This Row],[Volume9]]*-1</f>
        <v>0</v>
      </c>
      <c r="BE1059">
        <f>(Table133456[[#This Row],[SgammaC]]+Table133456[[#This Row],[SgammaP]])*$A$4*-100</f>
        <v>0</v>
      </c>
      <c r="BF1059">
        <f>Table133456[[#This Row],[DEXc]]+Table133456[[#This Row],[DEXp]]</f>
        <v>0</v>
      </c>
      <c r="BG1059">
        <f>IFERROR(Table133456[[#This Row],[DeltaC]]*Table133456[[#This Row],[Open.Int]]*$A$4,0)</f>
        <v>0</v>
      </c>
      <c r="BH1059">
        <f>IFERROR(Table133456[[#This Row],[DeltaP]]*Table133456[[#This Row],[Open.Int8]]*$A$4,0)</f>
        <v>0</v>
      </c>
      <c r="BI105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9">
        <f ca="1">Table133456[[#This Row],[charmc]]+Table133456[[#This Row],[charmp]]</f>
        <v>0</v>
      </c>
      <c r="BL105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9" s="78">
        <f ca="1">Table133456[[#This Row],[call helper]]+Table133456[[#This Row],[put helper]]</f>
        <v>0</v>
      </c>
      <c r="BP1059" t="str">
        <f>RTD("tos.rtd", , "STRIKE", "."&amp;Table133456[[#This Row],[Ticker]]&amp;Table133456[[#This Row],[Expiry]]&amp;""&amp;"C"&amp;Table133456[[#This Row],[Spot]]+Table133456[[#This Row],[step]])</f>
        <v>N/A</v>
      </c>
    </row>
    <row r="1060" spans="1:68" x14ac:dyDescent="0.25">
      <c r="A1060" s="14">
        <f t="shared" ca="1" si="104"/>
        <v>-126.14810350076104</v>
      </c>
      <c r="C1060" s="17"/>
      <c r="D1060" t="str">
        <f>RTD("tos.rtd", , "OPEN_INT", "."&amp;Table133456[[#This Row],[Ticker]]&amp;Table133456[[#This Row],[Expiry]]&amp;""&amp;"C"&amp;Table133456[[#This Row],[Spot]]+Table133456[[#This Row],[step]])</f>
        <v>N/A</v>
      </c>
      <c r="E106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0" s="17" cm="1">
        <f t="array" aca="1" ref="H1060" ca="1">IndividualLegIVCore($A$4, Table133456[[#This Row],[Strike]], 0.0411, Table133456[[#This Row],[T]], ((Table133456[[#This Row],[BIDC]]+Table133456[[#This Row],[ASKC]])/2), TRUE)</f>
        <v>0.01</v>
      </c>
      <c r="I1060" t="b">
        <f>IF(     ISNUMBER(Table133456[[#This Row],[Strike]]),RTD("tos.rtd", , "BID", "."&amp;Table133456[[#This Row],[Ticker]]&amp;Table133456[[#This Row],[Expiry]]&amp;""&amp;"C"&amp;Table133456[[#This Row],[Strike]]))</f>
        <v>0</v>
      </c>
      <c r="J1060" t="b">
        <f>IF(     ISNUMBER(Table133456[[#This Row],[Strike]]),RTD("tos.rtd", , "ASK", "."&amp;Table133456[[#This Row],[Ticker]]&amp;Table133456[[#This Row],[Expiry]]&amp;""&amp;"C"&amp;Table133456[[#This Row],[Strike]]))</f>
        <v>0</v>
      </c>
      <c r="K1060" s="17"/>
      <c r="M1060" s="1">
        <f t="shared" si="105"/>
        <v>0</v>
      </c>
      <c r="N1060" t="b">
        <f t="shared" si="106"/>
        <v>0</v>
      </c>
      <c r="P1060" s="17" cm="1">
        <f t="array" aca="1" ref="P1060" ca="1">IndividualLegIVCore($A$4, Table133456[[#This Row],[Strike]], 0.0411, Table133456[[#This Row],[T]], ((Table133456[[#This Row],[BIDP]]+Table133456[[#This Row],[ASKP]])/2), FALSE)</f>
        <v>0.01</v>
      </c>
      <c r="Q1060" t="b">
        <f>IF(     ISNUMBER(Table133456[[#This Row],[Strike]]),RTD("tos.rtd", , "BID", "."&amp;Table133456[[#This Row],[Ticker]]&amp;Table133456[[#This Row],[Expiry]]&amp;""&amp;"P"&amp;Table133456[[#This Row],[Strike]]))</f>
        <v>0</v>
      </c>
      <c r="R1060" t="b">
        <f>IF(     ISNUMBER(Table133456[[#This Row],[Strike]]),RTD("tos.rtd", , "ASK", "."&amp;Table133456[[#This Row],[Ticker]]&amp;Table133456[[#This Row],[Expiry]]&amp;""&amp;"P"&amp;Table133456[[#This Row],[Strike]]))</f>
        <v>0</v>
      </c>
      <c r="S1060" s="17"/>
      <c r="T106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0" s="19">
        <f>-32.5 * IF($M$1="NDX", 10, IF(OR($M$1="SPX", $M$1="RUT"), 2, 1))</f>
        <v>-65</v>
      </c>
      <c r="Z1060">
        <f ca="1">IFERROR(Table133456[[#This Row],[call gamma]]*(Table133456[[#This Row],[Open.Int]])*$A$4^2,0)</f>
        <v>0</v>
      </c>
      <c r="AA1060">
        <f ca="1">IFERROR(((Table133456[[#This Row],[Open.Int8]])*Table133456[[#This Row],[Put gamma]])*-1*$A$4^2,0)</f>
        <v>0</v>
      </c>
      <c r="AB1060">
        <f ca="1">(Table133456[[#This Row],[Call Gex]]+Table133456[[#This Row],[Put Gex]])</f>
        <v>0</v>
      </c>
      <c r="AC1060">
        <f ca="1">Table133456[[#This Row],[put delta adj]]+Table133456[[#This Row],[call delta adj]]</f>
        <v>0</v>
      </c>
      <c r="AD1060">
        <f ca="1">Table133456[[#This Row],[Put Gex]]*Table133456[[#This Row],[DeltaP]]*-1</f>
        <v>0</v>
      </c>
      <c r="AE1060">
        <f ca="1">Table133456[[#This Row],[Call Gex]]*Table133456[[#This Row],[DeltaC]]</f>
        <v>0</v>
      </c>
      <c r="AF1060">
        <f>IF(Table133456[[#This Row],[DeltaC]]-ABS(Table133456[[#This Row],[DeltaP]])="0","0.01",Table133456[[#This Row],[DeltaC]]-ABS(Table133456[[#This Row],[DeltaP]]))</f>
        <v>0</v>
      </c>
      <c r="AG106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0" t="e">
        <f ca="1">(EXP(-(AG1060^2)/2)/SQRT(2*PI())*EXP(0*SQRT(Table133456[[#This Row],[T]]))/$A$4*18%*SQRT(SQRT(Table133456[[#This Row],[T]])))</f>
        <v>#DIV/0!</v>
      </c>
      <c r="AJ1060" t="e">
        <f ca="1">(EXP(-(AH1060^2)/2)/SQRT(2*PI())*EXP(0*SQRT(Table133456[[#This Row],[T]]))/$A$4*18%*SQRT(SQRT(Table133456[[#This Row],[T]])))</f>
        <v>#DIV/0!</v>
      </c>
      <c r="AK1060" t="e">
        <f ca="1">Table133456[[#This Row],[Call D1]]-Table133456[[#This Row],[IV Calc C]]*SQRT(Table133456[[#This Row],[T]])</f>
        <v>#DIV/0!</v>
      </c>
      <c r="AL1060" t="e">
        <f ca="1">Table133456[[#This Row],[Put D1]]-Table133456[[#This Row],[IV Calc P]]*SQRT(Table133456[[#This Row],[T]])</f>
        <v>#DIV/0!</v>
      </c>
      <c r="AM1060" t="e">
        <f ca="1">EXP(-0.5*Table133456[[#This Row],[Call D1]]^2)/SQRT(2*PI())</f>
        <v>#DIV/0!</v>
      </c>
      <c r="AN1060" t="e">
        <f ca="1">EXP(-0.5*Table133456[[#This Row],[Put D1]]^2)/SQRT(2*PI())</f>
        <v>#DIV/0!</v>
      </c>
      <c r="AO106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0">
        <f ca="1">((Table133456[[#This Row],[call vanna]]+Table133456[[#This Row],[put vanna]])*$A$4)</f>
        <v>0</v>
      </c>
      <c r="AR106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0" s="9" t="str" cm="1">
        <f t="array" ref="AT1060">_xlfn.IFS(     $M$1="SPX","SPXW",     $M$1="RUT","RUTW",  $M$1="NDX","NDXP",   TRUE,$M$1 )</f>
        <v>SPXW</v>
      </c>
      <c r="AU1060" s="2">
        <f t="shared" si="107"/>
        <v>6915</v>
      </c>
      <c r="AV1060" t="str">
        <f t="shared" si="108"/>
        <v>000100</v>
      </c>
      <c r="AY106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0">
        <f>((Table133456[[#This Row],[High C]]+Table133456[[#This Row],[Low C]])/2)*Table133456[[#This Row],[gammac]]*Table133456[[#This Row],[Volume]]</f>
        <v>0</v>
      </c>
      <c r="BD1060">
        <f>((Table133456[[#This Row],[High P]]+Table133456[[#This Row],[Low P]])/2)*Table133456[[#This Row],[gammap]]*Table133456[[#This Row],[Volume9]]*-1</f>
        <v>0</v>
      </c>
      <c r="BE1060">
        <f>(Table133456[[#This Row],[SgammaC]]+Table133456[[#This Row],[SgammaP]])*$A$4*-100</f>
        <v>0</v>
      </c>
      <c r="BF1060">
        <f>Table133456[[#This Row],[DEXc]]+Table133456[[#This Row],[DEXp]]</f>
        <v>0</v>
      </c>
      <c r="BG1060">
        <f>IFERROR(Table133456[[#This Row],[DeltaC]]*Table133456[[#This Row],[Open.Int]]*$A$4,0)</f>
        <v>0</v>
      </c>
      <c r="BH1060">
        <f>IFERROR(Table133456[[#This Row],[DeltaP]]*Table133456[[#This Row],[Open.Int8]]*$A$4,0)</f>
        <v>0</v>
      </c>
      <c r="BI106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0">
        <f ca="1">Table133456[[#This Row],[charmc]]+Table133456[[#This Row],[charmp]]</f>
        <v>0</v>
      </c>
      <c r="BL106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0" s="78">
        <f ca="1">Table133456[[#This Row],[call helper]]+Table133456[[#This Row],[put helper]]</f>
        <v>0</v>
      </c>
      <c r="BP1060" t="str">
        <f>RTD("tos.rtd", , "STRIKE", "."&amp;Table133456[[#This Row],[Ticker]]&amp;Table133456[[#This Row],[Expiry]]&amp;""&amp;"C"&amp;Table133456[[#This Row],[Spot]]+Table133456[[#This Row],[step]])</f>
        <v>N/A</v>
      </c>
    </row>
    <row r="1061" spans="1:68" x14ac:dyDescent="0.25">
      <c r="A1061" s="14">
        <f t="shared" ca="1" si="104"/>
        <v>-126.14810350076104</v>
      </c>
      <c r="C1061" s="17"/>
      <c r="D1061" t="str">
        <f>RTD("tos.rtd", , "OPEN_INT", "."&amp;Table133456[[#This Row],[Ticker]]&amp;Table133456[[#This Row],[Expiry]]&amp;""&amp;"C"&amp;Table133456[[#This Row],[Spot]]+Table133456[[#This Row],[step]])</f>
        <v>N/A</v>
      </c>
      <c r="E106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1" s="17" cm="1">
        <f t="array" aca="1" ref="H1061" ca="1">IndividualLegIVCore($A$4, Table133456[[#This Row],[Strike]], 0.0411, Table133456[[#This Row],[T]], ((Table133456[[#This Row],[BIDC]]+Table133456[[#This Row],[ASKC]])/2), TRUE)</f>
        <v>0.01</v>
      </c>
      <c r="I1061" t="b">
        <f>IF(     ISNUMBER(Table133456[[#This Row],[Strike]]),RTD("tos.rtd", , "BID", "."&amp;Table133456[[#This Row],[Ticker]]&amp;Table133456[[#This Row],[Expiry]]&amp;""&amp;"C"&amp;Table133456[[#This Row],[Strike]]))</f>
        <v>0</v>
      </c>
      <c r="J1061" t="b">
        <f>IF(     ISNUMBER(Table133456[[#This Row],[Strike]]),RTD("tos.rtd", , "ASK", "."&amp;Table133456[[#This Row],[Ticker]]&amp;Table133456[[#This Row],[Expiry]]&amp;""&amp;"C"&amp;Table133456[[#This Row],[Strike]]))</f>
        <v>0</v>
      </c>
      <c r="K1061" s="17"/>
      <c r="M1061" s="1">
        <f t="shared" si="105"/>
        <v>0</v>
      </c>
      <c r="N1061" t="b">
        <f t="shared" si="106"/>
        <v>0</v>
      </c>
      <c r="P1061" s="17" cm="1">
        <f t="array" aca="1" ref="P1061" ca="1">IndividualLegIVCore($A$4, Table133456[[#This Row],[Strike]], 0.0411, Table133456[[#This Row],[T]], ((Table133456[[#This Row],[BIDP]]+Table133456[[#This Row],[ASKP]])/2), FALSE)</f>
        <v>0.01</v>
      </c>
      <c r="Q1061" t="b">
        <f>IF(     ISNUMBER(Table133456[[#This Row],[Strike]]),RTD("tos.rtd", , "BID", "."&amp;Table133456[[#This Row],[Ticker]]&amp;Table133456[[#This Row],[Expiry]]&amp;""&amp;"P"&amp;Table133456[[#This Row],[Strike]]))</f>
        <v>0</v>
      </c>
      <c r="R1061" t="b">
        <f>IF(     ISNUMBER(Table133456[[#This Row],[Strike]]),RTD("tos.rtd", , "ASK", "."&amp;Table133456[[#This Row],[Ticker]]&amp;Table133456[[#This Row],[Expiry]]&amp;""&amp;"P"&amp;Table133456[[#This Row],[Strike]]))</f>
        <v>0</v>
      </c>
      <c r="S1061" s="17"/>
      <c r="T106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1" s="19">
        <f>-32 * IF($M$1="NDX", 10, IF(OR($M$1="SPX", $M$1="RUT"), 2, 1))</f>
        <v>-64</v>
      </c>
      <c r="Z1061">
        <f ca="1">IFERROR(Table133456[[#This Row],[call gamma]]*(Table133456[[#This Row],[Open.Int]])*$A$4^2,0)</f>
        <v>0</v>
      </c>
      <c r="AA1061">
        <f ca="1">IFERROR(((Table133456[[#This Row],[Open.Int8]])*Table133456[[#This Row],[Put gamma]])*-1*$A$4^2,0)</f>
        <v>0</v>
      </c>
      <c r="AB1061">
        <f ca="1">(Table133456[[#This Row],[Call Gex]]+Table133456[[#This Row],[Put Gex]])</f>
        <v>0</v>
      </c>
      <c r="AC1061">
        <f ca="1">Table133456[[#This Row],[put delta adj]]+Table133456[[#This Row],[call delta adj]]</f>
        <v>0</v>
      </c>
      <c r="AD1061">
        <f ca="1">Table133456[[#This Row],[Put Gex]]*Table133456[[#This Row],[DeltaP]]*-1</f>
        <v>0</v>
      </c>
      <c r="AE1061">
        <f ca="1">Table133456[[#This Row],[Call Gex]]*Table133456[[#This Row],[DeltaC]]</f>
        <v>0</v>
      </c>
      <c r="AF1061">
        <f>IF(Table133456[[#This Row],[DeltaC]]-ABS(Table133456[[#This Row],[DeltaP]])="0","0.01",Table133456[[#This Row],[DeltaC]]-ABS(Table133456[[#This Row],[DeltaP]]))</f>
        <v>0</v>
      </c>
      <c r="AG106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1" t="e">
        <f ca="1">(EXP(-(AG1061^2)/2)/SQRT(2*PI())*EXP(0*SQRT(Table133456[[#This Row],[T]]))/$A$4*18%*SQRT(SQRT(Table133456[[#This Row],[T]])))</f>
        <v>#DIV/0!</v>
      </c>
      <c r="AJ1061" t="e">
        <f ca="1">(EXP(-(AH1061^2)/2)/SQRT(2*PI())*EXP(0*SQRT(Table133456[[#This Row],[T]]))/$A$4*18%*SQRT(SQRT(Table133456[[#This Row],[T]])))</f>
        <v>#DIV/0!</v>
      </c>
      <c r="AK1061" t="e">
        <f ca="1">Table133456[[#This Row],[Call D1]]-Table133456[[#This Row],[IV Calc C]]*SQRT(Table133456[[#This Row],[T]])</f>
        <v>#DIV/0!</v>
      </c>
      <c r="AL1061" t="e">
        <f ca="1">Table133456[[#This Row],[Put D1]]-Table133456[[#This Row],[IV Calc P]]*SQRT(Table133456[[#This Row],[T]])</f>
        <v>#DIV/0!</v>
      </c>
      <c r="AM1061" t="e">
        <f ca="1">EXP(-0.5*Table133456[[#This Row],[Call D1]]^2)/SQRT(2*PI())</f>
        <v>#DIV/0!</v>
      </c>
      <c r="AN1061" t="e">
        <f ca="1">EXP(-0.5*Table133456[[#This Row],[Put D1]]^2)/SQRT(2*PI())</f>
        <v>#DIV/0!</v>
      </c>
      <c r="AO106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1">
        <f ca="1">((Table133456[[#This Row],[call vanna]]+Table133456[[#This Row],[put vanna]])*$A$4)</f>
        <v>0</v>
      </c>
      <c r="AR106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1" s="9" t="str" cm="1">
        <f t="array" ref="AT1061">_xlfn.IFS(     $M$1="SPX","SPXW",     $M$1="RUT","RUTW",  $M$1="NDX","NDXP",   TRUE,$M$1 )</f>
        <v>SPXW</v>
      </c>
      <c r="AU1061" s="2">
        <f t="shared" si="107"/>
        <v>6915</v>
      </c>
      <c r="AV1061" t="str">
        <f t="shared" si="108"/>
        <v>000100</v>
      </c>
      <c r="AY106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1">
        <f>((Table133456[[#This Row],[High C]]+Table133456[[#This Row],[Low C]])/2)*Table133456[[#This Row],[gammac]]*Table133456[[#This Row],[Volume]]</f>
        <v>0</v>
      </c>
      <c r="BD1061">
        <f>((Table133456[[#This Row],[High P]]+Table133456[[#This Row],[Low P]])/2)*Table133456[[#This Row],[gammap]]*Table133456[[#This Row],[Volume9]]*-1</f>
        <v>0</v>
      </c>
      <c r="BE1061">
        <f>(Table133456[[#This Row],[SgammaC]]+Table133456[[#This Row],[SgammaP]])*$A$4*-100</f>
        <v>0</v>
      </c>
      <c r="BF1061">
        <f>Table133456[[#This Row],[DEXc]]+Table133456[[#This Row],[DEXp]]</f>
        <v>0</v>
      </c>
      <c r="BG1061">
        <f>IFERROR(Table133456[[#This Row],[DeltaC]]*Table133456[[#This Row],[Open.Int]]*$A$4,0)</f>
        <v>0</v>
      </c>
      <c r="BH1061">
        <f>IFERROR(Table133456[[#This Row],[DeltaP]]*Table133456[[#This Row],[Open.Int8]]*$A$4,0)</f>
        <v>0</v>
      </c>
      <c r="BI106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1">
        <f ca="1">Table133456[[#This Row],[charmc]]+Table133456[[#This Row],[charmp]]</f>
        <v>0</v>
      </c>
      <c r="BL106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1" s="78">
        <f ca="1">Table133456[[#This Row],[call helper]]+Table133456[[#This Row],[put helper]]</f>
        <v>0</v>
      </c>
      <c r="BP1061" t="str">
        <f>RTD("tos.rtd", , "STRIKE", "."&amp;Table133456[[#This Row],[Ticker]]&amp;Table133456[[#This Row],[Expiry]]&amp;""&amp;"C"&amp;Table133456[[#This Row],[Spot]]+Table133456[[#This Row],[step]])</f>
        <v>N/A</v>
      </c>
    </row>
    <row r="1062" spans="1:68" x14ac:dyDescent="0.25">
      <c r="A1062" s="14">
        <f t="shared" ca="1" si="104"/>
        <v>-126.14810350076104</v>
      </c>
      <c r="C1062" s="17"/>
      <c r="D1062" t="str">
        <f>RTD("tos.rtd", , "OPEN_INT", "."&amp;Table133456[[#This Row],[Ticker]]&amp;Table133456[[#This Row],[Expiry]]&amp;""&amp;"C"&amp;Table133456[[#This Row],[Spot]]+Table133456[[#This Row],[step]])</f>
        <v>N/A</v>
      </c>
      <c r="E106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2" s="17" cm="1">
        <f t="array" aca="1" ref="H1062" ca="1">IndividualLegIVCore($A$4, Table133456[[#This Row],[Strike]], 0.0411, Table133456[[#This Row],[T]], ((Table133456[[#This Row],[BIDC]]+Table133456[[#This Row],[ASKC]])/2), TRUE)</f>
        <v>0.01</v>
      </c>
      <c r="I1062" t="b">
        <f>IF(     ISNUMBER(Table133456[[#This Row],[Strike]]),RTD("tos.rtd", , "BID", "."&amp;Table133456[[#This Row],[Ticker]]&amp;Table133456[[#This Row],[Expiry]]&amp;""&amp;"C"&amp;Table133456[[#This Row],[Strike]]))</f>
        <v>0</v>
      </c>
      <c r="J1062" t="b">
        <f>IF(     ISNUMBER(Table133456[[#This Row],[Strike]]),RTD("tos.rtd", , "ASK", "."&amp;Table133456[[#This Row],[Ticker]]&amp;Table133456[[#This Row],[Expiry]]&amp;""&amp;"C"&amp;Table133456[[#This Row],[Strike]]))</f>
        <v>0</v>
      </c>
      <c r="K1062" s="17"/>
      <c r="M1062" s="1">
        <f t="shared" si="105"/>
        <v>0</v>
      </c>
      <c r="N1062" t="b">
        <f t="shared" si="106"/>
        <v>0</v>
      </c>
      <c r="P1062" s="17" cm="1">
        <f t="array" aca="1" ref="P1062" ca="1">IndividualLegIVCore($A$4, Table133456[[#This Row],[Strike]], 0.0411, Table133456[[#This Row],[T]], ((Table133456[[#This Row],[BIDP]]+Table133456[[#This Row],[ASKP]])/2), FALSE)</f>
        <v>0.01</v>
      </c>
      <c r="Q1062" t="b">
        <f>IF(     ISNUMBER(Table133456[[#This Row],[Strike]]),RTD("tos.rtd", , "BID", "."&amp;Table133456[[#This Row],[Ticker]]&amp;Table133456[[#This Row],[Expiry]]&amp;""&amp;"P"&amp;Table133456[[#This Row],[Strike]]))</f>
        <v>0</v>
      </c>
      <c r="R1062" t="b">
        <f>IF(     ISNUMBER(Table133456[[#This Row],[Strike]]),RTD("tos.rtd", , "ASK", "."&amp;Table133456[[#This Row],[Ticker]]&amp;Table133456[[#This Row],[Expiry]]&amp;""&amp;"P"&amp;Table133456[[#This Row],[Strike]]))</f>
        <v>0</v>
      </c>
      <c r="S1062" s="17"/>
      <c r="T106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2" s="19">
        <f>-31.5 * IF($M$1="NDX", 10, IF(OR($M$1="SPX", $M$1="RUT"), 2, 1))</f>
        <v>-63</v>
      </c>
      <c r="Z1062">
        <f ca="1">IFERROR(Table133456[[#This Row],[call gamma]]*(Table133456[[#This Row],[Open.Int]])*$A$4^2,0)</f>
        <v>0</v>
      </c>
      <c r="AA1062">
        <f ca="1">IFERROR(((Table133456[[#This Row],[Open.Int8]])*Table133456[[#This Row],[Put gamma]])*-1*$A$4^2,0)</f>
        <v>0</v>
      </c>
      <c r="AB1062">
        <f ca="1">(Table133456[[#This Row],[Call Gex]]+Table133456[[#This Row],[Put Gex]])</f>
        <v>0</v>
      </c>
      <c r="AC1062">
        <f ca="1">Table133456[[#This Row],[put delta adj]]+Table133456[[#This Row],[call delta adj]]</f>
        <v>0</v>
      </c>
      <c r="AD1062">
        <f ca="1">Table133456[[#This Row],[Put Gex]]*Table133456[[#This Row],[DeltaP]]*-1</f>
        <v>0</v>
      </c>
      <c r="AE1062">
        <f ca="1">Table133456[[#This Row],[Call Gex]]*Table133456[[#This Row],[DeltaC]]</f>
        <v>0</v>
      </c>
      <c r="AF1062">
        <f>IF(Table133456[[#This Row],[DeltaC]]-ABS(Table133456[[#This Row],[DeltaP]])="0","0.01",Table133456[[#This Row],[DeltaC]]-ABS(Table133456[[#This Row],[DeltaP]]))</f>
        <v>0</v>
      </c>
      <c r="AG106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2" t="e">
        <f ca="1">(EXP(-(AG1062^2)/2)/SQRT(2*PI())*EXP(0*SQRT(Table133456[[#This Row],[T]]))/$A$4*18%*SQRT(SQRT(Table133456[[#This Row],[T]])))</f>
        <v>#DIV/0!</v>
      </c>
      <c r="AJ1062" t="e">
        <f ca="1">(EXP(-(AH1062^2)/2)/SQRT(2*PI())*EXP(0*SQRT(Table133456[[#This Row],[T]]))/$A$4*18%*SQRT(SQRT(Table133456[[#This Row],[T]])))</f>
        <v>#DIV/0!</v>
      </c>
      <c r="AK1062" t="e">
        <f ca="1">Table133456[[#This Row],[Call D1]]-Table133456[[#This Row],[IV Calc C]]*SQRT(Table133456[[#This Row],[T]])</f>
        <v>#DIV/0!</v>
      </c>
      <c r="AL1062" t="e">
        <f ca="1">Table133456[[#This Row],[Put D1]]-Table133456[[#This Row],[IV Calc P]]*SQRT(Table133456[[#This Row],[T]])</f>
        <v>#DIV/0!</v>
      </c>
      <c r="AM1062" t="e">
        <f ca="1">EXP(-0.5*Table133456[[#This Row],[Call D1]]^2)/SQRT(2*PI())</f>
        <v>#DIV/0!</v>
      </c>
      <c r="AN1062" t="e">
        <f ca="1">EXP(-0.5*Table133456[[#This Row],[Put D1]]^2)/SQRT(2*PI())</f>
        <v>#DIV/0!</v>
      </c>
      <c r="AO106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2">
        <f ca="1">((Table133456[[#This Row],[call vanna]]+Table133456[[#This Row],[put vanna]])*$A$4)</f>
        <v>0</v>
      </c>
      <c r="AR106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2" s="9" t="str" cm="1">
        <f t="array" ref="AT1062">_xlfn.IFS(     $M$1="SPX","SPXW",     $M$1="RUT","RUTW",  $M$1="NDX","NDXP",   TRUE,$M$1 )</f>
        <v>SPXW</v>
      </c>
      <c r="AU1062" s="2">
        <f t="shared" si="107"/>
        <v>6915</v>
      </c>
      <c r="AV1062" t="str">
        <f t="shared" si="108"/>
        <v>000100</v>
      </c>
      <c r="AY106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2">
        <f>((Table133456[[#This Row],[High C]]+Table133456[[#This Row],[Low C]])/2)*Table133456[[#This Row],[gammac]]*Table133456[[#This Row],[Volume]]</f>
        <v>0</v>
      </c>
      <c r="BD1062">
        <f>((Table133456[[#This Row],[High P]]+Table133456[[#This Row],[Low P]])/2)*Table133456[[#This Row],[gammap]]*Table133456[[#This Row],[Volume9]]*-1</f>
        <v>0</v>
      </c>
      <c r="BE1062">
        <f>(Table133456[[#This Row],[SgammaC]]+Table133456[[#This Row],[SgammaP]])*$A$4*-100</f>
        <v>0</v>
      </c>
      <c r="BF1062">
        <f>Table133456[[#This Row],[DEXc]]+Table133456[[#This Row],[DEXp]]</f>
        <v>0</v>
      </c>
      <c r="BG1062">
        <f>IFERROR(Table133456[[#This Row],[DeltaC]]*Table133456[[#This Row],[Open.Int]]*$A$4,0)</f>
        <v>0</v>
      </c>
      <c r="BH1062">
        <f>IFERROR(Table133456[[#This Row],[DeltaP]]*Table133456[[#This Row],[Open.Int8]]*$A$4,0)</f>
        <v>0</v>
      </c>
      <c r="BI106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2">
        <f ca="1">Table133456[[#This Row],[charmc]]+Table133456[[#This Row],[charmp]]</f>
        <v>0</v>
      </c>
      <c r="BL106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2" s="78">
        <f ca="1">Table133456[[#This Row],[call helper]]+Table133456[[#This Row],[put helper]]</f>
        <v>0</v>
      </c>
      <c r="BP1062" t="str">
        <f>RTD("tos.rtd", , "STRIKE", "."&amp;Table133456[[#This Row],[Ticker]]&amp;Table133456[[#This Row],[Expiry]]&amp;""&amp;"C"&amp;Table133456[[#This Row],[Spot]]+Table133456[[#This Row],[step]])</f>
        <v>N/A</v>
      </c>
    </row>
    <row r="1063" spans="1:68" x14ac:dyDescent="0.25">
      <c r="A1063" s="14">
        <f t="shared" ca="1" si="104"/>
        <v>-126.14810350076104</v>
      </c>
      <c r="C1063" s="17"/>
      <c r="D1063" t="str">
        <f>RTD("tos.rtd", , "OPEN_INT", "."&amp;Table133456[[#This Row],[Ticker]]&amp;Table133456[[#This Row],[Expiry]]&amp;""&amp;"C"&amp;Table133456[[#This Row],[Spot]]+Table133456[[#This Row],[step]])</f>
        <v>N/A</v>
      </c>
      <c r="E106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3" s="17" cm="1">
        <f t="array" aca="1" ref="H1063" ca="1">IndividualLegIVCore($A$4, Table133456[[#This Row],[Strike]], 0.0411, Table133456[[#This Row],[T]], ((Table133456[[#This Row],[BIDC]]+Table133456[[#This Row],[ASKC]])/2), TRUE)</f>
        <v>0.01</v>
      </c>
      <c r="I1063" t="b">
        <f>IF(     ISNUMBER(Table133456[[#This Row],[Strike]]),RTD("tos.rtd", , "BID", "."&amp;Table133456[[#This Row],[Ticker]]&amp;Table133456[[#This Row],[Expiry]]&amp;""&amp;"C"&amp;Table133456[[#This Row],[Strike]]))</f>
        <v>0</v>
      </c>
      <c r="J1063" t="b">
        <f>IF(     ISNUMBER(Table133456[[#This Row],[Strike]]),RTD("tos.rtd", , "ASK", "."&amp;Table133456[[#This Row],[Ticker]]&amp;Table133456[[#This Row],[Expiry]]&amp;""&amp;"C"&amp;Table133456[[#This Row],[Strike]]))</f>
        <v>0</v>
      </c>
      <c r="K1063" s="17"/>
      <c r="M1063" s="1">
        <f t="shared" si="105"/>
        <v>0</v>
      </c>
      <c r="N1063" t="b">
        <f t="shared" si="106"/>
        <v>0</v>
      </c>
      <c r="P1063" s="17" cm="1">
        <f t="array" aca="1" ref="P1063" ca="1">IndividualLegIVCore($A$4, Table133456[[#This Row],[Strike]], 0.0411, Table133456[[#This Row],[T]], ((Table133456[[#This Row],[BIDP]]+Table133456[[#This Row],[ASKP]])/2), FALSE)</f>
        <v>0.01</v>
      </c>
      <c r="Q1063" t="b">
        <f>IF(     ISNUMBER(Table133456[[#This Row],[Strike]]),RTD("tos.rtd", , "BID", "."&amp;Table133456[[#This Row],[Ticker]]&amp;Table133456[[#This Row],[Expiry]]&amp;""&amp;"P"&amp;Table133456[[#This Row],[Strike]]))</f>
        <v>0</v>
      </c>
      <c r="R1063" t="b">
        <f>IF(     ISNUMBER(Table133456[[#This Row],[Strike]]),RTD("tos.rtd", , "ASK", "."&amp;Table133456[[#This Row],[Ticker]]&amp;Table133456[[#This Row],[Expiry]]&amp;""&amp;"P"&amp;Table133456[[#This Row],[Strike]]))</f>
        <v>0</v>
      </c>
      <c r="S1063" s="17"/>
      <c r="T106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3" s="19">
        <f>-31 * IF($M$1="NDX", 10, IF(OR($M$1="SPX", $M$1="RUT"), 2, 1))</f>
        <v>-62</v>
      </c>
      <c r="Z1063">
        <f ca="1">IFERROR(Table133456[[#This Row],[call gamma]]*(Table133456[[#This Row],[Open.Int]])*$A$4^2,0)</f>
        <v>0</v>
      </c>
      <c r="AA1063">
        <f ca="1">IFERROR(((Table133456[[#This Row],[Open.Int8]])*Table133456[[#This Row],[Put gamma]])*-1*$A$4^2,0)</f>
        <v>0</v>
      </c>
      <c r="AB1063">
        <f ca="1">(Table133456[[#This Row],[Call Gex]]+Table133456[[#This Row],[Put Gex]])</f>
        <v>0</v>
      </c>
      <c r="AC1063">
        <f ca="1">Table133456[[#This Row],[put delta adj]]+Table133456[[#This Row],[call delta adj]]</f>
        <v>0</v>
      </c>
      <c r="AD1063">
        <f ca="1">Table133456[[#This Row],[Put Gex]]*Table133456[[#This Row],[DeltaP]]*-1</f>
        <v>0</v>
      </c>
      <c r="AE1063">
        <f ca="1">Table133456[[#This Row],[Call Gex]]*Table133456[[#This Row],[DeltaC]]</f>
        <v>0</v>
      </c>
      <c r="AF1063">
        <f>IF(Table133456[[#This Row],[DeltaC]]-ABS(Table133456[[#This Row],[DeltaP]])="0","0.01",Table133456[[#This Row],[DeltaC]]-ABS(Table133456[[#This Row],[DeltaP]]))</f>
        <v>0</v>
      </c>
      <c r="AG106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3" t="e">
        <f ca="1">(EXP(-(AG1063^2)/2)/SQRT(2*PI())*EXP(0*SQRT(Table133456[[#This Row],[T]]))/$A$4*18%*SQRT(SQRT(Table133456[[#This Row],[T]])))</f>
        <v>#DIV/0!</v>
      </c>
      <c r="AJ1063" t="e">
        <f ca="1">(EXP(-(AH1063^2)/2)/SQRT(2*PI())*EXP(0*SQRT(Table133456[[#This Row],[T]]))/$A$4*18%*SQRT(SQRT(Table133456[[#This Row],[T]])))</f>
        <v>#DIV/0!</v>
      </c>
      <c r="AK1063" t="e">
        <f ca="1">Table133456[[#This Row],[Call D1]]-Table133456[[#This Row],[IV Calc C]]*SQRT(Table133456[[#This Row],[T]])</f>
        <v>#DIV/0!</v>
      </c>
      <c r="AL1063" t="e">
        <f ca="1">Table133456[[#This Row],[Put D1]]-Table133456[[#This Row],[IV Calc P]]*SQRT(Table133456[[#This Row],[T]])</f>
        <v>#DIV/0!</v>
      </c>
      <c r="AM1063" t="e">
        <f ca="1">EXP(-0.5*Table133456[[#This Row],[Call D1]]^2)/SQRT(2*PI())</f>
        <v>#DIV/0!</v>
      </c>
      <c r="AN1063" t="e">
        <f ca="1">EXP(-0.5*Table133456[[#This Row],[Put D1]]^2)/SQRT(2*PI())</f>
        <v>#DIV/0!</v>
      </c>
      <c r="AO106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3">
        <f ca="1">((Table133456[[#This Row],[call vanna]]+Table133456[[#This Row],[put vanna]])*$A$4)</f>
        <v>0</v>
      </c>
      <c r="AR106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3" s="9" t="str" cm="1">
        <f t="array" ref="AT1063">_xlfn.IFS(     $M$1="SPX","SPXW",     $M$1="RUT","RUTW",  $M$1="NDX","NDXP",   TRUE,$M$1 )</f>
        <v>SPXW</v>
      </c>
      <c r="AU1063" s="2">
        <f t="shared" si="107"/>
        <v>6915</v>
      </c>
      <c r="AV1063" t="str">
        <f t="shared" si="108"/>
        <v>000100</v>
      </c>
      <c r="AY106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3">
        <f>((Table133456[[#This Row],[High C]]+Table133456[[#This Row],[Low C]])/2)*Table133456[[#This Row],[gammac]]*Table133456[[#This Row],[Volume]]</f>
        <v>0</v>
      </c>
      <c r="BD1063">
        <f>((Table133456[[#This Row],[High P]]+Table133456[[#This Row],[Low P]])/2)*Table133456[[#This Row],[gammap]]*Table133456[[#This Row],[Volume9]]*-1</f>
        <v>0</v>
      </c>
      <c r="BE1063">
        <f>(Table133456[[#This Row],[SgammaC]]+Table133456[[#This Row],[SgammaP]])*$A$4*-100</f>
        <v>0</v>
      </c>
      <c r="BF1063">
        <f>Table133456[[#This Row],[DEXc]]+Table133456[[#This Row],[DEXp]]</f>
        <v>0</v>
      </c>
      <c r="BG1063">
        <f>IFERROR(Table133456[[#This Row],[DeltaC]]*Table133456[[#This Row],[Open.Int]]*$A$4,0)</f>
        <v>0</v>
      </c>
      <c r="BH1063">
        <f>IFERROR(Table133456[[#This Row],[DeltaP]]*Table133456[[#This Row],[Open.Int8]]*$A$4,0)</f>
        <v>0</v>
      </c>
      <c r="BI106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3">
        <f ca="1">Table133456[[#This Row],[charmc]]+Table133456[[#This Row],[charmp]]</f>
        <v>0</v>
      </c>
      <c r="BL106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3" s="78">
        <f ca="1">Table133456[[#This Row],[call helper]]+Table133456[[#This Row],[put helper]]</f>
        <v>0</v>
      </c>
      <c r="BP1063" t="str">
        <f>RTD("tos.rtd", , "STRIKE", "."&amp;Table133456[[#This Row],[Ticker]]&amp;Table133456[[#This Row],[Expiry]]&amp;""&amp;"C"&amp;Table133456[[#This Row],[Spot]]+Table133456[[#This Row],[step]])</f>
        <v>N/A</v>
      </c>
    </row>
    <row r="1064" spans="1:68" x14ac:dyDescent="0.25">
      <c r="A1064" s="14">
        <f t="shared" ca="1" si="104"/>
        <v>-126.14810350076104</v>
      </c>
      <c r="C1064" s="17"/>
      <c r="D1064" t="str">
        <f>RTD("tos.rtd", , "OPEN_INT", "."&amp;Table133456[[#This Row],[Ticker]]&amp;Table133456[[#This Row],[Expiry]]&amp;""&amp;"C"&amp;Table133456[[#This Row],[Spot]]+Table133456[[#This Row],[step]])</f>
        <v>N/A</v>
      </c>
      <c r="E106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4" s="17" cm="1">
        <f t="array" aca="1" ref="H1064" ca="1">IndividualLegIVCore($A$4, Table133456[[#This Row],[Strike]], 0.0411, Table133456[[#This Row],[T]], ((Table133456[[#This Row],[BIDC]]+Table133456[[#This Row],[ASKC]])/2), TRUE)</f>
        <v>0.01</v>
      </c>
      <c r="I1064" t="b">
        <f>IF(     ISNUMBER(Table133456[[#This Row],[Strike]]),RTD("tos.rtd", , "BID", "."&amp;Table133456[[#This Row],[Ticker]]&amp;Table133456[[#This Row],[Expiry]]&amp;""&amp;"C"&amp;Table133456[[#This Row],[Strike]]))</f>
        <v>0</v>
      </c>
      <c r="J1064" t="b">
        <f>IF(     ISNUMBER(Table133456[[#This Row],[Strike]]),RTD("tos.rtd", , "ASK", "."&amp;Table133456[[#This Row],[Ticker]]&amp;Table133456[[#This Row],[Expiry]]&amp;""&amp;"C"&amp;Table133456[[#This Row],[Strike]]))</f>
        <v>0</v>
      </c>
      <c r="K1064" s="17"/>
      <c r="M1064" s="1">
        <f t="shared" si="105"/>
        <v>0</v>
      </c>
      <c r="N1064" t="b">
        <f t="shared" si="106"/>
        <v>0</v>
      </c>
      <c r="P1064" s="17" cm="1">
        <f t="array" aca="1" ref="P1064" ca="1">IndividualLegIVCore($A$4, Table133456[[#This Row],[Strike]], 0.0411, Table133456[[#This Row],[T]], ((Table133456[[#This Row],[BIDP]]+Table133456[[#This Row],[ASKP]])/2), FALSE)</f>
        <v>0.01</v>
      </c>
      <c r="Q1064" t="b">
        <f>IF(     ISNUMBER(Table133456[[#This Row],[Strike]]),RTD("tos.rtd", , "BID", "."&amp;Table133456[[#This Row],[Ticker]]&amp;Table133456[[#This Row],[Expiry]]&amp;""&amp;"P"&amp;Table133456[[#This Row],[Strike]]))</f>
        <v>0</v>
      </c>
      <c r="R1064" t="b">
        <f>IF(     ISNUMBER(Table133456[[#This Row],[Strike]]),RTD("tos.rtd", , "ASK", "."&amp;Table133456[[#This Row],[Ticker]]&amp;Table133456[[#This Row],[Expiry]]&amp;""&amp;"P"&amp;Table133456[[#This Row],[Strike]]))</f>
        <v>0</v>
      </c>
      <c r="S1064" s="17"/>
      <c r="T106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4" s="19">
        <f>-30.5* IF($M$1="NDX", 10, IF(OR($M$1="SPX", $M$1="RUT"), 2, 1))</f>
        <v>-61</v>
      </c>
      <c r="Z1064">
        <f ca="1">IFERROR(Table133456[[#This Row],[call gamma]]*(Table133456[[#This Row],[Open.Int]])*$A$4^2,0)</f>
        <v>0</v>
      </c>
      <c r="AA1064">
        <f ca="1">IFERROR(((Table133456[[#This Row],[Open.Int8]])*Table133456[[#This Row],[Put gamma]])*-1*$A$4^2,0)</f>
        <v>0</v>
      </c>
      <c r="AB1064">
        <f ca="1">(Table133456[[#This Row],[Call Gex]]+Table133456[[#This Row],[Put Gex]])</f>
        <v>0</v>
      </c>
      <c r="AC1064">
        <f ca="1">Table133456[[#This Row],[put delta adj]]+Table133456[[#This Row],[call delta adj]]</f>
        <v>0</v>
      </c>
      <c r="AD1064">
        <f ca="1">Table133456[[#This Row],[Put Gex]]*Table133456[[#This Row],[DeltaP]]*-1</f>
        <v>0</v>
      </c>
      <c r="AE1064">
        <f ca="1">Table133456[[#This Row],[Call Gex]]*Table133456[[#This Row],[DeltaC]]</f>
        <v>0</v>
      </c>
      <c r="AF1064">
        <f>IF(Table133456[[#This Row],[DeltaC]]-ABS(Table133456[[#This Row],[DeltaP]])="0","0.01",Table133456[[#This Row],[DeltaC]]-ABS(Table133456[[#This Row],[DeltaP]]))</f>
        <v>0</v>
      </c>
      <c r="AG106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4" t="e">
        <f ca="1">(EXP(-(AG1064^2)/2)/SQRT(2*PI())*EXP(0*SQRT(Table133456[[#This Row],[T]]))/$A$4*18%*SQRT(SQRT(Table133456[[#This Row],[T]])))</f>
        <v>#DIV/0!</v>
      </c>
      <c r="AJ1064" t="e">
        <f ca="1">(EXP(-(AH1064^2)/2)/SQRT(2*PI())*EXP(0*SQRT(Table133456[[#This Row],[T]]))/$A$4*18%*SQRT(SQRT(Table133456[[#This Row],[T]])))</f>
        <v>#DIV/0!</v>
      </c>
      <c r="AK1064" t="e">
        <f ca="1">Table133456[[#This Row],[Call D1]]-Table133456[[#This Row],[IV Calc C]]*SQRT(Table133456[[#This Row],[T]])</f>
        <v>#DIV/0!</v>
      </c>
      <c r="AL1064" t="e">
        <f ca="1">Table133456[[#This Row],[Put D1]]-Table133456[[#This Row],[IV Calc P]]*SQRT(Table133456[[#This Row],[T]])</f>
        <v>#DIV/0!</v>
      </c>
      <c r="AM1064" t="e">
        <f ca="1">EXP(-0.5*Table133456[[#This Row],[Call D1]]^2)/SQRT(2*PI())</f>
        <v>#DIV/0!</v>
      </c>
      <c r="AN1064" t="e">
        <f ca="1">EXP(-0.5*Table133456[[#This Row],[Put D1]]^2)/SQRT(2*PI())</f>
        <v>#DIV/0!</v>
      </c>
      <c r="AO106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4">
        <f ca="1">((Table133456[[#This Row],[call vanna]]+Table133456[[#This Row],[put vanna]])*$A$4)</f>
        <v>0</v>
      </c>
      <c r="AR106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4" s="9" t="str" cm="1">
        <f t="array" ref="AT1064">_xlfn.IFS(     $M$1="SPX","SPXW",     $M$1="RUT","RUTW",  $M$1="NDX","NDXP",   TRUE,$M$1 )</f>
        <v>SPXW</v>
      </c>
      <c r="AU1064" s="2">
        <f t="shared" si="107"/>
        <v>6915</v>
      </c>
      <c r="AV1064" t="str">
        <f t="shared" si="108"/>
        <v>000100</v>
      </c>
      <c r="AY106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4">
        <f>((Table133456[[#This Row],[High C]]+Table133456[[#This Row],[Low C]])/2)*Table133456[[#This Row],[gammac]]*Table133456[[#This Row],[Volume]]</f>
        <v>0</v>
      </c>
      <c r="BD1064">
        <f>((Table133456[[#This Row],[High P]]+Table133456[[#This Row],[Low P]])/2)*Table133456[[#This Row],[gammap]]*Table133456[[#This Row],[Volume9]]*-1</f>
        <v>0</v>
      </c>
      <c r="BE1064">
        <f>(Table133456[[#This Row],[SgammaC]]+Table133456[[#This Row],[SgammaP]])*$A$4*-100</f>
        <v>0</v>
      </c>
      <c r="BF1064">
        <f>Table133456[[#This Row],[DEXc]]+Table133456[[#This Row],[DEXp]]</f>
        <v>0</v>
      </c>
      <c r="BG1064">
        <f>IFERROR(Table133456[[#This Row],[DeltaC]]*Table133456[[#This Row],[Open.Int]]*$A$4,0)</f>
        <v>0</v>
      </c>
      <c r="BH1064">
        <f>IFERROR(Table133456[[#This Row],[DeltaP]]*Table133456[[#This Row],[Open.Int8]]*$A$4,0)</f>
        <v>0</v>
      </c>
      <c r="BI106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4">
        <f ca="1">Table133456[[#This Row],[charmc]]+Table133456[[#This Row],[charmp]]</f>
        <v>0</v>
      </c>
      <c r="BL106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4" s="78">
        <f ca="1">Table133456[[#This Row],[call helper]]+Table133456[[#This Row],[put helper]]</f>
        <v>0</v>
      </c>
      <c r="BP1064" t="str">
        <f>RTD("tos.rtd", , "STRIKE", "."&amp;Table133456[[#This Row],[Ticker]]&amp;Table133456[[#This Row],[Expiry]]&amp;""&amp;"C"&amp;Table133456[[#This Row],[Spot]]+Table133456[[#This Row],[step]])</f>
        <v>N/A</v>
      </c>
    </row>
    <row r="1065" spans="1:68" x14ac:dyDescent="0.25">
      <c r="A1065" s="14">
        <f t="shared" ca="1" si="104"/>
        <v>-126.14810350076104</v>
      </c>
      <c r="C1065" s="17"/>
      <c r="D1065" t="str">
        <f>RTD("tos.rtd", , "OPEN_INT", "."&amp;Table133456[[#This Row],[Ticker]]&amp;Table133456[[#This Row],[Expiry]]&amp;""&amp;"C"&amp;Table133456[[#This Row],[Spot]]+Table133456[[#This Row],[step]])</f>
        <v>N/A</v>
      </c>
      <c r="E106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5" s="17" cm="1">
        <f t="array" aca="1" ref="H1065" ca="1">IndividualLegIVCore($A$4, Table133456[[#This Row],[Strike]], 0.0411, Table133456[[#This Row],[T]], ((Table133456[[#This Row],[BIDC]]+Table133456[[#This Row],[ASKC]])/2), TRUE)</f>
        <v>0.01</v>
      </c>
      <c r="I1065" t="b">
        <f>IF(     ISNUMBER(Table133456[[#This Row],[Strike]]),RTD("tos.rtd", , "BID", "."&amp;Table133456[[#This Row],[Ticker]]&amp;Table133456[[#This Row],[Expiry]]&amp;""&amp;"C"&amp;Table133456[[#This Row],[Strike]]))</f>
        <v>0</v>
      </c>
      <c r="J1065" t="b">
        <f>IF(     ISNUMBER(Table133456[[#This Row],[Strike]]),RTD("tos.rtd", , "ASK", "."&amp;Table133456[[#This Row],[Ticker]]&amp;Table133456[[#This Row],[Expiry]]&amp;""&amp;"C"&amp;Table133456[[#This Row],[Strike]]))</f>
        <v>0</v>
      </c>
      <c r="K1065" s="17"/>
      <c r="M1065" s="1">
        <f t="shared" si="105"/>
        <v>0</v>
      </c>
      <c r="N1065" t="b">
        <f t="shared" si="106"/>
        <v>0</v>
      </c>
      <c r="P1065" s="17" cm="1">
        <f t="array" aca="1" ref="P1065" ca="1">IndividualLegIVCore($A$4, Table133456[[#This Row],[Strike]], 0.0411, Table133456[[#This Row],[T]], ((Table133456[[#This Row],[BIDP]]+Table133456[[#This Row],[ASKP]])/2), FALSE)</f>
        <v>0.01</v>
      </c>
      <c r="Q1065" t="b">
        <f>IF(     ISNUMBER(Table133456[[#This Row],[Strike]]),RTD("tos.rtd", , "BID", "."&amp;Table133456[[#This Row],[Ticker]]&amp;Table133456[[#This Row],[Expiry]]&amp;""&amp;"P"&amp;Table133456[[#This Row],[Strike]]))</f>
        <v>0</v>
      </c>
      <c r="R1065" t="b">
        <f>IF(     ISNUMBER(Table133456[[#This Row],[Strike]]),RTD("tos.rtd", , "ASK", "."&amp;Table133456[[#This Row],[Ticker]]&amp;Table133456[[#This Row],[Expiry]]&amp;""&amp;"P"&amp;Table133456[[#This Row],[Strike]]))</f>
        <v>0</v>
      </c>
      <c r="S1065" s="17"/>
      <c r="T106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5" s="19">
        <f>-30* IF($M$1="NDX", 10, IF(OR($M$1="SPX", $M$1="RUT"), 2, 1))</f>
        <v>-60</v>
      </c>
      <c r="Z1065">
        <f ca="1">IFERROR(Table133456[[#This Row],[call gamma]]*(Table133456[[#This Row],[Open.Int]])*$A$4^2,0)</f>
        <v>0</v>
      </c>
      <c r="AA1065">
        <f ca="1">IFERROR(((Table133456[[#This Row],[Open.Int8]])*Table133456[[#This Row],[Put gamma]])*-1*$A$4^2,0)</f>
        <v>0</v>
      </c>
      <c r="AB1065">
        <f ca="1">(Table133456[[#This Row],[Call Gex]]+Table133456[[#This Row],[Put Gex]])</f>
        <v>0</v>
      </c>
      <c r="AC1065">
        <f ca="1">Table133456[[#This Row],[put delta adj]]+Table133456[[#This Row],[call delta adj]]</f>
        <v>0</v>
      </c>
      <c r="AD1065">
        <f ca="1">Table133456[[#This Row],[Put Gex]]*Table133456[[#This Row],[DeltaP]]*-1</f>
        <v>0</v>
      </c>
      <c r="AE1065">
        <f ca="1">Table133456[[#This Row],[Call Gex]]*Table133456[[#This Row],[DeltaC]]</f>
        <v>0</v>
      </c>
      <c r="AF1065">
        <f>IF(Table133456[[#This Row],[DeltaC]]-ABS(Table133456[[#This Row],[DeltaP]])="0","0.01",Table133456[[#This Row],[DeltaC]]-ABS(Table133456[[#This Row],[DeltaP]]))</f>
        <v>0</v>
      </c>
      <c r="AG106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5" t="e">
        <f ca="1">(EXP(-(AG1065^2)/2)/SQRT(2*PI())*EXP(0*SQRT(Table133456[[#This Row],[T]]))/$A$4*18%*SQRT(SQRT(Table133456[[#This Row],[T]])))</f>
        <v>#DIV/0!</v>
      </c>
      <c r="AJ1065" t="e">
        <f ca="1">(EXP(-(AH1065^2)/2)/SQRT(2*PI())*EXP(0*SQRT(Table133456[[#This Row],[T]]))/$A$4*18%*SQRT(SQRT(Table133456[[#This Row],[T]])))</f>
        <v>#DIV/0!</v>
      </c>
      <c r="AK1065" t="e">
        <f ca="1">Table133456[[#This Row],[Call D1]]-Table133456[[#This Row],[IV Calc C]]*SQRT(Table133456[[#This Row],[T]])</f>
        <v>#DIV/0!</v>
      </c>
      <c r="AL1065" t="e">
        <f ca="1">Table133456[[#This Row],[Put D1]]-Table133456[[#This Row],[IV Calc P]]*SQRT(Table133456[[#This Row],[T]])</f>
        <v>#DIV/0!</v>
      </c>
      <c r="AM1065" t="e">
        <f ca="1">EXP(-0.5*Table133456[[#This Row],[Call D1]]^2)/SQRT(2*PI())</f>
        <v>#DIV/0!</v>
      </c>
      <c r="AN1065" t="e">
        <f ca="1">EXP(-0.5*Table133456[[#This Row],[Put D1]]^2)/SQRT(2*PI())</f>
        <v>#DIV/0!</v>
      </c>
      <c r="AO106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5">
        <f ca="1">((Table133456[[#This Row],[call vanna]]+Table133456[[#This Row],[put vanna]])*$A$4)</f>
        <v>0</v>
      </c>
      <c r="AR106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5" s="9" t="str" cm="1">
        <f t="array" ref="AT1065">_xlfn.IFS(     $M$1="SPX","SPXW",     $M$1="RUT","RUTW",  $M$1="NDX","NDXP",   TRUE,$M$1 )</f>
        <v>SPXW</v>
      </c>
      <c r="AU1065" s="2">
        <f t="shared" si="107"/>
        <v>6915</v>
      </c>
      <c r="AV1065" t="str">
        <f t="shared" si="108"/>
        <v>000100</v>
      </c>
      <c r="AY106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5">
        <f>((Table133456[[#This Row],[High C]]+Table133456[[#This Row],[Low C]])/2)*Table133456[[#This Row],[gammac]]*Table133456[[#This Row],[Volume]]</f>
        <v>0</v>
      </c>
      <c r="BD1065">
        <f>((Table133456[[#This Row],[High P]]+Table133456[[#This Row],[Low P]])/2)*Table133456[[#This Row],[gammap]]*Table133456[[#This Row],[Volume9]]*-1</f>
        <v>0</v>
      </c>
      <c r="BE1065">
        <f>(Table133456[[#This Row],[SgammaC]]+Table133456[[#This Row],[SgammaP]])*$A$4*-100</f>
        <v>0</v>
      </c>
      <c r="BF1065">
        <f>Table133456[[#This Row],[DEXc]]+Table133456[[#This Row],[DEXp]]</f>
        <v>0</v>
      </c>
      <c r="BG1065">
        <f>IFERROR(Table133456[[#This Row],[DeltaC]]*Table133456[[#This Row],[Open.Int]]*$A$4,0)</f>
        <v>0</v>
      </c>
      <c r="BH1065">
        <f>IFERROR(Table133456[[#This Row],[DeltaP]]*Table133456[[#This Row],[Open.Int8]]*$A$4,0)</f>
        <v>0</v>
      </c>
      <c r="BI106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5">
        <f ca="1">Table133456[[#This Row],[charmc]]+Table133456[[#This Row],[charmp]]</f>
        <v>0</v>
      </c>
      <c r="BL106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5" s="78">
        <f ca="1">Table133456[[#This Row],[call helper]]+Table133456[[#This Row],[put helper]]</f>
        <v>0</v>
      </c>
      <c r="BP1065" t="str">
        <f>RTD("tos.rtd", , "STRIKE", "."&amp;Table133456[[#This Row],[Ticker]]&amp;Table133456[[#This Row],[Expiry]]&amp;""&amp;"C"&amp;Table133456[[#This Row],[Spot]]+Table133456[[#This Row],[step]])</f>
        <v>N/A</v>
      </c>
    </row>
    <row r="1066" spans="1:68" x14ac:dyDescent="0.25">
      <c r="A1066" s="14">
        <f t="shared" ca="1" si="104"/>
        <v>-126.14810350076104</v>
      </c>
      <c r="C1066" s="17"/>
      <c r="D1066" t="str">
        <f>RTD("tos.rtd", , "OPEN_INT", "."&amp;Table133456[[#This Row],[Ticker]]&amp;Table133456[[#This Row],[Expiry]]&amp;""&amp;"C"&amp;Table133456[[#This Row],[Spot]]+Table133456[[#This Row],[step]])</f>
        <v>N/A</v>
      </c>
      <c r="E106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6" s="17" cm="1">
        <f t="array" aca="1" ref="H1066" ca="1">IndividualLegIVCore($A$4, Table133456[[#This Row],[Strike]], 0.0411, Table133456[[#This Row],[T]], ((Table133456[[#This Row],[BIDC]]+Table133456[[#This Row],[ASKC]])/2), TRUE)</f>
        <v>0.01</v>
      </c>
      <c r="I1066" t="b">
        <f>IF(     ISNUMBER(Table133456[[#This Row],[Strike]]),RTD("tos.rtd", , "BID", "."&amp;Table133456[[#This Row],[Ticker]]&amp;Table133456[[#This Row],[Expiry]]&amp;""&amp;"C"&amp;Table133456[[#This Row],[Strike]]))</f>
        <v>0</v>
      </c>
      <c r="J1066" t="b">
        <f>IF(     ISNUMBER(Table133456[[#This Row],[Strike]]),RTD("tos.rtd", , "ASK", "."&amp;Table133456[[#This Row],[Ticker]]&amp;Table133456[[#This Row],[Expiry]]&amp;""&amp;"C"&amp;Table133456[[#This Row],[Strike]]))</f>
        <v>0</v>
      </c>
      <c r="K1066" s="17"/>
      <c r="M1066" s="1">
        <f t="shared" si="105"/>
        <v>0</v>
      </c>
      <c r="N1066" t="b">
        <f t="shared" si="106"/>
        <v>0</v>
      </c>
      <c r="P1066" s="17" cm="1">
        <f t="array" aca="1" ref="P1066" ca="1">IndividualLegIVCore($A$4, Table133456[[#This Row],[Strike]], 0.0411, Table133456[[#This Row],[T]], ((Table133456[[#This Row],[BIDP]]+Table133456[[#This Row],[ASKP]])/2), FALSE)</f>
        <v>0.01</v>
      </c>
      <c r="Q1066" t="b">
        <f>IF(     ISNUMBER(Table133456[[#This Row],[Strike]]),RTD("tos.rtd", , "BID", "."&amp;Table133456[[#This Row],[Ticker]]&amp;Table133456[[#This Row],[Expiry]]&amp;""&amp;"P"&amp;Table133456[[#This Row],[Strike]]))</f>
        <v>0</v>
      </c>
      <c r="R1066" t="b">
        <f>IF(     ISNUMBER(Table133456[[#This Row],[Strike]]),RTD("tos.rtd", , "ASK", "."&amp;Table133456[[#This Row],[Ticker]]&amp;Table133456[[#This Row],[Expiry]]&amp;""&amp;"P"&amp;Table133456[[#This Row],[Strike]]))</f>
        <v>0</v>
      </c>
      <c r="S1066" s="17"/>
      <c r="T106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6" s="19">
        <f>-29.5* IF($M$1="NDX", 10, IF(OR($M$1="SPX", $M$1="RUT"), 2, 1))</f>
        <v>-59</v>
      </c>
      <c r="Z1066">
        <f ca="1">IFERROR(Table133456[[#This Row],[call gamma]]*(Table133456[[#This Row],[Open.Int]])*$A$4^2,0)</f>
        <v>0</v>
      </c>
      <c r="AA1066">
        <f ca="1">IFERROR(((Table133456[[#This Row],[Open.Int8]])*Table133456[[#This Row],[Put gamma]])*-1*$A$4^2,0)</f>
        <v>0</v>
      </c>
      <c r="AB1066">
        <f ca="1">(Table133456[[#This Row],[Call Gex]]+Table133456[[#This Row],[Put Gex]])</f>
        <v>0</v>
      </c>
      <c r="AC1066">
        <f ca="1">Table133456[[#This Row],[put delta adj]]+Table133456[[#This Row],[call delta adj]]</f>
        <v>0</v>
      </c>
      <c r="AD1066">
        <f ca="1">Table133456[[#This Row],[Put Gex]]*Table133456[[#This Row],[DeltaP]]*-1</f>
        <v>0</v>
      </c>
      <c r="AE1066">
        <f ca="1">Table133456[[#This Row],[Call Gex]]*Table133456[[#This Row],[DeltaC]]</f>
        <v>0</v>
      </c>
      <c r="AF1066">
        <f>IF(Table133456[[#This Row],[DeltaC]]-ABS(Table133456[[#This Row],[DeltaP]])="0","0.01",Table133456[[#This Row],[DeltaC]]-ABS(Table133456[[#This Row],[DeltaP]]))</f>
        <v>0</v>
      </c>
      <c r="AG106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6" t="e">
        <f ca="1">(EXP(-(AG1066^2)/2)/SQRT(2*PI())*EXP(0*SQRT(Table133456[[#This Row],[T]]))/$A$4*18%*SQRT(SQRT(Table133456[[#This Row],[T]])))</f>
        <v>#DIV/0!</v>
      </c>
      <c r="AJ1066" t="e">
        <f ca="1">(EXP(-(AH1066^2)/2)/SQRT(2*PI())*EXP(0*SQRT(Table133456[[#This Row],[T]]))/$A$4*18%*SQRT(SQRT(Table133456[[#This Row],[T]])))</f>
        <v>#DIV/0!</v>
      </c>
      <c r="AK1066" t="e">
        <f ca="1">Table133456[[#This Row],[Call D1]]-Table133456[[#This Row],[IV Calc C]]*SQRT(Table133456[[#This Row],[T]])</f>
        <v>#DIV/0!</v>
      </c>
      <c r="AL1066" t="e">
        <f ca="1">Table133456[[#This Row],[Put D1]]-Table133456[[#This Row],[IV Calc P]]*SQRT(Table133456[[#This Row],[T]])</f>
        <v>#DIV/0!</v>
      </c>
      <c r="AM1066" t="e">
        <f ca="1">EXP(-0.5*Table133456[[#This Row],[Call D1]]^2)/SQRT(2*PI())</f>
        <v>#DIV/0!</v>
      </c>
      <c r="AN1066" t="e">
        <f ca="1">EXP(-0.5*Table133456[[#This Row],[Put D1]]^2)/SQRT(2*PI())</f>
        <v>#DIV/0!</v>
      </c>
      <c r="AO106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6">
        <f ca="1">((Table133456[[#This Row],[call vanna]]+Table133456[[#This Row],[put vanna]])*$A$4)</f>
        <v>0</v>
      </c>
      <c r="AR106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6" s="9" t="str" cm="1">
        <f t="array" ref="AT1066">_xlfn.IFS(     $M$1="SPX","SPXW",     $M$1="RUT","RUTW",  $M$1="NDX","NDXP",   TRUE,$M$1 )</f>
        <v>SPXW</v>
      </c>
      <c r="AU1066" s="2">
        <f t="shared" si="107"/>
        <v>6915</v>
      </c>
      <c r="AV1066" t="str">
        <f t="shared" si="108"/>
        <v>000100</v>
      </c>
      <c r="AY106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6">
        <f>((Table133456[[#This Row],[High C]]+Table133456[[#This Row],[Low C]])/2)*Table133456[[#This Row],[gammac]]*Table133456[[#This Row],[Volume]]</f>
        <v>0</v>
      </c>
      <c r="BD1066">
        <f>((Table133456[[#This Row],[High P]]+Table133456[[#This Row],[Low P]])/2)*Table133456[[#This Row],[gammap]]*Table133456[[#This Row],[Volume9]]*-1</f>
        <v>0</v>
      </c>
      <c r="BE1066">
        <f>(Table133456[[#This Row],[SgammaC]]+Table133456[[#This Row],[SgammaP]])*$A$4*-100</f>
        <v>0</v>
      </c>
      <c r="BF1066">
        <f>Table133456[[#This Row],[DEXc]]+Table133456[[#This Row],[DEXp]]</f>
        <v>0</v>
      </c>
      <c r="BG1066">
        <f>IFERROR(Table133456[[#This Row],[DeltaC]]*Table133456[[#This Row],[Open.Int]]*$A$4,0)</f>
        <v>0</v>
      </c>
      <c r="BH1066">
        <f>IFERROR(Table133456[[#This Row],[DeltaP]]*Table133456[[#This Row],[Open.Int8]]*$A$4,0)</f>
        <v>0</v>
      </c>
      <c r="BI106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6">
        <f ca="1">Table133456[[#This Row],[charmc]]+Table133456[[#This Row],[charmp]]</f>
        <v>0</v>
      </c>
      <c r="BL106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6" s="78">
        <f ca="1">Table133456[[#This Row],[call helper]]+Table133456[[#This Row],[put helper]]</f>
        <v>0</v>
      </c>
      <c r="BP1066" t="str">
        <f>RTD("tos.rtd", , "STRIKE", "."&amp;Table133456[[#This Row],[Ticker]]&amp;Table133456[[#This Row],[Expiry]]&amp;""&amp;"C"&amp;Table133456[[#This Row],[Spot]]+Table133456[[#This Row],[step]])</f>
        <v>N/A</v>
      </c>
    </row>
    <row r="1067" spans="1:68" x14ac:dyDescent="0.25">
      <c r="A1067" s="14">
        <f t="shared" ca="1" si="104"/>
        <v>-126.14810350076104</v>
      </c>
      <c r="C1067" s="17"/>
      <c r="D1067" t="str">
        <f>RTD("tos.rtd", , "OPEN_INT", "."&amp;Table133456[[#This Row],[Ticker]]&amp;Table133456[[#This Row],[Expiry]]&amp;""&amp;"C"&amp;Table133456[[#This Row],[Spot]]+Table133456[[#This Row],[step]])</f>
        <v>N/A</v>
      </c>
      <c r="E106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7" s="17" cm="1">
        <f t="array" aca="1" ref="H1067" ca="1">IndividualLegIVCore($A$4, Table133456[[#This Row],[Strike]], 0.0411, Table133456[[#This Row],[T]], ((Table133456[[#This Row],[BIDC]]+Table133456[[#This Row],[ASKC]])/2), TRUE)</f>
        <v>0.01</v>
      </c>
      <c r="I1067" t="b">
        <f>IF(     ISNUMBER(Table133456[[#This Row],[Strike]]),RTD("tos.rtd", , "BID", "."&amp;Table133456[[#This Row],[Ticker]]&amp;Table133456[[#This Row],[Expiry]]&amp;""&amp;"C"&amp;Table133456[[#This Row],[Strike]]))</f>
        <v>0</v>
      </c>
      <c r="J1067" t="b">
        <f>IF(     ISNUMBER(Table133456[[#This Row],[Strike]]),RTD("tos.rtd", , "ASK", "."&amp;Table133456[[#This Row],[Ticker]]&amp;Table133456[[#This Row],[Expiry]]&amp;""&amp;"C"&amp;Table133456[[#This Row],[Strike]]))</f>
        <v>0</v>
      </c>
      <c r="K1067" s="17"/>
      <c r="M1067" s="1">
        <f t="shared" si="105"/>
        <v>0</v>
      </c>
      <c r="N1067" t="b">
        <f t="shared" si="106"/>
        <v>0</v>
      </c>
      <c r="P1067" s="17" cm="1">
        <f t="array" aca="1" ref="P1067" ca="1">IndividualLegIVCore($A$4, Table133456[[#This Row],[Strike]], 0.0411, Table133456[[#This Row],[T]], ((Table133456[[#This Row],[BIDP]]+Table133456[[#This Row],[ASKP]])/2), FALSE)</f>
        <v>0.01</v>
      </c>
      <c r="Q1067" t="b">
        <f>IF(     ISNUMBER(Table133456[[#This Row],[Strike]]),RTD("tos.rtd", , "BID", "."&amp;Table133456[[#This Row],[Ticker]]&amp;Table133456[[#This Row],[Expiry]]&amp;""&amp;"P"&amp;Table133456[[#This Row],[Strike]]))</f>
        <v>0</v>
      </c>
      <c r="R1067" t="b">
        <f>IF(     ISNUMBER(Table133456[[#This Row],[Strike]]),RTD("tos.rtd", , "ASK", "."&amp;Table133456[[#This Row],[Ticker]]&amp;Table133456[[#This Row],[Expiry]]&amp;""&amp;"P"&amp;Table133456[[#This Row],[Strike]]))</f>
        <v>0</v>
      </c>
      <c r="S1067" s="17"/>
      <c r="T106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7" s="19">
        <f>-29* IF($M$1="NDX", 10, IF(OR($M$1="SPX", $M$1="RUT"), 2, 1))</f>
        <v>-58</v>
      </c>
      <c r="Z1067">
        <f ca="1">IFERROR(Table133456[[#This Row],[call gamma]]*(Table133456[[#This Row],[Open.Int]])*$A$4^2,0)</f>
        <v>0</v>
      </c>
      <c r="AA1067">
        <f ca="1">IFERROR(((Table133456[[#This Row],[Open.Int8]])*Table133456[[#This Row],[Put gamma]])*-1*$A$4^2,0)</f>
        <v>0</v>
      </c>
      <c r="AB1067">
        <f ca="1">(Table133456[[#This Row],[Call Gex]]+Table133456[[#This Row],[Put Gex]])</f>
        <v>0</v>
      </c>
      <c r="AC1067">
        <f ca="1">Table133456[[#This Row],[put delta adj]]+Table133456[[#This Row],[call delta adj]]</f>
        <v>0</v>
      </c>
      <c r="AD1067">
        <f ca="1">Table133456[[#This Row],[Put Gex]]*Table133456[[#This Row],[DeltaP]]*-1</f>
        <v>0</v>
      </c>
      <c r="AE1067">
        <f ca="1">Table133456[[#This Row],[Call Gex]]*Table133456[[#This Row],[DeltaC]]</f>
        <v>0</v>
      </c>
      <c r="AF1067">
        <f>IF(Table133456[[#This Row],[DeltaC]]-ABS(Table133456[[#This Row],[DeltaP]])="0","0.01",Table133456[[#This Row],[DeltaC]]-ABS(Table133456[[#This Row],[DeltaP]]))</f>
        <v>0</v>
      </c>
      <c r="AG106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7" t="e">
        <f ca="1">(EXP(-(AG1067^2)/2)/SQRT(2*PI())*EXP(0*SQRT(Table133456[[#This Row],[T]]))/$A$4*18%*SQRT(SQRT(Table133456[[#This Row],[T]])))</f>
        <v>#DIV/0!</v>
      </c>
      <c r="AJ1067" t="e">
        <f ca="1">(EXP(-(AH1067^2)/2)/SQRT(2*PI())*EXP(0*SQRT(Table133456[[#This Row],[T]]))/$A$4*18%*SQRT(SQRT(Table133456[[#This Row],[T]])))</f>
        <v>#DIV/0!</v>
      </c>
      <c r="AK1067" t="e">
        <f ca="1">Table133456[[#This Row],[Call D1]]-Table133456[[#This Row],[IV Calc C]]*SQRT(Table133456[[#This Row],[T]])</f>
        <v>#DIV/0!</v>
      </c>
      <c r="AL1067" t="e">
        <f ca="1">Table133456[[#This Row],[Put D1]]-Table133456[[#This Row],[IV Calc P]]*SQRT(Table133456[[#This Row],[T]])</f>
        <v>#DIV/0!</v>
      </c>
      <c r="AM1067" t="e">
        <f ca="1">EXP(-0.5*Table133456[[#This Row],[Call D1]]^2)/SQRT(2*PI())</f>
        <v>#DIV/0!</v>
      </c>
      <c r="AN1067" t="e">
        <f ca="1">EXP(-0.5*Table133456[[#This Row],[Put D1]]^2)/SQRT(2*PI())</f>
        <v>#DIV/0!</v>
      </c>
      <c r="AO106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7">
        <f ca="1">((Table133456[[#This Row],[call vanna]]+Table133456[[#This Row],[put vanna]])*$A$4)</f>
        <v>0</v>
      </c>
      <c r="AR106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7" s="9" t="str" cm="1">
        <f t="array" ref="AT1067">_xlfn.IFS(     $M$1="SPX","SPXW",     $M$1="RUT","RUTW",  $M$1="NDX","NDXP",   TRUE,$M$1 )</f>
        <v>SPXW</v>
      </c>
      <c r="AU1067" s="2">
        <f t="shared" si="107"/>
        <v>6915</v>
      </c>
      <c r="AV1067" t="str">
        <f t="shared" si="108"/>
        <v>000100</v>
      </c>
      <c r="AY106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7">
        <f>((Table133456[[#This Row],[High C]]+Table133456[[#This Row],[Low C]])/2)*Table133456[[#This Row],[gammac]]*Table133456[[#This Row],[Volume]]</f>
        <v>0</v>
      </c>
      <c r="BD1067">
        <f>((Table133456[[#This Row],[High P]]+Table133456[[#This Row],[Low P]])/2)*Table133456[[#This Row],[gammap]]*Table133456[[#This Row],[Volume9]]*-1</f>
        <v>0</v>
      </c>
      <c r="BE1067">
        <f>(Table133456[[#This Row],[SgammaC]]+Table133456[[#This Row],[SgammaP]])*$A$4*-100</f>
        <v>0</v>
      </c>
      <c r="BF1067">
        <f>Table133456[[#This Row],[DEXc]]+Table133456[[#This Row],[DEXp]]</f>
        <v>0</v>
      </c>
      <c r="BG1067">
        <f>IFERROR(Table133456[[#This Row],[DeltaC]]*Table133456[[#This Row],[Open.Int]]*$A$4,0)</f>
        <v>0</v>
      </c>
      <c r="BH1067">
        <f>IFERROR(Table133456[[#This Row],[DeltaP]]*Table133456[[#This Row],[Open.Int8]]*$A$4,0)</f>
        <v>0</v>
      </c>
      <c r="BI106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7">
        <f ca="1">Table133456[[#This Row],[charmc]]+Table133456[[#This Row],[charmp]]</f>
        <v>0</v>
      </c>
      <c r="BL106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7" s="78">
        <f ca="1">Table133456[[#This Row],[call helper]]+Table133456[[#This Row],[put helper]]</f>
        <v>0</v>
      </c>
      <c r="BP1067" t="str">
        <f>RTD("tos.rtd", , "STRIKE", "."&amp;Table133456[[#This Row],[Ticker]]&amp;Table133456[[#This Row],[Expiry]]&amp;""&amp;"C"&amp;Table133456[[#This Row],[Spot]]+Table133456[[#This Row],[step]])</f>
        <v>N/A</v>
      </c>
    </row>
    <row r="1068" spans="1:68" x14ac:dyDescent="0.25">
      <c r="A1068" s="14">
        <f t="shared" ca="1" si="104"/>
        <v>-126.14810350076104</v>
      </c>
      <c r="C1068" s="17"/>
      <c r="D1068" t="str">
        <f>RTD("tos.rtd", , "OPEN_INT", "."&amp;Table133456[[#This Row],[Ticker]]&amp;Table133456[[#This Row],[Expiry]]&amp;""&amp;"C"&amp;Table133456[[#This Row],[Spot]]+Table133456[[#This Row],[step]])</f>
        <v>N/A</v>
      </c>
      <c r="E106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8" s="17" cm="1">
        <f t="array" aca="1" ref="H1068" ca="1">IndividualLegIVCore($A$4, Table133456[[#This Row],[Strike]], 0.0411, Table133456[[#This Row],[T]], ((Table133456[[#This Row],[BIDC]]+Table133456[[#This Row],[ASKC]])/2), TRUE)</f>
        <v>0.01</v>
      </c>
      <c r="I1068" t="b">
        <f>IF(     ISNUMBER(Table133456[[#This Row],[Strike]]),RTD("tos.rtd", , "BID", "."&amp;Table133456[[#This Row],[Ticker]]&amp;Table133456[[#This Row],[Expiry]]&amp;""&amp;"C"&amp;Table133456[[#This Row],[Strike]]))</f>
        <v>0</v>
      </c>
      <c r="J1068" t="b">
        <f>IF(     ISNUMBER(Table133456[[#This Row],[Strike]]),RTD("tos.rtd", , "ASK", "."&amp;Table133456[[#This Row],[Ticker]]&amp;Table133456[[#This Row],[Expiry]]&amp;""&amp;"C"&amp;Table133456[[#This Row],[Strike]]))</f>
        <v>0</v>
      </c>
      <c r="K1068" s="17"/>
      <c r="M1068" s="1">
        <f t="shared" si="105"/>
        <v>0</v>
      </c>
      <c r="N1068" t="b">
        <f t="shared" si="106"/>
        <v>0</v>
      </c>
      <c r="P1068" s="17" cm="1">
        <f t="array" aca="1" ref="P1068" ca="1">IndividualLegIVCore($A$4, Table133456[[#This Row],[Strike]], 0.0411, Table133456[[#This Row],[T]], ((Table133456[[#This Row],[BIDP]]+Table133456[[#This Row],[ASKP]])/2), FALSE)</f>
        <v>0.01</v>
      </c>
      <c r="Q1068" t="b">
        <f>IF(     ISNUMBER(Table133456[[#This Row],[Strike]]),RTD("tos.rtd", , "BID", "."&amp;Table133456[[#This Row],[Ticker]]&amp;Table133456[[#This Row],[Expiry]]&amp;""&amp;"P"&amp;Table133456[[#This Row],[Strike]]))</f>
        <v>0</v>
      </c>
      <c r="R1068" t="b">
        <f>IF(     ISNUMBER(Table133456[[#This Row],[Strike]]),RTD("tos.rtd", , "ASK", "."&amp;Table133456[[#This Row],[Ticker]]&amp;Table133456[[#This Row],[Expiry]]&amp;""&amp;"P"&amp;Table133456[[#This Row],[Strike]]))</f>
        <v>0</v>
      </c>
      <c r="S1068" s="17"/>
      <c r="T106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8" s="19">
        <f>-28.5* IF($M$1="NDX", 10, IF(OR($M$1="SPX", $M$1="RUT"), 2, 1))</f>
        <v>-57</v>
      </c>
      <c r="Z1068">
        <f ca="1">IFERROR(Table133456[[#This Row],[call gamma]]*(Table133456[[#This Row],[Open.Int]])*$A$4^2,0)</f>
        <v>0</v>
      </c>
      <c r="AA1068">
        <f ca="1">IFERROR(((Table133456[[#This Row],[Open.Int8]])*Table133456[[#This Row],[Put gamma]])*-1*$A$4^2,0)</f>
        <v>0</v>
      </c>
      <c r="AB1068">
        <f ca="1">(Table133456[[#This Row],[Call Gex]]+Table133456[[#This Row],[Put Gex]])</f>
        <v>0</v>
      </c>
      <c r="AC1068">
        <f ca="1">Table133456[[#This Row],[put delta adj]]+Table133456[[#This Row],[call delta adj]]</f>
        <v>0</v>
      </c>
      <c r="AD1068">
        <f ca="1">Table133456[[#This Row],[Put Gex]]*Table133456[[#This Row],[DeltaP]]*-1</f>
        <v>0</v>
      </c>
      <c r="AE1068">
        <f ca="1">Table133456[[#This Row],[Call Gex]]*Table133456[[#This Row],[DeltaC]]</f>
        <v>0</v>
      </c>
      <c r="AF1068">
        <f>IF(Table133456[[#This Row],[DeltaC]]-ABS(Table133456[[#This Row],[DeltaP]])="0","0.01",Table133456[[#This Row],[DeltaC]]-ABS(Table133456[[#This Row],[DeltaP]]))</f>
        <v>0</v>
      </c>
      <c r="AG106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8" t="e">
        <f ca="1">(EXP(-(AG1068^2)/2)/SQRT(2*PI())*EXP(0*SQRT(Table133456[[#This Row],[T]]))/$A$4*18%*SQRT(SQRT(Table133456[[#This Row],[T]])))</f>
        <v>#DIV/0!</v>
      </c>
      <c r="AJ1068" t="e">
        <f ca="1">(EXP(-(AH1068^2)/2)/SQRT(2*PI())*EXP(0*SQRT(Table133456[[#This Row],[T]]))/$A$4*18%*SQRT(SQRT(Table133456[[#This Row],[T]])))</f>
        <v>#DIV/0!</v>
      </c>
      <c r="AK1068" t="e">
        <f ca="1">Table133456[[#This Row],[Call D1]]-Table133456[[#This Row],[IV Calc C]]*SQRT(Table133456[[#This Row],[T]])</f>
        <v>#DIV/0!</v>
      </c>
      <c r="AL1068" t="e">
        <f ca="1">Table133456[[#This Row],[Put D1]]-Table133456[[#This Row],[IV Calc P]]*SQRT(Table133456[[#This Row],[T]])</f>
        <v>#DIV/0!</v>
      </c>
      <c r="AM1068" t="e">
        <f ca="1">EXP(-0.5*Table133456[[#This Row],[Call D1]]^2)/SQRT(2*PI())</f>
        <v>#DIV/0!</v>
      </c>
      <c r="AN1068" t="e">
        <f ca="1">EXP(-0.5*Table133456[[#This Row],[Put D1]]^2)/SQRT(2*PI())</f>
        <v>#DIV/0!</v>
      </c>
      <c r="AO106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8">
        <f ca="1">((Table133456[[#This Row],[call vanna]]+Table133456[[#This Row],[put vanna]])*$A$4)</f>
        <v>0</v>
      </c>
      <c r="AR106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8" s="9" t="str" cm="1">
        <f t="array" ref="AT1068">_xlfn.IFS(     $M$1="SPX","SPXW",     $M$1="RUT","RUTW",  $M$1="NDX","NDXP",   TRUE,$M$1 )</f>
        <v>SPXW</v>
      </c>
      <c r="AU1068" s="2">
        <f t="shared" si="107"/>
        <v>6915</v>
      </c>
      <c r="AV1068" t="str">
        <f t="shared" si="108"/>
        <v>000100</v>
      </c>
      <c r="AY106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8">
        <f>((Table133456[[#This Row],[High C]]+Table133456[[#This Row],[Low C]])/2)*Table133456[[#This Row],[gammac]]*Table133456[[#This Row],[Volume]]</f>
        <v>0</v>
      </c>
      <c r="BD1068">
        <f>((Table133456[[#This Row],[High P]]+Table133456[[#This Row],[Low P]])/2)*Table133456[[#This Row],[gammap]]*Table133456[[#This Row],[Volume9]]*-1</f>
        <v>0</v>
      </c>
      <c r="BE1068">
        <f>(Table133456[[#This Row],[SgammaC]]+Table133456[[#This Row],[SgammaP]])*$A$4*-100</f>
        <v>0</v>
      </c>
      <c r="BF1068">
        <f>Table133456[[#This Row],[DEXc]]+Table133456[[#This Row],[DEXp]]</f>
        <v>0</v>
      </c>
      <c r="BG1068">
        <f>IFERROR(Table133456[[#This Row],[DeltaC]]*Table133456[[#This Row],[Open.Int]]*$A$4,0)</f>
        <v>0</v>
      </c>
      <c r="BH1068">
        <f>IFERROR(Table133456[[#This Row],[DeltaP]]*Table133456[[#This Row],[Open.Int8]]*$A$4,0)</f>
        <v>0</v>
      </c>
      <c r="BI106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8">
        <f ca="1">Table133456[[#This Row],[charmc]]+Table133456[[#This Row],[charmp]]</f>
        <v>0</v>
      </c>
      <c r="BL106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8" s="78">
        <f ca="1">Table133456[[#This Row],[call helper]]+Table133456[[#This Row],[put helper]]</f>
        <v>0</v>
      </c>
      <c r="BP1068" t="str">
        <f>RTD("tos.rtd", , "STRIKE", "."&amp;Table133456[[#This Row],[Ticker]]&amp;Table133456[[#This Row],[Expiry]]&amp;""&amp;"C"&amp;Table133456[[#This Row],[Spot]]+Table133456[[#This Row],[step]])</f>
        <v>N/A</v>
      </c>
    </row>
    <row r="1069" spans="1:68" x14ac:dyDescent="0.25">
      <c r="A1069" s="14">
        <f t="shared" ca="1" si="104"/>
        <v>-126.14810350076104</v>
      </c>
      <c r="C1069" s="17"/>
      <c r="D1069" t="str">
        <f>RTD("tos.rtd", , "OPEN_INT", "."&amp;Table133456[[#This Row],[Ticker]]&amp;Table133456[[#This Row],[Expiry]]&amp;""&amp;"C"&amp;Table133456[[#This Row],[Spot]]+Table133456[[#This Row],[step]])</f>
        <v>N/A</v>
      </c>
      <c r="E106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9" s="17" cm="1">
        <f t="array" aca="1" ref="H1069" ca="1">IndividualLegIVCore($A$4, Table133456[[#This Row],[Strike]], 0.0411, Table133456[[#This Row],[T]], ((Table133456[[#This Row],[BIDC]]+Table133456[[#This Row],[ASKC]])/2), TRUE)</f>
        <v>0.01</v>
      </c>
      <c r="I1069" t="b">
        <f>IF(     ISNUMBER(Table133456[[#This Row],[Strike]]),RTD("tos.rtd", , "BID", "."&amp;Table133456[[#This Row],[Ticker]]&amp;Table133456[[#This Row],[Expiry]]&amp;""&amp;"C"&amp;Table133456[[#This Row],[Strike]]))</f>
        <v>0</v>
      </c>
      <c r="J1069" t="b">
        <f>IF(     ISNUMBER(Table133456[[#This Row],[Strike]]),RTD("tos.rtd", , "ASK", "."&amp;Table133456[[#This Row],[Ticker]]&amp;Table133456[[#This Row],[Expiry]]&amp;""&amp;"C"&amp;Table133456[[#This Row],[Strike]]))</f>
        <v>0</v>
      </c>
      <c r="K1069" s="17"/>
      <c r="M1069" s="1">
        <f t="shared" si="105"/>
        <v>0</v>
      </c>
      <c r="N1069" t="b">
        <f t="shared" si="106"/>
        <v>0</v>
      </c>
      <c r="P1069" s="17" cm="1">
        <f t="array" aca="1" ref="P1069" ca="1">IndividualLegIVCore($A$4, Table133456[[#This Row],[Strike]], 0.0411, Table133456[[#This Row],[T]], ((Table133456[[#This Row],[BIDP]]+Table133456[[#This Row],[ASKP]])/2), FALSE)</f>
        <v>0.01</v>
      </c>
      <c r="Q1069" t="b">
        <f>IF(     ISNUMBER(Table133456[[#This Row],[Strike]]),RTD("tos.rtd", , "BID", "."&amp;Table133456[[#This Row],[Ticker]]&amp;Table133456[[#This Row],[Expiry]]&amp;""&amp;"P"&amp;Table133456[[#This Row],[Strike]]))</f>
        <v>0</v>
      </c>
      <c r="R1069" t="b">
        <f>IF(     ISNUMBER(Table133456[[#This Row],[Strike]]),RTD("tos.rtd", , "ASK", "."&amp;Table133456[[#This Row],[Ticker]]&amp;Table133456[[#This Row],[Expiry]]&amp;""&amp;"P"&amp;Table133456[[#This Row],[Strike]]))</f>
        <v>0</v>
      </c>
      <c r="S1069" s="17"/>
      <c r="T106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9" s="19">
        <f>-28* IF($M$1="NDX", 10, IF(OR($M$1="SPX", $M$1="RUT"), 2, 1))</f>
        <v>-56</v>
      </c>
      <c r="Z1069">
        <f ca="1">IFERROR(Table133456[[#This Row],[call gamma]]*(Table133456[[#This Row],[Open.Int]])*$A$4^2,0)</f>
        <v>0</v>
      </c>
      <c r="AA1069">
        <f ca="1">IFERROR(((Table133456[[#This Row],[Open.Int8]])*Table133456[[#This Row],[Put gamma]])*-1*$A$4^2,0)</f>
        <v>0</v>
      </c>
      <c r="AB1069">
        <f ca="1">(Table133456[[#This Row],[Call Gex]]+Table133456[[#This Row],[Put Gex]])</f>
        <v>0</v>
      </c>
      <c r="AC1069">
        <f ca="1">Table133456[[#This Row],[put delta adj]]+Table133456[[#This Row],[call delta adj]]</f>
        <v>0</v>
      </c>
      <c r="AD1069">
        <f ca="1">Table133456[[#This Row],[Put Gex]]*Table133456[[#This Row],[DeltaP]]*-1</f>
        <v>0</v>
      </c>
      <c r="AE1069">
        <f ca="1">Table133456[[#This Row],[Call Gex]]*Table133456[[#This Row],[DeltaC]]</f>
        <v>0</v>
      </c>
      <c r="AF1069">
        <f>IF(Table133456[[#This Row],[DeltaC]]-ABS(Table133456[[#This Row],[DeltaP]])="0","0.01",Table133456[[#This Row],[DeltaC]]-ABS(Table133456[[#This Row],[DeltaP]]))</f>
        <v>0</v>
      </c>
      <c r="AG106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9" t="e">
        <f ca="1">(EXP(-(AG1069^2)/2)/SQRT(2*PI())*EXP(0*SQRT(Table133456[[#This Row],[T]]))/$A$4*18%*SQRT(SQRT(Table133456[[#This Row],[T]])))</f>
        <v>#DIV/0!</v>
      </c>
      <c r="AJ1069" t="e">
        <f ca="1">(EXP(-(AH1069^2)/2)/SQRT(2*PI())*EXP(0*SQRT(Table133456[[#This Row],[T]]))/$A$4*18%*SQRT(SQRT(Table133456[[#This Row],[T]])))</f>
        <v>#DIV/0!</v>
      </c>
      <c r="AK1069" t="e">
        <f ca="1">Table133456[[#This Row],[Call D1]]-Table133456[[#This Row],[IV Calc C]]*SQRT(Table133456[[#This Row],[T]])</f>
        <v>#DIV/0!</v>
      </c>
      <c r="AL1069" t="e">
        <f ca="1">Table133456[[#This Row],[Put D1]]-Table133456[[#This Row],[IV Calc P]]*SQRT(Table133456[[#This Row],[T]])</f>
        <v>#DIV/0!</v>
      </c>
      <c r="AM1069" t="e">
        <f ca="1">EXP(-0.5*Table133456[[#This Row],[Call D1]]^2)/SQRT(2*PI())</f>
        <v>#DIV/0!</v>
      </c>
      <c r="AN1069" t="e">
        <f ca="1">EXP(-0.5*Table133456[[#This Row],[Put D1]]^2)/SQRT(2*PI())</f>
        <v>#DIV/0!</v>
      </c>
      <c r="AO106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9">
        <f ca="1">((Table133456[[#This Row],[call vanna]]+Table133456[[#This Row],[put vanna]])*$A$4)</f>
        <v>0</v>
      </c>
      <c r="AR106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9" s="9" t="str" cm="1">
        <f t="array" ref="AT1069">_xlfn.IFS(     $M$1="SPX","SPXW",     $M$1="RUT","RUTW",  $M$1="NDX","NDXP",   TRUE,$M$1 )</f>
        <v>SPXW</v>
      </c>
      <c r="AU1069" s="2">
        <f t="shared" si="107"/>
        <v>6915</v>
      </c>
      <c r="AV1069" t="str">
        <f t="shared" si="108"/>
        <v>000100</v>
      </c>
      <c r="AY106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9">
        <f>((Table133456[[#This Row],[High C]]+Table133456[[#This Row],[Low C]])/2)*Table133456[[#This Row],[gammac]]*Table133456[[#This Row],[Volume]]</f>
        <v>0</v>
      </c>
      <c r="BD1069">
        <f>((Table133456[[#This Row],[High P]]+Table133456[[#This Row],[Low P]])/2)*Table133456[[#This Row],[gammap]]*Table133456[[#This Row],[Volume9]]*-1</f>
        <v>0</v>
      </c>
      <c r="BE1069">
        <f>(Table133456[[#This Row],[SgammaC]]+Table133456[[#This Row],[SgammaP]])*$A$4*-100</f>
        <v>0</v>
      </c>
      <c r="BF1069">
        <f>Table133456[[#This Row],[DEXc]]+Table133456[[#This Row],[DEXp]]</f>
        <v>0</v>
      </c>
      <c r="BG1069">
        <f>IFERROR(Table133456[[#This Row],[DeltaC]]*Table133456[[#This Row],[Open.Int]]*$A$4,0)</f>
        <v>0</v>
      </c>
      <c r="BH1069">
        <f>IFERROR(Table133456[[#This Row],[DeltaP]]*Table133456[[#This Row],[Open.Int8]]*$A$4,0)</f>
        <v>0</v>
      </c>
      <c r="BI106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9">
        <f ca="1">Table133456[[#This Row],[charmc]]+Table133456[[#This Row],[charmp]]</f>
        <v>0</v>
      </c>
      <c r="BL106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9" s="78">
        <f ca="1">Table133456[[#This Row],[call helper]]+Table133456[[#This Row],[put helper]]</f>
        <v>0</v>
      </c>
      <c r="BP1069" t="str">
        <f>RTD("tos.rtd", , "STRIKE", "."&amp;Table133456[[#This Row],[Ticker]]&amp;Table133456[[#This Row],[Expiry]]&amp;""&amp;"C"&amp;Table133456[[#This Row],[Spot]]+Table133456[[#This Row],[step]])</f>
        <v>N/A</v>
      </c>
    </row>
    <row r="1070" spans="1:68" x14ac:dyDescent="0.25">
      <c r="A1070" s="14">
        <f t="shared" ca="1" si="104"/>
        <v>-126.14810350076104</v>
      </c>
      <c r="C1070" s="17"/>
      <c r="D1070" t="str">
        <f>RTD("tos.rtd", , "OPEN_INT", "."&amp;Table133456[[#This Row],[Ticker]]&amp;Table133456[[#This Row],[Expiry]]&amp;""&amp;"C"&amp;Table133456[[#This Row],[Spot]]+Table133456[[#This Row],[step]])</f>
        <v>N/A</v>
      </c>
      <c r="E107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0" s="17" cm="1">
        <f t="array" aca="1" ref="H1070" ca="1">IndividualLegIVCore($A$4, Table133456[[#This Row],[Strike]], 0.0411, Table133456[[#This Row],[T]], ((Table133456[[#This Row],[BIDC]]+Table133456[[#This Row],[ASKC]])/2), TRUE)</f>
        <v>0.01</v>
      </c>
      <c r="I1070" t="b">
        <f>IF(     ISNUMBER(Table133456[[#This Row],[Strike]]),RTD("tos.rtd", , "BID", "."&amp;Table133456[[#This Row],[Ticker]]&amp;Table133456[[#This Row],[Expiry]]&amp;""&amp;"C"&amp;Table133456[[#This Row],[Strike]]))</f>
        <v>0</v>
      </c>
      <c r="J1070" t="b">
        <f>IF(     ISNUMBER(Table133456[[#This Row],[Strike]]),RTD("tos.rtd", , "ASK", "."&amp;Table133456[[#This Row],[Ticker]]&amp;Table133456[[#This Row],[Expiry]]&amp;""&amp;"C"&amp;Table133456[[#This Row],[Strike]]))</f>
        <v>0</v>
      </c>
      <c r="K1070" s="17"/>
      <c r="M1070" s="1">
        <f t="shared" si="105"/>
        <v>0</v>
      </c>
      <c r="N1070" t="b">
        <f t="shared" si="106"/>
        <v>0</v>
      </c>
      <c r="P1070" s="17" cm="1">
        <f t="array" aca="1" ref="P1070" ca="1">IndividualLegIVCore($A$4, Table133456[[#This Row],[Strike]], 0.0411, Table133456[[#This Row],[T]], ((Table133456[[#This Row],[BIDP]]+Table133456[[#This Row],[ASKP]])/2), FALSE)</f>
        <v>0.01</v>
      </c>
      <c r="Q1070" t="b">
        <f>IF(     ISNUMBER(Table133456[[#This Row],[Strike]]),RTD("tos.rtd", , "BID", "."&amp;Table133456[[#This Row],[Ticker]]&amp;Table133456[[#This Row],[Expiry]]&amp;""&amp;"P"&amp;Table133456[[#This Row],[Strike]]))</f>
        <v>0</v>
      </c>
      <c r="R1070" t="b">
        <f>IF(     ISNUMBER(Table133456[[#This Row],[Strike]]),RTD("tos.rtd", , "ASK", "."&amp;Table133456[[#This Row],[Ticker]]&amp;Table133456[[#This Row],[Expiry]]&amp;""&amp;"P"&amp;Table133456[[#This Row],[Strike]]))</f>
        <v>0</v>
      </c>
      <c r="S1070" s="17"/>
      <c r="T107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0" s="19">
        <f>-27.5* IF($M$1="NDX", 10, IF(OR($M$1="SPX", $M$1="RUT"), 2, 1))</f>
        <v>-55</v>
      </c>
      <c r="Z1070">
        <f ca="1">IFERROR(Table133456[[#This Row],[call gamma]]*(Table133456[[#This Row],[Open.Int]])*$A$4^2,0)</f>
        <v>0</v>
      </c>
      <c r="AA1070">
        <f ca="1">IFERROR(((Table133456[[#This Row],[Open.Int8]])*Table133456[[#This Row],[Put gamma]])*-1*$A$4^2,0)</f>
        <v>0</v>
      </c>
      <c r="AB1070">
        <f ca="1">(Table133456[[#This Row],[Call Gex]]+Table133456[[#This Row],[Put Gex]])</f>
        <v>0</v>
      </c>
      <c r="AC1070">
        <f ca="1">Table133456[[#This Row],[put delta adj]]+Table133456[[#This Row],[call delta adj]]</f>
        <v>0</v>
      </c>
      <c r="AD1070">
        <f ca="1">Table133456[[#This Row],[Put Gex]]*Table133456[[#This Row],[DeltaP]]*-1</f>
        <v>0</v>
      </c>
      <c r="AE1070">
        <f ca="1">Table133456[[#This Row],[Call Gex]]*Table133456[[#This Row],[DeltaC]]</f>
        <v>0</v>
      </c>
      <c r="AF1070">
        <f>IF(Table133456[[#This Row],[DeltaC]]-ABS(Table133456[[#This Row],[DeltaP]])="0","0.01",Table133456[[#This Row],[DeltaC]]-ABS(Table133456[[#This Row],[DeltaP]]))</f>
        <v>0</v>
      </c>
      <c r="AG107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0" t="e">
        <f ca="1">(EXP(-(AG1070^2)/2)/SQRT(2*PI())*EXP(0*SQRT(Table133456[[#This Row],[T]]))/$A$4*18%*SQRT(SQRT(Table133456[[#This Row],[T]])))</f>
        <v>#DIV/0!</v>
      </c>
      <c r="AJ1070" t="e">
        <f ca="1">(EXP(-(AH1070^2)/2)/SQRT(2*PI())*EXP(0*SQRT(Table133456[[#This Row],[T]]))/$A$4*18%*SQRT(SQRT(Table133456[[#This Row],[T]])))</f>
        <v>#DIV/0!</v>
      </c>
      <c r="AK1070" t="e">
        <f ca="1">Table133456[[#This Row],[Call D1]]-Table133456[[#This Row],[IV Calc C]]*SQRT(Table133456[[#This Row],[T]])</f>
        <v>#DIV/0!</v>
      </c>
      <c r="AL1070" t="e">
        <f ca="1">Table133456[[#This Row],[Put D1]]-Table133456[[#This Row],[IV Calc P]]*SQRT(Table133456[[#This Row],[T]])</f>
        <v>#DIV/0!</v>
      </c>
      <c r="AM1070" t="e">
        <f ca="1">EXP(-0.5*Table133456[[#This Row],[Call D1]]^2)/SQRT(2*PI())</f>
        <v>#DIV/0!</v>
      </c>
      <c r="AN1070" t="e">
        <f ca="1">EXP(-0.5*Table133456[[#This Row],[Put D1]]^2)/SQRT(2*PI())</f>
        <v>#DIV/0!</v>
      </c>
      <c r="AO107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0">
        <f ca="1">((Table133456[[#This Row],[call vanna]]+Table133456[[#This Row],[put vanna]])*$A$4)</f>
        <v>0</v>
      </c>
      <c r="AR107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0" s="9" t="str" cm="1">
        <f t="array" ref="AT1070">_xlfn.IFS(     $M$1="SPX","SPXW",     $M$1="RUT","RUTW",  $M$1="NDX","NDXP",   TRUE,$M$1 )</f>
        <v>SPXW</v>
      </c>
      <c r="AU1070" s="2">
        <f t="shared" si="107"/>
        <v>6915</v>
      </c>
      <c r="AV1070" t="str">
        <f t="shared" si="108"/>
        <v>000100</v>
      </c>
      <c r="AY107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0">
        <f>((Table133456[[#This Row],[High C]]+Table133456[[#This Row],[Low C]])/2)*Table133456[[#This Row],[gammac]]*Table133456[[#This Row],[Volume]]</f>
        <v>0</v>
      </c>
      <c r="BD1070">
        <f>((Table133456[[#This Row],[High P]]+Table133456[[#This Row],[Low P]])/2)*Table133456[[#This Row],[gammap]]*Table133456[[#This Row],[Volume9]]*-1</f>
        <v>0</v>
      </c>
      <c r="BE1070">
        <f>(Table133456[[#This Row],[SgammaC]]+Table133456[[#This Row],[SgammaP]])*$A$4*-100</f>
        <v>0</v>
      </c>
      <c r="BF1070">
        <f>Table133456[[#This Row],[DEXc]]+Table133456[[#This Row],[DEXp]]</f>
        <v>0</v>
      </c>
      <c r="BG1070">
        <f>IFERROR(Table133456[[#This Row],[DeltaC]]*Table133456[[#This Row],[Open.Int]]*$A$4,0)</f>
        <v>0</v>
      </c>
      <c r="BH1070">
        <f>IFERROR(Table133456[[#This Row],[DeltaP]]*Table133456[[#This Row],[Open.Int8]]*$A$4,0)</f>
        <v>0</v>
      </c>
      <c r="BI107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0">
        <f ca="1">Table133456[[#This Row],[charmc]]+Table133456[[#This Row],[charmp]]</f>
        <v>0</v>
      </c>
      <c r="BL107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0" s="78">
        <f ca="1">Table133456[[#This Row],[call helper]]+Table133456[[#This Row],[put helper]]</f>
        <v>0</v>
      </c>
      <c r="BP1070" t="str">
        <f>RTD("tos.rtd", , "STRIKE", "."&amp;Table133456[[#This Row],[Ticker]]&amp;Table133456[[#This Row],[Expiry]]&amp;""&amp;"C"&amp;Table133456[[#This Row],[Spot]]+Table133456[[#This Row],[step]])</f>
        <v>N/A</v>
      </c>
    </row>
    <row r="1071" spans="1:68" x14ac:dyDescent="0.25">
      <c r="A1071" s="14">
        <f t="shared" ca="1" si="104"/>
        <v>-126.14810350076104</v>
      </c>
      <c r="C1071" s="17"/>
      <c r="D1071" t="str">
        <f>RTD("tos.rtd", , "OPEN_INT", "."&amp;Table133456[[#This Row],[Ticker]]&amp;Table133456[[#This Row],[Expiry]]&amp;""&amp;"C"&amp;Table133456[[#This Row],[Spot]]+Table133456[[#This Row],[step]])</f>
        <v>N/A</v>
      </c>
      <c r="E107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1" s="17" cm="1">
        <f t="array" aca="1" ref="H1071" ca="1">IndividualLegIVCore($A$4, Table133456[[#This Row],[Strike]], 0.0411, Table133456[[#This Row],[T]], ((Table133456[[#This Row],[BIDC]]+Table133456[[#This Row],[ASKC]])/2), TRUE)</f>
        <v>0.01</v>
      </c>
      <c r="I1071" t="b">
        <f>IF(     ISNUMBER(Table133456[[#This Row],[Strike]]),RTD("tos.rtd", , "BID", "."&amp;Table133456[[#This Row],[Ticker]]&amp;Table133456[[#This Row],[Expiry]]&amp;""&amp;"C"&amp;Table133456[[#This Row],[Strike]]))</f>
        <v>0</v>
      </c>
      <c r="J1071" t="b">
        <f>IF(     ISNUMBER(Table133456[[#This Row],[Strike]]),RTD("tos.rtd", , "ASK", "."&amp;Table133456[[#This Row],[Ticker]]&amp;Table133456[[#This Row],[Expiry]]&amp;""&amp;"C"&amp;Table133456[[#This Row],[Strike]]))</f>
        <v>0</v>
      </c>
      <c r="K1071" s="17"/>
      <c r="M1071" s="1">
        <f t="shared" si="105"/>
        <v>0</v>
      </c>
      <c r="N1071" t="b">
        <f t="shared" si="106"/>
        <v>0</v>
      </c>
      <c r="P1071" s="17" cm="1">
        <f t="array" aca="1" ref="P1071" ca="1">IndividualLegIVCore($A$4, Table133456[[#This Row],[Strike]], 0.0411, Table133456[[#This Row],[T]], ((Table133456[[#This Row],[BIDP]]+Table133456[[#This Row],[ASKP]])/2), FALSE)</f>
        <v>0.01</v>
      </c>
      <c r="Q1071" t="b">
        <f>IF(     ISNUMBER(Table133456[[#This Row],[Strike]]),RTD("tos.rtd", , "BID", "."&amp;Table133456[[#This Row],[Ticker]]&amp;Table133456[[#This Row],[Expiry]]&amp;""&amp;"P"&amp;Table133456[[#This Row],[Strike]]))</f>
        <v>0</v>
      </c>
      <c r="R1071" t="b">
        <f>IF(     ISNUMBER(Table133456[[#This Row],[Strike]]),RTD("tos.rtd", , "ASK", "."&amp;Table133456[[#This Row],[Ticker]]&amp;Table133456[[#This Row],[Expiry]]&amp;""&amp;"P"&amp;Table133456[[#This Row],[Strike]]))</f>
        <v>0</v>
      </c>
      <c r="S1071" s="17"/>
      <c r="T107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1" s="19">
        <f>-27* IF($M$1="NDX", 10, IF(OR($M$1="SPX", $M$1="RUT"), 2, 1))</f>
        <v>-54</v>
      </c>
      <c r="Z1071">
        <f ca="1">IFERROR(Table133456[[#This Row],[call gamma]]*(Table133456[[#This Row],[Open.Int]])*$A$4^2,0)</f>
        <v>0</v>
      </c>
      <c r="AA1071">
        <f ca="1">IFERROR(((Table133456[[#This Row],[Open.Int8]])*Table133456[[#This Row],[Put gamma]])*-1*$A$4^2,0)</f>
        <v>0</v>
      </c>
      <c r="AB1071">
        <f ca="1">(Table133456[[#This Row],[Call Gex]]+Table133456[[#This Row],[Put Gex]])</f>
        <v>0</v>
      </c>
      <c r="AC1071">
        <f ca="1">Table133456[[#This Row],[put delta adj]]+Table133456[[#This Row],[call delta adj]]</f>
        <v>0</v>
      </c>
      <c r="AD1071">
        <f ca="1">Table133456[[#This Row],[Put Gex]]*Table133456[[#This Row],[DeltaP]]*-1</f>
        <v>0</v>
      </c>
      <c r="AE1071">
        <f ca="1">Table133456[[#This Row],[Call Gex]]*Table133456[[#This Row],[DeltaC]]</f>
        <v>0</v>
      </c>
      <c r="AF1071">
        <f>IF(Table133456[[#This Row],[DeltaC]]-ABS(Table133456[[#This Row],[DeltaP]])="0","0.01",Table133456[[#This Row],[DeltaC]]-ABS(Table133456[[#This Row],[DeltaP]]))</f>
        <v>0</v>
      </c>
      <c r="AG107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1" t="e">
        <f ca="1">(EXP(-(AG1071^2)/2)/SQRT(2*PI())*EXP(0*SQRT(Table133456[[#This Row],[T]]))/$A$4*18%*SQRT(SQRT(Table133456[[#This Row],[T]])))</f>
        <v>#DIV/0!</v>
      </c>
      <c r="AJ1071" t="e">
        <f ca="1">(EXP(-(AH1071^2)/2)/SQRT(2*PI())*EXP(0*SQRT(Table133456[[#This Row],[T]]))/$A$4*18%*SQRT(SQRT(Table133456[[#This Row],[T]])))</f>
        <v>#DIV/0!</v>
      </c>
      <c r="AK1071" t="e">
        <f ca="1">Table133456[[#This Row],[Call D1]]-Table133456[[#This Row],[IV Calc C]]*SQRT(Table133456[[#This Row],[T]])</f>
        <v>#DIV/0!</v>
      </c>
      <c r="AL1071" t="e">
        <f ca="1">Table133456[[#This Row],[Put D1]]-Table133456[[#This Row],[IV Calc P]]*SQRT(Table133456[[#This Row],[T]])</f>
        <v>#DIV/0!</v>
      </c>
      <c r="AM1071" t="e">
        <f ca="1">EXP(-0.5*Table133456[[#This Row],[Call D1]]^2)/SQRT(2*PI())</f>
        <v>#DIV/0!</v>
      </c>
      <c r="AN1071" t="e">
        <f ca="1">EXP(-0.5*Table133456[[#This Row],[Put D1]]^2)/SQRT(2*PI())</f>
        <v>#DIV/0!</v>
      </c>
      <c r="AO107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1">
        <f ca="1">((Table133456[[#This Row],[call vanna]]+Table133456[[#This Row],[put vanna]])*$A$4)</f>
        <v>0</v>
      </c>
      <c r="AR107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1" s="9" t="str" cm="1">
        <f t="array" ref="AT1071">_xlfn.IFS(     $M$1="SPX","SPXW",     $M$1="RUT","RUTW",  $M$1="NDX","NDXP",   TRUE,$M$1 )</f>
        <v>SPXW</v>
      </c>
      <c r="AU1071" s="2">
        <f t="shared" si="107"/>
        <v>6915</v>
      </c>
      <c r="AV1071" t="str">
        <f t="shared" si="108"/>
        <v>000100</v>
      </c>
      <c r="AY107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1">
        <f>((Table133456[[#This Row],[High C]]+Table133456[[#This Row],[Low C]])/2)*Table133456[[#This Row],[gammac]]*Table133456[[#This Row],[Volume]]</f>
        <v>0</v>
      </c>
      <c r="BD1071">
        <f>((Table133456[[#This Row],[High P]]+Table133456[[#This Row],[Low P]])/2)*Table133456[[#This Row],[gammap]]*Table133456[[#This Row],[Volume9]]*-1</f>
        <v>0</v>
      </c>
      <c r="BE1071">
        <f>(Table133456[[#This Row],[SgammaC]]+Table133456[[#This Row],[SgammaP]])*$A$4*-100</f>
        <v>0</v>
      </c>
      <c r="BF1071">
        <f>Table133456[[#This Row],[DEXc]]+Table133456[[#This Row],[DEXp]]</f>
        <v>0</v>
      </c>
      <c r="BG1071">
        <f>IFERROR(Table133456[[#This Row],[DeltaC]]*Table133456[[#This Row],[Open.Int]]*$A$4,0)</f>
        <v>0</v>
      </c>
      <c r="BH1071">
        <f>IFERROR(Table133456[[#This Row],[DeltaP]]*Table133456[[#This Row],[Open.Int8]]*$A$4,0)</f>
        <v>0</v>
      </c>
      <c r="BI107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1">
        <f ca="1">Table133456[[#This Row],[charmc]]+Table133456[[#This Row],[charmp]]</f>
        <v>0</v>
      </c>
      <c r="BL107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1" s="78">
        <f ca="1">Table133456[[#This Row],[call helper]]+Table133456[[#This Row],[put helper]]</f>
        <v>0</v>
      </c>
      <c r="BP1071" t="str">
        <f>RTD("tos.rtd", , "STRIKE", "."&amp;Table133456[[#This Row],[Ticker]]&amp;Table133456[[#This Row],[Expiry]]&amp;""&amp;"C"&amp;Table133456[[#This Row],[Spot]]+Table133456[[#This Row],[step]])</f>
        <v>N/A</v>
      </c>
    </row>
    <row r="1072" spans="1:68" x14ac:dyDescent="0.25">
      <c r="A1072" s="14">
        <f t="shared" ca="1" si="104"/>
        <v>-126.14810350076104</v>
      </c>
      <c r="C1072" s="17"/>
      <c r="D1072" t="str">
        <f>RTD("tos.rtd", , "OPEN_INT", "."&amp;Table133456[[#This Row],[Ticker]]&amp;Table133456[[#This Row],[Expiry]]&amp;""&amp;"C"&amp;Table133456[[#This Row],[Spot]]+Table133456[[#This Row],[step]])</f>
        <v>N/A</v>
      </c>
      <c r="E107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2" s="17" cm="1">
        <f t="array" aca="1" ref="H1072" ca="1">IndividualLegIVCore($A$4, Table133456[[#This Row],[Strike]], 0.0411, Table133456[[#This Row],[T]], ((Table133456[[#This Row],[BIDC]]+Table133456[[#This Row],[ASKC]])/2), TRUE)</f>
        <v>0.01</v>
      </c>
      <c r="I1072" t="b">
        <f>IF(     ISNUMBER(Table133456[[#This Row],[Strike]]),RTD("tos.rtd", , "BID", "."&amp;Table133456[[#This Row],[Ticker]]&amp;Table133456[[#This Row],[Expiry]]&amp;""&amp;"C"&amp;Table133456[[#This Row],[Strike]]))</f>
        <v>0</v>
      </c>
      <c r="J1072" t="b">
        <f>IF(     ISNUMBER(Table133456[[#This Row],[Strike]]),RTD("tos.rtd", , "ASK", "."&amp;Table133456[[#This Row],[Ticker]]&amp;Table133456[[#This Row],[Expiry]]&amp;""&amp;"C"&amp;Table133456[[#This Row],[Strike]]))</f>
        <v>0</v>
      </c>
      <c r="K1072" s="17"/>
      <c r="M1072" s="1">
        <f t="shared" si="105"/>
        <v>0</v>
      </c>
      <c r="N1072" t="b">
        <f t="shared" si="106"/>
        <v>0</v>
      </c>
      <c r="P1072" s="17" cm="1">
        <f t="array" aca="1" ref="P1072" ca="1">IndividualLegIVCore($A$4, Table133456[[#This Row],[Strike]], 0.0411, Table133456[[#This Row],[T]], ((Table133456[[#This Row],[BIDP]]+Table133456[[#This Row],[ASKP]])/2), FALSE)</f>
        <v>0.01</v>
      </c>
      <c r="Q1072" t="b">
        <f>IF(     ISNUMBER(Table133456[[#This Row],[Strike]]),RTD("tos.rtd", , "BID", "."&amp;Table133456[[#This Row],[Ticker]]&amp;Table133456[[#This Row],[Expiry]]&amp;""&amp;"P"&amp;Table133456[[#This Row],[Strike]]))</f>
        <v>0</v>
      </c>
      <c r="R1072" t="b">
        <f>IF(     ISNUMBER(Table133456[[#This Row],[Strike]]),RTD("tos.rtd", , "ASK", "."&amp;Table133456[[#This Row],[Ticker]]&amp;Table133456[[#This Row],[Expiry]]&amp;""&amp;"P"&amp;Table133456[[#This Row],[Strike]]))</f>
        <v>0</v>
      </c>
      <c r="S1072" s="17"/>
      <c r="T107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2" s="19">
        <f>-26.5* IF($M$1="NDX", 10, IF(OR($M$1="SPX", $M$1="RUT"), 2, 1))</f>
        <v>-53</v>
      </c>
      <c r="Z1072">
        <f ca="1">IFERROR(Table133456[[#This Row],[call gamma]]*(Table133456[[#This Row],[Open.Int]])*$A$4^2,0)</f>
        <v>0</v>
      </c>
      <c r="AA1072">
        <f ca="1">IFERROR(((Table133456[[#This Row],[Open.Int8]])*Table133456[[#This Row],[Put gamma]])*-1*$A$4^2,0)</f>
        <v>0</v>
      </c>
      <c r="AB1072">
        <f ca="1">(Table133456[[#This Row],[Call Gex]]+Table133456[[#This Row],[Put Gex]])</f>
        <v>0</v>
      </c>
      <c r="AC1072">
        <f ca="1">Table133456[[#This Row],[put delta adj]]+Table133456[[#This Row],[call delta adj]]</f>
        <v>0</v>
      </c>
      <c r="AD1072">
        <f ca="1">Table133456[[#This Row],[Put Gex]]*Table133456[[#This Row],[DeltaP]]*-1</f>
        <v>0</v>
      </c>
      <c r="AE1072">
        <f ca="1">Table133456[[#This Row],[Call Gex]]*Table133456[[#This Row],[DeltaC]]</f>
        <v>0</v>
      </c>
      <c r="AF1072">
        <f>IF(Table133456[[#This Row],[DeltaC]]-ABS(Table133456[[#This Row],[DeltaP]])="0","0.01",Table133456[[#This Row],[DeltaC]]-ABS(Table133456[[#This Row],[DeltaP]]))</f>
        <v>0</v>
      </c>
      <c r="AG107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2" t="e">
        <f ca="1">(EXP(-(AG1072^2)/2)/SQRT(2*PI())*EXP(0*SQRT(Table133456[[#This Row],[T]]))/$A$4*18%*SQRT(SQRT(Table133456[[#This Row],[T]])))</f>
        <v>#DIV/0!</v>
      </c>
      <c r="AJ1072" t="e">
        <f ca="1">(EXP(-(AH1072^2)/2)/SQRT(2*PI())*EXP(0*SQRT(Table133456[[#This Row],[T]]))/$A$4*18%*SQRT(SQRT(Table133456[[#This Row],[T]])))</f>
        <v>#DIV/0!</v>
      </c>
      <c r="AK1072" t="e">
        <f ca="1">Table133456[[#This Row],[Call D1]]-Table133456[[#This Row],[IV Calc C]]*SQRT(Table133456[[#This Row],[T]])</f>
        <v>#DIV/0!</v>
      </c>
      <c r="AL1072" t="e">
        <f ca="1">Table133456[[#This Row],[Put D1]]-Table133456[[#This Row],[IV Calc P]]*SQRT(Table133456[[#This Row],[T]])</f>
        <v>#DIV/0!</v>
      </c>
      <c r="AM1072" t="e">
        <f ca="1">EXP(-0.5*Table133456[[#This Row],[Call D1]]^2)/SQRT(2*PI())</f>
        <v>#DIV/0!</v>
      </c>
      <c r="AN1072" t="e">
        <f ca="1">EXP(-0.5*Table133456[[#This Row],[Put D1]]^2)/SQRT(2*PI())</f>
        <v>#DIV/0!</v>
      </c>
      <c r="AO107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2">
        <f ca="1">((Table133456[[#This Row],[call vanna]]+Table133456[[#This Row],[put vanna]])*$A$4)</f>
        <v>0</v>
      </c>
      <c r="AR107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2" s="9" t="str" cm="1">
        <f t="array" ref="AT1072">_xlfn.IFS(     $M$1="SPX","SPXW",     $M$1="RUT","RUTW",  $M$1="NDX","NDXP",   TRUE,$M$1 )</f>
        <v>SPXW</v>
      </c>
      <c r="AU1072" s="2">
        <f t="shared" si="107"/>
        <v>6915</v>
      </c>
      <c r="AV1072" t="str">
        <f t="shared" si="108"/>
        <v>000100</v>
      </c>
      <c r="AY107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2">
        <f>((Table133456[[#This Row],[High C]]+Table133456[[#This Row],[Low C]])/2)*Table133456[[#This Row],[gammac]]*Table133456[[#This Row],[Volume]]</f>
        <v>0</v>
      </c>
      <c r="BD1072">
        <f>((Table133456[[#This Row],[High P]]+Table133456[[#This Row],[Low P]])/2)*Table133456[[#This Row],[gammap]]*Table133456[[#This Row],[Volume9]]*-1</f>
        <v>0</v>
      </c>
      <c r="BE1072">
        <f>(Table133456[[#This Row],[SgammaC]]+Table133456[[#This Row],[SgammaP]])*$A$4*-100</f>
        <v>0</v>
      </c>
      <c r="BF1072">
        <f>Table133456[[#This Row],[DEXc]]+Table133456[[#This Row],[DEXp]]</f>
        <v>0</v>
      </c>
      <c r="BG1072">
        <f>IFERROR(Table133456[[#This Row],[DeltaC]]*Table133456[[#This Row],[Open.Int]]*$A$4,0)</f>
        <v>0</v>
      </c>
      <c r="BH1072">
        <f>IFERROR(Table133456[[#This Row],[DeltaP]]*Table133456[[#This Row],[Open.Int8]]*$A$4,0)</f>
        <v>0</v>
      </c>
      <c r="BI107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2">
        <f ca="1">Table133456[[#This Row],[charmc]]+Table133456[[#This Row],[charmp]]</f>
        <v>0</v>
      </c>
      <c r="BL107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2" s="78">
        <f ca="1">Table133456[[#This Row],[call helper]]+Table133456[[#This Row],[put helper]]</f>
        <v>0</v>
      </c>
      <c r="BP1072" t="str">
        <f>RTD("tos.rtd", , "STRIKE", "."&amp;Table133456[[#This Row],[Ticker]]&amp;Table133456[[#This Row],[Expiry]]&amp;""&amp;"C"&amp;Table133456[[#This Row],[Spot]]+Table133456[[#This Row],[step]])</f>
        <v>N/A</v>
      </c>
    </row>
    <row r="1073" spans="1:68" x14ac:dyDescent="0.25">
      <c r="A1073" s="14">
        <f t="shared" ca="1" si="104"/>
        <v>-126.14810350076104</v>
      </c>
      <c r="C1073" s="17"/>
      <c r="D1073" t="str">
        <f>RTD("tos.rtd", , "OPEN_INT", "."&amp;Table133456[[#This Row],[Ticker]]&amp;Table133456[[#This Row],[Expiry]]&amp;""&amp;"C"&amp;Table133456[[#This Row],[Spot]]+Table133456[[#This Row],[step]])</f>
        <v>N/A</v>
      </c>
      <c r="E107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3" s="17" cm="1">
        <f t="array" aca="1" ref="H1073" ca="1">IndividualLegIVCore($A$4, Table133456[[#This Row],[Strike]], 0.0411, Table133456[[#This Row],[T]], ((Table133456[[#This Row],[BIDC]]+Table133456[[#This Row],[ASKC]])/2), TRUE)</f>
        <v>0.01</v>
      </c>
      <c r="I1073" t="b">
        <f>IF(     ISNUMBER(Table133456[[#This Row],[Strike]]),RTD("tos.rtd", , "BID", "."&amp;Table133456[[#This Row],[Ticker]]&amp;Table133456[[#This Row],[Expiry]]&amp;""&amp;"C"&amp;Table133456[[#This Row],[Strike]]))</f>
        <v>0</v>
      </c>
      <c r="J1073" t="b">
        <f>IF(     ISNUMBER(Table133456[[#This Row],[Strike]]),RTD("tos.rtd", , "ASK", "."&amp;Table133456[[#This Row],[Ticker]]&amp;Table133456[[#This Row],[Expiry]]&amp;""&amp;"C"&amp;Table133456[[#This Row],[Strike]]))</f>
        <v>0</v>
      </c>
      <c r="K1073" s="17"/>
      <c r="M1073" s="1">
        <f t="shared" si="105"/>
        <v>0</v>
      </c>
      <c r="N1073" t="b">
        <f t="shared" si="106"/>
        <v>0</v>
      </c>
      <c r="P1073" s="17" cm="1">
        <f t="array" aca="1" ref="P1073" ca="1">IndividualLegIVCore($A$4, Table133456[[#This Row],[Strike]], 0.0411, Table133456[[#This Row],[T]], ((Table133456[[#This Row],[BIDP]]+Table133456[[#This Row],[ASKP]])/2), FALSE)</f>
        <v>0.01</v>
      </c>
      <c r="Q1073" t="b">
        <f>IF(     ISNUMBER(Table133456[[#This Row],[Strike]]),RTD("tos.rtd", , "BID", "."&amp;Table133456[[#This Row],[Ticker]]&amp;Table133456[[#This Row],[Expiry]]&amp;""&amp;"P"&amp;Table133456[[#This Row],[Strike]]))</f>
        <v>0</v>
      </c>
      <c r="R1073" t="b">
        <f>IF(     ISNUMBER(Table133456[[#This Row],[Strike]]),RTD("tos.rtd", , "ASK", "."&amp;Table133456[[#This Row],[Ticker]]&amp;Table133456[[#This Row],[Expiry]]&amp;""&amp;"P"&amp;Table133456[[#This Row],[Strike]]))</f>
        <v>0</v>
      </c>
      <c r="S1073" s="17"/>
      <c r="T107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3" s="19">
        <f>-26* IF($M$1="NDX", 10, IF(OR($M$1="SPX", $M$1="RUT"), 2, 1))</f>
        <v>-52</v>
      </c>
      <c r="Z1073">
        <f ca="1">IFERROR(Table133456[[#This Row],[call gamma]]*(Table133456[[#This Row],[Open.Int]])*$A$4^2,0)</f>
        <v>0</v>
      </c>
      <c r="AA1073">
        <f ca="1">IFERROR(((Table133456[[#This Row],[Open.Int8]])*Table133456[[#This Row],[Put gamma]])*-1*$A$4^2,0)</f>
        <v>0</v>
      </c>
      <c r="AB1073">
        <f ca="1">(Table133456[[#This Row],[Call Gex]]+Table133456[[#This Row],[Put Gex]])</f>
        <v>0</v>
      </c>
      <c r="AC1073">
        <f ca="1">Table133456[[#This Row],[put delta adj]]+Table133456[[#This Row],[call delta adj]]</f>
        <v>0</v>
      </c>
      <c r="AD1073">
        <f ca="1">Table133456[[#This Row],[Put Gex]]*Table133456[[#This Row],[DeltaP]]*-1</f>
        <v>0</v>
      </c>
      <c r="AE1073">
        <f ca="1">Table133456[[#This Row],[Call Gex]]*Table133456[[#This Row],[DeltaC]]</f>
        <v>0</v>
      </c>
      <c r="AF1073">
        <f>IF(Table133456[[#This Row],[DeltaC]]-ABS(Table133456[[#This Row],[DeltaP]])="0","0.01",Table133456[[#This Row],[DeltaC]]-ABS(Table133456[[#This Row],[DeltaP]]))</f>
        <v>0</v>
      </c>
      <c r="AG107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3" t="e">
        <f ca="1">(EXP(-(AG1073^2)/2)/SQRT(2*PI())*EXP(0*SQRT(Table133456[[#This Row],[T]]))/$A$4*18%*SQRT(SQRT(Table133456[[#This Row],[T]])))</f>
        <v>#DIV/0!</v>
      </c>
      <c r="AJ1073" t="e">
        <f ca="1">(EXP(-(AH1073^2)/2)/SQRT(2*PI())*EXP(0*SQRT(Table133456[[#This Row],[T]]))/$A$4*18%*SQRT(SQRT(Table133456[[#This Row],[T]])))</f>
        <v>#DIV/0!</v>
      </c>
      <c r="AK1073" t="e">
        <f ca="1">Table133456[[#This Row],[Call D1]]-Table133456[[#This Row],[IV Calc C]]*SQRT(Table133456[[#This Row],[T]])</f>
        <v>#DIV/0!</v>
      </c>
      <c r="AL1073" t="e">
        <f ca="1">Table133456[[#This Row],[Put D1]]-Table133456[[#This Row],[IV Calc P]]*SQRT(Table133456[[#This Row],[T]])</f>
        <v>#DIV/0!</v>
      </c>
      <c r="AM1073" t="e">
        <f ca="1">EXP(-0.5*Table133456[[#This Row],[Call D1]]^2)/SQRT(2*PI())</f>
        <v>#DIV/0!</v>
      </c>
      <c r="AN1073" t="e">
        <f ca="1">EXP(-0.5*Table133456[[#This Row],[Put D1]]^2)/SQRT(2*PI())</f>
        <v>#DIV/0!</v>
      </c>
      <c r="AO107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3">
        <f ca="1">((Table133456[[#This Row],[call vanna]]+Table133456[[#This Row],[put vanna]])*$A$4)</f>
        <v>0</v>
      </c>
      <c r="AR107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3" s="9" t="str" cm="1">
        <f t="array" ref="AT1073">_xlfn.IFS(     $M$1="SPX","SPXW",     $M$1="RUT","RUTW",  $M$1="NDX","NDXP",   TRUE,$M$1 )</f>
        <v>SPXW</v>
      </c>
      <c r="AU1073" s="2">
        <f t="shared" si="107"/>
        <v>6915</v>
      </c>
      <c r="AV1073" t="str">
        <f t="shared" si="108"/>
        <v>000100</v>
      </c>
      <c r="AY107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3">
        <f>((Table133456[[#This Row],[High C]]+Table133456[[#This Row],[Low C]])/2)*Table133456[[#This Row],[gammac]]*Table133456[[#This Row],[Volume]]</f>
        <v>0</v>
      </c>
      <c r="BD1073">
        <f>((Table133456[[#This Row],[High P]]+Table133456[[#This Row],[Low P]])/2)*Table133456[[#This Row],[gammap]]*Table133456[[#This Row],[Volume9]]*-1</f>
        <v>0</v>
      </c>
      <c r="BE1073">
        <f>(Table133456[[#This Row],[SgammaC]]+Table133456[[#This Row],[SgammaP]])*$A$4*-100</f>
        <v>0</v>
      </c>
      <c r="BF1073">
        <f>Table133456[[#This Row],[DEXc]]+Table133456[[#This Row],[DEXp]]</f>
        <v>0</v>
      </c>
      <c r="BG1073">
        <f>IFERROR(Table133456[[#This Row],[DeltaC]]*Table133456[[#This Row],[Open.Int]]*$A$4,0)</f>
        <v>0</v>
      </c>
      <c r="BH1073">
        <f>IFERROR(Table133456[[#This Row],[DeltaP]]*Table133456[[#This Row],[Open.Int8]]*$A$4,0)</f>
        <v>0</v>
      </c>
      <c r="BI107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3">
        <f ca="1">Table133456[[#This Row],[charmc]]+Table133456[[#This Row],[charmp]]</f>
        <v>0</v>
      </c>
      <c r="BL107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3" s="78">
        <f ca="1">Table133456[[#This Row],[call helper]]+Table133456[[#This Row],[put helper]]</f>
        <v>0</v>
      </c>
      <c r="BP1073" t="str">
        <f>RTD("tos.rtd", , "STRIKE", "."&amp;Table133456[[#This Row],[Ticker]]&amp;Table133456[[#This Row],[Expiry]]&amp;""&amp;"C"&amp;Table133456[[#This Row],[Spot]]+Table133456[[#This Row],[step]])</f>
        <v>N/A</v>
      </c>
    </row>
    <row r="1074" spans="1:68" x14ac:dyDescent="0.25">
      <c r="A1074" s="14">
        <f t="shared" ca="1" si="104"/>
        <v>-126.14810350076104</v>
      </c>
      <c r="C1074" s="17"/>
      <c r="D1074" t="str">
        <f>RTD("tos.rtd", , "OPEN_INT", "."&amp;Table133456[[#This Row],[Ticker]]&amp;Table133456[[#This Row],[Expiry]]&amp;""&amp;"C"&amp;Table133456[[#This Row],[Spot]]+Table133456[[#This Row],[step]])</f>
        <v>N/A</v>
      </c>
      <c r="E107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4" s="17" cm="1">
        <f t="array" aca="1" ref="H1074" ca="1">IndividualLegIVCore($A$4, Table133456[[#This Row],[Strike]], 0.0411, Table133456[[#This Row],[T]], ((Table133456[[#This Row],[BIDC]]+Table133456[[#This Row],[ASKC]])/2), TRUE)</f>
        <v>0.01</v>
      </c>
      <c r="I1074" t="b">
        <f>IF(     ISNUMBER(Table133456[[#This Row],[Strike]]),RTD("tos.rtd", , "BID", "."&amp;Table133456[[#This Row],[Ticker]]&amp;Table133456[[#This Row],[Expiry]]&amp;""&amp;"C"&amp;Table133456[[#This Row],[Strike]]))</f>
        <v>0</v>
      </c>
      <c r="J1074" t="b">
        <f>IF(     ISNUMBER(Table133456[[#This Row],[Strike]]),RTD("tos.rtd", , "ASK", "."&amp;Table133456[[#This Row],[Ticker]]&amp;Table133456[[#This Row],[Expiry]]&amp;""&amp;"C"&amp;Table133456[[#This Row],[Strike]]))</f>
        <v>0</v>
      </c>
      <c r="K1074" s="17"/>
      <c r="M1074" s="1">
        <f t="shared" si="105"/>
        <v>0</v>
      </c>
      <c r="N1074" t="b">
        <f t="shared" si="106"/>
        <v>0</v>
      </c>
      <c r="P1074" s="17" cm="1">
        <f t="array" aca="1" ref="P1074" ca="1">IndividualLegIVCore($A$4, Table133456[[#This Row],[Strike]], 0.0411, Table133456[[#This Row],[T]], ((Table133456[[#This Row],[BIDP]]+Table133456[[#This Row],[ASKP]])/2), FALSE)</f>
        <v>0.01</v>
      </c>
      <c r="Q1074" t="b">
        <f>IF(     ISNUMBER(Table133456[[#This Row],[Strike]]),RTD("tos.rtd", , "BID", "."&amp;Table133456[[#This Row],[Ticker]]&amp;Table133456[[#This Row],[Expiry]]&amp;""&amp;"P"&amp;Table133456[[#This Row],[Strike]]))</f>
        <v>0</v>
      </c>
      <c r="R1074" t="b">
        <f>IF(     ISNUMBER(Table133456[[#This Row],[Strike]]),RTD("tos.rtd", , "ASK", "."&amp;Table133456[[#This Row],[Ticker]]&amp;Table133456[[#This Row],[Expiry]]&amp;""&amp;"P"&amp;Table133456[[#This Row],[Strike]]))</f>
        <v>0</v>
      </c>
      <c r="S1074" s="17"/>
      <c r="T107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4" s="19">
        <f>-25.5* IF($M$1="NDX", 10, IF(OR($M$1="SPX", $M$1="RUT"), 2, 1))</f>
        <v>-51</v>
      </c>
      <c r="Z1074">
        <f ca="1">IFERROR(Table133456[[#This Row],[call gamma]]*(Table133456[[#This Row],[Open.Int]])*$A$4^2,0)</f>
        <v>0</v>
      </c>
      <c r="AA1074">
        <f ca="1">IFERROR(((Table133456[[#This Row],[Open.Int8]])*Table133456[[#This Row],[Put gamma]])*-1*$A$4^2,0)</f>
        <v>0</v>
      </c>
      <c r="AB1074">
        <f ca="1">(Table133456[[#This Row],[Call Gex]]+Table133456[[#This Row],[Put Gex]])</f>
        <v>0</v>
      </c>
      <c r="AC1074">
        <f ca="1">Table133456[[#This Row],[put delta adj]]+Table133456[[#This Row],[call delta adj]]</f>
        <v>0</v>
      </c>
      <c r="AD1074">
        <f ca="1">Table133456[[#This Row],[Put Gex]]*Table133456[[#This Row],[DeltaP]]*-1</f>
        <v>0</v>
      </c>
      <c r="AE1074">
        <f ca="1">Table133456[[#This Row],[Call Gex]]*Table133456[[#This Row],[DeltaC]]</f>
        <v>0</v>
      </c>
      <c r="AF1074">
        <f>IF(Table133456[[#This Row],[DeltaC]]-ABS(Table133456[[#This Row],[DeltaP]])="0","0.01",Table133456[[#This Row],[DeltaC]]-ABS(Table133456[[#This Row],[DeltaP]]))</f>
        <v>0</v>
      </c>
      <c r="AG107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4" t="e">
        <f ca="1">(EXP(-(AG1074^2)/2)/SQRT(2*PI())*EXP(0*SQRT(Table133456[[#This Row],[T]]))/$A$4*18%*SQRT(SQRT(Table133456[[#This Row],[T]])))</f>
        <v>#DIV/0!</v>
      </c>
      <c r="AJ1074" t="e">
        <f ca="1">(EXP(-(AH1074^2)/2)/SQRT(2*PI())*EXP(0*SQRT(Table133456[[#This Row],[T]]))/$A$4*18%*SQRT(SQRT(Table133456[[#This Row],[T]])))</f>
        <v>#DIV/0!</v>
      </c>
      <c r="AK1074" t="e">
        <f ca="1">Table133456[[#This Row],[Call D1]]-Table133456[[#This Row],[IV Calc C]]*SQRT(Table133456[[#This Row],[T]])</f>
        <v>#DIV/0!</v>
      </c>
      <c r="AL1074" t="e">
        <f ca="1">Table133456[[#This Row],[Put D1]]-Table133456[[#This Row],[IV Calc P]]*SQRT(Table133456[[#This Row],[T]])</f>
        <v>#DIV/0!</v>
      </c>
      <c r="AM1074" t="e">
        <f ca="1">EXP(-0.5*Table133456[[#This Row],[Call D1]]^2)/SQRT(2*PI())</f>
        <v>#DIV/0!</v>
      </c>
      <c r="AN1074" t="e">
        <f ca="1">EXP(-0.5*Table133456[[#This Row],[Put D1]]^2)/SQRT(2*PI())</f>
        <v>#DIV/0!</v>
      </c>
      <c r="AO107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4">
        <f ca="1">((Table133456[[#This Row],[call vanna]]+Table133456[[#This Row],[put vanna]])*$A$4)</f>
        <v>0</v>
      </c>
      <c r="AR107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4" s="9" t="str" cm="1">
        <f t="array" ref="AT1074">_xlfn.IFS(     $M$1="SPX","SPXW",     $M$1="RUT","RUTW",  $M$1="NDX","NDXP",   TRUE,$M$1 )</f>
        <v>SPXW</v>
      </c>
      <c r="AU1074" s="2">
        <f t="shared" si="107"/>
        <v>6915</v>
      </c>
      <c r="AV1074" t="str">
        <f t="shared" si="108"/>
        <v>000100</v>
      </c>
      <c r="AY107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4">
        <f>((Table133456[[#This Row],[High C]]+Table133456[[#This Row],[Low C]])/2)*Table133456[[#This Row],[gammac]]*Table133456[[#This Row],[Volume]]</f>
        <v>0</v>
      </c>
      <c r="BD1074">
        <f>((Table133456[[#This Row],[High P]]+Table133456[[#This Row],[Low P]])/2)*Table133456[[#This Row],[gammap]]*Table133456[[#This Row],[Volume9]]*-1</f>
        <v>0</v>
      </c>
      <c r="BE1074">
        <f>(Table133456[[#This Row],[SgammaC]]+Table133456[[#This Row],[SgammaP]])*$A$4*-100</f>
        <v>0</v>
      </c>
      <c r="BF1074">
        <f>Table133456[[#This Row],[DEXc]]+Table133456[[#This Row],[DEXp]]</f>
        <v>0</v>
      </c>
      <c r="BG1074">
        <f>IFERROR(Table133456[[#This Row],[DeltaC]]*Table133456[[#This Row],[Open.Int]]*$A$4,0)</f>
        <v>0</v>
      </c>
      <c r="BH1074">
        <f>IFERROR(Table133456[[#This Row],[DeltaP]]*Table133456[[#This Row],[Open.Int8]]*$A$4,0)</f>
        <v>0</v>
      </c>
      <c r="BI107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4">
        <f ca="1">Table133456[[#This Row],[charmc]]+Table133456[[#This Row],[charmp]]</f>
        <v>0</v>
      </c>
      <c r="BL107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4" s="78">
        <f ca="1">Table133456[[#This Row],[call helper]]+Table133456[[#This Row],[put helper]]</f>
        <v>0</v>
      </c>
      <c r="BP1074" t="str">
        <f>RTD("tos.rtd", , "STRIKE", "."&amp;Table133456[[#This Row],[Ticker]]&amp;Table133456[[#This Row],[Expiry]]&amp;""&amp;"C"&amp;Table133456[[#This Row],[Spot]]+Table133456[[#This Row],[step]])</f>
        <v>N/A</v>
      </c>
    </row>
    <row r="1075" spans="1:68" x14ac:dyDescent="0.25">
      <c r="A1075" s="14">
        <f t="shared" ca="1" si="104"/>
        <v>-126.14810350076104</v>
      </c>
      <c r="C1075" s="17"/>
      <c r="D1075" t="str">
        <f>RTD("tos.rtd", , "OPEN_INT", "."&amp;Table133456[[#This Row],[Ticker]]&amp;Table133456[[#This Row],[Expiry]]&amp;""&amp;"C"&amp;Table133456[[#This Row],[Spot]]+Table133456[[#This Row],[step]])</f>
        <v>N/A</v>
      </c>
      <c r="E107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5" s="17" cm="1">
        <f t="array" aca="1" ref="H1075" ca="1">IndividualLegIVCore($A$4, Table133456[[#This Row],[Strike]], 0.0411, Table133456[[#This Row],[T]], ((Table133456[[#This Row],[BIDC]]+Table133456[[#This Row],[ASKC]])/2), TRUE)</f>
        <v>0.01</v>
      </c>
      <c r="I1075" t="b">
        <f>IF(     ISNUMBER(Table133456[[#This Row],[Strike]]),RTD("tos.rtd", , "BID", "."&amp;Table133456[[#This Row],[Ticker]]&amp;Table133456[[#This Row],[Expiry]]&amp;""&amp;"C"&amp;Table133456[[#This Row],[Strike]]))</f>
        <v>0</v>
      </c>
      <c r="J1075" t="b">
        <f>IF(     ISNUMBER(Table133456[[#This Row],[Strike]]),RTD("tos.rtd", , "ASK", "."&amp;Table133456[[#This Row],[Ticker]]&amp;Table133456[[#This Row],[Expiry]]&amp;""&amp;"C"&amp;Table133456[[#This Row],[Strike]]))</f>
        <v>0</v>
      </c>
      <c r="K1075" s="17"/>
      <c r="M1075" s="1">
        <f t="shared" si="105"/>
        <v>0</v>
      </c>
      <c r="N1075" t="b">
        <f t="shared" si="106"/>
        <v>0</v>
      </c>
      <c r="P1075" s="17" cm="1">
        <f t="array" aca="1" ref="P1075" ca="1">IndividualLegIVCore($A$4, Table133456[[#This Row],[Strike]], 0.0411, Table133456[[#This Row],[T]], ((Table133456[[#This Row],[BIDP]]+Table133456[[#This Row],[ASKP]])/2), FALSE)</f>
        <v>0.01</v>
      </c>
      <c r="Q1075" t="b">
        <f>IF(     ISNUMBER(Table133456[[#This Row],[Strike]]),RTD("tos.rtd", , "BID", "."&amp;Table133456[[#This Row],[Ticker]]&amp;Table133456[[#This Row],[Expiry]]&amp;""&amp;"P"&amp;Table133456[[#This Row],[Strike]]))</f>
        <v>0</v>
      </c>
      <c r="R1075" t="b">
        <f>IF(     ISNUMBER(Table133456[[#This Row],[Strike]]),RTD("tos.rtd", , "ASK", "."&amp;Table133456[[#This Row],[Ticker]]&amp;Table133456[[#This Row],[Expiry]]&amp;""&amp;"P"&amp;Table133456[[#This Row],[Strike]]))</f>
        <v>0</v>
      </c>
      <c r="S1075" s="17"/>
      <c r="T107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5" s="19">
        <f>-25* IF($M$1="NDX", 10, IF(OR($M$1="SPX", $M$1="RUT"), 2, 1))</f>
        <v>-50</v>
      </c>
      <c r="Z1075">
        <f ca="1">IFERROR(Table133456[[#This Row],[call gamma]]*(Table133456[[#This Row],[Open.Int]])*$A$4^2,0)</f>
        <v>0</v>
      </c>
      <c r="AA1075">
        <f ca="1">IFERROR(((Table133456[[#This Row],[Open.Int8]])*Table133456[[#This Row],[Put gamma]])*-1*$A$4^2,0)</f>
        <v>0</v>
      </c>
      <c r="AB1075">
        <f ca="1">(Table133456[[#This Row],[Call Gex]]+Table133456[[#This Row],[Put Gex]])</f>
        <v>0</v>
      </c>
      <c r="AC1075">
        <f ca="1">Table133456[[#This Row],[put delta adj]]+Table133456[[#This Row],[call delta adj]]</f>
        <v>0</v>
      </c>
      <c r="AD1075">
        <f ca="1">Table133456[[#This Row],[Put Gex]]*Table133456[[#This Row],[DeltaP]]*-1</f>
        <v>0</v>
      </c>
      <c r="AE1075">
        <f ca="1">Table133456[[#This Row],[Call Gex]]*Table133456[[#This Row],[DeltaC]]</f>
        <v>0</v>
      </c>
      <c r="AF1075">
        <f>IF(Table133456[[#This Row],[DeltaC]]-ABS(Table133456[[#This Row],[DeltaP]])="0","0.01",Table133456[[#This Row],[DeltaC]]-ABS(Table133456[[#This Row],[DeltaP]]))</f>
        <v>0</v>
      </c>
      <c r="AG107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5" t="e">
        <f ca="1">(EXP(-(AG1075^2)/2)/SQRT(2*PI())*EXP(0*SQRT(Table133456[[#This Row],[T]]))/$A$4*18%*SQRT(SQRT(Table133456[[#This Row],[T]])))</f>
        <v>#DIV/0!</v>
      </c>
      <c r="AJ1075" t="e">
        <f ca="1">(EXP(-(AH1075^2)/2)/SQRT(2*PI())*EXP(0*SQRT(Table133456[[#This Row],[T]]))/$A$4*18%*SQRT(SQRT(Table133456[[#This Row],[T]])))</f>
        <v>#DIV/0!</v>
      </c>
      <c r="AK1075" t="e">
        <f ca="1">Table133456[[#This Row],[Call D1]]-Table133456[[#This Row],[IV Calc C]]*SQRT(Table133456[[#This Row],[T]])</f>
        <v>#DIV/0!</v>
      </c>
      <c r="AL1075" t="e">
        <f ca="1">Table133456[[#This Row],[Put D1]]-Table133456[[#This Row],[IV Calc P]]*SQRT(Table133456[[#This Row],[T]])</f>
        <v>#DIV/0!</v>
      </c>
      <c r="AM1075" t="e">
        <f ca="1">EXP(-0.5*Table133456[[#This Row],[Call D1]]^2)/SQRT(2*PI())</f>
        <v>#DIV/0!</v>
      </c>
      <c r="AN1075" t="e">
        <f ca="1">EXP(-0.5*Table133456[[#This Row],[Put D1]]^2)/SQRT(2*PI())</f>
        <v>#DIV/0!</v>
      </c>
      <c r="AO107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5">
        <f ca="1">((Table133456[[#This Row],[call vanna]]+Table133456[[#This Row],[put vanna]])*$A$4)</f>
        <v>0</v>
      </c>
      <c r="AR107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5" s="9" t="str" cm="1">
        <f t="array" ref="AT1075">_xlfn.IFS(     $M$1="SPX","SPXW",     $M$1="RUT","RUTW",  $M$1="NDX","NDXP",   TRUE,$M$1 )</f>
        <v>SPXW</v>
      </c>
      <c r="AU1075" s="2">
        <f t="shared" si="107"/>
        <v>6915</v>
      </c>
      <c r="AV1075" t="str">
        <f t="shared" si="108"/>
        <v>000100</v>
      </c>
      <c r="AY107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5">
        <f>((Table133456[[#This Row],[High C]]+Table133456[[#This Row],[Low C]])/2)*Table133456[[#This Row],[gammac]]*Table133456[[#This Row],[Volume]]</f>
        <v>0</v>
      </c>
      <c r="BD1075">
        <f>((Table133456[[#This Row],[High P]]+Table133456[[#This Row],[Low P]])/2)*Table133456[[#This Row],[gammap]]*Table133456[[#This Row],[Volume9]]*-1</f>
        <v>0</v>
      </c>
      <c r="BE1075">
        <f>(Table133456[[#This Row],[SgammaC]]+Table133456[[#This Row],[SgammaP]])*$A$4*-100</f>
        <v>0</v>
      </c>
      <c r="BF1075">
        <f>Table133456[[#This Row],[DEXc]]+Table133456[[#This Row],[DEXp]]</f>
        <v>0</v>
      </c>
      <c r="BG1075">
        <f>IFERROR(Table133456[[#This Row],[DeltaC]]*Table133456[[#This Row],[Open.Int]]*$A$4,0)</f>
        <v>0</v>
      </c>
      <c r="BH1075">
        <f>IFERROR(Table133456[[#This Row],[DeltaP]]*Table133456[[#This Row],[Open.Int8]]*$A$4,0)</f>
        <v>0</v>
      </c>
      <c r="BI107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5">
        <f ca="1">Table133456[[#This Row],[charmc]]+Table133456[[#This Row],[charmp]]</f>
        <v>0</v>
      </c>
      <c r="BL107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5" s="78">
        <f ca="1">Table133456[[#This Row],[call helper]]+Table133456[[#This Row],[put helper]]</f>
        <v>0</v>
      </c>
      <c r="BP1075" t="str">
        <f>RTD("tos.rtd", , "STRIKE", "."&amp;Table133456[[#This Row],[Ticker]]&amp;Table133456[[#This Row],[Expiry]]&amp;""&amp;"C"&amp;Table133456[[#This Row],[Spot]]+Table133456[[#This Row],[step]])</f>
        <v>N/A</v>
      </c>
    </row>
    <row r="1076" spans="1:68" x14ac:dyDescent="0.25">
      <c r="A1076" s="14">
        <f t="shared" ca="1" si="104"/>
        <v>-126.14810350076104</v>
      </c>
      <c r="C1076" s="17"/>
      <c r="D1076" t="str">
        <f>RTD("tos.rtd", , "OPEN_INT", "."&amp;Table133456[[#This Row],[Ticker]]&amp;Table133456[[#This Row],[Expiry]]&amp;""&amp;"C"&amp;Table133456[[#This Row],[Spot]]+Table133456[[#This Row],[step]])</f>
        <v>N/A</v>
      </c>
      <c r="E107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6" s="17" cm="1">
        <f t="array" aca="1" ref="H1076" ca="1">IndividualLegIVCore($A$4, Table133456[[#This Row],[Strike]], 0.0411, Table133456[[#This Row],[T]], ((Table133456[[#This Row],[BIDC]]+Table133456[[#This Row],[ASKC]])/2), TRUE)</f>
        <v>0.01</v>
      </c>
      <c r="I1076" t="b">
        <f>IF(     ISNUMBER(Table133456[[#This Row],[Strike]]),RTD("tos.rtd", , "BID", "."&amp;Table133456[[#This Row],[Ticker]]&amp;Table133456[[#This Row],[Expiry]]&amp;""&amp;"C"&amp;Table133456[[#This Row],[Strike]]))</f>
        <v>0</v>
      </c>
      <c r="J1076" t="b">
        <f>IF(     ISNUMBER(Table133456[[#This Row],[Strike]]),RTD("tos.rtd", , "ASK", "."&amp;Table133456[[#This Row],[Ticker]]&amp;Table133456[[#This Row],[Expiry]]&amp;""&amp;"C"&amp;Table133456[[#This Row],[Strike]]))</f>
        <v>0</v>
      </c>
      <c r="K1076" s="17"/>
      <c r="M1076" s="1">
        <f t="shared" si="105"/>
        <v>0</v>
      </c>
      <c r="N1076" t="b">
        <f t="shared" si="106"/>
        <v>0</v>
      </c>
      <c r="P1076" s="17" cm="1">
        <f t="array" aca="1" ref="P1076" ca="1">IndividualLegIVCore($A$4, Table133456[[#This Row],[Strike]], 0.0411, Table133456[[#This Row],[T]], ((Table133456[[#This Row],[BIDP]]+Table133456[[#This Row],[ASKP]])/2), FALSE)</f>
        <v>0.01</v>
      </c>
      <c r="Q1076" t="b">
        <f>IF(     ISNUMBER(Table133456[[#This Row],[Strike]]),RTD("tos.rtd", , "BID", "."&amp;Table133456[[#This Row],[Ticker]]&amp;Table133456[[#This Row],[Expiry]]&amp;""&amp;"P"&amp;Table133456[[#This Row],[Strike]]))</f>
        <v>0</v>
      </c>
      <c r="R1076" t="b">
        <f>IF(     ISNUMBER(Table133456[[#This Row],[Strike]]),RTD("tos.rtd", , "ASK", "."&amp;Table133456[[#This Row],[Ticker]]&amp;Table133456[[#This Row],[Expiry]]&amp;""&amp;"P"&amp;Table133456[[#This Row],[Strike]]))</f>
        <v>0</v>
      </c>
      <c r="S1076" s="17"/>
      <c r="T107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6" s="19">
        <f>-24.5* IF($M$1="NDX", 10, IF(OR($M$1="SPX", $M$1="RUT"), 2, 1))</f>
        <v>-49</v>
      </c>
      <c r="Z1076">
        <f ca="1">IFERROR(Table133456[[#This Row],[call gamma]]*(Table133456[[#This Row],[Open.Int]])*$A$4^2,0)</f>
        <v>0</v>
      </c>
      <c r="AA1076">
        <f ca="1">IFERROR(((Table133456[[#This Row],[Open.Int8]])*Table133456[[#This Row],[Put gamma]])*-1*$A$4^2,0)</f>
        <v>0</v>
      </c>
      <c r="AB1076">
        <f ca="1">(Table133456[[#This Row],[Call Gex]]+Table133456[[#This Row],[Put Gex]])</f>
        <v>0</v>
      </c>
      <c r="AC1076">
        <f ca="1">Table133456[[#This Row],[put delta adj]]+Table133456[[#This Row],[call delta adj]]</f>
        <v>0</v>
      </c>
      <c r="AD1076">
        <f ca="1">Table133456[[#This Row],[Put Gex]]*Table133456[[#This Row],[DeltaP]]*-1</f>
        <v>0</v>
      </c>
      <c r="AE1076">
        <f ca="1">Table133456[[#This Row],[Call Gex]]*Table133456[[#This Row],[DeltaC]]</f>
        <v>0</v>
      </c>
      <c r="AF1076">
        <f>IF(Table133456[[#This Row],[DeltaC]]-ABS(Table133456[[#This Row],[DeltaP]])="0","0.01",Table133456[[#This Row],[DeltaC]]-ABS(Table133456[[#This Row],[DeltaP]]))</f>
        <v>0</v>
      </c>
      <c r="AG107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6" t="e">
        <f ca="1">(EXP(-(AG1076^2)/2)/SQRT(2*PI())*EXP(0*SQRT(Table133456[[#This Row],[T]]))/$A$4*18%*SQRT(SQRT(Table133456[[#This Row],[T]])))</f>
        <v>#DIV/0!</v>
      </c>
      <c r="AJ1076" t="e">
        <f ca="1">(EXP(-(AH1076^2)/2)/SQRT(2*PI())*EXP(0*SQRT(Table133456[[#This Row],[T]]))/$A$4*18%*SQRT(SQRT(Table133456[[#This Row],[T]])))</f>
        <v>#DIV/0!</v>
      </c>
      <c r="AK1076" t="e">
        <f ca="1">Table133456[[#This Row],[Call D1]]-Table133456[[#This Row],[IV Calc C]]*SQRT(Table133456[[#This Row],[T]])</f>
        <v>#DIV/0!</v>
      </c>
      <c r="AL1076" t="e">
        <f ca="1">Table133456[[#This Row],[Put D1]]-Table133456[[#This Row],[IV Calc P]]*SQRT(Table133456[[#This Row],[T]])</f>
        <v>#DIV/0!</v>
      </c>
      <c r="AM1076" t="e">
        <f ca="1">EXP(-0.5*Table133456[[#This Row],[Call D1]]^2)/SQRT(2*PI())</f>
        <v>#DIV/0!</v>
      </c>
      <c r="AN1076" t="e">
        <f ca="1">EXP(-0.5*Table133456[[#This Row],[Put D1]]^2)/SQRT(2*PI())</f>
        <v>#DIV/0!</v>
      </c>
      <c r="AO107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6">
        <f ca="1">((Table133456[[#This Row],[call vanna]]+Table133456[[#This Row],[put vanna]])*$A$4)</f>
        <v>0</v>
      </c>
      <c r="AR107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6" s="9" t="str" cm="1">
        <f t="array" ref="AT1076">_xlfn.IFS(     $M$1="SPX","SPXW",     $M$1="RUT","RUTW",  $M$1="NDX","NDXP",   TRUE,$M$1 )</f>
        <v>SPXW</v>
      </c>
      <c r="AU1076" s="2">
        <f t="shared" si="107"/>
        <v>6915</v>
      </c>
      <c r="AV1076" t="str">
        <f t="shared" si="108"/>
        <v>000100</v>
      </c>
      <c r="AY107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6">
        <f>((Table133456[[#This Row],[High C]]+Table133456[[#This Row],[Low C]])/2)*Table133456[[#This Row],[gammac]]*Table133456[[#This Row],[Volume]]</f>
        <v>0</v>
      </c>
      <c r="BD1076">
        <f>((Table133456[[#This Row],[High P]]+Table133456[[#This Row],[Low P]])/2)*Table133456[[#This Row],[gammap]]*Table133456[[#This Row],[Volume9]]*-1</f>
        <v>0</v>
      </c>
      <c r="BE1076">
        <f>(Table133456[[#This Row],[SgammaC]]+Table133456[[#This Row],[SgammaP]])*$A$4*-100</f>
        <v>0</v>
      </c>
      <c r="BF1076">
        <f>Table133456[[#This Row],[DEXc]]+Table133456[[#This Row],[DEXp]]</f>
        <v>0</v>
      </c>
      <c r="BG1076">
        <f>IFERROR(Table133456[[#This Row],[DeltaC]]*Table133456[[#This Row],[Open.Int]]*$A$4,0)</f>
        <v>0</v>
      </c>
      <c r="BH1076">
        <f>IFERROR(Table133456[[#This Row],[DeltaP]]*Table133456[[#This Row],[Open.Int8]]*$A$4,0)</f>
        <v>0</v>
      </c>
      <c r="BI107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6">
        <f ca="1">Table133456[[#This Row],[charmc]]+Table133456[[#This Row],[charmp]]</f>
        <v>0</v>
      </c>
      <c r="BL107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6" s="78">
        <f ca="1">Table133456[[#This Row],[call helper]]+Table133456[[#This Row],[put helper]]</f>
        <v>0</v>
      </c>
      <c r="BP1076" t="str">
        <f>RTD("tos.rtd", , "STRIKE", "."&amp;Table133456[[#This Row],[Ticker]]&amp;Table133456[[#This Row],[Expiry]]&amp;""&amp;"C"&amp;Table133456[[#This Row],[Spot]]+Table133456[[#This Row],[step]])</f>
        <v>N/A</v>
      </c>
    </row>
    <row r="1077" spans="1:68" x14ac:dyDescent="0.25">
      <c r="A1077" s="14">
        <f t="shared" ca="1" si="104"/>
        <v>-126.14810350076104</v>
      </c>
      <c r="C1077" s="17"/>
      <c r="D1077" t="str">
        <f>RTD("tos.rtd", , "OPEN_INT", "."&amp;Table133456[[#This Row],[Ticker]]&amp;Table133456[[#This Row],[Expiry]]&amp;""&amp;"C"&amp;Table133456[[#This Row],[Spot]]+Table133456[[#This Row],[step]])</f>
        <v>N/A</v>
      </c>
      <c r="E107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7" s="17" cm="1">
        <f t="array" aca="1" ref="H1077" ca="1">IndividualLegIVCore($A$4, Table133456[[#This Row],[Strike]], 0.0411, Table133456[[#This Row],[T]], ((Table133456[[#This Row],[BIDC]]+Table133456[[#This Row],[ASKC]])/2), TRUE)</f>
        <v>0.01</v>
      </c>
      <c r="I1077" t="b">
        <f>IF(     ISNUMBER(Table133456[[#This Row],[Strike]]),RTD("tos.rtd", , "BID", "."&amp;Table133456[[#This Row],[Ticker]]&amp;Table133456[[#This Row],[Expiry]]&amp;""&amp;"C"&amp;Table133456[[#This Row],[Strike]]))</f>
        <v>0</v>
      </c>
      <c r="J1077" t="b">
        <f>IF(     ISNUMBER(Table133456[[#This Row],[Strike]]),RTD("tos.rtd", , "ASK", "."&amp;Table133456[[#This Row],[Ticker]]&amp;Table133456[[#This Row],[Expiry]]&amp;""&amp;"C"&amp;Table133456[[#This Row],[Strike]]))</f>
        <v>0</v>
      </c>
      <c r="K1077" s="17"/>
      <c r="M1077" s="1">
        <f t="shared" si="105"/>
        <v>0</v>
      </c>
      <c r="N1077" t="b">
        <f t="shared" si="106"/>
        <v>0</v>
      </c>
      <c r="P1077" s="17" cm="1">
        <f t="array" aca="1" ref="P1077" ca="1">IndividualLegIVCore($A$4, Table133456[[#This Row],[Strike]], 0.0411, Table133456[[#This Row],[T]], ((Table133456[[#This Row],[BIDP]]+Table133456[[#This Row],[ASKP]])/2), FALSE)</f>
        <v>0.01</v>
      </c>
      <c r="Q1077" t="b">
        <f>IF(     ISNUMBER(Table133456[[#This Row],[Strike]]),RTD("tos.rtd", , "BID", "."&amp;Table133456[[#This Row],[Ticker]]&amp;Table133456[[#This Row],[Expiry]]&amp;""&amp;"P"&amp;Table133456[[#This Row],[Strike]]))</f>
        <v>0</v>
      </c>
      <c r="R1077" t="b">
        <f>IF(     ISNUMBER(Table133456[[#This Row],[Strike]]),RTD("tos.rtd", , "ASK", "."&amp;Table133456[[#This Row],[Ticker]]&amp;Table133456[[#This Row],[Expiry]]&amp;""&amp;"P"&amp;Table133456[[#This Row],[Strike]]))</f>
        <v>0</v>
      </c>
      <c r="S1077" s="17"/>
      <c r="T107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7" s="19">
        <f>-24* IF($M$1="NDX", 10, IF(OR($M$1="SPX", $M$1="RUT"), 2, 1))</f>
        <v>-48</v>
      </c>
      <c r="Z1077">
        <f ca="1">IFERROR(Table133456[[#This Row],[call gamma]]*(Table133456[[#This Row],[Open.Int]])*$A$4^2,0)</f>
        <v>0</v>
      </c>
      <c r="AA1077">
        <f ca="1">IFERROR(((Table133456[[#This Row],[Open.Int8]])*Table133456[[#This Row],[Put gamma]])*-1*$A$4^2,0)</f>
        <v>0</v>
      </c>
      <c r="AB1077">
        <f ca="1">(Table133456[[#This Row],[Call Gex]]+Table133456[[#This Row],[Put Gex]])</f>
        <v>0</v>
      </c>
      <c r="AC1077">
        <f ca="1">Table133456[[#This Row],[put delta adj]]+Table133456[[#This Row],[call delta adj]]</f>
        <v>0</v>
      </c>
      <c r="AD1077">
        <f ca="1">Table133456[[#This Row],[Put Gex]]*Table133456[[#This Row],[DeltaP]]*-1</f>
        <v>0</v>
      </c>
      <c r="AE1077">
        <f ca="1">Table133456[[#This Row],[Call Gex]]*Table133456[[#This Row],[DeltaC]]</f>
        <v>0</v>
      </c>
      <c r="AF1077">
        <f>IF(Table133456[[#This Row],[DeltaC]]-ABS(Table133456[[#This Row],[DeltaP]])="0","0.01",Table133456[[#This Row],[DeltaC]]-ABS(Table133456[[#This Row],[DeltaP]]))</f>
        <v>0</v>
      </c>
      <c r="AG107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7" t="e">
        <f ca="1">(EXP(-(AG1077^2)/2)/SQRT(2*PI())*EXP(0*SQRT(Table133456[[#This Row],[T]]))/$A$4*18%*SQRT(SQRT(Table133456[[#This Row],[T]])))</f>
        <v>#DIV/0!</v>
      </c>
      <c r="AJ1077" t="e">
        <f ca="1">(EXP(-(AH1077^2)/2)/SQRT(2*PI())*EXP(0*SQRT(Table133456[[#This Row],[T]]))/$A$4*18%*SQRT(SQRT(Table133456[[#This Row],[T]])))</f>
        <v>#DIV/0!</v>
      </c>
      <c r="AK1077" t="e">
        <f ca="1">Table133456[[#This Row],[Call D1]]-Table133456[[#This Row],[IV Calc C]]*SQRT(Table133456[[#This Row],[T]])</f>
        <v>#DIV/0!</v>
      </c>
      <c r="AL1077" t="e">
        <f ca="1">Table133456[[#This Row],[Put D1]]-Table133456[[#This Row],[IV Calc P]]*SQRT(Table133456[[#This Row],[T]])</f>
        <v>#DIV/0!</v>
      </c>
      <c r="AM1077" t="e">
        <f ca="1">EXP(-0.5*Table133456[[#This Row],[Call D1]]^2)/SQRT(2*PI())</f>
        <v>#DIV/0!</v>
      </c>
      <c r="AN1077" t="e">
        <f ca="1">EXP(-0.5*Table133456[[#This Row],[Put D1]]^2)/SQRT(2*PI())</f>
        <v>#DIV/0!</v>
      </c>
      <c r="AO107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7">
        <f ca="1">((Table133456[[#This Row],[call vanna]]+Table133456[[#This Row],[put vanna]])*$A$4)</f>
        <v>0</v>
      </c>
      <c r="AR107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7" s="9" t="str" cm="1">
        <f t="array" ref="AT1077">_xlfn.IFS(     $M$1="SPX","SPXW",     $M$1="RUT","RUTW",  $M$1="NDX","NDXP",   TRUE,$M$1 )</f>
        <v>SPXW</v>
      </c>
      <c r="AU1077" s="2">
        <f t="shared" si="107"/>
        <v>6915</v>
      </c>
      <c r="AV1077" t="str">
        <f t="shared" si="108"/>
        <v>000100</v>
      </c>
      <c r="AY107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7">
        <f>((Table133456[[#This Row],[High C]]+Table133456[[#This Row],[Low C]])/2)*Table133456[[#This Row],[gammac]]*Table133456[[#This Row],[Volume]]</f>
        <v>0</v>
      </c>
      <c r="BD1077">
        <f>((Table133456[[#This Row],[High P]]+Table133456[[#This Row],[Low P]])/2)*Table133456[[#This Row],[gammap]]*Table133456[[#This Row],[Volume9]]*-1</f>
        <v>0</v>
      </c>
      <c r="BE1077">
        <f>(Table133456[[#This Row],[SgammaC]]+Table133456[[#This Row],[SgammaP]])*$A$4*-100</f>
        <v>0</v>
      </c>
      <c r="BF1077">
        <f>Table133456[[#This Row],[DEXc]]+Table133456[[#This Row],[DEXp]]</f>
        <v>0</v>
      </c>
      <c r="BG1077">
        <f>IFERROR(Table133456[[#This Row],[DeltaC]]*Table133456[[#This Row],[Open.Int]]*$A$4,0)</f>
        <v>0</v>
      </c>
      <c r="BH1077">
        <f>IFERROR(Table133456[[#This Row],[DeltaP]]*Table133456[[#This Row],[Open.Int8]]*$A$4,0)</f>
        <v>0</v>
      </c>
      <c r="BI107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7">
        <f ca="1">Table133456[[#This Row],[charmc]]+Table133456[[#This Row],[charmp]]</f>
        <v>0</v>
      </c>
      <c r="BL107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7" s="78">
        <f ca="1">Table133456[[#This Row],[call helper]]+Table133456[[#This Row],[put helper]]</f>
        <v>0</v>
      </c>
      <c r="BP1077" t="str">
        <f>RTD("tos.rtd", , "STRIKE", "."&amp;Table133456[[#This Row],[Ticker]]&amp;Table133456[[#This Row],[Expiry]]&amp;""&amp;"C"&amp;Table133456[[#This Row],[Spot]]+Table133456[[#This Row],[step]])</f>
        <v>N/A</v>
      </c>
    </row>
    <row r="1078" spans="1:68" x14ac:dyDescent="0.25">
      <c r="A1078" s="14">
        <f t="shared" ca="1" si="104"/>
        <v>-126.14810350076104</v>
      </c>
      <c r="C1078" s="17"/>
      <c r="D1078" t="str">
        <f>RTD("tos.rtd", , "OPEN_INT", "."&amp;Table133456[[#This Row],[Ticker]]&amp;Table133456[[#This Row],[Expiry]]&amp;""&amp;"C"&amp;Table133456[[#This Row],[Spot]]+Table133456[[#This Row],[step]])</f>
        <v>N/A</v>
      </c>
      <c r="E107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8" s="17" cm="1">
        <f t="array" aca="1" ref="H1078" ca="1">IndividualLegIVCore($A$4, Table133456[[#This Row],[Strike]], 0.0411, Table133456[[#This Row],[T]], ((Table133456[[#This Row],[BIDC]]+Table133456[[#This Row],[ASKC]])/2), TRUE)</f>
        <v>0.01</v>
      </c>
      <c r="I1078" t="b">
        <f>IF(     ISNUMBER(Table133456[[#This Row],[Strike]]),RTD("tos.rtd", , "BID", "."&amp;Table133456[[#This Row],[Ticker]]&amp;Table133456[[#This Row],[Expiry]]&amp;""&amp;"C"&amp;Table133456[[#This Row],[Strike]]))</f>
        <v>0</v>
      </c>
      <c r="J1078" t="b">
        <f>IF(     ISNUMBER(Table133456[[#This Row],[Strike]]),RTD("tos.rtd", , "ASK", "."&amp;Table133456[[#This Row],[Ticker]]&amp;Table133456[[#This Row],[Expiry]]&amp;""&amp;"C"&amp;Table133456[[#This Row],[Strike]]))</f>
        <v>0</v>
      </c>
      <c r="K1078" s="17"/>
      <c r="M1078" s="1">
        <f t="shared" si="105"/>
        <v>0</v>
      </c>
      <c r="N1078" t="b">
        <f t="shared" si="106"/>
        <v>0</v>
      </c>
      <c r="P1078" s="17" cm="1">
        <f t="array" aca="1" ref="P1078" ca="1">IndividualLegIVCore($A$4, Table133456[[#This Row],[Strike]], 0.0411, Table133456[[#This Row],[T]], ((Table133456[[#This Row],[BIDP]]+Table133456[[#This Row],[ASKP]])/2), FALSE)</f>
        <v>0.01</v>
      </c>
      <c r="Q1078" t="b">
        <f>IF(     ISNUMBER(Table133456[[#This Row],[Strike]]),RTD("tos.rtd", , "BID", "."&amp;Table133456[[#This Row],[Ticker]]&amp;Table133456[[#This Row],[Expiry]]&amp;""&amp;"P"&amp;Table133456[[#This Row],[Strike]]))</f>
        <v>0</v>
      </c>
      <c r="R1078" t="b">
        <f>IF(     ISNUMBER(Table133456[[#This Row],[Strike]]),RTD("tos.rtd", , "ASK", "."&amp;Table133456[[#This Row],[Ticker]]&amp;Table133456[[#This Row],[Expiry]]&amp;""&amp;"P"&amp;Table133456[[#This Row],[Strike]]))</f>
        <v>0</v>
      </c>
      <c r="S1078" s="17"/>
      <c r="T107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8" s="19">
        <f>-23.5* IF($M$1="NDX", 10, IF(OR($M$1="SPX", $M$1="RUT"), 2, 1))</f>
        <v>-47</v>
      </c>
      <c r="Z1078">
        <f ca="1">IFERROR(Table133456[[#This Row],[call gamma]]*(Table133456[[#This Row],[Open.Int]])*$A$4^2,0)</f>
        <v>0</v>
      </c>
      <c r="AA1078">
        <f ca="1">IFERROR(((Table133456[[#This Row],[Open.Int8]])*Table133456[[#This Row],[Put gamma]])*-1*$A$4^2,0)</f>
        <v>0</v>
      </c>
      <c r="AB1078">
        <f ca="1">(Table133456[[#This Row],[Call Gex]]+Table133456[[#This Row],[Put Gex]])</f>
        <v>0</v>
      </c>
      <c r="AC1078">
        <f ca="1">Table133456[[#This Row],[put delta adj]]+Table133456[[#This Row],[call delta adj]]</f>
        <v>0</v>
      </c>
      <c r="AD1078">
        <f ca="1">Table133456[[#This Row],[Put Gex]]*Table133456[[#This Row],[DeltaP]]*-1</f>
        <v>0</v>
      </c>
      <c r="AE1078">
        <f ca="1">Table133456[[#This Row],[Call Gex]]*Table133456[[#This Row],[DeltaC]]</f>
        <v>0</v>
      </c>
      <c r="AF1078">
        <f>IF(Table133456[[#This Row],[DeltaC]]-ABS(Table133456[[#This Row],[DeltaP]])="0","0.01",Table133456[[#This Row],[DeltaC]]-ABS(Table133456[[#This Row],[DeltaP]]))</f>
        <v>0</v>
      </c>
      <c r="AG107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8" t="e">
        <f ca="1">(EXP(-(AG1078^2)/2)/SQRT(2*PI())*EXP(0*SQRT(Table133456[[#This Row],[T]]))/$A$4*18%*SQRT(SQRT(Table133456[[#This Row],[T]])))</f>
        <v>#DIV/0!</v>
      </c>
      <c r="AJ1078" t="e">
        <f ca="1">(EXP(-(AH1078^2)/2)/SQRT(2*PI())*EXP(0*SQRT(Table133456[[#This Row],[T]]))/$A$4*18%*SQRT(SQRT(Table133456[[#This Row],[T]])))</f>
        <v>#DIV/0!</v>
      </c>
      <c r="AK1078" t="e">
        <f ca="1">Table133456[[#This Row],[Call D1]]-Table133456[[#This Row],[IV Calc C]]*SQRT(Table133456[[#This Row],[T]])</f>
        <v>#DIV/0!</v>
      </c>
      <c r="AL1078" t="e">
        <f ca="1">Table133456[[#This Row],[Put D1]]-Table133456[[#This Row],[IV Calc P]]*SQRT(Table133456[[#This Row],[T]])</f>
        <v>#DIV/0!</v>
      </c>
      <c r="AM1078" t="e">
        <f ca="1">EXP(-0.5*Table133456[[#This Row],[Call D1]]^2)/SQRT(2*PI())</f>
        <v>#DIV/0!</v>
      </c>
      <c r="AN1078" t="e">
        <f ca="1">EXP(-0.5*Table133456[[#This Row],[Put D1]]^2)/SQRT(2*PI())</f>
        <v>#DIV/0!</v>
      </c>
      <c r="AO107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8">
        <f ca="1">((Table133456[[#This Row],[call vanna]]+Table133456[[#This Row],[put vanna]])*$A$4)</f>
        <v>0</v>
      </c>
      <c r="AR107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8" s="9" t="str" cm="1">
        <f t="array" ref="AT1078">_xlfn.IFS(     $M$1="SPX","SPXW",     $M$1="RUT","RUTW",  $M$1="NDX","NDXP",   TRUE,$M$1 )</f>
        <v>SPXW</v>
      </c>
      <c r="AU1078" s="2">
        <f t="shared" si="107"/>
        <v>6915</v>
      </c>
      <c r="AV1078" t="str">
        <f t="shared" si="108"/>
        <v>000100</v>
      </c>
      <c r="AY107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8">
        <f>((Table133456[[#This Row],[High C]]+Table133456[[#This Row],[Low C]])/2)*Table133456[[#This Row],[gammac]]*Table133456[[#This Row],[Volume]]</f>
        <v>0</v>
      </c>
      <c r="BD1078">
        <f>((Table133456[[#This Row],[High P]]+Table133456[[#This Row],[Low P]])/2)*Table133456[[#This Row],[gammap]]*Table133456[[#This Row],[Volume9]]*-1</f>
        <v>0</v>
      </c>
      <c r="BE1078">
        <f>(Table133456[[#This Row],[SgammaC]]+Table133456[[#This Row],[SgammaP]])*$A$4*-100</f>
        <v>0</v>
      </c>
      <c r="BF1078">
        <f>Table133456[[#This Row],[DEXc]]+Table133456[[#This Row],[DEXp]]</f>
        <v>0</v>
      </c>
      <c r="BG1078">
        <f>IFERROR(Table133456[[#This Row],[DeltaC]]*Table133456[[#This Row],[Open.Int]]*$A$4,0)</f>
        <v>0</v>
      </c>
      <c r="BH1078">
        <f>IFERROR(Table133456[[#This Row],[DeltaP]]*Table133456[[#This Row],[Open.Int8]]*$A$4,0)</f>
        <v>0</v>
      </c>
      <c r="BI107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8">
        <f ca="1">Table133456[[#This Row],[charmc]]+Table133456[[#This Row],[charmp]]</f>
        <v>0</v>
      </c>
      <c r="BL107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8" s="78">
        <f ca="1">Table133456[[#This Row],[call helper]]+Table133456[[#This Row],[put helper]]</f>
        <v>0</v>
      </c>
      <c r="BP1078" t="str">
        <f>RTD("tos.rtd", , "STRIKE", "."&amp;Table133456[[#This Row],[Ticker]]&amp;Table133456[[#This Row],[Expiry]]&amp;""&amp;"C"&amp;Table133456[[#This Row],[Spot]]+Table133456[[#This Row],[step]])</f>
        <v>N/A</v>
      </c>
    </row>
    <row r="1079" spans="1:68" x14ac:dyDescent="0.25">
      <c r="A1079" s="14">
        <f t="shared" ca="1" si="104"/>
        <v>-126.14810350076104</v>
      </c>
      <c r="C1079" s="17"/>
      <c r="D1079" t="str">
        <f>RTD("tos.rtd", , "OPEN_INT", "."&amp;Table133456[[#This Row],[Ticker]]&amp;Table133456[[#This Row],[Expiry]]&amp;""&amp;"C"&amp;Table133456[[#This Row],[Spot]]+Table133456[[#This Row],[step]])</f>
        <v>N/A</v>
      </c>
      <c r="E107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9" s="17" cm="1">
        <f t="array" aca="1" ref="H1079" ca="1">IndividualLegIVCore($A$4, Table133456[[#This Row],[Strike]], 0.0411, Table133456[[#This Row],[T]], ((Table133456[[#This Row],[BIDC]]+Table133456[[#This Row],[ASKC]])/2), TRUE)</f>
        <v>0.01</v>
      </c>
      <c r="I1079" t="b">
        <f>IF(     ISNUMBER(Table133456[[#This Row],[Strike]]),RTD("tos.rtd", , "BID", "."&amp;Table133456[[#This Row],[Ticker]]&amp;Table133456[[#This Row],[Expiry]]&amp;""&amp;"C"&amp;Table133456[[#This Row],[Strike]]))</f>
        <v>0</v>
      </c>
      <c r="J1079" t="b">
        <f>IF(     ISNUMBER(Table133456[[#This Row],[Strike]]),RTD("tos.rtd", , "ASK", "."&amp;Table133456[[#This Row],[Ticker]]&amp;Table133456[[#This Row],[Expiry]]&amp;""&amp;"C"&amp;Table133456[[#This Row],[Strike]]))</f>
        <v>0</v>
      </c>
      <c r="K1079" s="17"/>
      <c r="M1079" s="1">
        <f t="shared" si="105"/>
        <v>0</v>
      </c>
      <c r="N1079" t="b">
        <f t="shared" si="106"/>
        <v>0</v>
      </c>
      <c r="P1079" s="17" cm="1">
        <f t="array" aca="1" ref="P1079" ca="1">IndividualLegIVCore($A$4, Table133456[[#This Row],[Strike]], 0.0411, Table133456[[#This Row],[T]], ((Table133456[[#This Row],[BIDP]]+Table133456[[#This Row],[ASKP]])/2), FALSE)</f>
        <v>0.01</v>
      </c>
      <c r="Q1079" t="b">
        <f>IF(     ISNUMBER(Table133456[[#This Row],[Strike]]),RTD("tos.rtd", , "BID", "."&amp;Table133456[[#This Row],[Ticker]]&amp;Table133456[[#This Row],[Expiry]]&amp;""&amp;"P"&amp;Table133456[[#This Row],[Strike]]))</f>
        <v>0</v>
      </c>
      <c r="R1079" t="b">
        <f>IF(     ISNUMBER(Table133456[[#This Row],[Strike]]),RTD("tos.rtd", , "ASK", "."&amp;Table133456[[#This Row],[Ticker]]&amp;Table133456[[#This Row],[Expiry]]&amp;""&amp;"P"&amp;Table133456[[#This Row],[Strike]]))</f>
        <v>0</v>
      </c>
      <c r="S1079" s="17"/>
      <c r="T107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9" s="19">
        <f>-23* IF($M$1="NDX", 10, IF(OR($M$1="SPX", $M$1="RUT"), 2, 1))</f>
        <v>-46</v>
      </c>
      <c r="Z1079">
        <f ca="1">IFERROR(Table133456[[#This Row],[call gamma]]*(Table133456[[#This Row],[Open.Int]])*$A$4^2,0)</f>
        <v>0</v>
      </c>
      <c r="AA1079">
        <f ca="1">IFERROR(((Table133456[[#This Row],[Open.Int8]])*Table133456[[#This Row],[Put gamma]])*-1*$A$4^2,0)</f>
        <v>0</v>
      </c>
      <c r="AB1079">
        <f ca="1">(Table133456[[#This Row],[Call Gex]]+Table133456[[#This Row],[Put Gex]])</f>
        <v>0</v>
      </c>
      <c r="AC1079">
        <f ca="1">Table133456[[#This Row],[put delta adj]]+Table133456[[#This Row],[call delta adj]]</f>
        <v>0</v>
      </c>
      <c r="AD1079">
        <f ca="1">Table133456[[#This Row],[Put Gex]]*Table133456[[#This Row],[DeltaP]]*-1</f>
        <v>0</v>
      </c>
      <c r="AE1079">
        <f ca="1">Table133456[[#This Row],[Call Gex]]*Table133456[[#This Row],[DeltaC]]</f>
        <v>0</v>
      </c>
      <c r="AF1079">
        <f>IF(Table133456[[#This Row],[DeltaC]]-ABS(Table133456[[#This Row],[DeltaP]])="0","0.01",Table133456[[#This Row],[DeltaC]]-ABS(Table133456[[#This Row],[DeltaP]]))</f>
        <v>0</v>
      </c>
      <c r="AG107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9" t="e">
        <f ca="1">(EXP(-(AG1079^2)/2)/SQRT(2*PI())*EXP(0*SQRT(Table133456[[#This Row],[T]]))/$A$4*18%*SQRT(SQRT(Table133456[[#This Row],[T]])))</f>
        <v>#DIV/0!</v>
      </c>
      <c r="AJ1079" t="e">
        <f ca="1">(EXP(-(AH1079^2)/2)/SQRT(2*PI())*EXP(0*SQRT(Table133456[[#This Row],[T]]))/$A$4*18%*SQRT(SQRT(Table133456[[#This Row],[T]])))</f>
        <v>#DIV/0!</v>
      </c>
      <c r="AK1079" t="e">
        <f ca="1">Table133456[[#This Row],[Call D1]]-Table133456[[#This Row],[IV Calc C]]*SQRT(Table133456[[#This Row],[T]])</f>
        <v>#DIV/0!</v>
      </c>
      <c r="AL1079" t="e">
        <f ca="1">Table133456[[#This Row],[Put D1]]-Table133456[[#This Row],[IV Calc P]]*SQRT(Table133456[[#This Row],[T]])</f>
        <v>#DIV/0!</v>
      </c>
      <c r="AM1079" t="e">
        <f ca="1">EXP(-0.5*Table133456[[#This Row],[Call D1]]^2)/SQRT(2*PI())</f>
        <v>#DIV/0!</v>
      </c>
      <c r="AN1079" t="e">
        <f ca="1">EXP(-0.5*Table133456[[#This Row],[Put D1]]^2)/SQRT(2*PI())</f>
        <v>#DIV/0!</v>
      </c>
      <c r="AO107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9">
        <f ca="1">((Table133456[[#This Row],[call vanna]]+Table133456[[#This Row],[put vanna]])*$A$4)</f>
        <v>0</v>
      </c>
      <c r="AR107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9" s="9" t="str" cm="1">
        <f t="array" ref="AT1079">_xlfn.IFS(     $M$1="SPX","SPXW",     $M$1="RUT","RUTW",  $M$1="NDX","NDXP",   TRUE,$M$1 )</f>
        <v>SPXW</v>
      </c>
      <c r="AU1079" s="2">
        <f t="shared" si="107"/>
        <v>6915</v>
      </c>
      <c r="AV1079" t="str">
        <f t="shared" si="108"/>
        <v>000100</v>
      </c>
      <c r="AY107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9">
        <f>((Table133456[[#This Row],[High C]]+Table133456[[#This Row],[Low C]])/2)*Table133456[[#This Row],[gammac]]*Table133456[[#This Row],[Volume]]</f>
        <v>0</v>
      </c>
      <c r="BD1079">
        <f>((Table133456[[#This Row],[High P]]+Table133456[[#This Row],[Low P]])/2)*Table133456[[#This Row],[gammap]]*Table133456[[#This Row],[Volume9]]*-1</f>
        <v>0</v>
      </c>
      <c r="BE1079">
        <f>(Table133456[[#This Row],[SgammaC]]+Table133456[[#This Row],[SgammaP]])*$A$4*-100</f>
        <v>0</v>
      </c>
      <c r="BF1079">
        <f>Table133456[[#This Row],[DEXc]]+Table133456[[#This Row],[DEXp]]</f>
        <v>0</v>
      </c>
      <c r="BG1079">
        <f>IFERROR(Table133456[[#This Row],[DeltaC]]*Table133456[[#This Row],[Open.Int]]*$A$4,0)</f>
        <v>0</v>
      </c>
      <c r="BH1079">
        <f>IFERROR(Table133456[[#This Row],[DeltaP]]*Table133456[[#This Row],[Open.Int8]]*$A$4,0)</f>
        <v>0</v>
      </c>
      <c r="BI107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9">
        <f ca="1">Table133456[[#This Row],[charmc]]+Table133456[[#This Row],[charmp]]</f>
        <v>0</v>
      </c>
      <c r="BL107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9" s="78">
        <f ca="1">Table133456[[#This Row],[call helper]]+Table133456[[#This Row],[put helper]]</f>
        <v>0</v>
      </c>
      <c r="BP1079" t="str">
        <f>RTD("tos.rtd", , "STRIKE", "."&amp;Table133456[[#This Row],[Ticker]]&amp;Table133456[[#This Row],[Expiry]]&amp;""&amp;"C"&amp;Table133456[[#This Row],[Spot]]+Table133456[[#This Row],[step]])</f>
        <v>N/A</v>
      </c>
    </row>
    <row r="1080" spans="1:68" x14ac:dyDescent="0.25">
      <c r="A1080" s="14">
        <f t="shared" ca="1" si="104"/>
        <v>-126.14810350076104</v>
      </c>
      <c r="C1080" s="17"/>
      <c r="D1080" t="str">
        <f>RTD("tos.rtd", , "OPEN_INT", "."&amp;Table133456[[#This Row],[Ticker]]&amp;Table133456[[#This Row],[Expiry]]&amp;""&amp;"C"&amp;Table133456[[#This Row],[Spot]]+Table133456[[#This Row],[step]])</f>
        <v>N/A</v>
      </c>
      <c r="E108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0" s="17" cm="1">
        <f t="array" aca="1" ref="H1080" ca="1">IndividualLegIVCore($A$4, Table133456[[#This Row],[Strike]], 0.0411, Table133456[[#This Row],[T]], ((Table133456[[#This Row],[BIDC]]+Table133456[[#This Row],[ASKC]])/2), TRUE)</f>
        <v>0.01</v>
      </c>
      <c r="I1080" t="b">
        <f>IF(     ISNUMBER(Table133456[[#This Row],[Strike]]),RTD("tos.rtd", , "BID", "."&amp;Table133456[[#This Row],[Ticker]]&amp;Table133456[[#This Row],[Expiry]]&amp;""&amp;"C"&amp;Table133456[[#This Row],[Strike]]))</f>
        <v>0</v>
      </c>
      <c r="J1080" t="b">
        <f>IF(     ISNUMBER(Table133456[[#This Row],[Strike]]),RTD("tos.rtd", , "ASK", "."&amp;Table133456[[#This Row],[Ticker]]&amp;Table133456[[#This Row],[Expiry]]&amp;""&amp;"C"&amp;Table133456[[#This Row],[Strike]]))</f>
        <v>0</v>
      </c>
      <c r="K1080" s="17"/>
      <c r="M1080" s="1">
        <f t="shared" si="105"/>
        <v>0</v>
      </c>
      <c r="N1080" t="b">
        <f t="shared" si="106"/>
        <v>0</v>
      </c>
      <c r="P1080" s="17" cm="1">
        <f t="array" aca="1" ref="P1080" ca="1">IndividualLegIVCore($A$4, Table133456[[#This Row],[Strike]], 0.0411, Table133456[[#This Row],[T]], ((Table133456[[#This Row],[BIDP]]+Table133456[[#This Row],[ASKP]])/2), FALSE)</f>
        <v>0.01</v>
      </c>
      <c r="Q1080" t="b">
        <f>IF(     ISNUMBER(Table133456[[#This Row],[Strike]]),RTD("tos.rtd", , "BID", "."&amp;Table133456[[#This Row],[Ticker]]&amp;Table133456[[#This Row],[Expiry]]&amp;""&amp;"P"&amp;Table133456[[#This Row],[Strike]]))</f>
        <v>0</v>
      </c>
      <c r="R1080" t="b">
        <f>IF(     ISNUMBER(Table133456[[#This Row],[Strike]]),RTD("tos.rtd", , "ASK", "."&amp;Table133456[[#This Row],[Ticker]]&amp;Table133456[[#This Row],[Expiry]]&amp;""&amp;"P"&amp;Table133456[[#This Row],[Strike]]))</f>
        <v>0</v>
      </c>
      <c r="S1080" s="17"/>
      <c r="T108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0" s="19">
        <f>-22.5* IF($M$1="NDX", 10, IF(OR($M$1="SPX", $M$1="RUT"), 2, 1))</f>
        <v>-45</v>
      </c>
      <c r="Z1080">
        <f ca="1">IFERROR(Table133456[[#This Row],[call gamma]]*(Table133456[[#This Row],[Open.Int]])*$A$4^2,0)</f>
        <v>0</v>
      </c>
      <c r="AA1080">
        <f ca="1">IFERROR(((Table133456[[#This Row],[Open.Int8]])*Table133456[[#This Row],[Put gamma]])*-1*$A$4^2,0)</f>
        <v>0</v>
      </c>
      <c r="AB1080">
        <f ca="1">(Table133456[[#This Row],[Call Gex]]+Table133456[[#This Row],[Put Gex]])</f>
        <v>0</v>
      </c>
      <c r="AC1080">
        <f ca="1">Table133456[[#This Row],[put delta adj]]+Table133456[[#This Row],[call delta adj]]</f>
        <v>0</v>
      </c>
      <c r="AD1080">
        <f ca="1">Table133456[[#This Row],[Put Gex]]*Table133456[[#This Row],[DeltaP]]*-1</f>
        <v>0</v>
      </c>
      <c r="AE1080">
        <f ca="1">Table133456[[#This Row],[Call Gex]]*Table133456[[#This Row],[DeltaC]]</f>
        <v>0</v>
      </c>
      <c r="AF1080">
        <f>IF(Table133456[[#This Row],[DeltaC]]-ABS(Table133456[[#This Row],[DeltaP]])="0","0.01",Table133456[[#This Row],[DeltaC]]-ABS(Table133456[[#This Row],[DeltaP]]))</f>
        <v>0</v>
      </c>
      <c r="AG108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0" t="e">
        <f ca="1">(EXP(-(AG1080^2)/2)/SQRT(2*PI())*EXP(0*SQRT(Table133456[[#This Row],[T]]))/$A$4*18%*SQRT(SQRT(Table133456[[#This Row],[T]])))</f>
        <v>#DIV/0!</v>
      </c>
      <c r="AJ1080" t="e">
        <f ca="1">(EXP(-(AH1080^2)/2)/SQRT(2*PI())*EXP(0*SQRT(Table133456[[#This Row],[T]]))/$A$4*18%*SQRT(SQRT(Table133456[[#This Row],[T]])))</f>
        <v>#DIV/0!</v>
      </c>
      <c r="AK1080" t="e">
        <f ca="1">Table133456[[#This Row],[Call D1]]-Table133456[[#This Row],[IV Calc C]]*SQRT(Table133456[[#This Row],[T]])</f>
        <v>#DIV/0!</v>
      </c>
      <c r="AL1080" t="e">
        <f ca="1">Table133456[[#This Row],[Put D1]]-Table133456[[#This Row],[IV Calc P]]*SQRT(Table133456[[#This Row],[T]])</f>
        <v>#DIV/0!</v>
      </c>
      <c r="AM1080" t="e">
        <f ca="1">EXP(-0.5*Table133456[[#This Row],[Call D1]]^2)/SQRT(2*PI())</f>
        <v>#DIV/0!</v>
      </c>
      <c r="AN1080" t="e">
        <f ca="1">EXP(-0.5*Table133456[[#This Row],[Put D1]]^2)/SQRT(2*PI())</f>
        <v>#DIV/0!</v>
      </c>
      <c r="AO108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0">
        <f ca="1">((Table133456[[#This Row],[call vanna]]+Table133456[[#This Row],[put vanna]])*$A$4)</f>
        <v>0</v>
      </c>
      <c r="AR108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0" s="9" t="str" cm="1">
        <f t="array" ref="AT1080">_xlfn.IFS(     $M$1="SPX","SPXW",     $M$1="RUT","RUTW",  $M$1="NDX","NDXP",   TRUE,$M$1 )</f>
        <v>SPXW</v>
      </c>
      <c r="AU1080" s="2">
        <f t="shared" si="107"/>
        <v>6915</v>
      </c>
      <c r="AV1080" t="str">
        <f t="shared" si="108"/>
        <v>000100</v>
      </c>
      <c r="AY108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0">
        <f>((Table133456[[#This Row],[High C]]+Table133456[[#This Row],[Low C]])/2)*Table133456[[#This Row],[gammac]]*Table133456[[#This Row],[Volume]]</f>
        <v>0</v>
      </c>
      <c r="BD1080">
        <f>((Table133456[[#This Row],[High P]]+Table133456[[#This Row],[Low P]])/2)*Table133456[[#This Row],[gammap]]*Table133456[[#This Row],[Volume9]]*-1</f>
        <v>0</v>
      </c>
      <c r="BE1080">
        <f>(Table133456[[#This Row],[SgammaC]]+Table133456[[#This Row],[SgammaP]])*$A$4*-100</f>
        <v>0</v>
      </c>
      <c r="BF1080">
        <f>Table133456[[#This Row],[DEXc]]+Table133456[[#This Row],[DEXp]]</f>
        <v>0</v>
      </c>
      <c r="BG1080">
        <f>IFERROR(Table133456[[#This Row],[DeltaC]]*Table133456[[#This Row],[Open.Int]]*$A$4,0)</f>
        <v>0</v>
      </c>
      <c r="BH1080">
        <f>IFERROR(Table133456[[#This Row],[DeltaP]]*Table133456[[#This Row],[Open.Int8]]*$A$4,0)</f>
        <v>0</v>
      </c>
      <c r="BI108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0">
        <f ca="1">Table133456[[#This Row],[charmc]]+Table133456[[#This Row],[charmp]]</f>
        <v>0</v>
      </c>
      <c r="BL108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0" s="78">
        <f ca="1">Table133456[[#This Row],[call helper]]+Table133456[[#This Row],[put helper]]</f>
        <v>0</v>
      </c>
      <c r="BP1080" t="str">
        <f>RTD("tos.rtd", , "STRIKE", "."&amp;Table133456[[#This Row],[Ticker]]&amp;Table133456[[#This Row],[Expiry]]&amp;""&amp;"C"&amp;Table133456[[#This Row],[Spot]]+Table133456[[#This Row],[step]])</f>
        <v>N/A</v>
      </c>
    </row>
    <row r="1081" spans="1:68" x14ac:dyDescent="0.25">
      <c r="A1081" s="14">
        <f t="shared" ca="1" si="104"/>
        <v>-126.14810350076104</v>
      </c>
      <c r="C1081" s="17"/>
      <c r="D1081" t="str">
        <f>RTD("tos.rtd", , "OPEN_INT", "."&amp;Table133456[[#This Row],[Ticker]]&amp;Table133456[[#This Row],[Expiry]]&amp;""&amp;"C"&amp;Table133456[[#This Row],[Spot]]+Table133456[[#This Row],[step]])</f>
        <v>N/A</v>
      </c>
      <c r="E108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1" s="17" cm="1">
        <f t="array" aca="1" ref="H1081" ca="1">IndividualLegIVCore($A$4, Table133456[[#This Row],[Strike]], 0.0411, Table133456[[#This Row],[T]], ((Table133456[[#This Row],[BIDC]]+Table133456[[#This Row],[ASKC]])/2), TRUE)</f>
        <v>0.01</v>
      </c>
      <c r="I1081" t="b">
        <f>IF(     ISNUMBER(Table133456[[#This Row],[Strike]]),RTD("tos.rtd", , "BID", "."&amp;Table133456[[#This Row],[Ticker]]&amp;Table133456[[#This Row],[Expiry]]&amp;""&amp;"C"&amp;Table133456[[#This Row],[Strike]]))</f>
        <v>0</v>
      </c>
      <c r="J1081" t="b">
        <f>IF(     ISNUMBER(Table133456[[#This Row],[Strike]]),RTD("tos.rtd", , "ASK", "."&amp;Table133456[[#This Row],[Ticker]]&amp;Table133456[[#This Row],[Expiry]]&amp;""&amp;"C"&amp;Table133456[[#This Row],[Strike]]))</f>
        <v>0</v>
      </c>
      <c r="K1081" s="17"/>
      <c r="M1081" s="1">
        <f t="shared" si="105"/>
        <v>0</v>
      </c>
      <c r="N1081" t="b">
        <f t="shared" si="106"/>
        <v>0</v>
      </c>
      <c r="P1081" s="17" cm="1">
        <f t="array" aca="1" ref="P1081" ca="1">IndividualLegIVCore($A$4, Table133456[[#This Row],[Strike]], 0.0411, Table133456[[#This Row],[T]], ((Table133456[[#This Row],[BIDP]]+Table133456[[#This Row],[ASKP]])/2), FALSE)</f>
        <v>0.01</v>
      </c>
      <c r="Q1081" t="b">
        <f>IF(     ISNUMBER(Table133456[[#This Row],[Strike]]),RTD("tos.rtd", , "BID", "."&amp;Table133456[[#This Row],[Ticker]]&amp;Table133456[[#This Row],[Expiry]]&amp;""&amp;"P"&amp;Table133456[[#This Row],[Strike]]))</f>
        <v>0</v>
      </c>
      <c r="R1081" t="b">
        <f>IF(     ISNUMBER(Table133456[[#This Row],[Strike]]),RTD("tos.rtd", , "ASK", "."&amp;Table133456[[#This Row],[Ticker]]&amp;Table133456[[#This Row],[Expiry]]&amp;""&amp;"P"&amp;Table133456[[#This Row],[Strike]]))</f>
        <v>0</v>
      </c>
      <c r="S1081" s="17"/>
      <c r="T108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1" s="19">
        <f>-22* IF($M$1="NDX", 10, IF(OR($M$1="SPX", $M$1="RUT"), 2, 1))</f>
        <v>-44</v>
      </c>
      <c r="Z1081">
        <f ca="1">IFERROR(Table133456[[#This Row],[call gamma]]*(Table133456[[#This Row],[Open.Int]])*$A$4^2,0)</f>
        <v>0</v>
      </c>
      <c r="AA1081">
        <f ca="1">IFERROR(((Table133456[[#This Row],[Open.Int8]])*Table133456[[#This Row],[Put gamma]])*-1*$A$4^2,0)</f>
        <v>0</v>
      </c>
      <c r="AB1081">
        <f ca="1">(Table133456[[#This Row],[Call Gex]]+Table133456[[#This Row],[Put Gex]])</f>
        <v>0</v>
      </c>
      <c r="AC1081">
        <f ca="1">Table133456[[#This Row],[put delta adj]]+Table133456[[#This Row],[call delta adj]]</f>
        <v>0</v>
      </c>
      <c r="AD1081">
        <f ca="1">Table133456[[#This Row],[Put Gex]]*Table133456[[#This Row],[DeltaP]]*-1</f>
        <v>0</v>
      </c>
      <c r="AE1081">
        <f ca="1">Table133456[[#This Row],[Call Gex]]*Table133456[[#This Row],[DeltaC]]</f>
        <v>0</v>
      </c>
      <c r="AF1081">
        <f>IF(Table133456[[#This Row],[DeltaC]]-ABS(Table133456[[#This Row],[DeltaP]])="0","0.01",Table133456[[#This Row],[DeltaC]]-ABS(Table133456[[#This Row],[DeltaP]]))</f>
        <v>0</v>
      </c>
      <c r="AG108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1" t="e">
        <f ca="1">(EXP(-(AG1081^2)/2)/SQRT(2*PI())*EXP(0*SQRT(Table133456[[#This Row],[T]]))/$A$4*18%*SQRT(SQRT(Table133456[[#This Row],[T]])))</f>
        <v>#DIV/0!</v>
      </c>
      <c r="AJ1081" t="e">
        <f ca="1">(EXP(-(AH1081^2)/2)/SQRT(2*PI())*EXP(0*SQRT(Table133456[[#This Row],[T]]))/$A$4*18%*SQRT(SQRT(Table133456[[#This Row],[T]])))</f>
        <v>#DIV/0!</v>
      </c>
      <c r="AK1081" t="e">
        <f ca="1">Table133456[[#This Row],[Call D1]]-Table133456[[#This Row],[IV Calc C]]*SQRT(Table133456[[#This Row],[T]])</f>
        <v>#DIV/0!</v>
      </c>
      <c r="AL1081" t="e">
        <f ca="1">Table133456[[#This Row],[Put D1]]-Table133456[[#This Row],[IV Calc P]]*SQRT(Table133456[[#This Row],[T]])</f>
        <v>#DIV/0!</v>
      </c>
      <c r="AM1081" t="e">
        <f ca="1">EXP(-0.5*Table133456[[#This Row],[Call D1]]^2)/SQRT(2*PI())</f>
        <v>#DIV/0!</v>
      </c>
      <c r="AN1081" t="e">
        <f ca="1">EXP(-0.5*Table133456[[#This Row],[Put D1]]^2)/SQRT(2*PI())</f>
        <v>#DIV/0!</v>
      </c>
      <c r="AO108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1">
        <f ca="1">((Table133456[[#This Row],[call vanna]]+Table133456[[#This Row],[put vanna]])*$A$4)</f>
        <v>0</v>
      </c>
      <c r="AR108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1" s="9" t="str" cm="1">
        <f t="array" ref="AT1081">_xlfn.IFS(     $M$1="SPX","SPXW",     $M$1="RUT","RUTW",  $M$1="NDX","NDXP",   TRUE,$M$1 )</f>
        <v>SPXW</v>
      </c>
      <c r="AU1081" s="2">
        <f t="shared" si="107"/>
        <v>6915</v>
      </c>
      <c r="AV1081" t="str">
        <f t="shared" si="108"/>
        <v>000100</v>
      </c>
      <c r="AY108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1">
        <f>((Table133456[[#This Row],[High C]]+Table133456[[#This Row],[Low C]])/2)*Table133456[[#This Row],[gammac]]*Table133456[[#This Row],[Volume]]</f>
        <v>0</v>
      </c>
      <c r="BD1081">
        <f>((Table133456[[#This Row],[High P]]+Table133456[[#This Row],[Low P]])/2)*Table133456[[#This Row],[gammap]]*Table133456[[#This Row],[Volume9]]*-1</f>
        <v>0</v>
      </c>
      <c r="BE1081">
        <f>(Table133456[[#This Row],[SgammaC]]+Table133456[[#This Row],[SgammaP]])*$A$4*-100</f>
        <v>0</v>
      </c>
      <c r="BF1081">
        <f>Table133456[[#This Row],[DEXc]]+Table133456[[#This Row],[DEXp]]</f>
        <v>0</v>
      </c>
      <c r="BG1081">
        <f>IFERROR(Table133456[[#This Row],[DeltaC]]*Table133456[[#This Row],[Open.Int]]*$A$4,0)</f>
        <v>0</v>
      </c>
      <c r="BH1081">
        <f>IFERROR(Table133456[[#This Row],[DeltaP]]*Table133456[[#This Row],[Open.Int8]]*$A$4,0)</f>
        <v>0</v>
      </c>
      <c r="BI108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1">
        <f ca="1">Table133456[[#This Row],[charmc]]+Table133456[[#This Row],[charmp]]</f>
        <v>0</v>
      </c>
      <c r="BL108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1" s="78">
        <f ca="1">Table133456[[#This Row],[call helper]]+Table133456[[#This Row],[put helper]]</f>
        <v>0</v>
      </c>
      <c r="BP1081" t="str">
        <f>RTD("tos.rtd", , "STRIKE", "."&amp;Table133456[[#This Row],[Ticker]]&amp;Table133456[[#This Row],[Expiry]]&amp;""&amp;"C"&amp;Table133456[[#This Row],[Spot]]+Table133456[[#This Row],[step]])</f>
        <v>N/A</v>
      </c>
    </row>
    <row r="1082" spans="1:68" x14ac:dyDescent="0.25">
      <c r="A1082" s="14">
        <f t="shared" ca="1" si="104"/>
        <v>-126.14810350076104</v>
      </c>
      <c r="C1082" s="17"/>
      <c r="D1082" t="str">
        <f>RTD("tos.rtd", , "OPEN_INT", "."&amp;Table133456[[#This Row],[Ticker]]&amp;Table133456[[#This Row],[Expiry]]&amp;""&amp;"C"&amp;Table133456[[#This Row],[Spot]]+Table133456[[#This Row],[step]])</f>
        <v>N/A</v>
      </c>
      <c r="E108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2" s="17" cm="1">
        <f t="array" aca="1" ref="H1082" ca="1">IndividualLegIVCore($A$4, Table133456[[#This Row],[Strike]], 0.0411, Table133456[[#This Row],[T]], ((Table133456[[#This Row],[BIDC]]+Table133456[[#This Row],[ASKC]])/2), TRUE)</f>
        <v>0.01</v>
      </c>
      <c r="I1082" t="b">
        <f>IF(     ISNUMBER(Table133456[[#This Row],[Strike]]),RTD("tos.rtd", , "BID", "."&amp;Table133456[[#This Row],[Ticker]]&amp;Table133456[[#This Row],[Expiry]]&amp;""&amp;"C"&amp;Table133456[[#This Row],[Strike]]))</f>
        <v>0</v>
      </c>
      <c r="J1082" t="b">
        <f>IF(     ISNUMBER(Table133456[[#This Row],[Strike]]),RTD("tos.rtd", , "ASK", "."&amp;Table133456[[#This Row],[Ticker]]&amp;Table133456[[#This Row],[Expiry]]&amp;""&amp;"C"&amp;Table133456[[#This Row],[Strike]]))</f>
        <v>0</v>
      </c>
      <c r="K1082" s="17"/>
      <c r="M1082" s="1">
        <f t="shared" si="105"/>
        <v>0</v>
      </c>
      <c r="N1082" t="b">
        <f t="shared" si="106"/>
        <v>0</v>
      </c>
      <c r="P1082" s="17" cm="1">
        <f t="array" aca="1" ref="P1082" ca="1">IndividualLegIVCore($A$4, Table133456[[#This Row],[Strike]], 0.0411, Table133456[[#This Row],[T]], ((Table133456[[#This Row],[BIDP]]+Table133456[[#This Row],[ASKP]])/2), FALSE)</f>
        <v>0.01</v>
      </c>
      <c r="Q1082" t="b">
        <f>IF(     ISNUMBER(Table133456[[#This Row],[Strike]]),RTD("tos.rtd", , "BID", "."&amp;Table133456[[#This Row],[Ticker]]&amp;Table133456[[#This Row],[Expiry]]&amp;""&amp;"P"&amp;Table133456[[#This Row],[Strike]]))</f>
        <v>0</v>
      </c>
      <c r="R1082" t="b">
        <f>IF(     ISNUMBER(Table133456[[#This Row],[Strike]]),RTD("tos.rtd", , "ASK", "."&amp;Table133456[[#This Row],[Ticker]]&amp;Table133456[[#This Row],[Expiry]]&amp;""&amp;"P"&amp;Table133456[[#This Row],[Strike]]))</f>
        <v>0</v>
      </c>
      <c r="S1082" s="17"/>
      <c r="T108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2" s="19">
        <f>-21.5* IF($M$1="NDX", 10, IF(OR($M$1="SPX", $M$1="RUT"), 2, 1))</f>
        <v>-43</v>
      </c>
      <c r="Z1082">
        <f ca="1">IFERROR(Table133456[[#This Row],[call gamma]]*(Table133456[[#This Row],[Open.Int]])*$A$4^2,0)</f>
        <v>0</v>
      </c>
      <c r="AA1082">
        <f ca="1">IFERROR(((Table133456[[#This Row],[Open.Int8]])*Table133456[[#This Row],[Put gamma]])*-1*$A$4^2,0)</f>
        <v>0</v>
      </c>
      <c r="AB1082">
        <f ca="1">(Table133456[[#This Row],[Call Gex]]+Table133456[[#This Row],[Put Gex]])</f>
        <v>0</v>
      </c>
      <c r="AC1082">
        <f ca="1">Table133456[[#This Row],[put delta adj]]+Table133456[[#This Row],[call delta adj]]</f>
        <v>0</v>
      </c>
      <c r="AD1082">
        <f ca="1">Table133456[[#This Row],[Put Gex]]*Table133456[[#This Row],[DeltaP]]*-1</f>
        <v>0</v>
      </c>
      <c r="AE1082">
        <f ca="1">Table133456[[#This Row],[Call Gex]]*Table133456[[#This Row],[DeltaC]]</f>
        <v>0</v>
      </c>
      <c r="AF1082">
        <f>IF(Table133456[[#This Row],[DeltaC]]-ABS(Table133456[[#This Row],[DeltaP]])="0","0.01",Table133456[[#This Row],[DeltaC]]-ABS(Table133456[[#This Row],[DeltaP]]))</f>
        <v>0</v>
      </c>
      <c r="AG108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2" t="e">
        <f ca="1">(EXP(-(AG1082^2)/2)/SQRT(2*PI())*EXP(0*SQRT(Table133456[[#This Row],[T]]))/$A$4*18%*SQRT(SQRT(Table133456[[#This Row],[T]])))</f>
        <v>#DIV/0!</v>
      </c>
      <c r="AJ1082" t="e">
        <f ca="1">(EXP(-(AH1082^2)/2)/SQRT(2*PI())*EXP(0*SQRT(Table133456[[#This Row],[T]]))/$A$4*18%*SQRT(SQRT(Table133456[[#This Row],[T]])))</f>
        <v>#DIV/0!</v>
      </c>
      <c r="AK1082" t="e">
        <f ca="1">Table133456[[#This Row],[Call D1]]-Table133456[[#This Row],[IV Calc C]]*SQRT(Table133456[[#This Row],[T]])</f>
        <v>#DIV/0!</v>
      </c>
      <c r="AL1082" t="e">
        <f ca="1">Table133456[[#This Row],[Put D1]]-Table133456[[#This Row],[IV Calc P]]*SQRT(Table133456[[#This Row],[T]])</f>
        <v>#DIV/0!</v>
      </c>
      <c r="AM1082" t="e">
        <f ca="1">EXP(-0.5*Table133456[[#This Row],[Call D1]]^2)/SQRT(2*PI())</f>
        <v>#DIV/0!</v>
      </c>
      <c r="AN1082" t="e">
        <f ca="1">EXP(-0.5*Table133456[[#This Row],[Put D1]]^2)/SQRT(2*PI())</f>
        <v>#DIV/0!</v>
      </c>
      <c r="AO108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2">
        <f ca="1">((Table133456[[#This Row],[call vanna]]+Table133456[[#This Row],[put vanna]])*$A$4)</f>
        <v>0</v>
      </c>
      <c r="AR108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2" s="9" t="str" cm="1">
        <f t="array" ref="AT1082">_xlfn.IFS(     $M$1="SPX","SPXW",     $M$1="RUT","RUTW",  $M$1="NDX","NDXP",   TRUE,$M$1 )</f>
        <v>SPXW</v>
      </c>
      <c r="AU1082" s="2">
        <f t="shared" si="107"/>
        <v>6915</v>
      </c>
      <c r="AV1082" t="str">
        <f t="shared" si="108"/>
        <v>000100</v>
      </c>
      <c r="AY108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2">
        <f>((Table133456[[#This Row],[High C]]+Table133456[[#This Row],[Low C]])/2)*Table133456[[#This Row],[gammac]]*Table133456[[#This Row],[Volume]]</f>
        <v>0</v>
      </c>
      <c r="BD1082">
        <f>((Table133456[[#This Row],[High P]]+Table133456[[#This Row],[Low P]])/2)*Table133456[[#This Row],[gammap]]*Table133456[[#This Row],[Volume9]]*-1</f>
        <v>0</v>
      </c>
      <c r="BE1082">
        <f>(Table133456[[#This Row],[SgammaC]]+Table133456[[#This Row],[SgammaP]])*$A$4*-100</f>
        <v>0</v>
      </c>
      <c r="BF1082">
        <f>Table133456[[#This Row],[DEXc]]+Table133456[[#This Row],[DEXp]]</f>
        <v>0</v>
      </c>
      <c r="BG1082">
        <f>IFERROR(Table133456[[#This Row],[DeltaC]]*Table133456[[#This Row],[Open.Int]]*$A$4,0)</f>
        <v>0</v>
      </c>
      <c r="BH1082">
        <f>IFERROR(Table133456[[#This Row],[DeltaP]]*Table133456[[#This Row],[Open.Int8]]*$A$4,0)</f>
        <v>0</v>
      </c>
      <c r="BI108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2">
        <f ca="1">Table133456[[#This Row],[charmc]]+Table133456[[#This Row],[charmp]]</f>
        <v>0</v>
      </c>
      <c r="BL108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2" s="78">
        <f ca="1">Table133456[[#This Row],[call helper]]+Table133456[[#This Row],[put helper]]</f>
        <v>0</v>
      </c>
      <c r="BP1082" t="str">
        <f>RTD("tos.rtd", , "STRIKE", "."&amp;Table133456[[#This Row],[Ticker]]&amp;Table133456[[#This Row],[Expiry]]&amp;""&amp;"C"&amp;Table133456[[#This Row],[Spot]]+Table133456[[#This Row],[step]])</f>
        <v>N/A</v>
      </c>
    </row>
    <row r="1083" spans="1:68" x14ac:dyDescent="0.25">
      <c r="A1083" s="14">
        <f t="shared" ca="1" si="104"/>
        <v>-126.14810350076104</v>
      </c>
      <c r="C1083" s="17"/>
      <c r="D1083" t="str">
        <f>RTD("tos.rtd", , "OPEN_INT", "."&amp;Table133456[[#This Row],[Ticker]]&amp;Table133456[[#This Row],[Expiry]]&amp;""&amp;"C"&amp;Table133456[[#This Row],[Spot]]+Table133456[[#This Row],[step]])</f>
        <v>N/A</v>
      </c>
      <c r="E108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3" s="17" cm="1">
        <f t="array" aca="1" ref="H1083" ca="1">IndividualLegIVCore($A$4, Table133456[[#This Row],[Strike]], 0.0411, Table133456[[#This Row],[T]], ((Table133456[[#This Row],[BIDC]]+Table133456[[#This Row],[ASKC]])/2), TRUE)</f>
        <v>0.01</v>
      </c>
      <c r="I1083" t="b">
        <f>IF(     ISNUMBER(Table133456[[#This Row],[Strike]]),RTD("tos.rtd", , "BID", "."&amp;Table133456[[#This Row],[Ticker]]&amp;Table133456[[#This Row],[Expiry]]&amp;""&amp;"C"&amp;Table133456[[#This Row],[Strike]]))</f>
        <v>0</v>
      </c>
      <c r="J1083" t="b">
        <f>IF(     ISNUMBER(Table133456[[#This Row],[Strike]]),RTD("tos.rtd", , "ASK", "."&amp;Table133456[[#This Row],[Ticker]]&amp;Table133456[[#This Row],[Expiry]]&amp;""&amp;"C"&amp;Table133456[[#This Row],[Strike]]))</f>
        <v>0</v>
      </c>
      <c r="K1083" s="17"/>
      <c r="M1083" s="1">
        <f t="shared" si="105"/>
        <v>0</v>
      </c>
      <c r="N1083" t="b">
        <f t="shared" si="106"/>
        <v>0</v>
      </c>
      <c r="P1083" s="17" cm="1">
        <f t="array" aca="1" ref="P1083" ca="1">IndividualLegIVCore($A$4, Table133456[[#This Row],[Strike]], 0.0411, Table133456[[#This Row],[T]], ((Table133456[[#This Row],[BIDP]]+Table133456[[#This Row],[ASKP]])/2), FALSE)</f>
        <v>0.01</v>
      </c>
      <c r="Q1083" t="b">
        <f>IF(     ISNUMBER(Table133456[[#This Row],[Strike]]),RTD("tos.rtd", , "BID", "."&amp;Table133456[[#This Row],[Ticker]]&amp;Table133456[[#This Row],[Expiry]]&amp;""&amp;"P"&amp;Table133456[[#This Row],[Strike]]))</f>
        <v>0</v>
      </c>
      <c r="R1083" t="b">
        <f>IF(     ISNUMBER(Table133456[[#This Row],[Strike]]),RTD("tos.rtd", , "ASK", "."&amp;Table133456[[#This Row],[Ticker]]&amp;Table133456[[#This Row],[Expiry]]&amp;""&amp;"P"&amp;Table133456[[#This Row],[Strike]]))</f>
        <v>0</v>
      </c>
      <c r="S1083" s="17"/>
      <c r="T108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3" s="19">
        <f>-21* IF($M$1="NDX", 10, IF(OR($M$1="SPX", $M$1="RUT"), 2, 1))</f>
        <v>-42</v>
      </c>
      <c r="Z1083">
        <f ca="1">IFERROR(Table133456[[#This Row],[call gamma]]*(Table133456[[#This Row],[Open.Int]])*$A$4^2,0)</f>
        <v>0</v>
      </c>
      <c r="AA1083">
        <f ca="1">IFERROR(((Table133456[[#This Row],[Open.Int8]])*Table133456[[#This Row],[Put gamma]])*-1*$A$4^2,0)</f>
        <v>0</v>
      </c>
      <c r="AB1083">
        <f ca="1">(Table133456[[#This Row],[Call Gex]]+Table133456[[#This Row],[Put Gex]])</f>
        <v>0</v>
      </c>
      <c r="AC1083">
        <f ca="1">Table133456[[#This Row],[put delta adj]]+Table133456[[#This Row],[call delta adj]]</f>
        <v>0</v>
      </c>
      <c r="AD1083">
        <f ca="1">Table133456[[#This Row],[Put Gex]]*Table133456[[#This Row],[DeltaP]]*-1</f>
        <v>0</v>
      </c>
      <c r="AE1083">
        <f ca="1">Table133456[[#This Row],[Call Gex]]*Table133456[[#This Row],[DeltaC]]</f>
        <v>0</v>
      </c>
      <c r="AF1083">
        <f>IF(Table133456[[#This Row],[DeltaC]]-ABS(Table133456[[#This Row],[DeltaP]])="0","0.01",Table133456[[#This Row],[DeltaC]]-ABS(Table133456[[#This Row],[DeltaP]]))</f>
        <v>0</v>
      </c>
      <c r="AG108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3" t="e">
        <f ca="1">(EXP(-(AG1083^2)/2)/SQRT(2*PI())*EXP(0*SQRT(Table133456[[#This Row],[T]]))/$A$4*18%*SQRT(SQRT(Table133456[[#This Row],[T]])))</f>
        <v>#DIV/0!</v>
      </c>
      <c r="AJ1083" t="e">
        <f ca="1">(EXP(-(AH1083^2)/2)/SQRT(2*PI())*EXP(0*SQRT(Table133456[[#This Row],[T]]))/$A$4*18%*SQRT(SQRT(Table133456[[#This Row],[T]])))</f>
        <v>#DIV/0!</v>
      </c>
      <c r="AK1083" t="e">
        <f ca="1">Table133456[[#This Row],[Call D1]]-Table133456[[#This Row],[IV Calc C]]*SQRT(Table133456[[#This Row],[T]])</f>
        <v>#DIV/0!</v>
      </c>
      <c r="AL1083" t="e">
        <f ca="1">Table133456[[#This Row],[Put D1]]-Table133456[[#This Row],[IV Calc P]]*SQRT(Table133456[[#This Row],[T]])</f>
        <v>#DIV/0!</v>
      </c>
      <c r="AM1083" t="e">
        <f ca="1">EXP(-0.5*Table133456[[#This Row],[Call D1]]^2)/SQRT(2*PI())</f>
        <v>#DIV/0!</v>
      </c>
      <c r="AN1083" t="e">
        <f ca="1">EXP(-0.5*Table133456[[#This Row],[Put D1]]^2)/SQRT(2*PI())</f>
        <v>#DIV/0!</v>
      </c>
      <c r="AO108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3">
        <f ca="1">((Table133456[[#This Row],[call vanna]]+Table133456[[#This Row],[put vanna]])*$A$4)</f>
        <v>0</v>
      </c>
      <c r="AR108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3" s="9" t="str" cm="1">
        <f t="array" ref="AT1083">_xlfn.IFS(     $M$1="SPX","SPXW",     $M$1="RUT","RUTW",  $M$1="NDX","NDXP",   TRUE,$M$1 )</f>
        <v>SPXW</v>
      </c>
      <c r="AU1083" s="2">
        <f t="shared" si="107"/>
        <v>6915</v>
      </c>
      <c r="AV1083" t="str">
        <f t="shared" si="108"/>
        <v>000100</v>
      </c>
      <c r="AY108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3">
        <f>((Table133456[[#This Row],[High C]]+Table133456[[#This Row],[Low C]])/2)*Table133456[[#This Row],[gammac]]*Table133456[[#This Row],[Volume]]</f>
        <v>0</v>
      </c>
      <c r="BD1083">
        <f>((Table133456[[#This Row],[High P]]+Table133456[[#This Row],[Low P]])/2)*Table133456[[#This Row],[gammap]]*Table133456[[#This Row],[Volume9]]*-1</f>
        <v>0</v>
      </c>
      <c r="BE1083">
        <f>(Table133456[[#This Row],[SgammaC]]+Table133456[[#This Row],[SgammaP]])*$A$4*-100</f>
        <v>0</v>
      </c>
      <c r="BF1083">
        <f>Table133456[[#This Row],[DEXc]]+Table133456[[#This Row],[DEXp]]</f>
        <v>0</v>
      </c>
      <c r="BG1083">
        <f>IFERROR(Table133456[[#This Row],[DeltaC]]*Table133456[[#This Row],[Open.Int]]*$A$4,0)</f>
        <v>0</v>
      </c>
      <c r="BH1083">
        <f>IFERROR(Table133456[[#This Row],[DeltaP]]*Table133456[[#This Row],[Open.Int8]]*$A$4,0)</f>
        <v>0</v>
      </c>
      <c r="BI108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3">
        <f ca="1">Table133456[[#This Row],[charmc]]+Table133456[[#This Row],[charmp]]</f>
        <v>0</v>
      </c>
      <c r="BL108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3" s="78">
        <f ca="1">Table133456[[#This Row],[call helper]]+Table133456[[#This Row],[put helper]]</f>
        <v>0</v>
      </c>
      <c r="BP1083" t="str">
        <f>RTD("tos.rtd", , "STRIKE", "."&amp;Table133456[[#This Row],[Ticker]]&amp;Table133456[[#This Row],[Expiry]]&amp;""&amp;"C"&amp;Table133456[[#This Row],[Spot]]+Table133456[[#This Row],[step]])</f>
        <v>N/A</v>
      </c>
    </row>
    <row r="1084" spans="1:68" x14ac:dyDescent="0.25">
      <c r="A1084" s="24">
        <f t="shared" ca="1" si="104"/>
        <v>-126.14810350076104</v>
      </c>
      <c r="B1084" s="13"/>
      <c r="C1084" s="17"/>
      <c r="D1084" t="str">
        <f>RTD("tos.rtd", , "OPEN_INT", "."&amp;Table133456[[#This Row],[Ticker]]&amp;Table133456[[#This Row],[Expiry]]&amp;""&amp;"C"&amp;Table133456[[#This Row],[Spot]]+Table133456[[#This Row],[step]])</f>
        <v>N/A</v>
      </c>
      <c r="E108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4" s="17" cm="1">
        <f t="array" aca="1" ref="H1084" ca="1">IndividualLegIVCore($A$4, Table133456[[#This Row],[Strike]], 0.0411, Table133456[[#This Row],[T]], ((Table133456[[#This Row],[BIDC]]+Table133456[[#This Row],[ASKC]])/2), TRUE)</f>
        <v>0.01</v>
      </c>
      <c r="I1084" t="b">
        <f>IF(     ISNUMBER(Table133456[[#This Row],[Strike]]),RTD("tos.rtd", , "BID", "."&amp;Table133456[[#This Row],[Ticker]]&amp;Table133456[[#This Row],[Expiry]]&amp;""&amp;"C"&amp;Table133456[[#This Row],[Strike]]))</f>
        <v>0</v>
      </c>
      <c r="J1084" t="b">
        <f>IF(     ISNUMBER(Table133456[[#This Row],[Strike]]),RTD("tos.rtd", , "ASK", "."&amp;Table133456[[#This Row],[Ticker]]&amp;Table133456[[#This Row],[Expiry]]&amp;""&amp;"C"&amp;Table133456[[#This Row],[Strike]]))</f>
        <v>0</v>
      </c>
      <c r="K1084" s="17"/>
      <c r="M1084" s="1">
        <f t="shared" si="105"/>
        <v>0</v>
      </c>
      <c r="N1084" t="b">
        <f t="shared" si="106"/>
        <v>0</v>
      </c>
      <c r="P1084" s="17" cm="1">
        <f t="array" aca="1" ref="P1084" ca="1">IndividualLegIVCore($A$4, Table133456[[#This Row],[Strike]], 0.0411, Table133456[[#This Row],[T]], ((Table133456[[#This Row],[BIDP]]+Table133456[[#This Row],[ASKP]])/2), FALSE)</f>
        <v>0.01</v>
      </c>
      <c r="Q1084" t="b">
        <f>IF(     ISNUMBER(Table133456[[#This Row],[Strike]]),RTD("tos.rtd", , "BID", "."&amp;Table133456[[#This Row],[Ticker]]&amp;Table133456[[#This Row],[Expiry]]&amp;""&amp;"P"&amp;Table133456[[#This Row],[Strike]]))</f>
        <v>0</v>
      </c>
      <c r="R1084" t="b">
        <f>IF(     ISNUMBER(Table133456[[#This Row],[Strike]]),RTD("tos.rtd", , "ASK", "."&amp;Table133456[[#This Row],[Ticker]]&amp;Table133456[[#This Row],[Expiry]]&amp;""&amp;"P"&amp;Table133456[[#This Row],[Strike]]))</f>
        <v>0</v>
      </c>
      <c r="S1084" s="17"/>
      <c r="T108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4" t="b">
        <f>IF(     ISNUMBER(Table133456[[#This Row],[Strike]]),RTD("tos.rtd", , "DELTA", "."&amp;Table133456[[#This Row],[Ticker]]&amp;Table133456[[#This Row],[Expiry]]&amp;""&amp;"P"&amp;Table133456[[#This Row],[Strike]]))</f>
        <v>0</v>
      </c>
      <c r="X1084" s="13"/>
      <c r="Y1084" s="19">
        <f>-20.5* IF($M$1="NDX", 10, IF(OR($M$1="SPX", $M$1="RUT"), 2, 1))</f>
        <v>-41</v>
      </c>
      <c r="Z1084">
        <f ca="1">IFERROR(Table133456[[#This Row],[call gamma]]*(Table133456[[#This Row],[Open.Int]])*$A$4^2,0)</f>
        <v>0</v>
      </c>
      <c r="AA1084">
        <f ca="1">IFERROR(((Table133456[[#This Row],[Open.Int8]])*Table133456[[#This Row],[Put gamma]])*-1*$A$4^2,0)</f>
        <v>0</v>
      </c>
      <c r="AB1084">
        <f ca="1">(Table133456[[#This Row],[Call Gex]]+Table133456[[#This Row],[Put Gex]])</f>
        <v>0</v>
      </c>
      <c r="AC1084">
        <f ca="1">Table133456[[#This Row],[put delta adj]]+Table133456[[#This Row],[call delta adj]]</f>
        <v>0</v>
      </c>
      <c r="AD1084">
        <f ca="1">Table133456[[#This Row],[Put Gex]]*Table133456[[#This Row],[DeltaP]]*-1</f>
        <v>0</v>
      </c>
      <c r="AE1084">
        <f ca="1">Table133456[[#This Row],[Call Gex]]*Table133456[[#This Row],[DeltaC]]</f>
        <v>0</v>
      </c>
      <c r="AF1084">
        <f>IF(Table133456[[#This Row],[DeltaC]]-ABS(Table133456[[#This Row],[DeltaP]])="0","0.01",Table133456[[#This Row],[DeltaC]]-ABS(Table133456[[#This Row],[DeltaP]]))</f>
        <v>0</v>
      </c>
      <c r="AG108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4" t="e">
        <f ca="1">(EXP(-(AG1084^2)/2)/SQRT(2*PI())*EXP(0*SQRT(Table133456[[#This Row],[T]]))/$A$4*18%*SQRT(SQRT(Table133456[[#This Row],[T]])))</f>
        <v>#DIV/0!</v>
      </c>
      <c r="AJ1084" t="e">
        <f ca="1">(EXP(-(AH1084^2)/2)/SQRT(2*PI())*EXP(0*SQRT(Table133456[[#This Row],[T]]))/$A$4*18%*SQRT(SQRT(Table133456[[#This Row],[T]])))</f>
        <v>#DIV/0!</v>
      </c>
      <c r="AK1084" t="e">
        <f ca="1">Table133456[[#This Row],[Call D1]]-Table133456[[#This Row],[IV Calc C]]*SQRT(Table133456[[#This Row],[T]])</f>
        <v>#DIV/0!</v>
      </c>
      <c r="AL1084" t="e">
        <f ca="1">Table133456[[#This Row],[Put D1]]-Table133456[[#This Row],[IV Calc P]]*SQRT(Table133456[[#This Row],[T]])</f>
        <v>#DIV/0!</v>
      </c>
      <c r="AM1084" t="e">
        <f ca="1">EXP(-0.5*Table133456[[#This Row],[Call D1]]^2)/SQRT(2*PI())</f>
        <v>#DIV/0!</v>
      </c>
      <c r="AN1084" t="e">
        <f ca="1">EXP(-0.5*Table133456[[#This Row],[Put D1]]^2)/SQRT(2*PI())</f>
        <v>#DIV/0!</v>
      </c>
      <c r="AO108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4">
        <f ca="1">((Table133456[[#This Row],[call vanna]]+Table133456[[#This Row],[put vanna]])*$A$4)</f>
        <v>0</v>
      </c>
      <c r="AR108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4" s="22" t="str" cm="1">
        <f t="array" ref="AT1084">_xlfn.IFS(     $M$1="SPX","SPXW",     $M$1="RUT","RUTW",  $M$1="NDX","NDXP",   TRUE,$M$1 )</f>
        <v>SPXW</v>
      </c>
      <c r="AU1084" s="2">
        <f t="shared" si="107"/>
        <v>6915</v>
      </c>
      <c r="AV1084" t="str">
        <f t="shared" si="108"/>
        <v>000100</v>
      </c>
      <c r="AY108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4">
        <f>((Table133456[[#This Row],[High C]]+Table133456[[#This Row],[Low C]])/2)*Table133456[[#This Row],[gammac]]*Table133456[[#This Row],[Volume]]</f>
        <v>0</v>
      </c>
      <c r="BD1084">
        <f>((Table133456[[#This Row],[High P]]+Table133456[[#This Row],[Low P]])/2)*Table133456[[#This Row],[gammap]]*Table133456[[#This Row],[Volume9]]*-1</f>
        <v>0</v>
      </c>
      <c r="BE1084">
        <f>(Table133456[[#This Row],[SgammaC]]+Table133456[[#This Row],[SgammaP]])*$A$4*-100</f>
        <v>0</v>
      </c>
      <c r="BF1084">
        <f>Table133456[[#This Row],[DEXc]]+Table133456[[#This Row],[DEXp]]</f>
        <v>0</v>
      </c>
      <c r="BG1084">
        <f>IFERROR(Table133456[[#This Row],[DeltaC]]*Table133456[[#This Row],[Open.Int]]*$A$4,0)</f>
        <v>0</v>
      </c>
      <c r="BH1084">
        <f>IFERROR(Table133456[[#This Row],[DeltaP]]*Table133456[[#This Row],[Open.Int8]]*$A$4,0)</f>
        <v>0</v>
      </c>
      <c r="BI108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4">
        <f ca="1">Table133456[[#This Row],[charmc]]+Table133456[[#This Row],[charmp]]</f>
        <v>0</v>
      </c>
      <c r="BL108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4" s="78">
        <f ca="1">Table133456[[#This Row],[call helper]]+Table133456[[#This Row],[put helper]]</f>
        <v>0</v>
      </c>
      <c r="BP1084" t="str">
        <f>RTD("tos.rtd", , "STRIKE", "."&amp;Table133456[[#This Row],[Ticker]]&amp;Table133456[[#This Row],[Expiry]]&amp;""&amp;"C"&amp;Table133456[[#This Row],[Spot]]+Table133456[[#This Row],[step]])</f>
        <v>N/A</v>
      </c>
    </row>
    <row r="1085" spans="1:68" x14ac:dyDescent="0.25">
      <c r="A1085" s="14">
        <f t="shared" ca="1" si="104"/>
        <v>-126.14810350076104</v>
      </c>
      <c r="C1085" s="17"/>
      <c r="D1085" t="str">
        <f>RTD("tos.rtd", , "OPEN_INT", "."&amp;Table133456[[#This Row],[Ticker]]&amp;Table133456[[#This Row],[Expiry]]&amp;""&amp;"C"&amp;Table133456[[#This Row],[Spot]]+Table133456[[#This Row],[step]])</f>
        <v>N/A</v>
      </c>
      <c r="E108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5" s="17" cm="1">
        <f t="array" aca="1" ref="H1085" ca="1">IndividualLegIVCore($A$4, Table133456[[#This Row],[Strike]], 0.0411, Table133456[[#This Row],[T]], ((Table133456[[#This Row],[BIDC]]+Table133456[[#This Row],[ASKC]])/2), TRUE)</f>
        <v>0.01</v>
      </c>
      <c r="I1085" t="b">
        <f>IF(     ISNUMBER(Table133456[[#This Row],[Strike]]),RTD("tos.rtd", , "BID", "."&amp;Table133456[[#This Row],[Ticker]]&amp;Table133456[[#This Row],[Expiry]]&amp;""&amp;"C"&amp;Table133456[[#This Row],[Strike]]))</f>
        <v>0</v>
      </c>
      <c r="J1085" t="b">
        <f>IF(     ISNUMBER(Table133456[[#This Row],[Strike]]),RTD("tos.rtd", , "ASK", "."&amp;Table133456[[#This Row],[Ticker]]&amp;Table133456[[#This Row],[Expiry]]&amp;""&amp;"C"&amp;Table133456[[#This Row],[Strike]]))</f>
        <v>0</v>
      </c>
      <c r="K1085" s="17"/>
      <c r="M1085" s="1">
        <f t="shared" si="105"/>
        <v>0</v>
      </c>
      <c r="N1085" t="b">
        <f t="shared" si="106"/>
        <v>0</v>
      </c>
      <c r="P1085" s="17" cm="1">
        <f t="array" aca="1" ref="P1085" ca="1">IndividualLegIVCore($A$4, Table133456[[#This Row],[Strike]], 0.0411, Table133456[[#This Row],[T]], ((Table133456[[#This Row],[BIDP]]+Table133456[[#This Row],[ASKP]])/2), FALSE)</f>
        <v>0.01</v>
      </c>
      <c r="Q1085" t="b">
        <f>IF(     ISNUMBER(Table133456[[#This Row],[Strike]]),RTD("tos.rtd", , "BID", "."&amp;Table133456[[#This Row],[Ticker]]&amp;Table133456[[#This Row],[Expiry]]&amp;""&amp;"P"&amp;Table133456[[#This Row],[Strike]]))</f>
        <v>0</v>
      </c>
      <c r="R1085" t="b">
        <f>IF(     ISNUMBER(Table133456[[#This Row],[Strike]]),RTD("tos.rtd", , "ASK", "."&amp;Table133456[[#This Row],[Ticker]]&amp;Table133456[[#This Row],[Expiry]]&amp;""&amp;"P"&amp;Table133456[[#This Row],[Strike]]))</f>
        <v>0</v>
      </c>
      <c r="S1085" s="17"/>
      <c r="T108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5" s="19">
        <f>-20* IF($M$1="NDX", 10, IF(OR($M$1="SPX", $M$1="RUT"), 2, 1))</f>
        <v>-40</v>
      </c>
      <c r="Z1085">
        <f ca="1">IFERROR(Table133456[[#This Row],[call gamma]]*(Table133456[[#This Row],[Open.Int]])*$A$4^2,0)</f>
        <v>0</v>
      </c>
      <c r="AA1085">
        <f ca="1">IFERROR(((Table133456[[#This Row],[Open.Int8]])*Table133456[[#This Row],[Put gamma]])*-1*$A$4^2,0)</f>
        <v>0</v>
      </c>
      <c r="AB1085">
        <f ca="1">(Table133456[[#This Row],[Call Gex]]+Table133456[[#This Row],[Put Gex]])</f>
        <v>0</v>
      </c>
      <c r="AC1085">
        <f ca="1">Table133456[[#This Row],[put delta adj]]+Table133456[[#This Row],[call delta adj]]</f>
        <v>0</v>
      </c>
      <c r="AD1085">
        <f ca="1">Table133456[[#This Row],[Put Gex]]*Table133456[[#This Row],[DeltaP]]*-1</f>
        <v>0</v>
      </c>
      <c r="AE1085">
        <f ca="1">Table133456[[#This Row],[Call Gex]]*Table133456[[#This Row],[DeltaC]]</f>
        <v>0</v>
      </c>
      <c r="AF1085">
        <f>IF(Table133456[[#This Row],[DeltaC]]-ABS(Table133456[[#This Row],[DeltaP]])="0","0.01",Table133456[[#This Row],[DeltaC]]-ABS(Table133456[[#This Row],[DeltaP]]))</f>
        <v>0</v>
      </c>
      <c r="AG108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5" t="e">
        <f ca="1">(EXP(-(AG1085^2)/2)/SQRT(2*PI())*EXP(0*SQRT(Table133456[[#This Row],[T]]))/$A$4*18%*SQRT(SQRT(Table133456[[#This Row],[T]])))</f>
        <v>#DIV/0!</v>
      </c>
      <c r="AJ1085" t="e">
        <f ca="1">(EXP(-(AH1085^2)/2)/SQRT(2*PI())*EXP(0*SQRT(Table133456[[#This Row],[T]]))/$A$4*18%*SQRT(SQRT(Table133456[[#This Row],[T]])))</f>
        <v>#DIV/0!</v>
      </c>
      <c r="AK1085" t="e">
        <f ca="1">Table133456[[#This Row],[Call D1]]-Table133456[[#This Row],[IV Calc C]]*SQRT(Table133456[[#This Row],[T]])</f>
        <v>#DIV/0!</v>
      </c>
      <c r="AL1085" t="e">
        <f ca="1">Table133456[[#This Row],[Put D1]]-Table133456[[#This Row],[IV Calc P]]*SQRT(Table133456[[#This Row],[T]])</f>
        <v>#DIV/0!</v>
      </c>
      <c r="AM1085" t="e">
        <f ca="1">EXP(-0.5*Table133456[[#This Row],[Call D1]]^2)/SQRT(2*PI())</f>
        <v>#DIV/0!</v>
      </c>
      <c r="AN1085" t="e">
        <f ca="1">EXP(-0.5*Table133456[[#This Row],[Put D1]]^2)/SQRT(2*PI())</f>
        <v>#DIV/0!</v>
      </c>
      <c r="AO108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5">
        <f ca="1">((Table133456[[#This Row],[call vanna]]+Table133456[[#This Row],[put vanna]])*$A$4)</f>
        <v>0</v>
      </c>
      <c r="AR108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5" s="9" t="str" cm="1">
        <f t="array" ref="AT1085">_xlfn.IFS(     $M$1="SPX","SPXW",     $M$1="RUT","RUTW",  $M$1="NDX","NDXP",   TRUE,$M$1 )</f>
        <v>SPXW</v>
      </c>
      <c r="AU1085" s="2">
        <f t="shared" si="107"/>
        <v>6915</v>
      </c>
      <c r="AV1085" t="str">
        <f t="shared" si="108"/>
        <v>000100</v>
      </c>
      <c r="AY108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5">
        <f>((Table133456[[#This Row],[High C]]+Table133456[[#This Row],[Low C]])/2)*Table133456[[#This Row],[gammac]]*Table133456[[#This Row],[Volume]]</f>
        <v>0</v>
      </c>
      <c r="BD1085">
        <f>((Table133456[[#This Row],[High P]]+Table133456[[#This Row],[Low P]])/2)*Table133456[[#This Row],[gammap]]*Table133456[[#This Row],[Volume9]]*-1</f>
        <v>0</v>
      </c>
      <c r="BE1085">
        <f>(Table133456[[#This Row],[SgammaC]]+Table133456[[#This Row],[SgammaP]])*$A$4*-100</f>
        <v>0</v>
      </c>
      <c r="BF1085">
        <f>Table133456[[#This Row],[DEXc]]+Table133456[[#This Row],[DEXp]]</f>
        <v>0</v>
      </c>
      <c r="BG1085">
        <f>IFERROR(Table133456[[#This Row],[DeltaC]]*Table133456[[#This Row],[Open.Int]]*$A$4,0)</f>
        <v>0</v>
      </c>
      <c r="BH1085">
        <f>IFERROR(Table133456[[#This Row],[DeltaP]]*Table133456[[#This Row],[Open.Int8]]*$A$4,0)</f>
        <v>0</v>
      </c>
      <c r="BI108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5">
        <f ca="1">Table133456[[#This Row],[charmc]]+Table133456[[#This Row],[charmp]]</f>
        <v>0</v>
      </c>
      <c r="BL108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5" s="78">
        <f ca="1">Table133456[[#This Row],[call helper]]+Table133456[[#This Row],[put helper]]</f>
        <v>0</v>
      </c>
      <c r="BP1085" t="str">
        <f>RTD("tos.rtd", , "STRIKE", "."&amp;Table133456[[#This Row],[Ticker]]&amp;Table133456[[#This Row],[Expiry]]&amp;""&amp;"C"&amp;Table133456[[#This Row],[Spot]]+Table133456[[#This Row],[step]])</f>
        <v>N/A</v>
      </c>
    </row>
    <row r="1086" spans="1:68" x14ac:dyDescent="0.25">
      <c r="A1086" s="14">
        <f t="shared" ca="1" si="104"/>
        <v>-126.14810350076104</v>
      </c>
      <c r="C1086" s="17"/>
      <c r="D1086" t="str">
        <f>RTD("tos.rtd", , "OPEN_INT", "."&amp;Table133456[[#This Row],[Ticker]]&amp;Table133456[[#This Row],[Expiry]]&amp;""&amp;"C"&amp;Table133456[[#This Row],[Spot]]+Table133456[[#This Row],[step]])</f>
        <v>N/A</v>
      </c>
      <c r="E108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6" s="17" cm="1">
        <f t="array" aca="1" ref="H1086" ca="1">IndividualLegIVCore($A$4, Table133456[[#This Row],[Strike]], 0.0411, Table133456[[#This Row],[T]], ((Table133456[[#This Row],[BIDC]]+Table133456[[#This Row],[ASKC]])/2), TRUE)</f>
        <v>0.01</v>
      </c>
      <c r="I1086" t="b">
        <f>IF(     ISNUMBER(Table133456[[#This Row],[Strike]]),RTD("tos.rtd", , "BID", "."&amp;Table133456[[#This Row],[Ticker]]&amp;Table133456[[#This Row],[Expiry]]&amp;""&amp;"C"&amp;Table133456[[#This Row],[Strike]]))</f>
        <v>0</v>
      </c>
      <c r="J1086" t="b">
        <f>IF(     ISNUMBER(Table133456[[#This Row],[Strike]]),RTD("tos.rtd", , "ASK", "."&amp;Table133456[[#This Row],[Ticker]]&amp;Table133456[[#This Row],[Expiry]]&amp;""&amp;"C"&amp;Table133456[[#This Row],[Strike]]))</f>
        <v>0</v>
      </c>
      <c r="K1086" s="17"/>
      <c r="M1086" s="1">
        <f t="shared" si="105"/>
        <v>0</v>
      </c>
      <c r="N1086" t="b">
        <f t="shared" si="106"/>
        <v>0</v>
      </c>
      <c r="P1086" s="17" cm="1">
        <f t="array" aca="1" ref="P1086" ca="1">IndividualLegIVCore($A$4, Table133456[[#This Row],[Strike]], 0.0411, Table133456[[#This Row],[T]], ((Table133456[[#This Row],[BIDP]]+Table133456[[#This Row],[ASKP]])/2), FALSE)</f>
        <v>0.01</v>
      </c>
      <c r="Q1086" t="b">
        <f>IF(     ISNUMBER(Table133456[[#This Row],[Strike]]),RTD("tos.rtd", , "BID", "."&amp;Table133456[[#This Row],[Ticker]]&amp;Table133456[[#This Row],[Expiry]]&amp;""&amp;"P"&amp;Table133456[[#This Row],[Strike]]))</f>
        <v>0</v>
      </c>
      <c r="R1086" t="b">
        <f>IF(     ISNUMBER(Table133456[[#This Row],[Strike]]),RTD("tos.rtd", , "ASK", "."&amp;Table133456[[#This Row],[Ticker]]&amp;Table133456[[#This Row],[Expiry]]&amp;""&amp;"P"&amp;Table133456[[#This Row],[Strike]]))</f>
        <v>0</v>
      </c>
      <c r="S1086" s="17"/>
      <c r="T108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6" s="19">
        <f>-19.5* IF($M$1="NDX", 10, IF(OR($M$1="SPX", $M$1="RUT"), 2, 1))</f>
        <v>-39</v>
      </c>
      <c r="Z1086">
        <f ca="1">IFERROR(Table133456[[#This Row],[call gamma]]*(Table133456[[#This Row],[Open.Int]])*$A$4^2,0)</f>
        <v>0</v>
      </c>
      <c r="AA1086">
        <f ca="1">IFERROR(((Table133456[[#This Row],[Open.Int8]])*Table133456[[#This Row],[Put gamma]])*-1*$A$4^2,0)</f>
        <v>0</v>
      </c>
      <c r="AB1086">
        <f ca="1">(Table133456[[#This Row],[Call Gex]]+Table133456[[#This Row],[Put Gex]])</f>
        <v>0</v>
      </c>
      <c r="AC1086">
        <f ca="1">Table133456[[#This Row],[put delta adj]]+Table133456[[#This Row],[call delta adj]]</f>
        <v>0</v>
      </c>
      <c r="AD1086">
        <f ca="1">Table133456[[#This Row],[Put Gex]]*Table133456[[#This Row],[DeltaP]]*-1</f>
        <v>0</v>
      </c>
      <c r="AE1086">
        <f ca="1">Table133456[[#This Row],[Call Gex]]*Table133456[[#This Row],[DeltaC]]</f>
        <v>0</v>
      </c>
      <c r="AF1086">
        <f>IF(Table133456[[#This Row],[DeltaC]]-ABS(Table133456[[#This Row],[DeltaP]])="0","0.01",Table133456[[#This Row],[DeltaC]]-ABS(Table133456[[#This Row],[DeltaP]]))</f>
        <v>0</v>
      </c>
      <c r="AG108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6" t="e">
        <f ca="1">(EXP(-(AG1086^2)/2)/SQRT(2*PI())*EXP(0*SQRT(Table133456[[#This Row],[T]]))/$A$4*18%*SQRT(SQRT(Table133456[[#This Row],[T]])))</f>
        <v>#DIV/0!</v>
      </c>
      <c r="AJ1086" t="e">
        <f ca="1">(EXP(-(AH1086^2)/2)/SQRT(2*PI())*EXP(0*SQRT(Table133456[[#This Row],[T]]))/$A$4*18%*SQRT(SQRT(Table133456[[#This Row],[T]])))</f>
        <v>#DIV/0!</v>
      </c>
      <c r="AK1086" t="e">
        <f ca="1">Table133456[[#This Row],[Call D1]]-Table133456[[#This Row],[IV Calc C]]*SQRT(Table133456[[#This Row],[T]])</f>
        <v>#DIV/0!</v>
      </c>
      <c r="AL1086" t="e">
        <f ca="1">Table133456[[#This Row],[Put D1]]-Table133456[[#This Row],[IV Calc P]]*SQRT(Table133456[[#This Row],[T]])</f>
        <v>#DIV/0!</v>
      </c>
      <c r="AM1086" t="e">
        <f ca="1">EXP(-0.5*Table133456[[#This Row],[Call D1]]^2)/SQRT(2*PI())</f>
        <v>#DIV/0!</v>
      </c>
      <c r="AN1086" t="e">
        <f ca="1">EXP(-0.5*Table133456[[#This Row],[Put D1]]^2)/SQRT(2*PI())</f>
        <v>#DIV/0!</v>
      </c>
      <c r="AO108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6">
        <f ca="1">((Table133456[[#This Row],[call vanna]]+Table133456[[#This Row],[put vanna]])*$A$4)</f>
        <v>0</v>
      </c>
      <c r="AR108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6" s="9" t="str" cm="1">
        <f t="array" ref="AT1086">_xlfn.IFS(     $M$1="SPX","SPXW",     $M$1="RUT","RUTW",  $M$1="NDX","NDXP",   TRUE,$M$1 )</f>
        <v>SPXW</v>
      </c>
      <c r="AU1086" s="2">
        <f t="shared" si="107"/>
        <v>6915</v>
      </c>
      <c r="AV1086" t="str">
        <f t="shared" si="108"/>
        <v>000100</v>
      </c>
      <c r="AY108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6">
        <f>((Table133456[[#This Row],[High C]]+Table133456[[#This Row],[Low C]])/2)*Table133456[[#This Row],[gammac]]*Table133456[[#This Row],[Volume]]</f>
        <v>0</v>
      </c>
      <c r="BD1086">
        <f>((Table133456[[#This Row],[High P]]+Table133456[[#This Row],[Low P]])/2)*Table133456[[#This Row],[gammap]]*Table133456[[#This Row],[Volume9]]*-1</f>
        <v>0</v>
      </c>
      <c r="BE1086">
        <f>(Table133456[[#This Row],[SgammaC]]+Table133456[[#This Row],[SgammaP]])*$A$4*-100</f>
        <v>0</v>
      </c>
      <c r="BF1086">
        <f>Table133456[[#This Row],[DEXc]]+Table133456[[#This Row],[DEXp]]</f>
        <v>0</v>
      </c>
      <c r="BG1086">
        <f>IFERROR(Table133456[[#This Row],[DeltaC]]*Table133456[[#This Row],[Open.Int]]*$A$4,0)</f>
        <v>0</v>
      </c>
      <c r="BH1086">
        <f>IFERROR(Table133456[[#This Row],[DeltaP]]*Table133456[[#This Row],[Open.Int8]]*$A$4,0)</f>
        <v>0</v>
      </c>
      <c r="BI108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6">
        <f ca="1">Table133456[[#This Row],[charmc]]+Table133456[[#This Row],[charmp]]</f>
        <v>0</v>
      </c>
      <c r="BL108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6" s="78">
        <f ca="1">Table133456[[#This Row],[call helper]]+Table133456[[#This Row],[put helper]]</f>
        <v>0</v>
      </c>
      <c r="BP1086" t="str">
        <f>RTD("tos.rtd", , "STRIKE", "."&amp;Table133456[[#This Row],[Ticker]]&amp;Table133456[[#This Row],[Expiry]]&amp;""&amp;"C"&amp;Table133456[[#This Row],[Spot]]+Table133456[[#This Row],[step]])</f>
        <v>N/A</v>
      </c>
    </row>
    <row r="1087" spans="1:68" x14ac:dyDescent="0.25">
      <c r="A1087" s="14">
        <f t="shared" ca="1" si="104"/>
        <v>-126.14810350076104</v>
      </c>
      <c r="C1087" s="17"/>
      <c r="D1087" t="str">
        <f>RTD("tos.rtd", , "OPEN_INT", "."&amp;Table133456[[#This Row],[Ticker]]&amp;Table133456[[#This Row],[Expiry]]&amp;""&amp;"C"&amp;Table133456[[#This Row],[Spot]]+Table133456[[#This Row],[step]])</f>
        <v>N/A</v>
      </c>
      <c r="E108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7" s="17" cm="1">
        <f t="array" aca="1" ref="H1087" ca="1">IndividualLegIVCore($A$4, Table133456[[#This Row],[Strike]], 0.0411, Table133456[[#This Row],[T]], ((Table133456[[#This Row],[BIDC]]+Table133456[[#This Row],[ASKC]])/2), TRUE)</f>
        <v>0.01</v>
      </c>
      <c r="I1087" t="b">
        <f>IF(     ISNUMBER(Table133456[[#This Row],[Strike]]),RTD("tos.rtd", , "BID", "."&amp;Table133456[[#This Row],[Ticker]]&amp;Table133456[[#This Row],[Expiry]]&amp;""&amp;"C"&amp;Table133456[[#This Row],[Strike]]))</f>
        <v>0</v>
      </c>
      <c r="J1087" t="b">
        <f>IF(     ISNUMBER(Table133456[[#This Row],[Strike]]),RTD("tos.rtd", , "ASK", "."&amp;Table133456[[#This Row],[Ticker]]&amp;Table133456[[#This Row],[Expiry]]&amp;""&amp;"C"&amp;Table133456[[#This Row],[Strike]]))</f>
        <v>0</v>
      </c>
      <c r="K1087" s="17"/>
      <c r="M1087" s="1">
        <f t="shared" si="105"/>
        <v>0</v>
      </c>
      <c r="N1087" t="b">
        <f t="shared" si="106"/>
        <v>0</v>
      </c>
      <c r="P1087" s="17" cm="1">
        <f t="array" aca="1" ref="P1087" ca="1">IndividualLegIVCore($A$4, Table133456[[#This Row],[Strike]], 0.0411, Table133456[[#This Row],[T]], ((Table133456[[#This Row],[BIDP]]+Table133456[[#This Row],[ASKP]])/2), FALSE)</f>
        <v>0.01</v>
      </c>
      <c r="Q1087" t="b">
        <f>IF(     ISNUMBER(Table133456[[#This Row],[Strike]]),RTD("tos.rtd", , "BID", "."&amp;Table133456[[#This Row],[Ticker]]&amp;Table133456[[#This Row],[Expiry]]&amp;""&amp;"P"&amp;Table133456[[#This Row],[Strike]]))</f>
        <v>0</v>
      </c>
      <c r="R1087" t="b">
        <f>IF(     ISNUMBER(Table133456[[#This Row],[Strike]]),RTD("tos.rtd", , "ASK", "."&amp;Table133456[[#This Row],[Ticker]]&amp;Table133456[[#This Row],[Expiry]]&amp;""&amp;"P"&amp;Table133456[[#This Row],[Strike]]))</f>
        <v>0</v>
      </c>
      <c r="S1087" s="17"/>
      <c r="T108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7" s="19">
        <f>-19* IF($M$1="NDX", 10, IF(OR($M$1="SPX", $M$1="RUT"), 2, 1))</f>
        <v>-38</v>
      </c>
      <c r="Z1087">
        <f ca="1">IFERROR(Table133456[[#This Row],[call gamma]]*(Table133456[[#This Row],[Open.Int]])*$A$4^2,0)</f>
        <v>0</v>
      </c>
      <c r="AA1087">
        <f ca="1">IFERROR(((Table133456[[#This Row],[Open.Int8]])*Table133456[[#This Row],[Put gamma]])*-1*$A$4^2,0)</f>
        <v>0</v>
      </c>
      <c r="AB1087">
        <f ca="1">(Table133456[[#This Row],[Call Gex]]+Table133456[[#This Row],[Put Gex]])</f>
        <v>0</v>
      </c>
      <c r="AC1087">
        <f ca="1">Table133456[[#This Row],[put delta adj]]+Table133456[[#This Row],[call delta adj]]</f>
        <v>0</v>
      </c>
      <c r="AD1087">
        <f ca="1">Table133456[[#This Row],[Put Gex]]*Table133456[[#This Row],[DeltaP]]*-1</f>
        <v>0</v>
      </c>
      <c r="AE1087">
        <f ca="1">Table133456[[#This Row],[Call Gex]]*Table133456[[#This Row],[DeltaC]]</f>
        <v>0</v>
      </c>
      <c r="AF1087">
        <f>IF(Table133456[[#This Row],[DeltaC]]-ABS(Table133456[[#This Row],[DeltaP]])="0","0.01",Table133456[[#This Row],[DeltaC]]-ABS(Table133456[[#This Row],[DeltaP]]))</f>
        <v>0</v>
      </c>
      <c r="AG108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7" t="e">
        <f ca="1">(EXP(-(AG1087^2)/2)/SQRT(2*PI())*EXP(0*SQRT(Table133456[[#This Row],[T]]))/$A$4*18%*SQRT(SQRT(Table133456[[#This Row],[T]])))</f>
        <v>#DIV/0!</v>
      </c>
      <c r="AJ1087" t="e">
        <f ca="1">(EXP(-(AH1087^2)/2)/SQRT(2*PI())*EXP(0*SQRT(Table133456[[#This Row],[T]]))/$A$4*18%*SQRT(SQRT(Table133456[[#This Row],[T]])))</f>
        <v>#DIV/0!</v>
      </c>
      <c r="AK1087" t="e">
        <f ca="1">Table133456[[#This Row],[Call D1]]-Table133456[[#This Row],[IV Calc C]]*SQRT(Table133456[[#This Row],[T]])</f>
        <v>#DIV/0!</v>
      </c>
      <c r="AL1087" t="e">
        <f ca="1">Table133456[[#This Row],[Put D1]]-Table133456[[#This Row],[IV Calc P]]*SQRT(Table133456[[#This Row],[T]])</f>
        <v>#DIV/0!</v>
      </c>
      <c r="AM1087" t="e">
        <f ca="1">EXP(-0.5*Table133456[[#This Row],[Call D1]]^2)/SQRT(2*PI())</f>
        <v>#DIV/0!</v>
      </c>
      <c r="AN1087" t="e">
        <f ca="1">EXP(-0.5*Table133456[[#This Row],[Put D1]]^2)/SQRT(2*PI())</f>
        <v>#DIV/0!</v>
      </c>
      <c r="AO108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7">
        <f ca="1">((Table133456[[#This Row],[call vanna]]+Table133456[[#This Row],[put vanna]])*$A$4)</f>
        <v>0</v>
      </c>
      <c r="AR108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7" s="9" t="str" cm="1">
        <f t="array" ref="AT1087">_xlfn.IFS(     $M$1="SPX","SPXW",     $M$1="RUT","RUTW",  $M$1="NDX","NDXP",   TRUE,$M$1 )</f>
        <v>SPXW</v>
      </c>
      <c r="AU1087" s="2">
        <f t="shared" si="107"/>
        <v>6915</v>
      </c>
      <c r="AV1087" t="str">
        <f t="shared" si="108"/>
        <v>000100</v>
      </c>
      <c r="AY108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7">
        <f>((Table133456[[#This Row],[High C]]+Table133456[[#This Row],[Low C]])/2)*Table133456[[#This Row],[gammac]]*Table133456[[#This Row],[Volume]]</f>
        <v>0</v>
      </c>
      <c r="BD1087">
        <f>((Table133456[[#This Row],[High P]]+Table133456[[#This Row],[Low P]])/2)*Table133456[[#This Row],[gammap]]*Table133456[[#This Row],[Volume9]]*-1</f>
        <v>0</v>
      </c>
      <c r="BE1087">
        <f>(Table133456[[#This Row],[SgammaC]]+Table133456[[#This Row],[SgammaP]])*$A$4*-100</f>
        <v>0</v>
      </c>
      <c r="BF1087">
        <f>Table133456[[#This Row],[DEXc]]+Table133456[[#This Row],[DEXp]]</f>
        <v>0</v>
      </c>
      <c r="BG1087">
        <f>IFERROR(Table133456[[#This Row],[DeltaC]]*Table133456[[#This Row],[Open.Int]]*$A$4,0)</f>
        <v>0</v>
      </c>
      <c r="BH1087">
        <f>IFERROR(Table133456[[#This Row],[DeltaP]]*Table133456[[#This Row],[Open.Int8]]*$A$4,0)</f>
        <v>0</v>
      </c>
      <c r="BI108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7">
        <f ca="1">Table133456[[#This Row],[charmc]]+Table133456[[#This Row],[charmp]]</f>
        <v>0</v>
      </c>
      <c r="BL108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7" s="78">
        <f ca="1">Table133456[[#This Row],[call helper]]+Table133456[[#This Row],[put helper]]</f>
        <v>0</v>
      </c>
      <c r="BP1087" t="str">
        <f>RTD("tos.rtd", , "STRIKE", "."&amp;Table133456[[#This Row],[Ticker]]&amp;Table133456[[#This Row],[Expiry]]&amp;""&amp;"C"&amp;Table133456[[#This Row],[Spot]]+Table133456[[#This Row],[step]])</f>
        <v>N/A</v>
      </c>
    </row>
    <row r="1088" spans="1:68" x14ac:dyDescent="0.25">
      <c r="A1088" s="14">
        <f t="shared" ca="1" si="104"/>
        <v>-126.14810350076104</v>
      </c>
      <c r="C1088" s="17"/>
      <c r="D1088" t="str">
        <f>RTD("tos.rtd", , "OPEN_INT", "."&amp;Table133456[[#This Row],[Ticker]]&amp;Table133456[[#This Row],[Expiry]]&amp;""&amp;"C"&amp;Table133456[[#This Row],[Spot]]+Table133456[[#This Row],[step]])</f>
        <v>N/A</v>
      </c>
      <c r="E108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8" s="17" cm="1">
        <f t="array" aca="1" ref="H1088" ca="1">IndividualLegIVCore($A$4, Table133456[[#This Row],[Strike]], 0.0411, Table133456[[#This Row],[T]], ((Table133456[[#This Row],[BIDC]]+Table133456[[#This Row],[ASKC]])/2), TRUE)</f>
        <v>0.01</v>
      </c>
      <c r="I1088" t="b">
        <f>IF(     ISNUMBER(Table133456[[#This Row],[Strike]]),RTD("tos.rtd", , "BID", "."&amp;Table133456[[#This Row],[Ticker]]&amp;Table133456[[#This Row],[Expiry]]&amp;""&amp;"C"&amp;Table133456[[#This Row],[Strike]]))</f>
        <v>0</v>
      </c>
      <c r="J1088" t="b">
        <f>IF(     ISNUMBER(Table133456[[#This Row],[Strike]]),RTD("tos.rtd", , "ASK", "."&amp;Table133456[[#This Row],[Ticker]]&amp;Table133456[[#This Row],[Expiry]]&amp;""&amp;"C"&amp;Table133456[[#This Row],[Strike]]))</f>
        <v>0</v>
      </c>
      <c r="K1088" s="17"/>
      <c r="M1088" s="1">
        <f t="shared" si="105"/>
        <v>0</v>
      </c>
      <c r="N1088" t="b">
        <f t="shared" si="106"/>
        <v>0</v>
      </c>
      <c r="P1088" s="17" cm="1">
        <f t="array" aca="1" ref="P1088" ca="1">IndividualLegIVCore($A$4, Table133456[[#This Row],[Strike]], 0.0411, Table133456[[#This Row],[T]], ((Table133456[[#This Row],[BIDP]]+Table133456[[#This Row],[ASKP]])/2), FALSE)</f>
        <v>0.01</v>
      </c>
      <c r="Q1088" t="b">
        <f>IF(     ISNUMBER(Table133456[[#This Row],[Strike]]),RTD("tos.rtd", , "BID", "."&amp;Table133456[[#This Row],[Ticker]]&amp;Table133456[[#This Row],[Expiry]]&amp;""&amp;"P"&amp;Table133456[[#This Row],[Strike]]))</f>
        <v>0</v>
      </c>
      <c r="R1088" t="b">
        <f>IF(     ISNUMBER(Table133456[[#This Row],[Strike]]),RTD("tos.rtd", , "ASK", "."&amp;Table133456[[#This Row],[Ticker]]&amp;Table133456[[#This Row],[Expiry]]&amp;""&amp;"P"&amp;Table133456[[#This Row],[Strike]]))</f>
        <v>0</v>
      </c>
      <c r="S1088" s="17"/>
      <c r="T108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8" s="19">
        <f>-18.5* IF($M$1="NDX", 10, IF(OR($M$1="SPX", $M$1="RUT"), 2, 1))</f>
        <v>-37</v>
      </c>
      <c r="Z1088">
        <f ca="1">IFERROR(Table133456[[#This Row],[call gamma]]*(Table133456[[#This Row],[Open.Int]])*$A$4^2,0)</f>
        <v>0</v>
      </c>
      <c r="AA1088">
        <f ca="1">IFERROR(((Table133456[[#This Row],[Open.Int8]])*Table133456[[#This Row],[Put gamma]])*-1*$A$4^2,0)</f>
        <v>0</v>
      </c>
      <c r="AB1088">
        <f ca="1">(Table133456[[#This Row],[Call Gex]]+Table133456[[#This Row],[Put Gex]])</f>
        <v>0</v>
      </c>
      <c r="AC1088">
        <f ca="1">Table133456[[#This Row],[put delta adj]]+Table133456[[#This Row],[call delta adj]]</f>
        <v>0</v>
      </c>
      <c r="AD1088">
        <f ca="1">Table133456[[#This Row],[Put Gex]]*Table133456[[#This Row],[DeltaP]]*-1</f>
        <v>0</v>
      </c>
      <c r="AE1088">
        <f ca="1">Table133456[[#This Row],[Call Gex]]*Table133456[[#This Row],[DeltaC]]</f>
        <v>0</v>
      </c>
      <c r="AF1088">
        <f>IF(Table133456[[#This Row],[DeltaC]]-ABS(Table133456[[#This Row],[DeltaP]])="0","0.01",Table133456[[#This Row],[DeltaC]]-ABS(Table133456[[#This Row],[DeltaP]]))</f>
        <v>0</v>
      </c>
      <c r="AG108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8" t="e">
        <f ca="1">(EXP(-(AG1088^2)/2)/SQRT(2*PI())*EXP(0*SQRT(Table133456[[#This Row],[T]]))/$A$4*18%*SQRT(SQRT(Table133456[[#This Row],[T]])))</f>
        <v>#DIV/0!</v>
      </c>
      <c r="AJ1088" t="e">
        <f ca="1">(EXP(-(AH1088^2)/2)/SQRT(2*PI())*EXP(0*SQRT(Table133456[[#This Row],[T]]))/$A$4*18%*SQRT(SQRT(Table133456[[#This Row],[T]])))</f>
        <v>#DIV/0!</v>
      </c>
      <c r="AK1088" t="e">
        <f ca="1">Table133456[[#This Row],[Call D1]]-Table133456[[#This Row],[IV Calc C]]*SQRT(Table133456[[#This Row],[T]])</f>
        <v>#DIV/0!</v>
      </c>
      <c r="AL1088" t="e">
        <f ca="1">Table133456[[#This Row],[Put D1]]-Table133456[[#This Row],[IV Calc P]]*SQRT(Table133456[[#This Row],[T]])</f>
        <v>#DIV/0!</v>
      </c>
      <c r="AM1088" t="e">
        <f ca="1">EXP(-0.5*Table133456[[#This Row],[Call D1]]^2)/SQRT(2*PI())</f>
        <v>#DIV/0!</v>
      </c>
      <c r="AN1088" t="e">
        <f ca="1">EXP(-0.5*Table133456[[#This Row],[Put D1]]^2)/SQRT(2*PI())</f>
        <v>#DIV/0!</v>
      </c>
      <c r="AO108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8">
        <f ca="1">((Table133456[[#This Row],[call vanna]]+Table133456[[#This Row],[put vanna]])*$A$4)</f>
        <v>0</v>
      </c>
      <c r="AR108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8" s="9" t="str" cm="1">
        <f t="array" ref="AT1088">_xlfn.IFS(     $M$1="SPX","SPXW",     $M$1="RUT","RUTW",  $M$1="NDX","NDXP",   TRUE,$M$1 )</f>
        <v>SPXW</v>
      </c>
      <c r="AU1088" s="2">
        <f t="shared" si="107"/>
        <v>6915</v>
      </c>
      <c r="AV1088" t="str">
        <f t="shared" si="108"/>
        <v>000100</v>
      </c>
      <c r="AY108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8">
        <f>((Table133456[[#This Row],[High C]]+Table133456[[#This Row],[Low C]])/2)*Table133456[[#This Row],[gammac]]*Table133456[[#This Row],[Volume]]</f>
        <v>0</v>
      </c>
      <c r="BD1088">
        <f>((Table133456[[#This Row],[High P]]+Table133456[[#This Row],[Low P]])/2)*Table133456[[#This Row],[gammap]]*Table133456[[#This Row],[Volume9]]*-1</f>
        <v>0</v>
      </c>
      <c r="BE1088">
        <f>(Table133456[[#This Row],[SgammaC]]+Table133456[[#This Row],[SgammaP]])*$A$4*-100</f>
        <v>0</v>
      </c>
      <c r="BF1088">
        <f>Table133456[[#This Row],[DEXc]]+Table133456[[#This Row],[DEXp]]</f>
        <v>0</v>
      </c>
      <c r="BG1088">
        <f>IFERROR(Table133456[[#This Row],[DeltaC]]*Table133456[[#This Row],[Open.Int]]*$A$4,0)</f>
        <v>0</v>
      </c>
      <c r="BH1088">
        <f>IFERROR(Table133456[[#This Row],[DeltaP]]*Table133456[[#This Row],[Open.Int8]]*$A$4,0)</f>
        <v>0</v>
      </c>
      <c r="BI108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8">
        <f ca="1">Table133456[[#This Row],[charmc]]+Table133456[[#This Row],[charmp]]</f>
        <v>0</v>
      </c>
      <c r="BL108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8" s="78">
        <f ca="1">Table133456[[#This Row],[call helper]]+Table133456[[#This Row],[put helper]]</f>
        <v>0</v>
      </c>
      <c r="BP1088" t="str">
        <f>RTD("tos.rtd", , "STRIKE", "."&amp;Table133456[[#This Row],[Ticker]]&amp;Table133456[[#This Row],[Expiry]]&amp;""&amp;"C"&amp;Table133456[[#This Row],[Spot]]+Table133456[[#This Row],[step]])</f>
        <v>N/A</v>
      </c>
    </row>
    <row r="1089" spans="1:68" x14ac:dyDescent="0.25">
      <c r="A1089" s="14">
        <f t="shared" ref="A1089:A1152" ca="1" si="109">$T$3</f>
        <v>-126.14810350076104</v>
      </c>
      <c r="C1089" s="17"/>
      <c r="D1089" t="str">
        <f>RTD("tos.rtd", , "OPEN_INT", "."&amp;Table133456[[#This Row],[Ticker]]&amp;Table133456[[#This Row],[Expiry]]&amp;""&amp;"C"&amp;Table133456[[#This Row],[Spot]]+Table133456[[#This Row],[step]])</f>
        <v>N/A</v>
      </c>
      <c r="E108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9" s="17" cm="1">
        <f t="array" aca="1" ref="H1089" ca="1">IndividualLegIVCore($A$4, Table133456[[#This Row],[Strike]], 0.0411, Table133456[[#This Row],[T]], ((Table133456[[#This Row],[BIDC]]+Table133456[[#This Row],[ASKC]])/2), TRUE)</f>
        <v>0.01</v>
      </c>
      <c r="I1089" t="b">
        <f>IF(     ISNUMBER(Table133456[[#This Row],[Strike]]),RTD("tos.rtd", , "BID", "."&amp;Table133456[[#This Row],[Ticker]]&amp;Table133456[[#This Row],[Expiry]]&amp;""&amp;"C"&amp;Table133456[[#This Row],[Strike]]))</f>
        <v>0</v>
      </c>
      <c r="J1089" t="b">
        <f>IF(     ISNUMBER(Table133456[[#This Row],[Strike]]),RTD("tos.rtd", , "ASK", "."&amp;Table133456[[#This Row],[Ticker]]&amp;Table133456[[#This Row],[Expiry]]&amp;""&amp;"C"&amp;Table133456[[#This Row],[Strike]]))</f>
        <v>0</v>
      </c>
      <c r="K1089" s="17"/>
      <c r="M1089" s="1">
        <f t="shared" ref="M1089:M1152" si="110">$T$1</f>
        <v>0</v>
      </c>
      <c r="N1089" t="b">
        <f t="shared" ref="N1089:N1152" si="111">IF(ISNUMBER($BP1089), $BP1089, FALSE)</f>
        <v>0</v>
      </c>
      <c r="P1089" s="17" cm="1">
        <f t="array" aca="1" ref="P1089" ca="1">IndividualLegIVCore($A$4, Table133456[[#This Row],[Strike]], 0.0411, Table133456[[#This Row],[T]], ((Table133456[[#This Row],[BIDP]]+Table133456[[#This Row],[ASKP]])/2), FALSE)</f>
        <v>0.01</v>
      </c>
      <c r="Q1089" t="b">
        <f>IF(     ISNUMBER(Table133456[[#This Row],[Strike]]),RTD("tos.rtd", , "BID", "."&amp;Table133456[[#This Row],[Ticker]]&amp;Table133456[[#This Row],[Expiry]]&amp;""&amp;"P"&amp;Table133456[[#This Row],[Strike]]))</f>
        <v>0</v>
      </c>
      <c r="R1089" t="b">
        <f>IF(     ISNUMBER(Table133456[[#This Row],[Strike]]),RTD("tos.rtd", , "ASK", "."&amp;Table133456[[#This Row],[Ticker]]&amp;Table133456[[#This Row],[Expiry]]&amp;""&amp;"P"&amp;Table133456[[#This Row],[Strike]]))</f>
        <v>0</v>
      </c>
      <c r="S1089" s="17"/>
      <c r="T108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9" s="19">
        <f>-18* IF($M$1="NDX", 10, IF(OR($M$1="SPX", $M$1="RUT"), 2, 1))</f>
        <v>-36</v>
      </c>
      <c r="Z1089">
        <f ca="1">IFERROR(Table133456[[#This Row],[call gamma]]*(Table133456[[#This Row],[Open.Int]])*$A$4^2,0)</f>
        <v>0</v>
      </c>
      <c r="AA1089">
        <f ca="1">IFERROR(((Table133456[[#This Row],[Open.Int8]])*Table133456[[#This Row],[Put gamma]])*-1*$A$4^2,0)</f>
        <v>0</v>
      </c>
      <c r="AB1089">
        <f ca="1">(Table133456[[#This Row],[Call Gex]]+Table133456[[#This Row],[Put Gex]])</f>
        <v>0</v>
      </c>
      <c r="AC1089">
        <f ca="1">Table133456[[#This Row],[put delta adj]]+Table133456[[#This Row],[call delta adj]]</f>
        <v>0</v>
      </c>
      <c r="AD1089">
        <f ca="1">Table133456[[#This Row],[Put Gex]]*Table133456[[#This Row],[DeltaP]]*-1</f>
        <v>0</v>
      </c>
      <c r="AE1089">
        <f ca="1">Table133456[[#This Row],[Call Gex]]*Table133456[[#This Row],[DeltaC]]</f>
        <v>0</v>
      </c>
      <c r="AF1089">
        <f>IF(Table133456[[#This Row],[DeltaC]]-ABS(Table133456[[#This Row],[DeltaP]])="0","0.01",Table133456[[#This Row],[DeltaC]]-ABS(Table133456[[#This Row],[DeltaP]]))</f>
        <v>0</v>
      </c>
      <c r="AG108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9" t="e">
        <f ca="1">(EXP(-(AG1089^2)/2)/SQRT(2*PI())*EXP(0*SQRT(Table133456[[#This Row],[T]]))/$A$4*18%*SQRT(SQRT(Table133456[[#This Row],[T]])))</f>
        <v>#DIV/0!</v>
      </c>
      <c r="AJ1089" t="e">
        <f ca="1">(EXP(-(AH1089^2)/2)/SQRT(2*PI())*EXP(0*SQRT(Table133456[[#This Row],[T]]))/$A$4*18%*SQRT(SQRT(Table133456[[#This Row],[T]])))</f>
        <v>#DIV/0!</v>
      </c>
      <c r="AK1089" t="e">
        <f ca="1">Table133456[[#This Row],[Call D1]]-Table133456[[#This Row],[IV Calc C]]*SQRT(Table133456[[#This Row],[T]])</f>
        <v>#DIV/0!</v>
      </c>
      <c r="AL1089" t="e">
        <f ca="1">Table133456[[#This Row],[Put D1]]-Table133456[[#This Row],[IV Calc P]]*SQRT(Table133456[[#This Row],[T]])</f>
        <v>#DIV/0!</v>
      </c>
      <c r="AM1089" t="e">
        <f ca="1">EXP(-0.5*Table133456[[#This Row],[Call D1]]^2)/SQRT(2*PI())</f>
        <v>#DIV/0!</v>
      </c>
      <c r="AN1089" t="e">
        <f ca="1">EXP(-0.5*Table133456[[#This Row],[Put D1]]^2)/SQRT(2*PI())</f>
        <v>#DIV/0!</v>
      </c>
      <c r="AO108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9">
        <f ca="1">((Table133456[[#This Row],[call vanna]]+Table133456[[#This Row],[put vanna]])*$A$4)</f>
        <v>0</v>
      </c>
      <c r="AR108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9" s="9" t="str" cm="1">
        <f t="array" ref="AT1089">_xlfn.IFS(     $M$1="SPX","SPXW",     $M$1="RUT","RUTW",  $M$1="NDX","NDXP",   TRUE,$M$1 )</f>
        <v>SPXW</v>
      </c>
      <c r="AU1089" s="2">
        <f t="shared" ref="AU1089:AU1152" si="112">$N$1</f>
        <v>6915</v>
      </c>
      <c r="AV1089" t="str">
        <f t="shared" ref="AV1089:AV1152" si="113">$T$2</f>
        <v>000100</v>
      </c>
      <c r="AY108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9">
        <f>((Table133456[[#This Row],[High C]]+Table133456[[#This Row],[Low C]])/2)*Table133456[[#This Row],[gammac]]*Table133456[[#This Row],[Volume]]</f>
        <v>0</v>
      </c>
      <c r="BD1089">
        <f>((Table133456[[#This Row],[High P]]+Table133456[[#This Row],[Low P]])/2)*Table133456[[#This Row],[gammap]]*Table133456[[#This Row],[Volume9]]*-1</f>
        <v>0</v>
      </c>
      <c r="BE1089">
        <f>(Table133456[[#This Row],[SgammaC]]+Table133456[[#This Row],[SgammaP]])*$A$4*-100</f>
        <v>0</v>
      </c>
      <c r="BF1089">
        <f>Table133456[[#This Row],[DEXc]]+Table133456[[#This Row],[DEXp]]</f>
        <v>0</v>
      </c>
      <c r="BG1089">
        <f>IFERROR(Table133456[[#This Row],[DeltaC]]*Table133456[[#This Row],[Open.Int]]*$A$4,0)</f>
        <v>0</v>
      </c>
      <c r="BH1089">
        <f>IFERROR(Table133456[[#This Row],[DeltaP]]*Table133456[[#This Row],[Open.Int8]]*$A$4,0)</f>
        <v>0</v>
      </c>
      <c r="BI108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9">
        <f ca="1">Table133456[[#This Row],[charmc]]+Table133456[[#This Row],[charmp]]</f>
        <v>0</v>
      </c>
      <c r="BL108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9" s="78">
        <f ca="1">Table133456[[#This Row],[call helper]]+Table133456[[#This Row],[put helper]]</f>
        <v>0</v>
      </c>
      <c r="BP1089" t="str">
        <f>RTD("tos.rtd", , "STRIKE", "."&amp;Table133456[[#This Row],[Ticker]]&amp;Table133456[[#This Row],[Expiry]]&amp;""&amp;"C"&amp;Table133456[[#This Row],[Spot]]+Table133456[[#This Row],[step]])</f>
        <v>N/A</v>
      </c>
    </row>
    <row r="1090" spans="1:68" x14ac:dyDescent="0.25">
      <c r="A1090" s="14">
        <f t="shared" ca="1" si="109"/>
        <v>-126.14810350076104</v>
      </c>
      <c r="C1090" s="17"/>
      <c r="D1090" t="str">
        <f>RTD("tos.rtd", , "OPEN_INT", "."&amp;Table133456[[#This Row],[Ticker]]&amp;Table133456[[#This Row],[Expiry]]&amp;""&amp;"C"&amp;Table133456[[#This Row],[Spot]]+Table133456[[#This Row],[step]])</f>
        <v>N/A</v>
      </c>
      <c r="E109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0" s="17" cm="1">
        <f t="array" aca="1" ref="H1090" ca="1">IndividualLegIVCore($A$4, Table133456[[#This Row],[Strike]], 0.0411, Table133456[[#This Row],[T]], ((Table133456[[#This Row],[BIDC]]+Table133456[[#This Row],[ASKC]])/2), TRUE)</f>
        <v>0.01</v>
      </c>
      <c r="I1090" t="b">
        <f>IF(     ISNUMBER(Table133456[[#This Row],[Strike]]),RTD("tos.rtd", , "BID", "."&amp;Table133456[[#This Row],[Ticker]]&amp;Table133456[[#This Row],[Expiry]]&amp;""&amp;"C"&amp;Table133456[[#This Row],[Strike]]))</f>
        <v>0</v>
      </c>
      <c r="J1090" t="b">
        <f>IF(     ISNUMBER(Table133456[[#This Row],[Strike]]),RTD("tos.rtd", , "ASK", "."&amp;Table133456[[#This Row],[Ticker]]&amp;Table133456[[#This Row],[Expiry]]&amp;""&amp;"C"&amp;Table133456[[#This Row],[Strike]]))</f>
        <v>0</v>
      </c>
      <c r="K1090" s="17"/>
      <c r="M1090" s="1">
        <f t="shared" si="110"/>
        <v>0</v>
      </c>
      <c r="N1090" t="b">
        <f t="shared" si="111"/>
        <v>0</v>
      </c>
      <c r="P1090" s="17" cm="1">
        <f t="array" aca="1" ref="P1090" ca="1">IndividualLegIVCore($A$4, Table133456[[#This Row],[Strike]], 0.0411, Table133456[[#This Row],[T]], ((Table133456[[#This Row],[BIDP]]+Table133456[[#This Row],[ASKP]])/2), FALSE)</f>
        <v>0.01</v>
      </c>
      <c r="Q1090" t="b">
        <f>IF(     ISNUMBER(Table133456[[#This Row],[Strike]]),RTD("tos.rtd", , "BID", "."&amp;Table133456[[#This Row],[Ticker]]&amp;Table133456[[#This Row],[Expiry]]&amp;""&amp;"P"&amp;Table133456[[#This Row],[Strike]]))</f>
        <v>0</v>
      </c>
      <c r="R1090" t="b">
        <f>IF(     ISNUMBER(Table133456[[#This Row],[Strike]]),RTD("tos.rtd", , "ASK", "."&amp;Table133456[[#This Row],[Ticker]]&amp;Table133456[[#This Row],[Expiry]]&amp;""&amp;"P"&amp;Table133456[[#This Row],[Strike]]))</f>
        <v>0</v>
      </c>
      <c r="S1090" s="17"/>
      <c r="T109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0" s="19">
        <f>-17.5* IF($M$1="NDX", 10, IF(OR($M$1="SPX", $M$1="RUT"), 2, 1))</f>
        <v>-35</v>
      </c>
      <c r="Z1090">
        <f ca="1">IFERROR(Table133456[[#This Row],[call gamma]]*(Table133456[[#This Row],[Open.Int]])*$A$4^2,0)</f>
        <v>0</v>
      </c>
      <c r="AA1090">
        <f ca="1">IFERROR(((Table133456[[#This Row],[Open.Int8]])*Table133456[[#This Row],[Put gamma]])*-1*$A$4^2,0)</f>
        <v>0</v>
      </c>
      <c r="AB1090">
        <f ca="1">(Table133456[[#This Row],[Call Gex]]+Table133456[[#This Row],[Put Gex]])</f>
        <v>0</v>
      </c>
      <c r="AC1090">
        <f ca="1">Table133456[[#This Row],[put delta adj]]+Table133456[[#This Row],[call delta adj]]</f>
        <v>0</v>
      </c>
      <c r="AD1090">
        <f ca="1">Table133456[[#This Row],[Put Gex]]*Table133456[[#This Row],[DeltaP]]*-1</f>
        <v>0</v>
      </c>
      <c r="AE1090">
        <f ca="1">Table133456[[#This Row],[Call Gex]]*Table133456[[#This Row],[DeltaC]]</f>
        <v>0</v>
      </c>
      <c r="AF1090">
        <f>IF(Table133456[[#This Row],[DeltaC]]-ABS(Table133456[[#This Row],[DeltaP]])="0","0.01",Table133456[[#This Row],[DeltaC]]-ABS(Table133456[[#This Row],[DeltaP]]))</f>
        <v>0</v>
      </c>
      <c r="AG109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0" t="e">
        <f ca="1">(EXP(-(AG1090^2)/2)/SQRT(2*PI())*EXP(0*SQRT(Table133456[[#This Row],[T]]))/$A$4*18%*SQRT(SQRT(Table133456[[#This Row],[T]])))</f>
        <v>#DIV/0!</v>
      </c>
      <c r="AJ1090" t="e">
        <f ca="1">(EXP(-(AH1090^2)/2)/SQRT(2*PI())*EXP(0*SQRT(Table133456[[#This Row],[T]]))/$A$4*18%*SQRT(SQRT(Table133456[[#This Row],[T]])))</f>
        <v>#DIV/0!</v>
      </c>
      <c r="AK1090" t="e">
        <f ca="1">Table133456[[#This Row],[Call D1]]-Table133456[[#This Row],[IV Calc C]]*SQRT(Table133456[[#This Row],[T]])</f>
        <v>#DIV/0!</v>
      </c>
      <c r="AL1090" t="e">
        <f ca="1">Table133456[[#This Row],[Put D1]]-Table133456[[#This Row],[IV Calc P]]*SQRT(Table133456[[#This Row],[T]])</f>
        <v>#DIV/0!</v>
      </c>
      <c r="AM1090" t="e">
        <f ca="1">EXP(-0.5*Table133456[[#This Row],[Call D1]]^2)/SQRT(2*PI())</f>
        <v>#DIV/0!</v>
      </c>
      <c r="AN1090" t="e">
        <f ca="1">EXP(-0.5*Table133456[[#This Row],[Put D1]]^2)/SQRT(2*PI())</f>
        <v>#DIV/0!</v>
      </c>
      <c r="AO109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0">
        <f ca="1">((Table133456[[#This Row],[call vanna]]+Table133456[[#This Row],[put vanna]])*$A$4)</f>
        <v>0</v>
      </c>
      <c r="AR109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0" s="9" t="str" cm="1">
        <f t="array" ref="AT1090">_xlfn.IFS(     $M$1="SPX","SPXW",     $M$1="RUT","RUTW",  $M$1="NDX","NDXP",   TRUE,$M$1 )</f>
        <v>SPXW</v>
      </c>
      <c r="AU1090" s="2">
        <f t="shared" si="112"/>
        <v>6915</v>
      </c>
      <c r="AV1090" t="str">
        <f t="shared" si="113"/>
        <v>000100</v>
      </c>
      <c r="AY109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0">
        <f>((Table133456[[#This Row],[High C]]+Table133456[[#This Row],[Low C]])/2)*Table133456[[#This Row],[gammac]]*Table133456[[#This Row],[Volume]]</f>
        <v>0</v>
      </c>
      <c r="BD1090">
        <f>((Table133456[[#This Row],[High P]]+Table133456[[#This Row],[Low P]])/2)*Table133456[[#This Row],[gammap]]*Table133456[[#This Row],[Volume9]]*-1</f>
        <v>0</v>
      </c>
      <c r="BE1090">
        <f>(Table133456[[#This Row],[SgammaC]]+Table133456[[#This Row],[SgammaP]])*$A$4*-100</f>
        <v>0</v>
      </c>
      <c r="BF1090">
        <f>Table133456[[#This Row],[DEXc]]+Table133456[[#This Row],[DEXp]]</f>
        <v>0</v>
      </c>
      <c r="BG1090">
        <f>IFERROR(Table133456[[#This Row],[DeltaC]]*Table133456[[#This Row],[Open.Int]]*$A$4,0)</f>
        <v>0</v>
      </c>
      <c r="BH1090">
        <f>IFERROR(Table133456[[#This Row],[DeltaP]]*Table133456[[#This Row],[Open.Int8]]*$A$4,0)</f>
        <v>0</v>
      </c>
      <c r="BI109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0">
        <f ca="1">Table133456[[#This Row],[charmc]]+Table133456[[#This Row],[charmp]]</f>
        <v>0</v>
      </c>
      <c r="BL109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0" s="78">
        <f ca="1">Table133456[[#This Row],[call helper]]+Table133456[[#This Row],[put helper]]</f>
        <v>0</v>
      </c>
      <c r="BP1090" t="str">
        <f>RTD("tos.rtd", , "STRIKE", "."&amp;Table133456[[#This Row],[Ticker]]&amp;Table133456[[#This Row],[Expiry]]&amp;""&amp;"C"&amp;Table133456[[#This Row],[Spot]]+Table133456[[#This Row],[step]])</f>
        <v>N/A</v>
      </c>
    </row>
    <row r="1091" spans="1:68" x14ac:dyDescent="0.25">
      <c r="A1091" s="14">
        <f t="shared" ca="1" si="109"/>
        <v>-126.14810350076104</v>
      </c>
      <c r="C1091" s="17"/>
      <c r="D1091" t="str">
        <f>RTD("tos.rtd", , "OPEN_INT", "."&amp;Table133456[[#This Row],[Ticker]]&amp;Table133456[[#This Row],[Expiry]]&amp;""&amp;"C"&amp;Table133456[[#This Row],[Spot]]+Table133456[[#This Row],[step]])</f>
        <v>N/A</v>
      </c>
      <c r="E109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1" s="17" cm="1">
        <f t="array" aca="1" ref="H1091" ca="1">IndividualLegIVCore($A$4, Table133456[[#This Row],[Strike]], 0.0411, Table133456[[#This Row],[T]], ((Table133456[[#This Row],[BIDC]]+Table133456[[#This Row],[ASKC]])/2), TRUE)</f>
        <v>0.01</v>
      </c>
      <c r="I1091" t="b">
        <f>IF(     ISNUMBER(Table133456[[#This Row],[Strike]]),RTD("tos.rtd", , "BID", "."&amp;Table133456[[#This Row],[Ticker]]&amp;Table133456[[#This Row],[Expiry]]&amp;""&amp;"C"&amp;Table133456[[#This Row],[Strike]]))</f>
        <v>0</v>
      </c>
      <c r="J1091" t="b">
        <f>IF(     ISNUMBER(Table133456[[#This Row],[Strike]]),RTD("tos.rtd", , "ASK", "."&amp;Table133456[[#This Row],[Ticker]]&amp;Table133456[[#This Row],[Expiry]]&amp;""&amp;"C"&amp;Table133456[[#This Row],[Strike]]))</f>
        <v>0</v>
      </c>
      <c r="K1091" s="17"/>
      <c r="M1091" s="1">
        <f t="shared" si="110"/>
        <v>0</v>
      </c>
      <c r="N1091" t="b">
        <f t="shared" si="111"/>
        <v>0</v>
      </c>
      <c r="P1091" s="17" cm="1">
        <f t="array" aca="1" ref="P1091" ca="1">IndividualLegIVCore($A$4, Table133456[[#This Row],[Strike]], 0.0411, Table133456[[#This Row],[T]], ((Table133456[[#This Row],[BIDP]]+Table133456[[#This Row],[ASKP]])/2), FALSE)</f>
        <v>0.01</v>
      </c>
      <c r="Q1091" t="b">
        <f>IF(     ISNUMBER(Table133456[[#This Row],[Strike]]),RTD("tos.rtd", , "BID", "."&amp;Table133456[[#This Row],[Ticker]]&amp;Table133456[[#This Row],[Expiry]]&amp;""&amp;"P"&amp;Table133456[[#This Row],[Strike]]))</f>
        <v>0</v>
      </c>
      <c r="R1091" t="b">
        <f>IF(     ISNUMBER(Table133456[[#This Row],[Strike]]),RTD("tos.rtd", , "ASK", "."&amp;Table133456[[#This Row],[Ticker]]&amp;Table133456[[#This Row],[Expiry]]&amp;""&amp;"P"&amp;Table133456[[#This Row],[Strike]]))</f>
        <v>0</v>
      </c>
      <c r="S1091" s="17"/>
      <c r="T109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1" s="19">
        <f>-17* IF($M$1="NDX", 10, IF(OR($M$1="SPX", $M$1="RUT"), 2, 1))</f>
        <v>-34</v>
      </c>
      <c r="Z1091">
        <f ca="1">IFERROR(Table133456[[#This Row],[call gamma]]*(Table133456[[#This Row],[Open.Int]])*$A$4^2,0)</f>
        <v>0</v>
      </c>
      <c r="AA1091">
        <f ca="1">IFERROR(((Table133456[[#This Row],[Open.Int8]])*Table133456[[#This Row],[Put gamma]])*-1*$A$4^2,0)</f>
        <v>0</v>
      </c>
      <c r="AB1091">
        <f ca="1">(Table133456[[#This Row],[Call Gex]]+Table133456[[#This Row],[Put Gex]])</f>
        <v>0</v>
      </c>
      <c r="AC1091">
        <f ca="1">Table133456[[#This Row],[put delta adj]]+Table133456[[#This Row],[call delta adj]]</f>
        <v>0</v>
      </c>
      <c r="AD1091">
        <f ca="1">Table133456[[#This Row],[Put Gex]]*Table133456[[#This Row],[DeltaP]]*-1</f>
        <v>0</v>
      </c>
      <c r="AE1091">
        <f ca="1">Table133456[[#This Row],[Call Gex]]*Table133456[[#This Row],[DeltaC]]</f>
        <v>0</v>
      </c>
      <c r="AF1091">
        <f>IF(Table133456[[#This Row],[DeltaC]]-ABS(Table133456[[#This Row],[DeltaP]])="0","0.01",Table133456[[#This Row],[DeltaC]]-ABS(Table133456[[#This Row],[DeltaP]]))</f>
        <v>0</v>
      </c>
      <c r="AG109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1" t="e">
        <f ca="1">(EXP(-(AG1091^2)/2)/SQRT(2*PI())*EXP(0*SQRT(Table133456[[#This Row],[T]]))/$A$4*18%*SQRT(SQRT(Table133456[[#This Row],[T]])))</f>
        <v>#DIV/0!</v>
      </c>
      <c r="AJ1091" t="e">
        <f ca="1">(EXP(-(AH1091^2)/2)/SQRT(2*PI())*EXP(0*SQRT(Table133456[[#This Row],[T]]))/$A$4*18%*SQRT(SQRT(Table133456[[#This Row],[T]])))</f>
        <v>#DIV/0!</v>
      </c>
      <c r="AK1091" t="e">
        <f ca="1">Table133456[[#This Row],[Call D1]]-Table133456[[#This Row],[IV Calc C]]*SQRT(Table133456[[#This Row],[T]])</f>
        <v>#DIV/0!</v>
      </c>
      <c r="AL1091" t="e">
        <f ca="1">Table133456[[#This Row],[Put D1]]-Table133456[[#This Row],[IV Calc P]]*SQRT(Table133456[[#This Row],[T]])</f>
        <v>#DIV/0!</v>
      </c>
      <c r="AM1091" t="e">
        <f ca="1">EXP(-0.5*Table133456[[#This Row],[Call D1]]^2)/SQRT(2*PI())</f>
        <v>#DIV/0!</v>
      </c>
      <c r="AN1091" t="e">
        <f ca="1">EXP(-0.5*Table133456[[#This Row],[Put D1]]^2)/SQRT(2*PI())</f>
        <v>#DIV/0!</v>
      </c>
      <c r="AO109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1">
        <f ca="1">((Table133456[[#This Row],[call vanna]]+Table133456[[#This Row],[put vanna]])*$A$4)</f>
        <v>0</v>
      </c>
      <c r="AR109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1" s="9" t="str" cm="1">
        <f t="array" ref="AT1091">_xlfn.IFS(     $M$1="SPX","SPXW",     $M$1="RUT","RUTW",  $M$1="NDX","NDXP",   TRUE,$M$1 )</f>
        <v>SPXW</v>
      </c>
      <c r="AU1091" s="2">
        <f t="shared" si="112"/>
        <v>6915</v>
      </c>
      <c r="AV1091" t="str">
        <f t="shared" si="113"/>
        <v>000100</v>
      </c>
      <c r="AY109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1">
        <f>((Table133456[[#This Row],[High C]]+Table133456[[#This Row],[Low C]])/2)*Table133456[[#This Row],[gammac]]*Table133456[[#This Row],[Volume]]</f>
        <v>0</v>
      </c>
      <c r="BD1091">
        <f>((Table133456[[#This Row],[High P]]+Table133456[[#This Row],[Low P]])/2)*Table133456[[#This Row],[gammap]]*Table133456[[#This Row],[Volume9]]*-1</f>
        <v>0</v>
      </c>
      <c r="BE1091">
        <f>(Table133456[[#This Row],[SgammaC]]+Table133456[[#This Row],[SgammaP]])*$A$4*-100</f>
        <v>0</v>
      </c>
      <c r="BF1091">
        <f>Table133456[[#This Row],[DEXc]]+Table133456[[#This Row],[DEXp]]</f>
        <v>0</v>
      </c>
      <c r="BG1091">
        <f>IFERROR(Table133456[[#This Row],[DeltaC]]*Table133456[[#This Row],[Open.Int]]*$A$4,0)</f>
        <v>0</v>
      </c>
      <c r="BH1091">
        <f>IFERROR(Table133456[[#This Row],[DeltaP]]*Table133456[[#This Row],[Open.Int8]]*$A$4,0)</f>
        <v>0</v>
      </c>
      <c r="BI109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1">
        <f ca="1">Table133456[[#This Row],[charmc]]+Table133456[[#This Row],[charmp]]</f>
        <v>0</v>
      </c>
      <c r="BL109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1" s="78">
        <f ca="1">Table133456[[#This Row],[call helper]]+Table133456[[#This Row],[put helper]]</f>
        <v>0</v>
      </c>
      <c r="BP1091" t="str">
        <f>RTD("tos.rtd", , "STRIKE", "."&amp;Table133456[[#This Row],[Ticker]]&amp;Table133456[[#This Row],[Expiry]]&amp;""&amp;"C"&amp;Table133456[[#This Row],[Spot]]+Table133456[[#This Row],[step]])</f>
        <v>N/A</v>
      </c>
    </row>
    <row r="1092" spans="1:68" x14ac:dyDescent="0.25">
      <c r="A1092" s="14">
        <f t="shared" ca="1" si="109"/>
        <v>-126.14810350076104</v>
      </c>
      <c r="C1092" s="17"/>
      <c r="D1092" t="str">
        <f>RTD("tos.rtd", , "OPEN_INT", "."&amp;Table133456[[#This Row],[Ticker]]&amp;Table133456[[#This Row],[Expiry]]&amp;""&amp;"C"&amp;Table133456[[#This Row],[Spot]]+Table133456[[#This Row],[step]])</f>
        <v>N/A</v>
      </c>
      <c r="E109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2" s="17" cm="1">
        <f t="array" aca="1" ref="H1092" ca="1">IndividualLegIVCore($A$4, Table133456[[#This Row],[Strike]], 0.0411, Table133456[[#This Row],[T]], ((Table133456[[#This Row],[BIDC]]+Table133456[[#This Row],[ASKC]])/2), TRUE)</f>
        <v>0.01</v>
      </c>
      <c r="I1092" t="b">
        <f>IF(     ISNUMBER(Table133456[[#This Row],[Strike]]),RTD("tos.rtd", , "BID", "."&amp;Table133456[[#This Row],[Ticker]]&amp;Table133456[[#This Row],[Expiry]]&amp;""&amp;"C"&amp;Table133456[[#This Row],[Strike]]))</f>
        <v>0</v>
      </c>
      <c r="J1092" t="b">
        <f>IF(     ISNUMBER(Table133456[[#This Row],[Strike]]),RTD("tos.rtd", , "ASK", "."&amp;Table133456[[#This Row],[Ticker]]&amp;Table133456[[#This Row],[Expiry]]&amp;""&amp;"C"&amp;Table133456[[#This Row],[Strike]]))</f>
        <v>0</v>
      </c>
      <c r="K1092" s="17"/>
      <c r="M1092" s="1">
        <f t="shared" si="110"/>
        <v>0</v>
      </c>
      <c r="N1092" t="b">
        <f t="shared" si="111"/>
        <v>0</v>
      </c>
      <c r="P1092" s="17" cm="1">
        <f t="array" aca="1" ref="P1092" ca="1">IndividualLegIVCore($A$4, Table133456[[#This Row],[Strike]], 0.0411, Table133456[[#This Row],[T]], ((Table133456[[#This Row],[BIDP]]+Table133456[[#This Row],[ASKP]])/2), FALSE)</f>
        <v>0.01</v>
      </c>
      <c r="Q1092" t="b">
        <f>IF(     ISNUMBER(Table133456[[#This Row],[Strike]]),RTD("tos.rtd", , "BID", "."&amp;Table133456[[#This Row],[Ticker]]&amp;Table133456[[#This Row],[Expiry]]&amp;""&amp;"P"&amp;Table133456[[#This Row],[Strike]]))</f>
        <v>0</v>
      </c>
      <c r="R1092" t="b">
        <f>IF(     ISNUMBER(Table133456[[#This Row],[Strike]]),RTD("tos.rtd", , "ASK", "."&amp;Table133456[[#This Row],[Ticker]]&amp;Table133456[[#This Row],[Expiry]]&amp;""&amp;"P"&amp;Table133456[[#This Row],[Strike]]))</f>
        <v>0</v>
      </c>
      <c r="S1092" s="17"/>
      <c r="T109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2" s="19">
        <f>-16.5* IF($M$1="NDX", 10, IF(OR($M$1="SPX", $M$1="RUT"), 2, 1))</f>
        <v>-33</v>
      </c>
      <c r="Z1092">
        <f ca="1">IFERROR(Table133456[[#This Row],[call gamma]]*(Table133456[[#This Row],[Open.Int]])*$A$4^2,0)</f>
        <v>0</v>
      </c>
      <c r="AA1092">
        <f ca="1">IFERROR(((Table133456[[#This Row],[Open.Int8]])*Table133456[[#This Row],[Put gamma]])*-1*$A$4^2,0)</f>
        <v>0</v>
      </c>
      <c r="AB1092">
        <f ca="1">(Table133456[[#This Row],[Call Gex]]+Table133456[[#This Row],[Put Gex]])</f>
        <v>0</v>
      </c>
      <c r="AC1092">
        <f ca="1">Table133456[[#This Row],[put delta adj]]+Table133456[[#This Row],[call delta adj]]</f>
        <v>0</v>
      </c>
      <c r="AD1092">
        <f ca="1">Table133456[[#This Row],[Put Gex]]*Table133456[[#This Row],[DeltaP]]*-1</f>
        <v>0</v>
      </c>
      <c r="AE1092">
        <f ca="1">Table133456[[#This Row],[Call Gex]]*Table133456[[#This Row],[DeltaC]]</f>
        <v>0</v>
      </c>
      <c r="AF1092">
        <f>IF(Table133456[[#This Row],[DeltaC]]-ABS(Table133456[[#This Row],[DeltaP]])="0","0.01",Table133456[[#This Row],[DeltaC]]-ABS(Table133456[[#This Row],[DeltaP]]))</f>
        <v>0</v>
      </c>
      <c r="AG109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2" t="e">
        <f ca="1">(EXP(-(AG1092^2)/2)/SQRT(2*PI())*EXP(0*SQRT(Table133456[[#This Row],[T]]))/$A$4*18%*SQRT(SQRT(Table133456[[#This Row],[T]])))</f>
        <v>#DIV/0!</v>
      </c>
      <c r="AJ1092" t="e">
        <f ca="1">(EXP(-(AH1092^2)/2)/SQRT(2*PI())*EXP(0*SQRT(Table133456[[#This Row],[T]]))/$A$4*18%*SQRT(SQRT(Table133456[[#This Row],[T]])))</f>
        <v>#DIV/0!</v>
      </c>
      <c r="AK1092" t="e">
        <f ca="1">Table133456[[#This Row],[Call D1]]-Table133456[[#This Row],[IV Calc C]]*SQRT(Table133456[[#This Row],[T]])</f>
        <v>#DIV/0!</v>
      </c>
      <c r="AL1092" t="e">
        <f ca="1">Table133456[[#This Row],[Put D1]]-Table133456[[#This Row],[IV Calc P]]*SQRT(Table133456[[#This Row],[T]])</f>
        <v>#DIV/0!</v>
      </c>
      <c r="AM1092" t="e">
        <f ca="1">EXP(-0.5*Table133456[[#This Row],[Call D1]]^2)/SQRT(2*PI())</f>
        <v>#DIV/0!</v>
      </c>
      <c r="AN1092" t="e">
        <f ca="1">EXP(-0.5*Table133456[[#This Row],[Put D1]]^2)/SQRT(2*PI())</f>
        <v>#DIV/0!</v>
      </c>
      <c r="AO109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2">
        <f ca="1">((Table133456[[#This Row],[call vanna]]+Table133456[[#This Row],[put vanna]])*$A$4)</f>
        <v>0</v>
      </c>
      <c r="AR109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2" s="9" t="str" cm="1">
        <f t="array" ref="AT1092">_xlfn.IFS(     $M$1="SPX","SPXW",     $M$1="RUT","RUTW",  $M$1="NDX","NDXP",   TRUE,$M$1 )</f>
        <v>SPXW</v>
      </c>
      <c r="AU1092" s="2">
        <f t="shared" si="112"/>
        <v>6915</v>
      </c>
      <c r="AV1092" t="str">
        <f t="shared" si="113"/>
        <v>000100</v>
      </c>
      <c r="AY109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2">
        <f>((Table133456[[#This Row],[High C]]+Table133456[[#This Row],[Low C]])/2)*Table133456[[#This Row],[gammac]]*Table133456[[#This Row],[Volume]]</f>
        <v>0</v>
      </c>
      <c r="BD1092">
        <f>((Table133456[[#This Row],[High P]]+Table133456[[#This Row],[Low P]])/2)*Table133456[[#This Row],[gammap]]*Table133456[[#This Row],[Volume9]]*-1</f>
        <v>0</v>
      </c>
      <c r="BE1092">
        <f>(Table133456[[#This Row],[SgammaC]]+Table133456[[#This Row],[SgammaP]])*$A$4*-100</f>
        <v>0</v>
      </c>
      <c r="BF1092">
        <f>Table133456[[#This Row],[DEXc]]+Table133456[[#This Row],[DEXp]]</f>
        <v>0</v>
      </c>
      <c r="BG1092">
        <f>IFERROR(Table133456[[#This Row],[DeltaC]]*Table133456[[#This Row],[Open.Int]]*$A$4,0)</f>
        <v>0</v>
      </c>
      <c r="BH1092">
        <f>IFERROR(Table133456[[#This Row],[DeltaP]]*Table133456[[#This Row],[Open.Int8]]*$A$4,0)</f>
        <v>0</v>
      </c>
      <c r="BI109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2">
        <f ca="1">Table133456[[#This Row],[charmc]]+Table133456[[#This Row],[charmp]]</f>
        <v>0</v>
      </c>
      <c r="BL109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2" s="78">
        <f ca="1">Table133456[[#This Row],[call helper]]+Table133456[[#This Row],[put helper]]</f>
        <v>0</v>
      </c>
      <c r="BP1092" t="str">
        <f>RTD("tos.rtd", , "STRIKE", "."&amp;Table133456[[#This Row],[Ticker]]&amp;Table133456[[#This Row],[Expiry]]&amp;""&amp;"C"&amp;Table133456[[#This Row],[Spot]]+Table133456[[#This Row],[step]])</f>
        <v>N/A</v>
      </c>
    </row>
    <row r="1093" spans="1:68" x14ac:dyDescent="0.25">
      <c r="A1093" s="14">
        <f t="shared" ca="1" si="109"/>
        <v>-126.14810350076104</v>
      </c>
      <c r="C1093" s="17"/>
      <c r="D1093" t="str">
        <f>RTD("tos.rtd", , "OPEN_INT", "."&amp;Table133456[[#This Row],[Ticker]]&amp;Table133456[[#This Row],[Expiry]]&amp;""&amp;"C"&amp;Table133456[[#This Row],[Spot]]+Table133456[[#This Row],[step]])</f>
        <v>N/A</v>
      </c>
      <c r="E109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3" s="17" cm="1">
        <f t="array" aca="1" ref="H1093" ca="1">IndividualLegIVCore($A$4, Table133456[[#This Row],[Strike]], 0.0411, Table133456[[#This Row],[T]], ((Table133456[[#This Row],[BIDC]]+Table133456[[#This Row],[ASKC]])/2), TRUE)</f>
        <v>0.01</v>
      </c>
      <c r="I1093" t="b">
        <f>IF(     ISNUMBER(Table133456[[#This Row],[Strike]]),RTD("tos.rtd", , "BID", "."&amp;Table133456[[#This Row],[Ticker]]&amp;Table133456[[#This Row],[Expiry]]&amp;""&amp;"C"&amp;Table133456[[#This Row],[Strike]]))</f>
        <v>0</v>
      </c>
      <c r="J1093" t="b">
        <f>IF(     ISNUMBER(Table133456[[#This Row],[Strike]]),RTD("tos.rtd", , "ASK", "."&amp;Table133456[[#This Row],[Ticker]]&amp;Table133456[[#This Row],[Expiry]]&amp;""&amp;"C"&amp;Table133456[[#This Row],[Strike]]))</f>
        <v>0</v>
      </c>
      <c r="K1093" s="17"/>
      <c r="M1093" s="1">
        <f t="shared" si="110"/>
        <v>0</v>
      </c>
      <c r="N1093" t="b">
        <f t="shared" si="111"/>
        <v>0</v>
      </c>
      <c r="P1093" s="17" cm="1">
        <f t="array" aca="1" ref="P1093" ca="1">IndividualLegIVCore($A$4, Table133456[[#This Row],[Strike]], 0.0411, Table133456[[#This Row],[T]], ((Table133456[[#This Row],[BIDP]]+Table133456[[#This Row],[ASKP]])/2), FALSE)</f>
        <v>0.01</v>
      </c>
      <c r="Q1093" t="b">
        <f>IF(     ISNUMBER(Table133456[[#This Row],[Strike]]),RTD("tos.rtd", , "BID", "."&amp;Table133456[[#This Row],[Ticker]]&amp;Table133456[[#This Row],[Expiry]]&amp;""&amp;"P"&amp;Table133456[[#This Row],[Strike]]))</f>
        <v>0</v>
      </c>
      <c r="R1093" t="b">
        <f>IF(     ISNUMBER(Table133456[[#This Row],[Strike]]),RTD("tos.rtd", , "ASK", "."&amp;Table133456[[#This Row],[Ticker]]&amp;Table133456[[#This Row],[Expiry]]&amp;""&amp;"P"&amp;Table133456[[#This Row],[Strike]]))</f>
        <v>0</v>
      </c>
      <c r="S1093" s="17"/>
      <c r="T109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3" s="19">
        <f>-16* IF($M$1="NDX", 10, IF(OR($M$1="SPX", $M$1="RUT"), 2, 1))</f>
        <v>-32</v>
      </c>
      <c r="Z1093">
        <f ca="1">IFERROR(Table133456[[#This Row],[call gamma]]*(Table133456[[#This Row],[Open.Int]])*$A$4^2,0)</f>
        <v>0</v>
      </c>
      <c r="AA1093">
        <f ca="1">IFERROR(((Table133456[[#This Row],[Open.Int8]])*Table133456[[#This Row],[Put gamma]])*-1*$A$4^2,0)</f>
        <v>0</v>
      </c>
      <c r="AB1093">
        <f ca="1">(Table133456[[#This Row],[Call Gex]]+Table133456[[#This Row],[Put Gex]])</f>
        <v>0</v>
      </c>
      <c r="AC1093">
        <f ca="1">Table133456[[#This Row],[put delta adj]]+Table133456[[#This Row],[call delta adj]]</f>
        <v>0</v>
      </c>
      <c r="AD1093">
        <f ca="1">Table133456[[#This Row],[Put Gex]]*Table133456[[#This Row],[DeltaP]]*-1</f>
        <v>0</v>
      </c>
      <c r="AE1093">
        <f ca="1">Table133456[[#This Row],[Call Gex]]*Table133456[[#This Row],[DeltaC]]</f>
        <v>0</v>
      </c>
      <c r="AF1093">
        <f>IF(Table133456[[#This Row],[DeltaC]]-ABS(Table133456[[#This Row],[DeltaP]])="0","0.01",Table133456[[#This Row],[DeltaC]]-ABS(Table133456[[#This Row],[DeltaP]]))</f>
        <v>0</v>
      </c>
      <c r="AG109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3" t="e">
        <f ca="1">(EXP(-(AG1093^2)/2)/SQRT(2*PI())*EXP(0*SQRT(Table133456[[#This Row],[T]]))/$A$4*18%*SQRT(SQRT(Table133456[[#This Row],[T]])))</f>
        <v>#DIV/0!</v>
      </c>
      <c r="AJ1093" t="e">
        <f ca="1">(EXP(-(AH1093^2)/2)/SQRT(2*PI())*EXP(0*SQRT(Table133456[[#This Row],[T]]))/$A$4*18%*SQRT(SQRT(Table133456[[#This Row],[T]])))</f>
        <v>#DIV/0!</v>
      </c>
      <c r="AK1093" t="e">
        <f ca="1">Table133456[[#This Row],[Call D1]]-Table133456[[#This Row],[IV Calc C]]*SQRT(Table133456[[#This Row],[T]])</f>
        <v>#DIV/0!</v>
      </c>
      <c r="AL1093" t="e">
        <f ca="1">Table133456[[#This Row],[Put D1]]-Table133456[[#This Row],[IV Calc P]]*SQRT(Table133456[[#This Row],[T]])</f>
        <v>#DIV/0!</v>
      </c>
      <c r="AM1093" t="e">
        <f ca="1">EXP(-0.5*Table133456[[#This Row],[Call D1]]^2)/SQRT(2*PI())</f>
        <v>#DIV/0!</v>
      </c>
      <c r="AN1093" t="e">
        <f ca="1">EXP(-0.5*Table133456[[#This Row],[Put D1]]^2)/SQRT(2*PI())</f>
        <v>#DIV/0!</v>
      </c>
      <c r="AO109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3">
        <f ca="1">((Table133456[[#This Row],[call vanna]]+Table133456[[#This Row],[put vanna]])*$A$4)</f>
        <v>0</v>
      </c>
      <c r="AR109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3" s="9" t="str" cm="1">
        <f t="array" ref="AT1093">_xlfn.IFS(     $M$1="SPX","SPXW",     $M$1="RUT","RUTW",  $M$1="NDX","NDXP",   TRUE,$M$1 )</f>
        <v>SPXW</v>
      </c>
      <c r="AU1093" s="2">
        <f t="shared" si="112"/>
        <v>6915</v>
      </c>
      <c r="AV1093" t="str">
        <f t="shared" si="113"/>
        <v>000100</v>
      </c>
      <c r="AY109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3">
        <f>((Table133456[[#This Row],[High C]]+Table133456[[#This Row],[Low C]])/2)*Table133456[[#This Row],[gammac]]*Table133456[[#This Row],[Volume]]</f>
        <v>0</v>
      </c>
      <c r="BD1093">
        <f>((Table133456[[#This Row],[High P]]+Table133456[[#This Row],[Low P]])/2)*Table133456[[#This Row],[gammap]]*Table133456[[#This Row],[Volume9]]*-1</f>
        <v>0</v>
      </c>
      <c r="BE1093">
        <f>(Table133456[[#This Row],[SgammaC]]+Table133456[[#This Row],[SgammaP]])*$A$4*-100</f>
        <v>0</v>
      </c>
      <c r="BF1093">
        <f>Table133456[[#This Row],[DEXc]]+Table133456[[#This Row],[DEXp]]</f>
        <v>0</v>
      </c>
      <c r="BG1093">
        <f>IFERROR(Table133456[[#This Row],[DeltaC]]*Table133456[[#This Row],[Open.Int]]*$A$4,0)</f>
        <v>0</v>
      </c>
      <c r="BH1093">
        <f>IFERROR(Table133456[[#This Row],[DeltaP]]*Table133456[[#This Row],[Open.Int8]]*$A$4,0)</f>
        <v>0</v>
      </c>
      <c r="BI109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3">
        <f ca="1">Table133456[[#This Row],[charmc]]+Table133456[[#This Row],[charmp]]</f>
        <v>0</v>
      </c>
      <c r="BL109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3" s="78">
        <f ca="1">Table133456[[#This Row],[call helper]]+Table133456[[#This Row],[put helper]]</f>
        <v>0</v>
      </c>
      <c r="BP1093" t="str">
        <f>RTD("tos.rtd", , "STRIKE", "."&amp;Table133456[[#This Row],[Ticker]]&amp;Table133456[[#This Row],[Expiry]]&amp;""&amp;"C"&amp;Table133456[[#This Row],[Spot]]+Table133456[[#This Row],[step]])</f>
        <v>N/A</v>
      </c>
    </row>
    <row r="1094" spans="1:68" x14ac:dyDescent="0.25">
      <c r="A1094" s="14">
        <f t="shared" ca="1" si="109"/>
        <v>-126.14810350076104</v>
      </c>
      <c r="C1094" s="17"/>
      <c r="D1094" t="str">
        <f>RTD("tos.rtd", , "OPEN_INT", "."&amp;Table133456[[#This Row],[Ticker]]&amp;Table133456[[#This Row],[Expiry]]&amp;""&amp;"C"&amp;Table133456[[#This Row],[Spot]]+Table133456[[#This Row],[step]])</f>
        <v>N/A</v>
      </c>
      <c r="E109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4" s="17" cm="1">
        <f t="array" aca="1" ref="H1094" ca="1">IndividualLegIVCore($A$4, Table133456[[#This Row],[Strike]], 0.0411, Table133456[[#This Row],[T]], ((Table133456[[#This Row],[BIDC]]+Table133456[[#This Row],[ASKC]])/2), TRUE)</f>
        <v>0.01</v>
      </c>
      <c r="I1094" t="b">
        <f>IF(     ISNUMBER(Table133456[[#This Row],[Strike]]),RTD("tos.rtd", , "BID", "."&amp;Table133456[[#This Row],[Ticker]]&amp;Table133456[[#This Row],[Expiry]]&amp;""&amp;"C"&amp;Table133456[[#This Row],[Strike]]))</f>
        <v>0</v>
      </c>
      <c r="J1094" t="b">
        <f>IF(     ISNUMBER(Table133456[[#This Row],[Strike]]),RTD("tos.rtd", , "ASK", "."&amp;Table133456[[#This Row],[Ticker]]&amp;Table133456[[#This Row],[Expiry]]&amp;""&amp;"C"&amp;Table133456[[#This Row],[Strike]]))</f>
        <v>0</v>
      </c>
      <c r="K1094" s="17"/>
      <c r="M1094" s="1">
        <f t="shared" si="110"/>
        <v>0</v>
      </c>
      <c r="N1094" t="b">
        <f t="shared" si="111"/>
        <v>0</v>
      </c>
      <c r="P1094" s="17" cm="1">
        <f t="array" aca="1" ref="P1094" ca="1">IndividualLegIVCore($A$4, Table133456[[#This Row],[Strike]], 0.0411, Table133456[[#This Row],[T]], ((Table133456[[#This Row],[BIDP]]+Table133456[[#This Row],[ASKP]])/2), FALSE)</f>
        <v>0.01</v>
      </c>
      <c r="Q1094" t="b">
        <f>IF(     ISNUMBER(Table133456[[#This Row],[Strike]]),RTD("tos.rtd", , "BID", "."&amp;Table133456[[#This Row],[Ticker]]&amp;Table133456[[#This Row],[Expiry]]&amp;""&amp;"P"&amp;Table133456[[#This Row],[Strike]]))</f>
        <v>0</v>
      </c>
      <c r="R1094" t="b">
        <f>IF(     ISNUMBER(Table133456[[#This Row],[Strike]]),RTD("tos.rtd", , "ASK", "."&amp;Table133456[[#This Row],[Ticker]]&amp;Table133456[[#This Row],[Expiry]]&amp;""&amp;"P"&amp;Table133456[[#This Row],[Strike]]))</f>
        <v>0</v>
      </c>
      <c r="S1094" s="17"/>
      <c r="T109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4" s="21">
        <f>-15.5* IF($M$1="NDX", 10, IF(OR($M$1="SPX", $M$1="RUT"), 2, 1))</f>
        <v>-31</v>
      </c>
      <c r="Z1094">
        <f ca="1">IFERROR(Table133456[[#This Row],[call gamma]]*(Table133456[[#This Row],[Open.Int]])*$A$4^2,0)</f>
        <v>0</v>
      </c>
      <c r="AA1094">
        <f ca="1">IFERROR(((Table133456[[#This Row],[Open.Int8]])*Table133456[[#This Row],[Put gamma]])*-1*$A$4^2,0)</f>
        <v>0</v>
      </c>
      <c r="AB1094">
        <f ca="1">(Table133456[[#This Row],[Call Gex]]+Table133456[[#This Row],[Put Gex]])</f>
        <v>0</v>
      </c>
      <c r="AC1094">
        <f ca="1">Table133456[[#This Row],[put delta adj]]+Table133456[[#This Row],[call delta adj]]</f>
        <v>0</v>
      </c>
      <c r="AD1094">
        <f ca="1">Table133456[[#This Row],[Put Gex]]*Table133456[[#This Row],[DeltaP]]*-1</f>
        <v>0</v>
      </c>
      <c r="AE1094">
        <f ca="1">Table133456[[#This Row],[Call Gex]]*Table133456[[#This Row],[DeltaC]]</f>
        <v>0</v>
      </c>
      <c r="AF1094">
        <f>IF(Table133456[[#This Row],[DeltaC]]-ABS(Table133456[[#This Row],[DeltaP]])="0","0.01",Table133456[[#This Row],[DeltaC]]-ABS(Table133456[[#This Row],[DeltaP]]))</f>
        <v>0</v>
      </c>
      <c r="AG109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4" t="e">
        <f ca="1">(EXP(-(AG1094^2)/2)/SQRT(2*PI())*EXP(0*SQRT(Table133456[[#This Row],[T]]))/$A$4*18%*SQRT(SQRT(Table133456[[#This Row],[T]])))</f>
        <v>#DIV/0!</v>
      </c>
      <c r="AJ1094" t="e">
        <f ca="1">(EXP(-(AH1094^2)/2)/SQRT(2*PI())*EXP(0*SQRT(Table133456[[#This Row],[T]]))/$A$4*18%*SQRT(SQRT(Table133456[[#This Row],[T]])))</f>
        <v>#DIV/0!</v>
      </c>
      <c r="AK1094" t="e">
        <f ca="1">Table133456[[#This Row],[Call D1]]-Table133456[[#This Row],[IV Calc C]]*SQRT(Table133456[[#This Row],[T]])</f>
        <v>#DIV/0!</v>
      </c>
      <c r="AL1094" t="e">
        <f ca="1">Table133456[[#This Row],[Put D1]]-Table133456[[#This Row],[IV Calc P]]*SQRT(Table133456[[#This Row],[T]])</f>
        <v>#DIV/0!</v>
      </c>
      <c r="AM1094" t="e">
        <f ca="1">EXP(-0.5*Table133456[[#This Row],[Call D1]]^2)/SQRT(2*PI())</f>
        <v>#DIV/0!</v>
      </c>
      <c r="AN1094" t="e">
        <f ca="1">EXP(-0.5*Table133456[[#This Row],[Put D1]]^2)/SQRT(2*PI())</f>
        <v>#DIV/0!</v>
      </c>
      <c r="AO109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4">
        <f ca="1">((Table133456[[#This Row],[call vanna]]+Table133456[[#This Row],[put vanna]])*$A$4)</f>
        <v>0</v>
      </c>
      <c r="AR109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4" s="9" t="str" cm="1">
        <f t="array" ref="AT1094">_xlfn.IFS(     $M$1="SPX","SPXW",     $M$1="RUT","RUTW",  $M$1="NDX","NDXP",   TRUE,$M$1 )</f>
        <v>SPXW</v>
      </c>
      <c r="AU1094" s="2">
        <f t="shared" si="112"/>
        <v>6915</v>
      </c>
      <c r="AV1094" t="str">
        <f t="shared" si="113"/>
        <v>000100</v>
      </c>
      <c r="AY109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4">
        <f>((Table133456[[#This Row],[High C]]+Table133456[[#This Row],[Low C]])/2)*Table133456[[#This Row],[gammac]]*Table133456[[#This Row],[Volume]]</f>
        <v>0</v>
      </c>
      <c r="BD1094">
        <f>((Table133456[[#This Row],[High P]]+Table133456[[#This Row],[Low P]])/2)*Table133456[[#This Row],[gammap]]*Table133456[[#This Row],[Volume9]]*-1</f>
        <v>0</v>
      </c>
      <c r="BE1094">
        <f>(Table133456[[#This Row],[SgammaC]]+Table133456[[#This Row],[SgammaP]])*$A$4*-100</f>
        <v>0</v>
      </c>
      <c r="BF1094">
        <f>Table133456[[#This Row],[DEXc]]+Table133456[[#This Row],[DEXp]]</f>
        <v>0</v>
      </c>
      <c r="BG1094">
        <f>IFERROR(Table133456[[#This Row],[DeltaC]]*Table133456[[#This Row],[Open.Int]]*$A$4,0)</f>
        <v>0</v>
      </c>
      <c r="BH1094">
        <f>IFERROR(Table133456[[#This Row],[DeltaP]]*Table133456[[#This Row],[Open.Int8]]*$A$4,0)</f>
        <v>0</v>
      </c>
      <c r="BI109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4">
        <f ca="1">Table133456[[#This Row],[charmc]]+Table133456[[#This Row],[charmp]]</f>
        <v>0</v>
      </c>
      <c r="BL109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4" s="78">
        <f ca="1">Table133456[[#This Row],[call helper]]+Table133456[[#This Row],[put helper]]</f>
        <v>0</v>
      </c>
      <c r="BP1094" t="str">
        <f>RTD("tos.rtd", , "STRIKE", "."&amp;Table133456[[#This Row],[Ticker]]&amp;Table133456[[#This Row],[Expiry]]&amp;""&amp;"C"&amp;Table133456[[#This Row],[Spot]]+Table133456[[#This Row],[step]])</f>
        <v>N/A</v>
      </c>
    </row>
    <row r="1095" spans="1:68" x14ac:dyDescent="0.25">
      <c r="A1095" s="14">
        <f t="shared" ca="1" si="109"/>
        <v>-126.14810350076104</v>
      </c>
      <c r="C1095" s="17"/>
      <c r="D1095" t="str">
        <f>RTD("tos.rtd", , "OPEN_INT", "."&amp;Table133456[[#This Row],[Ticker]]&amp;Table133456[[#This Row],[Expiry]]&amp;""&amp;"C"&amp;Table133456[[#This Row],[Spot]]+Table133456[[#This Row],[step]])</f>
        <v>N/A</v>
      </c>
      <c r="E109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5" s="17" cm="1">
        <f t="array" aca="1" ref="H1095" ca="1">IndividualLegIVCore($A$4, Table133456[[#This Row],[Strike]], 0.0411, Table133456[[#This Row],[T]], ((Table133456[[#This Row],[BIDC]]+Table133456[[#This Row],[ASKC]])/2), TRUE)</f>
        <v>0.01</v>
      </c>
      <c r="I1095" t="b">
        <f>IF(     ISNUMBER(Table133456[[#This Row],[Strike]]),RTD("tos.rtd", , "BID", "."&amp;Table133456[[#This Row],[Ticker]]&amp;Table133456[[#This Row],[Expiry]]&amp;""&amp;"C"&amp;Table133456[[#This Row],[Strike]]))</f>
        <v>0</v>
      </c>
      <c r="J1095" t="b">
        <f>IF(     ISNUMBER(Table133456[[#This Row],[Strike]]),RTD("tos.rtd", , "ASK", "."&amp;Table133456[[#This Row],[Ticker]]&amp;Table133456[[#This Row],[Expiry]]&amp;""&amp;"C"&amp;Table133456[[#This Row],[Strike]]))</f>
        <v>0</v>
      </c>
      <c r="K1095" s="17"/>
      <c r="M1095" s="1">
        <f t="shared" si="110"/>
        <v>0</v>
      </c>
      <c r="N1095" t="b">
        <f t="shared" si="111"/>
        <v>0</v>
      </c>
      <c r="P1095" s="17" cm="1">
        <f t="array" aca="1" ref="P1095" ca="1">IndividualLegIVCore($A$4, Table133456[[#This Row],[Strike]], 0.0411, Table133456[[#This Row],[T]], ((Table133456[[#This Row],[BIDP]]+Table133456[[#This Row],[ASKP]])/2), FALSE)</f>
        <v>0.01</v>
      </c>
      <c r="Q1095" t="b">
        <f>IF(     ISNUMBER(Table133456[[#This Row],[Strike]]),RTD("tos.rtd", , "BID", "."&amp;Table133456[[#This Row],[Ticker]]&amp;Table133456[[#This Row],[Expiry]]&amp;""&amp;"P"&amp;Table133456[[#This Row],[Strike]]))</f>
        <v>0</v>
      </c>
      <c r="R1095" t="b">
        <f>IF(     ISNUMBER(Table133456[[#This Row],[Strike]]),RTD("tos.rtd", , "ASK", "."&amp;Table133456[[#This Row],[Ticker]]&amp;Table133456[[#This Row],[Expiry]]&amp;""&amp;"P"&amp;Table133456[[#This Row],[Strike]]))</f>
        <v>0</v>
      </c>
      <c r="S1095" s="17"/>
      <c r="T109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5" s="19">
        <f>-15* IF($M$1="NDX", 10, IF(OR($M$1="SPX", $M$1="RUT"), 2, 1))</f>
        <v>-30</v>
      </c>
      <c r="Z1095">
        <f ca="1">IFERROR(Table133456[[#This Row],[call gamma]]*(Table133456[[#This Row],[Open.Int]])*$A$4^2,0)</f>
        <v>0</v>
      </c>
      <c r="AA1095">
        <f ca="1">IFERROR(((Table133456[[#This Row],[Open.Int8]])*Table133456[[#This Row],[Put gamma]])*-1*$A$4^2,0)</f>
        <v>0</v>
      </c>
      <c r="AB1095">
        <f ca="1">(Table133456[[#This Row],[Call Gex]]+Table133456[[#This Row],[Put Gex]])</f>
        <v>0</v>
      </c>
      <c r="AC1095">
        <f ca="1">Table133456[[#This Row],[put delta adj]]+Table133456[[#This Row],[call delta adj]]</f>
        <v>0</v>
      </c>
      <c r="AD1095">
        <f ca="1">Table133456[[#This Row],[Put Gex]]*Table133456[[#This Row],[DeltaP]]*-1</f>
        <v>0</v>
      </c>
      <c r="AE1095">
        <f ca="1">Table133456[[#This Row],[Call Gex]]*Table133456[[#This Row],[DeltaC]]</f>
        <v>0</v>
      </c>
      <c r="AF1095">
        <f>IF(Table133456[[#This Row],[DeltaC]]-ABS(Table133456[[#This Row],[DeltaP]])="0","0.01",Table133456[[#This Row],[DeltaC]]-ABS(Table133456[[#This Row],[DeltaP]]))</f>
        <v>0</v>
      </c>
      <c r="AG109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5" t="e">
        <f ca="1">(EXP(-(AG1095^2)/2)/SQRT(2*PI())*EXP(0*SQRT(Table133456[[#This Row],[T]]))/$A$4*18%*SQRT(SQRT(Table133456[[#This Row],[T]])))</f>
        <v>#DIV/0!</v>
      </c>
      <c r="AJ1095" t="e">
        <f ca="1">(EXP(-(AH1095^2)/2)/SQRT(2*PI())*EXP(0*SQRT(Table133456[[#This Row],[T]]))/$A$4*18%*SQRT(SQRT(Table133456[[#This Row],[T]])))</f>
        <v>#DIV/0!</v>
      </c>
      <c r="AK1095" t="e">
        <f ca="1">Table133456[[#This Row],[Call D1]]-Table133456[[#This Row],[IV Calc C]]*SQRT(Table133456[[#This Row],[T]])</f>
        <v>#DIV/0!</v>
      </c>
      <c r="AL1095" t="e">
        <f ca="1">Table133456[[#This Row],[Put D1]]-Table133456[[#This Row],[IV Calc P]]*SQRT(Table133456[[#This Row],[T]])</f>
        <v>#DIV/0!</v>
      </c>
      <c r="AM1095" t="e">
        <f ca="1">EXP(-0.5*Table133456[[#This Row],[Call D1]]^2)/SQRT(2*PI())</f>
        <v>#DIV/0!</v>
      </c>
      <c r="AN1095" t="e">
        <f ca="1">EXP(-0.5*Table133456[[#This Row],[Put D1]]^2)/SQRT(2*PI())</f>
        <v>#DIV/0!</v>
      </c>
      <c r="AO109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5">
        <f ca="1">((Table133456[[#This Row],[call vanna]]+Table133456[[#This Row],[put vanna]])*$A$4)</f>
        <v>0</v>
      </c>
      <c r="AR109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5" s="9" t="str" cm="1">
        <f t="array" ref="AT1095">_xlfn.IFS(     $M$1="SPX","SPXW",     $M$1="RUT","RUTW",  $M$1="NDX","NDXP",   TRUE,$M$1 )</f>
        <v>SPXW</v>
      </c>
      <c r="AU1095" s="2">
        <f t="shared" si="112"/>
        <v>6915</v>
      </c>
      <c r="AV1095" t="str">
        <f t="shared" si="113"/>
        <v>000100</v>
      </c>
      <c r="AY109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5">
        <f>((Table133456[[#This Row],[High C]]+Table133456[[#This Row],[Low C]])/2)*Table133456[[#This Row],[gammac]]*Table133456[[#This Row],[Volume]]</f>
        <v>0</v>
      </c>
      <c r="BD1095">
        <f>((Table133456[[#This Row],[High P]]+Table133456[[#This Row],[Low P]])/2)*Table133456[[#This Row],[gammap]]*Table133456[[#This Row],[Volume9]]*-1</f>
        <v>0</v>
      </c>
      <c r="BE1095">
        <f>(Table133456[[#This Row],[SgammaC]]+Table133456[[#This Row],[SgammaP]])*$A$4*-100</f>
        <v>0</v>
      </c>
      <c r="BF1095">
        <f>Table133456[[#This Row],[DEXc]]+Table133456[[#This Row],[DEXp]]</f>
        <v>0</v>
      </c>
      <c r="BG1095">
        <f>IFERROR(Table133456[[#This Row],[DeltaC]]*Table133456[[#This Row],[Open.Int]]*$A$4,0)</f>
        <v>0</v>
      </c>
      <c r="BH1095">
        <f>IFERROR(Table133456[[#This Row],[DeltaP]]*Table133456[[#This Row],[Open.Int8]]*$A$4,0)</f>
        <v>0</v>
      </c>
      <c r="BI109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5">
        <f ca="1">Table133456[[#This Row],[charmc]]+Table133456[[#This Row],[charmp]]</f>
        <v>0</v>
      </c>
      <c r="BL109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5" s="78">
        <f ca="1">Table133456[[#This Row],[call helper]]+Table133456[[#This Row],[put helper]]</f>
        <v>0</v>
      </c>
      <c r="BP1095" t="str">
        <f>RTD("tos.rtd", , "STRIKE", "."&amp;Table133456[[#This Row],[Ticker]]&amp;Table133456[[#This Row],[Expiry]]&amp;""&amp;"C"&amp;Table133456[[#This Row],[Spot]]+Table133456[[#This Row],[step]])</f>
        <v>N/A</v>
      </c>
    </row>
    <row r="1096" spans="1:68" x14ac:dyDescent="0.25">
      <c r="A1096" s="24">
        <f t="shared" ca="1" si="109"/>
        <v>-126.14810350076104</v>
      </c>
      <c r="B1096" s="13"/>
      <c r="C1096" s="17"/>
      <c r="D1096" t="str">
        <f>RTD("tos.rtd", , "OPEN_INT", "."&amp;Table133456[[#This Row],[Ticker]]&amp;Table133456[[#This Row],[Expiry]]&amp;""&amp;"C"&amp;Table133456[[#This Row],[Spot]]+Table133456[[#This Row],[step]])</f>
        <v>N/A</v>
      </c>
      <c r="E109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6" s="17" cm="1">
        <f t="array" aca="1" ref="H1096" ca="1">IndividualLegIVCore($A$4, Table133456[[#This Row],[Strike]], 0.0411, Table133456[[#This Row],[T]], ((Table133456[[#This Row],[BIDC]]+Table133456[[#This Row],[ASKC]])/2), TRUE)</f>
        <v>0.01</v>
      </c>
      <c r="I1096" t="b">
        <f>IF(     ISNUMBER(Table133456[[#This Row],[Strike]]),RTD("tos.rtd", , "BID", "."&amp;Table133456[[#This Row],[Ticker]]&amp;Table133456[[#This Row],[Expiry]]&amp;""&amp;"C"&amp;Table133456[[#This Row],[Strike]]))</f>
        <v>0</v>
      </c>
      <c r="J1096" t="b">
        <f>IF(     ISNUMBER(Table133456[[#This Row],[Strike]]),RTD("tos.rtd", , "ASK", "."&amp;Table133456[[#This Row],[Ticker]]&amp;Table133456[[#This Row],[Expiry]]&amp;""&amp;"C"&amp;Table133456[[#This Row],[Strike]]))</f>
        <v>0</v>
      </c>
      <c r="K1096" s="17"/>
      <c r="M1096" s="1">
        <f t="shared" si="110"/>
        <v>0</v>
      </c>
      <c r="N1096" t="b">
        <f t="shared" si="111"/>
        <v>0</v>
      </c>
      <c r="P1096" s="17" cm="1">
        <f t="array" aca="1" ref="P1096" ca="1">IndividualLegIVCore($A$4, Table133456[[#This Row],[Strike]], 0.0411, Table133456[[#This Row],[T]], ((Table133456[[#This Row],[BIDP]]+Table133456[[#This Row],[ASKP]])/2), FALSE)</f>
        <v>0.01</v>
      </c>
      <c r="Q1096" t="b">
        <f>IF(     ISNUMBER(Table133456[[#This Row],[Strike]]),RTD("tos.rtd", , "BID", "."&amp;Table133456[[#This Row],[Ticker]]&amp;Table133456[[#This Row],[Expiry]]&amp;""&amp;"P"&amp;Table133456[[#This Row],[Strike]]))</f>
        <v>0</v>
      </c>
      <c r="R1096" t="b">
        <f>IF(     ISNUMBER(Table133456[[#This Row],[Strike]]),RTD("tos.rtd", , "ASK", "."&amp;Table133456[[#This Row],[Ticker]]&amp;Table133456[[#This Row],[Expiry]]&amp;""&amp;"P"&amp;Table133456[[#This Row],[Strike]]))</f>
        <v>0</v>
      </c>
      <c r="S1096" s="17"/>
      <c r="T109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6" t="b">
        <f>IF(     ISNUMBER(Table133456[[#This Row],[Strike]]),RTD("tos.rtd", , "DELTA", "."&amp;Table133456[[#This Row],[Ticker]]&amp;Table133456[[#This Row],[Expiry]]&amp;""&amp;"P"&amp;Table133456[[#This Row],[Strike]]))</f>
        <v>0</v>
      </c>
      <c r="X1096" s="13"/>
      <c r="Y1096" s="19">
        <f>-14.5* IF($M$1="NDX", 10, IF(OR($M$1="SPX", $M$1="RUT"), 2, 1))</f>
        <v>-29</v>
      </c>
      <c r="Z1096">
        <f ca="1">IFERROR(Table133456[[#This Row],[call gamma]]*(Table133456[[#This Row],[Open.Int]])*$A$4^2,0)</f>
        <v>0</v>
      </c>
      <c r="AA1096">
        <f ca="1">IFERROR(((Table133456[[#This Row],[Open.Int8]])*Table133456[[#This Row],[Put gamma]])*-1*$A$4^2,0)</f>
        <v>0</v>
      </c>
      <c r="AB1096">
        <f ca="1">(Table133456[[#This Row],[Call Gex]]+Table133456[[#This Row],[Put Gex]])</f>
        <v>0</v>
      </c>
      <c r="AC1096">
        <f ca="1">Table133456[[#This Row],[put delta adj]]+Table133456[[#This Row],[call delta adj]]</f>
        <v>0</v>
      </c>
      <c r="AD1096">
        <f ca="1">Table133456[[#This Row],[Put Gex]]*Table133456[[#This Row],[DeltaP]]*-1</f>
        <v>0</v>
      </c>
      <c r="AE1096">
        <f ca="1">Table133456[[#This Row],[Call Gex]]*Table133456[[#This Row],[DeltaC]]</f>
        <v>0</v>
      </c>
      <c r="AF1096">
        <f>IF(Table133456[[#This Row],[DeltaC]]-ABS(Table133456[[#This Row],[DeltaP]])="0","0.01",Table133456[[#This Row],[DeltaC]]-ABS(Table133456[[#This Row],[DeltaP]]))</f>
        <v>0</v>
      </c>
      <c r="AG109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6" t="e">
        <f ca="1">(EXP(-(AG1096^2)/2)/SQRT(2*PI())*EXP(0*SQRT(Table133456[[#This Row],[T]]))/$A$4*18%*SQRT(SQRT(Table133456[[#This Row],[T]])))</f>
        <v>#DIV/0!</v>
      </c>
      <c r="AJ1096" t="e">
        <f ca="1">(EXP(-(AH1096^2)/2)/SQRT(2*PI())*EXP(0*SQRT(Table133456[[#This Row],[T]]))/$A$4*18%*SQRT(SQRT(Table133456[[#This Row],[T]])))</f>
        <v>#DIV/0!</v>
      </c>
      <c r="AK1096" t="e">
        <f ca="1">Table133456[[#This Row],[Call D1]]-Table133456[[#This Row],[IV Calc C]]*SQRT(Table133456[[#This Row],[T]])</f>
        <v>#DIV/0!</v>
      </c>
      <c r="AL1096" t="e">
        <f ca="1">Table133456[[#This Row],[Put D1]]-Table133456[[#This Row],[IV Calc P]]*SQRT(Table133456[[#This Row],[T]])</f>
        <v>#DIV/0!</v>
      </c>
      <c r="AM1096" t="e">
        <f ca="1">EXP(-0.5*Table133456[[#This Row],[Call D1]]^2)/SQRT(2*PI())</f>
        <v>#DIV/0!</v>
      </c>
      <c r="AN1096" t="e">
        <f ca="1">EXP(-0.5*Table133456[[#This Row],[Put D1]]^2)/SQRT(2*PI())</f>
        <v>#DIV/0!</v>
      </c>
      <c r="AO109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6">
        <f ca="1">((Table133456[[#This Row],[call vanna]]+Table133456[[#This Row],[put vanna]])*$A$4)</f>
        <v>0</v>
      </c>
      <c r="AR109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6" s="22" t="str" cm="1">
        <f t="array" ref="AT1096">_xlfn.IFS(     $M$1="SPX","SPXW",     $M$1="RUT","RUTW",  $M$1="NDX","NDXP",   TRUE,$M$1 )</f>
        <v>SPXW</v>
      </c>
      <c r="AU1096" s="2">
        <f t="shared" si="112"/>
        <v>6915</v>
      </c>
      <c r="AV1096" t="str">
        <f t="shared" si="113"/>
        <v>000100</v>
      </c>
      <c r="AY109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6">
        <f>((Table133456[[#This Row],[High C]]+Table133456[[#This Row],[Low C]])/2)*Table133456[[#This Row],[gammac]]*Table133456[[#This Row],[Volume]]</f>
        <v>0</v>
      </c>
      <c r="BD1096">
        <f>((Table133456[[#This Row],[High P]]+Table133456[[#This Row],[Low P]])/2)*Table133456[[#This Row],[gammap]]*Table133456[[#This Row],[Volume9]]*-1</f>
        <v>0</v>
      </c>
      <c r="BE1096">
        <f>(Table133456[[#This Row],[SgammaC]]+Table133456[[#This Row],[SgammaP]])*$A$4*-100</f>
        <v>0</v>
      </c>
      <c r="BF1096">
        <f>Table133456[[#This Row],[DEXc]]+Table133456[[#This Row],[DEXp]]</f>
        <v>0</v>
      </c>
      <c r="BG1096">
        <f>IFERROR(Table133456[[#This Row],[DeltaC]]*Table133456[[#This Row],[Open.Int]]*$A$4,0)</f>
        <v>0</v>
      </c>
      <c r="BH1096">
        <f>IFERROR(Table133456[[#This Row],[DeltaP]]*Table133456[[#This Row],[Open.Int8]]*$A$4,0)</f>
        <v>0</v>
      </c>
      <c r="BI109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6">
        <f ca="1">Table133456[[#This Row],[charmc]]+Table133456[[#This Row],[charmp]]</f>
        <v>0</v>
      </c>
      <c r="BL109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6" s="78">
        <f ca="1">Table133456[[#This Row],[call helper]]+Table133456[[#This Row],[put helper]]</f>
        <v>0</v>
      </c>
      <c r="BP1096" t="str">
        <f>RTD("tos.rtd", , "STRIKE", "."&amp;Table133456[[#This Row],[Ticker]]&amp;Table133456[[#This Row],[Expiry]]&amp;""&amp;"C"&amp;Table133456[[#This Row],[Spot]]+Table133456[[#This Row],[step]])</f>
        <v>N/A</v>
      </c>
    </row>
    <row r="1097" spans="1:68" x14ac:dyDescent="0.25">
      <c r="A1097" s="14">
        <f t="shared" ca="1" si="109"/>
        <v>-126.14810350076104</v>
      </c>
      <c r="C1097" s="17"/>
      <c r="D1097" t="str">
        <f>RTD("tos.rtd", , "OPEN_INT", "."&amp;Table133456[[#This Row],[Ticker]]&amp;Table133456[[#This Row],[Expiry]]&amp;""&amp;"C"&amp;Table133456[[#This Row],[Spot]]+Table133456[[#This Row],[step]])</f>
        <v>N/A</v>
      </c>
      <c r="E109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7" s="17" cm="1">
        <f t="array" aca="1" ref="H1097" ca="1">IndividualLegIVCore($A$4, Table133456[[#This Row],[Strike]], 0.0411, Table133456[[#This Row],[T]], ((Table133456[[#This Row],[BIDC]]+Table133456[[#This Row],[ASKC]])/2), TRUE)</f>
        <v>0.01</v>
      </c>
      <c r="I1097" t="b">
        <f>IF(     ISNUMBER(Table133456[[#This Row],[Strike]]),RTD("tos.rtd", , "BID", "."&amp;Table133456[[#This Row],[Ticker]]&amp;Table133456[[#This Row],[Expiry]]&amp;""&amp;"C"&amp;Table133456[[#This Row],[Strike]]))</f>
        <v>0</v>
      </c>
      <c r="J1097" t="b">
        <f>IF(     ISNUMBER(Table133456[[#This Row],[Strike]]),RTD("tos.rtd", , "ASK", "."&amp;Table133456[[#This Row],[Ticker]]&amp;Table133456[[#This Row],[Expiry]]&amp;""&amp;"C"&amp;Table133456[[#This Row],[Strike]]))</f>
        <v>0</v>
      </c>
      <c r="K1097" s="17"/>
      <c r="M1097" s="1">
        <f t="shared" si="110"/>
        <v>0</v>
      </c>
      <c r="N1097" t="b">
        <f t="shared" si="111"/>
        <v>0</v>
      </c>
      <c r="P1097" s="17" cm="1">
        <f t="array" aca="1" ref="P1097" ca="1">IndividualLegIVCore($A$4, Table133456[[#This Row],[Strike]], 0.0411, Table133456[[#This Row],[T]], ((Table133456[[#This Row],[BIDP]]+Table133456[[#This Row],[ASKP]])/2), FALSE)</f>
        <v>0.01</v>
      </c>
      <c r="Q1097" t="b">
        <f>IF(     ISNUMBER(Table133456[[#This Row],[Strike]]),RTD("tos.rtd", , "BID", "."&amp;Table133456[[#This Row],[Ticker]]&amp;Table133456[[#This Row],[Expiry]]&amp;""&amp;"P"&amp;Table133456[[#This Row],[Strike]]))</f>
        <v>0</v>
      </c>
      <c r="R1097" t="b">
        <f>IF(     ISNUMBER(Table133456[[#This Row],[Strike]]),RTD("tos.rtd", , "ASK", "."&amp;Table133456[[#This Row],[Ticker]]&amp;Table133456[[#This Row],[Expiry]]&amp;""&amp;"P"&amp;Table133456[[#This Row],[Strike]]))</f>
        <v>0</v>
      </c>
      <c r="S1097" s="17"/>
      <c r="T109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7" s="19">
        <f>-14* IF($M$1="NDX", 10, IF(OR($M$1="SPX", $M$1="RUT"), 2, 1))</f>
        <v>-28</v>
      </c>
      <c r="Z1097">
        <f ca="1">IFERROR(Table133456[[#This Row],[call gamma]]*(Table133456[[#This Row],[Open.Int]])*$A$4^2,0)</f>
        <v>0</v>
      </c>
      <c r="AA1097">
        <f ca="1">IFERROR(((Table133456[[#This Row],[Open.Int8]])*Table133456[[#This Row],[Put gamma]])*-1*$A$4^2,0)</f>
        <v>0</v>
      </c>
      <c r="AB1097">
        <f ca="1">(Table133456[[#This Row],[Call Gex]]+Table133456[[#This Row],[Put Gex]])</f>
        <v>0</v>
      </c>
      <c r="AC1097">
        <f ca="1">Table133456[[#This Row],[put delta adj]]+Table133456[[#This Row],[call delta adj]]</f>
        <v>0</v>
      </c>
      <c r="AD1097">
        <f ca="1">Table133456[[#This Row],[Put Gex]]*Table133456[[#This Row],[DeltaP]]*-1</f>
        <v>0</v>
      </c>
      <c r="AE1097">
        <f ca="1">Table133456[[#This Row],[Call Gex]]*Table133456[[#This Row],[DeltaC]]</f>
        <v>0</v>
      </c>
      <c r="AF1097">
        <f>IF(Table133456[[#This Row],[DeltaC]]-ABS(Table133456[[#This Row],[DeltaP]])="0","0.01",Table133456[[#This Row],[DeltaC]]-ABS(Table133456[[#This Row],[DeltaP]]))</f>
        <v>0</v>
      </c>
      <c r="AG109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7" t="e">
        <f ca="1">(EXP(-(AG1097^2)/2)/SQRT(2*PI())*EXP(0*SQRT(Table133456[[#This Row],[T]]))/$A$4*18%*SQRT(SQRT(Table133456[[#This Row],[T]])))</f>
        <v>#DIV/0!</v>
      </c>
      <c r="AJ1097" t="e">
        <f ca="1">(EXP(-(AH1097^2)/2)/SQRT(2*PI())*EXP(0*SQRT(Table133456[[#This Row],[T]]))/$A$4*18%*SQRT(SQRT(Table133456[[#This Row],[T]])))</f>
        <v>#DIV/0!</v>
      </c>
      <c r="AK1097" t="e">
        <f ca="1">Table133456[[#This Row],[Call D1]]-Table133456[[#This Row],[IV Calc C]]*SQRT(Table133456[[#This Row],[T]])</f>
        <v>#DIV/0!</v>
      </c>
      <c r="AL1097" t="e">
        <f ca="1">Table133456[[#This Row],[Put D1]]-Table133456[[#This Row],[IV Calc P]]*SQRT(Table133456[[#This Row],[T]])</f>
        <v>#DIV/0!</v>
      </c>
      <c r="AM1097" t="e">
        <f ca="1">EXP(-0.5*Table133456[[#This Row],[Call D1]]^2)/SQRT(2*PI())</f>
        <v>#DIV/0!</v>
      </c>
      <c r="AN1097" t="e">
        <f ca="1">EXP(-0.5*Table133456[[#This Row],[Put D1]]^2)/SQRT(2*PI())</f>
        <v>#DIV/0!</v>
      </c>
      <c r="AO109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7">
        <f ca="1">((Table133456[[#This Row],[call vanna]]+Table133456[[#This Row],[put vanna]])*$A$4)</f>
        <v>0</v>
      </c>
      <c r="AR109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7" s="9" t="str" cm="1">
        <f t="array" ref="AT1097">_xlfn.IFS(     $M$1="SPX","SPXW",     $M$1="RUT","RUTW",  $M$1="NDX","NDXP",   TRUE,$M$1 )</f>
        <v>SPXW</v>
      </c>
      <c r="AU1097" s="2">
        <f t="shared" si="112"/>
        <v>6915</v>
      </c>
      <c r="AV1097" t="str">
        <f t="shared" si="113"/>
        <v>000100</v>
      </c>
      <c r="AY109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7">
        <f>((Table133456[[#This Row],[High C]]+Table133456[[#This Row],[Low C]])/2)*Table133456[[#This Row],[gammac]]*Table133456[[#This Row],[Volume]]</f>
        <v>0</v>
      </c>
      <c r="BD1097">
        <f>((Table133456[[#This Row],[High P]]+Table133456[[#This Row],[Low P]])/2)*Table133456[[#This Row],[gammap]]*Table133456[[#This Row],[Volume9]]*-1</f>
        <v>0</v>
      </c>
      <c r="BE1097">
        <f>(Table133456[[#This Row],[SgammaC]]+Table133456[[#This Row],[SgammaP]])*$A$4*-100</f>
        <v>0</v>
      </c>
      <c r="BF1097">
        <f>Table133456[[#This Row],[DEXc]]+Table133456[[#This Row],[DEXp]]</f>
        <v>0</v>
      </c>
      <c r="BG1097">
        <f>IFERROR(Table133456[[#This Row],[DeltaC]]*Table133456[[#This Row],[Open.Int]]*$A$4,0)</f>
        <v>0</v>
      </c>
      <c r="BH1097">
        <f>IFERROR(Table133456[[#This Row],[DeltaP]]*Table133456[[#This Row],[Open.Int8]]*$A$4,0)</f>
        <v>0</v>
      </c>
      <c r="BI109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7">
        <f ca="1">Table133456[[#This Row],[charmc]]+Table133456[[#This Row],[charmp]]</f>
        <v>0</v>
      </c>
      <c r="BL109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7" s="78">
        <f ca="1">Table133456[[#This Row],[call helper]]+Table133456[[#This Row],[put helper]]</f>
        <v>0</v>
      </c>
      <c r="BP1097" t="str">
        <f>RTD("tos.rtd", , "STRIKE", "."&amp;Table133456[[#This Row],[Ticker]]&amp;Table133456[[#This Row],[Expiry]]&amp;""&amp;"C"&amp;Table133456[[#This Row],[Spot]]+Table133456[[#This Row],[step]])</f>
        <v>N/A</v>
      </c>
    </row>
    <row r="1098" spans="1:68" x14ac:dyDescent="0.25">
      <c r="A1098" s="14">
        <f t="shared" ca="1" si="109"/>
        <v>-126.14810350076104</v>
      </c>
      <c r="C1098" s="17"/>
      <c r="D1098" t="str">
        <f>RTD("tos.rtd", , "OPEN_INT", "."&amp;Table133456[[#This Row],[Ticker]]&amp;Table133456[[#This Row],[Expiry]]&amp;""&amp;"C"&amp;Table133456[[#This Row],[Spot]]+Table133456[[#This Row],[step]])</f>
        <v>N/A</v>
      </c>
      <c r="E109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8" s="17" cm="1">
        <f t="array" aca="1" ref="H1098" ca="1">IndividualLegIVCore($A$4, Table133456[[#This Row],[Strike]], 0.0411, Table133456[[#This Row],[T]], ((Table133456[[#This Row],[BIDC]]+Table133456[[#This Row],[ASKC]])/2), TRUE)</f>
        <v>0.01</v>
      </c>
      <c r="I1098" t="b">
        <f>IF(     ISNUMBER(Table133456[[#This Row],[Strike]]),RTD("tos.rtd", , "BID", "."&amp;Table133456[[#This Row],[Ticker]]&amp;Table133456[[#This Row],[Expiry]]&amp;""&amp;"C"&amp;Table133456[[#This Row],[Strike]]))</f>
        <v>0</v>
      </c>
      <c r="J1098" t="b">
        <f>IF(     ISNUMBER(Table133456[[#This Row],[Strike]]),RTD("tos.rtd", , "ASK", "."&amp;Table133456[[#This Row],[Ticker]]&amp;Table133456[[#This Row],[Expiry]]&amp;""&amp;"C"&amp;Table133456[[#This Row],[Strike]]))</f>
        <v>0</v>
      </c>
      <c r="K1098" s="17"/>
      <c r="M1098" s="1">
        <f t="shared" si="110"/>
        <v>0</v>
      </c>
      <c r="N1098" t="b">
        <f t="shared" si="111"/>
        <v>0</v>
      </c>
      <c r="P1098" s="17" cm="1">
        <f t="array" aca="1" ref="P1098" ca="1">IndividualLegIVCore($A$4, Table133456[[#This Row],[Strike]], 0.0411, Table133456[[#This Row],[T]], ((Table133456[[#This Row],[BIDP]]+Table133456[[#This Row],[ASKP]])/2), FALSE)</f>
        <v>0.01</v>
      </c>
      <c r="Q1098" t="b">
        <f>IF(     ISNUMBER(Table133456[[#This Row],[Strike]]),RTD("tos.rtd", , "BID", "."&amp;Table133456[[#This Row],[Ticker]]&amp;Table133456[[#This Row],[Expiry]]&amp;""&amp;"P"&amp;Table133456[[#This Row],[Strike]]))</f>
        <v>0</v>
      </c>
      <c r="R1098" t="b">
        <f>IF(     ISNUMBER(Table133456[[#This Row],[Strike]]),RTD("tos.rtd", , "ASK", "."&amp;Table133456[[#This Row],[Ticker]]&amp;Table133456[[#This Row],[Expiry]]&amp;""&amp;"P"&amp;Table133456[[#This Row],[Strike]]))</f>
        <v>0</v>
      </c>
      <c r="S1098" s="17"/>
      <c r="T109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8" s="19">
        <f>-13.5* IF($M$1="NDX", 10, IF(OR($M$1="SPX", $M$1="RUT"), 2, 1))</f>
        <v>-27</v>
      </c>
      <c r="Z1098">
        <f ca="1">IFERROR(Table133456[[#This Row],[call gamma]]*(Table133456[[#This Row],[Open.Int]])*$A$4^2,0)</f>
        <v>0</v>
      </c>
      <c r="AA1098">
        <f ca="1">IFERROR(((Table133456[[#This Row],[Open.Int8]])*Table133456[[#This Row],[Put gamma]])*-1*$A$4^2,0)</f>
        <v>0</v>
      </c>
      <c r="AB1098">
        <f ca="1">(Table133456[[#This Row],[Call Gex]]+Table133456[[#This Row],[Put Gex]])</f>
        <v>0</v>
      </c>
      <c r="AC1098">
        <f ca="1">Table133456[[#This Row],[put delta adj]]+Table133456[[#This Row],[call delta adj]]</f>
        <v>0</v>
      </c>
      <c r="AD1098">
        <f ca="1">Table133456[[#This Row],[Put Gex]]*Table133456[[#This Row],[DeltaP]]*-1</f>
        <v>0</v>
      </c>
      <c r="AE1098">
        <f ca="1">Table133456[[#This Row],[Call Gex]]*Table133456[[#This Row],[DeltaC]]</f>
        <v>0</v>
      </c>
      <c r="AF1098">
        <f>IF(Table133456[[#This Row],[DeltaC]]-ABS(Table133456[[#This Row],[DeltaP]])="0","0.01",Table133456[[#This Row],[DeltaC]]-ABS(Table133456[[#This Row],[DeltaP]]))</f>
        <v>0</v>
      </c>
      <c r="AG109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8" t="e">
        <f ca="1">(EXP(-(AG1098^2)/2)/SQRT(2*PI())*EXP(0*SQRT(Table133456[[#This Row],[T]]))/$A$4*18%*SQRT(SQRT(Table133456[[#This Row],[T]])))</f>
        <v>#DIV/0!</v>
      </c>
      <c r="AJ1098" t="e">
        <f ca="1">(EXP(-(AH1098^2)/2)/SQRT(2*PI())*EXP(0*SQRT(Table133456[[#This Row],[T]]))/$A$4*18%*SQRT(SQRT(Table133456[[#This Row],[T]])))</f>
        <v>#DIV/0!</v>
      </c>
      <c r="AK1098" t="e">
        <f ca="1">Table133456[[#This Row],[Call D1]]-Table133456[[#This Row],[IV Calc C]]*SQRT(Table133456[[#This Row],[T]])</f>
        <v>#DIV/0!</v>
      </c>
      <c r="AL1098" t="e">
        <f ca="1">Table133456[[#This Row],[Put D1]]-Table133456[[#This Row],[IV Calc P]]*SQRT(Table133456[[#This Row],[T]])</f>
        <v>#DIV/0!</v>
      </c>
      <c r="AM1098" t="e">
        <f ca="1">EXP(-0.5*Table133456[[#This Row],[Call D1]]^2)/SQRT(2*PI())</f>
        <v>#DIV/0!</v>
      </c>
      <c r="AN1098" t="e">
        <f ca="1">EXP(-0.5*Table133456[[#This Row],[Put D1]]^2)/SQRT(2*PI())</f>
        <v>#DIV/0!</v>
      </c>
      <c r="AO109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8">
        <f ca="1">((Table133456[[#This Row],[call vanna]]+Table133456[[#This Row],[put vanna]])*$A$4)</f>
        <v>0</v>
      </c>
      <c r="AR109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8" s="9" t="str" cm="1">
        <f t="array" ref="AT1098">_xlfn.IFS(     $M$1="SPX","SPXW",     $M$1="RUT","RUTW",  $M$1="NDX","NDXP",   TRUE,$M$1 )</f>
        <v>SPXW</v>
      </c>
      <c r="AU1098" s="2">
        <f t="shared" si="112"/>
        <v>6915</v>
      </c>
      <c r="AV1098" t="str">
        <f t="shared" si="113"/>
        <v>000100</v>
      </c>
      <c r="AY109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8">
        <f>((Table133456[[#This Row],[High C]]+Table133456[[#This Row],[Low C]])/2)*Table133456[[#This Row],[gammac]]*Table133456[[#This Row],[Volume]]</f>
        <v>0</v>
      </c>
      <c r="BD1098">
        <f>((Table133456[[#This Row],[High P]]+Table133456[[#This Row],[Low P]])/2)*Table133456[[#This Row],[gammap]]*Table133456[[#This Row],[Volume9]]*-1</f>
        <v>0</v>
      </c>
      <c r="BE1098">
        <f>(Table133456[[#This Row],[SgammaC]]+Table133456[[#This Row],[SgammaP]])*$A$4*-100</f>
        <v>0</v>
      </c>
      <c r="BF1098">
        <f>Table133456[[#This Row],[DEXc]]+Table133456[[#This Row],[DEXp]]</f>
        <v>0</v>
      </c>
      <c r="BG1098">
        <f>IFERROR(Table133456[[#This Row],[DeltaC]]*Table133456[[#This Row],[Open.Int]]*$A$4,0)</f>
        <v>0</v>
      </c>
      <c r="BH1098">
        <f>IFERROR(Table133456[[#This Row],[DeltaP]]*Table133456[[#This Row],[Open.Int8]]*$A$4,0)</f>
        <v>0</v>
      </c>
      <c r="BI109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8">
        <f ca="1">Table133456[[#This Row],[charmc]]+Table133456[[#This Row],[charmp]]</f>
        <v>0</v>
      </c>
      <c r="BL109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8" s="78">
        <f ca="1">Table133456[[#This Row],[call helper]]+Table133456[[#This Row],[put helper]]</f>
        <v>0</v>
      </c>
      <c r="BP1098" t="str">
        <f>RTD("tos.rtd", , "STRIKE", "."&amp;Table133456[[#This Row],[Ticker]]&amp;Table133456[[#This Row],[Expiry]]&amp;""&amp;"C"&amp;Table133456[[#This Row],[Spot]]+Table133456[[#This Row],[step]])</f>
        <v>N/A</v>
      </c>
    </row>
    <row r="1099" spans="1:68" x14ac:dyDescent="0.25">
      <c r="A1099" s="14">
        <f t="shared" ca="1" si="109"/>
        <v>-126.14810350076104</v>
      </c>
      <c r="C1099" s="17"/>
      <c r="D1099" t="str">
        <f>RTD("tos.rtd", , "OPEN_INT", "."&amp;Table133456[[#This Row],[Ticker]]&amp;Table133456[[#This Row],[Expiry]]&amp;""&amp;"C"&amp;Table133456[[#This Row],[Spot]]+Table133456[[#This Row],[step]])</f>
        <v>N/A</v>
      </c>
      <c r="E109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9" s="17" cm="1">
        <f t="array" aca="1" ref="H1099" ca="1">IndividualLegIVCore($A$4, Table133456[[#This Row],[Strike]], 0.0411, Table133456[[#This Row],[T]], ((Table133456[[#This Row],[BIDC]]+Table133456[[#This Row],[ASKC]])/2), TRUE)</f>
        <v>0.01</v>
      </c>
      <c r="I1099" t="b">
        <f>IF(     ISNUMBER(Table133456[[#This Row],[Strike]]),RTD("tos.rtd", , "BID", "."&amp;Table133456[[#This Row],[Ticker]]&amp;Table133456[[#This Row],[Expiry]]&amp;""&amp;"C"&amp;Table133456[[#This Row],[Strike]]))</f>
        <v>0</v>
      </c>
      <c r="J1099" t="b">
        <f>IF(     ISNUMBER(Table133456[[#This Row],[Strike]]),RTD("tos.rtd", , "ASK", "."&amp;Table133456[[#This Row],[Ticker]]&amp;Table133456[[#This Row],[Expiry]]&amp;""&amp;"C"&amp;Table133456[[#This Row],[Strike]]))</f>
        <v>0</v>
      </c>
      <c r="K1099" s="17"/>
      <c r="M1099" s="1">
        <f t="shared" si="110"/>
        <v>0</v>
      </c>
      <c r="N1099" t="b">
        <f t="shared" si="111"/>
        <v>0</v>
      </c>
      <c r="P1099" s="17" cm="1">
        <f t="array" aca="1" ref="P1099" ca="1">IndividualLegIVCore($A$4, Table133456[[#This Row],[Strike]], 0.0411, Table133456[[#This Row],[T]], ((Table133456[[#This Row],[BIDP]]+Table133456[[#This Row],[ASKP]])/2), FALSE)</f>
        <v>0.01</v>
      </c>
      <c r="Q1099" t="b">
        <f>IF(     ISNUMBER(Table133456[[#This Row],[Strike]]),RTD("tos.rtd", , "BID", "."&amp;Table133456[[#This Row],[Ticker]]&amp;Table133456[[#This Row],[Expiry]]&amp;""&amp;"P"&amp;Table133456[[#This Row],[Strike]]))</f>
        <v>0</v>
      </c>
      <c r="R1099" t="b">
        <f>IF(     ISNUMBER(Table133456[[#This Row],[Strike]]),RTD("tos.rtd", , "ASK", "."&amp;Table133456[[#This Row],[Ticker]]&amp;Table133456[[#This Row],[Expiry]]&amp;""&amp;"P"&amp;Table133456[[#This Row],[Strike]]))</f>
        <v>0</v>
      </c>
      <c r="S1099" s="17"/>
      <c r="T109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9" s="19">
        <f>-13* IF($M$1="NDX", 10, IF(OR($M$1="SPX", $M$1="RUT"), 2, 1))</f>
        <v>-26</v>
      </c>
      <c r="Z1099">
        <f ca="1">IFERROR(Table133456[[#This Row],[call gamma]]*(Table133456[[#This Row],[Open.Int]])*$A$4^2,0)</f>
        <v>0</v>
      </c>
      <c r="AA1099">
        <f ca="1">IFERROR(((Table133456[[#This Row],[Open.Int8]])*Table133456[[#This Row],[Put gamma]])*-1*$A$4^2,0)</f>
        <v>0</v>
      </c>
      <c r="AB1099">
        <f ca="1">(Table133456[[#This Row],[Call Gex]]+Table133456[[#This Row],[Put Gex]])</f>
        <v>0</v>
      </c>
      <c r="AC1099">
        <f ca="1">Table133456[[#This Row],[put delta adj]]+Table133456[[#This Row],[call delta adj]]</f>
        <v>0</v>
      </c>
      <c r="AD1099">
        <f ca="1">Table133456[[#This Row],[Put Gex]]*Table133456[[#This Row],[DeltaP]]*-1</f>
        <v>0</v>
      </c>
      <c r="AE1099">
        <f ca="1">Table133456[[#This Row],[Call Gex]]*Table133456[[#This Row],[DeltaC]]</f>
        <v>0</v>
      </c>
      <c r="AF1099">
        <f>IF(Table133456[[#This Row],[DeltaC]]-ABS(Table133456[[#This Row],[DeltaP]])="0","0.01",Table133456[[#This Row],[DeltaC]]-ABS(Table133456[[#This Row],[DeltaP]]))</f>
        <v>0</v>
      </c>
      <c r="AG109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9" t="e">
        <f ca="1">(EXP(-(AG1099^2)/2)/SQRT(2*PI())*EXP(0*SQRT(Table133456[[#This Row],[T]]))/$A$4*18%*SQRT(SQRT(Table133456[[#This Row],[T]])))</f>
        <v>#DIV/0!</v>
      </c>
      <c r="AJ1099" t="e">
        <f ca="1">(EXP(-(AH1099^2)/2)/SQRT(2*PI())*EXP(0*SQRT(Table133456[[#This Row],[T]]))/$A$4*18%*SQRT(SQRT(Table133456[[#This Row],[T]])))</f>
        <v>#DIV/0!</v>
      </c>
      <c r="AK1099" t="e">
        <f ca="1">Table133456[[#This Row],[Call D1]]-Table133456[[#This Row],[IV Calc C]]*SQRT(Table133456[[#This Row],[T]])</f>
        <v>#DIV/0!</v>
      </c>
      <c r="AL1099" t="e">
        <f ca="1">Table133456[[#This Row],[Put D1]]-Table133456[[#This Row],[IV Calc P]]*SQRT(Table133456[[#This Row],[T]])</f>
        <v>#DIV/0!</v>
      </c>
      <c r="AM1099" t="e">
        <f ca="1">EXP(-0.5*Table133456[[#This Row],[Call D1]]^2)/SQRT(2*PI())</f>
        <v>#DIV/0!</v>
      </c>
      <c r="AN1099" t="e">
        <f ca="1">EXP(-0.5*Table133456[[#This Row],[Put D1]]^2)/SQRT(2*PI())</f>
        <v>#DIV/0!</v>
      </c>
      <c r="AO109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9">
        <f ca="1">((Table133456[[#This Row],[call vanna]]+Table133456[[#This Row],[put vanna]])*$A$4)</f>
        <v>0</v>
      </c>
      <c r="AR109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9" s="9" t="str" cm="1">
        <f t="array" ref="AT1099">_xlfn.IFS(     $M$1="SPX","SPXW",     $M$1="RUT","RUTW",  $M$1="NDX","NDXP",   TRUE,$M$1 )</f>
        <v>SPXW</v>
      </c>
      <c r="AU1099" s="2">
        <f t="shared" si="112"/>
        <v>6915</v>
      </c>
      <c r="AV1099" t="str">
        <f t="shared" si="113"/>
        <v>000100</v>
      </c>
      <c r="AY109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9">
        <f>((Table133456[[#This Row],[High C]]+Table133456[[#This Row],[Low C]])/2)*Table133456[[#This Row],[gammac]]*Table133456[[#This Row],[Volume]]</f>
        <v>0</v>
      </c>
      <c r="BD1099">
        <f>((Table133456[[#This Row],[High P]]+Table133456[[#This Row],[Low P]])/2)*Table133456[[#This Row],[gammap]]*Table133456[[#This Row],[Volume9]]*-1</f>
        <v>0</v>
      </c>
      <c r="BE1099">
        <f>(Table133456[[#This Row],[SgammaC]]+Table133456[[#This Row],[SgammaP]])*$A$4*-100</f>
        <v>0</v>
      </c>
      <c r="BF1099">
        <f>Table133456[[#This Row],[DEXc]]+Table133456[[#This Row],[DEXp]]</f>
        <v>0</v>
      </c>
      <c r="BG1099">
        <f>IFERROR(Table133456[[#This Row],[DeltaC]]*Table133456[[#This Row],[Open.Int]]*$A$4,0)</f>
        <v>0</v>
      </c>
      <c r="BH1099">
        <f>IFERROR(Table133456[[#This Row],[DeltaP]]*Table133456[[#This Row],[Open.Int8]]*$A$4,0)</f>
        <v>0</v>
      </c>
      <c r="BI109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9">
        <f ca="1">Table133456[[#This Row],[charmc]]+Table133456[[#This Row],[charmp]]</f>
        <v>0</v>
      </c>
      <c r="BL109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9" s="78">
        <f ca="1">Table133456[[#This Row],[call helper]]+Table133456[[#This Row],[put helper]]</f>
        <v>0</v>
      </c>
      <c r="BP1099" t="str">
        <f>RTD("tos.rtd", , "STRIKE", "."&amp;Table133456[[#This Row],[Ticker]]&amp;Table133456[[#This Row],[Expiry]]&amp;""&amp;"C"&amp;Table133456[[#This Row],[Spot]]+Table133456[[#This Row],[step]])</f>
        <v>N/A</v>
      </c>
    </row>
    <row r="1100" spans="1:68" x14ac:dyDescent="0.25">
      <c r="A1100" s="14">
        <f t="shared" ca="1" si="109"/>
        <v>-126.14810350076104</v>
      </c>
      <c r="C1100" s="17"/>
      <c r="D1100" t="str">
        <f>RTD("tos.rtd", , "OPEN_INT", "."&amp;Table133456[[#This Row],[Ticker]]&amp;Table133456[[#This Row],[Expiry]]&amp;""&amp;"C"&amp;Table133456[[#This Row],[Spot]]+Table133456[[#This Row],[step]])</f>
        <v>N/A</v>
      </c>
      <c r="E110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0" s="17" cm="1">
        <f t="array" aca="1" ref="H1100" ca="1">IndividualLegIVCore($A$4, Table133456[[#This Row],[Strike]], 0.0411, Table133456[[#This Row],[T]], ((Table133456[[#This Row],[BIDC]]+Table133456[[#This Row],[ASKC]])/2), TRUE)</f>
        <v>0.01</v>
      </c>
      <c r="I1100" t="b">
        <f>IF(     ISNUMBER(Table133456[[#This Row],[Strike]]),RTD("tos.rtd", , "BID", "."&amp;Table133456[[#This Row],[Ticker]]&amp;Table133456[[#This Row],[Expiry]]&amp;""&amp;"C"&amp;Table133456[[#This Row],[Strike]]))</f>
        <v>0</v>
      </c>
      <c r="J1100" t="b">
        <f>IF(     ISNUMBER(Table133456[[#This Row],[Strike]]),RTD("tos.rtd", , "ASK", "."&amp;Table133456[[#This Row],[Ticker]]&amp;Table133456[[#This Row],[Expiry]]&amp;""&amp;"C"&amp;Table133456[[#This Row],[Strike]]))</f>
        <v>0</v>
      </c>
      <c r="K1100" s="17"/>
      <c r="M1100" s="1">
        <f t="shared" si="110"/>
        <v>0</v>
      </c>
      <c r="N1100" t="b">
        <f t="shared" si="111"/>
        <v>0</v>
      </c>
      <c r="P1100" s="17" cm="1">
        <f t="array" aca="1" ref="P1100" ca="1">IndividualLegIVCore($A$4, Table133456[[#This Row],[Strike]], 0.0411, Table133456[[#This Row],[T]], ((Table133456[[#This Row],[BIDP]]+Table133456[[#This Row],[ASKP]])/2), FALSE)</f>
        <v>0.01</v>
      </c>
      <c r="Q1100" t="b">
        <f>IF(     ISNUMBER(Table133456[[#This Row],[Strike]]),RTD("tos.rtd", , "BID", "."&amp;Table133456[[#This Row],[Ticker]]&amp;Table133456[[#This Row],[Expiry]]&amp;""&amp;"P"&amp;Table133456[[#This Row],[Strike]]))</f>
        <v>0</v>
      </c>
      <c r="R1100" t="b">
        <f>IF(     ISNUMBER(Table133456[[#This Row],[Strike]]),RTD("tos.rtd", , "ASK", "."&amp;Table133456[[#This Row],[Ticker]]&amp;Table133456[[#This Row],[Expiry]]&amp;""&amp;"P"&amp;Table133456[[#This Row],[Strike]]))</f>
        <v>0</v>
      </c>
      <c r="S1100" s="17"/>
      <c r="T110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0" s="19">
        <f>-12.5* IF($M$1="NDX", 10, IF(OR($M$1="SPX", $M$1="RUT"), 2, 1))</f>
        <v>-25</v>
      </c>
      <c r="Z1100">
        <f ca="1">IFERROR(Table133456[[#This Row],[call gamma]]*(Table133456[[#This Row],[Open.Int]])*$A$4^2,0)</f>
        <v>0</v>
      </c>
      <c r="AA1100">
        <f ca="1">IFERROR(((Table133456[[#This Row],[Open.Int8]])*Table133456[[#This Row],[Put gamma]])*-1*$A$4^2,0)</f>
        <v>0</v>
      </c>
      <c r="AB1100">
        <f ca="1">(Table133456[[#This Row],[Call Gex]]+Table133456[[#This Row],[Put Gex]])</f>
        <v>0</v>
      </c>
      <c r="AC1100">
        <f ca="1">Table133456[[#This Row],[put delta adj]]+Table133456[[#This Row],[call delta adj]]</f>
        <v>0</v>
      </c>
      <c r="AD1100">
        <f ca="1">Table133456[[#This Row],[Put Gex]]*Table133456[[#This Row],[DeltaP]]*-1</f>
        <v>0</v>
      </c>
      <c r="AE1100">
        <f ca="1">Table133456[[#This Row],[Call Gex]]*Table133456[[#This Row],[DeltaC]]</f>
        <v>0</v>
      </c>
      <c r="AF1100">
        <f>IF(Table133456[[#This Row],[DeltaC]]-ABS(Table133456[[#This Row],[DeltaP]])="0","0.01",Table133456[[#This Row],[DeltaC]]-ABS(Table133456[[#This Row],[DeltaP]]))</f>
        <v>0</v>
      </c>
      <c r="AG110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0" t="e">
        <f ca="1">(EXP(-(AG1100^2)/2)/SQRT(2*PI())*EXP(0*SQRT(Table133456[[#This Row],[T]]))/$A$4*18%*SQRT(SQRT(Table133456[[#This Row],[T]])))</f>
        <v>#DIV/0!</v>
      </c>
      <c r="AJ1100" t="e">
        <f ca="1">(EXP(-(AH1100^2)/2)/SQRT(2*PI())*EXP(0*SQRT(Table133456[[#This Row],[T]]))/$A$4*18%*SQRT(SQRT(Table133456[[#This Row],[T]])))</f>
        <v>#DIV/0!</v>
      </c>
      <c r="AK1100" t="e">
        <f ca="1">Table133456[[#This Row],[Call D1]]-Table133456[[#This Row],[IV Calc C]]*SQRT(Table133456[[#This Row],[T]])</f>
        <v>#DIV/0!</v>
      </c>
      <c r="AL1100" t="e">
        <f ca="1">Table133456[[#This Row],[Put D1]]-Table133456[[#This Row],[IV Calc P]]*SQRT(Table133456[[#This Row],[T]])</f>
        <v>#DIV/0!</v>
      </c>
      <c r="AM1100" t="e">
        <f ca="1">EXP(-0.5*Table133456[[#This Row],[Call D1]]^2)/SQRT(2*PI())</f>
        <v>#DIV/0!</v>
      </c>
      <c r="AN1100" t="e">
        <f ca="1">EXP(-0.5*Table133456[[#This Row],[Put D1]]^2)/SQRT(2*PI())</f>
        <v>#DIV/0!</v>
      </c>
      <c r="AO110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0">
        <f ca="1">((Table133456[[#This Row],[call vanna]]+Table133456[[#This Row],[put vanna]])*$A$4)</f>
        <v>0</v>
      </c>
      <c r="AR110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0" s="9" t="str" cm="1">
        <f t="array" ref="AT1100">_xlfn.IFS(     $M$1="SPX","SPXW",     $M$1="RUT","RUTW",  $M$1="NDX","NDXP",   TRUE,$M$1 )</f>
        <v>SPXW</v>
      </c>
      <c r="AU1100" s="2">
        <f t="shared" si="112"/>
        <v>6915</v>
      </c>
      <c r="AV1100" t="str">
        <f t="shared" si="113"/>
        <v>000100</v>
      </c>
      <c r="AY110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0">
        <f>((Table133456[[#This Row],[High C]]+Table133456[[#This Row],[Low C]])/2)*Table133456[[#This Row],[gammac]]*Table133456[[#This Row],[Volume]]</f>
        <v>0</v>
      </c>
      <c r="BD1100">
        <f>((Table133456[[#This Row],[High P]]+Table133456[[#This Row],[Low P]])/2)*Table133456[[#This Row],[gammap]]*Table133456[[#This Row],[Volume9]]*-1</f>
        <v>0</v>
      </c>
      <c r="BE1100">
        <f>(Table133456[[#This Row],[SgammaC]]+Table133456[[#This Row],[SgammaP]])*$A$4*-100</f>
        <v>0</v>
      </c>
      <c r="BF1100">
        <f>Table133456[[#This Row],[DEXc]]+Table133456[[#This Row],[DEXp]]</f>
        <v>0</v>
      </c>
      <c r="BG1100">
        <f>IFERROR(Table133456[[#This Row],[DeltaC]]*Table133456[[#This Row],[Open.Int]]*$A$4,0)</f>
        <v>0</v>
      </c>
      <c r="BH1100">
        <f>IFERROR(Table133456[[#This Row],[DeltaP]]*Table133456[[#This Row],[Open.Int8]]*$A$4,0)</f>
        <v>0</v>
      </c>
      <c r="BI110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0">
        <f ca="1">Table133456[[#This Row],[charmc]]+Table133456[[#This Row],[charmp]]</f>
        <v>0</v>
      </c>
      <c r="BL110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0" s="78">
        <f ca="1">Table133456[[#This Row],[call helper]]+Table133456[[#This Row],[put helper]]</f>
        <v>0</v>
      </c>
      <c r="BP1100" t="str">
        <f>RTD("tos.rtd", , "STRIKE", "."&amp;Table133456[[#This Row],[Ticker]]&amp;Table133456[[#This Row],[Expiry]]&amp;""&amp;"C"&amp;Table133456[[#This Row],[Spot]]+Table133456[[#This Row],[step]])</f>
        <v>N/A</v>
      </c>
    </row>
    <row r="1101" spans="1:68" x14ac:dyDescent="0.25">
      <c r="A1101" s="14">
        <f t="shared" ca="1" si="109"/>
        <v>-126.14810350076104</v>
      </c>
      <c r="C1101" s="17"/>
      <c r="D1101" t="str">
        <f>RTD("tos.rtd", , "OPEN_INT", "."&amp;Table133456[[#This Row],[Ticker]]&amp;Table133456[[#This Row],[Expiry]]&amp;""&amp;"C"&amp;Table133456[[#This Row],[Spot]]+Table133456[[#This Row],[step]])</f>
        <v>N/A</v>
      </c>
      <c r="E110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1" s="17" cm="1">
        <f t="array" aca="1" ref="H1101" ca="1">IndividualLegIVCore($A$4, Table133456[[#This Row],[Strike]], 0.0411, Table133456[[#This Row],[T]], ((Table133456[[#This Row],[BIDC]]+Table133456[[#This Row],[ASKC]])/2), TRUE)</f>
        <v>0.01</v>
      </c>
      <c r="I1101" t="b">
        <f>IF(     ISNUMBER(Table133456[[#This Row],[Strike]]),RTD("tos.rtd", , "BID", "."&amp;Table133456[[#This Row],[Ticker]]&amp;Table133456[[#This Row],[Expiry]]&amp;""&amp;"C"&amp;Table133456[[#This Row],[Strike]]))</f>
        <v>0</v>
      </c>
      <c r="J1101" t="b">
        <f>IF(     ISNUMBER(Table133456[[#This Row],[Strike]]),RTD("tos.rtd", , "ASK", "."&amp;Table133456[[#This Row],[Ticker]]&amp;Table133456[[#This Row],[Expiry]]&amp;""&amp;"C"&amp;Table133456[[#This Row],[Strike]]))</f>
        <v>0</v>
      </c>
      <c r="K1101" s="17"/>
      <c r="M1101" s="1">
        <f t="shared" si="110"/>
        <v>0</v>
      </c>
      <c r="N1101" t="b">
        <f t="shared" si="111"/>
        <v>0</v>
      </c>
      <c r="P1101" s="17" cm="1">
        <f t="array" aca="1" ref="P1101" ca="1">IndividualLegIVCore($A$4, Table133456[[#This Row],[Strike]], 0.0411, Table133456[[#This Row],[T]], ((Table133456[[#This Row],[BIDP]]+Table133456[[#This Row],[ASKP]])/2), FALSE)</f>
        <v>0.01</v>
      </c>
      <c r="Q1101" t="b">
        <f>IF(     ISNUMBER(Table133456[[#This Row],[Strike]]),RTD("tos.rtd", , "BID", "."&amp;Table133456[[#This Row],[Ticker]]&amp;Table133456[[#This Row],[Expiry]]&amp;""&amp;"P"&amp;Table133456[[#This Row],[Strike]]))</f>
        <v>0</v>
      </c>
      <c r="R1101" t="b">
        <f>IF(     ISNUMBER(Table133456[[#This Row],[Strike]]),RTD("tos.rtd", , "ASK", "."&amp;Table133456[[#This Row],[Ticker]]&amp;Table133456[[#This Row],[Expiry]]&amp;""&amp;"P"&amp;Table133456[[#This Row],[Strike]]))</f>
        <v>0</v>
      </c>
      <c r="S1101" s="17"/>
      <c r="T110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1" s="19">
        <f>-12* IF($M$1="NDX", 10, IF(OR($M$1="SPX", $M$1="RUT"), 2, 1))</f>
        <v>-24</v>
      </c>
      <c r="Z1101">
        <f ca="1">IFERROR(Table133456[[#This Row],[call gamma]]*(Table133456[[#This Row],[Open.Int]])*$A$4^2,0)</f>
        <v>0</v>
      </c>
      <c r="AA1101">
        <f ca="1">IFERROR(((Table133456[[#This Row],[Open.Int8]])*Table133456[[#This Row],[Put gamma]])*-1*$A$4^2,0)</f>
        <v>0</v>
      </c>
      <c r="AB1101">
        <f ca="1">(Table133456[[#This Row],[Call Gex]]+Table133456[[#This Row],[Put Gex]])</f>
        <v>0</v>
      </c>
      <c r="AC1101">
        <f ca="1">Table133456[[#This Row],[put delta adj]]+Table133456[[#This Row],[call delta adj]]</f>
        <v>0</v>
      </c>
      <c r="AD1101">
        <f ca="1">Table133456[[#This Row],[Put Gex]]*Table133456[[#This Row],[DeltaP]]*-1</f>
        <v>0</v>
      </c>
      <c r="AE1101">
        <f ca="1">Table133456[[#This Row],[Call Gex]]*Table133456[[#This Row],[DeltaC]]</f>
        <v>0</v>
      </c>
      <c r="AF1101">
        <f>IF(Table133456[[#This Row],[DeltaC]]-ABS(Table133456[[#This Row],[DeltaP]])="0","0.01",Table133456[[#This Row],[DeltaC]]-ABS(Table133456[[#This Row],[DeltaP]]))</f>
        <v>0</v>
      </c>
      <c r="AG110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1" t="e">
        <f ca="1">(EXP(-(AG1101^2)/2)/SQRT(2*PI())*EXP(0*SQRT(Table133456[[#This Row],[T]]))/$A$4*18%*SQRT(SQRT(Table133456[[#This Row],[T]])))</f>
        <v>#DIV/0!</v>
      </c>
      <c r="AJ1101" t="e">
        <f ca="1">(EXP(-(AH1101^2)/2)/SQRT(2*PI())*EXP(0*SQRT(Table133456[[#This Row],[T]]))/$A$4*18%*SQRT(SQRT(Table133456[[#This Row],[T]])))</f>
        <v>#DIV/0!</v>
      </c>
      <c r="AK1101" t="e">
        <f ca="1">Table133456[[#This Row],[Call D1]]-Table133456[[#This Row],[IV Calc C]]*SQRT(Table133456[[#This Row],[T]])</f>
        <v>#DIV/0!</v>
      </c>
      <c r="AL1101" t="e">
        <f ca="1">Table133456[[#This Row],[Put D1]]-Table133456[[#This Row],[IV Calc P]]*SQRT(Table133456[[#This Row],[T]])</f>
        <v>#DIV/0!</v>
      </c>
      <c r="AM1101" t="e">
        <f ca="1">EXP(-0.5*Table133456[[#This Row],[Call D1]]^2)/SQRT(2*PI())</f>
        <v>#DIV/0!</v>
      </c>
      <c r="AN1101" t="e">
        <f ca="1">EXP(-0.5*Table133456[[#This Row],[Put D1]]^2)/SQRT(2*PI())</f>
        <v>#DIV/0!</v>
      </c>
      <c r="AO110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1">
        <f ca="1">((Table133456[[#This Row],[call vanna]]+Table133456[[#This Row],[put vanna]])*$A$4)</f>
        <v>0</v>
      </c>
      <c r="AR110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1" s="9" t="str" cm="1">
        <f t="array" ref="AT1101">_xlfn.IFS(     $M$1="SPX","SPXW",     $M$1="RUT","RUTW",  $M$1="NDX","NDXP",   TRUE,$M$1 )</f>
        <v>SPXW</v>
      </c>
      <c r="AU1101" s="2">
        <f t="shared" si="112"/>
        <v>6915</v>
      </c>
      <c r="AV1101" t="str">
        <f t="shared" si="113"/>
        <v>000100</v>
      </c>
      <c r="AY110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1">
        <f>((Table133456[[#This Row],[High C]]+Table133456[[#This Row],[Low C]])/2)*Table133456[[#This Row],[gammac]]*Table133456[[#This Row],[Volume]]</f>
        <v>0</v>
      </c>
      <c r="BD1101">
        <f>((Table133456[[#This Row],[High P]]+Table133456[[#This Row],[Low P]])/2)*Table133456[[#This Row],[gammap]]*Table133456[[#This Row],[Volume9]]*-1</f>
        <v>0</v>
      </c>
      <c r="BE1101">
        <f>(Table133456[[#This Row],[SgammaC]]+Table133456[[#This Row],[SgammaP]])*$A$4*-100</f>
        <v>0</v>
      </c>
      <c r="BF1101">
        <f>Table133456[[#This Row],[DEXc]]+Table133456[[#This Row],[DEXp]]</f>
        <v>0</v>
      </c>
      <c r="BG1101">
        <f>IFERROR(Table133456[[#This Row],[DeltaC]]*Table133456[[#This Row],[Open.Int]]*$A$4,0)</f>
        <v>0</v>
      </c>
      <c r="BH1101">
        <f>IFERROR(Table133456[[#This Row],[DeltaP]]*Table133456[[#This Row],[Open.Int8]]*$A$4,0)</f>
        <v>0</v>
      </c>
      <c r="BI110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1">
        <f ca="1">Table133456[[#This Row],[charmc]]+Table133456[[#This Row],[charmp]]</f>
        <v>0</v>
      </c>
      <c r="BL110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1" s="78">
        <f ca="1">Table133456[[#This Row],[call helper]]+Table133456[[#This Row],[put helper]]</f>
        <v>0</v>
      </c>
      <c r="BP1101" t="str">
        <f>RTD("tos.rtd", , "STRIKE", "."&amp;Table133456[[#This Row],[Ticker]]&amp;Table133456[[#This Row],[Expiry]]&amp;""&amp;"C"&amp;Table133456[[#This Row],[Spot]]+Table133456[[#This Row],[step]])</f>
        <v>N/A</v>
      </c>
    </row>
    <row r="1102" spans="1:68" x14ac:dyDescent="0.25">
      <c r="A1102" s="14">
        <f t="shared" ca="1" si="109"/>
        <v>-126.14810350076104</v>
      </c>
      <c r="C1102" s="17"/>
      <c r="D1102" t="str">
        <f>RTD("tos.rtd", , "OPEN_INT", "."&amp;Table133456[[#This Row],[Ticker]]&amp;Table133456[[#This Row],[Expiry]]&amp;""&amp;"C"&amp;Table133456[[#This Row],[Spot]]+Table133456[[#This Row],[step]])</f>
        <v>N/A</v>
      </c>
      <c r="E110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2" s="17" cm="1">
        <f t="array" aca="1" ref="H1102" ca="1">IndividualLegIVCore($A$4, Table133456[[#This Row],[Strike]], 0.0411, Table133456[[#This Row],[T]], ((Table133456[[#This Row],[BIDC]]+Table133456[[#This Row],[ASKC]])/2), TRUE)</f>
        <v>0.01</v>
      </c>
      <c r="I1102" t="b">
        <f>IF(     ISNUMBER(Table133456[[#This Row],[Strike]]),RTD("tos.rtd", , "BID", "."&amp;Table133456[[#This Row],[Ticker]]&amp;Table133456[[#This Row],[Expiry]]&amp;""&amp;"C"&amp;Table133456[[#This Row],[Strike]]))</f>
        <v>0</v>
      </c>
      <c r="J1102" t="b">
        <f>IF(     ISNUMBER(Table133456[[#This Row],[Strike]]),RTD("tos.rtd", , "ASK", "."&amp;Table133456[[#This Row],[Ticker]]&amp;Table133456[[#This Row],[Expiry]]&amp;""&amp;"C"&amp;Table133456[[#This Row],[Strike]]))</f>
        <v>0</v>
      </c>
      <c r="K1102" s="17"/>
      <c r="M1102" s="1">
        <f t="shared" si="110"/>
        <v>0</v>
      </c>
      <c r="N1102" t="b">
        <f t="shared" si="111"/>
        <v>0</v>
      </c>
      <c r="P1102" s="17" cm="1">
        <f t="array" aca="1" ref="P1102" ca="1">IndividualLegIVCore($A$4, Table133456[[#This Row],[Strike]], 0.0411, Table133456[[#This Row],[T]], ((Table133456[[#This Row],[BIDP]]+Table133456[[#This Row],[ASKP]])/2), FALSE)</f>
        <v>0.01</v>
      </c>
      <c r="Q1102" t="b">
        <f>IF(     ISNUMBER(Table133456[[#This Row],[Strike]]),RTD("tos.rtd", , "BID", "."&amp;Table133456[[#This Row],[Ticker]]&amp;Table133456[[#This Row],[Expiry]]&amp;""&amp;"P"&amp;Table133456[[#This Row],[Strike]]))</f>
        <v>0</v>
      </c>
      <c r="R1102" t="b">
        <f>IF(     ISNUMBER(Table133456[[#This Row],[Strike]]),RTD("tos.rtd", , "ASK", "."&amp;Table133456[[#This Row],[Ticker]]&amp;Table133456[[#This Row],[Expiry]]&amp;""&amp;"P"&amp;Table133456[[#This Row],[Strike]]))</f>
        <v>0</v>
      </c>
      <c r="S1102" s="17"/>
      <c r="T110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2" s="19">
        <f>-11.5* IF($M$1="NDX", 10, IF(OR($M$1="SPX", $M$1="RUT"), 2, 1))</f>
        <v>-23</v>
      </c>
      <c r="Z1102">
        <f ca="1">IFERROR(Table133456[[#This Row],[call gamma]]*(Table133456[[#This Row],[Open.Int]])*$A$4^2,0)</f>
        <v>0</v>
      </c>
      <c r="AA1102">
        <f ca="1">IFERROR(((Table133456[[#This Row],[Open.Int8]])*Table133456[[#This Row],[Put gamma]])*-1*$A$4^2,0)</f>
        <v>0</v>
      </c>
      <c r="AB1102">
        <f ca="1">(Table133456[[#This Row],[Call Gex]]+Table133456[[#This Row],[Put Gex]])</f>
        <v>0</v>
      </c>
      <c r="AC1102">
        <f ca="1">Table133456[[#This Row],[put delta adj]]+Table133456[[#This Row],[call delta adj]]</f>
        <v>0</v>
      </c>
      <c r="AD1102">
        <f ca="1">Table133456[[#This Row],[Put Gex]]*Table133456[[#This Row],[DeltaP]]*-1</f>
        <v>0</v>
      </c>
      <c r="AE1102">
        <f ca="1">Table133456[[#This Row],[Call Gex]]*Table133456[[#This Row],[DeltaC]]</f>
        <v>0</v>
      </c>
      <c r="AF1102">
        <f>IF(Table133456[[#This Row],[DeltaC]]-ABS(Table133456[[#This Row],[DeltaP]])="0","0.01",Table133456[[#This Row],[DeltaC]]-ABS(Table133456[[#This Row],[DeltaP]]))</f>
        <v>0</v>
      </c>
      <c r="AG110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2" t="e">
        <f ca="1">(EXP(-(AG1102^2)/2)/SQRT(2*PI())*EXP(0*SQRT(Table133456[[#This Row],[T]]))/$A$4*18%*SQRT(SQRT(Table133456[[#This Row],[T]])))</f>
        <v>#DIV/0!</v>
      </c>
      <c r="AJ1102" t="e">
        <f ca="1">(EXP(-(AH1102^2)/2)/SQRT(2*PI())*EXP(0*SQRT(Table133456[[#This Row],[T]]))/$A$4*18%*SQRT(SQRT(Table133456[[#This Row],[T]])))</f>
        <v>#DIV/0!</v>
      </c>
      <c r="AK1102" t="e">
        <f ca="1">Table133456[[#This Row],[Call D1]]-Table133456[[#This Row],[IV Calc C]]*SQRT(Table133456[[#This Row],[T]])</f>
        <v>#DIV/0!</v>
      </c>
      <c r="AL1102" t="e">
        <f ca="1">Table133456[[#This Row],[Put D1]]-Table133456[[#This Row],[IV Calc P]]*SQRT(Table133456[[#This Row],[T]])</f>
        <v>#DIV/0!</v>
      </c>
      <c r="AM1102" t="e">
        <f ca="1">EXP(-0.5*Table133456[[#This Row],[Call D1]]^2)/SQRT(2*PI())</f>
        <v>#DIV/0!</v>
      </c>
      <c r="AN1102" t="e">
        <f ca="1">EXP(-0.5*Table133456[[#This Row],[Put D1]]^2)/SQRT(2*PI())</f>
        <v>#DIV/0!</v>
      </c>
      <c r="AO110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2">
        <f ca="1">((Table133456[[#This Row],[call vanna]]+Table133456[[#This Row],[put vanna]])*$A$4)</f>
        <v>0</v>
      </c>
      <c r="AR110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2" s="9" t="str" cm="1">
        <f t="array" ref="AT1102">_xlfn.IFS(     $M$1="SPX","SPXW",     $M$1="RUT","RUTW",  $M$1="NDX","NDXP",   TRUE,$M$1 )</f>
        <v>SPXW</v>
      </c>
      <c r="AU1102" s="2">
        <f t="shared" si="112"/>
        <v>6915</v>
      </c>
      <c r="AV1102" t="str">
        <f t="shared" si="113"/>
        <v>000100</v>
      </c>
      <c r="AY110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2">
        <f>((Table133456[[#This Row],[High C]]+Table133456[[#This Row],[Low C]])/2)*Table133456[[#This Row],[gammac]]*Table133456[[#This Row],[Volume]]</f>
        <v>0</v>
      </c>
      <c r="BD1102">
        <f>((Table133456[[#This Row],[High P]]+Table133456[[#This Row],[Low P]])/2)*Table133456[[#This Row],[gammap]]*Table133456[[#This Row],[Volume9]]*-1</f>
        <v>0</v>
      </c>
      <c r="BE1102">
        <f>(Table133456[[#This Row],[SgammaC]]+Table133456[[#This Row],[SgammaP]])*$A$4*-100</f>
        <v>0</v>
      </c>
      <c r="BF1102">
        <f>Table133456[[#This Row],[DEXc]]+Table133456[[#This Row],[DEXp]]</f>
        <v>0</v>
      </c>
      <c r="BG1102">
        <f>IFERROR(Table133456[[#This Row],[DeltaC]]*Table133456[[#This Row],[Open.Int]]*$A$4,0)</f>
        <v>0</v>
      </c>
      <c r="BH1102">
        <f>IFERROR(Table133456[[#This Row],[DeltaP]]*Table133456[[#This Row],[Open.Int8]]*$A$4,0)</f>
        <v>0</v>
      </c>
      <c r="BI110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2">
        <f ca="1">Table133456[[#This Row],[charmc]]+Table133456[[#This Row],[charmp]]</f>
        <v>0</v>
      </c>
      <c r="BL110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2" s="78">
        <f ca="1">Table133456[[#This Row],[call helper]]+Table133456[[#This Row],[put helper]]</f>
        <v>0</v>
      </c>
      <c r="BP1102" t="str">
        <f>RTD("tos.rtd", , "STRIKE", "."&amp;Table133456[[#This Row],[Ticker]]&amp;Table133456[[#This Row],[Expiry]]&amp;""&amp;"C"&amp;Table133456[[#This Row],[Spot]]+Table133456[[#This Row],[step]])</f>
        <v>N/A</v>
      </c>
    </row>
    <row r="1103" spans="1:68" x14ac:dyDescent="0.25">
      <c r="A1103" s="14">
        <f t="shared" ca="1" si="109"/>
        <v>-126.14810350076104</v>
      </c>
      <c r="C1103" s="17"/>
      <c r="D1103" t="str">
        <f>RTD("tos.rtd", , "OPEN_INT", "."&amp;Table133456[[#This Row],[Ticker]]&amp;Table133456[[#This Row],[Expiry]]&amp;""&amp;"C"&amp;Table133456[[#This Row],[Spot]]+Table133456[[#This Row],[step]])</f>
        <v>N/A</v>
      </c>
      <c r="E110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3" s="17" cm="1">
        <f t="array" aca="1" ref="H1103" ca="1">IndividualLegIVCore($A$4, Table133456[[#This Row],[Strike]], 0.0411, Table133456[[#This Row],[T]], ((Table133456[[#This Row],[BIDC]]+Table133456[[#This Row],[ASKC]])/2), TRUE)</f>
        <v>0.01</v>
      </c>
      <c r="I1103" t="b">
        <f>IF(     ISNUMBER(Table133456[[#This Row],[Strike]]),RTD("tos.rtd", , "BID", "."&amp;Table133456[[#This Row],[Ticker]]&amp;Table133456[[#This Row],[Expiry]]&amp;""&amp;"C"&amp;Table133456[[#This Row],[Strike]]))</f>
        <v>0</v>
      </c>
      <c r="J1103" t="b">
        <f>IF(     ISNUMBER(Table133456[[#This Row],[Strike]]),RTD("tos.rtd", , "ASK", "."&amp;Table133456[[#This Row],[Ticker]]&amp;Table133456[[#This Row],[Expiry]]&amp;""&amp;"C"&amp;Table133456[[#This Row],[Strike]]))</f>
        <v>0</v>
      </c>
      <c r="K1103" s="17"/>
      <c r="M1103" s="1">
        <f t="shared" si="110"/>
        <v>0</v>
      </c>
      <c r="N1103" t="b">
        <f t="shared" si="111"/>
        <v>0</v>
      </c>
      <c r="P1103" s="17" cm="1">
        <f t="array" aca="1" ref="P1103" ca="1">IndividualLegIVCore($A$4, Table133456[[#This Row],[Strike]], 0.0411, Table133456[[#This Row],[T]], ((Table133456[[#This Row],[BIDP]]+Table133456[[#This Row],[ASKP]])/2), FALSE)</f>
        <v>0.01</v>
      </c>
      <c r="Q1103" t="b">
        <f>IF(     ISNUMBER(Table133456[[#This Row],[Strike]]),RTD("tos.rtd", , "BID", "."&amp;Table133456[[#This Row],[Ticker]]&amp;Table133456[[#This Row],[Expiry]]&amp;""&amp;"P"&amp;Table133456[[#This Row],[Strike]]))</f>
        <v>0</v>
      </c>
      <c r="R1103" t="b">
        <f>IF(     ISNUMBER(Table133456[[#This Row],[Strike]]),RTD("tos.rtd", , "ASK", "."&amp;Table133456[[#This Row],[Ticker]]&amp;Table133456[[#This Row],[Expiry]]&amp;""&amp;"P"&amp;Table133456[[#This Row],[Strike]]))</f>
        <v>0</v>
      </c>
      <c r="S1103" s="17"/>
      <c r="T110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3" s="19">
        <f>-11* IF($M$1="NDX", 10, IF(OR($M$1="SPX", $M$1="RUT"), 2, 1))</f>
        <v>-22</v>
      </c>
      <c r="Z1103">
        <f ca="1">IFERROR(Table133456[[#This Row],[call gamma]]*(Table133456[[#This Row],[Open.Int]])*$A$4^2,0)</f>
        <v>0</v>
      </c>
      <c r="AA1103">
        <f ca="1">IFERROR(((Table133456[[#This Row],[Open.Int8]])*Table133456[[#This Row],[Put gamma]])*-1*$A$4^2,0)</f>
        <v>0</v>
      </c>
      <c r="AB1103">
        <f ca="1">(Table133456[[#This Row],[Call Gex]]+Table133456[[#This Row],[Put Gex]])</f>
        <v>0</v>
      </c>
      <c r="AC1103">
        <f ca="1">Table133456[[#This Row],[put delta adj]]+Table133456[[#This Row],[call delta adj]]</f>
        <v>0</v>
      </c>
      <c r="AD1103">
        <f ca="1">Table133456[[#This Row],[Put Gex]]*Table133456[[#This Row],[DeltaP]]*-1</f>
        <v>0</v>
      </c>
      <c r="AE1103">
        <f ca="1">Table133456[[#This Row],[Call Gex]]*Table133456[[#This Row],[DeltaC]]</f>
        <v>0</v>
      </c>
      <c r="AF1103">
        <f>IF(Table133456[[#This Row],[DeltaC]]-ABS(Table133456[[#This Row],[DeltaP]])="0","0.01",Table133456[[#This Row],[DeltaC]]-ABS(Table133456[[#This Row],[DeltaP]]))</f>
        <v>0</v>
      </c>
      <c r="AG110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3" t="e">
        <f ca="1">(EXP(-(AG1103^2)/2)/SQRT(2*PI())*EXP(0*SQRT(Table133456[[#This Row],[T]]))/$A$4*18%*SQRT(SQRT(Table133456[[#This Row],[T]])))</f>
        <v>#DIV/0!</v>
      </c>
      <c r="AJ1103" t="e">
        <f ca="1">(EXP(-(AH1103^2)/2)/SQRT(2*PI())*EXP(0*SQRT(Table133456[[#This Row],[T]]))/$A$4*18%*SQRT(SQRT(Table133456[[#This Row],[T]])))</f>
        <v>#DIV/0!</v>
      </c>
      <c r="AK1103" t="e">
        <f ca="1">Table133456[[#This Row],[Call D1]]-Table133456[[#This Row],[IV Calc C]]*SQRT(Table133456[[#This Row],[T]])</f>
        <v>#DIV/0!</v>
      </c>
      <c r="AL1103" t="e">
        <f ca="1">Table133456[[#This Row],[Put D1]]-Table133456[[#This Row],[IV Calc P]]*SQRT(Table133456[[#This Row],[T]])</f>
        <v>#DIV/0!</v>
      </c>
      <c r="AM1103" t="e">
        <f ca="1">EXP(-0.5*Table133456[[#This Row],[Call D1]]^2)/SQRT(2*PI())</f>
        <v>#DIV/0!</v>
      </c>
      <c r="AN1103" t="e">
        <f ca="1">EXP(-0.5*Table133456[[#This Row],[Put D1]]^2)/SQRT(2*PI())</f>
        <v>#DIV/0!</v>
      </c>
      <c r="AO110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3">
        <f ca="1">((Table133456[[#This Row],[call vanna]]+Table133456[[#This Row],[put vanna]])*$A$4)</f>
        <v>0</v>
      </c>
      <c r="AR110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3" s="9" t="str" cm="1">
        <f t="array" ref="AT1103">_xlfn.IFS(     $M$1="SPX","SPXW",     $M$1="RUT","RUTW",  $M$1="NDX","NDXP",   TRUE,$M$1 )</f>
        <v>SPXW</v>
      </c>
      <c r="AU1103" s="2">
        <f t="shared" si="112"/>
        <v>6915</v>
      </c>
      <c r="AV1103" t="str">
        <f t="shared" si="113"/>
        <v>000100</v>
      </c>
      <c r="AY110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3">
        <f>((Table133456[[#This Row],[High C]]+Table133456[[#This Row],[Low C]])/2)*Table133456[[#This Row],[gammac]]*Table133456[[#This Row],[Volume]]</f>
        <v>0</v>
      </c>
      <c r="BD1103">
        <f>((Table133456[[#This Row],[High P]]+Table133456[[#This Row],[Low P]])/2)*Table133456[[#This Row],[gammap]]*Table133456[[#This Row],[Volume9]]*-1</f>
        <v>0</v>
      </c>
      <c r="BE1103">
        <f>(Table133456[[#This Row],[SgammaC]]+Table133456[[#This Row],[SgammaP]])*$A$4*-100</f>
        <v>0</v>
      </c>
      <c r="BF1103">
        <f>Table133456[[#This Row],[DEXc]]+Table133456[[#This Row],[DEXp]]</f>
        <v>0</v>
      </c>
      <c r="BG1103">
        <f>IFERROR(Table133456[[#This Row],[DeltaC]]*Table133456[[#This Row],[Open.Int]]*$A$4,0)</f>
        <v>0</v>
      </c>
      <c r="BH1103">
        <f>IFERROR(Table133456[[#This Row],[DeltaP]]*Table133456[[#This Row],[Open.Int8]]*$A$4,0)</f>
        <v>0</v>
      </c>
      <c r="BI110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3">
        <f ca="1">Table133456[[#This Row],[charmc]]+Table133456[[#This Row],[charmp]]</f>
        <v>0</v>
      </c>
      <c r="BL110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3" s="78">
        <f ca="1">Table133456[[#This Row],[call helper]]+Table133456[[#This Row],[put helper]]</f>
        <v>0</v>
      </c>
      <c r="BP1103" t="str">
        <f>RTD("tos.rtd", , "STRIKE", "."&amp;Table133456[[#This Row],[Ticker]]&amp;Table133456[[#This Row],[Expiry]]&amp;""&amp;"C"&amp;Table133456[[#This Row],[Spot]]+Table133456[[#This Row],[step]])</f>
        <v>N/A</v>
      </c>
    </row>
    <row r="1104" spans="1:68" x14ac:dyDescent="0.25">
      <c r="A1104" s="14">
        <f t="shared" ca="1" si="109"/>
        <v>-126.14810350076104</v>
      </c>
      <c r="C1104" s="17"/>
      <c r="D1104" t="str">
        <f>RTD("tos.rtd", , "OPEN_INT", "."&amp;Table133456[[#This Row],[Ticker]]&amp;Table133456[[#This Row],[Expiry]]&amp;""&amp;"C"&amp;Table133456[[#This Row],[Spot]]+Table133456[[#This Row],[step]])</f>
        <v>N/A</v>
      </c>
      <c r="E110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4" s="17" cm="1">
        <f t="array" aca="1" ref="H1104" ca="1">IndividualLegIVCore($A$4, Table133456[[#This Row],[Strike]], 0.0411, Table133456[[#This Row],[T]], ((Table133456[[#This Row],[BIDC]]+Table133456[[#This Row],[ASKC]])/2), TRUE)</f>
        <v>0.01</v>
      </c>
      <c r="I1104" t="b">
        <f>IF(     ISNUMBER(Table133456[[#This Row],[Strike]]),RTD("tos.rtd", , "BID", "."&amp;Table133456[[#This Row],[Ticker]]&amp;Table133456[[#This Row],[Expiry]]&amp;""&amp;"C"&amp;Table133456[[#This Row],[Strike]]))</f>
        <v>0</v>
      </c>
      <c r="J1104" t="b">
        <f>IF(     ISNUMBER(Table133456[[#This Row],[Strike]]),RTD("tos.rtd", , "ASK", "."&amp;Table133456[[#This Row],[Ticker]]&amp;Table133456[[#This Row],[Expiry]]&amp;""&amp;"C"&amp;Table133456[[#This Row],[Strike]]))</f>
        <v>0</v>
      </c>
      <c r="K1104" s="17"/>
      <c r="M1104" s="1">
        <f t="shared" si="110"/>
        <v>0</v>
      </c>
      <c r="N1104" t="b">
        <f t="shared" si="111"/>
        <v>0</v>
      </c>
      <c r="P1104" s="17" cm="1">
        <f t="array" aca="1" ref="P1104" ca="1">IndividualLegIVCore($A$4, Table133456[[#This Row],[Strike]], 0.0411, Table133456[[#This Row],[T]], ((Table133456[[#This Row],[BIDP]]+Table133456[[#This Row],[ASKP]])/2), FALSE)</f>
        <v>0.01</v>
      </c>
      <c r="Q1104" t="b">
        <f>IF(     ISNUMBER(Table133456[[#This Row],[Strike]]),RTD("tos.rtd", , "BID", "."&amp;Table133456[[#This Row],[Ticker]]&amp;Table133456[[#This Row],[Expiry]]&amp;""&amp;"P"&amp;Table133456[[#This Row],[Strike]]))</f>
        <v>0</v>
      </c>
      <c r="R1104" t="b">
        <f>IF(     ISNUMBER(Table133456[[#This Row],[Strike]]),RTD("tos.rtd", , "ASK", "."&amp;Table133456[[#This Row],[Ticker]]&amp;Table133456[[#This Row],[Expiry]]&amp;""&amp;"P"&amp;Table133456[[#This Row],[Strike]]))</f>
        <v>0</v>
      </c>
      <c r="S1104" s="17"/>
      <c r="T110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4" s="19">
        <f>-10.5* IF($M$1="NDX", 10, IF(OR($M$1="SPX", $M$1="RUT"), 2, 1))</f>
        <v>-21</v>
      </c>
      <c r="Z1104">
        <f ca="1">IFERROR(Table133456[[#This Row],[call gamma]]*(Table133456[[#This Row],[Open.Int]])*$A$4^2,0)</f>
        <v>0</v>
      </c>
      <c r="AA1104">
        <f ca="1">IFERROR(((Table133456[[#This Row],[Open.Int8]])*Table133456[[#This Row],[Put gamma]])*-1*$A$4^2,0)</f>
        <v>0</v>
      </c>
      <c r="AB1104">
        <f ca="1">(Table133456[[#This Row],[Call Gex]]+Table133456[[#This Row],[Put Gex]])</f>
        <v>0</v>
      </c>
      <c r="AC1104">
        <f ca="1">Table133456[[#This Row],[put delta adj]]+Table133456[[#This Row],[call delta adj]]</f>
        <v>0</v>
      </c>
      <c r="AD1104">
        <f ca="1">Table133456[[#This Row],[Put Gex]]*Table133456[[#This Row],[DeltaP]]*-1</f>
        <v>0</v>
      </c>
      <c r="AE1104">
        <f ca="1">Table133456[[#This Row],[Call Gex]]*Table133456[[#This Row],[DeltaC]]</f>
        <v>0</v>
      </c>
      <c r="AF1104">
        <f>IF(Table133456[[#This Row],[DeltaC]]-ABS(Table133456[[#This Row],[DeltaP]])="0","0.01",Table133456[[#This Row],[DeltaC]]-ABS(Table133456[[#This Row],[DeltaP]]))</f>
        <v>0</v>
      </c>
      <c r="AG110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4" t="e">
        <f ca="1">(EXP(-(AG1104^2)/2)/SQRT(2*PI())*EXP(0*SQRT(Table133456[[#This Row],[T]]))/$A$4*18%*SQRT(SQRT(Table133456[[#This Row],[T]])))</f>
        <v>#DIV/0!</v>
      </c>
      <c r="AJ1104" t="e">
        <f ca="1">(EXP(-(AH1104^2)/2)/SQRT(2*PI())*EXP(0*SQRT(Table133456[[#This Row],[T]]))/$A$4*18%*SQRT(SQRT(Table133456[[#This Row],[T]])))</f>
        <v>#DIV/0!</v>
      </c>
      <c r="AK1104" t="e">
        <f ca="1">Table133456[[#This Row],[Call D1]]-Table133456[[#This Row],[IV Calc C]]*SQRT(Table133456[[#This Row],[T]])</f>
        <v>#DIV/0!</v>
      </c>
      <c r="AL1104" t="e">
        <f ca="1">Table133456[[#This Row],[Put D1]]-Table133456[[#This Row],[IV Calc P]]*SQRT(Table133456[[#This Row],[T]])</f>
        <v>#DIV/0!</v>
      </c>
      <c r="AM1104" t="e">
        <f ca="1">EXP(-0.5*Table133456[[#This Row],[Call D1]]^2)/SQRT(2*PI())</f>
        <v>#DIV/0!</v>
      </c>
      <c r="AN1104" t="e">
        <f ca="1">EXP(-0.5*Table133456[[#This Row],[Put D1]]^2)/SQRT(2*PI())</f>
        <v>#DIV/0!</v>
      </c>
      <c r="AO110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4">
        <f ca="1">((Table133456[[#This Row],[call vanna]]+Table133456[[#This Row],[put vanna]])*$A$4)</f>
        <v>0</v>
      </c>
      <c r="AR110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4" s="9" t="str" cm="1">
        <f t="array" ref="AT1104">_xlfn.IFS(     $M$1="SPX","SPXW",     $M$1="RUT","RUTW",  $M$1="NDX","NDXP",   TRUE,$M$1 )</f>
        <v>SPXW</v>
      </c>
      <c r="AU1104" s="2">
        <f t="shared" si="112"/>
        <v>6915</v>
      </c>
      <c r="AV1104" t="str">
        <f t="shared" si="113"/>
        <v>000100</v>
      </c>
      <c r="AY110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4">
        <f>((Table133456[[#This Row],[High C]]+Table133456[[#This Row],[Low C]])/2)*Table133456[[#This Row],[gammac]]*Table133456[[#This Row],[Volume]]</f>
        <v>0</v>
      </c>
      <c r="BD1104">
        <f>((Table133456[[#This Row],[High P]]+Table133456[[#This Row],[Low P]])/2)*Table133456[[#This Row],[gammap]]*Table133456[[#This Row],[Volume9]]*-1</f>
        <v>0</v>
      </c>
      <c r="BE1104">
        <f>(Table133456[[#This Row],[SgammaC]]+Table133456[[#This Row],[SgammaP]])*$A$4*-100</f>
        <v>0</v>
      </c>
      <c r="BF1104">
        <f>Table133456[[#This Row],[DEXc]]+Table133456[[#This Row],[DEXp]]</f>
        <v>0</v>
      </c>
      <c r="BG1104">
        <f>IFERROR(Table133456[[#This Row],[DeltaC]]*Table133456[[#This Row],[Open.Int]]*$A$4,0)</f>
        <v>0</v>
      </c>
      <c r="BH1104">
        <f>IFERROR(Table133456[[#This Row],[DeltaP]]*Table133456[[#This Row],[Open.Int8]]*$A$4,0)</f>
        <v>0</v>
      </c>
      <c r="BI110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4">
        <f ca="1">Table133456[[#This Row],[charmc]]+Table133456[[#This Row],[charmp]]</f>
        <v>0</v>
      </c>
      <c r="BL110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4" s="78">
        <f ca="1">Table133456[[#This Row],[call helper]]+Table133456[[#This Row],[put helper]]</f>
        <v>0</v>
      </c>
      <c r="BP1104" t="str">
        <f>RTD("tos.rtd", , "STRIKE", "."&amp;Table133456[[#This Row],[Ticker]]&amp;Table133456[[#This Row],[Expiry]]&amp;""&amp;"C"&amp;Table133456[[#This Row],[Spot]]+Table133456[[#This Row],[step]])</f>
        <v>N/A</v>
      </c>
    </row>
    <row r="1105" spans="1:68" x14ac:dyDescent="0.25">
      <c r="A1105" s="14">
        <f t="shared" ca="1" si="109"/>
        <v>-126.14810350076104</v>
      </c>
      <c r="C1105" s="17"/>
      <c r="D1105" t="str">
        <f>RTD("tos.rtd", , "OPEN_INT", "."&amp;Table133456[[#This Row],[Ticker]]&amp;Table133456[[#This Row],[Expiry]]&amp;""&amp;"C"&amp;Table133456[[#This Row],[Spot]]+Table133456[[#This Row],[step]])</f>
        <v>N/A</v>
      </c>
      <c r="E110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5" s="17" cm="1">
        <f t="array" aca="1" ref="H1105" ca="1">IndividualLegIVCore($A$4, Table133456[[#This Row],[Strike]], 0.0411, Table133456[[#This Row],[T]], ((Table133456[[#This Row],[BIDC]]+Table133456[[#This Row],[ASKC]])/2), TRUE)</f>
        <v>0.01</v>
      </c>
      <c r="I1105" t="b">
        <f>IF(     ISNUMBER(Table133456[[#This Row],[Strike]]),RTD("tos.rtd", , "BID", "."&amp;Table133456[[#This Row],[Ticker]]&amp;Table133456[[#This Row],[Expiry]]&amp;""&amp;"C"&amp;Table133456[[#This Row],[Strike]]))</f>
        <v>0</v>
      </c>
      <c r="J1105" t="b">
        <f>IF(     ISNUMBER(Table133456[[#This Row],[Strike]]),RTD("tos.rtd", , "ASK", "."&amp;Table133456[[#This Row],[Ticker]]&amp;Table133456[[#This Row],[Expiry]]&amp;""&amp;"C"&amp;Table133456[[#This Row],[Strike]]))</f>
        <v>0</v>
      </c>
      <c r="K1105" s="17"/>
      <c r="M1105" s="1">
        <f t="shared" si="110"/>
        <v>0</v>
      </c>
      <c r="N1105" t="b">
        <f t="shared" si="111"/>
        <v>0</v>
      </c>
      <c r="P1105" s="17" cm="1">
        <f t="array" aca="1" ref="P1105" ca="1">IndividualLegIVCore($A$4, Table133456[[#This Row],[Strike]], 0.0411, Table133456[[#This Row],[T]], ((Table133456[[#This Row],[BIDP]]+Table133456[[#This Row],[ASKP]])/2), FALSE)</f>
        <v>0.01</v>
      </c>
      <c r="Q1105" t="b">
        <f>IF(     ISNUMBER(Table133456[[#This Row],[Strike]]),RTD("tos.rtd", , "BID", "."&amp;Table133456[[#This Row],[Ticker]]&amp;Table133456[[#This Row],[Expiry]]&amp;""&amp;"P"&amp;Table133456[[#This Row],[Strike]]))</f>
        <v>0</v>
      </c>
      <c r="R1105" t="b">
        <f>IF(     ISNUMBER(Table133456[[#This Row],[Strike]]),RTD("tos.rtd", , "ASK", "."&amp;Table133456[[#This Row],[Ticker]]&amp;Table133456[[#This Row],[Expiry]]&amp;""&amp;"P"&amp;Table133456[[#This Row],[Strike]]))</f>
        <v>0</v>
      </c>
      <c r="S1105" s="17"/>
      <c r="T110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5" s="19">
        <f>-10* IF($M$1="NDX", 10, IF(OR($M$1="SPX", $M$1="RUT"), 2, 1))</f>
        <v>-20</v>
      </c>
      <c r="Z1105">
        <f ca="1">IFERROR(Table133456[[#This Row],[call gamma]]*(Table133456[[#This Row],[Open.Int]])*$A$4^2,0)</f>
        <v>0</v>
      </c>
      <c r="AA1105">
        <f ca="1">IFERROR(((Table133456[[#This Row],[Open.Int8]])*Table133456[[#This Row],[Put gamma]])*-1*$A$4^2,0)</f>
        <v>0</v>
      </c>
      <c r="AB1105">
        <f ca="1">(Table133456[[#This Row],[Call Gex]]+Table133456[[#This Row],[Put Gex]])</f>
        <v>0</v>
      </c>
      <c r="AC1105">
        <f ca="1">Table133456[[#This Row],[put delta adj]]+Table133456[[#This Row],[call delta adj]]</f>
        <v>0</v>
      </c>
      <c r="AD1105">
        <f ca="1">Table133456[[#This Row],[Put Gex]]*Table133456[[#This Row],[DeltaP]]*-1</f>
        <v>0</v>
      </c>
      <c r="AE1105">
        <f ca="1">Table133456[[#This Row],[Call Gex]]*Table133456[[#This Row],[DeltaC]]</f>
        <v>0</v>
      </c>
      <c r="AF1105">
        <f>IF(Table133456[[#This Row],[DeltaC]]-ABS(Table133456[[#This Row],[DeltaP]])="0","0.01",Table133456[[#This Row],[DeltaC]]-ABS(Table133456[[#This Row],[DeltaP]]))</f>
        <v>0</v>
      </c>
      <c r="AG110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5" t="e">
        <f ca="1">(EXP(-(AG1105^2)/2)/SQRT(2*PI())*EXP(0*SQRT(Table133456[[#This Row],[T]]))/$A$4*18%*SQRT(SQRT(Table133456[[#This Row],[T]])))</f>
        <v>#DIV/0!</v>
      </c>
      <c r="AJ1105" t="e">
        <f ca="1">(EXP(-(AH1105^2)/2)/SQRT(2*PI())*EXP(0*SQRT(Table133456[[#This Row],[T]]))/$A$4*18%*SQRT(SQRT(Table133456[[#This Row],[T]])))</f>
        <v>#DIV/0!</v>
      </c>
      <c r="AK1105" t="e">
        <f ca="1">Table133456[[#This Row],[Call D1]]-Table133456[[#This Row],[IV Calc C]]*SQRT(Table133456[[#This Row],[T]])</f>
        <v>#DIV/0!</v>
      </c>
      <c r="AL1105" t="e">
        <f ca="1">Table133456[[#This Row],[Put D1]]-Table133456[[#This Row],[IV Calc P]]*SQRT(Table133456[[#This Row],[T]])</f>
        <v>#DIV/0!</v>
      </c>
      <c r="AM1105" t="e">
        <f ca="1">EXP(-0.5*Table133456[[#This Row],[Call D1]]^2)/SQRT(2*PI())</f>
        <v>#DIV/0!</v>
      </c>
      <c r="AN1105" t="e">
        <f ca="1">EXP(-0.5*Table133456[[#This Row],[Put D1]]^2)/SQRT(2*PI())</f>
        <v>#DIV/0!</v>
      </c>
      <c r="AO110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5">
        <f ca="1">((Table133456[[#This Row],[call vanna]]+Table133456[[#This Row],[put vanna]])*$A$4)</f>
        <v>0</v>
      </c>
      <c r="AR110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5" s="9" t="str" cm="1">
        <f t="array" ref="AT1105">_xlfn.IFS(     $M$1="SPX","SPXW",     $M$1="RUT","RUTW",  $M$1="NDX","NDXP",   TRUE,$M$1 )</f>
        <v>SPXW</v>
      </c>
      <c r="AU1105" s="2">
        <f t="shared" si="112"/>
        <v>6915</v>
      </c>
      <c r="AV1105" t="str">
        <f t="shared" si="113"/>
        <v>000100</v>
      </c>
      <c r="AY110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5">
        <f>((Table133456[[#This Row],[High C]]+Table133456[[#This Row],[Low C]])/2)*Table133456[[#This Row],[gammac]]*Table133456[[#This Row],[Volume]]</f>
        <v>0</v>
      </c>
      <c r="BD1105">
        <f>((Table133456[[#This Row],[High P]]+Table133456[[#This Row],[Low P]])/2)*Table133456[[#This Row],[gammap]]*Table133456[[#This Row],[Volume9]]*-1</f>
        <v>0</v>
      </c>
      <c r="BE1105">
        <f>(Table133456[[#This Row],[SgammaC]]+Table133456[[#This Row],[SgammaP]])*$A$4*-100</f>
        <v>0</v>
      </c>
      <c r="BF1105">
        <f>Table133456[[#This Row],[DEXc]]+Table133456[[#This Row],[DEXp]]</f>
        <v>0</v>
      </c>
      <c r="BG1105">
        <f>IFERROR(Table133456[[#This Row],[DeltaC]]*Table133456[[#This Row],[Open.Int]]*$A$4,0)</f>
        <v>0</v>
      </c>
      <c r="BH1105">
        <f>IFERROR(Table133456[[#This Row],[DeltaP]]*Table133456[[#This Row],[Open.Int8]]*$A$4,0)</f>
        <v>0</v>
      </c>
      <c r="BI110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5">
        <f ca="1">Table133456[[#This Row],[charmc]]+Table133456[[#This Row],[charmp]]</f>
        <v>0</v>
      </c>
      <c r="BL110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5" s="78">
        <f ca="1">Table133456[[#This Row],[call helper]]+Table133456[[#This Row],[put helper]]</f>
        <v>0</v>
      </c>
      <c r="BP1105" t="str">
        <f>RTD("tos.rtd", , "STRIKE", "."&amp;Table133456[[#This Row],[Ticker]]&amp;Table133456[[#This Row],[Expiry]]&amp;""&amp;"C"&amp;Table133456[[#This Row],[Spot]]+Table133456[[#This Row],[step]])</f>
        <v>N/A</v>
      </c>
    </row>
    <row r="1106" spans="1:68" x14ac:dyDescent="0.25">
      <c r="A1106" s="14">
        <f t="shared" ca="1" si="109"/>
        <v>-126.14810350076104</v>
      </c>
      <c r="C1106" s="17"/>
      <c r="D1106" t="str">
        <f>RTD("tos.rtd", , "OPEN_INT", "."&amp;Table133456[[#This Row],[Ticker]]&amp;Table133456[[#This Row],[Expiry]]&amp;""&amp;"C"&amp;Table133456[[#This Row],[Spot]]+Table133456[[#This Row],[step]])</f>
        <v>N/A</v>
      </c>
      <c r="E110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6" s="17" cm="1">
        <f t="array" aca="1" ref="H1106" ca="1">IndividualLegIVCore($A$4, Table133456[[#This Row],[Strike]], 0.0411, Table133456[[#This Row],[T]], ((Table133456[[#This Row],[BIDC]]+Table133456[[#This Row],[ASKC]])/2), TRUE)</f>
        <v>0.01</v>
      </c>
      <c r="I1106" t="b">
        <f>IF(     ISNUMBER(Table133456[[#This Row],[Strike]]),RTD("tos.rtd", , "BID", "."&amp;Table133456[[#This Row],[Ticker]]&amp;Table133456[[#This Row],[Expiry]]&amp;""&amp;"C"&amp;Table133456[[#This Row],[Strike]]))</f>
        <v>0</v>
      </c>
      <c r="J1106" t="b">
        <f>IF(     ISNUMBER(Table133456[[#This Row],[Strike]]),RTD("tos.rtd", , "ASK", "."&amp;Table133456[[#This Row],[Ticker]]&amp;Table133456[[#This Row],[Expiry]]&amp;""&amp;"C"&amp;Table133456[[#This Row],[Strike]]))</f>
        <v>0</v>
      </c>
      <c r="K1106" s="17"/>
      <c r="M1106" s="1">
        <f t="shared" si="110"/>
        <v>0</v>
      </c>
      <c r="N1106" t="b">
        <f t="shared" si="111"/>
        <v>0</v>
      </c>
      <c r="P1106" s="17" cm="1">
        <f t="array" aca="1" ref="P1106" ca="1">IndividualLegIVCore($A$4, Table133456[[#This Row],[Strike]], 0.0411, Table133456[[#This Row],[T]], ((Table133456[[#This Row],[BIDP]]+Table133456[[#This Row],[ASKP]])/2), FALSE)</f>
        <v>0.01</v>
      </c>
      <c r="Q1106" t="b">
        <f>IF(     ISNUMBER(Table133456[[#This Row],[Strike]]),RTD("tos.rtd", , "BID", "."&amp;Table133456[[#This Row],[Ticker]]&amp;Table133456[[#This Row],[Expiry]]&amp;""&amp;"P"&amp;Table133456[[#This Row],[Strike]]))</f>
        <v>0</v>
      </c>
      <c r="R1106" t="b">
        <f>IF(     ISNUMBER(Table133456[[#This Row],[Strike]]),RTD("tos.rtd", , "ASK", "."&amp;Table133456[[#This Row],[Ticker]]&amp;Table133456[[#This Row],[Expiry]]&amp;""&amp;"P"&amp;Table133456[[#This Row],[Strike]]))</f>
        <v>0</v>
      </c>
      <c r="S1106" s="17"/>
      <c r="T110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6" s="21">
        <f>-9.5* IF($M$1="NDX", 10, IF(OR($M$1="SPX", $M$1="RUT"), 2, 1))</f>
        <v>-19</v>
      </c>
      <c r="Z1106">
        <f ca="1">IFERROR(Table133456[[#This Row],[call gamma]]*(Table133456[[#This Row],[Open.Int]])*$A$4^2,0)</f>
        <v>0</v>
      </c>
      <c r="AA1106">
        <f ca="1">IFERROR(((Table133456[[#This Row],[Open.Int8]])*Table133456[[#This Row],[Put gamma]])*-1*$A$4^2,0)</f>
        <v>0</v>
      </c>
      <c r="AB1106">
        <f ca="1">(Table133456[[#This Row],[Call Gex]]+Table133456[[#This Row],[Put Gex]])</f>
        <v>0</v>
      </c>
      <c r="AC1106">
        <f ca="1">Table133456[[#This Row],[put delta adj]]+Table133456[[#This Row],[call delta adj]]</f>
        <v>0</v>
      </c>
      <c r="AD1106">
        <f ca="1">Table133456[[#This Row],[Put Gex]]*Table133456[[#This Row],[DeltaP]]*-1</f>
        <v>0</v>
      </c>
      <c r="AE1106">
        <f ca="1">Table133456[[#This Row],[Call Gex]]*Table133456[[#This Row],[DeltaC]]</f>
        <v>0</v>
      </c>
      <c r="AF1106">
        <f>IF(Table133456[[#This Row],[DeltaC]]-ABS(Table133456[[#This Row],[DeltaP]])="0","0.01",Table133456[[#This Row],[DeltaC]]-ABS(Table133456[[#This Row],[DeltaP]]))</f>
        <v>0</v>
      </c>
      <c r="AG110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6" t="e">
        <f ca="1">(EXP(-(AG1106^2)/2)/SQRT(2*PI())*EXP(0*SQRT(Table133456[[#This Row],[T]]))/$A$4*18%*SQRT(SQRT(Table133456[[#This Row],[T]])))</f>
        <v>#DIV/0!</v>
      </c>
      <c r="AJ1106" t="e">
        <f ca="1">(EXP(-(AH1106^2)/2)/SQRT(2*PI())*EXP(0*SQRT(Table133456[[#This Row],[T]]))/$A$4*18%*SQRT(SQRT(Table133456[[#This Row],[T]])))</f>
        <v>#DIV/0!</v>
      </c>
      <c r="AK1106" t="e">
        <f ca="1">Table133456[[#This Row],[Call D1]]-Table133456[[#This Row],[IV Calc C]]*SQRT(Table133456[[#This Row],[T]])</f>
        <v>#DIV/0!</v>
      </c>
      <c r="AL1106" t="e">
        <f ca="1">Table133456[[#This Row],[Put D1]]-Table133456[[#This Row],[IV Calc P]]*SQRT(Table133456[[#This Row],[T]])</f>
        <v>#DIV/0!</v>
      </c>
      <c r="AM1106" t="e">
        <f ca="1">EXP(-0.5*Table133456[[#This Row],[Call D1]]^2)/SQRT(2*PI())</f>
        <v>#DIV/0!</v>
      </c>
      <c r="AN1106" t="e">
        <f ca="1">EXP(-0.5*Table133456[[#This Row],[Put D1]]^2)/SQRT(2*PI())</f>
        <v>#DIV/0!</v>
      </c>
      <c r="AO110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6">
        <f ca="1">((Table133456[[#This Row],[call vanna]]+Table133456[[#This Row],[put vanna]])*$A$4)</f>
        <v>0</v>
      </c>
      <c r="AR110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6" s="9" t="str" cm="1">
        <f t="array" ref="AT1106">_xlfn.IFS(     $M$1="SPX","SPXW",     $M$1="RUT","RUTW",  $M$1="NDX","NDXP",   TRUE,$M$1 )</f>
        <v>SPXW</v>
      </c>
      <c r="AU1106" s="2">
        <f t="shared" si="112"/>
        <v>6915</v>
      </c>
      <c r="AV1106" t="str">
        <f t="shared" si="113"/>
        <v>000100</v>
      </c>
      <c r="AY110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6">
        <f>((Table133456[[#This Row],[High C]]+Table133456[[#This Row],[Low C]])/2)*Table133456[[#This Row],[gammac]]*Table133456[[#This Row],[Volume]]</f>
        <v>0</v>
      </c>
      <c r="BD1106">
        <f>((Table133456[[#This Row],[High P]]+Table133456[[#This Row],[Low P]])/2)*Table133456[[#This Row],[gammap]]*Table133456[[#This Row],[Volume9]]*-1</f>
        <v>0</v>
      </c>
      <c r="BE1106">
        <f>(Table133456[[#This Row],[SgammaC]]+Table133456[[#This Row],[SgammaP]])*$A$4*-100</f>
        <v>0</v>
      </c>
      <c r="BF1106">
        <f>Table133456[[#This Row],[DEXc]]+Table133456[[#This Row],[DEXp]]</f>
        <v>0</v>
      </c>
      <c r="BG1106">
        <f>IFERROR(Table133456[[#This Row],[DeltaC]]*Table133456[[#This Row],[Open.Int]]*$A$4,0)</f>
        <v>0</v>
      </c>
      <c r="BH1106">
        <f>IFERROR(Table133456[[#This Row],[DeltaP]]*Table133456[[#This Row],[Open.Int8]]*$A$4,0)</f>
        <v>0</v>
      </c>
      <c r="BI110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6">
        <f ca="1">Table133456[[#This Row],[charmc]]+Table133456[[#This Row],[charmp]]</f>
        <v>0</v>
      </c>
      <c r="BL110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6" s="78">
        <f ca="1">Table133456[[#This Row],[call helper]]+Table133456[[#This Row],[put helper]]</f>
        <v>0</v>
      </c>
      <c r="BP1106" t="str">
        <f>RTD("tos.rtd", , "STRIKE", "."&amp;Table133456[[#This Row],[Ticker]]&amp;Table133456[[#This Row],[Expiry]]&amp;""&amp;"C"&amp;Table133456[[#This Row],[Spot]]+Table133456[[#This Row],[step]])</f>
        <v>N/A</v>
      </c>
    </row>
    <row r="1107" spans="1:68" x14ac:dyDescent="0.25">
      <c r="A1107" s="14">
        <f t="shared" ca="1" si="109"/>
        <v>-126.14810350076104</v>
      </c>
      <c r="C1107" s="17"/>
      <c r="D1107" t="str">
        <f>RTD("tos.rtd", , "OPEN_INT", "."&amp;Table133456[[#This Row],[Ticker]]&amp;Table133456[[#This Row],[Expiry]]&amp;""&amp;"C"&amp;Table133456[[#This Row],[Spot]]+Table133456[[#This Row],[step]])</f>
        <v>N/A</v>
      </c>
      <c r="E110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7" s="17" cm="1">
        <f t="array" aca="1" ref="H1107" ca="1">IndividualLegIVCore($A$4, Table133456[[#This Row],[Strike]], 0.0411, Table133456[[#This Row],[T]], ((Table133456[[#This Row],[BIDC]]+Table133456[[#This Row],[ASKC]])/2), TRUE)</f>
        <v>0.01</v>
      </c>
      <c r="I1107" t="b">
        <f>IF(     ISNUMBER(Table133456[[#This Row],[Strike]]),RTD("tos.rtd", , "BID", "."&amp;Table133456[[#This Row],[Ticker]]&amp;Table133456[[#This Row],[Expiry]]&amp;""&amp;"C"&amp;Table133456[[#This Row],[Strike]]))</f>
        <v>0</v>
      </c>
      <c r="J1107" t="b">
        <f>IF(     ISNUMBER(Table133456[[#This Row],[Strike]]),RTD("tos.rtd", , "ASK", "."&amp;Table133456[[#This Row],[Ticker]]&amp;Table133456[[#This Row],[Expiry]]&amp;""&amp;"C"&amp;Table133456[[#This Row],[Strike]]))</f>
        <v>0</v>
      </c>
      <c r="K1107" s="17"/>
      <c r="M1107" s="1">
        <f t="shared" si="110"/>
        <v>0</v>
      </c>
      <c r="N1107" t="b">
        <f t="shared" si="111"/>
        <v>0</v>
      </c>
      <c r="P1107" s="17" cm="1">
        <f t="array" aca="1" ref="P1107" ca="1">IndividualLegIVCore($A$4, Table133456[[#This Row],[Strike]], 0.0411, Table133456[[#This Row],[T]], ((Table133456[[#This Row],[BIDP]]+Table133456[[#This Row],[ASKP]])/2), FALSE)</f>
        <v>0.01</v>
      </c>
      <c r="Q1107" t="b">
        <f>IF(     ISNUMBER(Table133456[[#This Row],[Strike]]),RTD("tos.rtd", , "BID", "."&amp;Table133456[[#This Row],[Ticker]]&amp;Table133456[[#This Row],[Expiry]]&amp;""&amp;"P"&amp;Table133456[[#This Row],[Strike]]))</f>
        <v>0</v>
      </c>
      <c r="R1107" t="b">
        <f>IF(     ISNUMBER(Table133456[[#This Row],[Strike]]),RTD("tos.rtd", , "ASK", "."&amp;Table133456[[#This Row],[Ticker]]&amp;Table133456[[#This Row],[Expiry]]&amp;""&amp;"P"&amp;Table133456[[#This Row],[Strike]]))</f>
        <v>0</v>
      </c>
      <c r="S1107" s="17"/>
      <c r="T110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7" s="19">
        <f>-9* IF($M$1="NDX", 10, IF(OR($M$1="SPX", $M$1="RUT"), 2, 1))</f>
        <v>-18</v>
      </c>
      <c r="Z1107">
        <f ca="1">IFERROR(Table133456[[#This Row],[call gamma]]*(Table133456[[#This Row],[Open.Int]])*$A$4^2,0)</f>
        <v>0</v>
      </c>
      <c r="AA1107">
        <f ca="1">IFERROR(((Table133456[[#This Row],[Open.Int8]])*Table133456[[#This Row],[Put gamma]])*-1*$A$4^2,0)</f>
        <v>0</v>
      </c>
      <c r="AB1107">
        <f ca="1">(Table133456[[#This Row],[Call Gex]]+Table133456[[#This Row],[Put Gex]])</f>
        <v>0</v>
      </c>
      <c r="AC1107">
        <f ca="1">Table133456[[#This Row],[put delta adj]]+Table133456[[#This Row],[call delta adj]]</f>
        <v>0</v>
      </c>
      <c r="AD1107">
        <f ca="1">Table133456[[#This Row],[Put Gex]]*Table133456[[#This Row],[DeltaP]]*-1</f>
        <v>0</v>
      </c>
      <c r="AE1107">
        <f ca="1">Table133456[[#This Row],[Call Gex]]*Table133456[[#This Row],[DeltaC]]</f>
        <v>0</v>
      </c>
      <c r="AF1107">
        <f>IF(Table133456[[#This Row],[DeltaC]]-ABS(Table133456[[#This Row],[DeltaP]])="0","0.01",Table133456[[#This Row],[DeltaC]]-ABS(Table133456[[#This Row],[DeltaP]]))</f>
        <v>0</v>
      </c>
      <c r="AG110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7" t="e">
        <f ca="1">(EXP(-(AG1107^2)/2)/SQRT(2*PI())*EXP(0*SQRT(Table133456[[#This Row],[T]]))/$A$4*18%*SQRT(SQRT(Table133456[[#This Row],[T]])))</f>
        <v>#DIV/0!</v>
      </c>
      <c r="AJ1107" t="e">
        <f ca="1">(EXP(-(AH1107^2)/2)/SQRT(2*PI())*EXP(0*SQRT(Table133456[[#This Row],[T]]))/$A$4*18%*SQRT(SQRT(Table133456[[#This Row],[T]])))</f>
        <v>#DIV/0!</v>
      </c>
      <c r="AK1107" t="e">
        <f ca="1">Table133456[[#This Row],[Call D1]]-Table133456[[#This Row],[IV Calc C]]*SQRT(Table133456[[#This Row],[T]])</f>
        <v>#DIV/0!</v>
      </c>
      <c r="AL1107" t="e">
        <f ca="1">Table133456[[#This Row],[Put D1]]-Table133456[[#This Row],[IV Calc P]]*SQRT(Table133456[[#This Row],[T]])</f>
        <v>#DIV/0!</v>
      </c>
      <c r="AM1107" t="e">
        <f ca="1">EXP(-0.5*Table133456[[#This Row],[Call D1]]^2)/SQRT(2*PI())</f>
        <v>#DIV/0!</v>
      </c>
      <c r="AN1107" t="e">
        <f ca="1">EXP(-0.5*Table133456[[#This Row],[Put D1]]^2)/SQRT(2*PI())</f>
        <v>#DIV/0!</v>
      </c>
      <c r="AO110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7">
        <f ca="1">((Table133456[[#This Row],[call vanna]]+Table133456[[#This Row],[put vanna]])*$A$4)</f>
        <v>0</v>
      </c>
      <c r="AR110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7" s="9" t="str" cm="1">
        <f t="array" ref="AT1107">_xlfn.IFS(     $M$1="SPX","SPXW",     $M$1="RUT","RUTW",  $M$1="NDX","NDXP",   TRUE,$M$1 )</f>
        <v>SPXW</v>
      </c>
      <c r="AU1107" s="2">
        <f t="shared" si="112"/>
        <v>6915</v>
      </c>
      <c r="AV1107" t="str">
        <f t="shared" si="113"/>
        <v>000100</v>
      </c>
      <c r="AY110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7">
        <f>((Table133456[[#This Row],[High C]]+Table133456[[#This Row],[Low C]])/2)*Table133456[[#This Row],[gammac]]*Table133456[[#This Row],[Volume]]</f>
        <v>0</v>
      </c>
      <c r="BD1107">
        <f>((Table133456[[#This Row],[High P]]+Table133456[[#This Row],[Low P]])/2)*Table133456[[#This Row],[gammap]]*Table133456[[#This Row],[Volume9]]*-1</f>
        <v>0</v>
      </c>
      <c r="BE1107">
        <f>(Table133456[[#This Row],[SgammaC]]+Table133456[[#This Row],[SgammaP]])*$A$4*-100</f>
        <v>0</v>
      </c>
      <c r="BF1107">
        <f>Table133456[[#This Row],[DEXc]]+Table133456[[#This Row],[DEXp]]</f>
        <v>0</v>
      </c>
      <c r="BG1107">
        <f>IFERROR(Table133456[[#This Row],[DeltaC]]*Table133456[[#This Row],[Open.Int]]*$A$4,0)</f>
        <v>0</v>
      </c>
      <c r="BH1107">
        <f>IFERROR(Table133456[[#This Row],[DeltaP]]*Table133456[[#This Row],[Open.Int8]]*$A$4,0)</f>
        <v>0</v>
      </c>
      <c r="BI110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7">
        <f ca="1">Table133456[[#This Row],[charmc]]+Table133456[[#This Row],[charmp]]</f>
        <v>0</v>
      </c>
      <c r="BL110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7" s="78">
        <f ca="1">Table133456[[#This Row],[call helper]]+Table133456[[#This Row],[put helper]]</f>
        <v>0</v>
      </c>
      <c r="BP1107" t="str">
        <f>RTD("tos.rtd", , "STRIKE", "."&amp;Table133456[[#This Row],[Ticker]]&amp;Table133456[[#This Row],[Expiry]]&amp;""&amp;"C"&amp;Table133456[[#This Row],[Spot]]+Table133456[[#This Row],[step]])</f>
        <v>N/A</v>
      </c>
    </row>
    <row r="1108" spans="1:68" x14ac:dyDescent="0.25">
      <c r="A1108" s="14">
        <f t="shared" ca="1" si="109"/>
        <v>-126.14810350076104</v>
      </c>
      <c r="C1108" s="17"/>
      <c r="D1108" t="str">
        <f>RTD("tos.rtd", , "OPEN_INT", "."&amp;Table133456[[#This Row],[Ticker]]&amp;Table133456[[#This Row],[Expiry]]&amp;""&amp;"C"&amp;Table133456[[#This Row],[Spot]]+Table133456[[#This Row],[step]])</f>
        <v>N/A</v>
      </c>
      <c r="E110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8" s="17" cm="1">
        <f t="array" aca="1" ref="H1108" ca="1">IndividualLegIVCore($A$4, Table133456[[#This Row],[Strike]], 0.0411, Table133456[[#This Row],[T]], ((Table133456[[#This Row],[BIDC]]+Table133456[[#This Row],[ASKC]])/2), TRUE)</f>
        <v>0.01</v>
      </c>
      <c r="I1108" t="b">
        <f>IF(     ISNUMBER(Table133456[[#This Row],[Strike]]),RTD("tos.rtd", , "BID", "."&amp;Table133456[[#This Row],[Ticker]]&amp;Table133456[[#This Row],[Expiry]]&amp;""&amp;"C"&amp;Table133456[[#This Row],[Strike]]))</f>
        <v>0</v>
      </c>
      <c r="J1108" t="b">
        <f>IF(     ISNUMBER(Table133456[[#This Row],[Strike]]),RTD("tos.rtd", , "ASK", "."&amp;Table133456[[#This Row],[Ticker]]&amp;Table133456[[#This Row],[Expiry]]&amp;""&amp;"C"&amp;Table133456[[#This Row],[Strike]]))</f>
        <v>0</v>
      </c>
      <c r="K1108" s="17"/>
      <c r="M1108" s="1">
        <f t="shared" si="110"/>
        <v>0</v>
      </c>
      <c r="N1108" t="b">
        <f t="shared" si="111"/>
        <v>0</v>
      </c>
      <c r="P1108" s="17" cm="1">
        <f t="array" aca="1" ref="P1108" ca="1">IndividualLegIVCore($A$4, Table133456[[#This Row],[Strike]], 0.0411, Table133456[[#This Row],[T]], ((Table133456[[#This Row],[BIDP]]+Table133456[[#This Row],[ASKP]])/2), FALSE)</f>
        <v>0.01</v>
      </c>
      <c r="Q1108" t="b">
        <f>IF(     ISNUMBER(Table133456[[#This Row],[Strike]]),RTD("tos.rtd", , "BID", "."&amp;Table133456[[#This Row],[Ticker]]&amp;Table133456[[#This Row],[Expiry]]&amp;""&amp;"P"&amp;Table133456[[#This Row],[Strike]]))</f>
        <v>0</v>
      </c>
      <c r="R1108" t="b">
        <f>IF(     ISNUMBER(Table133456[[#This Row],[Strike]]),RTD("tos.rtd", , "ASK", "."&amp;Table133456[[#This Row],[Ticker]]&amp;Table133456[[#This Row],[Expiry]]&amp;""&amp;"P"&amp;Table133456[[#This Row],[Strike]]))</f>
        <v>0</v>
      </c>
      <c r="S1108" s="17"/>
      <c r="T110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8" s="19">
        <f>-8.5* IF($M$1="NDX", 10, IF(OR($M$1="SPX", $M$1="RUT"), 2, 1))</f>
        <v>-17</v>
      </c>
      <c r="Z1108">
        <f ca="1">IFERROR(Table133456[[#This Row],[call gamma]]*(Table133456[[#This Row],[Open.Int]])*$A$4^2,0)</f>
        <v>0</v>
      </c>
      <c r="AA1108">
        <f ca="1">IFERROR(((Table133456[[#This Row],[Open.Int8]])*Table133456[[#This Row],[Put gamma]])*-1*$A$4^2,0)</f>
        <v>0</v>
      </c>
      <c r="AB1108">
        <f ca="1">(Table133456[[#This Row],[Call Gex]]+Table133456[[#This Row],[Put Gex]])</f>
        <v>0</v>
      </c>
      <c r="AC1108">
        <f ca="1">Table133456[[#This Row],[put delta adj]]+Table133456[[#This Row],[call delta adj]]</f>
        <v>0</v>
      </c>
      <c r="AD1108">
        <f ca="1">Table133456[[#This Row],[Put Gex]]*Table133456[[#This Row],[DeltaP]]*-1</f>
        <v>0</v>
      </c>
      <c r="AE1108">
        <f ca="1">Table133456[[#This Row],[Call Gex]]*Table133456[[#This Row],[DeltaC]]</f>
        <v>0</v>
      </c>
      <c r="AF1108">
        <f>IF(Table133456[[#This Row],[DeltaC]]-ABS(Table133456[[#This Row],[DeltaP]])="0","0.01",Table133456[[#This Row],[DeltaC]]-ABS(Table133456[[#This Row],[DeltaP]]))</f>
        <v>0</v>
      </c>
      <c r="AG110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8" t="e">
        <f ca="1">(EXP(-(AG1108^2)/2)/SQRT(2*PI())*EXP(0*SQRT(Table133456[[#This Row],[T]]))/$A$4*18%*SQRT(SQRT(Table133456[[#This Row],[T]])))</f>
        <v>#DIV/0!</v>
      </c>
      <c r="AJ1108" t="e">
        <f ca="1">(EXP(-(AH1108^2)/2)/SQRT(2*PI())*EXP(0*SQRT(Table133456[[#This Row],[T]]))/$A$4*18%*SQRT(SQRT(Table133456[[#This Row],[T]])))</f>
        <v>#DIV/0!</v>
      </c>
      <c r="AK1108" t="e">
        <f ca="1">Table133456[[#This Row],[Call D1]]-Table133456[[#This Row],[IV Calc C]]*SQRT(Table133456[[#This Row],[T]])</f>
        <v>#DIV/0!</v>
      </c>
      <c r="AL1108" t="e">
        <f ca="1">Table133456[[#This Row],[Put D1]]-Table133456[[#This Row],[IV Calc P]]*SQRT(Table133456[[#This Row],[T]])</f>
        <v>#DIV/0!</v>
      </c>
      <c r="AM1108" t="e">
        <f ca="1">EXP(-0.5*Table133456[[#This Row],[Call D1]]^2)/SQRT(2*PI())</f>
        <v>#DIV/0!</v>
      </c>
      <c r="AN1108" t="e">
        <f ca="1">EXP(-0.5*Table133456[[#This Row],[Put D1]]^2)/SQRT(2*PI())</f>
        <v>#DIV/0!</v>
      </c>
      <c r="AO110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8">
        <f ca="1">((Table133456[[#This Row],[call vanna]]+Table133456[[#This Row],[put vanna]])*$A$4)</f>
        <v>0</v>
      </c>
      <c r="AR110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8" s="9" t="str" cm="1">
        <f t="array" ref="AT1108">_xlfn.IFS(     $M$1="SPX","SPXW",     $M$1="RUT","RUTW",  $M$1="NDX","NDXP",   TRUE,$M$1 )</f>
        <v>SPXW</v>
      </c>
      <c r="AU1108" s="2">
        <f t="shared" si="112"/>
        <v>6915</v>
      </c>
      <c r="AV1108" t="str">
        <f t="shared" si="113"/>
        <v>000100</v>
      </c>
      <c r="AY110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8">
        <f>((Table133456[[#This Row],[High C]]+Table133456[[#This Row],[Low C]])/2)*Table133456[[#This Row],[gammac]]*Table133456[[#This Row],[Volume]]</f>
        <v>0</v>
      </c>
      <c r="BD1108">
        <f>((Table133456[[#This Row],[High P]]+Table133456[[#This Row],[Low P]])/2)*Table133456[[#This Row],[gammap]]*Table133456[[#This Row],[Volume9]]*-1</f>
        <v>0</v>
      </c>
      <c r="BE1108">
        <f>(Table133456[[#This Row],[SgammaC]]+Table133456[[#This Row],[SgammaP]])*$A$4*-100</f>
        <v>0</v>
      </c>
      <c r="BF1108">
        <f>Table133456[[#This Row],[DEXc]]+Table133456[[#This Row],[DEXp]]</f>
        <v>0</v>
      </c>
      <c r="BG1108">
        <f>IFERROR(Table133456[[#This Row],[DeltaC]]*Table133456[[#This Row],[Open.Int]]*$A$4,0)</f>
        <v>0</v>
      </c>
      <c r="BH1108">
        <f>IFERROR(Table133456[[#This Row],[DeltaP]]*Table133456[[#This Row],[Open.Int8]]*$A$4,0)</f>
        <v>0</v>
      </c>
      <c r="BI110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8">
        <f ca="1">Table133456[[#This Row],[charmc]]+Table133456[[#This Row],[charmp]]</f>
        <v>0</v>
      </c>
      <c r="BL110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8" s="78">
        <f ca="1">Table133456[[#This Row],[call helper]]+Table133456[[#This Row],[put helper]]</f>
        <v>0</v>
      </c>
      <c r="BP1108" t="str">
        <f>RTD("tos.rtd", , "STRIKE", "."&amp;Table133456[[#This Row],[Ticker]]&amp;Table133456[[#This Row],[Expiry]]&amp;""&amp;"C"&amp;Table133456[[#This Row],[Spot]]+Table133456[[#This Row],[step]])</f>
        <v>N/A</v>
      </c>
    </row>
    <row r="1109" spans="1:68" x14ac:dyDescent="0.25">
      <c r="A1109" s="14">
        <f t="shared" ca="1" si="109"/>
        <v>-126.14810350076104</v>
      </c>
      <c r="C1109" s="17"/>
      <c r="D1109" t="str">
        <f>RTD("tos.rtd", , "OPEN_INT", "."&amp;Table133456[[#This Row],[Ticker]]&amp;Table133456[[#This Row],[Expiry]]&amp;""&amp;"C"&amp;Table133456[[#This Row],[Spot]]+Table133456[[#This Row],[step]])</f>
        <v>N/A</v>
      </c>
      <c r="E110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9" s="17" cm="1">
        <f t="array" aca="1" ref="H1109" ca="1">IndividualLegIVCore($A$4, Table133456[[#This Row],[Strike]], 0.0411, Table133456[[#This Row],[T]], ((Table133456[[#This Row],[BIDC]]+Table133456[[#This Row],[ASKC]])/2), TRUE)</f>
        <v>0.01</v>
      </c>
      <c r="I1109" t="b">
        <f>IF(     ISNUMBER(Table133456[[#This Row],[Strike]]),RTD("tos.rtd", , "BID", "."&amp;Table133456[[#This Row],[Ticker]]&amp;Table133456[[#This Row],[Expiry]]&amp;""&amp;"C"&amp;Table133456[[#This Row],[Strike]]))</f>
        <v>0</v>
      </c>
      <c r="J1109" t="b">
        <f>IF(     ISNUMBER(Table133456[[#This Row],[Strike]]),RTD("tos.rtd", , "ASK", "."&amp;Table133456[[#This Row],[Ticker]]&amp;Table133456[[#This Row],[Expiry]]&amp;""&amp;"C"&amp;Table133456[[#This Row],[Strike]]))</f>
        <v>0</v>
      </c>
      <c r="K1109" s="17"/>
      <c r="M1109" s="1">
        <f t="shared" si="110"/>
        <v>0</v>
      </c>
      <c r="N1109" t="b">
        <f t="shared" si="111"/>
        <v>0</v>
      </c>
      <c r="P1109" s="17" cm="1">
        <f t="array" aca="1" ref="P1109" ca="1">IndividualLegIVCore($A$4, Table133456[[#This Row],[Strike]], 0.0411, Table133456[[#This Row],[T]], ((Table133456[[#This Row],[BIDP]]+Table133456[[#This Row],[ASKP]])/2), FALSE)</f>
        <v>0.01</v>
      </c>
      <c r="Q1109" t="b">
        <f>IF(     ISNUMBER(Table133456[[#This Row],[Strike]]),RTD("tos.rtd", , "BID", "."&amp;Table133456[[#This Row],[Ticker]]&amp;Table133456[[#This Row],[Expiry]]&amp;""&amp;"P"&amp;Table133456[[#This Row],[Strike]]))</f>
        <v>0</v>
      </c>
      <c r="R1109" t="b">
        <f>IF(     ISNUMBER(Table133456[[#This Row],[Strike]]),RTD("tos.rtd", , "ASK", "."&amp;Table133456[[#This Row],[Ticker]]&amp;Table133456[[#This Row],[Expiry]]&amp;""&amp;"P"&amp;Table133456[[#This Row],[Strike]]))</f>
        <v>0</v>
      </c>
      <c r="S1109" s="17"/>
      <c r="T110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9" s="19">
        <f>-8* IF($M$1="NDX", 10, IF(OR($M$1="SPX", $M$1="RUT"), 2, 1))</f>
        <v>-16</v>
      </c>
      <c r="Z1109">
        <f ca="1">IFERROR(Table133456[[#This Row],[call gamma]]*(Table133456[[#This Row],[Open.Int]])*$A$4^2,0)</f>
        <v>0</v>
      </c>
      <c r="AA1109">
        <f ca="1">IFERROR(((Table133456[[#This Row],[Open.Int8]])*Table133456[[#This Row],[Put gamma]])*-1*$A$4^2,0)</f>
        <v>0</v>
      </c>
      <c r="AB1109">
        <f ca="1">(Table133456[[#This Row],[Call Gex]]+Table133456[[#This Row],[Put Gex]])</f>
        <v>0</v>
      </c>
      <c r="AC1109">
        <f ca="1">Table133456[[#This Row],[put delta adj]]+Table133456[[#This Row],[call delta adj]]</f>
        <v>0</v>
      </c>
      <c r="AD1109">
        <f ca="1">Table133456[[#This Row],[Put Gex]]*Table133456[[#This Row],[DeltaP]]*-1</f>
        <v>0</v>
      </c>
      <c r="AE1109">
        <f ca="1">Table133456[[#This Row],[Call Gex]]*Table133456[[#This Row],[DeltaC]]</f>
        <v>0</v>
      </c>
      <c r="AF1109">
        <f>IF(Table133456[[#This Row],[DeltaC]]-ABS(Table133456[[#This Row],[DeltaP]])="0","0.01",Table133456[[#This Row],[DeltaC]]-ABS(Table133456[[#This Row],[DeltaP]]))</f>
        <v>0</v>
      </c>
      <c r="AG110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9" t="e">
        <f ca="1">(EXP(-(AG1109^2)/2)/SQRT(2*PI())*EXP(0*SQRT(Table133456[[#This Row],[T]]))/$A$4*18%*SQRT(SQRT(Table133456[[#This Row],[T]])))</f>
        <v>#DIV/0!</v>
      </c>
      <c r="AJ1109" t="e">
        <f ca="1">(EXP(-(AH1109^2)/2)/SQRT(2*PI())*EXP(0*SQRT(Table133456[[#This Row],[T]]))/$A$4*18%*SQRT(SQRT(Table133456[[#This Row],[T]])))</f>
        <v>#DIV/0!</v>
      </c>
      <c r="AK1109" t="e">
        <f ca="1">Table133456[[#This Row],[Call D1]]-Table133456[[#This Row],[IV Calc C]]*SQRT(Table133456[[#This Row],[T]])</f>
        <v>#DIV/0!</v>
      </c>
      <c r="AL1109" t="e">
        <f ca="1">Table133456[[#This Row],[Put D1]]-Table133456[[#This Row],[IV Calc P]]*SQRT(Table133456[[#This Row],[T]])</f>
        <v>#DIV/0!</v>
      </c>
      <c r="AM1109" t="e">
        <f ca="1">EXP(-0.5*Table133456[[#This Row],[Call D1]]^2)/SQRT(2*PI())</f>
        <v>#DIV/0!</v>
      </c>
      <c r="AN1109" t="e">
        <f ca="1">EXP(-0.5*Table133456[[#This Row],[Put D1]]^2)/SQRT(2*PI())</f>
        <v>#DIV/0!</v>
      </c>
      <c r="AO110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9">
        <f ca="1">((Table133456[[#This Row],[call vanna]]+Table133456[[#This Row],[put vanna]])*$A$4)</f>
        <v>0</v>
      </c>
      <c r="AR110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9" s="9" t="str" cm="1">
        <f t="array" ref="AT1109">_xlfn.IFS(     $M$1="SPX","SPXW",     $M$1="RUT","RUTW",  $M$1="NDX","NDXP",   TRUE,$M$1 )</f>
        <v>SPXW</v>
      </c>
      <c r="AU1109" s="2">
        <f t="shared" si="112"/>
        <v>6915</v>
      </c>
      <c r="AV1109" t="str">
        <f t="shared" si="113"/>
        <v>000100</v>
      </c>
      <c r="AY110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9">
        <f>((Table133456[[#This Row],[High C]]+Table133456[[#This Row],[Low C]])/2)*Table133456[[#This Row],[gammac]]*Table133456[[#This Row],[Volume]]</f>
        <v>0</v>
      </c>
      <c r="BD1109">
        <f>((Table133456[[#This Row],[High P]]+Table133456[[#This Row],[Low P]])/2)*Table133456[[#This Row],[gammap]]*Table133456[[#This Row],[Volume9]]*-1</f>
        <v>0</v>
      </c>
      <c r="BE1109">
        <f>(Table133456[[#This Row],[SgammaC]]+Table133456[[#This Row],[SgammaP]])*$A$4*-100</f>
        <v>0</v>
      </c>
      <c r="BF1109">
        <f>Table133456[[#This Row],[DEXc]]+Table133456[[#This Row],[DEXp]]</f>
        <v>0</v>
      </c>
      <c r="BG1109">
        <f>IFERROR(Table133456[[#This Row],[DeltaC]]*Table133456[[#This Row],[Open.Int]]*$A$4,0)</f>
        <v>0</v>
      </c>
      <c r="BH1109">
        <f>IFERROR(Table133456[[#This Row],[DeltaP]]*Table133456[[#This Row],[Open.Int8]]*$A$4,0)</f>
        <v>0</v>
      </c>
      <c r="BI110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9">
        <f ca="1">Table133456[[#This Row],[charmc]]+Table133456[[#This Row],[charmp]]</f>
        <v>0</v>
      </c>
      <c r="BL110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9" s="78">
        <f ca="1">Table133456[[#This Row],[call helper]]+Table133456[[#This Row],[put helper]]</f>
        <v>0</v>
      </c>
      <c r="BP1109" t="str">
        <f>RTD("tos.rtd", , "STRIKE", "."&amp;Table133456[[#This Row],[Ticker]]&amp;Table133456[[#This Row],[Expiry]]&amp;""&amp;"C"&amp;Table133456[[#This Row],[Spot]]+Table133456[[#This Row],[step]])</f>
        <v>N/A</v>
      </c>
    </row>
    <row r="1110" spans="1:68" x14ac:dyDescent="0.25">
      <c r="A1110" s="14">
        <f t="shared" ca="1" si="109"/>
        <v>-126.14810350076104</v>
      </c>
      <c r="C1110" s="17"/>
      <c r="D1110" t="str">
        <f>RTD("tos.rtd", , "OPEN_INT", "."&amp;Table133456[[#This Row],[Ticker]]&amp;Table133456[[#This Row],[Expiry]]&amp;""&amp;"C"&amp;Table133456[[#This Row],[Spot]]+Table133456[[#This Row],[step]])</f>
        <v>N/A</v>
      </c>
      <c r="E111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0" s="17" cm="1">
        <f t="array" aca="1" ref="H1110" ca="1">IndividualLegIVCore($A$4, Table133456[[#This Row],[Strike]], 0.0411, Table133456[[#This Row],[T]], ((Table133456[[#This Row],[BIDC]]+Table133456[[#This Row],[ASKC]])/2), TRUE)</f>
        <v>0.01</v>
      </c>
      <c r="I1110" t="b">
        <f>IF(     ISNUMBER(Table133456[[#This Row],[Strike]]),RTD("tos.rtd", , "BID", "."&amp;Table133456[[#This Row],[Ticker]]&amp;Table133456[[#This Row],[Expiry]]&amp;""&amp;"C"&amp;Table133456[[#This Row],[Strike]]))</f>
        <v>0</v>
      </c>
      <c r="J1110" t="b">
        <f>IF(     ISNUMBER(Table133456[[#This Row],[Strike]]),RTD("tos.rtd", , "ASK", "."&amp;Table133456[[#This Row],[Ticker]]&amp;Table133456[[#This Row],[Expiry]]&amp;""&amp;"C"&amp;Table133456[[#This Row],[Strike]]))</f>
        <v>0</v>
      </c>
      <c r="K1110" s="17"/>
      <c r="M1110" s="1">
        <f t="shared" si="110"/>
        <v>0</v>
      </c>
      <c r="N1110" t="b">
        <f t="shared" si="111"/>
        <v>0</v>
      </c>
      <c r="P1110" s="17" cm="1">
        <f t="array" aca="1" ref="P1110" ca="1">IndividualLegIVCore($A$4, Table133456[[#This Row],[Strike]], 0.0411, Table133456[[#This Row],[T]], ((Table133456[[#This Row],[BIDP]]+Table133456[[#This Row],[ASKP]])/2), FALSE)</f>
        <v>0.01</v>
      </c>
      <c r="Q1110" t="b">
        <f>IF(     ISNUMBER(Table133456[[#This Row],[Strike]]),RTD("tos.rtd", , "BID", "."&amp;Table133456[[#This Row],[Ticker]]&amp;Table133456[[#This Row],[Expiry]]&amp;""&amp;"P"&amp;Table133456[[#This Row],[Strike]]))</f>
        <v>0</v>
      </c>
      <c r="R1110" t="b">
        <f>IF(     ISNUMBER(Table133456[[#This Row],[Strike]]),RTD("tos.rtd", , "ASK", "."&amp;Table133456[[#This Row],[Ticker]]&amp;Table133456[[#This Row],[Expiry]]&amp;""&amp;"P"&amp;Table133456[[#This Row],[Strike]]))</f>
        <v>0</v>
      </c>
      <c r="S1110" s="17"/>
      <c r="T111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0" s="19">
        <f>-7.5* IF($M$1="NDX", 10, IF(OR($M$1="SPX", $M$1="RUT"), 2, 1))</f>
        <v>-15</v>
      </c>
      <c r="Z1110">
        <f ca="1">IFERROR(Table133456[[#This Row],[call gamma]]*(Table133456[[#This Row],[Open.Int]])*$A$4^2,0)</f>
        <v>0</v>
      </c>
      <c r="AA1110">
        <f ca="1">IFERROR(((Table133456[[#This Row],[Open.Int8]])*Table133456[[#This Row],[Put gamma]])*-1*$A$4^2,0)</f>
        <v>0</v>
      </c>
      <c r="AB1110">
        <f ca="1">(Table133456[[#This Row],[Call Gex]]+Table133456[[#This Row],[Put Gex]])</f>
        <v>0</v>
      </c>
      <c r="AC1110">
        <f ca="1">Table133456[[#This Row],[put delta adj]]+Table133456[[#This Row],[call delta adj]]</f>
        <v>0</v>
      </c>
      <c r="AD1110">
        <f ca="1">Table133456[[#This Row],[Put Gex]]*Table133456[[#This Row],[DeltaP]]*-1</f>
        <v>0</v>
      </c>
      <c r="AE1110">
        <f ca="1">Table133456[[#This Row],[Call Gex]]*Table133456[[#This Row],[DeltaC]]</f>
        <v>0</v>
      </c>
      <c r="AF1110">
        <f>IF(Table133456[[#This Row],[DeltaC]]-ABS(Table133456[[#This Row],[DeltaP]])="0","0.01",Table133456[[#This Row],[DeltaC]]-ABS(Table133456[[#This Row],[DeltaP]]))</f>
        <v>0</v>
      </c>
      <c r="AG111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0" t="e">
        <f ca="1">(EXP(-(AG1110^2)/2)/SQRT(2*PI())*EXP(0*SQRT(Table133456[[#This Row],[T]]))/$A$4*18%*SQRT(SQRT(Table133456[[#This Row],[T]])))</f>
        <v>#DIV/0!</v>
      </c>
      <c r="AJ1110" t="e">
        <f ca="1">(EXP(-(AH1110^2)/2)/SQRT(2*PI())*EXP(0*SQRT(Table133456[[#This Row],[T]]))/$A$4*18%*SQRT(SQRT(Table133456[[#This Row],[T]])))</f>
        <v>#DIV/0!</v>
      </c>
      <c r="AK1110" t="e">
        <f ca="1">Table133456[[#This Row],[Call D1]]-Table133456[[#This Row],[IV Calc C]]*SQRT(Table133456[[#This Row],[T]])</f>
        <v>#DIV/0!</v>
      </c>
      <c r="AL1110" t="e">
        <f ca="1">Table133456[[#This Row],[Put D1]]-Table133456[[#This Row],[IV Calc P]]*SQRT(Table133456[[#This Row],[T]])</f>
        <v>#DIV/0!</v>
      </c>
      <c r="AM1110" t="e">
        <f ca="1">EXP(-0.5*Table133456[[#This Row],[Call D1]]^2)/SQRT(2*PI())</f>
        <v>#DIV/0!</v>
      </c>
      <c r="AN1110" t="e">
        <f ca="1">EXP(-0.5*Table133456[[#This Row],[Put D1]]^2)/SQRT(2*PI())</f>
        <v>#DIV/0!</v>
      </c>
      <c r="AO111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0">
        <f ca="1">((Table133456[[#This Row],[call vanna]]+Table133456[[#This Row],[put vanna]])*$A$4)</f>
        <v>0</v>
      </c>
      <c r="AR111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0" s="9" t="str" cm="1">
        <f t="array" ref="AT1110">_xlfn.IFS(     $M$1="SPX","SPXW",     $M$1="RUT","RUTW",  $M$1="NDX","NDXP",   TRUE,$M$1 )</f>
        <v>SPXW</v>
      </c>
      <c r="AU1110" s="2">
        <f t="shared" si="112"/>
        <v>6915</v>
      </c>
      <c r="AV1110" t="str">
        <f t="shared" si="113"/>
        <v>000100</v>
      </c>
      <c r="AY111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0">
        <f>((Table133456[[#This Row],[High C]]+Table133456[[#This Row],[Low C]])/2)*Table133456[[#This Row],[gammac]]*Table133456[[#This Row],[Volume]]</f>
        <v>0</v>
      </c>
      <c r="BD1110">
        <f>((Table133456[[#This Row],[High P]]+Table133456[[#This Row],[Low P]])/2)*Table133456[[#This Row],[gammap]]*Table133456[[#This Row],[Volume9]]*-1</f>
        <v>0</v>
      </c>
      <c r="BE1110">
        <f>(Table133456[[#This Row],[SgammaC]]+Table133456[[#This Row],[SgammaP]])*$A$4*-100</f>
        <v>0</v>
      </c>
      <c r="BF1110">
        <f>Table133456[[#This Row],[DEXc]]+Table133456[[#This Row],[DEXp]]</f>
        <v>0</v>
      </c>
      <c r="BG1110">
        <f>IFERROR(Table133456[[#This Row],[DeltaC]]*Table133456[[#This Row],[Open.Int]]*$A$4,0)</f>
        <v>0</v>
      </c>
      <c r="BH1110">
        <f>IFERROR(Table133456[[#This Row],[DeltaP]]*Table133456[[#This Row],[Open.Int8]]*$A$4,0)</f>
        <v>0</v>
      </c>
      <c r="BI111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0">
        <f ca="1">Table133456[[#This Row],[charmc]]+Table133456[[#This Row],[charmp]]</f>
        <v>0</v>
      </c>
      <c r="BL111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0" s="78">
        <f ca="1">Table133456[[#This Row],[call helper]]+Table133456[[#This Row],[put helper]]</f>
        <v>0</v>
      </c>
      <c r="BP1110" t="str">
        <f>RTD("tos.rtd", , "STRIKE", "."&amp;Table133456[[#This Row],[Ticker]]&amp;Table133456[[#This Row],[Expiry]]&amp;""&amp;"C"&amp;Table133456[[#This Row],[Spot]]+Table133456[[#This Row],[step]])</f>
        <v>N/A</v>
      </c>
    </row>
    <row r="1111" spans="1:68" x14ac:dyDescent="0.25">
      <c r="A1111" s="14">
        <f t="shared" ca="1" si="109"/>
        <v>-126.14810350076104</v>
      </c>
      <c r="C1111" s="17"/>
      <c r="D1111" t="str">
        <f>RTD("tos.rtd", , "OPEN_INT", "."&amp;Table133456[[#This Row],[Ticker]]&amp;Table133456[[#This Row],[Expiry]]&amp;""&amp;"C"&amp;Table133456[[#This Row],[Spot]]+Table133456[[#This Row],[step]])</f>
        <v>N/A</v>
      </c>
      <c r="E111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1" s="17" cm="1">
        <f t="array" aca="1" ref="H1111" ca="1">IndividualLegIVCore($A$4, Table133456[[#This Row],[Strike]], 0.0411, Table133456[[#This Row],[T]], ((Table133456[[#This Row],[BIDC]]+Table133456[[#This Row],[ASKC]])/2), TRUE)</f>
        <v>0.01</v>
      </c>
      <c r="I1111" t="b">
        <f>IF(     ISNUMBER(Table133456[[#This Row],[Strike]]),RTD("tos.rtd", , "BID", "."&amp;Table133456[[#This Row],[Ticker]]&amp;Table133456[[#This Row],[Expiry]]&amp;""&amp;"C"&amp;Table133456[[#This Row],[Strike]]))</f>
        <v>0</v>
      </c>
      <c r="J1111" t="b">
        <f>IF(     ISNUMBER(Table133456[[#This Row],[Strike]]),RTD("tos.rtd", , "ASK", "."&amp;Table133456[[#This Row],[Ticker]]&amp;Table133456[[#This Row],[Expiry]]&amp;""&amp;"C"&amp;Table133456[[#This Row],[Strike]]))</f>
        <v>0</v>
      </c>
      <c r="K1111" s="17"/>
      <c r="M1111" s="1">
        <f t="shared" si="110"/>
        <v>0</v>
      </c>
      <c r="N1111" t="b">
        <f t="shared" si="111"/>
        <v>0</v>
      </c>
      <c r="P1111" s="17" cm="1">
        <f t="array" aca="1" ref="P1111" ca="1">IndividualLegIVCore($A$4, Table133456[[#This Row],[Strike]], 0.0411, Table133456[[#This Row],[T]], ((Table133456[[#This Row],[BIDP]]+Table133456[[#This Row],[ASKP]])/2), FALSE)</f>
        <v>0.01</v>
      </c>
      <c r="Q1111" t="b">
        <f>IF(     ISNUMBER(Table133456[[#This Row],[Strike]]),RTD("tos.rtd", , "BID", "."&amp;Table133456[[#This Row],[Ticker]]&amp;Table133456[[#This Row],[Expiry]]&amp;""&amp;"P"&amp;Table133456[[#This Row],[Strike]]))</f>
        <v>0</v>
      </c>
      <c r="R1111" t="b">
        <f>IF(     ISNUMBER(Table133456[[#This Row],[Strike]]),RTD("tos.rtd", , "ASK", "."&amp;Table133456[[#This Row],[Ticker]]&amp;Table133456[[#This Row],[Expiry]]&amp;""&amp;"P"&amp;Table133456[[#This Row],[Strike]]))</f>
        <v>0</v>
      </c>
      <c r="S1111" s="17"/>
      <c r="T111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1" s="19">
        <f>-7* IF($M$1="NDX", 10, IF(OR($M$1="SPX", $M$1="RUT"), 2, 1))</f>
        <v>-14</v>
      </c>
      <c r="Z1111">
        <f ca="1">IFERROR(Table133456[[#This Row],[call gamma]]*(Table133456[[#This Row],[Open.Int]])*$A$4^2,0)</f>
        <v>0</v>
      </c>
      <c r="AA1111">
        <f ca="1">IFERROR(((Table133456[[#This Row],[Open.Int8]])*Table133456[[#This Row],[Put gamma]])*-1*$A$4^2,0)</f>
        <v>0</v>
      </c>
      <c r="AB1111">
        <f ca="1">(Table133456[[#This Row],[Call Gex]]+Table133456[[#This Row],[Put Gex]])</f>
        <v>0</v>
      </c>
      <c r="AC1111">
        <f ca="1">Table133456[[#This Row],[put delta adj]]+Table133456[[#This Row],[call delta adj]]</f>
        <v>0</v>
      </c>
      <c r="AD1111">
        <f ca="1">Table133456[[#This Row],[Put Gex]]*Table133456[[#This Row],[DeltaP]]*-1</f>
        <v>0</v>
      </c>
      <c r="AE1111">
        <f ca="1">Table133456[[#This Row],[Call Gex]]*Table133456[[#This Row],[DeltaC]]</f>
        <v>0</v>
      </c>
      <c r="AF1111">
        <f>IF(Table133456[[#This Row],[DeltaC]]-ABS(Table133456[[#This Row],[DeltaP]])="0","0.01",Table133456[[#This Row],[DeltaC]]-ABS(Table133456[[#This Row],[DeltaP]]))</f>
        <v>0</v>
      </c>
      <c r="AG111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1" t="e">
        <f ca="1">(EXP(-(AG1111^2)/2)/SQRT(2*PI())*EXP(0*SQRT(Table133456[[#This Row],[T]]))/$A$4*18%*SQRT(SQRT(Table133456[[#This Row],[T]])))</f>
        <v>#DIV/0!</v>
      </c>
      <c r="AJ1111" t="e">
        <f ca="1">(EXP(-(AH1111^2)/2)/SQRT(2*PI())*EXP(0*SQRT(Table133456[[#This Row],[T]]))/$A$4*18%*SQRT(SQRT(Table133456[[#This Row],[T]])))</f>
        <v>#DIV/0!</v>
      </c>
      <c r="AK1111" t="e">
        <f ca="1">Table133456[[#This Row],[Call D1]]-Table133456[[#This Row],[IV Calc C]]*SQRT(Table133456[[#This Row],[T]])</f>
        <v>#DIV/0!</v>
      </c>
      <c r="AL1111" t="e">
        <f ca="1">Table133456[[#This Row],[Put D1]]-Table133456[[#This Row],[IV Calc P]]*SQRT(Table133456[[#This Row],[T]])</f>
        <v>#DIV/0!</v>
      </c>
      <c r="AM1111" t="e">
        <f ca="1">EXP(-0.5*Table133456[[#This Row],[Call D1]]^2)/SQRT(2*PI())</f>
        <v>#DIV/0!</v>
      </c>
      <c r="AN1111" t="e">
        <f ca="1">EXP(-0.5*Table133456[[#This Row],[Put D1]]^2)/SQRT(2*PI())</f>
        <v>#DIV/0!</v>
      </c>
      <c r="AO111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1">
        <f ca="1">((Table133456[[#This Row],[call vanna]]+Table133456[[#This Row],[put vanna]])*$A$4)</f>
        <v>0</v>
      </c>
      <c r="AR111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1" s="9" t="str" cm="1">
        <f t="array" ref="AT1111">_xlfn.IFS(     $M$1="SPX","SPXW",     $M$1="RUT","RUTW",  $M$1="NDX","NDXP",   TRUE,$M$1 )</f>
        <v>SPXW</v>
      </c>
      <c r="AU1111" s="2">
        <f t="shared" si="112"/>
        <v>6915</v>
      </c>
      <c r="AV1111" t="str">
        <f t="shared" si="113"/>
        <v>000100</v>
      </c>
      <c r="AY111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1">
        <f>((Table133456[[#This Row],[High C]]+Table133456[[#This Row],[Low C]])/2)*Table133456[[#This Row],[gammac]]*Table133456[[#This Row],[Volume]]</f>
        <v>0</v>
      </c>
      <c r="BD1111">
        <f>((Table133456[[#This Row],[High P]]+Table133456[[#This Row],[Low P]])/2)*Table133456[[#This Row],[gammap]]*Table133456[[#This Row],[Volume9]]*-1</f>
        <v>0</v>
      </c>
      <c r="BE1111">
        <f>(Table133456[[#This Row],[SgammaC]]+Table133456[[#This Row],[SgammaP]])*$A$4*-100</f>
        <v>0</v>
      </c>
      <c r="BF1111">
        <f>Table133456[[#This Row],[DEXc]]+Table133456[[#This Row],[DEXp]]</f>
        <v>0</v>
      </c>
      <c r="BG1111">
        <f>IFERROR(Table133456[[#This Row],[DeltaC]]*Table133456[[#This Row],[Open.Int]]*$A$4,0)</f>
        <v>0</v>
      </c>
      <c r="BH1111">
        <f>IFERROR(Table133456[[#This Row],[DeltaP]]*Table133456[[#This Row],[Open.Int8]]*$A$4,0)</f>
        <v>0</v>
      </c>
      <c r="BI111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1">
        <f ca="1">Table133456[[#This Row],[charmc]]+Table133456[[#This Row],[charmp]]</f>
        <v>0</v>
      </c>
      <c r="BL111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1" s="78">
        <f ca="1">Table133456[[#This Row],[call helper]]+Table133456[[#This Row],[put helper]]</f>
        <v>0</v>
      </c>
      <c r="BP1111" t="str">
        <f>RTD("tos.rtd", , "STRIKE", "."&amp;Table133456[[#This Row],[Ticker]]&amp;Table133456[[#This Row],[Expiry]]&amp;""&amp;"C"&amp;Table133456[[#This Row],[Spot]]+Table133456[[#This Row],[step]])</f>
        <v>N/A</v>
      </c>
    </row>
    <row r="1112" spans="1:68" x14ac:dyDescent="0.25">
      <c r="A1112" s="14">
        <f t="shared" ca="1" si="109"/>
        <v>-126.14810350076104</v>
      </c>
      <c r="C1112" s="17"/>
      <c r="D1112" t="str">
        <f>RTD("tos.rtd", , "OPEN_INT", "."&amp;Table133456[[#This Row],[Ticker]]&amp;Table133456[[#This Row],[Expiry]]&amp;""&amp;"C"&amp;Table133456[[#This Row],[Spot]]+Table133456[[#This Row],[step]])</f>
        <v>N/A</v>
      </c>
      <c r="E111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2" s="17" cm="1">
        <f t="array" aca="1" ref="H1112" ca="1">IndividualLegIVCore($A$4, Table133456[[#This Row],[Strike]], 0.0411, Table133456[[#This Row],[T]], ((Table133456[[#This Row],[BIDC]]+Table133456[[#This Row],[ASKC]])/2), TRUE)</f>
        <v>0.01</v>
      </c>
      <c r="I1112" t="b">
        <f>IF(     ISNUMBER(Table133456[[#This Row],[Strike]]),RTD("tos.rtd", , "BID", "."&amp;Table133456[[#This Row],[Ticker]]&amp;Table133456[[#This Row],[Expiry]]&amp;""&amp;"C"&amp;Table133456[[#This Row],[Strike]]))</f>
        <v>0</v>
      </c>
      <c r="J1112" t="b">
        <f>IF(     ISNUMBER(Table133456[[#This Row],[Strike]]),RTD("tos.rtd", , "ASK", "."&amp;Table133456[[#This Row],[Ticker]]&amp;Table133456[[#This Row],[Expiry]]&amp;""&amp;"C"&amp;Table133456[[#This Row],[Strike]]))</f>
        <v>0</v>
      </c>
      <c r="K1112" s="17"/>
      <c r="M1112" s="1">
        <f t="shared" si="110"/>
        <v>0</v>
      </c>
      <c r="N1112" t="b">
        <f t="shared" si="111"/>
        <v>0</v>
      </c>
      <c r="P1112" s="17" cm="1">
        <f t="array" aca="1" ref="P1112" ca="1">IndividualLegIVCore($A$4, Table133456[[#This Row],[Strike]], 0.0411, Table133456[[#This Row],[T]], ((Table133456[[#This Row],[BIDP]]+Table133456[[#This Row],[ASKP]])/2), FALSE)</f>
        <v>0.01</v>
      </c>
      <c r="Q1112" t="b">
        <f>IF(     ISNUMBER(Table133456[[#This Row],[Strike]]),RTD("tos.rtd", , "BID", "."&amp;Table133456[[#This Row],[Ticker]]&amp;Table133456[[#This Row],[Expiry]]&amp;""&amp;"P"&amp;Table133456[[#This Row],[Strike]]))</f>
        <v>0</v>
      </c>
      <c r="R1112" t="b">
        <f>IF(     ISNUMBER(Table133456[[#This Row],[Strike]]),RTD("tos.rtd", , "ASK", "."&amp;Table133456[[#This Row],[Ticker]]&amp;Table133456[[#This Row],[Expiry]]&amp;""&amp;"P"&amp;Table133456[[#This Row],[Strike]]))</f>
        <v>0</v>
      </c>
      <c r="S1112" s="17"/>
      <c r="T111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2" s="19">
        <f>-6.5* IF($M$1="NDX", 10, IF(OR($M$1="SPX", $M$1="RUT"), 2, 1))</f>
        <v>-13</v>
      </c>
      <c r="Z1112">
        <f ca="1">IFERROR(Table133456[[#This Row],[call gamma]]*(Table133456[[#This Row],[Open.Int]])*$A$4^2,0)</f>
        <v>0</v>
      </c>
      <c r="AA1112">
        <f ca="1">IFERROR(((Table133456[[#This Row],[Open.Int8]])*Table133456[[#This Row],[Put gamma]])*-1*$A$4^2,0)</f>
        <v>0</v>
      </c>
      <c r="AB1112">
        <f ca="1">(Table133456[[#This Row],[Call Gex]]+Table133456[[#This Row],[Put Gex]])</f>
        <v>0</v>
      </c>
      <c r="AC1112">
        <f ca="1">Table133456[[#This Row],[put delta adj]]+Table133456[[#This Row],[call delta adj]]</f>
        <v>0</v>
      </c>
      <c r="AD1112">
        <f ca="1">Table133456[[#This Row],[Put Gex]]*Table133456[[#This Row],[DeltaP]]*-1</f>
        <v>0</v>
      </c>
      <c r="AE1112">
        <f ca="1">Table133456[[#This Row],[Call Gex]]*Table133456[[#This Row],[DeltaC]]</f>
        <v>0</v>
      </c>
      <c r="AF1112">
        <f>IF(Table133456[[#This Row],[DeltaC]]-ABS(Table133456[[#This Row],[DeltaP]])="0","0.01",Table133456[[#This Row],[DeltaC]]-ABS(Table133456[[#This Row],[DeltaP]]))</f>
        <v>0</v>
      </c>
      <c r="AG111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2" t="e">
        <f ca="1">(EXP(-(AG1112^2)/2)/SQRT(2*PI())*EXP(0*SQRT(Table133456[[#This Row],[T]]))/$A$4*18%*SQRT(SQRT(Table133456[[#This Row],[T]])))</f>
        <v>#DIV/0!</v>
      </c>
      <c r="AJ1112" t="e">
        <f ca="1">(EXP(-(AH1112^2)/2)/SQRT(2*PI())*EXP(0*SQRT(Table133456[[#This Row],[T]]))/$A$4*18%*SQRT(SQRT(Table133456[[#This Row],[T]])))</f>
        <v>#DIV/0!</v>
      </c>
      <c r="AK1112" t="e">
        <f ca="1">Table133456[[#This Row],[Call D1]]-Table133456[[#This Row],[IV Calc C]]*SQRT(Table133456[[#This Row],[T]])</f>
        <v>#DIV/0!</v>
      </c>
      <c r="AL1112" t="e">
        <f ca="1">Table133456[[#This Row],[Put D1]]-Table133456[[#This Row],[IV Calc P]]*SQRT(Table133456[[#This Row],[T]])</f>
        <v>#DIV/0!</v>
      </c>
      <c r="AM1112" t="e">
        <f ca="1">EXP(-0.5*Table133456[[#This Row],[Call D1]]^2)/SQRT(2*PI())</f>
        <v>#DIV/0!</v>
      </c>
      <c r="AN1112" t="e">
        <f ca="1">EXP(-0.5*Table133456[[#This Row],[Put D1]]^2)/SQRT(2*PI())</f>
        <v>#DIV/0!</v>
      </c>
      <c r="AO111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2">
        <f ca="1">((Table133456[[#This Row],[call vanna]]+Table133456[[#This Row],[put vanna]])*$A$4)</f>
        <v>0</v>
      </c>
      <c r="AR111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2" s="9" t="str" cm="1">
        <f t="array" ref="AT1112">_xlfn.IFS(     $M$1="SPX","SPXW",     $M$1="RUT","RUTW",  $M$1="NDX","NDXP",   TRUE,$M$1 )</f>
        <v>SPXW</v>
      </c>
      <c r="AU1112" s="2">
        <f t="shared" si="112"/>
        <v>6915</v>
      </c>
      <c r="AV1112" t="str">
        <f t="shared" si="113"/>
        <v>000100</v>
      </c>
      <c r="AY111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2">
        <f>((Table133456[[#This Row],[High C]]+Table133456[[#This Row],[Low C]])/2)*Table133456[[#This Row],[gammac]]*Table133456[[#This Row],[Volume]]</f>
        <v>0</v>
      </c>
      <c r="BD1112">
        <f>((Table133456[[#This Row],[High P]]+Table133456[[#This Row],[Low P]])/2)*Table133456[[#This Row],[gammap]]*Table133456[[#This Row],[Volume9]]*-1</f>
        <v>0</v>
      </c>
      <c r="BE1112">
        <f>(Table133456[[#This Row],[SgammaC]]+Table133456[[#This Row],[SgammaP]])*$A$4*-100</f>
        <v>0</v>
      </c>
      <c r="BF1112">
        <f>Table133456[[#This Row],[DEXc]]+Table133456[[#This Row],[DEXp]]</f>
        <v>0</v>
      </c>
      <c r="BG1112">
        <f>IFERROR(Table133456[[#This Row],[DeltaC]]*Table133456[[#This Row],[Open.Int]]*$A$4,0)</f>
        <v>0</v>
      </c>
      <c r="BH1112">
        <f>IFERROR(Table133456[[#This Row],[DeltaP]]*Table133456[[#This Row],[Open.Int8]]*$A$4,0)</f>
        <v>0</v>
      </c>
      <c r="BI111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2">
        <f ca="1">Table133456[[#This Row],[charmc]]+Table133456[[#This Row],[charmp]]</f>
        <v>0</v>
      </c>
      <c r="BL111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2" s="78">
        <f ca="1">Table133456[[#This Row],[call helper]]+Table133456[[#This Row],[put helper]]</f>
        <v>0</v>
      </c>
      <c r="BP1112" t="str">
        <f>RTD("tos.rtd", , "STRIKE", "."&amp;Table133456[[#This Row],[Ticker]]&amp;Table133456[[#This Row],[Expiry]]&amp;""&amp;"C"&amp;Table133456[[#This Row],[Spot]]+Table133456[[#This Row],[step]])</f>
        <v>N/A</v>
      </c>
    </row>
    <row r="1113" spans="1:68" x14ac:dyDescent="0.25">
      <c r="A1113" s="14">
        <f t="shared" ca="1" si="109"/>
        <v>-126.14810350076104</v>
      </c>
      <c r="C1113" s="17"/>
      <c r="D1113" t="str">
        <f>RTD("tos.rtd", , "OPEN_INT", "."&amp;Table133456[[#This Row],[Ticker]]&amp;Table133456[[#This Row],[Expiry]]&amp;""&amp;"C"&amp;Table133456[[#This Row],[Spot]]+Table133456[[#This Row],[step]])</f>
        <v>N/A</v>
      </c>
      <c r="E111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3" s="17" cm="1">
        <f t="array" aca="1" ref="H1113" ca="1">IndividualLegIVCore($A$4, Table133456[[#This Row],[Strike]], 0.0411, Table133456[[#This Row],[T]], ((Table133456[[#This Row],[BIDC]]+Table133456[[#This Row],[ASKC]])/2), TRUE)</f>
        <v>0.01</v>
      </c>
      <c r="I1113" t="b">
        <f>IF(     ISNUMBER(Table133456[[#This Row],[Strike]]),RTD("tos.rtd", , "BID", "."&amp;Table133456[[#This Row],[Ticker]]&amp;Table133456[[#This Row],[Expiry]]&amp;""&amp;"C"&amp;Table133456[[#This Row],[Strike]]))</f>
        <v>0</v>
      </c>
      <c r="J1113" t="b">
        <f>IF(     ISNUMBER(Table133456[[#This Row],[Strike]]),RTD("tos.rtd", , "ASK", "."&amp;Table133456[[#This Row],[Ticker]]&amp;Table133456[[#This Row],[Expiry]]&amp;""&amp;"C"&amp;Table133456[[#This Row],[Strike]]))</f>
        <v>0</v>
      </c>
      <c r="K1113" s="17"/>
      <c r="M1113" s="1">
        <f t="shared" si="110"/>
        <v>0</v>
      </c>
      <c r="N1113" t="b">
        <f t="shared" si="111"/>
        <v>0</v>
      </c>
      <c r="P1113" s="17" cm="1">
        <f t="array" aca="1" ref="P1113" ca="1">IndividualLegIVCore($A$4, Table133456[[#This Row],[Strike]], 0.0411, Table133456[[#This Row],[T]], ((Table133456[[#This Row],[BIDP]]+Table133456[[#This Row],[ASKP]])/2), FALSE)</f>
        <v>0.01</v>
      </c>
      <c r="Q1113" t="b">
        <f>IF(     ISNUMBER(Table133456[[#This Row],[Strike]]),RTD("tos.rtd", , "BID", "."&amp;Table133456[[#This Row],[Ticker]]&amp;Table133456[[#This Row],[Expiry]]&amp;""&amp;"P"&amp;Table133456[[#This Row],[Strike]]))</f>
        <v>0</v>
      </c>
      <c r="R1113" t="b">
        <f>IF(     ISNUMBER(Table133456[[#This Row],[Strike]]),RTD("tos.rtd", , "ASK", "."&amp;Table133456[[#This Row],[Ticker]]&amp;Table133456[[#This Row],[Expiry]]&amp;""&amp;"P"&amp;Table133456[[#This Row],[Strike]]))</f>
        <v>0</v>
      </c>
      <c r="S1113" s="17"/>
      <c r="T111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3" s="19">
        <f>-6* IF($M$1="NDX", 10, IF(OR($M$1="SPX", $M$1="RUT"), 2, 1))</f>
        <v>-12</v>
      </c>
      <c r="Z1113">
        <f ca="1">IFERROR(Table133456[[#This Row],[call gamma]]*(Table133456[[#This Row],[Open.Int]])*$A$4^2,0)</f>
        <v>0</v>
      </c>
      <c r="AA1113">
        <f ca="1">IFERROR(((Table133456[[#This Row],[Open.Int8]])*Table133456[[#This Row],[Put gamma]])*-1*$A$4^2,0)</f>
        <v>0</v>
      </c>
      <c r="AB1113">
        <f ca="1">(Table133456[[#This Row],[Call Gex]]+Table133456[[#This Row],[Put Gex]])</f>
        <v>0</v>
      </c>
      <c r="AC1113">
        <f ca="1">Table133456[[#This Row],[put delta adj]]+Table133456[[#This Row],[call delta adj]]</f>
        <v>0</v>
      </c>
      <c r="AD1113">
        <f ca="1">Table133456[[#This Row],[Put Gex]]*Table133456[[#This Row],[DeltaP]]*-1</f>
        <v>0</v>
      </c>
      <c r="AE1113">
        <f ca="1">Table133456[[#This Row],[Call Gex]]*Table133456[[#This Row],[DeltaC]]</f>
        <v>0</v>
      </c>
      <c r="AF1113">
        <f>IF(Table133456[[#This Row],[DeltaC]]-ABS(Table133456[[#This Row],[DeltaP]])="0","0.01",Table133456[[#This Row],[DeltaC]]-ABS(Table133456[[#This Row],[DeltaP]]))</f>
        <v>0</v>
      </c>
      <c r="AG111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3" t="e">
        <f ca="1">(EXP(-(AG1113^2)/2)/SQRT(2*PI())*EXP(0*SQRT(Table133456[[#This Row],[T]]))/$A$4*18%*SQRT(SQRT(Table133456[[#This Row],[T]])))</f>
        <v>#DIV/0!</v>
      </c>
      <c r="AJ1113" t="e">
        <f ca="1">(EXP(-(AH1113^2)/2)/SQRT(2*PI())*EXP(0*SQRT(Table133456[[#This Row],[T]]))/$A$4*18%*SQRT(SQRT(Table133456[[#This Row],[T]])))</f>
        <v>#DIV/0!</v>
      </c>
      <c r="AK1113" t="e">
        <f ca="1">Table133456[[#This Row],[Call D1]]-Table133456[[#This Row],[IV Calc C]]*SQRT(Table133456[[#This Row],[T]])</f>
        <v>#DIV/0!</v>
      </c>
      <c r="AL1113" t="e">
        <f ca="1">Table133456[[#This Row],[Put D1]]-Table133456[[#This Row],[IV Calc P]]*SQRT(Table133456[[#This Row],[T]])</f>
        <v>#DIV/0!</v>
      </c>
      <c r="AM1113" t="e">
        <f ca="1">EXP(-0.5*Table133456[[#This Row],[Call D1]]^2)/SQRT(2*PI())</f>
        <v>#DIV/0!</v>
      </c>
      <c r="AN1113" t="e">
        <f ca="1">EXP(-0.5*Table133456[[#This Row],[Put D1]]^2)/SQRT(2*PI())</f>
        <v>#DIV/0!</v>
      </c>
      <c r="AO111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3">
        <f ca="1">((Table133456[[#This Row],[call vanna]]+Table133456[[#This Row],[put vanna]])*$A$4)</f>
        <v>0</v>
      </c>
      <c r="AR111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3" s="9" t="str" cm="1">
        <f t="array" ref="AT1113">_xlfn.IFS(     $M$1="SPX","SPXW",     $M$1="RUT","RUTW",  $M$1="NDX","NDXP",   TRUE,$M$1 )</f>
        <v>SPXW</v>
      </c>
      <c r="AU1113" s="2">
        <f t="shared" si="112"/>
        <v>6915</v>
      </c>
      <c r="AV1113" t="str">
        <f t="shared" si="113"/>
        <v>000100</v>
      </c>
      <c r="AY111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3">
        <f>((Table133456[[#This Row],[High C]]+Table133456[[#This Row],[Low C]])/2)*Table133456[[#This Row],[gammac]]*Table133456[[#This Row],[Volume]]</f>
        <v>0</v>
      </c>
      <c r="BD1113">
        <f>((Table133456[[#This Row],[High P]]+Table133456[[#This Row],[Low P]])/2)*Table133456[[#This Row],[gammap]]*Table133456[[#This Row],[Volume9]]*-1</f>
        <v>0</v>
      </c>
      <c r="BE1113">
        <f>(Table133456[[#This Row],[SgammaC]]+Table133456[[#This Row],[SgammaP]])*$A$4*-100</f>
        <v>0</v>
      </c>
      <c r="BF1113">
        <f>Table133456[[#This Row],[DEXc]]+Table133456[[#This Row],[DEXp]]</f>
        <v>0</v>
      </c>
      <c r="BG1113">
        <f>IFERROR(Table133456[[#This Row],[DeltaC]]*Table133456[[#This Row],[Open.Int]]*$A$4,0)</f>
        <v>0</v>
      </c>
      <c r="BH1113">
        <f>IFERROR(Table133456[[#This Row],[DeltaP]]*Table133456[[#This Row],[Open.Int8]]*$A$4,0)</f>
        <v>0</v>
      </c>
      <c r="BI111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3">
        <f ca="1">Table133456[[#This Row],[charmc]]+Table133456[[#This Row],[charmp]]</f>
        <v>0</v>
      </c>
      <c r="BL111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3" s="78">
        <f ca="1">Table133456[[#This Row],[call helper]]+Table133456[[#This Row],[put helper]]</f>
        <v>0</v>
      </c>
      <c r="BP1113" t="str">
        <f>RTD("tos.rtd", , "STRIKE", "."&amp;Table133456[[#This Row],[Ticker]]&amp;Table133456[[#This Row],[Expiry]]&amp;""&amp;"C"&amp;Table133456[[#This Row],[Spot]]+Table133456[[#This Row],[step]])</f>
        <v>N/A</v>
      </c>
    </row>
    <row r="1114" spans="1:68" x14ac:dyDescent="0.25">
      <c r="A1114" s="14">
        <f t="shared" ca="1" si="109"/>
        <v>-126.14810350076104</v>
      </c>
      <c r="C1114" s="17"/>
      <c r="D1114" t="str">
        <f>RTD("tos.rtd", , "OPEN_INT", "."&amp;Table133456[[#This Row],[Ticker]]&amp;Table133456[[#This Row],[Expiry]]&amp;""&amp;"C"&amp;Table133456[[#This Row],[Spot]]+Table133456[[#This Row],[step]])</f>
        <v>N/A</v>
      </c>
      <c r="E111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4" s="17" cm="1">
        <f t="array" aca="1" ref="H1114" ca="1">IndividualLegIVCore($A$4, Table133456[[#This Row],[Strike]], 0.0411, Table133456[[#This Row],[T]], ((Table133456[[#This Row],[BIDC]]+Table133456[[#This Row],[ASKC]])/2), TRUE)</f>
        <v>0.01</v>
      </c>
      <c r="I1114" t="b">
        <f>IF(     ISNUMBER(Table133456[[#This Row],[Strike]]),RTD("tos.rtd", , "BID", "."&amp;Table133456[[#This Row],[Ticker]]&amp;Table133456[[#This Row],[Expiry]]&amp;""&amp;"C"&amp;Table133456[[#This Row],[Strike]]))</f>
        <v>0</v>
      </c>
      <c r="J1114" t="b">
        <f>IF(     ISNUMBER(Table133456[[#This Row],[Strike]]),RTD("tos.rtd", , "ASK", "."&amp;Table133456[[#This Row],[Ticker]]&amp;Table133456[[#This Row],[Expiry]]&amp;""&amp;"C"&amp;Table133456[[#This Row],[Strike]]))</f>
        <v>0</v>
      </c>
      <c r="K1114" s="17"/>
      <c r="M1114" s="1">
        <f t="shared" si="110"/>
        <v>0</v>
      </c>
      <c r="N1114" t="b">
        <f t="shared" si="111"/>
        <v>0</v>
      </c>
      <c r="P1114" s="17" cm="1">
        <f t="array" aca="1" ref="P1114" ca="1">IndividualLegIVCore($A$4, Table133456[[#This Row],[Strike]], 0.0411, Table133456[[#This Row],[T]], ((Table133456[[#This Row],[BIDP]]+Table133456[[#This Row],[ASKP]])/2), FALSE)</f>
        <v>0.01</v>
      </c>
      <c r="Q1114" t="b">
        <f>IF(     ISNUMBER(Table133456[[#This Row],[Strike]]),RTD("tos.rtd", , "BID", "."&amp;Table133456[[#This Row],[Ticker]]&amp;Table133456[[#This Row],[Expiry]]&amp;""&amp;"P"&amp;Table133456[[#This Row],[Strike]]))</f>
        <v>0</v>
      </c>
      <c r="R1114" t="b">
        <f>IF(     ISNUMBER(Table133456[[#This Row],[Strike]]),RTD("tos.rtd", , "ASK", "."&amp;Table133456[[#This Row],[Ticker]]&amp;Table133456[[#This Row],[Expiry]]&amp;""&amp;"P"&amp;Table133456[[#This Row],[Strike]]))</f>
        <v>0</v>
      </c>
      <c r="S1114" s="17"/>
      <c r="T111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4" s="19">
        <f>-5.5* IF($M$1="NDX", 10, IF(OR($M$1="SPX", $M$1="RUT"), 2, 1))</f>
        <v>-11</v>
      </c>
      <c r="Z1114">
        <f ca="1">IFERROR(Table133456[[#This Row],[call gamma]]*(Table133456[[#This Row],[Open.Int]])*$A$4^2,0)</f>
        <v>0</v>
      </c>
      <c r="AA1114">
        <f ca="1">IFERROR(((Table133456[[#This Row],[Open.Int8]])*Table133456[[#This Row],[Put gamma]])*-1*$A$4^2,0)</f>
        <v>0</v>
      </c>
      <c r="AB1114">
        <f ca="1">(Table133456[[#This Row],[Call Gex]]+Table133456[[#This Row],[Put Gex]])</f>
        <v>0</v>
      </c>
      <c r="AC1114">
        <f ca="1">Table133456[[#This Row],[put delta adj]]+Table133456[[#This Row],[call delta adj]]</f>
        <v>0</v>
      </c>
      <c r="AD1114">
        <f ca="1">Table133456[[#This Row],[Put Gex]]*Table133456[[#This Row],[DeltaP]]*-1</f>
        <v>0</v>
      </c>
      <c r="AE1114">
        <f ca="1">Table133456[[#This Row],[Call Gex]]*Table133456[[#This Row],[DeltaC]]</f>
        <v>0</v>
      </c>
      <c r="AF1114">
        <f>IF(Table133456[[#This Row],[DeltaC]]-ABS(Table133456[[#This Row],[DeltaP]])="0","0.01",Table133456[[#This Row],[DeltaC]]-ABS(Table133456[[#This Row],[DeltaP]]))</f>
        <v>0</v>
      </c>
      <c r="AG111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4" t="e">
        <f ca="1">(EXP(-(AG1114^2)/2)/SQRT(2*PI())*EXP(0*SQRT(Table133456[[#This Row],[T]]))/$A$4*18%*SQRT(SQRT(Table133456[[#This Row],[T]])))</f>
        <v>#DIV/0!</v>
      </c>
      <c r="AJ1114" t="e">
        <f ca="1">(EXP(-(AH1114^2)/2)/SQRT(2*PI())*EXP(0*SQRT(Table133456[[#This Row],[T]]))/$A$4*18%*SQRT(SQRT(Table133456[[#This Row],[T]])))</f>
        <v>#DIV/0!</v>
      </c>
      <c r="AK1114" t="e">
        <f ca="1">Table133456[[#This Row],[Call D1]]-Table133456[[#This Row],[IV Calc C]]*SQRT(Table133456[[#This Row],[T]])</f>
        <v>#DIV/0!</v>
      </c>
      <c r="AL1114" t="e">
        <f ca="1">Table133456[[#This Row],[Put D1]]-Table133456[[#This Row],[IV Calc P]]*SQRT(Table133456[[#This Row],[T]])</f>
        <v>#DIV/0!</v>
      </c>
      <c r="AM1114" t="e">
        <f ca="1">EXP(-0.5*Table133456[[#This Row],[Call D1]]^2)/SQRT(2*PI())</f>
        <v>#DIV/0!</v>
      </c>
      <c r="AN1114" t="e">
        <f ca="1">EXP(-0.5*Table133456[[#This Row],[Put D1]]^2)/SQRT(2*PI())</f>
        <v>#DIV/0!</v>
      </c>
      <c r="AO111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4">
        <f ca="1">((Table133456[[#This Row],[call vanna]]+Table133456[[#This Row],[put vanna]])*$A$4)</f>
        <v>0</v>
      </c>
      <c r="AR111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4" s="9" t="str" cm="1">
        <f t="array" ref="AT1114">_xlfn.IFS(     $M$1="SPX","SPXW",     $M$1="RUT","RUTW",  $M$1="NDX","NDXP",   TRUE,$M$1 )</f>
        <v>SPXW</v>
      </c>
      <c r="AU1114" s="2">
        <f t="shared" si="112"/>
        <v>6915</v>
      </c>
      <c r="AV1114" t="str">
        <f t="shared" si="113"/>
        <v>000100</v>
      </c>
      <c r="AY111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4">
        <f>((Table133456[[#This Row],[High C]]+Table133456[[#This Row],[Low C]])/2)*Table133456[[#This Row],[gammac]]*Table133456[[#This Row],[Volume]]</f>
        <v>0</v>
      </c>
      <c r="BD1114">
        <f>((Table133456[[#This Row],[High P]]+Table133456[[#This Row],[Low P]])/2)*Table133456[[#This Row],[gammap]]*Table133456[[#This Row],[Volume9]]*-1</f>
        <v>0</v>
      </c>
      <c r="BE1114">
        <f>(Table133456[[#This Row],[SgammaC]]+Table133456[[#This Row],[SgammaP]])*$A$4*-100</f>
        <v>0</v>
      </c>
      <c r="BF1114">
        <f>Table133456[[#This Row],[DEXc]]+Table133456[[#This Row],[DEXp]]</f>
        <v>0</v>
      </c>
      <c r="BG1114">
        <f>IFERROR(Table133456[[#This Row],[DeltaC]]*Table133456[[#This Row],[Open.Int]]*$A$4,0)</f>
        <v>0</v>
      </c>
      <c r="BH1114">
        <f>IFERROR(Table133456[[#This Row],[DeltaP]]*Table133456[[#This Row],[Open.Int8]]*$A$4,0)</f>
        <v>0</v>
      </c>
      <c r="BI111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4">
        <f ca="1">Table133456[[#This Row],[charmc]]+Table133456[[#This Row],[charmp]]</f>
        <v>0</v>
      </c>
      <c r="BL111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4" s="78">
        <f ca="1">Table133456[[#This Row],[call helper]]+Table133456[[#This Row],[put helper]]</f>
        <v>0</v>
      </c>
      <c r="BP1114" t="str">
        <f>RTD("tos.rtd", , "STRIKE", "."&amp;Table133456[[#This Row],[Ticker]]&amp;Table133456[[#This Row],[Expiry]]&amp;""&amp;"C"&amp;Table133456[[#This Row],[Spot]]+Table133456[[#This Row],[step]])</f>
        <v>N/A</v>
      </c>
    </row>
    <row r="1115" spans="1:68" x14ac:dyDescent="0.25">
      <c r="A1115" s="14">
        <f t="shared" ca="1" si="109"/>
        <v>-126.14810350076104</v>
      </c>
      <c r="C1115" s="17"/>
      <c r="D1115" t="str">
        <f>RTD("tos.rtd", , "OPEN_INT", "."&amp;Table133456[[#This Row],[Ticker]]&amp;Table133456[[#This Row],[Expiry]]&amp;""&amp;"C"&amp;Table133456[[#This Row],[Spot]]+Table133456[[#This Row],[step]])</f>
        <v>N/A</v>
      </c>
      <c r="E111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5" s="17" cm="1">
        <f t="array" aca="1" ref="H1115" ca="1">IndividualLegIVCore($A$4, Table133456[[#This Row],[Strike]], 0.0411, Table133456[[#This Row],[T]], ((Table133456[[#This Row],[BIDC]]+Table133456[[#This Row],[ASKC]])/2), TRUE)</f>
        <v>0.01</v>
      </c>
      <c r="I1115" t="b">
        <f>IF(     ISNUMBER(Table133456[[#This Row],[Strike]]),RTD("tos.rtd", , "BID", "."&amp;Table133456[[#This Row],[Ticker]]&amp;Table133456[[#This Row],[Expiry]]&amp;""&amp;"C"&amp;Table133456[[#This Row],[Strike]]))</f>
        <v>0</v>
      </c>
      <c r="J1115" t="b">
        <f>IF(     ISNUMBER(Table133456[[#This Row],[Strike]]),RTD("tos.rtd", , "ASK", "."&amp;Table133456[[#This Row],[Ticker]]&amp;Table133456[[#This Row],[Expiry]]&amp;""&amp;"C"&amp;Table133456[[#This Row],[Strike]]))</f>
        <v>0</v>
      </c>
      <c r="K1115" s="17"/>
      <c r="M1115" s="1">
        <f t="shared" si="110"/>
        <v>0</v>
      </c>
      <c r="N1115" t="b">
        <f t="shared" si="111"/>
        <v>0</v>
      </c>
      <c r="P1115" s="17" cm="1">
        <f t="array" aca="1" ref="P1115" ca="1">IndividualLegIVCore($A$4, Table133456[[#This Row],[Strike]], 0.0411, Table133456[[#This Row],[T]], ((Table133456[[#This Row],[BIDP]]+Table133456[[#This Row],[ASKP]])/2), FALSE)</f>
        <v>0.01</v>
      </c>
      <c r="Q1115" t="b">
        <f>IF(     ISNUMBER(Table133456[[#This Row],[Strike]]),RTD("tos.rtd", , "BID", "."&amp;Table133456[[#This Row],[Ticker]]&amp;Table133456[[#This Row],[Expiry]]&amp;""&amp;"P"&amp;Table133456[[#This Row],[Strike]]))</f>
        <v>0</v>
      </c>
      <c r="R1115" t="b">
        <f>IF(     ISNUMBER(Table133456[[#This Row],[Strike]]),RTD("tos.rtd", , "ASK", "."&amp;Table133456[[#This Row],[Ticker]]&amp;Table133456[[#This Row],[Expiry]]&amp;""&amp;"P"&amp;Table133456[[#This Row],[Strike]]))</f>
        <v>0</v>
      </c>
      <c r="S1115" s="17"/>
      <c r="T111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5" s="19">
        <f>-5* IF($M$1="NDX", 10, IF(OR($M$1="SPX", $M$1="RUT"), 2, 1))</f>
        <v>-10</v>
      </c>
      <c r="Z1115">
        <f ca="1">IFERROR(Table133456[[#This Row],[call gamma]]*(Table133456[[#This Row],[Open.Int]])*$A$4^2,0)</f>
        <v>0</v>
      </c>
      <c r="AA1115">
        <f ca="1">IFERROR(((Table133456[[#This Row],[Open.Int8]])*Table133456[[#This Row],[Put gamma]])*-1*$A$4^2,0)</f>
        <v>0</v>
      </c>
      <c r="AB1115">
        <f ca="1">(Table133456[[#This Row],[Call Gex]]+Table133456[[#This Row],[Put Gex]])</f>
        <v>0</v>
      </c>
      <c r="AC1115">
        <f ca="1">Table133456[[#This Row],[put delta adj]]+Table133456[[#This Row],[call delta adj]]</f>
        <v>0</v>
      </c>
      <c r="AD1115">
        <f ca="1">Table133456[[#This Row],[Put Gex]]*Table133456[[#This Row],[DeltaP]]*-1</f>
        <v>0</v>
      </c>
      <c r="AE1115">
        <f ca="1">Table133456[[#This Row],[Call Gex]]*Table133456[[#This Row],[DeltaC]]</f>
        <v>0</v>
      </c>
      <c r="AF1115">
        <f>IF(Table133456[[#This Row],[DeltaC]]-ABS(Table133456[[#This Row],[DeltaP]])="0","0.01",Table133456[[#This Row],[DeltaC]]-ABS(Table133456[[#This Row],[DeltaP]]))</f>
        <v>0</v>
      </c>
      <c r="AG111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5" t="e">
        <f ca="1">(EXP(-(AG1115^2)/2)/SQRT(2*PI())*EXP(0*SQRT(Table133456[[#This Row],[T]]))/$A$4*18%*SQRT(SQRT(Table133456[[#This Row],[T]])))</f>
        <v>#DIV/0!</v>
      </c>
      <c r="AJ1115" t="e">
        <f ca="1">(EXP(-(AH1115^2)/2)/SQRT(2*PI())*EXP(0*SQRT(Table133456[[#This Row],[T]]))/$A$4*18%*SQRT(SQRT(Table133456[[#This Row],[T]])))</f>
        <v>#DIV/0!</v>
      </c>
      <c r="AK1115" t="e">
        <f ca="1">Table133456[[#This Row],[Call D1]]-Table133456[[#This Row],[IV Calc C]]*SQRT(Table133456[[#This Row],[T]])</f>
        <v>#DIV/0!</v>
      </c>
      <c r="AL1115" t="e">
        <f ca="1">Table133456[[#This Row],[Put D1]]-Table133456[[#This Row],[IV Calc P]]*SQRT(Table133456[[#This Row],[T]])</f>
        <v>#DIV/0!</v>
      </c>
      <c r="AM1115" t="e">
        <f ca="1">EXP(-0.5*Table133456[[#This Row],[Call D1]]^2)/SQRT(2*PI())</f>
        <v>#DIV/0!</v>
      </c>
      <c r="AN1115" t="e">
        <f ca="1">EXP(-0.5*Table133456[[#This Row],[Put D1]]^2)/SQRT(2*PI())</f>
        <v>#DIV/0!</v>
      </c>
      <c r="AO111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5">
        <f ca="1">((Table133456[[#This Row],[call vanna]]+Table133456[[#This Row],[put vanna]])*$A$4)</f>
        <v>0</v>
      </c>
      <c r="AR111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5" s="9" t="str" cm="1">
        <f t="array" ref="AT1115">_xlfn.IFS(     $M$1="SPX","SPXW",     $M$1="RUT","RUTW",  $M$1="NDX","NDXP",   TRUE,$M$1 )</f>
        <v>SPXW</v>
      </c>
      <c r="AU1115" s="2">
        <f t="shared" si="112"/>
        <v>6915</v>
      </c>
      <c r="AV1115" t="str">
        <f t="shared" si="113"/>
        <v>000100</v>
      </c>
      <c r="AY111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5">
        <f>((Table133456[[#This Row],[High C]]+Table133456[[#This Row],[Low C]])/2)*Table133456[[#This Row],[gammac]]*Table133456[[#This Row],[Volume]]</f>
        <v>0</v>
      </c>
      <c r="BD1115">
        <f>((Table133456[[#This Row],[High P]]+Table133456[[#This Row],[Low P]])/2)*Table133456[[#This Row],[gammap]]*Table133456[[#This Row],[Volume9]]*-1</f>
        <v>0</v>
      </c>
      <c r="BE1115">
        <f>(Table133456[[#This Row],[SgammaC]]+Table133456[[#This Row],[SgammaP]])*$A$4*-100</f>
        <v>0</v>
      </c>
      <c r="BF1115">
        <f>Table133456[[#This Row],[DEXc]]+Table133456[[#This Row],[DEXp]]</f>
        <v>0</v>
      </c>
      <c r="BG1115">
        <f>IFERROR(Table133456[[#This Row],[DeltaC]]*Table133456[[#This Row],[Open.Int]]*$A$4,0)</f>
        <v>0</v>
      </c>
      <c r="BH1115">
        <f>IFERROR(Table133456[[#This Row],[DeltaP]]*Table133456[[#This Row],[Open.Int8]]*$A$4,0)</f>
        <v>0</v>
      </c>
      <c r="BI111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5">
        <f ca="1">Table133456[[#This Row],[charmc]]+Table133456[[#This Row],[charmp]]</f>
        <v>0</v>
      </c>
      <c r="BL111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5" s="78">
        <f ca="1">Table133456[[#This Row],[call helper]]+Table133456[[#This Row],[put helper]]</f>
        <v>0</v>
      </c>
      <c r="BP1115" t="str">
        <f>RTD("tos.rtd", , "STRIKE", "."&amp;Table133456[[#This Row],[Ticker]]&amp;Table133456[[#This Row],[Expiry]]&amp;""&amp;"C"&amp;Table133456[[#This Row],[Spot]]+Table133456[[#This Row],[step]])</f>
        <v>N/A</v>
      </c>
    </row>
    <row r="1116" spans="1:68" x14ac:dyDescent="0.25">
      <c r="A1116" s="14">
        <f t="shared" ca="1" si="109"/>
        <v>-126.14810350076104</v>
      </c>
      <c r="C1116" s="17"/>
      <c r="D1116" t="str">
        <f>RTD("tos.rtd", , "OPEN_INT", "."&amp;Table133456[[#This Row],[Ticker]]&amp;Table133456[[#This Row],[Expiry]]&amp;""&amp;"C"&amp;Table133456[[#This Row],[Spot]]+Table133456[[#This Row],[step]])</f>
        <v>N/A</v>
      </c>
      <c r="E111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6" s="17" cm="1">
        <f t="array" aca="1" ref="H1116" ca="1">IndividualLegIVCore($A$4, Table133456[[#This Row],[Strike]], 0.0411, Table133456[[#This Row],[T]], ((Table133456[[#This Row],[BIDC]]+Table133456[[#This Row],[ASKC]])/2), TRUE)</f>
        <v>0.01</v>
      </c>
      <c r="I1116" t="b">
        <f>IF(     ISNUMBER(Table133456[[#This Row],[Strike]]),RTD("tos.rtd", , "BID", "."&amp;Table133456[[#This Row],[Ticker]]&amp;Table133456[[#This Row],[Expiry]]&amp;""&amp;"C"&amp;Table133456[[#This Row],[Strike]]))</f>
        <v>0</v>
      </c>
      <c r="J1116" t="b">
        <f>IF(     ISNUMBER(Table133456[[#This Row],[Strike]]),RTD("tos.rtd", , "ASK", "."&amp;Table133456[[#This Row],[Ticker]]&amp;Table133456[[#This Row],[Expiry]]&amp;""&amp;"C"&amp;Table133456[[#This Row],[Strike]]))</f>
        <v>0</v>
      </c>
      <c r="K1116" s="17"/>
      <c r="M1116" s="1">
        <f t="shared" si="110"/>
        <v>0</v>
      </c>
      <c r="N1116" t="b">
        <f t="shared" si="111"/>
        <v>0</v>
      </c>
      <c r="P1116" s="17" cm="1">
        <f t="array" aca="1" ref="P1116" ca="1">IndividualLegIVCore($A$4, Table133456[[#This Row],[Strike]], 0.0411, Table133456[[#This Row],[T]], ((Table133456[[#This Row],[BIDP]]+Table133456[[#This Row],[ASKP]])/2), FALSE)</f>
        <v>0.01</v>
      </c>
      <c r="Q1116" t="b">
        <f>IF(     ISNUMBER(Table133456[[#This Row],[Strike]]),RTD("tos.rtd", , "BID", "."&amp;Table133456[[#This Row],[Ticker]]&amp;Table133456[[#This Row],[Expiry]]&amp;""&amp;"P"&amp;Table133456[[#This Row],[Strike]]))</f>
        <v>0</v>
      </c>
      <c r="R1116" t="b">
        <f>IF(     ISNUMBER(Table133456[[#This Row],[Strike]]),RTD("tos.rtd", , "ASK", "."&amp;Table133456[[#This Row],[Ticker]]&amp;Table133456[[#This Row],[Expiry]]&amp;""&amp;"P"&amp;Table133456[[#This Row],[Strike]]))</f>
        <v>0</v>
      </c>
      <c r="S1116" s="17"/>
      <c r="T111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6" s="19">
        <f>-4.5* IF($M$1="NDX", 10, IF(OR($M$1="SPX", $M$1="RUT"), 2, 1))</f>
        <v>-9</v>
      </c>
      <c r="Z1116">
        <f ca="1">IFERROR(Table133456[[#This Row],[call gamma]]*(Table133456[[#This Row],[Open.Int]])*$A$4^2,0)</f>
        <v>0</v>
      </c>
      <c r="AA1116">
        <f ca="1">IFERROR(((Table133456[[#This Row],[Open.Int8]])*Table133456[[#This Row],[Put gamma]])*-1*$A$4^2,0)</f>
        <v>0</v>
      </c>
      <c r="AB1116">
        <f ca="1">(Table133456[[#This Row],[Call Gex]]+Table133456[[#This Row],[Put Gex]])</f>
        <v>0</v>
      </c>
      <c r="AC1116">
        <f ca="1">Table133456[[#This Row],[put delta adj]]+Table133456[[#This Row],[call delta adj]]</f>
        <v>0</v>
      </c>
      <c r="AD1116">
        <f ca="1">Table133456[[#This Row],[Put Gex]]*Table133456[[#This Row],[DeltaP]]*-1</f>
        <v>0</v>
      </c>
      <c r="AE1116">
        <f ca="1">Table133456[[#This Row],[Call Gex]]*Table133456[[#This Row],[DeltaC]]</f>
        <v>0</v>
      </c>
      <c r="AF1116">
        <f>IF(Table133456[[#This Row],[DeltaC]]-ABS(Table133456[[#This Row],[DeltaP]])="0","0.01",Table133456[[#This Row],[DeltaC]]-ABS(Table133456[[#This Row],[DeltaP]]))</f>
        <v>0</v>
      </c>
      <c r="AG111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6" t="e">
        <f ca="1">(EXP(-(AG1116^2)/2)/SQRT(2*PI())*EXP(0*SQRT(Table133456[[#This Row],[T]]))/$A$4*18%*SQRT(SQRT(Table133456[[#This Row],[T]])))</f>
        <v>#DIV/0!</v>
      </c>
      <c r="AJ1116" t="e">
        <f ca="1">(EXP(-(AH1116^2)/2)/SQRT(2*PI())*EXP(0*SQRT(Table133456[[#This Row],[T]]))/$A$4*18%*SQRT(SQRT(Table133456[[#This Row],[T]])))</f>
        <v>#DIV/0!</v>
      </c>
      <c r="AK1116" t="e">
        <f ca="1">Table133456[[#This Row],[Call D1]]-Table133456[[#This Row],[IV Calc C]]*SQRT(Table133456[[#This Row],[T]])</f>
        <v>#DIV/0!</v>
      </c>
      <c r="AL1116" t="e">
        <f ca="1">Table133456[[#This Row],[Put D1]]-Table133456[[#This Row],[IV Calc P]]*SQRT(Table133456[[#This Row],[T]])</f>
        <v>#DIV/0!</v>
      </c>
      <c r="AM1116" t="e">
        <f ca="1">EXP(-0.5*Table133456[[#This Row],[Call D1]]^2)/SQRT(2*PI())</f>
        <v>#DIV/0!</v>
      </c>
      <c r="AN1116" t="e">
        <f ca="1">EXP(-0.5*Table133456[[#This Row],[Put D1]]^2)/SQRT(2*PI())</f>
        <v>#DIV/0!</v>
      </c>
      <c r="AO111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6">
        <f ca="1">((Table133456[[#This Row],[call vanna]]+Table133456[[#This Row],[put vanna]])*$A$4)</f>
        <v>0</v>
      </c>
      <c r="AR111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6" s="9" t="str" cm="1">
        <f t="array" ref="AT1116">_xlfn.IFS(     $M$1="SPX","SPXW",     $M$1="RUT","RUTW",  $M$1="NDX","NDXP",   TRUE,$M$1 )</f>
        <v>SPXW</v>
      </c>
      <c r="AU1116" s="2">
        <f t="shared" si="112"/>
        <v>6915</v>
      </c>
      <c r="AV1116" t="str">
        <f t="shared" si="113"/>
        <v>000100</v>
      </c>
      <c r="AY111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6">
        <f>((Table133456[[#This Row],[High C]]+Table133456[[#This Row],[Low C]])/2)*Table133456[[#This Row],[gammac]]*Table133456[[#This Row],[Volume]]</f>
        <v>0</v>
      </c>
      <c r="BD1116">
        <f>((Table133456[[#This Row],[High P]]+Table133456[[#This Row],[Low P]])/2)*Table133456[[#This Row],[gammap]]*Table133456[[#This Row],[Volume9]]*-1</f>
        <v>0</v>
      </c>
      <c r="BE1116">
        <f>(Table133456[[#This Row],[SgammaC]]+Table133456[[#This Row],[SgammaP]])*$A$4*-100</f>
        <v>0</v>
      </c>
      <c r="BF1116">
        <f>Table133456[[#This Row],[DEXc]]+Table133456[[#This Row],[DEXp]]</f>
        <v>0</v>
      </c>
      <c r="BG1116">
        <f>IFERROR(Table133456[[#This Row],[DeltaC]]*Table133456[[#This Row],[Open.Int]]*$A$4,0)</f>
        <v>0</v>
      </c>
      <c r="BH1116">
        <f>IFERROR(Table133456[[#This Row],[DeltaP]]*Table133456[[#This Row],[Open.Int8]]*$A$4,0)</f>
        <v>0</v>
      </c>
      <c r="BI111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6">
        <f ca="1">Table133456[[#This Row],[charmc]]+Table133456[[#This Row],[charmp]]</f>
        <v>0</v>
      </c>
      <c r="BL111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6" s="78">
        <f ca="1">Table133456[[#This Row],[call helper]]+Table133456[[#This Row],[put helper]]</f>
        <v>0</v>
      </c>
      <c r="BP1116" t="str">
        <f>RTD("tos.rtd", , "STRIKE", "."&amp;Table133456[[#This Row],[Ticker]]&amp;Table133456[[#This Row],[Expiry]]&amp;""&amp;"C"&amp;Table133456[[#This Row],[Spot]]+Table133456[[#This Row],[step]])</f>
        <v>N/A</v>
      </c>
    </row>
    <row r="1117" spans="1:68" x14ac:dyDescent="0.25">
      <c r="A1117" s="14">
        <f t="shared" ca="1" si="109"/>
        <v>-126.14810350076104</v>
      </c>
      <c r="C1117" s="17"/>
      <c r="D1117" t="str">
        <f>RTD("tos.rtd", , "OPEN_INT", "."&amp;Table133456[[#This Row],[Ticker]]&amp;Table133456[[#This Row],[Expiry]]&amp;""&amp;"C"&amp;Table133456[[#This Row],[Spot]]+Table133456[[#This Row],[step]])</f>
        <v>N/A</v>
      </c>
      <c r="E111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7" s="17" cm="1">
        <f t="array" aca="1" ref="H1117" ca="1">IndividualLegIVCore($A$4, Table133456[[#This Row],[Strike]], 0.0411, Table133456[[#This Row],[T]], ((Table133456[[#This Row],[BIDC]]+Table133456[[#This Row],[ASKC]])/2), TRUE)</f>
        <v>0.01</v>
      </c>
      <c r="I1117" t="b">
        <f>IF(     ISNUMBER(Table133456[[#This Row],[Strike]]),RTD("tos.rtd", , "BID", "."&amp;Table133456[[#This Row],[Ticker]]&amp;Table133456[[#This Row],[Expiry]]&amp;""&amp;"C"&amp;Table133456[[#This Row],[Strike]]))</f>
        <v>0</v>
      </c>
      <c r="J1117" t="b">
        <f>IF(     ISNUMBER(Table133456[[#This Row],[Strike]]),RTD("tos.rtd", , "ASK", "."&amp;Table133456[[#This Row],[Ticker]]&amp;Table133456[[#This Row],[Expiry]]&amp;""&amp;"C"&amp;Table133456[[#This Row],[Strike]]))</f>
        <v>0</v>
      </c>
      <c r="K1117" s="17"/>
      <c r="M1117" s="1">
        <f t="shared" si="110"/>
        <v>0</v>
      </c>
      <c r="N1117" t="b">
        <f t="shared" si="111"/>
        <v>0</v>
      </c>
      <c r="P1117" s="17" cm="1">
        <f t="array" aca="1" ref="P1117" ca="1">IndividualLegIVCore($A$4, Table133456[[#This Row],[Strike]], 0.0411, Table133456[[#This Row],[T]], ((Table133456[[#This Row],[BIDP]]+Table133456[[#This Row],[ASKP]])/2), FALSE)</f>
        <v>0.01</v>
      </c>
      <c r="Q1117" t="b">
        <f>IF(     ISNUMBER(Table133456[[#This Row],[Strike]]),RTD("tos.rtd", , "BID", "."&amp;Table133456[[#This Row],[Ticker]]&amp;Table133456[[#This Row],[Expiry]]&amp;""&amp;"P"&amp;Table133456[[#This Row],[Strike]]))</f>
        <v>0</v>
      </c>
      <c r="R1117" t="b">
        <f>IF(     ISNUMBER(Table133456[[#This Row],[Strike]]),RTD("tos.rtd", , "ASK", "."&amp;Table133456[[#This Row],[Ticker]]&amp;Table133456[[#This Row],[Expiry]]&amp;""&amp;"P"&amp;Table133456[[#This Row],[Strike]]))</f>
        <v>0</v>
      </c>
      <c r="S1117" s="17"/>
      <c r="T111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7" s="19">
        <f>-4* IF($M$1="NDX", 10, IF(OR($M$1="SPX", $M$1="RUT"), 2, 1))</f>
        <v>-8</v>
      </c>
      <c r="Z1117">
        <f ca="1">IFERROR(Table133456[[#This Row],[call gamma]]*(Table133456[[#This Row],[Open.Int]])*$A$4^2,0)</f>
        <v>0</v>
      </c>
      <c r="AA1117">
        <f ca="1">IFERROR(((Table133456[[#This Row],[Open.Int8]])*Table133456[[#This Row],[Put gamma]])*-1*$A$4^2,0)</f>
        <v>0</v>
      </c>
      <c r="AB1117">
        <f ca="1">(Table133456[[#This Row],[Call Gex]]+Table133456[[#This Row],[Put Gex]])</f>
        <v>0</v>
      </c>
      <c r="AC1117">
        <f ca="1">Table133456[[#This Row],[put delta adj]]+Table133456[[#This Row],[call delta adj]]</f>
        <v>0</v>
      </c>
      <c r="AD1117">
        <f ca="1">Table133456[[#This Row],[Put Gex]]*Table133456[[#This Row],[DeltaP]]*-1</f>
        <v>0</v>
      </c>
      <c r="AE1117">
        <f ca="1">Table133456[[#This Row],[Call Gex]]*Table133456[[#This Row],[DeltaC]]</f>
        <v>0</v>
      </c>
      <c r="AF1117">
        <f>IF(Table133456[[#This Row],[DeltaC]]-ABS(Table133456[[#This Row],[DeltaP]])="0","0.01",Table133456[[#This Row],[DeltaC]]-ABS(Table133456[[#This Row],[DeltaP]]))</f>
        <v>0</v>
      </c>
      <c r="AG111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7" t="e">
        <f ca="1">(EXP(-(AG1117^2)/2)/SQRT(2*PI())*EXP(0*SQRT(Table133456[[#This Row],[T]]))/$A$4*18%*SQRT(SQRT(Table133456[[#This Row],[T]])))</f>
        <v>#DIV/0!</v>
      </c>
      <c r="AJ1117" t="e">
        <f ca="1">(EXP(-(AH1117^2)/2)/SQRT(2*PI())*EXP(0*SQRT(Table133456[[#This Row],[T]]))/$A$4*18%*SQRT(SQRT(Table133456[[#This Row],[T]])))</f>
        <v>#DIV/0!</v>
      </c>
      <c r="AK1117" t="e">
        <f ca="1">Table133456[[#This Row],[Call D1]]-Table133456[[#This Row],[IV Calc C]]*SQRT(Table133456[[#This Row],[T]])</f>
        <v>#DIV/0!</v>
      </c>
      <c r="AL1117" t="e">
        <f ca="1">Table133456[[#This Row],[Put D1]]-Table133456[[#This Row],[IV Calc P]]*SQRT(Table133456[[#This Row],[T]])</f>
        <v>#DIV/0!</v>
      </c>
      <c r="AM1117" t="e">
        <f ca="1">EXP(-0.5*Table133456[[#This Row],[Call D1]]^2)/SQRT(2*PI())</f>
        <v>#DIV/0!</v>
      </c>
      <c r="AN1117" t="e">
        <f ca="1">EXP(-0.5*Table133456[[#This Row],[Put D1]]^2)/SQRT(2*PI())</f>
        <v>#DIV/0!</v>
      </c>
      <c r="AO111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7">
        <f ca="1">((Table133456[[#This Row],[call vanna]]+Table133456[[#This Row],[put vanna]])*$A$4)</f>
        <v>0</v>
      </c>
      <c r="AR111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7" s="9" t="str" cm="1">
        <f t="array" ref="AT1117">_xlfn.IFS(     $M$1="SPX","SPXW",     $M$1="RUT","RUTW",  $M$1="NDX","NDXP",   TRUE,$M$1 )</f>
        <v>SPXW</v>
      </c>
      <c r="AU1117" s="2">
        <f t="shared" si="112"/>
        <v>6915</v>
      </c>
      <c r="AV1117" t="str">
        <f t="shared" si="113"/>
        <v>000100</v>
      </c>
      <c r="AY111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7">
        <f>((Table133456[[#This Row],[High C]]+Table133456[[#This Row],[Low C]])/2)*Table133456[[#This Row],[gammac]]*Table133456[[#This Row],[Volume]]</f>
        <v>0</v>
      </c>
      <c r="BD1117">
        <f>((Table133456[[#This Row],[High P]]+Table133456[[#This Row],[Low P]])/2)*Table133456[[#This Row],[gammap]]*Table133456[[#This Row],[Volume9]]*-1</f>
        <v>0</v>
      </c>
      <c r="BE1117">
        <f>(Table133456[[#This Row],[SgammaC]]+Table133456[[#This Row],[SgammaP]])*$A$4*-100</f>
        <v>0</v>
      </c>
      <c r="BF1117">
        <f>Table133456[[#This Row],[DEXc]]+Table133456[[#This Row],[DEXp]]</f>
        <v>0</v>
      </c>
      <c r="BG1117">
        <f>IFERROR(Table133456[[#This Row],[DeltaC]]*Table133456[[#This Row],[Open.Int]]*$A$4,0)</f>
        <v>0</v>
      </c>
      <c r="BH1117">
        <f>IFERROR(Table133456[[#This Row],[DeltaP]]*Table133456[[#This Row],[Open.Int8]]*$A$4,0)</f>
        <v>0</v>
      </c>
      <c r="BI111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7">
        <f ca="1">Table133456[[#This Row],[charmc]]+Table133456[[#This Row],[charmp]]</f>
        <v>0</v>
      </c>
      <c r="BL111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7" s="78">
        <f ca="1">Table133456[[#This Row],[call helper]]+Table133456[[#This Row],[put helper]]</f>
        <v>0</v>
      </c>
      <c r="BP1117" t="str">
        <f>RTD("tos.rtd", , "STRIKE", "."&amp;Table133456[[#This Row],[Ticker]]&amp;Table133456[[#This Row],[Expiry]]&amp;""&amp;"C"&amp;Table133456[[#This Row],[Spot]]+Table133456[[#This Row],[step]])</f>
        <v>N/A</v>
      </c>
    </row>
    <row r="1118" spans="1:68" x14ac:dyDescent="0.25">
      <c r="A1118" s="14">
        <f t="shared" ca="1" si="109"/>
        <v>-126.14810350076104</v>
      </c>
      <c r="C1118" s="17"/>
      <c r="D1118" t="str">
        <f>RTD("tos.rtd", , "OPEN_INT", "."&amp;Table133456[[#This Row],[Ticker]]&amp;Table133456[[#This Row],[Expiry]]&amp;""&amp;"C"&amp;Table133456[[#This Row],[Spot]]+Table133456[[#This Row],[step]])</f>
        <v>N/A</v>
      </c>
      <c r="E111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8" s="17" cm="1">
        <f t="array" aca="1" ref="H1118" ca="1">IndividualLegIVCore($A$4, Table133456[[#This Row],[Strike]], 0.0411, Table133456[[#This Row],[T]], ((Table133456[[#This Row],[BIDC]]+Table133456[[#This Row],[ASKC]])/2), TRUE)</f>
        <v>0.01</v>
      </c>
      <c r="I1118" t="b">
        <f>IF(     ISNUMBER(Table133456[[#This Row],[Strike]]),RTD("tos.rtd", , "BID", "."&amp;Table133456[[#This Row],[Ticker]]&amp;Table133456[[#This Row],[Expiry]]&amp;""&amp;"C"&amp;Table133456[[#This Row],[Strike]]))</f>
        <v>0</v>
      </c>
      <c r="J1118" t="b">
        <f>IF(     ISNUMBER(Table133456[[#This Row],[Strike]]),RTD("tos.rtd", , "ASK", "."&amp;Table133456[[#This Row],[Ticker]]&amp;Table133456[[#This Row],[Expiry]]&amp;""&amp;"C"&amp;Table133456[[#This Row],[Strike]]))</f>
        <v>0</v>
      </c>
      <c r="K1118" s="17"/>
      <c r="M1118" s="1">
        <f t="shared" si="110"/>
        <v>0</v>
      </c>
      <c r="N1118" t="b">
        <f t="shared" si="111"/>
        <v>0</v>
      </c>
      <c r="P1118" s="17" cm="1">
        <f t="array" aca="1" ref="P1118" ca="1">IndividualLegIVCore($A$4, Table133456[[#This Row],[Strike]], 0.0411, Table133456[[#This Row],[T]], ((Table133456[[#This Row],[BIDP]]+Table133456[[#This Row],[ASKP]])/2), FALSE)</f>
        <v>0.01</v>
      </c>
      <c r="Q1118" t="b">
        <f>IF(     ISNUMBER(Table133456[[#This Row],[Strike]]),RTD("tos.rtd", , "BID", "."&amp;Table133456[[#This Row],[Ticker]]&amp;Table133456[[#This Row],[Expiry]]&amp;""&amp;"P"&amp;Table133456[[#This Row],[Strike]]))</f>
        <v>0</v>
      </c>
      <c r="R1118" t="b">
        <f>IF(     ISNUMBER(Table133456[[#This Row],[Strike]]),RTD("tos.rtd", , "ASK", "."&amp;Table133456[[#This Row],[Ticker]]&amp;Table133456[[#This Row],[Expiry]]&amp;""&amp;"P"&amp;Table133456[[#This Row],[Strike]]))</f>
        <v>0</v>
      </c>
      <c r="S1118" s="17"/>
      <c r="T111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8" s="19">
        <f>-3.5* IF($M$1="NDX", 10, IF(OR($M$1="SPX", $M$1="RUT"), 2, 1))</f>
        <v>-7</v>
      </c>
      <c r="Z1118">
        <f ca="1">IFERROR(Table133456[[#This Row],[call gamma]]*(Table133456[[#This Row],[Open.Int]])*$A$4^2,0)</f>
        <v>0</v>
      </c>
      <c r="AA1118">
        <f ca="1">IFERROR(((Table133456[[#This Row],[Open.Int8]])*Table133456[[#This Row],[Put gamma]])*-1*$A$4^2,0)</f>
        <v>0</v>
      </c>
      <c r="AB1118">
        <f ca="1">(Table133456[[#This Row],[Call Gex]]+Table133456[[#This Row],[Put Gex]])</f>
        <v>0</v>
      </c>
      <c r="AC1118">
        <f ca="1">Table133456[[#This Row],[put delta adj]]+Table133456[[#This Row],[call delta adj]]</f>
        <v>0</v>
      </c>
      <c r="AD1118">
        <f ca="1">Table133456[[#This Row],[Put Gex]]*Table133456[[#This Row],[DeltaP]]*-1</f>
        <v>0</v>
      </c>
      <c r="AE1118">
        <f ca="1">Table133456[[#This Row],[Call Gex]]*Table133456[[#This Row],[DeltaC]]</f>
        <v>0</v>
      </c>
      <c r="AF1118">
        <f>IF(Table133456[[#This Row],[DeltaC]]-ABS(Table133456[[#This Row],[DeltaP]])="0","0.01",Table133456[[#This Row],[DeltaC]]-ABS(Table133456[[#This Row],[DeltaP]]))</f>
        <v>0</v>
      </c>
      <c r="AG111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8" t="e">
        <f ca="1">(EXP(-(AG1118^2)/2)/SQRT(2*PI())*EXP(0*SQRT(Table133456[[#This Row],[T]]))/$A$4*18%*SQRT(SQRT(Table133456[[#This Row],[T]])))</f>
        <v>#DIV/0!</v>
      </c>
      <c r="AJ1118" t="e">
        <f ca="1">(EXP(-(AH1118^2)/2)/SQRT(2*PI())*EXP(0*SQRT(Table133456[[#This Row],[T]]))/$A$4*18%*SQRT(SQRT(Table133456[[#This Row],[T]])))</f>
        <v>#DIV/0!</v>
      </c>
      <c r="AK1118" t="e">
        <f ca="1">Table133456[[#This Row],[Call D1]]-Table133456[[#This Row],[IV Calc C]]*SQRT(Table133456[[#This Row],[T]])</f>
        <v>#DIV/0!</v>
      </c>
      <c r="AL1118" t="e">
        <f ca="1">Table133456[[#This Row],[Put D1]]-Table133456[[#This Row],[IV Calc P]]*SQRT(Table133456[[#This Row],[T]])</f>
        <v>#DIV/0!</v>
      </c>
      <c r="AM1118" t="e">
        <f ca="1">EXP(-0.5*Table133456[[#This Row],[Call D1]]^2)/SQRT(2*PI())</f>
        <v>#DIV/0!</v>
      </c>
      <c r="AN1118" t="e">
        <f ca="1">EXP(-0.5*Table133456[[#This Row],[Put D1]]^2)/SQRT(2*PI())</f>
        <v>#DIV/0!</v>
      </c>
      <c r="AO111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8">
        <f ca="1">((Table133456[[#This Row],[call vanna]]+Table133456[[#This Row],[put vanna]])*$A$4)</f>
        <v>0</v>
      </c>
      <c r="AR111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8" s="9" t="str" cm="1">
        <f t="array" ref="AT1118">_xlfn.IFS(     $M$1="SPX","SPXW",     $M$1="RUT","RUTW",  $M$1="NDX","NDXP",   TRUE,$M$1 )</f>
        <v>SPXW</v>
      </c>
      <c r="AU1118" s="2">
        <f t="shared" si="112"/>
        <v>6915</v>
      </c>
      <c r="AV1118" t="str">
        <f t="shared" si="113"/>
        <v>000100</v>
      </c>
      <c r="AY111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8">
        <f>((Table133456[[#This Row],[High C]]+Table133456[[#This Row],[Low C]])/2)*Table133456[[#This Row],[gammac]]*Table133456[[#This Row],[Volume]]</f>
        <v>0</v>
      </c>
      <c r="BD1118">
        <f>((Table133456[[#This Row],[High P]]+Table133456[[#This Row],[Low P]])/2)*Table133456[[#This Row],[gammap]]*Table133456[[#This Row],[Volume9]]*-1</f>
        <v>0</v>
      </c>
      <c r="BE1118">
        <f>(Table133456[[#This Row],[SgammaC]]+Table133456[[#This Row],[SgammaP]])*$A$4*-100</f>
        <v>0</v>
      </c>
      <c r="BF1118">
        <f>Table133456[[#This Row],[DEXc]]+Table133456[[#This Row],[DEXp]]</f>
        <v>0</v>
      </c>
      <c r="BG1118">
        <f>IFERROR(Table133456[[#This Row],[DeltaC]]*Table133456[[#This Row],[Open.Int]]*$A$4,0)</f>
        <v>0</v>
      </c>
      <c r="BH1118">
        <f>IFERROR(Table133456[[#This Row],[DeltaP]]*Table133456[[#This Row],[Open.Int8]]*$A$4,0)</f>
        <v>0</v>
      </c>
      <c r="BI111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8">
        <f ca="1">Table133456[[#This Row],[charmc]]+Table133456[[#This Row],[charmp]]</f>
        <v>0</v>
      </c>
      <c r="BL111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8" s="78">
        <f ca="1">Table133456[[#This Row],[call helper]]+Table133456[[#This Row],[put helper]]</f>
        <v>0</v>
      </c>
      <c r="BP1118" t="str">
        <f>RTD("tos.rtd", , "STRIKE", "."&amp;Table133456[[#This Row],[Ticker]]&amp;Table133456[[#This Row],[Expiry]]&amp;""&amp;"C"&amp;Table133456[[#This Row],[Spot]]+Table133456[[#This Row],[step]])</f>
        <v>N/A</v>
      </c>
    </row>
    <row r="1119" spans="1:68" x14ac:dyDescent="0.25">
      <c r="A1119" s="14">
        <f t="shared" ca="1" si="109"/>
        <v>-126.14810350076104</v>
      </c>
      <c r="C1119" s="17"/>
      <c r="D1119" t="str">
        <f>RTD("tos.rtd", , "OPEN_INT", "."&amp;Table133456[[#This Row],[Ticker]]&amp;Table133456[[#This Row],[Expiry]]&amp;""&amp;"C"&amp;Table133456[[#This Row],[Spot]]+Table133456[[#This Row],[step]])</f>
        <v>N/A</v>
      </c>
      <c r="E111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9" s="17" cm="1">
        <f t="array" aca="1" ref="H1119" ca="1">IndividualLegIVCore($A$4, Table133456[[#This Row],[Strike]], 0.0411, Table133456[[#This Row],[T]], ((Table133456[[#This Row],[BIDC]]+Table133456[[#This Row],[ASKC]])/2), TRUE)</f>
        <v>0.01</v>
      </c>
      <c r="I1119" t="b">
        <f>IF(     ISNUMBER(Table133456[[#This Row],[Strike]]),RTD("tos.rtd", , "BID", "."&amp;Table133456[[#This Row],[Ticker]]&amp;Table133456[[#This Row],[Expiry]]&amp;""&amp;"C"&amp;Table133456[[#This Row],[Strike]]))</f>
        <v>0</v>
      </c>
      <c r="J1119" t="b">
        <f>IF(     ISNUMBER(Table133456[[#This Row],[Strike]]),RTD("tos.rtd", , "ASK", "."&amp;Table133456[[#This Row],[Ticker]]&amp;Table133456[[#This Row],[Expiry]]&amp;""&amp;"C"&amp;Table133456[[#This Row],[Strike]]))</f>
        <v>0</v>
      </c>
      <c r="K1119" s="17"/>
      <c r="M1119" s="1">
        <f t="shared" si="110"/>
        <v>0</v>
      </c>
      <c r="N1119" t="b">
        <f t="shared" si="111"/>
        <v>0</v>
      </c>
      <c r="P1119" s="17" cm="1">
        <f t="array" aca="1" ref="P1119" ca="1">IndividualLegIVCore($A$4, Table133456[[#This Row],[Strike]], 0.0411, Table133456[[#This Row],[T]], ((Table133456[[#This Row],[BIDP]]+Table133456[[#This Row],[ASKP]])/2), FALSE)</f>
        <v>0.01</v>
      </c>
      <c r="Q1119" t="b">
        <f>IF(     ISNUMBER(Table133456[[#This Row],[Strike]]),RTD("tos.rtd", , "BID", "."&amp;Table133456[[#This Row],[Ticker]]&amp;Table133456[[#This Row],[Expiry]]&amp;""&amp;"P"&amp;Table133456[[#This Row],[Strike]]))</f>
        <v>0</v>
      </c>
      <c r="R1119" t="b">
        <f>IF(     ISNUMBER(Table133456[[#This Row],[Strike]]),RTD("tos.rtd", , "ASK", "."&amp;Table133456[[#This Row],[Ticker]]&amp;Table133456[[#This Row],[Expiry]]&amp;""&amp;"P"&amp;Table133456[[#This Row],[Strike]]))</f>
        <v>0</v>
      </c>
      <c r="S1119" s="17"/>
      <c r="T111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9" s="19">
        <f>-3* IF($M$1="NDX", 10, IF(OR($M$1="SPX", $M$1="RUT"), 2, 1))</f>
        <v>-6</v>
      </c>
      <c r="Z1119">
        <f ca="1">IFERROR(Table133456[[#This Row],[call gamma]]*(Table133456[[#This Row],[Open.Int]])*$A$4^2,0)</f>
        <v>0</v>
      </c>
      <c r="AA1119">
        <f ca="1">IFERROR(((Table133456[[#This Row],[Open.Int8]])*Table133456[[#This Row],[Put gamma]])*-1*$A$4^2,0)</f>
        <v>0</v>
      </c>
      <c r="AB1119">
        <f ca="1">(Table133456[[#This Row],[Call Gex]]+Table133456[[#This Row],[Put Gex]])</f>
        <v>0</v>
      </c>
      <c r="AC1119">
        <f ca="1">Table133456[[#This Row],[put delta adj]]+Table133456[[#This Row],[call delta adj]]</f>
        <v>0</v>
      </c>
      <c r="AD1119">
        <f ca="1">Table133456[[#This Row],[Put Gex]]*Table133456[[#This Row],[DeltaP]]*-1</f>
        <v>0</v>
      </c>
      <c r="AE1119">
        <f ca="1">Table133456[[#This Row],[Call Gex]]*Table133456[[#This Row],[DeltaC]]</f>
        <v>0</v>
      </c>
      <c r="AF1119">
        <f>IF(Table133456[[#This Row],[DeltaC]]-ABS(Table133456[[#This Row],[DeltaP]])="0","0.01",Table133456[[#This Row],[DeltaC]]-ABS(Table133456[[#This Row],[DeltaP]]))</f>
        <v>0</v>
      </c>
      <c r="AG111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9" t="e">
        <f ca="1">(EXP(-(AG1119^2)/2)/SQRT(2*PI())*EXP(0*SQRT(Table133456[[#This Row],[T]]))/$A$4*18%*SQRT(SQRT(Table133456[[#This Row],[T]])))</f>
        <v>#DIV/0!</v>
      </c>
      <c r="AJ1119" t="e">
        <f ca="1">(EXP(-(AH1119^2)/2)/SQRT(2*PI())*EXP(0*SQRT(Table133456[[#This Row],[T]]))/$A$4*18%*SQRT(SQRT(Table133456[[#This Row],[T]])))</f>
        <v>#DIV/0!</v>
      </c>
      <c r="AK1119" t="e">
        <f ca="1">Table133456[[#This Row],[Call D1]]-Table133456[[#This Row],[IV Calc C]]*SQRT(Table133456[[#This Row],[T]])</f>
        <v>#DIV/0!</v>
      </c>
      <c r="AL1119" t="e">
        <f ca="1">Table133456[[#This Row],[Put D1]]-Table133456[[#This Row],[IV Calc P]]*SQRT(Table133456[[#This Row],[T]])</f>
        <v>#DIV/0!</v>
      </c>
      <c r="AM1119" t="e">
        <f ca="1">EXP(-0.5*Table133456[[#This Row],[Call D1]]^2)/SQRT(2*PI())</f>
        <v>#DIV/0!</v>
      </c>
      <c r="AN1119" t="e">
        <f ca="1">EXP(-0.5*Table133456[[#This Row],[Put D1]]^2)/SQRT(2*PI())</f>
        <v>#DIV/0!</v>
      </c>
      <c r="AO111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9">
        <f ca="1">((Table133456[[#This Row],[call vanna]]+Table133456[[#This Row],[put vanna]])*$A$4)</f>
        <v>0</v>
      </c>
      <c r="AR111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9" s="9" t="str" cm="1">
        <f t="array" ref="AT1119">_xlfn.IFS(     $M$1="SPX","SPXW",     $M$1="RUT","RUTW",  $M$1="NDX","NDXP",   TRUE,$M$1 )</f>
        <v>SPXW</v>
      </c>
      <c r="AU1119" s="2">
        <f t="shared" si="112"/>
        <v>6915</v>
      </c>
      <c r="AV1119" t="str">
        <f t="shared" si="113"/>
        <v>000100</v>
      </c>
      <c r="AY111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9">
        <f>((Table133456[[#This Row],[High C]]+Table133456[[#This Row],[Low C]])/2)*Table133456[[#This Row],[gammac]]*Table133456[[#This Row],[Volume]]</f>
        <v>0</v>
      </c>
      <c r="BD1119">
        <f>((Table133456[[#This Row],[High P]]+Table133456[[#This Row],[Low P]])/2)*Table133456[[#This Row],[gammap]]*Table133456[[#This Row],[Volume9]]*-1</f>
        <v>0</v>
      </c>
      <c r="BE1119">
        <f>(Table133456[[#This Row],[SgammaC]]+Table133456[[#This Row],[SgammaP]])*$A$4*-100</f>
        <v>0</v>
      </c>
      <c r="BF1119">
        <f>Table133456[[#This Row],[DEXc]]+Table133456[[#This Row],[DEXp]]</f>
        <v>0</v>
      </c>
      <c r="BG1119">
        <f>IFERROR(Table133456[[#This Row],[DeltaC]]*Table133456[[#This Row],[Open.Int]]*$A$4,0)</f>
        <v>0</v>
      </c>
      <c r="BH1119">
        <f>IFERROR(Table133456[[#This Row],[DeltaP]]*Table133456[[#This Row],[Open.Int8]]*$A$4,0)</f>
        <v>0</v>
      </c>
      <c r="BI111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9">
        <f ca="1">Table133456[[#This Row],[charmc]]+Table133456[[#This Row],[charmp]]</f>
        <v>0</v>
      </c>
      <c r="BL111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9" s="78">
        <f ca="1">Table133456[[#This Row],[call helper]]+Table133456[[#This Row],[put helper]]</f>
        <v>0</v>
      </c>
      <c r="BP1119" t="str">
        <f>RTD("tos.rtd", , "STRIKE", "."&amp;Table133456[[#This Row],[Ticker]]&amp;Table133456[[#This Row],[Expiry]]&amp;""&amp;"C"&amp;Table133456[[#This Row],[Spot]]+Table133456[[#This Row],[step]])</f>
        <v>N/A</v>
      </c>
    </row>
    <row r="1120" spans="1:68" x14ac:dyDescent="0.25">
      <c r="A1120" s="14">
        <f t="shared" ca="1" si="109"/>
        <v>-126.14810350076104</v>
      </c>
      <c r="C1120" s="17"/>
      <c r="D1120" t="str">
        <f>RTD("tos.rtd", , "OPEN_INT", "."&amp;Table133456[[#This Row],[Ticker]]&amp;Table133456[[#This Row],[Expiry]]&amp;""&amp;"C"&amp;Table133456[[#This Row],[Spot]]+Table133456[[#This Row],[step]])</f>
        <v>N/A</v>
      </c>
      <c r="E112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0" s="17" cm="1">
        <f t="array" aca="1" ref="H1120" ca="1">IndividualLegIVCore($A$4, Table133456[[#This Row],[Strike]], 0.0411, Table133456[[#This Row],[T]], ((Table133456[[#This Row],[BIDC]]+Table133456[[#This Row],[ASKC]])/2), TRUE)</f>
        <v>0.01</v>
      </c>
      <c r="I1120" t="b">
        <f>IF(     ISNUMBER(Table133456[[#This Row],[Strike]]),RTD("tos.rtd", , "BID", "."&amp;Table133456[[#This Row],[Ticker]]&amp;Table133456[[#This Row],[Expiry]]&amp;""&amp;"C"&amp;Table133456[[#This Row],[Strike]]))</f>
        <v>0</v>
      </c>
      <c r="J1120" t="b">
        <f>IF(     ISNUMBER(Table133456[[#This Row],[Strike]]),RTD("tos.rtd", , "ASK", "."&amp;Table133456[[#This Row],[Ticker]]&amp;Table133456[[#This Row],[Expiry]]&amp;""&amp;"C"&amp;Table133456[[#This Row],[Strike]]))</f>
        <v>0</v>
      </c>
      <c r="K1120" s="17"/>
      <c r="M1120" s="1">
        <f t="shared" si="110"/>
        <v>0</v>
      </c>
      <c r="N1120" t="b">
        <f t="shared" si="111"/>
        <v>0</v>
      </c>
      <c r="P1120" s="17" cm="1">
        <f t="array" aca="1" ref="P1120" ca="1">IndividualLegIVCore($A$4, Table133456[[#This Row],[Strike]], 0.0411, Table133456[[#This Row],[T]], ((Table133456[[#This Row],[BIDP]]+Table133456[[#This Row],[ASKP]])/2), FALSE)</f>
        <v>0.01</v>
      </c>
      <c r="Q1120" t="b">
        <f>IF(     ISNUMBER(Table133456[[#This Row],[Strike]]),RTD("tos.rtd", , "BID", "."&amp;Table133456[[#This Row],[Ticker]]&amp;Table133456[[#This Row],[Expiry]]&amp;""&amp;"P"&amp;Table133456[[#This Row],[Strike]]))</f>
        <v>0</v>
      </c>
      <c r="R1120" t="b">
        <f>IF(     ISNUMBER(Table133456[[#This Row],[Strike]]),RTD("tos.rtd", , "ASK", "."&amp;Table133456[[#This Row],[Ticker]]&amp;Table133456[[#This Row],[Expiry]]&amp;""&amp;"P"&amp;Table133456[[#This Row],[Strike]]))</f>
        <v>0</v>
      </c>
      <c r="S1120" s="17"/>
      <c r="T112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0" s="19">
        <f>-2.5* IF($M$1="NDX", 10, IF(OR($M$1="SPX", $M$1="RUT"), 2, 1))</f>
        <v>-5</v>
      </c>
      <c r="Z1120">
        <f ca="1">IFERROR(Table133456[[#This Row],[call gamma]]*(Table133456[[#This Row],[Open.Int]])*$A$4^2,0)</f>
        <v>0</v>
      </c>
      <c r="AA1120">
        <f ca="1">IFERROR(((Table133456[[#This Row],[Open.Int8]])*Table133456[[#This Row],[Put gamma]])*-1*$A$4^2,0)</f>
        <v>0</v>
      </c>
      <c r="AB1120">
        <f ca="1">(Table133456[[#This Row],[Call Gex]]+Table133456[[#This Row],[Put Gex]])</f>
        <v>0</v>
      </c>
      <c r="AC1120">
        <f ca="1">Table133456[[#This Row],[put delta adj]]+Table133456[[#This Row],[call delta adj]]</f>
        <v>0</v>
      </c>
      <c r="AD1120">
        <f ca="1">Table133456[[#This Row],[Put Gex]]*Table133456[[#This Row],[DeltaP]]*-1</f>
        <v>0</v>
      </c>
      <c r="AE1120">
        <f ca="1">Table133456[[#This Row],[Call Gex]]*Table133456[[#This Row],[DeltaC]]</f>
        <v>0</v>
      </c>
      <c r="AF1120">
        <f>IF(Table133456[[#This Row],[DeltaC]]-ABS(Table133456[[#This Row],[DeltaP]])="0","0.01",Table133456[[#This Row],[DeltaC]]-ABS(Table133456[[#This Row],[DeltaP]]))</f>
        <v>0</v>
      </c>
      <c r="AG112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0" t="e">
        <f ca="1">(EXP(-(AG1120^2)/2)/SQRT(2*PI())*EXP(0*SQRT(Table133456[[#This Row],[T]]))/$A$4*18%*SQRT(SQRT(Table133456[[#This Row],[T]])))</f>
        <v>#DIV/0!</v>
      </c>
      <c r="AJ1120" t="e">
        <f ca="1">(EXP(-(AH1120^2)/2)/SQRT(2*PI())*EXP(0*SQRT(Table133456[[#This Row],[T]]))/$A$4*18%*SQRT(SQRT(Table133456[[#This Row],[T]])))</f>
        <v>#DIV/0!</v>
      </c>
      <c r="AK1120" t="e">
        <f ca="1">Table133456[[#This Row],[Call D1]]-Table133456[[#This Row],[IV Calc C]]*SQRT(Table133456[[#This Row],[T]])</f>
        <v>#DIV/0!</v>
      </c>
      <c r="AL1120" t="e">
        <f ca="1">Table133456[[#This Row],[Put D1]]-Table133456[[#This Row],[IV Calc P]]*SQRT(Table133456[[#This Row],[T]])</f>
        <v>#DIV/0!</v>
      </c>
      <c r="AM1120" t="e">
        <f ca="1">EXP(-0.5*Table133456[[#This Row],[Call D1]]^2)/SQRT(2*PI())</f>
        <v>#DIV/0!</v>
      </c>
      <c r="AN1120" t="e">
        <f ca="1">EXP(-0.5*Table133456[[#This Row],[Put D1]]^2)/SQRT(2*PI())</f>
        <v>#DIV/0!</v>
      </c>
      <c r="AO112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0">
        <f ca="1">((Table133456[[#This Row],[call vanna]]+Table133456[[#This Row],[put vanna]])*$A$4)</f>
        <v>0</v>
      </c>
      <c r="AR112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0" s="9" t="str" cm="1">
        <f t="array" ref="AT1120">_xlfn.IFS(     $M$1="SPX","SPXW",     $M$1="RUT","RUTW",  $M$1="NDX","NDXP",   TRUE,$M$1 )</f>
        <v>SPXW</v>
      </c>
      <c r="AU1120" s="2">
        <f t="shared" si="112"/>
        <v>6915</v>
      </c>
      <c r="AV1120" t="str">
        <f t="shared" si="113"/>
        <v>000100</v>
      </c>
      <c r="AY112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0">
        <f>((Table133456[[#This Row],[High C]]+Table133456[[#This Row],[Low C]])/2)*Table133456[[#This Row],[gammac]]*Table133456[[#This Row],[Volume]]</f>
        <v>0</v>
      </c>
      <c r="BD1120">
        <f>((Table133456[[#This Row],[High P]]+Table133456[[#This Row],[Low P]])/2)*Table133456[[#This Row],[gammap]]*Table133456[[#This Row],[Volume9]]*-1</f>
        <v>0</v>
      </c>
      <c r="BE1120">
        <f>(Table133456[[#This Row],[SgammaC]]+Table133456[[#This Row],[SgammaP]])*$A$4*-100</f>
        <v>0</v>
      </c>
      <c r="BF1120">
        <f>Table133456[[#This Row],[DEXc]]+Table133456[[#This Row],[DEXp]]</f>
        <v>0</v>
      </c>
      <c r="BG1120">
        <f>IFERROR(Table133456[[#This Row],[DeltaC]]*Table133456[[#This Row],[Open.Int]]*$A$4,0)</f>
        <v>0</v>
      </c>
      <c r="BH1120">
        <f>IFERROR(Table133456[[#This Row],[DeltaP]]*Table133456[[#This Row],[Open.Int8]]*$A$4,0)</f>
        <v>0</v>
      </c>
      <c r="BI112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0">
        <f ca="1">Table133456[[#This Row],[charmc]]+Table133456[[#This Row],[charmp]]</f>
        <v>0</v>
      </c>
      <c r="BL112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0" s="78">
        <f ca="1">Table133456[[#This Row],[call helper]]+Table133456[[#This Row],[put helper]]</f>
        <v>0</v>
      </c>
      <c r="BP1120" t="str">
        <f>RTD("tos.rtd", , "STRIKE", "."&amp;Table133456[[#This Row],[Ticker]]&amp;Table133456[[#This Row],[Expiry]]&amp;""&amp;"C"&amp;Table133456[[#This Row],[Spot]]+Table133456[[#This Row],[step]])</f>
        <v>N/A</v>
      </c>
    </row>
    <row r="1121" spans="1:68" x14ac:dyDescent="0.25">
      <c r="A1121" s="14">
        <f t="shared" ca="1" si="109"/>
        <v>-126.14810350076104</v>
      </c>
      <c r="C1121" s="17"/>
      <c r="D1121" t="str">
        <f>RTD("tos.rtd", , "OPEN_INT", "."&amp;Table133456[[#This Row],[Ticker]]&amp;Table133456[[#This Row],[Expiry]]&amp;""&amp;"C"&amp;Table133456[[#This Row],[Spot]]+Table133456[[#This Row],[step]])</f>
        <v>N/A</v>
      </c>
      <c r="E112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1" s="17" cm="1">
        <f t="array" aca="1" ref="H1121" ca="1">IndividualLegIVCore($A$4, Table133456[[#This Row],[Strike]], 0.0411, Table133456[[#This Row],[T]], ((Table133456[[#This Row],[BIDC]]+Table133456[[#This Row],[ASKC]])/2), TRUE)</f>
        <v>0.01</v>
      </c>
      <c r="I1121" t="b">
        <f>IF(     ISNUMBER(Table133456[[#This Row],[Strike]]),RTD("tos.rtd", , "BID", "."&amp;Table133456[[#This Row],[Ticker]]&amp;Table133456[[#This Row],[Expiry]]&amp;""&amp;"C"&amp;Table133456[[#This Row],[Strike]]))</f>
        <v>0</v>
      </c>
      <c r="J1121" t="b">
        <f>IF(     ISNUMBER(Table133456[[#This Row],[Strike]]),RTD("tos.rtd", , "ASK", "."&amp;Table133456[[#This Row],[Ticker]]&amp;Table133456[[#This Row],[Expiry]]&amp;""&amp;"C"&amp;Table133456[[#This Row],[Strike]]))</f>
        <v>0</v>
      </c>
      <c r="K1121" s="17"/>
      <c r="M1121" s="1">
        <f t="shared" si="110"/>
        <v>0</v>
      </c>
      <c r="N1121" t="b">
        <f t="shared" si="111"/>
        <v>0</v>
      </c>
      <c r="P1121" s="17" cm="1">
        <f t="array" aca="1" ref="P1121" ca="1">IndividualLegIVCore($A$4, Table133456[[#This Row],[Strike]], 0.0411, Table133456[[#This Row],[T]], ((Table133456[[#This Row],[BIDP]]+Table133456[[#This Row],[ASKP]])/2), FALSE)</f>
        <v>0.01</v>
      </c>
      <c r="Q1121" t="b">
        <f>IF(     ISNUMBER(Table133456[[#This Row],[Strike]]),RTD("tos.rtd", , "BID", "."&amp;Table133456[[#This Row],[Ticker]]&amp;Table133456[[#This Row],[Expiry]]&amp;""&amp;"P"&amp;Table133456[[#This Row],[Strike]]))</f>
        <v>0</v>
      </c>
      <c r="R1121" t="b">
        <f>IF(     ISNUMBER(Table133456[[#This Row],[Strike]]),RTD("tos.rtd", , "ASK", "."&amp;Table133456[[#This Row],[Ticker]]&amp;Table133456[[#This Row],[Expiry]]&amp;""&amp;"P"&amp;Table133456[[#This Row],[Strike]]))</f>
        <v>0</v>
      </c>
      <c r="S1121" s="17"/>
      <c r="T112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1" s="19">
        <f>-2* IF($M$1="NDX", 10, IF(OR($M$1="SPX", $M$1="RUT"), 2, 1))</f>
        <v>-4</v>
      </c>
      <c r="Z1121">
        <f ca="1">IFERROR(Table133456[[#This Row],[call gamma]]*(Table133456[[#This Row],[Open.Int]])*$A$4^2,0)</f>
        <v>0</v>
      </c>
      <c r="AA1121">
        <f ca="1">IFERROR(((Table133456[[#This Row],[Open.Int8]])*Table133456[[#This Row],[Put gamma]])*-1*$A$4^2,0)</f>
        <v>0</v>
      </c>
      <c r="AB1121">
        <f ca="1">(Table133456[[#This Row],[Call Gex]]+Table133456[[#This Row],[Put Gex]])</f>
        <v>0</v>
      </c>
      <c r="AC1121">
        <f ca="1">Table133456[[#This Row],[put delta adj]]+Table133456[[#This Row],[call delta adj]]</f>
        <v>0</v>
      </c>
      <c r="AD1121">
        <f ca="1">Table133456[[#This Row],[Put Gex]]*Table133456[[#This Row],[DeltaP]]*-1</f>
        <v>0</v>
      </c>
      <c r="AE1121">
        <f ca="1">Table133456[[#This Row],[Call Gex]]*Table133456[[#This Row],[DeltaC]]</f>
        <v>0</v>
      </c>
      <c r="AF1121">
        <f>IF(Table133456[[#This Row],[DeltaC]]-ABS(Table133456[[#This Row],[DeltaP]])="0","0.01",Table133456[[#This Row],[DeltaC]]-ABS(Table133456[[#This Row],[DeltaP]]))</f>
        <v>0</v>
      </c>
      <c r="AG112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1" t="e">
        <f ca="1">(EXP(-(AG1121^2)/2)/SQRT(2*PI())*EXP(0*SQRT(Table133456[[#This Row],[T]]))/$A$4*18%*SQRT(SQRT(Table133456[[#This Row],[T]])))</f>
        <v>#DIV/0!</v>
      </c>
      <c r="AJ1121" t="e">
        <f ca="1">(EXP(-(AH1121^2)/2)/SQRT(2*PI())*EXP(0*SQRT(Table133456[[#This Row],[T]]))/$A$4*18%*SQRT(SQRT(Table133456[[#This Row],[T]])))</f>
        <v>#DIV/0!</v>
      </c>
      <c r="AK1121" t="e">
        <f ca="1">Table133456[[#This Row],[Call D1]]-Table133456[[#This Row],[IV Calc C]]*SQRT(Table133456[[#This Row],[T]])</f>
        <v>#DIV/0!</v>
      </c>
      <c r="AL1121" t="e">
        <f ca="1">Table133456[[#This Row],[Put D1]]-Table133456[[#This Row],[IV Calc P]]*SQRT(Table133456[[#This Row],[T]])</f>
        <v>#DIV/0!</v>
      </c>
      <c r="AM1121" t="e">
        <f ca="1">EXP(-0.5*Table133456[[#This Row],[Call D1]]^2)/SQRT(2*PI())</f>
        <v>#DIV/0!</v>
      </c>
      <c r="AN1121" t="e">
        <f ca="1">EXP(-0.5*Table133456[[#This Row],[Put D1]]^2)/SQRT(2*PI())</f>
        <v>#DIV/0!</v>
      </c>
      <c r="AO112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1">
        <f ca="1">((Table133456[[#This Row],[call vanna]]+Table133456[[#This Row],[put vanna]])*$A$4)</f>
        <v>0</v>
      </c>
      <c r="AR112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1" s="9" t="str" cm="1">
        <f t="array" ref="AT1121">_xlfn.IFS(     $M$1="SPX","SPXW",     $M$1="RUT","RUTW",  $M$1="NDX","NDXP",   TRUE,$M$1 )</f>
        <v>SPXW</v>
      </c>
      <c r="AU1121" s="2">
        <f t="shared" si="112"/>
        <v>6915</v>
      </c>
      <c r="AV1121" t="str">
        <f t="shared" si="113"/>
        <v>000100</v>
      </c>
      <c r="AY112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1">
        <f>((Table133456[[#This Row],[High C]]+Table133456[[#This Row],[Low C]])/2)*Table133456[[#This Row],[gammac]]*Table133456[[#This Row],[Volume]]</f>
        <v>0</v>
      </c>
      <c r="BD1121">
        <f>((Table133456[[#This Row],[High P]]+Table133456[[#This Row],[Low P]])/2)*Table133456[[#This Row],[gammap]]*Table133456[[#This Row],[Volume9]]*-1</f>
        <v>0</v>
      </c>
      <c r="BE1121">
        <f>(Table133456[[#This Row],[SgammaC]]+Table133456[[#This Row],[SgammaP]])*$A$4*-100</f>
        <v>0</v>
      </c>
      <c r="BF1121">
        <f>Table133456[[#This Row],[DEXc]]+Table133456[[#This Row],[DEXp]]</f>
        <v>0</v>
      </c>
      <c r="BG1121">
        <f>IFERROR(Table133456[[#This Row],[DeltaC]]*Table133456[[#This Row],[Open.Int]]*$A$4,0)</f>
        <v>0</v>
      </c>
      <c r="BH1121">
        <f>IFERROR(Table133456[[#This Row],[DeltaP]]*Table133456[[#This Row],[Open.Int8]]*$A$4,0)</f>
        <v>0</v>
      </c>
      <c r="BI112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1">
        <f ca="1">Table133456[[#This Row],[charmc]]+Table133456[[#This Row],[charmp]]</f>
        <v>0</v>
      </c>
      <c r="BL112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1" s="78">
        <f ca="1">Table133456[[#This Row],[call helper]]+Table133456[[#This Row],[put helper]]</f>
        <v>0</v>
      </c>
      <c r="BP1121" t="str">
        <f>RTD("tos.rtd", , "STRIKE", "."&amp;Table133456[[#This Row],[Ticker]]&amp;Table133456[[#This Row],[Expiry]]&amp;""&amp;"C"&amp;Table133456[[#This Row],[Spot]]+Table133456[[#This Row],[step]])</f>
        <v>N/A</v>
      </c>
    </row>
    <row r="1122" spans="1:68" x14ac:dyDescent="0.25">
      <c r="A1122" s="14">
        <f t="shared" ca="1" si="109"/>
        <v>-126.14810350076104</v>
      </c>
      <c r="C1122" s="17"/>
      <c r="D1122" t="str">
        <f>RTD("tos.rtd", , "OPEN_INT", "."&amp;Table133456[[#This Row],[Ticker]]&amp;Table133456[[#This Row],[Expiry]]&amp;""&amp;"C"&amp;Table133456[[#This Row],[Spot]]+Table133456[[#This Row],[step]])</f>
        <v>N/A</v>
      </c>
      <c r="E112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2" s="17" cm="1">
        <f t="array" aca="1" ref="H1122" ca="1">IndividualLegIVCore($A$4, Table133456[[#This Row],[Strike]], 0.0411, Table133456[[#This Row],[T]], ((Table133456[[#This Row],[BIDC]]+Table133456[[#This Row],[ASKC]])/2), TRUE)</f>
        <v>0.01</v>
      </c>
      <c r="I1122" t="b">
        <f>IF(     ISNUMBER(Table133456[[#This Row],[Strike]]),RTD("tos.rtd", , "BID", "."&amp;Table133456[[#This Row],[Ticker]]&amp;Table133456[[#This Row],[Expiry]]&amp;""&amp;"C"&amp;Table133456[[#This Row],[Strike]]))</f>
        <v>0</v>
      </c>
      <c r="J1122" t="b">
        <f>IF(     ISNUMBER(Table133456[[#This Row],[Strike]]),RTD("tos.rtd", , "ASK", "."&amp;Table133456[[#This Row],[Ticker]]&amp;Table133456[[#This Row],[Expiry]]&amp;""&amp;"C"&amp;Table133456[[#This Row],[Strike]]))</f>
        <v>0</v>
      </c>
      <c r="K1122" s="17"/>
      <c r="M1122" s="1">
        <f t="shared" si="110"/>
        <v>0</v>
      </c>
      <c r="N1122" t="b">
        <f t="shared" si="111"/>
        <v>0</v>
      </c>
      <c r="P1122" s="17" cm="1">
        <f t="array" aca="1" ref="P1122" ca="1">IndividualLegIVCore($A$4, Table133456[[#This Row],[Strike]], 0.0411, Table133456[[#This Row],[T]], ((Table133456[[#This Row],[BIDP]]+Table133456[[#This Row],[ASKP]])/2), FALSE)</f>
        <v>0.01</v>
      </c>
      <c r="Q1122" t="b">
        <f>IF(     ISNUMBER(Table133456[[#This Row],[Strike]]),RTD("tos.rtd", , "BID", "."&amp;Table133456[[#This Row],[Ticker]]&amp;Table133456[[#This Row],[Expiry]]&amp;""&amp;"P"&amp;Table133456[[#This Row],[Strike]]))</f>
        <v>0</v>
      </c>
      <c r="R1122" t="b">
        <f>IF(     ISNUMBER(Table133456[[#This Row],[Strike]]),RTD("tos.rtd", , "ASK", "."&amp;Table133456[[#This Row],[Ticker]]&amp;Table133456[[#This Row],[Expiry]]&amp;""&amp;"P"&amp;Table133456[[#This Row],[Strike]]))</f>
        <v>0</v>
      </c>
      <c r="S1122" s="17"/>
      <c r="T112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2" s="19">
        <f>-1.5* IF($M$1="NDX", 10, IF(OR($M$1="SPX", $M$1="RUT"), 2, 1))</f>
        <v>-3</v>
      </c>
      <c r="Z1122">
        <f ca="1">IFERROR(Table133456[[#This Row],[call gamma]]*(Table133456[[#This Row],[Open.Int]])*$A$4^2,0)</f>
        <v>0</v>
      </c>
      <c r="AA1122">
        <f ca="1">IFERROR(((Table133456[[#This Row],[Open.Int8]])*Table133456[[#This Row],[Put gamma]])*-1*$A$4^2,0)</f>
        <v>0</v>
      </c>
      <c r="AB1122">
        <f ca="1">(Table133456[[#This Row],[Call Gex]]+Table133456[[#This Row],[Put Gex]])</f>
        <v>0</v>
      </c>
      <c r="AC1122">
        <f ca="1">Table133456[[#This Row],[put delta adj]]+Table133456[[#This Row],[call delta adj]]</f>
        <v>0</v>
      </c>
      <c r="AD1122">
        <f ca="1">Table133456[[#This Row],[Put Gex]]*Table133456[[#This Row],[DeltaP]]*-1</f>
        <v>0</v>
      </c>
      <c r="AE1122">
        <f ca="1">Table133456[[#This Row],[Call Gex]]*Table133456[[#This Row],[DeltaC]]</f>
        <v>0</v>
      </c>
      <c r="AF1122">
        <f>IF(Table133456[[#This Row],[DeltaC]]-ABS(Table133456[[#This Row],[DeltaP]])="0","0.01",Table133456[[#This Row],[DeltaC]]-ABS(Table133456[[#This Row],[DeltaP]]))</f>
        <v>0</v>
      </c>
      <c r="AG112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2" t="e">
        <f ca="1">(EXP(-(AG1122^2)/2)/SQRT(2*PI())*EXP(0*SQRT(Table133456[[#This Row],[T]]))/$A$4*18%*SQRT(SQRT(Table133456[[#This Row],[T]])))</f>
        <v>#DIV/0!</v>
      </c>
      <c r="AJ1122" t="e">
        <f ca="1">(EXP(-(AH1122^2)/2)/SQRT(2*PI())*EXP(0*SQRT(Table133456[[#This Row],[T]]))/$A$4*18%*SQRT(SQRT(Table133456[[#This Row],[T]])))</f>
        <v>#DIV/0!</v>
      </c>
      <c r="AK1122" t="e">
        <f ca="1">Table133456[[#This Row],[Call D1]]-Table133456[[#This Row],[IV Calc C]]*SQRT(Table133456[[#This Row],[T]])</f>
        <v>#DIV/0!</v>
      </c>
      <c r="AL1122" t="e">
        <f ca="1">Table133456[[#This Row],[Put D1]]-Table133456[[#This Row],[IV Calc P]]*SQRT(Table133456[[#This Row],[T]])</f>
        <v>#DIV/0!</v>
      </c>
      <c r="AM1122" t="e">
        <f ca="1">EXP(-0.5*Table133456[[#This Row],[Call D1]]^2)/SQRT(2*PI())</f>
        <v>#DIV/0!</v>
      </c>
      <c r="AN1122" t="e">
        <f ca="1">EXP(-0.5*Table133456[[#This Row],[Put D1]]^2)/SQRT(2*PI())</f>
        <v>#DIV/0!</v>
      </c>
      <c r="AO112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2">
        <f ca="1">((Table133456[[#This Row],[call vanna]]+Table133456[[#This Row],[put vanna]])*$A$4)</f>
        <v>0</v>
      </c>
      <c r="AR112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2" s="9" t="str" cm="1">
        <f t="array" ref="AT1122">_xlfn.IFS(     $M$1="SPX","SPXW",     $M$1="RUT","RUTW",  $M$1="NDX","NDXP",   TRUE,$M$1 )</f>
        <v>SPXW</v>
      </c>
      <c r="AU1122" s="2">
        <f t="shared" si="112"/>
        <v>6915</v>
      </c>
      <c r="AV1122" t="str">
        <f t="shared" si="113"/>
        <v>000100</v>
      </c>
      <c r="AY112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2">
        <f>((Table133456[[#This Row],[High C]]+Table133456[[#This Row],[Low C]])/2)*Table133456[[#This Row],[gammac]]*Table133456[[#This Row],[Volume]]</f>
        <v>0</v>
      </c>
      <c r="BD1122">
        <f>((Table133456[[#This Row],[High P]]+Table133456[[#This Row],[Low P]])/2)*Table133456[[#This Row],[gammap]]*Table133456[[#This Row],[Volume9]]*-1</f>
        <v>0</v>
      </c>
      <c r="BE1122">
        <f>(Table133456[[#This Row],[SgammaC]]+Table133456[[#This Row],[SgammaP]])*$A$4*-100</f>
        <v>0</v>
      </c>
      <c r="BF1122">
        <f>Table133456[[#This Row],[DEXc]]+Table133456[[#This Row],[DEXp]]</f>
        <v>0</v>
      </c>
      <c r="BG1122">
        <f>IFERROR(Table133456[[#This Row],[DeltaC]]*Table133456[[#This Row],[Open.Int]]*$A$4,0)</f>
        <v>0</v>
      </c>
      <c r="BH1122">
        <f>IFERROR(Table133456[[#This Row],[DeltaP]]*Table133456[[#This Row],[Open.Int8]]*$A$4,0)</f>
        <v>0</v>
      </c>
      <c r="BI112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2">
        <f ca="1">Table133456[[#This Row],[charmc]]+Table133456[[#This Row],[charmp]]</f>
        <v>0</v>
      </c>
      <c r="BL112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2" s="78">
        <f ca="1">Table133456[[#This Row],[call helper]]+Table133456[[#This Row],[put helper]]</f>
        <v>0</v>
      </c>
      <c r="BP1122" t="str">
        <f>RTD("tos.rtd", , "STRIKE", "."&amp;Table133456[[#This Row],[Ticker]]&amp;Table133456[[#This Row],[Expiry]]&amp;""&amp;"C"&amp;Table133456[[#This Row],[Spot]]+Table133456[[#This Row],[step]])</f>
        <v>N/A</v>
      </c>
    </row>
    <row r="1123" spans="1:68" x14ac:dyDescent="0.25">
      <c r="A1123" s="14">
        <f t="shared" ca="1" si="109"/>
        <v>-126.14810350076104</v>
      </c>
      <c r="C1123" s="17"/>
      <c r="D1123" t="str">
        <f>RTD("tos.rtd", , "OPEN_INT", "."&amp;Table133456[[#This Row],[Ticker]]&amp;Table133456[[#This Row],[Expiry]]&amp;""&amp;"C"&amp;Table133456[[#This Row],[Spot]]+Table133456[[#This Row],[step]])</f>
        <v>N/A</v>
      </c>
      <c r="E112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3" s="17" cm="1">
        <f t="array" aca="1" ref="H1123" ca="1">IndividualLegIVCore($A$4, Table133456[[#This Row],[Strike]], 0.0411, Table133456[[#This Row],[T]], ((Table133456[[#This Row],[BIDC]]+Table133456[[#This Row],[ASKC]])/2), TRUE)</f>
        <v>0.01</v>
      </c>
      <c r="I1123" t="b">
        <f>IF(     ISNUMBER(Table133456[[#This Row],[Strike]]),RTD("tos.rtd", , "BID", "."&amp;Table133456[[#This Row],[Ticker]]&amp;Table133456[[#This Row],[Expiry]]&amp;""&amp;"C"&amp;Table133456[[#This Row],[Strike]]))</f>
        <v>0</v>
      </c>
      <c r="J1123" t="b">
        <f>IF(     ISNUMBER(Table133456[[#This Row],[Strike]]),RTD("tos.rtd", , "ASK", "."&amp;Table133456[[#This Row],[Ticker]]&amp;Table133456[[#This Row],[Expiry]]&amp;""&amp;"C"&amp;Table133456[[#This Row],[Strike]]))</f>
        <v>0</v>
      </c>
      <c r="K1123" s="17"/>
      <c r="M1123" s="1">
        <f t="shared" si="110"/>
        <v>0</v>
      </c>
      <c r="N1123" t="b">
        <f t="shared" si="111"/>
        <v>0</v>
      </c>
      <c r="P1123" s="17" cm="1">
        <f t="array" aca="1" ref="P1123" ca="1">IndividualLegIVCore($A$4, Table133456[[#This Row],[Strike]], 0.0411, Table133456[[#This Row],[T]], ((Table133456[[#This Row],[BIDP]]+Table133456[[#This Row],[ASKP]])/2), FALSE)</f>
        <v>0.01</v>
      </c>
      <c r="Q1123" t="b">
        <f>IF(     ISNUMBER(Table133456[[#This Row],[Strike]]),RTD("tos.rtd", , "BID", "."&amp;Table133456[[#This Row],[Ticker]]&amp;Table133456[[#This Row],[Expiry]]&amp;""&amp;"P"&amp;Table133456[[#This Row],[Strike]]))</f>
        <v>0</v>
      </c>
      <c r="R1123" t="b">
        <f>IF(     ISNUMBER(Table133456[[#This Row],[Strike]]),RTD("tos.rtd", , "ASK", "."&amp;Table133456[[#This Row],[Ticker]]&amp;Table133456[[#This Row],[Expiry]]&amp;""&amp;"P"&amp;Table133456[[#This Row],[Strike]]))</f>
        <v>0</v>
      </c>
      <c r="S1123" s="17"/>
      <c r="T112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3" s="19">
        <f>-1* IF($M$1="NDX", 10, IF(OR($M$1="SPX", $M$1="RUT"), 2, 1))</f>
        <v>-2</v>
      </c>
      <c r="Z1123">
        <f ca="1">IFERROR(Table133456[[#This Row],[call gamma]]*(Table133456[[#This Row],[Open.Int]])*$A$4^2,0)</f>
        <v>0</v>
      </c>
      <c r="AA1123">
        <f ca="1">IFERROR(((Table133456[[#This Row],[Open.Int8]])*Table133456[[#This Row],[Put gamma]])*-1*$A$4^2,0)</f>
        <v>0</v>
      </c>
      <c r="AB1123">
        <f ca="1">(Table133456[[#This Row],[Call Gex]]+Table133456[[#This Row],[Put Gex]])</f>
        <v>0</v>
      </c>
      <c r="AC1123">
        <f ca="1">Table133456[[#This Row],[put delta adj]]+Table133456[[#This Row],[call delta adj]]</f>
        <v>0</v>
      </c>
      <c r="AD1123">
        <f ca="1">Table133456[[#This Row],[Put Gex]]*Table133456[[#This Row],[DeltaP]]*-1</f>
        <v>0</v>
      </c>
      <c r="AE1123">
        <f ca="1">Table133456[[#This Row],[Call Gex]]*Table133456[[#This Row],[DeltaC]]</f>
        <v>0</v>
      </c>
      <c r="AF1123">
        <f>IF(Table133456[[#This Row],[DeltaC]]-ABS(Table133456[[#This Row],[DeltaP]])="0","0.01",Table133456[[#This Row],[DeltaC]]-ABS(Table133456[[#This Row],[DeltaP]]))</f>
        <v>0</v>
      </c>
      <c r="AG112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3" t="e">
        <f ca="1">(EXP(-(AG1123^2)/2)/SQRT(2*PI())*EXP(0*SQRT(Table133456[[#This Row],[T]]))/$A$4*18%*SQRT(SQRT(Table133456[[#This Row],[T]])))</f>
        <v>#DIV/0!</v>
      </c>
      <c r="AJ1123" t="e">
        <f ca="1">(EXP(-(AH1123^2)/2)/SQRT(2*PI())*EXP(0*SQRT(Table133456[[#This Row],[T]]))/$A$4*18%*SQRT(SQRT(Table133456[[#This Row],[T]])))</f>
        <v>#DIV/0!</v>
      </c>
      <c r="AK1123" t="e">
        <f ca="1">Table133456[[#This Row],[Call D1]]-Table133456[[#This Row],[IV Calc C]]*SQRT(Table133456[[#This Row],[T]])</f>
        <v>#DIV/0!</v>
      </c>
      <c r="AL1123" t="e">
        <f ca="1">Table133456[[#This Row],[Put D1]]-Table133456[[#This Row],[IV Calc P]]*SQRT(Table133456[[#This Row],[T]])</f>
        <v>#DIV/0!</v>
      </c>
      <c r="AM1123" t="e">
        <f ca="1">EXP(-0.5*Table133456[[#This Row],[Call D1]]^2)/SQRT(2*PI())</f>
        <v>#DIV/0!</v>
      </c>
      <c r="AN1123" t="e">
        <f ca="1">EXP(-0.5*Table133456[[#This Row],[Put D1]]^2)/SQRT(2*PI())</f>
        <v>#DIV/0!</v>
      </c>
      <c r="AO112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3">
        <f ca="1">((Table133456[[#This Row],[call vanna]]+Table133456[[#This Row],[put vanna]])*$A$4)</f>
        <v>0</v>
      </c>
      <c r="AR112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3" s="9" t="str" cm="1">
        <f t="array" ref="AT1123">_xlfn.IFS(     $M$1="SPX","SPXW",     $M$1="RUT","RUTW",  $M$1="NDX","NDXP",   TRUE,$M$1 )</f>
        <v>SPXW</v>
      </c>
      <c r="AU1123" s="2">
        <f t="shared" si="112"/>
        <v>6915</v>
      </c>
      <c r="AV1123" t="str">
        <f t="shared" si="113"/>
        <v>000100</v>
      </c>
      <c r="AY112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3">
        <f>((Table133456[[#This Row],[High C]]+Table133456[[#This Row],[Low C]])/2)*Table133456[[#This Row],[gammac]]*Table133456[[#This Row],[Volume]]</f>
        <v>0</v>
      </c>
      <c r="BD1123">
        <f>((Table133456[[#This Row],[High P]]+Table133456[[#This Row],[Low P]])/2)*Table133456[[#This Row],[gammap]]*Table133456[[#This Row],[Volume9]]*-1</f>
        <v>0</v>
      </c>
      <c r="BE1123">
        <f>(Table133456[[#This Row],[SgammaC]]+Table133456[[#This Row],[SgammaP]])*$A$4*-100</f>
        <v>0</v>
      </c>
      <c r="BF1123">
        <f>Table133456[[#This Row],[DEXc]]+Table133456[[#This Row],[DEXp]]</f>
        <v>0</v>
      </c>
      <c r="BG1123">
        <f>IFERROR(Table133456[[#This Row],[DeltaC]]*Table133456[[#This Row],[Open.Int]]*$A$4,0)</f>
        <v>0</v>
      </c>
      <c r="BH1123">
        <f>IFERROR(Table133456[[#This Row],[DeltaP]]*Table133456[[#This Row],[Open.Int8]]*$A$4,0)</f>
        <v>0</v>
      </c>
      <c r="BI112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3">
        <f ca="1">Table133456[[#This Row],[charmc]]+Table133456[[#This Row],[charmp]]</f>
        <v>0</v>
      </c>
      <c r="BL112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3" s="78">
        <f ca="1">Table133456[[#This Row],[call helper]]+Table133456[[#This Row],[put helper]]</f>
        <v>0</v>
      </c>
      <c r="BP1123" t="str">
        <f>RTD("tos.rtd", , "STRIKE", "."&amp;Table133456[[#This Row],[Ticker]]&amp;Table133456[[#This Row],[Expiry]]&amp;""&amp;"C"&amp;Table133456[[#This Row],[Spot]]+Table133456[[#This Row],[step]])</f>
        <v>N/A</v>
      </c>
    </row>
    <row r="1124" spans="1:68" ht="15.75" thickBot="1" x14ac:dyDescent="0.3">
      <c r="A1124" s="14">
        <f t="shared" ca="1" si="109"/>
        <v>-126.14810350076104</v>
      </c>
      <c r="C1124" s="17"/>
      <c r="D1124" t="str">
        <f>RTD("tos.rtd", , "OPEN_INT", "."&amp;Table133456[[#This Row],[Ticker]]&amp;Table133456[[#This Row],[Expiry]]&amp;""&amp;"C"&amp;Table133456[[#This Row],[Spot]]+Table133456[[#This Row],[step]])</f>
        <v>N/A</v>
      </c>
      <c r="E112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4" s="17" cm="1">
        <f t="array" aca="1" ref="H1124" ca="1">IndividualLegIVCore($A$4, Table133456[[#This Row],[Strike]], 0.0411, Table133456[[#This Row],[T]], ((Table133456[[#This Row],[BIDC]]+Table133456[[#This Row],[ASKC]])/2), TRUE)</f>
        <v>0.01</v>
      </c>
      <c r="I1124" t="b">
        <f>IF(     ISNUMBER(Table133456[[#This Row],[Strike]]),RTD("tos.rtd", , "BID", "."&amp;Table133456[[#This Row],[Ticker]]&amp;Table133456[[#This Row],[Expiry]]&amp;""&amp;"C"&amp;Table133456[[#This Row],[Strike]]))</f>
        <v>0</v>
      </c>
      <c r="J1124" t="b">
        <f>IF(     ISNUMBER(Table133456[[#This Row],[Strike]]),RTD("tos.rtd", , "ASK", "."&amp;Table133456[[#This Row],[Ticker]]&amp;Table133456[[#This Row],[Expiry]]&amp;""&amp;"C"&amp;Table133456[[#This Row],[Strike]]))</f>
        <v>0</v>
      </c>
      <c r="K1124" s="17"/>
      <c r="M1124" s="1">
        <f t="shared" si="110"/>
        <v>0</v>
      </c>
      <c r="N1124" t="b">
        <f t="shared" si="111"/>
        <v>0</v>
      </c>
      <c r="P1124" s="17" cm="1">
        <f t="array" aca="1" ref="P1124" ca="1">IndividualLegIVCore($A$4, Table133456[[#This Row],[Strike]], 0.0411, Table133456[[#This Row],[T]], ((Table133456[[#This Row],[BIDP]]+Table133456[[#This Row],[ASKP]])/2), FALSE)</f>
        <v>0.01</v>
      </c>
      <c r="Q1124" t="b">
        <f>IF(     ISNUMBER(Table133456[[#This Row],[Strike]]),RTD("tos.rtd", , "BID", "."&amp;Table133456[[#This Row],[Ticker]]&amp;Table133456[[#This Row],[Expiry]]&amp;""&amp;"P"&amp;Table133456[[#This Row],[Strike]]))</f>
        <v>0</v>
      </c>
      <c r="R1124" t="b">
        <f>IF(     ISNUMBER(Table133456[[#This Row],[Strike]]),RTD("tos.rtd", , "ASK", "."&amp;Table133456[[#This Row],[Ticker]]&amp;Table133456[[#This Row],[Expiry]]&amp;""&amp;"P"&amp;Table133456[[#This Row],[Strike]]))</f>
        <v>0</v>
      </c>
      <c r="S1124" s="17"/>
      <c r="T112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4" s="19">
        <f>-0.5* IF($M$1="NDX", 10, IF(OR($M$1="SPX", $M$1="RUT"), 2, 1))</f>
        <v>-1</v>
      </c>
      <c r="Z1124">
        <f ca="1">IFERROR(Table133456[[#This Row],[call gamma]]*(Table133456[[#This Row],[Open.Int]])*$A$4^2,0)</f>
        <v>0</v>
      </c>
      <c r="AA1124">
        <f ca="1">IFERROR(((Table133456[[#This Row],[Open.Int8]])*Table133456[[#This Row],[Put gamma]])*-1*$A$4^2,0)</f>
        <v>0</v>
      </c>
      <c r="AB1124">
        <f ca="1">(Table133456[[#This Row],[Call Gex]]+Table133456[[#This Row],[Put Gex]])</f>
        <v>0</v>
      </c>
      <c r="AC1124">
        <f ca="1">Table133456[[#This Row],[put delta adj]]+Table133456[[#This Row],[call delta adj]]</f>
        <v>0</v>
      </c>
      <c r="AD1124">
        <f ca="1">Table133456[[#This Row],[Put Gex]]*Table133456[[#This Row],[DeltaP]]*-1</f>
        <v>0</v>
      </c>
      <c r="AE1124">
        <f ca="1">Table133456[[#This Row],[Call Gex]]*Table133456[[#This Row],[DeltaC]]</f>
        <v>0</v>
      </c>
      <c r="AF1124">
        <f>IF(Table133456[[#This Row],[DeltaC]]-ABS(Table133456[[#This Row],[DeltaP]])="0","0.01",Table133456[[#This Row],[DeltaC]]-ABS(Table133456[[#This Row],[DeltaP]]))</f>
        <v>0</v>
      </c>
      <c r="AG112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4" t="e">
        <f ca="1">(EXP(-(AG1124^2)/2)/SQRT(2*PI())*EXP(0*SQRT(Table133456[[#This Row],[T]]))/$A$4*18%*SQRT(SQRT(Table133456[[#This Row],[T]])))</f>
        <v>#DIV/0!</v>
      </c>
      <c r="AJ1124" t="e">
        <f ca="1">(EXP(-(AH1124^2)/2)/SQRT(2*PI())*EXP(0*SQRT(Table133456[[#This Row],[T]]))/$A$4*18%*SQRT(SQRT(Table133456[[#This Row],[T]])))</f>
        <v>#DIV/0!</v>
      </c>
      <c r="AK1124" t="e">
        <f ca="1">Table133456[[#This Row],[Call D1]]-Table133456[[#This Row],[IV Calc C]]*SQRT(Table133456[[#This Row],[T]])</f>
        <v>#DIV/0!</v>
      </c>
      <c r="AL1124" t="e">
        <f ca="1">Table133456[[#This Row],[Put D1]]-Table133456[[#This Row],[IV Calc P]]*SQRT(Table133456[[#This Row],[T]])</f>
        <v>#DIV/0!</v>
      </c>
      <c r="AM1124" t="e">
        <f ca="1">EXP(-0.5*Table133456[[#This Row],[Call D1]]^2)/SQRT(2*PI())</f>
        <v>#DIV/0!</v>
      </c>
      <c r="AN1124" t="e">
        <f ca="1">EXP(-0.5*Table133456[[#This Row],[Put D1]]^2)/SQRT(2*PI())</f>
        <v>#DIV/0!</v>
      </c>
      <c r="AO112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4">
        <f ca="1">((Table133456[[#This Row],[call vanna]]+Table133456[[#This Row],[put vanna]])*$A$4)</f>
        <v>0</v>
      </c>
      <c r="AR112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4" s="9" t="str" cm="1">
        <f t="array" ref="AT1124">_xlfn.IFS(     $M$1="SPX","SPXW",     $M$1="RUT","RUTW",  $M$1="NDX","NDXP",   TRUE,$M$1 )</f>
        <v>SPXW</v>
      </c>
      <c r="AU1124" s="2">
        <f t="shared" si="112"/>
        <v>6915</v>
      </c>
      <c r="AV1124" t="str">
        <f t="shared" si="113"/>
        <v>000100</v>
      </c>
      <c r="AY112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4">
        <f>((Table133456[[#This Row],[High C]]+Table133456[[#This Row],[Low C]])/2)*Table133456[[#This Row],[gammac]]*Table133456[[#This Row],[Volume]]</f>
        <v>0</v>
      </c>
      <c r="BD1124">
        <f>((Table133456[[#This Row],[High P]]+Table133456[[#This Row],[Low P]])/2)*Table133456[[#This Row],[gammap]]*Table133456[[#This Row],[Volume9]]*-1</f>
        <v>0</v>
      </c>
      <c r="BE1124">
        <f>(Table133456[[#This Row],[SgammaC]]+Table133456[[#This Row],[SgammaP]])*$A$4*-100</f>
        <v>0</v>
      </c>
      <c r="BF1124">
        <f>Table133456[[#This Row],[DEXc]]+Table133456[[#This Row],[DEXp]]</f>
        <v>0</v>
      </c>
      <c r="BG1124">
        <f>IFERROR(Table133456[[#This Row],[DeltaC]]*Table133456[[#This Row],[Open.Int]]*$A$4,0)</f>
        <v>0</v>
      </c>
      <c r="BH1124">
        <f>IFERROR(Table133456[[#This Row],[DeltaP]]*Table133456[[#This Row],[Open.Int8]]*$A$4,0)</f>
        <v>0</v>
      </c>
      <c r="BI112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4">
        <f ca="1">Table133456[[#This Row],[charmc]]+Table133456[[#This Row],[charmp]]</f>
        <v>0</v>
      </c>
      <c r="BL112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4" s="78">
        <f ca="1">Table133456[[#This Row],[call helper]]+Table133456[[#This Row],[put helper]]</f>
        <v>0</v>
      </c>
      <c r="BP1124" t="str">
        <f>RTD("tos.rtd", , "STRIKE", "."&amp;Table133456[[#This Row],[Ticker]]&amp;Table133456[[#This Row],[Expiry]]&amp;""&amp;"C"&amp;Table133456[[#This Row],[Spot]]+Table133456[[#This Row],[step]])</f>
        <v>N/A</v>
      </c>
    </row>
    <row r="1125" spans="1:68" ht="15.75" thickBot="1" x14ac:dyDescent="0.3">
      <c r="A1125" s="14">
        <f t="shared" ca="1" si="109"/>
        <v>-126.14810350076104</v>
      </c>
      <c r="C1125" s="17"/>
      <c r="D1125" t="str">
        <f>RTD("tos.rtd", , "OPEN_INT", "."&amp;Table133456[[#This Row],[Ticker]]&amp;Table133456[[#This Row],[Expiry]]&amp;""&amp;"C"&amp;Table133456[[#This Row],[Spot]]+Table133456[[#This Row],[step]])</f>
        <v>N/A</v>
      </c>
      <c r="E11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5" s="17" cm="1">
        <f t="array" aca="1" ref="H1125" ca="1">IndividualLegIVCore($A$4, Table133456[[#This Row],[Strike]], 0.0411, Table133456[[#This Row],[T]], ((Table133456[[#This Row],[BIDC]]+Table133456[[#This Row],[ASKC]])/2), TRUE)</f>
        <v>0.01</v>
      </c>
      <c r="I1125" t="b">
        <f>IF(     ISNUMBER(Table133456[[#This Row],[Strike]]),RTD("tos.rtd", , "BID", "."&amp;Table133456[[#This Row],[Ticker]]&amp;Table133456[[#This Row],[Expiry]]&amp;""&amp;"C"&amp;Table133456[[#This Row],[Strike]]))</f>
        <v>0</v>
      </c>
      <c r="J1125" t="b">
        <f>IF(     ISNUMBER(Table133456[[#This Row],[Strike]]),RTD("tos.rtd", , "ASK", "."&amp;Table133456[[#This Row],[Ticker]]&amp;Table133456[[#This Row],[Expiry]]&amp;""&amp;"C"&amp;Table133456[[#This Row],[Strike]]))</f>
        <v>0</v>
      </c>
      <c r="K1125" s="17"/>
      <c r="M1125" s="1">
        <f t="shared" si="110"/>
        <v>0</v>
      </c>
      <c r="N1125" t="b">
        <f t="shared" si="111"/>
        <v>0</v>
      </c>
      <c r="P1125" s="17" cm="1">
        <f t="array" aca="1" ref="P1125" ca="1">IndividualLegIVCore($A$4, Table133456[[#This Row],[Strike]], 0.0411, Table133456[[#This Row],[T]], ((Table133456[[#This Row],[BIDP]]+Table133456[[#This Row],[ASKP]])/2), FALSE)</f>
        <v>0.01</v>
      </c>
      <c r="Q1125" t="b">
        <f>IF(     ISNUMBER(Table133456[[#This Row],[Strike]]),RTD("tos.rtd", , "BID", "."&amp;Table133456[[#This Row],[Ticker]]&amp;Table133456[[#This Row],[Expiry]]&amp;""&amp;"P"&amp;Table133456[[#This Row],[Strike]]))</f>
        <v>0</v>
      </c>
      <c r="R1125" t="b">
        <f>IF(     ISNUMBER(Table133456[[#This Row],[Strike]]),RTD("tos.rtd", , "ASK", "."&amp;Table133456[[#This Row],[Ticker]]&amp;Table133456[[#This Row],[Expiry]]&amp;""&amp;"P"&amp;Table133456[[#This Row],[Strike]]))</f>
        <v>0</v>
      </c>
      <c r="S1125" s="17"/>
      <c r="T11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5" s="55">
        <v>0</v>
      </c>
      <c r="Z1125">
        <f ca="1">IFERROR(Table133456[[#This Row],[call gamma]]*(Table133456[[#This Row],[Open.Int]])*$A$4^2,0)</f>
        <v>0</v>
      </c>
      <c r="AA1125">
        <f ca="1">IFERROR(((Table133456[[#This Row],[Open.Int8]])*Table133456[[#This Row],[Put gamma]])*-1*$A$4^2,0)</f>
        <v>0</v>
      </c>
      <c r="AB1125">
        <f ca="1">(Table133456[[#This Row],[Call Gex]]+Table133456[[#This Row],[Put Gex]])</f>
        <v>0</v>
      </c>
      <c r="AC1125">
        <f ca="1">Table133456[[#This Row],[put delta adj]]+Table133456[[#This Row],[call delta adj]]</f>
        <v>0</v>
      </c>
      <c r="AD1125">
        <f ca="1">Table133456[[#This Row],[Put Gex]]*Table133456[[#This Row],[DeltaP]]*-1</f>
        <v>0</v>
      </c>
      <c r="AE1125">
        <f ca="1">Table133456[[#This Row],[Call Gex]]*Table133456[[#This Row],[DeltaC]]</f>
        <v>0</v>
      </c>
      <c r="AF1125">
        <f>IF(Table133456[[#This Row],[DeltaC]]-ABS(Table133456[[#This Row],[DeltaP]])="0","0.01",Table133456[[#This Row],[DeltaC]]-ABS(Table133456[[#This Row],[DeltaP]]))</f>
        <v>0</v>
      </c>
      <c r="AG11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5" t="e">
        <f ca="1">(EXP(-(AG1125^2)/2)/SQRT(2*PI())*EXP(0*SQRT(Table133456[[#This Row],[T]]))/$A$4*18%*SQRT(SQRT(Table133456[[#This Row],[T]])))</f>
        <v>#DIV/0!</v>
      </c>
      <c r="AJ1125" t="e">
        <f ca="1">(EXP(-(AH1125^2)/2)/SQRT(2*PI())*EXP(0*SQRT(Table133456[[#This Row],[T]]))/$A$4*18%*SQRT(SQRT(Table133456[[#This Row],[T]])))</f>
        <v>#DIV/0!</v>
      </c>
      <c r="AK1125" t="e">
        <f ca="1">Table133456[[#This Row],[Call D1]]-Table133456[[#This Row],[IV Calc C]]*SQRT(Table133456[[#This Row],[T]])</f>
        <v>#DIV/0!</v>
      </c>
      <c r="AL1125" t="e">
        <f ca="1">Table133456[[#This Row],[Put D1]]-Table133456[[#This Row],[IV Calc P]]*SQRT(Table133456[[#This Row],[T]])</f>
        <v>#DIV/0!</v>
      </c>
      <c r="AM1125" t="e">
        <f ca="1">EXP(-0.5*Table133456[[#This Row],[Call D1]]^2)/SQRT(2*PI())</f>
        <v>#DIV/0!</v>
      </c>
      <c r="AN1125" t="e">
        <f ca="1">EXP(-0.5*Table133456[[#This Row],[Put D1]]^2)/SQRT(2*PI())</f>
        <v>#DIV/0!</v>
      </c>
      <c r="AO11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5">
        <f ca="1">((Table133456[[#This Row],[call vanna]]+Table133456[[#This Row],[put vanna]])*$A$4)</f>
        <v>0</v>
      </c>
      <c r="AR11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5" s="9" t="str" cm="1">
        <f t="array" ref="AT1125">_xlfn.IFS(     $M$1="SPX","SPXW",     $M$1="RUT","RUTW",  $M$1="NDX","NDXP",   TRUE,$M$1 )</f>
        <v>SPXW</v>
      </c>
      <c r="AU1125" s="2">
        <f t="shared" si="112"/>
        <v>6915</v>
      </c>
      <c r="AV1125" t="str">
        <f t="shared" si="113"/>
        <v>000100</v>
      </c>
      <c r="AY11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5">
        <f>((Table133456[[#This Row],[High C]]+Table133456[[#This Row],[Low C]])/2)*Table133456[[#This Row],[gammac]]*Table133456[[#This Row],[Volume]]</f>
        <v>0</v>
      </c>
      <c r="BD1125">
        <f>((Table133456[[#This Row],[High P]]+Table133456[[#This Row],[Low P]])/2)*Table133456[[#This Row],[gammap]]*Table133456[[#This Row],[Volume9]]*-1</f>
        <v>0</v>
      </c>
      <c r="BE1125">
        <f>(Table133456[[#This Row],[SgammaC]]+Table133456[[#This Row],[SgammaP]])*$A$4*-100</f>
        <v>0</v>
      </c>
      <c r="BF1125">
        <f>Table133456[[#This Row],[DEXc]]+Table133456[[#This Row],[DEXp]]</f>
        <v>0</v>
      </c>
      <c r="BG1125">
        <f>IFERROR(Table133456[[#This Row],[DeltaC]]*Table133456[[#This Row],[Open.Int]]*$A$4,0)</f>
        <v>0</v>
      </c>
      <c r="BH1125">
        <f>IFERROR(Table133456[[#This Row],[DeltaP]]*Table133456[[#This Row],[Open.Int8]]*$A$4,0)</f>
        <v>0</v>
      </c>
      <c r="BI112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5">
        <f ca="1">Table133456[[#This Row],[charmc]]+Table133456[[#This Row],[charmp]]</f>
        <v>0</v>
      </c>
      <c r="BL112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5" s="78">
        <f ca="1">Table133456[[#This Row],[call helper]]+Table133456[[#This Row],[put helper]]</f>
        <v>0</v>
      </c>
      <c r="BP1125" t="str">
        <f>RTD("tos.rtd", , "STRIKE", "."&amp;Table133456[[#This Row],[Ticker]]&amp;Table133456[[#This Row],[Expiry]]&amp;""&amp;"C"&amp;Table133456[[#This Row],[Spot]]+Table133456[[#This Row],[step]])</f>
        <v>N/A</v>
      </c>
    </row>
    <row r="1126" spans="1:68" x14ac:dyDescent="0.25">
      <c r="A1126" s="14">
        <f t="shared" ca="1" si="109"/>
        <v>-126.14810350076104</v>
      </c>
      <c r="C1126" s="17"/>
      <c r="D1126" t="str">
        <f>RTD("tos.rtd", , "OPEN_INT", "."&amp;Table133456[[#This Row],[Ticker]]&amp;Table133456[[#This Row],[Expiry]]&amp;""&amp;"C"&amp;Table133456[[#This Row],[Spot]]+Table133456[[#This Row],[step]])</f>
        <v>N/A</v>
      </c>
      <c r="E112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6" s="17" cm="1">
        <f t="array" aca="1" ref="H1126" ca="1">IndividualLegIVCore($A$4, Table133456[[#This Row],[Strike]], 0.0411, Table133456[[#This Row],[T]], ((Table133456[[#This Row],[BIDC]]+Table133456[[#This Row],[ASKC]])/2), TRUE)</f>
        <v>0.01</v>
      </c>
      <c r="I1126" t="b">
        <f>IF(     ISNUMBER(Table133456[[#This Row],[Strike]]),RTD("tos.rtd", , "BID", "."&amp;Table133456[[#This Row],[Ticker]]&amp;Table133456[[#This Row],[Expiry]]&amp;""&amp;"C"&amp;Table133456[[#This Row],[Strike]]))</f>
        <v>0</v>
      </c>
      <c r="J1126" t="b">
        <f>IF(     ISNUMBER(Table133456[[#This Row],[Strike]]),RTD("tos.rtd", , "ASK", "."&amp;Table133456[[#This Row],[Ticker]]&amp;Table133456[[#This Row],[Expiry]]&amp;""&amp;"C"&amp;Table133456[[#This Row],[Strike]]))</f>
        <v>0</v>
      </c>
      <c r="K1126" s="17"/>
      <c r="M1126" s="1">
        <f t="shared" si="110"/>
        <v>0</v>
      </c>
      <c r="N1126" t="b">
        <f t="shared" si="111"/>
        <v>0</v>
      </c>
      <c r="P1126" s="17" cm="1">
        <f t="array" aca="1" ref="P1126" ca="1">IndividualLegIVCore($A$4, Table133456[[#This Row],[Strike]], 0.0411, Table133456[[#This Row],[T]], ((Table133456[[#This Row],[BIDP]]+Table133456[[#This Row],[ASKP]])/2), FALSE)</f>
        <v>0.01</v>
      </c>
      <c r="Q1126" t="b">
        <f>IF(     ISNUMBER(Table133456[[#This Row],[Strike]]),RTD("tos.rtd", , "BID", "."&amp;Table133456[[#This Row],[Ticker]]&amp;Table133456[[#This Row],[Expiry]]&amp;""&amp;"P"&amp;Table133456[[#This Row],[Strike]]))</f>
        <v>0</v>
      </c>
      <c r="R1126" t="b">
        <f>IF(     ISNUMBER(Table133456[[#This Row],[Strike]]),RTD("tos.rtd", , "ASK", "."&amp;Table133456[[#This Row],[Ticker]]&amp;Table133456[[#This Row],[Expiry]]&amp;""&amp;"P"&amp;Table133456[[#This Row],[Strike]]))</f>
        <v>0</v>
      </c>
      <c r="S1126" s="17"/>
      <c r="T112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6">
        <f>0.5* IF($M$1="NDX", 10, IF(OR($M$1="SPX", $M$1="RUT"), 2, 1))</f>
        <v>1</v>
      </c>
      <c r="Z1126">
        <f ca="1">IFERROR(Table133456[[#This Row],[call gamma]]*(Table133456[[#This Row],[Open.Int]])*$A$4^2,0)</f>
        <v>0</v>
      </c>
      <c r="AA1126">
        <f ca="1">IFERROR(((Table133456[[#This Row],[Open.Int8]])*Table133456[[#This Row],[Put gamma]])*-1*$A$4^2,0)</f>
        <v>0</v>
      </c>
      <c r="AB1126">
        <f ca="1">(Table133456[[#This Row],[Call Gex]]+Table133456[[#This Row],[Put Gex]])</f>
        <v>0</v>
      </c>
      <c r="AC1126">
        <f ca="1">Table133456[[#This Row],[put delta adj]]+Table133456[[#This Row],[call delta adj]]</f>
        <v>0</v>
      </c>
      <c r="AD1126">
        <f ca="1">Table133456[[#This Row],[Put Gex]]*Table133456[[#This Row],[DeltaP]]*-1</f>
        <v>0</v>
      </c>
      <c r="AE1126">
        <f ca="1">Table133456[[#This Row],[Call Gex]]*Table133456[[#This Row],[DeltaC]]</f>
        <v>0</v>
      </c>
      <c r="AF1126">
        <f>IF(Table133456[[#This Row],[DeltaC]]-ABS(Table133456[[#This Row],[DeltaP]])="0","0.01",Table133456[[#This Row],[DeltaC]]-ABS(Table133456[[#This Row],[DeltaP]]))</f>
        <v>0</v>
      </c>
      <c r="AG112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6" t="e">
        <f ca="1">(EXP(-(AG1126^2)/2)/SQRT(2*PI())*EXP(0*SQRT(Table133456[[#This Row],[T]]))/$A$4*18%*SQRT(SQRT(Table133456[[#This Row],[T]])))</f>
        <v>#DIV/0!</v>
      </c>
      <c r="AJ1126" t="e">
        <f ca="1">(EXP(-(AH1126^2)/2)/SQRT(2*PI())*EXP(0*SQRT(Table133456[[#This Row],[T]]))/$A$4*18%*SQRT(SQRT(Table133456[[#This Row],[T]])))</f>
        <v>#DIV/0!</v>
      </c>
      <c r="AK1126" t="e">
        <f ca="1">Table133456[[#This Row],[Call D1]]-Table133456[[#This Row],[IV Calc C]]*SQRT(Table133456[[#This Row],[T]])</f>
        <v>#DIV/0!</v>
      </c>
      <c r="AL1126" t="e">
        <f ca="1">Table133456[[#This Row],[Put D1]]-Table133456[[#This Row],[IV Calc P]]*SQRT(Table133456[[#This Row],[T]])</f>
        <v>#DIV/0!</v>
      </c>
      <c r="AM1126" t="e">
        <f ca="1">EXP(-0.5*Table133456[[#This Row],[Call D1]]^2)/SQRT(2*PI())</f>
        <v>#DIV/0!</v>
      </c>
      <c r="AN1126" t="e">
        <f ca="1">EXP(-0.5*Table133456[[#This Row],[Put D1]]^2)/SQRT(2*PI())</f>
        <v>#DIV/0!</v>
      </c>
      <c r="AO112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6">
        <f ca="1">((Table133456[[#This Row],[call vanna]]+Table133456[[#This Row],[put vanna]])*$A$4)</f>
        <v>0</v>
      </c>
      <c r="AR112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6" s="9" t="str" cm="1">
        <f t="array" ref="AT1126">_xlfn.IFS(     $M$1="SPX","SPXW",     $M$1="RUT","RUTW",  $M$1="NDX","NDXP",   TRUE,$M$1 )</f>
        <v>SPXW</v>
      </c>
      <c r="AU1126" s="2">
        <f t="shared" si="112"/>
        <v>6915</v>
      </c>
      <c r="AV1126" t="str">
        <f t="shared" si="113"/>
        <v>000100</v>
      </c>
      <c r="AY112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6">
        <f>((Table133456[[#This Row],[High C]]+Table133456[[#This Row],[Low C]])/2)*Table133456[[#This Row],[gammac]]*Table133456[[#This Row],[Volume]]</f>
        <v>0</v>
      </c>
      <c r="BD1126">
        <f>((Table133456[[#This Row],[High P]]+Table133456[[#This Row],[Low P]])/2)*Table133456[[#This Row],[gammap]]*Table133456[[#This Row],[Volume9]]*-1</f>
        <v>0</v>
      </c>
      <c r="BE1126">
        <f>(Table133456[[#This Row],[SgammaC]]+Table133456[[#This Row],[SgammaP]])*$A$4*-100</f>
        <v>0</v>
      </c>
      <c r="BF1126">
        <f>Table133456[[#This Row],[DEXc]]+Table133456[[#This Row],[DEXp]]</f>
        <v>0</v>
      </c>
      <c r="BG1126">
        <f>IFERROR(Table133456[[#This Row],[DeltaC]]*Table133456[[#This Row],[Open.Int]]*$A$4,0)</f>
        <v>0</v>
      </c>
      <c r="BH1126">
        <f>IFERROR(Table133456[[#This Row],[DeltaP]]*Table133456[[#This Row],[Open.Int8]]*$A$4,0)</f>
        <v>0</v>
      </c>
      <c r="BI112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6">
        <f ca="1">Table133456[[#This Row],[charmc]]+Table133456[[#This Row],[charmp]]</f>
        <v>0</v>
      </c>
      <c r="BL112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6" s="78">
        <f ca="1">Table133456[[#This Row],[call helper]]+Table133456[[#This Row],[put helper]]</f>
        <v>0</v>
      </c>
      <c r="BP1126" t="str">
        <f>RTD("tos.rtd", , "STRIKE", "."&amp;Table133456[[#This Row],[Ticker]]&amp;Table133456[[#This Row],[Expiry]]&amp;""&amp;"C"&amp;Table133456[[#This Row],[Spot]]+Table133456[[#This Row],[step]])</f>
        <v>N/A</v>
      </c>
    </row>
    <row r="1127" spans="1:68" x14ac:dyDescent="0.25">
      <c r="A1127" s="14">
        <f t="shared" ca="1" si="109"/>
        <v>-126.14810350076104</v>
      </c>
      <c r="C1127" s="17"/>
      <c r="D1127" t="str">
        <f>RTD("tos.rtd", , "OPEN_INT", "."&amp;Table133456[[#This Row],[Ticker]]&amp;Table133456[[#This Row],[Expiry]]&amp;""&amp;"C"&amp;Table133456[[#This Row],[Spot]]+Table133456[[#This Row],[step]])</f>
        <v>N/A</v>
      </c>
      <c r="E112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7" s="17" cm="1">
        <f t="array" aca="1" ref="H1127" ca="1">IndividualLegIVCore($A$4, Table133456[[#This Row],[Strike]], 0.0411, Table133456[[#This Row],[T]], ((Table133456[[#This Row],[BIDC]]+Table133456[[#This Row],[ASKC]])/2), TRUE)</f>
        <v>0.01</v>
      </c>
      <c r="I1127" t="b">
        <f>IF(     ISNUMBER(Table133456[[#This Row],[Strike]]),RTD("tos.rtd", , "BID", "."&amp;Table133456[[#This Row],[Ticker]]&amp;Table133456[[#This Row],[Expiry]]&amp;""&amp;"C"&amp;Table133456[[#This Row],[Strike]]))</f>
        <v>0</v>
      </c>
      <c r="J1127" t="b">
        <f>IF(     ISNUMBER(Table133456[[#This Row],[Strike]]),RTD("tos.rtd", , "ASK", "."&amp;Table133456[[#This Row],[Ticker]]&amp;Table133456[[#This Row],[Expiry]]&amp;""&amp;"C"&amp;Table133456[[#This Row],[Strike]]))</f>
        <v>0</v>
      </c>
      <c r="K1127" s="17"/>
      <c r="M1127" s="1">
        <f t="shared" si="110"/>
        <v>0</v>
      </c>
      <c r="N1127" t="b">
        <f t="shared" si="111"/>
        <v>0</v>
      </c>
      <c r="P1127" s="17" cm="1">
        <f t="array" aca="1" ref="P1127" ca="1">IndividualLegIVCore($A$4, Table133456[[#This Row],[Strike]], 0.0411, Table133456[[#This Row],[T]], ((Table133456[[#This Row],[BIDP]]+Table133456[[#This Row],[ASKP]])/2), FALSE)</f>
        <v>0.01</v>
      </c>
      <c r="Q1127" t="b">
        <f>IF(     ISNUMBER(Table133456[[#This Row],[Strike]]),RTD("tos.rtd", , "BID", "."&amp;Table133456[[#This Row],[Ticker]]&amp;Table133456[[#This Row],[Expiry]]&amp;""&amp;"P"&amp;Table133456[[#This Row],[Strike]]))</f>
        <v>0</v>
      </c>
      <c r="R1127" t="b">
        <f>IF(     ISNUMBER(Table133456[[#This Row],[Strike]]),RTD("tos.rtd", , "ASK", "."&amp;Table133456[[#This Row],[Ticker]]&amp;Table133456[[#This Row],[Expiry]]&amp;""&amp;"P"&amp;Table133456[[#This Row],[Strike]]))</f>
        <v>0</v>
      </c>
      <c r="S1127" s="17"/>
      <c r="T112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7" s="19">
        <f>1* IF($M$1="NDX", 10, IF(OR($M$1="SPX", $M$1="RUT"), 2, 1))</f>
        <v>2</v>
      </c>
      <c r="Z1127">
        <f ca="1">IFERROR(Table133456[[#This Row],[call gamma]]*(Table133456[[#This Row],[Open.Int]])*$A$4^2,0)</f>
        <v>0</v>
      </c>
      <c r="AA1127">
        <f ca="1">IFERROR(((Table133456[[#This Row],[Open.Int8]])*Table133456[[#This Row],[Put gamma]])*-1*$A$4^2,0)</f>
        <v>0</v>
      </c>
      <c r="AB1127">
        <f ca="1">(Table133456[[#This Row],[Call Gex]]+Table133456[[#This Row],[Put Gex]])</f>
        <v>0</v>
      </c>
      <c r="AC1127">
        <f ca="1">Table133456[[#This Row],[put delta adj]]+Table133456[[#This Row],[call delta adj]]</f>
        <v>0</v>
      </c>
      <c r="AD1127">
        <f ca="1">Table133456[[#This Row],[Put Gex]]*Table133456[[#This Row],[DeltaP]]*-1</f>
        <v>0</v>
      </c>
      <c r="AE1127">
        <f ca="1">Table133456[[#This Row],[Call Gex]]*Table133456[[#This Row],[DeltaC]]</f>
        <v>0</v>
      </c>
      <c r="AF1127">
        <f>IF(Table133456[[#This Row],[DeltaC]]-ABS(Table133456[[#This Row],[DeltaP]])="0","0.01",Table133456[[#This Row],[DeltaC]]-ABS(Table133456[[#This Row],[DeltaP]]))</f>
        <v>0</v>
      </c>
      <c r="AG112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7" t="e">
        <f ca="1">(EXP(-(AG1127^2)/2)/SQRT(2*PI())*EXP(0*SQRT(Table133456[[#This Row],[T]]))/$A$4*18%*SQRT(SQRT(Table133456[[#This Row],[T]])))</f>
        <v>#DIV/0!</v>
      </c>
      <c r="AJ1127" t="e">
        <f ca="1">(EXP(-(AH1127^2)/2)/SQRT(2*PI())*EXP(0*SQRT(Table133456[[#This Row],[T]]))/$A$4*18%*SQRT(SQRT(Table133456[[#This Row],[T]])))</f>
        <v>#DIV/0!</v>
      </c>
      <c r="AK1127" t="e">
        <f ca="1">Table133456[[#This Row],[Call D1]]-Table133456[[#This Row],[IV Calc C]]*SQRT(Table133456[[#This Row],[T]])</f>
        <v>#DIV/0!</v>
      </c>
      <c r="AL1127" t="e">
        <f ca="1">Table133456[[#This Row],[Put D1]]-Table133456[[#This Row],[IV Calc P]]*SQRT(Table133456[[#This Row],[T]])</f>
        <v>#DIV/0!</v>
      </c>
      <c r="AM1127" t="e">
        <f ca="1">EXP(-0.5*Table133456[[#This Row],[Call D1]]^2)/SQRT(2*PI())</f>
        <v>#DIV/0!</v>
      </c>
      <c r="AN1127" t="e">
        <f ca="1">EXP(-0.5*Table133456[[#This Row],[Put D1]]^2)/SQRT(2*PI())</f>
        <v>#DIV/0!</v>
      </c>
      <c r="AO112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7">
        <f ca="1">((Table133456[[#This Row],[call vanna]]+Table133456[[#This Row],[put vanna]])*$A$4)</f>
        <v>0</v>
      </c>
      <c r="AR112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7" s="9" t="str" cm="1">
        <f t="array" ref="AT1127">_xlfn.IFS(     $M$1="SPX","SPXW",     $M$1="RUT","RUTW",  $M$1="NDX","NDXP",   TRUE,$M$1 )</f>
        <v>SPXW</v>
      </c>
      <c r="AU1127" s="2">
        <f t="shared" si="112"/>
        <v>6915</v>
      </c>
      <c r="AV1127" t="str">
        <f t="shared" si="113"/>
        <v>000100</v>
      </c>
      <c r="AY112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7">
        <f>((Table133456[[#This Row],[High C]]+Table133456[[#This Row],[Low C]])/2)*Table133456[[#This Row],[gammac]]*Table133456[[#This Row],[Volume]]</f>
        <v>0</v>
      </c>
      <c r="BD1127">
        <f>((Table133456[[#This Row],[High P]]+Table133456[[#This Row],[Low P]])/2)*Table133456[[#This Row],[gammap]]*Table133456[[#This Row],[Volume9]]*-1</f>
        <v>0</v>
      </c>
      <c r="BE1127">
        <f>(Table133456[[#This Row],[SgammaC]]+Table133456[[#This Row],[SgammaP]])*$A$4*-100</f>
        <v>0</v>
      </c>
      <c r="BF1127">
        <f>Table133456[[#This Row],[DEXc]]+Table133456[[#This Row],[DEXp]]</f>
        <v>0</v>
      </c>
      <c r="BG1127">
        <f>IFERROR(Table133456[[#This Row],[DeltaC]]*Table133456[[#This Row],[Open.Int]]*$A$4,0)</f>
        <v>0</v>
      </c>
      <c r="BH1127">
        <f>IFERROR(Table133456[[#This Row],[DeltaP]]*Table133456[[#This Row],[Open.Int8]]*$A$4,0)</f>
        <v>0</v>
      </c>
      <c r="BI112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7">
        <f ca="1">Table133456[[#This Row],[charmc]]+Table133456[[#This Row],[charmp]]</f>
        <v>0</v>
      </c>
      <c r="BL112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7" s="78">
        <f ca="1">Table133456[[#This Row],[call helper]]+Table133456[[#This Row],[put helper]]</f>
        <v>0</v>
      </c>
      <c r="BP1127" t="str">
        <f>RTD("tos.rtd", , "STRIKE", "."&amp;Table133456[[#This Row],[Ticker]]&amp;Table133456[[#This Row],[Expiry]]&amp;""&amp;"C"&amp;Table133456[[#This Row],[Spot]]+Table133456[[#This Row],[step]])</f>
        <v>N/A</v>
      </c>
    </row>
    <row r="1128" spans="1:68" x14ac:dyDescent="0.25">
      <c r="A1128" s="14">
        <f t="shared" ca="1" si="109"/>
        <v>-126.14810350076104</v>
      </c>
      <c r="C1128" s="17"/>
      <c r="D1128" t="str">
        <f>RTD("tos.rtd", , "OPEN_INT", "."&amp;Table133456[[#This Row],[Ticker]]&amp;Table133456[[#This Row],[Expiry]]&amp;""&amp;"C"&amp;Table133456[[#This Row],[Spot]]+Table133456[[#This Row],[step]])</f>
        <v>N/A</v>
      </c>
      <c r="E112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8" s="17" cm="1">
        <f t="array" aca="1" ref="H1128" ca="1">IndividualLegIVCore($A$4, Table133456[[#This Row],[Strike]], 0.0411, Table133456[[#This Row],[T]], ((Table133456[[#This Row],[BIDC]]+Table133456[[#This Row],[ASKC]])/2), TRUE)</f>
        <v>0.01</v>
      </c>
      <c r="I1128" t="b">
        <f>IF(     ISNUMBER(Table133456[[#This Row],[Strike]]),RTD("tos.rtd", , "BID", "."&amp;Table133456[[#This Row],[Ticker]]&amp;Table133456[[#This Row],[Expiry]]&amp;""&amp;"C"&amp;Table133456[[#This Row],[Strike]]))</f>
        <v>0</v>
      </c>
      <c r="J1128" t="b">
        <f>IF(     ISNUMBER(Table133456[[#This Row],[Strike]]),RTD("tos.rtd", , "ASK", "."&amp;Table133456[[#This Row],[Ticker]]&amp;Table133456[[#This Row],[Expiry]]&amp;""&amp;"C"&amp;Table133456[[#This Row],[Strike]]))</f>
        <v>0</v>
      </c>
      <c r="K1128" s="17"/>
      <c r="M1128" s="1">
        <f t="shared" si="110"/>
        <v>0</v>
      </c>
      <c r="N1128" t="b">
        <f t="shared" si="111"/>
        <v>0</v>
      </c>
      <c r="P1128" s="17" cm="1">
        <f t="array" aca="1" ref="P1128" ca="1">IndividualLegIVCore($A$4, Table133456[[#This Row],[Strike]], 0.0411, Table133456[[#This Row],[T]], ((Table133456[[#This Row],[BIDP]]+Table133456[[#This Row],[ASKP]])/2), FALSE)</f>
        <v>0.01</v>
      </c>
      <c r="Q1128" t="b">
        <f>IF(     ISNUMBER(Table133456[[#This Row],[Strike]]),RTD("tos.rtd", , "BID", "."&amp;Table133456[[#This Row],[Ticker]]&amp;Table133456[[#This Row],[Expiry]]&amp;""&amp;"P"&amp;Table133456[[#This Row],[Strike]]))</f>
        <v>0</v>
      </c>
      <c r="R1128" t="b">
        <f>IF(     ISNUMBER(Table133456[[#This Row],[Strike]]),RTD("tos.rtd", , "ASK", "."&amp;Table133456[[#This Row],[Ticker]]&amp;Table133456[[#This Row],[Expiry]]&amp;""&amp;"P"&amp;Table133456[[#This Row],[Strike]]))</f>
        <v>0</v>
      </c>
      <c r="S1128" s="17"/>
      <c r="T112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8" s="19">
        <f>1.5* IF($M$1="NDX", 10, IF(OR($M$1="SPX", $M$1="RUT"), 2, 1))</f>
        <v>3</v>
      </c>
      <c r="Z1128">
        <f ca="1">IFERROR(Table133456[[#This Row],[call gamma]]*(Table133456[[#This Row],[Open.Int]])*$A$4^2,0)</f>
        <v>0</v>
      </c>
      <c r="AA1128">
        <f ca="1">IFERROR(((Table133456[[#This Row],[Open.Int8]])*Table133456[[#This Row],[Put gamma]])*-1*$A$4^2,0)</f>
        <v>0</v>
      </c>
      <c r="AB1128">
        <f ca="1">(Table133456[[#This Row],[Call Gex]]+Table133456[[#This Row],[Put Gex]])</f>
        <v>0</v>
      </c>
      <c r="AC1128">
        <f ca="1">Table133456[[#This Row],[put delta adj]]+Table133456[[#This Row],[call delta adj]]</f>
        <v>0</v>
      </c>
      <c r="AD1128">
        <f ca="1">Table133456[[#This Row],[Put Gex]]*Table133456[[#This Row],[DeltaP]]*-1</f>
        <v>0</v>
      </c>
      <c r="AE1128">
        <f ca="1">Table133456[[#This Row],[Call Gex]]*Table133456[[#This Row],[DeltaC]]</f>
        <v>0</v>
      </c>
      <c r="AF1128">
        <f>IF(Table133456[[#This Row],[DeltaC]]-ABS(Table133456[[#This Row],[DeltaP]])="0","0.01",Table133456[[#This Row],[DeltaC]]-ABS(Table133456[[#This Row],[DeltaP]]))</f>
        <v>0</v>
      </c>
      <c r="AG112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8" t="e">
        <f ca="1">(EXP(-(AG1128^2)/2)/SQRT(2*PI())*EXP(0*SQRT(Table133456[[#This Row],[T]]))/$A$4*18%*SQRT(SQRT(Table133456[[#This Row],[T]])))</f>
        <v>#DIV/0!</v>
      </c>
      <c r="AJ1128" t="e">
        <f ca="1">(EXP(-(AH1128^2)/2)/SQRT(2*PI())*EXP(0*SQRT(Table133456[[#This Row],[T]]))/$A$4*18%*SQRT(SQRT(Table133456[[#This Row],[T]])))</f>
        <v>#DIV/0!</v>
      </c>
      <c r="AK1128" t="e">
        <f ca="1">Table133456[[#This Row],[Call D1]]-Table133456[[#This Row],[IV Calc C]]*SQRT(Table133456[[#This Row],[T]])</f>
        <v>#DIV/0!</v>
      </c>
      <c r="AL1128" t="e">
        <f ca="1">Table133456[[#This Row],[Put D1]]-Table133456[[#This Row],[IV Calc P]]*SQRT(Table133456[[#This Row],[T]])</f>
        <v>#DIV/0!</v>
      </c>
      <c r="AM1128" t="e">
        <f ca="1">EXP(-0.5*Table133456[[#This Row],[Call D1]]^2)/SQRT(2*PI())</f>
        <v>#DIV/0!</v>
      </c>
      <c r="AN1128" t="e">
        <f ca="1">EXP(-0.5*Table133456[[#This Row],[Put D1]]^2)/SQRT(2*PI())</f>
        <v>#DIV/0!</v>
      </c>
      <c r="AO112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8">
        <f ca="1">((Table133456[[#This Row],[call vanna]]+Table133456[[#This Row],[put vanna]])*$A$4)</f>
        <v>0</v>
      </c>
      <c r="AR112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8" s="9" t="str" cm="1">
        <f t="array" ref="AT1128">_xlfn.IFS(     $M$1="SPX","SPXW",     $M$1="RUT","RUTW",  $M$1="NDX","NDXP",   TRUE,$M$1 )</f>
        <v>SPXW</v>
      </c>
      <c r="AU1128" s="2">
        <f t="shared" si="112"/>
        <v>6915</v>
      </c>
      <c r="AV1128" t="str">
        <f t="shared" si="113"/>
        <v>000100</v>
      </c>
      <c r="AY112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8">
        <f>((Table133456[[#This Row],[High C]]+Table133456[[#This Row],[Low C]])/2)*Table133456[[#This Row],[gammac]]*Table133456[[#This Row],[Volume]]</f>
        <v>0</v>
      </c>
      <c r="BD1128">
        <f>((Table133456[[#This Row],[High P]]+Table133456[[#This Row],[Low P]])/2)*Table133456[[#This Row],[gammap]]*Table133456[[#This Row],[Volume9]]*-1</f>
        <v>0</v>
      </c>
      <c r="BE1128">
        <f>(Table133456[[#This Row],[SgammaC]]+Table133456[[#This Row],[SgammaP]])*$A$4*-100</f>
        <v>0</v>
      </c>
      <c r="BF1128">
        <f>Table133456[[#This Row],[DEXc]]+Table133456[[#This Row],[DEXp]]</f>
        <v>0</v>
      </c>
      <c r="BG1128">
        <f>IFERROR(Table133456[[#This Row],[DeltaC]]*Table133456[[#This Row],[Open.Int]]*$A$4,0)</f>
        <v>0</v>
      </c>
      <c r="BH1128">
        <f>IFERROR(Table133456[[#This Row],[DeltaP]]*Table133456[[#This Row],[Open.Int8]]*$A$4,0)</f>
        <v>0</v>
      </c>
      <c r="BI112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8">
        <f ca="1">Table133456[[#This Row],[charmc]]+Table133456[[#This Row],[charmp]]</f>
        <v>0</v>
      </c>
      <c r="BL112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8" s="78">
        <f ca="1">Table133456[[#This Row],[call helper]]+Table133456[[#This Row],[put helper]]</f>
        <v>0</v>
      </c>
      <c r="BP1128" t="str">
        <f>RTD("tos.rtd", , "STRIKE", "."&amp;Table133456[[#This Row],[Ticker]]&amp;Table133456[[#This Row],[Expiry]]&amp;""&amp;"C"&amp;Table133456[[#This Row],[Spot]]+Table133456[[#This Row],[step]])</f>
        <v>N/A</v>
      </c>
    </row>
    <row r="1129" spans="1:68" x14ac:dyDescent="0.25">
      <c r="A1129" s="14">
        <f t="shared" ca="1" si="109"/>
        <v>-126.14810350076104</v>
      </c>
      <c r="C1129" s="17"/>
      <c r="D1129" t="str">
        <f>RTD("tos.rtd", , "OPEN_INT", "."&amp;Table133456[[#This Row],[Ticker]]&amp;Table133456[[#This Row],[Expiry]]&amp;""&amp;"C"&amp;Table133456[[#This Row],[Spot]]+Table133456[[#This Row],[step]])</f>
        <v>N/A</v>
      </c>
      <c r="E112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9" s="17" cm="1">
        <f t="array" aca="1" ref="H1129" ca="1">IndividualLegIVCore($A$4, Table133456[[#This Row],[Strike]], 0.0411, Table133456[[#This Row],[T]], ((Table133456[[#This Row],[BIDC]]+Table133456[[#This Row],[ASKC]])/2), TRUE)</f>
        <v>0.01</v>
      </c>
      <c r="I1129" t="b">
        <f>IF(     ISNUMBER(Table133456[[#This Row],[Strike]]),RTD("tos.rtd", , "BID", "."&amp;Table133456[[#This Row],[Ticker]]&amp;Table133456[[#This Row],[Expiry]]&amp;""&amp;"C"&amp;Table133456[[#This Row],[Strike]]))</f>
        <v>0</v>
      </c>
      <c r="J1129" t="b">
        <f>IF(     ISNUMBER(Table133456[[#This Row],[Strike]]),RTD("tos.rtd", , "ASK", "."&amp;Table133456[[#This Row],[Ticker]]&amp;Table133456[[#This Row],[Expiry]]&amp;""&amp;"C"&amp;Table133456[[#This Row],[Strike]]))</f>
        <v>0</v>
      </c>
      <c r="K1129" s="17"/>
      <c r="M1129" s="1">
        <f t="shared" si="110"/>
        <v>0</v>
      </c>
      <c r="N1129" t="b">
        <f t="shared" si="111"/>
        <v>0</v>
      </c>
      <c r="P1129" s="17" cm="1">
        <f t="array" aca="1" ref="P1129" ca="1">IndividualLegIVCore($A$4, Table133456[[#This Row],[Strike]], 0.0411, Table133456[[#This Row],[T]], ((Table133456[[#This Row],[BIDP]]+Table133456[[#This Row],[ASKP]])/2), FALSE)</f>
        <v>0.01</v>
      </c>
      <c r="Q1129" t="b">
        <f>IF(     ISNUMBER(Table133456[[#This Row],[Strike]]),RTD("tos.rtd", , "BID", "."&amp;Table133456[[#This Row],[Ticker]]&amp;Table133456[[#This Row],[Expiry]]&amp;""&amp;"P"&amp;Table133456[[#This Row],[Strike]]))</f>
        <v>0</v>
      </c>
      <c r="R1129" t="b">
        <f>IF(     ISNUMBER(Table133456[[#This Row],[Strike]]),RTD("tos.rtd", , "ASK", "."&amp;Table133456[[#This Row],[Ticker]]&amp;Table133456[[#This Row],[Expiry]]&amp;""&amp;"P"&amp;Table133456[[#This Row],[Strike]]))</f>
        <v>0</v>
      </c>
      <c r="S1129" s="17"/>
      <c r="T112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9" s="19">
        <f>2 * IF($M$1="NDX", 10, IF(OR($M$1="SPX", $M$1="RUT"), 2, 1))</f>
        <v>4</v>
      </c>
      <c r="Z1129">
        <f ca="1">IFERROR(Table133456[[#This Row],[call gamma]]*(Table133456[[#This Row],[Open.Int]])*$A$4^2,0)</f>
        <v>0</v>
      </c>
      <c r="AA1129">
        <f ca="1">IFERROR(((Table133456[[#This Row],[Open.Int8]])*Table133456[[#This Row],[Put gamma]])*-1*$A$4^2,0)</f>
        <v>0</v>
      </c>
      <c r="AB1129">
        <f ca="1">(Table133456[[#This Row],[Call Gex]]+Table133456[[#This Row],[Put Gex]])</f>
        <v>0</v>
      </c>
      <c r="AC1129">
        <f ca="1">Table133456[[#This Row],[put delta adj]]+Table133456[[#This Row],[call delta adj]]</f>
        <v>0</v>
      </c>
      <c r="AD1129">
        <f ca="1">Table133456[[#This Row],[Put Gex]]*Table133456[[#This Row],[DeltaP]]*-1</f>
        <v>0</v>
      </c>
      <c r="AE1129">
        <f ca="1">Table133456[[#This Row],[Call Gex]]*Table133456[[#This Row],[DeltaC]]</f>
        <v>0</v>
      </c>
      <c r="AF1129">
        <f>IF(Table133456[[#This Row],[DeltaC]]-ABS(Table133456[[#This Row],[DeltaP]])="0","0.01",Table133456[[#This Row],[DeltaC]]-ABS(Table133456[[#This Row],[DeltaP]]))</f>
        <v>0</v>
      </c>
      <c r="AG112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9" t="e">
        <f ca="1">(EXP(-(AG1129^2)/2)/SQRT(2*PI())*EXP(0*SQRT(Table133456[[#This Row],[T]]))/$A$4*18%*SQRT(SQRT(Table133456[[#This Row],[T]])))</f>
        <v>#DIV/0!</v>
      </c>
      <c r="AJ1129" t="e">
        <f ca="1">(EXP(-(AH1129^2)/2)/SQRT(2*PI())*EXP(0*SQRT(Table133456[[#This Row],[T]]))/$A$4*18%*SQRT(SQRT(Table133456[[#This Row],[T]])))</f>
        <v>#DIV/0!</v>
      </c>
      <c r="AK1129" t="e">
        <f ca="1">Table133456[[#This Row],[Call D1]]-Table133456[[#This Row],[IV Calc C]]*SQRT(Table133456[[#This Row],[T]])</f>
        <v>#DIV/0!</v>
      </c>
      <c r="AL1129" t="e">
        <f ca="1">Table133456[[#This Row],[Put D1]]-Table133456[[#This Row],[IV Calc P]]*SQRT(Table133456[[#This Row],[T]])</f>
        <v>#DIV/0!</v>
      </c>
      <c r="AM1129" t="e">
        <f ca="1">EXP(-0.5*Table133456[[#This Row],[Call D1]]^2)/SQRT(2*PI())</f>
        <v>#DIV/0!</v>
      </c>
      <c r="AN1129" t="e">
        <f ca="1">EXP(-0.5*Table133456[[#This Row],[Put D1]]^2)/SQRT(2*PI())</f>
        <v>#DIV/0!</v>
      </c>
      <c r="AO112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9">
        <f ca="1">((Table133456[[#This Row],[call vanna]]+Table133456[[#This Row],[put vanna]])*$A$4)</f>
        <v>0</v>
      </c>
      <c r="AR112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9" s="9" t="str" cm="1">
        <f t="array" ref="AT1129">_xlfn.IFS(     $M$1="SPX","SPXW",     $M$1="RUT","RUTW",  $M$1="NDX","NDXP",   TRUE,$M$1 )</f>
        <v>SPXW</v>
      </c>
      <c r="AU1129" s="2">
        <f t="shared" si="112"/>
        <v>6915</v>
      </c>
      <c r="AV1129" t="str">
        <f t="shared" si="113"/>
        <v>000100</v>
      </c>
      <c r="AY112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9">
        <f>((Table133456[[#This Row],[High C]]+Table133456[[#This Row],[Low C]])/2)*Table133456[[#This Row],[gammac]]*Table133456[[#This Row],[Volume]]</f>
        <v>0</v>
      </c>
      <c r="BD1129">
        <f>((Table133456[[#This Row],[High P]]+Table133456[[#This Row],[Low P]])/2)*Table133456[[#This Row],[gammap]]*Table133456[[#This Row],[Volume9]]*-1</f>
        <v>0</v>
      </c>
      <c r="BE1129">
        <f>(Table133456[[#This Row],[SgammaC]]+Table133456[[#This Row],[SgammaP]])*$A$4*-100</f>
        <v>0</v>
      </c>
      <c r="BF1129">
        <f>Table133456[[#This Row],[DEXc]]+Table133456[[#This Row],[DEXp]]</f>
        <v>0</v>
      </c>
      <c r="BG1129">
        <f>IFERROR(Table133456[[#This Row],[DeltaC]]*Table133456[[#This Row],[Open.Int]]*$A$4,0)</f>
        <v>0</v>
      </c>
      <c r="BH1129">
        <f>IFERROR(Table133456[[#This Row],[DeltaP]]*Table133456[[#This Row],[Open.Int8]]*$A$4,0)</f>
        <v>0</v>
      </c>
      <c r="BI112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9">
        <f ca="1">Table133456[[#This Row],[charmc]]+Table133456[[#This Row],[charmp]]</f>
        <v>0</v>
      </c>
      <c r="BL112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9" s="78">
        <f ca="1">Table133456[[#This Row],[call helper]]+Table133456[[#This Row],[put helper]]</f>
        <v>0</v>
      </c>
      <c r="BP1129" t="str">
        <f>RTD("tos.rtd", , "STRIKE", "."&amp;Table133456[[#This Row],[Ticker]]&amp;Table133456[[#This Row],[Expiry]]&amp;""&amp;"C"&amp;Table133456[[#This Row],[Spot]]+Table133456[[#This Row],[step]])</f>
        <v>N/A</v>
      </c>
    </row>
    <row r="1130" spans="1:68" x14ac:dyDescent="0.25">
      <c r="A1130" s="14">
        <f t="shared" ca="1" si="109"/>
        <v>-126.14810350076104</v>
      </c>
      <c r="C1130" s="17"/>
      <c r="D1130" t="str">
        <f>RTD("tos.rtd", , "OPEN_INT", "."&amp;Table133456[[#This Row],[Ticker]]&amp;Table133456[[#This Row],[Expiry]]&amp;""&amp;"C"&amp;Table133456[[#This Row],[Spot]]+Table133456[[#This Row],[step]])</f>
        <v>N/A</v>
      </c>
      <c r="E113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0" s="17" cm="1">
        <f t="array" aca="1" ref="H1130" ca="1">IndividualLegIVCore($A$4, Table133456[[#This Row],[Strike]], 0.0411, Table133456[[#This Row],[T]], ((Table133456[[#This Row],[BIDC]]+Table133456[[#This Row],[ASKC]])/2), TRUE)</f>
        <v>0.01</v>
      </c>
      <c r="I1130" t="b">
        <f>IF(     ISNUMBER(Table133456[[#This Row],[Strike]]),RTD("tos.rtd", , "BID", "."&amp;Table133456[[#This Row],[Ticker]]&amp;Table133456[[#This Row],[Expiry]]&amp;""&amp;"C"&amp;Table133456[[#This Row],[Strike]]))</f>
        <v>0</v>
      </c>
      <c r="J1130" t="b">
        <f>IF(     ISNUMBER(Table133456[[#This Row],[Strike]]),RTD("tos.rtd", , "ASK", "."&amp;Table133456[[#This Row],[Ticker]]&amp;Table133456[[#This Row],[Expiry]]&amp;""&amp;"C"&amp;Table133456[[#This Row],[Strike]]))</f>
        <v>0</v>
      </c>
      <c r="K1130" s="17"/>
      <c r="M1130" s="1">
        <f t="shared" si="110"/>
        <v>0</v>
      </c>
      <c r="N1130" t="b">
        <f t="shared" si="111"/>
        <v>0</v>
      </c>
      <c r="P1130" s="17" cm="1">
        <f t="array" aca="1" ref="P1130" ca="1">IndividualLegIVCore($A$4, Table133456[[#This Row],[Strike]], 0.0411, Table133456[[#This Row],[T]], ((Table133456[[#This Row],[BIDP]]+Table133456[[#This Row],[ASKP]])/2), FALSE)</f>
        <v>0.01</v>
      </c>
      <c r="Q1130" t="b">
        <f>IF(     ISNUMBER(Table133456[[#This Row],[Strike]]),RTD("tos.rtd", , "BID", "."&amp;Table133456[[#This Row],[Ticker]]&amp;Table133456[[#This Row],[Expiry]]&amp;""&amp;"P"&amp;Table133456[[#This Row],[Strike]]))</f>
        <v>0</v>
      </c>
      <c r="R1130" t="b">
        <f>IF(     ISNUMBER(Table133456[[#This Row],[Strike]]),RTD("tos.rtd", , "ASK", "."&amp;Table133456[[#This Row],[Ticker]]&amp;Table133456[[#This Row],[Expiry]]&amp;""&amp;"P"&amp;Table133456[[#This Row],[Strike]]))</f>
        <v>0</v>
      </c>
      <c r="S1130" s="17"/>
      <c r="T113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0" s="19">
        <f>2.5* IF($M$1="NDX", 10, IF(OR($M$1="SPX", $M$1="RUT"), 2, 1))</f>
        <v>5</v>
      </c>
      <c r="Z1130">
        <f ca="1">IFERROR(Table133456[[#This Row],[call gamma]]*(Table133456[[#This Row],[Open.Int]])*$A$4^2,0)</f>
        <v>0</v>
      </c>
      <c r="AA1130">
        <f ca="1">IFERROR(((Table133456[[#This Row],[Open.Int8]])*Table133456[[#This Row],[Put gamma]])*-1*$A$4^2,0)</f>
        <v>0</v>
      </c>
      <c r="AB1130">
        <f ca="1">(Table133456[[#This Row],[Call Gex]]+Table133456[[#This Row],[Put Gex]])</f>
        <v>0</v>
      </c>
      <c r="AC1130">
        <f ca="1">Table133456[[#This Row],[put delta adj]]+Table133456[[#This Row],[call delta adj]]</f>
        <v>0</v>
      </c>
      <c r="AD1130">
        <f ca="1">Table133456[[#This Row],[Put Gex]]*Table133456[[#This Row],[DeltaP]]*-1</f>
        <v>0</v>
      </c>
      <c r="AE1130">
        <f ca="1">Table133456[[#This Row],[Call Gex]]*Table133456[[#This Row],[DeltaC]]</f>
        <v>0</v>
      </c>
      <c r="AF1130">
        <f>IF(Table133456[[#This Row],[DeltaC]]-ABS(Table133456[[#This Row],[DeltaP]])="0","0.01",Table133456[[#This Row],[DeltaC]]-ABS(Table133456[[#This Row],[DeltaP]]))</f>
        <v>0</v>
      </c>
      <c r="AG113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0" t="e">
        <f ca="1">(EXP(-(AG1130^2)/2)/SQRT(2*PI())*EXP(0*SQRT(Table133456[[#This Row],[T]]))/$A$4*18%*SQRT(SQRT(Table133456[[#This Row],[T]])))</f>
        <v>#DIV/0!</v>
      </c>
      <c r="AJ1130" t="e">
        <f ca="1">(EXP(-(AH1130^2)/2)/SQRT(2*PI())*EXP(0*SQRT(Table133456[[#This Row],[T]]))/$A$4*18%*SQRT(SQRT(Table133456[[#This Row],[T]])))</f>
        <v>#DIV/0!</v>
      </c>
      <c r="AK1130" t="e">
        <f ca="1">Table133456[[#This Row],[Call D1]]-Table133456[[#This Row],[IV Calc C]]*SQRT(Table133456[[#This Row],[T]])</f>
        <v>#DIV/0!</v>
      </c>
      <c r="AL1130" t="e">
        <f ca="1">Table133456[[#This Row],[Put D1]]-Table133456[[#This Row],[IV Calc P]]*SQRT(Table133456[[#This Row],[T]])</f>
        <v>#DIV/0!</v>
      </c>
      <c r="AM1130" t="e">
        <f ca="1">EXP(-0.5*Table133456[[#This Row],[Call D1]]^2)/SQRT(2*PI())</f>
        <v>#DIV/0!</v>
      </c>
      <c r="AN1130" t="e">
        <f ca="1">EXP(-0.5*Table133456[[#This Row],[Put D1]]^2)/SQRT(2*PI())</f>
        <v>#DIV/0!</v>
      </c>
      <c r="AO113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0">
        <f ca="1">((Table133456[[#This Row],[call vanna]]+Table133456[[#This Row],[put vanna]])*$A$4)</f>
        <v>0</v>
      </c>
      <c r="AR113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0" s="9" t="str" cm="1">
        <f t="array" ref="AT1130">_xlfn.IFS(     $M$1="SPX","SPXW",     $M$1="RUT","RUTW",  $M$1="NDX","NDXP",   TRUE,$M$1 )</f>
        <v>SPXW</v>
      </c>
      <c r="AU1130" s="2">
        <f t="shared" si="112"/>
        <v>6915</v>
      </c>
      <c r="AV1130" t="str">
        <f t="shared" si="113"/>
        <v>000100</v>
      </c>
      <c r="AY113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0">
        <f>((Table133456[[#This Row],[High C]]+Table133456[[#This Row],[Low C]])/2)*Table133456[[#This Row],[gammac]]*Table133456[[#This Row],[Volume]]</f>
        <v>0</v>
      </c>
      <c r="BD1130">
        <f>((Table133456[[#This Row],[High P]]+Table133456[[#This Row],[Low P]])/2)*Table133456[[#This Row],[gammap]]*Table133456[[#This Row],[Volume9]]*-1</f>
        <v>0</v>
      </c>
      <c r="BE1130">
        <f>(Table133456[[#This Row],[SgammaC]]+Table133456[[#This Row],[SgammaP]])*$A$4*-100</f>
        <v>0</v>
      </c>
      <c r="BF1130">
        <f>Table133456[[#This Row],[DEXc]]+Table133456[[#This Row],[DEXp]]</f>
        <v>0</v>
      </c>
      <c r="BG1130">
        <f>IFERROR(Table133456[[#This Row],[DeltaC]]*Table133456[[#This Row],[Open.Int]]*$A$4,0)</f>
        <v>0</v>
      </c>
      <c r="BH1130">
        <f>IFERROR(Table133456[[#This Row],[DeltaP]]*Table133456[[#This Row],[Open.Int8]]*$A$4,0)</f>
        <v>0</v>
      </c>
      <c r="BI113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0">
        <f ca="1">Table133456[[#This Row],[charmc]]+Table133456[[#This Row],[charmp]]</f>
        <v>0</v>
      </c>
      <c r="BL113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0" s="78">
        <f ca="1">Table133456[[#This Row],[call helper]]+Table133456[[#This Row],[put helper]]</f>
        <v>0</v>
      </c>
      <c r="BP1130" t="str">
        <f>RTD("tos.rtd", , "STRIKE", "."&amp;Table133456[[#This Row],[Ticker]]&amp;Table133456[[#This Row],[Expiry]]&amp;""&amp;"C"&amp;Table133456[[#This Row],[Spot]]+Table133456[[#This Row],[step]])</f>
        <v>N/A</v>
      </c>
    </row>
    <row r="1131" spans="1:68" x14ac:dyDescent="0.25">
      <c r="A1131" s="14">
        <f t="shared" ca="1" si="109"/>
        <v>-126.14810350076104</v>
      </c>
      <c r="C1131" s="17"/>
      <c r="D1131" t="str">
        <f>RTD("tos.rtd", , "OPEN_INT", "."&amp;Table133456[[#This Row],[Ticker]]&amp;Table133456[[#This Row],[Expiry]]&amp;""&amp;"C"&amp;Table133456[[#This Row],[Spot]]+Table133456[[#This Row],[step]])</f>
        <v>N/A</v>
      </c>
      <c r="E113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1" s="17" cm="1">
        <f t="array" aca="1" ref="H1131" ca="1">IndividualLegIVCore($A$4, Table133456[[#This Row],[Strike]], 0.0411, Table133456[[#This Row],[T]], ((Table133456[[#This Row],[BIDC]]+Table133456[[#This Row],[ASKC]])/2), TRUE)</f>
        <v>0.01</v>
      </c>
      <c r="I1131" t="b">
        <f>IF(     ISNUMBER(Table133456[[#This Row],[Strike]]),RTD("tos.rtd", , "BID", "."&amp;Table133456[[#This Row],[Ticker]]&amp;Table133456[[#This Row],[Expiry]]&amp;""&amp;"C"&amp;Table133456[[#This Row],[Strike]]))</f>
        <v>0</v>
      </c>
      <c r="J1131" t="b">
        <f>IF(     ISNUMBER(Table133456[[#This Row],[Strike]]),RTD("tos.rtd", , "ASK", "."&amp;Table133456[[#This Row],[Ticker]]&amp;Table133456[[#This Row],[Expiry]]&amp;""&amp;"C"&amp;Table133456[[#This Row],[Strike]]))</f>
        <v>0</v>
      </c>
      <c r="K1131" s="17"/>
      <c r="M1131" s="1">
        <f t="shared" si="110"/>
        <v>0</v>
      </c>
      <c r="N1131" t="b">
        <f t="shared" si="111"/>
        <v>0</v>
      </c>
      <c r="P1131" s="17" cm="1">
        <f t="array" aca="1" ref="P1131" ca="1">IndividualLegIVCore($A$4, Table133456[[#This Row],[Strike]], 0.0411, Table133456[[#This Row],[T]], ((Table133456[[#This Row],[BIDP]]+Table133456[[#This Row],[ASKP]])/2), FALSE)</f>
        <v>0.01</v>
      </c>
      <c r="Q1131" t="b">
        <f>IF(     ISNUMBER(Table133456[[#This Row],[Strike]]),RTD("tos.rtd", , "BID", "."&amp;Table133456[[#This Row],[Ticker]]&amp;Table133456[[#This Row],[Expiry]]&amp;""&amp;"P"&amp;Table133456[[#This Row],[Strike]]))</f>
        <v>0</v>
      </c>
      <c r="R1131" t="b">
        <f>IF(     ISNUMBER(Table133456[[#This Row],[Strike]]),RTD("tos.rtd", , "ASK", "."&amp;Table133456[[#This Row],[Ticker]]&amp;Table133456[[#This Row],[Expiry]]&amp;""&amp;"P"&amp;Table133456[[#This Row],[Strike]]))</f>
        <v>0</v>
      </c>
      <c r="S1131" s="17"/>
      <c r="T113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1" s="19">
        <f>3* IF($M$1="NDX", 10, IF(OR($M$1="SPX", $M$1="RUT"), 2, 1))</f>
        <v>6</v>
      </c>
      <c r="Z1131">
        <f ca="1">IFERROR(Table133456[[#This Row],[call gamma]]*(Table133456[[#This Row],[Open.Int]])*$A$4^2,0)</f>
        <v>0</v>
      </c>
      <c r="AA1131">
        <f ca="1">IFERROR(((Table133456[[#This Row],[Open.Int8]])*Table133456[[#This Row],[Put gamma]])*-1*$A$4^2,0)</f>
        <v>0</v>
      </c>
      <c r="AB1131">
        <f ca="1">(Table133456[[#This Row],[Call Gex]]+Table133456[[#This Row],[Put Gex]])</f>
        <v>0</v>
      </c>
      <c r="AC1131">
        <f ca="1">Table133456[[#This Row],[put delta adj]]+Table133456[[#This Row],[call delta adj]]</f>
        <v>0</v>
      </c>
      <c r="AD1131">
        <f ca="1">Table133456[[#This Row],[Put Gex]]*Table133456[[#This Row],[DeltaP]]*-1</f>
        <v>0</v>
      </c>
      <c r="AE1131">
        <f ca="1">Table133456[[#This Row],[Call Gex]]*Table133456[[#This Row],[DeltaC]]</f>
        <v>0</v>
      </c>
      <c r="AF1131">
        <f>IF(Table133456[[#This Row],[DeltaC]]-ABS(Table133456[[#This Row],[DeltaP]])="0","0.01",Table133456[[#This Row],[DeltaC]]-ABS(Table133456[[#This Row],[DeltaP]]))</f>
        <v>0</v>
      </c>
      <c r="AG113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1" t="e">
        <f ca="1">(EXP(-(AG1131^2)/2)/SQRT(2*PI())*EXP(0*SQRT(Table133456[[#This Row],[T]]))/$A$4*18%*SQRT(SQRT(Table133456[[#This Row],[T]])))</f>
        <v>#DIV/0!</v>
      </c>
      <c r="AJ1131" t="e">
        <f ca="1">(EXP(-(AH1131^2)/2)/SQRT(2*PI())*EXP(0*SQRT(Table133456[[#This Row],[T]]))/$A$4*18%*SQRT(SQRT(Table133456[[#This Row],[T]])))</f>
        <v>#DIV/0!</v>
      </c>
      <c r="AK1131" t="e">
        <f ca="1">Table133456[[#This Row],[Call D1]]-Table133456[[#This Row],[IV Calc C]]*SQRT(Table133456[[#This Row],[T]])</f>
        <v>#DIV/0!</v>
      </c>
      <c r="AL1131" t="e">
        <f ca="1">Table133456[[#This Row],[Put D1]]-Table133456[[#This Row],[IV Calc P]]*SQRT(Table133456[[#This Row],[T]])</f>
        <v>#DIV/0!</v>
      </c>
      <c r="AM1131" t="e">
        <f ca="1">EXP(-0.5*Table133456[[#This Row],[Call D1]]^2)/SQRT(2*PI())</f>
        <v>#DIV/0!</v>
      </c>
      <c r="AN1131" t="e">
        <f ca="1">EXP(-0.5*Table133456[[#This Row],[Put D1]]^2)/SQRT(2*PI())</f>
        <v>#DIV/0!</v>
      </c>
      <c r="AO113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1">
        <f ca="1">((Table133456[[#This Row],[call vanna]]+Table133456[[#This Row],[put vanna]])*$A$4)</f>
        <v>0</v>
      </c>
      <c r="AR113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1" s="9" t="str" cm="1">
        <f t="array" ref="AT1131">_xlfn.IFS(     $M$1="SPX","SPXW",     $M$1="RUT","RUTW",  $M$1="NDX","NDXP",   TRUE,$M$1 )</f>
        <v>SPXW</v>
      </c>
      <c r="AU1131" s="2">
        <f t="shared" si="112"/>
        <v>6915</v>
      </c>
      <c r="AV1131" t="str">
        <f t="shared" si="113"/>
        <v>000100</v>
      </c>
      <c r="AY113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1">
        <f>((Table133456[[#This Row],[High C]]+Table133456[[#This Row],[Low C]])/2)*Table133456[[#This Row],[gammac]]*Table133456[[#This Row],[Volume]]</f>
        <v>0</v>
      </c>
      <c r="BD1131">
        <f>((Table133456[[#This Row],[High P]]+Table133456[[#This Row],[Low P]])/2)*Table133456[[#This Row],[gammap]]*Table133456[[#This Row],[Volume9]]*-1</f>
        <v>0</v>
      </c>
      <c r="BE1131">
        <f>(Table133456[[#This Row],[SgammaC]]+Table133456[[#This Row],[SgammaP]])*$A$4*-100</f>
        <v>0</v>
      </c>
      <c r="BF1131">
        <f>Table133456[[#This Row],[DEXc]]+Table133456[[#This Row],[DEXp]]</f>
        <v>0</v>
      </c>
      <c r="BG1131">
        <f>IFERROR(Table133456[[#This Row],[DeltaC]]*Table133456[[#This Row],[Open.Int]]*$A$4,0)</f>
        <v>0</v>
      </c>
      <c r="BH1131">
        <f>IFERROR(Table133456[[#This Row],[DeltaP]]*Table133456[[#This Row],[Open.Int8]]*$A$4,0)</f>
        <v>0</v>
      </c>
      <c r="BI113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1">
        <f ca="1">Table133456[[#This Row],[charmc]]+Table133456[[#This Row],[charmp]]</f>
        <v>0</v>
      </c>
      <c r="BL113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1" s="78">
        <f ca="1">Table133456[[#This Row],[call helper]]+Table133456[[#This Row],[put helper]]</f>
        <v>0</v>
      </c>
      <c r="BP1131" t="str">
        <f>RTD("tos.rtd", , "STRIKE", "."&amp;Table133456[[#This Row],[Ticker]]&amp;Table133456[[#This Row],[Expiry]]&amp;""&amp;"C"&amp;Table133456[[#This Row],[Spot]]+Table133456[[#This Row],[step]])</f>
        <v>N/A</v>
      </c>
    </row>
    <row r="1132" spans="1:68" x14ac:dyDescent="0.25">
      <c r="A1132" s="14">
        <f t="shared" ca="1" si="109"/>
        <v>-126.14810350076104</v>
      </c>
      <c r="C1132" s="17"/>
      <c r="D1132" t="str">
        <f>RTD("tos.rtd", , "OPEN_INT", "."&amp;Table133456[[#This Row],[Ticker]]&amp;Table133456[[#This Row],[Expiry]]&amp;""&amp;"C"&amp;Table133456[[#This Row],[Spot]]+Table133456[[#This Row],[step]])</f>
        <v>N/A</v>
      </c>
      <c r="E113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2" s="17" cm="1">
        <f t="array" aca="1" ref="H1132" ca="1">IndividualLegIVCore($A$4, Table133456[[#This Row],[Strike]], 0.0411, Table133456[[#This Row],[T]], ((Table133456[[#This Row],[BIDC]]+Table133456[[#This Row],[ASKC]])/2), TRUE)</f>
        <v>0.01</v>
      </c>
      <c r="I1132" t="b">
        <f>IF(     ISNUMBER(Table133456[[#This Row],[Strike]]),RTD("tos.rtd", , "BID", "."&amp;Table133456[[#This Row],[Ticker]]&amp;Table133456[[#This Row],[Expiry]]&amp;""&amp;"C"&amp;Table133456[[#This Row],[Strike]]))</f>
        <v>0</v>
      </c>
      <c r="J1132" t="b">
        <f>IF(     ISNUMBER(Table133456[[#This Row],[Strike]]),RTD("tos.rtd", , "ASK", "."&amp;Table133456[[#This Row],[Ticker]]&amp;Table133456[[#This Row],[Expiry]]&amp;""&amp;"C"&amp;Table133456[[#This Row],[Strike]]))</f>
        <v>0</v>
      </c>
      <c r="K1132" s="17"/>
      <c r="M1132" s="1">
        <f t="shared" si="110"/>
        <v>0</v>
      </c>
      <c r="N1132" t="b">
        <f t="shared" si="111"/>
        <v>0</v>
      </c>
      <c r="P1132" s="17" cm="1">
        <f t="array" aca="1" ref="P1132" ca="1">IndividualLegIVCore($A$4, Table133456[[#This Row],[Strike]], 0.0411, Table133456[[#This Row],[T]], ((Table133456[[#This Row],[BIDP]]+Table133456[[#This Row],[ASKP]])/2), FALSE)</f>
        <v>0.01</v>
      </c>
      <c r="Q1132" t="b">
        <f>IF(     ISNUMBER(Table133456[[#This Row],[Strike]]),RTD("tos.rtd", , "BID", "."&amp;Table133456[[#This Row],[Ticker]]&amp;Table133456[[#This Row],[Expiry]]&amp;""&amp;"P"&amp;Table133456[[#This Row],[Strike]]))</f>
        <v>0</v>
      </c>
      <c r="R1132" t="b">
        <f>IF(     ISNUMBER(Table133456[[#This Row],[Strike]]),RTD("tos.rtd", , "ASK", "."&amp;Table133456[[#This Row],[Ticker]]&amp;Table133456[[#This Row],[Expiry]]&amp;""&amp;"P"&amp;Table133456[[#This Row],[Strike]]))</f>
        <v>0</v>
      </c>
      <c r="S1132" s="17"/>
      <c r="T113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2" s="19">
        <f>3.5* IF($M$1="NDX", 10, IF(OR($M$1="SPX", $M$1="RUT"), 2, 1))</f>
        <v>7</v>
      </c>
      <c r="Z1132">
        <f ca="1">IFERROR(Table133456[[#This Row],[call gamma]]*(Table133456[[#This Row],[Open.Int]])*$A$4^2,0)</f>
        <v>0</v>
      </c>
      <c r="AA1132">
        <f ca="1">IFERROR(((Table133456[[#This Row],[Open.Int8]])*Table133456[[#This Row],[Put gamma]])*-1*$A$4^2,0)</f>
        <v>0</v>
      </c>
      <c r="AB1132">
        <f ca="1">(Table133456[[#This Row],[Call Gex]]+Table133456[[#This Row],[Put Gex]])</f>
        <v>0</v>
      </c>
      <c r="AC1132">
        <f ca="1">Table133456[[#This Row],[put delta adj]]+Table133456[[#This Row],[call delta adj]]</f>
        <v>0</v>
      </c>
      <c r="AD1132">
        <f ca="1">Table133456[[#This Row],[Put Gex]]*Table133456[[#This Row],[DeltaP]]*-1</f>
        <v>0</v>
      </c>
      <c r="AE1132">
        <f ca="1">Table133456[[#This Row],[Call Gex]]*Table133456[[#This Row],[DeltaC]]</f>
        <v>0</v>
      </c>
      <c r="AF1132">
        <f>IF(Table133456[[#This Row],[DeltaC]]-ABS(Table133456[[#This Row],[DeltaP]])="0","0.01",Table133456[[#This Row],[DeltaC]]-ABS(Table133456[[#This Row],[DeltaP]]))</f>
        <v>0</v>
      </c>
      <c r="AG113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2" t="e">
        <f ca="1">(EXP(-(AG1132^2)/2)/SQRT(2*PI())*EXP(0*SQRT(Table133456[[#This Row],[T]]))/$A$4*18%*SQRT(SQRT(Table133456[[#This Row],[T]])))</f>
        <v>#DIV/0!</v>
      </c>
      <c r="AJ1132" t="e">
        <f ca="1">(EXP(-(AH1132^2)/2)/SQRT(2*PI())*EXP(0*SQRT(Table133456[[#This Row],[T]]))/$A$4*18%*SQRT(SQRT(Table133456[[#This Row],[T]])))</f>
        <v>#DIV/0!</v>
      </c>
      <c r="AK1132" t="e">
        <f ca="1">Table133456[[#This Row],[Call D1]]-Table133456[[#This Row],[IV Calc C]]*SQRT(Table133456[[#This Row],[T]])</f>
        <v>#DIV/0!</v>
      </c>
      <c r="AL1132" t="e">
        <f ca="1">Table133456[[#This Row],[Put D1]]-Table133456[[#This Row],[IV Calc P]]*SQRT(Table133456[[#This Row],[T]])</f>
        <v>#DIV/0!</v>
      </c>
      <c r="AM1132" t="e">
        <f ca="1">EXP(-0.5*Table133456[[#This Row],[Call D1]]^2)/SQRT(2*PI())</f>
        <v>#DIV/0!</v>
      </c>
      <c r="AN1132" t="e">
        <f ca="1">EXP(-0.5*Table133456[[#This Row],[Put D1]]^2)/SQRT(2*PI())</f>
        <v>#DIV/0!</v>
      </c>
      <c r="AO113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2">
        <f ca="1">((Table133456[[#This Row],[call vanna]]+Table133456[[#This Row],[put vanna]])*$A$4)</f>
        <v>0</v>
      </c>
      <c r="AR113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2" s="9" t="str" cm="1">
        <f t="array" ref="AT1132">_xlfn.IFS(     $M$1="SPX","SPXW",     $M$1="RUT","RUTW",  $M$1="NDX","NDXP",   TRUE,$M$1 )</f>
        <v>SPXW</v>
      </c>
      <c r="AU1132" s="2">
        <f t="shared" si="112"/>
        <v>6915</v>
      </c>
      <c r="AV1132" t="str">
        <f t="shared" si="113"/>
        <v>000100</v>
      </c>
      <c r="AY113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2">
        <f>((Table133456[[#This Row],[High C]]+Table133456[[#This Row],[Low C]])/2)*Table133456[[#This Row],[gammac]]*Table133456[[#This Row],[Volume]]</f>
        <v>0</v>
      </c>
      <c r="BD1132">
        <f>((Table133456[[#This Row],[High P]]+Table133456[[#This Row],[Low P]])/2)*Table133456[[#This Row],[gammap]]*Table133456[[#This Row],[Volume9]]*-1</f>
        <v>0</v>
      </c>
      <c r="BE1132">
        <f>(Table133456[[#This Row],[SgammaC]]+Table133456[[#This Row],[SgammaP]])*$A$4*-100</f>
        <v>0</v>
      </c>
      <c r="BF1132">
        <f>Table133456[[#This Row],[DEXc]]+Table133456[[#This Row],[DEXp]]</f>
        <v>0</v>
      </c>
      <c r="BG1132">
        <f>IFERROR(Table133456[[#This Row],[DeltaC]]*Table133456[[#This Row],[Open.Int]]*$A$4,0)</f>
        <v>0</v>
      </c>
      <c r="BH1132">
        <f>IFERROR(Table133456[[#This Row],[DeltaP]]*Table133456[[#This Row],[Open.Int8]]*$A$4,0)</f>
        <v>0</v>
      </c>
      <c r="BI113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2">
        <f ca="1">Table133456[[#This Row],[charmc]]+Table133456[[#This Row],[charmp]]</f>
        <v>0</v>
      </c>
      <c r="BL113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2" s="78">
        <f ca="1">Table133456[[#This Row],[call helper]]+Table133456[[#This Row],[put helper]]</f>
        <v>0</v>
      </c>
      <c r="BP1132" t="str">
        <f>RTD("tos.rtd", , "STRIKE", "."&amp;Table133456[[#This Row],[Ticker]]&amp;Table133456[[#This Row],[Expiry]]&amp;""&amp;"C"&amp;Table133456[[#This Row],[Spot]]+Table133456[[#This Row],[step]])</f>
        <v>N/A</v>
      </c>
    </row>
    <row r="1133" spans="1:68" x14ac:dyDescent="0.25">
      <c r="A1133" s="14">
        <f t="shared" ca="1" si="109"/>
        <v>-126.14810350076104</v>
      </c>
      <c r="C1133" s="17"/>
      <c r="D1133" t="str">
        <f>RTD("tos.rtd", , "OPEN_INT", "."&amp;Table133456[[#This Row],[Ticker]]&amp;Table133456[[#This Row],[Expiry]]&amp;""&amp;"C"&amp;Table133456[[#This Row],[Spot]]+Table133456[[#This Row],[step]])</f>
        <v>N/A</v>
      </c>
      <c r="E113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3" s="17" cm="1">
        <f t="array" aca="1" ref="H1133" ca="1">IndividualLegIVCore($A$4, Table133456[[#This Row],[Strike]], 0.0411, Table133456[[#This Row],[T]], ((Table133456[[#This Row],[BIDC]]+Table133456[[#This Row],[ASKC]])/2), TRUE)</f>
        <v>0.01</v>
      </c>
      <c r="I1133" t="b">
        <f>IF(     ISNUMBER(Table133456[[#This Row],[Strike]]),RTD("tos.rtd", , "BID", "."&amp;Table133456[[#This Row],[Ticker]]&amp;Table133456[[#This Row],[Expiry]]&amp;""&amp;"C"&amp;Table133456[[#This Row],[Strike]]))</f>
        <v>0</v>
      </c>
      <c r="J1133" t="b">
        <f>IF(     ISNUMBER(Table133456[[#This Row],[Strike]]),RTD("tos.rtd", , "ASK", "."&amp;Table133456[[#This Row],[Ticker]]&amp;Table133456[[#This Row],[Expiry]]&amp;""&amp;"C"&amp;Table133456[[#This Row],[Strike]]))</f>
        <v>0</v>
      </c>
      <c r="K1133" s="17"/>
      <c r="M1133" s="1">
        <f t="shared" si="110"/>
        <v>0</v>
      </c>
      <c r="N1133" t="b">
        <f t="shared" si="111"/>
        <v>0</v>
      </c>
      <c r="P1133" s="17" cm="1">
        <f t="array" aca="1" ref="P1133" ca="1">IndividualLegIVCore($A$4, Table133456[[#This Row],[Strike]], 0.0411, Table133456[[#This Row],[T]], ((Table133456[[#This Row],[BIDP]]+Table133456[[#This Row],[ASKP]])/2), FALSE)</f>
        <v>0.01</v>
      </c>
      <c r="Q1133" t="b">
        <f>IF(     ISNUMBER(Table133456[[#This Row],[Strike]]),RTD("tos.rtd", , "BID", "."&amp;Table133456[[#This Row],[Ticker]]&amp;Table133456[[#This Row],[Expiry]]&amp;""&amp;"P"&amp;Table133456[[#This Row],[Strike]]))</f>
        <v>0</v>
      </c>
      <c r="R1133" t="b">
        <f>IF(     ISNUMBER(Table133456[[#This Row],[Strike]]),RTD("tos.rtd", , "ASK", "."&amp;Table133456[[#This Row],[Ticker]]&amp;Table133456[[#This Row],[Expiry]]&amp;""&amp;"P"&amp;Table133456[[#This Row],[Strike]]))</f>
        <v>0</v>
      </c>
      <c r="S1133" s="17"/>
      <c r="T113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3" s="19">
        <f>4* IF($M$1="NDX", 10, IF(OR($M$1="SPX", $M$1="RUT"), 2, 1))</f>
        <v>8</v>
      </c>
      <c r="Z1133">
        <f ca="1">IFERROR(Table133456[[#This Row],[call gamma]]*(Table133456[[#This Row],[Open.Int]])*$A$4^2,0)</f>
        <v>0</v>
      </c>
      <c r="AA1133">
        <f ca="1">IFERROR(((Table133456[[#This Row],[Open.Int8]])*Table133456[[#This Row],[Put gamma]])*-1*$A$4^2,0)</f>
        <v>0</v>
      </c>
      <c r="AB1133">
        <f ca="1">(Table133456[[#This Row],[Call Gex]]+Table133456[[#This Row],[Put Gex]])</f>
        <v>0</v>
      </c>
      <c r="AC1133">
        <f ca="1">Table133456[[#This Row],[put delta adj]]+Table133456[[#This Row],[call delta adj]]</f>
        <v>0</v>
      </c>
      <c r="AD1133">
        <f ca="1">Table133456[[#This Row],[Put Gex]]*Table133456[[#This Row],[DeltaP]]*-1</f>
        <v>0</v>
      </c>
      <c r="AE1133">
        <f ca="1">Table133456[[#This Row],[Call Gex]]*Table133456[[#This Row],[DeltaC]]</f>
        <v>0</v>
      </c>
      <c r="AF1133">
        <f>IF(Table133456[[#This Row],[DeltaC]]-ABS(Table133456[[#This Row],[DeltaP]])="0","0.01",Table133456[[#This Row],[DeltaC]]-ABS(Table133456[[#This Row],[DeltaP]]))</f>
        <v>0</v>
      </c>
      <c r="AG113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3" t="e">
        <f ca="1">(EXP(-(AG1133^2)/2)/SQRT(2*PI())*EXP(0*SQRT(Table133456[[#This Row],[T]]))/$A$4*18%*SQRT(SQRT(Table133456[[#This Row],[T]])))</f>
        <v>#DIV/0!</v>
      </c>
      <c r="AJ1133" t="e">
        <f ca="1">(EXP(-(AH1133^2)/2)/SQRT(2*PI())*EXP(0*SQRT(Table133456[[#This Row],[T]]))/$A$4*18%*SQRT(SQRT(Table133456[[#This Row],[T]])))</f>
        <v>#DIV/0!</v>
      </c>
      <c r="AK1133" t="e">
        <f ca="1">Table133456[[#This Row],[Call D1]]-Table133456[[#This Row],[IV Calc C]]*SQRT(Table133456[[#This Row],[T]])</f>
        <v>#DIV/0!</v>
      </c>
      <c r="AL1133" t="e">
        <f ca="1">Table133456[[#This Row],[Put D1]]-Table133456[[#This Row],[IV Calc P]]*SQRT(Table133456[[#This Row],[T]])</f>
        <v>#DIV/0!</v>
      </c>
      <c r="AM1133" t="e">
        <f ca="1">EXP(-0.5*Table133456[[#This Row],[Call D1]]^2)/SQRT(2*PI())</f>
        <v>#DIV/0!</v>
      </c>
      <c r="AN1133" t="e">
        <f ca="1">EXP(-0.5*Table133456[[#This Row],[Put D1]]^2)/SQRT(2*PI())</f>
        <v>#DIV/0!</v>
      </c>
      <c r="AO113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3">
        <f ca="1">((Table133456[[#This Row],[call vanna]]+Table133456[[#This Row],[put vanna]])*$A$4)</f>
        <v>0</v>
      </c>
      <c r="AR113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3" s="9" t="str" cm="1">
        <f t="array" ref="AT1133">_xlfn.IFS(     $M$1="SPX","SPXW",     $M$1="RUT","RUTW",  $M$1="NDX","NDXP",   TRUE,$M$1 )</f>
        <v>SPXW</v>
      </c>
      <c r="AU1133" s="2">
        <f t="shared" si="112"/>
        <v>6915</v>
      </c>
      <c r="AV1133" t="str">
        <f t="shared" si="113"/>
        <v>000100</v>
      </c>
      <c r="AY113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3">
        <f>((Table133456[[#This Row],[High C]]+Table133456[[#This Row],[Low C]])/2)*Table133456[[#This Row],[gammac]]*Table133456[[#This Row],[Volume]]</f>
        <v>0</v>
      </c>
      <c r="BD1133">
        <f>((Table133456[[#This Row],[High P]]+Table133456[[#This Row],[Low P]])/2)*Table133456[[#This Row],[gammap]]*Table133456[[#This Row],[Volume9]]*-1</f>
        <v>0</v>
      </c>
      <c r="BE1133">
        <f>(Table133456[[#This Row],[SgammaC]]+Table133456[[#This Row],[SgammaP]])*$A$4*-100</f>
        <v>0</v>
      </c>
      <c r="BF1133">
        <f>Table133456[[#This Row],[DEXc]]+Table133456[[#This Row],[DEXp]]</f>
        <v>0</v>
      </c>
      <c r="BG1133">
        <f>IFERROR(Table133456[[#This Row],[DeltaC]]*Table133456[[#This Row],[Open.Int]]*$A$4,0)</f>
        <v>0</v>
      </c>
      <c r="BH1133">
        <f>IFERROR(Table133456[[#This Row],[DeltaP]]*Table133456[[#This Row],[Open.Int8]]*$A$4,0)</f>
        <v>0</v>
      </c>
      <c r="BI113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3">
        <f ca="1">Table133456[[#This Row],[charmc]]+Table133456[[#This Row],[charmp]]</f>
        <v>0</v>
      </c>
      <c r="BL113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3" s="78">
        <f ca="1">Table133456[[#This Row],[call helper]]+Table133456[[#This Row],[put helper]]</f>
        <v>0</v>
      </c>
      <c r="BP1133" t="str">
        <f>RTD("tos.rtd", , "STRIKE", "."&amp;Table133456[[#This Row],[Ticker]]&amp;Table133456[[#This Row],[Expiry]]&amp;""&amp;"C"&amp;Table133456[[#This Row],[Spot]]+Table133456[[#This Row],[step]])</f>
        <v>N/A</v>
      </c>
    </row>
    <row r="1134" spans="1:68" x14ac:dyDescent="0.25">
      <c r="A1134" s="14">
        <f t="shared" ca="1" si="109"/>
        <v>-126.14810350076104</v>
      </c>
      <c r="C1134" s="17"/>
      <c r="D1134" t="str">
        <f>RTD("tos.rtd", , "OPEN_INT", "."&amp;Table133456[[#This Row],[Ticker]]&amp;Table133456[[#This Row],[Expiry]]&amp;""&amp;"C"&amp;Table133456[[#This Row],[Spot]]+Table133456[[#This Row],[step]])</f>
        <v>N/A</v>
      </c>
      <c r="E113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4" s="17" cm="1">
        <f t="array" aca="1" ref="H1134" ca="1">IndividualLegIVCore($A$4, Table133456[[#This Row],[Strike]], 0.0411, Table133456[[#This Row],[T]], ((Table133456[[#This Row],[BIDC]]+Table133456[[#This Row],[ASKC]])/2), TRUE)</f>
        <v>0.01</v>
      </c>
      <c r="I1134" t="b">
        <f>IF(     ISNUMBER(Table133456[[#This Row],[Strike]]),RTD("tos.rtd", , "BID", "."&amp;Table133456[[#This Row],[Ticker]]&amp;Table133456[[#This Row],[Expiry]]&amp;""&amp;"C"&amp;Table133456[[#This Row],[Strike]]))</f>
        <v>0</v>
      </c>
      <c r="J1134" t="b">
        <f>IF(     ISNUMBER(Table133456[[#This Row],[Strike]]),RTD("tos.rtd", , "ASK", "."&amp;Table133456[[#This Row],[Ticker]]&amp;Table133456[[#This Row],[Expiry]]&amp;""&amp;"C"&amp;Table133456[[#This Row],[Strike]]))</f>
        <v>0</v>
      </c>
      <c r="K1134" s="17"/>
      <c r="M1134" s="1">
        <f t="shared" si="110"/>
        <v>0</v>
      </c>
      <c r="N1134" t="b">
        <f t="shared" si="111"/>
        <v>0</v>
      </c>
      <c r="P1134" s="17" cm="1">
        <f t="array" aca="1" ref="P1134" ca="1">IndividualLegIVCore($A$4, Table133456[[#This Row],[Strike]], 0.0411, Table133456[[#This Row],[T]], ((Table133456[[#This Row],[BIDP]]+Table133456[[#This Row],[ASKP]])/2), FALSE)</f>
        <v>0.01</v>
      </c>
      <c r="Q1134" t="b">
        <f>IF(     ISNUMBER(Table133456[[#This Row],[Strike]]),RTD("tos.rtd", , "BID", "."&amp;Table133456[[#This Row],[Ticker]]&amp;Table133456[[#This Row],[Expiry]]&amp;""&amp;"P"&amp;Table133456[[#This Row],[Strike]]))</f>
        <v>0</v>
      </c>
      <c r="R1134" t="b">
        <f>IF(     ISNUMBER(Table133456[[#This Row],[Strike]]),RTD("tos.rtd", , "ASK", "."&amp;Table133456[[#This Row],[Ticker]]&amp;Table133456[[#This Row],[Expiry]]&amp;""&amp;"P"&amp;Table133456[[#This Row],[Strike]]))</f>
        <v>0</v>
      </c>
      <c r="S1134" s="17"/>
      <c r="T113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4" s="19">
        <f>4.5* IF($M$1="NDX", 10, IF(OR($M$1="SPX", $M$1="RUT"), 2, 1))</f>
        <v>9</v>
      </c>
      <c r="Z1134">
        <f ca="1">IFERROR(Table133456[[#This Row],[call gamma]]*(Table133456[[#This Row],[Open.Int]])*$A$4^2,0)</f>
        <v>0</v>
      </c>
      <c r="AA1134">
        <f ca="1">IFERROR(((Table133456[[#This Row],[Open.Int8]])*Table133456[[#This Row],[Put gamma]])*-1*$A$4^2,0)</f>
        <v>0</v>
      </c>
      <c r="AB1134">
        <f ca="1">(Table133456[[#This Row],[Call Gex]]+Table133456[[#This Row],[Put Gex]])</f>
        <v>0</v>
      </c>
      <c r="AC1134">
        <f ca="1">Table133456[[#This Row],[put delta adj]]+Table133456[[#This Row],[call delta adj]]</f>
        <v>0</v>
      </c>
      <c r="AD1134">
        <f ca="1">Table133456[[#This Row],[Put Gex]]*Table133456[[#This Row],[DeltaP]]*-1</f>
        <v>0</v>
      </c>
      <c r="AE1134">
        <f ca="1">Table133456[[#This Row],[Call Gex]]*Table133456[[#This Row],[DeltaC]]</f>
        <v>0</v>
      </c>
      <c r="AF1134">
        <f>IF(Table133456[[#This Row],[DeltaC]]-ABS(Table133456[[#This Row],[DeltaP]])="0","0.01",Table133456[[#This Row],[DeltaC]]-ABS(Table133456[[#This Row],[DeltaP]]))</f>
        <v>0</v>
      </c>
      <c r="AG113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4" t="e">
        <f ca="1">(EXP(-(AG1134^2)/2)/SQRT(2*PI())*EXP(0*SQRT(Table133456[[#This Row],[T]]))/$A$4*18%*SQRT(SQRT(Table133456[[#This Row],[T]])))</f>
        <v>#DIV/0!</v>
      </c>
      <c r="AJ1134" t="e">
        <f ca="1">(EXP(-(AH1134^2)/2)/SQRT(2*PI())*EXP(0*SQRT(Table133456[[#This Row],[T]]))/$A$4*18%*SQRT(SQRT(Table133456[[#This Row],[T]])))</f>
        <v>#DIV/0!</v>
      </c>
      <c r="AK1134" t="e">
        <f ca="1">Table133456[[#This Row],[Call D1]]-Table133456[[#This Row],[IV Calc C]]*SQRT(Table133456[[#This Row],[T]])</f>
        <v>#DIV/0!</v>
      </c>
      <c r="AL1134" t="e">
        <f ca="1">Table133456[[#This Row],[Put D1]]-Table133456[[#This Row],[IV Calc P]]*SQRT(Table133456[[#This Row],[T]])</f>
        <v>#DIV/0!</v>
      </c>
      <c r="AM1134" t="e">
        <f ca="1">EXP(-0.5*Table133456[[#This Row],[Call D1]]^2)/SQRT(2*PI())</f>
        <v>#DIV/0!</v>
      </c>
      <c r="AN1134" t="e">
        <f ca="1">EXP(-0.5*Table133456[[#This Row],[Put D1]]^2)/SQRT(2*PI())</f>
        <v>#DIV/0!</v>
      </c>
      <c r="AO113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4">
        <f ca="1">((Table133456[[#This Row],[call vanna]]+Table133456[[#This Row],[put vanna]])*$A$4)</f>
        <v>0</v>
      </c>
      <c r="AR113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4" s="9" t="str" cm="1">
        <f t="array" ref="AT1134">_xlfn.IFS(     $M$1="SPX","SPXW",     $M$1="RUT","RUTW",  $M$1="NDX","NDXP",   TRUE,$M$1 )</f>
        <v>SPXW</v>
      </c>
      <c r="AU1134" s="2">
        <f t="shared" si="112"/>
        <v>6915</v>
      </c>
      <c r="AV1134" t="str">
        <f t="shared" si="113"/>
        <v>000100</v>
      </c>
      <c r="AY113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4">
        <f>((Table133456[[#This Row],[High C]]+Table133456[[#This Row],[Low C]])/2)*Table133456[[#This Row],[gammac]]*Table133456[[#This Row],[Volume]]</f>
        <v>0</v>
      </c>
      <c r="BD1134">
        <f>((Table133456[[#This Row],[High P]]+Table133456[[#This Row],[Low P]])/2)*Table133456[[#This Row],[gammap]]*Table133456[[#This Row],[Volume9]]*-1</f>
        <v>0</v>
      </c>
      <c r="BE1134">
        <f>(Table133456[[#This Row],[SgammaC]]+Table133456[[#This Row],[SgammaP]])*$A$4*-100</f>
        <v>0</v>
      </c>
      <c r="BF1134">
        <f>Table133456[[#This Row],[DEXc]]+Table133456[[#This Row],[DEXp]]</f>
        <v>0</v>
      </c>
      <c r="BG1134">
        <f>IFERROR(Table133456[[#This Row],[DeltaC]]*Table133456[[#This Row],[Open.Int]]*$A$4,0)</f>
        <v>0</v>
      </c>
      <c r="BH1134">
        <f>IFERROR(Table133456[[#This Row],[DeltaP]]*Table133456[[#This Row],[Open.Int8]]*$A$4,0)</f>
        <v>0</v>
      </c>
      <c r="BI113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4">
        <f ca="1">Table133456[[#This Row],[charmc]]+Table133456[[#This Row],[charmp]]</f>
        <v>0</v>
      </c>
      <c r="BL113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4" s="78">
        <f ca="1">Table133456[[#This Row],[call helper]]+Table133456[[#This Row],[put helper]]</f>
        <v>0</v>
      </c>
      <c r="BP1134" t="str">
        <f>RTD("tos.rtd", , "STRIKE", "."&amp;Table133456[[#This Row],[Ticker]]&amp;Table133456[[#This Row],[Expiry]]&amp;""&amp;"C"&amp;Table133456[[#This Row],[Spot]]+Table133456[[#This Row],[step]])</f>
        <v>N/A</v>
      </c>
    </row>
    <row r="1135" spans="1:68" x14ac:dyDescent="0.25">
      <c r="A1135" s="14">
        <f t="shared" ca="1" si="109"/>
        <v>-126.14810350076104</v>
      </c>
      <c r="C1135" s="17"/>
      <c r="D1135" t="str">
        <f>RTD("tos.rtd", , "OPEN_INT", "."&amp;Table133456[[#This Row],[Ticker]]&amp;Table133456[[#This Row],[Expiry]]&amp;""&amp;"C"&amp;Table133456[[#This Row],[Spot]]+Table133456[[#This Row],[step]])</f>
        <v>N/A</v>
      </c>
      <c r="E113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5" s="17" cm="1">
        <f t="array" aca="1" ref="H1135" ca="1">IndividualLegIVCore($A$4, Table133456[[#This Row],[Strike]], 0.0411, Table133456[[#This Row],[T]], ((Table133456[[#This Row],[BIDC]]+Table133456[[#This Row],[ASKC]])/2), TRUE)</f>
        <v>0.01</v>
      </c>
      <c r="I1135" t="b">
        <f>IF(     ISNUMBER(Table133456[[#This Row],[Strike]]),RTD("tos.rtd", , "BID", "."&amp;Table133456[[#This Row],[Ticker]]&amp;Table133456[[#This Row],[Expiry]]&amp;""&amp;"C"&amp;Table133456[[#This Row],[Strike]]))</f>
        <v>0</v>
      </c>
      <c r="J1135" t="b">
        <f>IF(     ISNUMBER(Table133456[[#This Row],[Strike]]),RTD("tos.rtd", , "ASK", "."&amp;Table133456[[#This Row],[Ticker]]&amp;Table133456[[#This Row],[Expiry]]&amp;""&amp;"C"&amp;Table133456[[#This Row],[Strike]]))</f>
        <v>0</v>
      </c>
      <c r="K1135" s="17"/>
      <c r="M1135" s="1">
        <f t="shared" si="110"/>
        <v>0</v>
      </c>
      <c r="N1135" t="b">
        <f t="shared" si="111"/>
        <v>0</v>
      </c>
      <c r="P1135" s="17" cm="1">
        <f t="array" aca="1" ref="P1135" ca="1">IndividualLegIVCore($A$4, Table133456[[#This Row],[Strike]], 0.0411, Table133456[[#This Row],[T]], ((Table133456[[#This Row],[BIDP]]+Table133456[[#This Row],[ASKP]])/2), FALSE)</f>
        <v>0.01</v>
      </c>
      <c r="Q1135" t="b">
        <f>IF(     ISNUMBER(Table133456[[#This Row],[Strike]]),RTD("tos.rtd", , "BID", "."&amp;Table133456[[#This Row],[Ticker]]&amp;Table133456[[#This Row],[Expiry]]&amp;""&amp;"P"&amp;Table133456[[#This Row],[Strike]]))</f>
        <v>0</v>
      </c>
      <c r="R1135" t="b">
        <f>IF(     ISNUMBER(Table133456[[#This Row],[Strike]]),RTD("tos.rtd", , "ASK", "."&amp;Table133456[[#This Row],[Ticker]]&amp;Table133456[[#This Row],[Expiry]]&amp;""&amp;"P"&amp;Table133456[[#This Row],[Strike]]))</f>
        <v>0</v>
      </c>
      <c r="S1135" s="17"/>
      <c r="T113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5" s="19">
        <f>5* IF($M$1="NDX", 10, IF(OR($M$1="SPX", $M$1="RUT"), 2, 1))</f>
        <v>10</v>
      </c>
      <c r="Z1135">
        <f ca="1">IFERROR(Table133456[[#This Row],[call gamma]]*(Table133456[[#This Row],[Open.Int]])*$A$4^2,0)</f>
        <v>0</v>
      </c>
      <c r="AA1135">
        <f ca="1">IFERROR(((Table133456[[#This Row],[Open.Int8]])*Table133456[[#This Row],[Put gamma]])*-1*$A$4^2,0)</f>
        <v>0</v>
      </c>
      <c r="AB1135">
        <f ca="1">(Table133456[[#This Row],[Call Gex]]+Table133456[[#This Row],[Put Gex]])</f>
        <v>0</v>
      </c>
      <c r="AC1135">
        <f ca="1">Table133456[[#This Row],[put delta adj]]+Table133456[[#This Row],[call delta adj]]</f>
        <v>0</v>
      </c>
      <c r="AD1135">
        <f ca="1">Table133456[[#This Row],[Put Gex]]*Table133456[[#This Row],[DeltaP]]*-1</f>
        <v>0</v>
      </c>
      <c r="AE1135">
        <f ca="1">Table133456[[#This Row],[Call Gex]]*Table133456[[#This Row],[DeltaC]]</f>
        <v>0</v>
      </c>
      <c r="AF1135">
        <f>IF(Table133456[[#This Row],[DeltaC]]-ABS(Table133456[[#This Row],[DeltaP]])="0","0.01",Table133456[[#This Row],[DeltaC]]-ABS(Table133456[[#This Row],[DeltaP]]))</f>
        <v>0</v>
      </c>
      <c r="AG113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5" t="e">
        <f ca="1">(EXP(-(AG1135^2)/2)/SQRT(2*PI())*EXP(0*SQRT(Table133456[[#This Row],[T]]))/$A$4*18%*SQRT(SQRT(Table133456[[#This Row],[T]])))</f>
        <v>#DIV/0!</v>
      </c>
      <c r="AJ1135" t="e">
        <f ca="1">(EXP(-(AH1135^2)/2)/SQRT(2*PI())*EXP(0*SQRT(Table133456[[#This Row],[T]]))/$A$4*18%*SQRT(SQRT(Table133456[[#This Row],[T]])))</f>
        <v>#DIV/0!</v>
      </c>
      <c r="AK1135" t="e">
        <f ca="1">Table133456[[#This Row],[Call D1]]-Table133456[[#This Row],[IV Calc C]]*SQRT(Table133456[[#This Row],[T]])</f>
        <v>#DIV/0!</v>
      </c>
      <c r="AL1135" t="e">
        <f ca="1">Table133456[[#This Row],[Put D1]]-Table133456[[#This Row],[IV Calc P]]*SQRT(Table133456[[#This Row],[T]])</f>
        <v>#DIV/0!</v>
      </c>
      <c r="AM1135" t="e">
        <f ca="1">EXP(-0.5*Table133456[[#This Row],[Call D1]]^2)/SQRT(2*PI())</f>
        <v>#DIV/0!</v>
      </c>
      <c r="AN1135" t="e">
        <f ca="1">EXP(-0.5*Table133456[[#This Row],[Put D1]]^2)/SQRT(2*PI())</f>
        <v>#DIV/0!</v>
      </c>
      <c r="AO113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5">
        <f ca="1">((Table133456[[#This Row],[call vanna]]+Table133456[[#This Row],[put vanna]])*$A$4)</f>
        <v>0</v>
      </c>
      <c r="AR113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5" s="9" t="str" cm="1">
        <f t="array" ref="AT1135">_xlfn.IFS(     $M$1="SPX","SPXW",     $M$1="RUT","RUTW",  $M$1="NDX","NDXP",   TRUE,$M$1 )</f>
        <v>SPXW</v>
      </c>
      <c r="AU1135" s="2">
        <f t="shared" si="112"/>
        <v>6915</v>
      </c>
      <c r="AV1135" t="str">
        <f t="shared" si="113"/>
        <v>000100</v>
      </c>
      <c r="AY113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5">
        <f>((Table133456[[#This Row],[High C]]+Table133456[[#This Row],[Low C]])/2)*Table133456[[#This Row],[gammac]]*Table133456[[#This Row],[Volume]]</f>
        <v>0</v>
      </c>
      <c r="BD1135">
        <f>((Table133456[[#This Row],[High P]]+Table133456[[#This Row],[Low P]])/2)*Table133456[[#This Row],[gammap]]*Table133456[[#This Row],[Volume9]]*-1</f>
        <v>0</v>
      </c>
      <c r="BE1135">
        <f>(Table133456[[#This Row],[SgammaC]]+Table133456[[#This Row],[SgammaP]])*$A$4*-100</f>
        <v>0</v>
      </c>
      <c r="BF1135">
        <f>Table133456[[#This Row],[DEXc]]+Table133456[[#This Row],[DEXp]]</f>
        <v>0</v>
      </c>
      <c r="BG1135">
        <f>IFERROR(Table133456[[#This Row],[DeltaC]]*Table133456[[#This Row],[Open.Int]]*$A$4,0)</f>
        <v>0</v>
      </c>
      <c r="BH1135">
        <f>IFERROR(Table133456[[#This Row],[DeltaP]]*Table133456[[#This Row],[Open.Int8]]*$A$4,0)</f>
        <v>0</v>
      </c>
      <c r="BI113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5">
        <f ca="1">Table133456[[#This Row],[charmc]]+Table133456[[#This Row],[charmp]]</f>
        <v>0</v>
      </c>
      <c r="BL113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5" s="78">
        <f ca="1">Table133456[[#This Row],[call helper]]+Table133456[[#This Row],[put helper]]</f>
        <v>0</v>
      </c>
      <c r="BP1135" t="str">
        <f>RTD("tos.rtd", , "STRIKE", "."&amp;Table133456[[#This Row],[Ticker]]&amp;Table133456[[#This Row],[Expiry]]&amp;""&amp;"C"&amp;Table133456[[#This Row],[Spot]]+Table133456[[#This Row],[step]])</f>
        <v>N/A</v>
      </c>
    </row>
    <row r="1136" spans="1:68" x14ac:dyDescent="0.25">
      <c r="A1136" s="14">
        <f t="shared" ca="1" si="109"/>
        <v>-126.14810350076104</v>
      </c>
      <c r="C1136" s="17"/>
      <c r="D1136" t="str">
        <f>RTD("tos.rtd", , "OPEN_INT", "."&amp;Table133456[[#This Row],[Ticker]]&amp;Table133456[[#This Row],[Expiry]]&amp;""&amp;"C"&amp;Table133456[[#This Row],[Spot]]+Table133456[[#This Row],[step]])</f>
        <v>N/A</v>
      </c>
      <c r="E113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6" s="17" cm="1">
        <f t="array" aca="1" ref="H1136" ca="1">IndividualLegIVCore($A$4, Table133456[[#This Row],[Strike]], 0.0411, Table133456[[#This Row],[T]], ((Table133456[[#This Row],[BIDC]]+Table133456[[#This Row],[ASKC]])/2), TRUE)</f>
        <v>0.01</v>
      </c>
      <c r="I1136" t="b">
        <f>IF(     ISNUMBER(Table133456[[#This Row],[Strike]]),RTD("tos.rtd", , "BID", "."&amp;Table133456[[#This Row],[Ticker]]&amp;Table133456[[#This Row],[Expiry]]&amp;""&amp;"C"&amp;Table133456[[#This Row],[Strike]]))</f>
        <v>0</v>
      </c>
      <c r="J1136" t="b">
        <f>IF(     ISNUMBER(Table133456[[#This Row],[Strike]]),RTD("tos.rtd", , "ASK", "."&amp;Table133456[[#This Row],[Ticker]]&amp;Table133456[[#This Row],[Expiry]]&amp;""&amp;"C"&amp;Table133456[[#This Row],[Strike]]))</f>
        <v>0</v>
      </c>
      <c r="K1136" s="17"/>
      <c r="M1136" s="1">
        <f t="shared" si="110"/>
        <v>0</v>
      </c>
      <c r="N1136" t="b">
        <f t="shared" si="111"/>
        <v>0</v>
      </c>
      <c r="P1136" s="17" cm="1">
        <f t="array" aca="1" ref="P1136" ca="1">IndividualLegIVCore($A$4, Table133456[[#This Row],[Strike]], 0.0411, Table133456[[#This Row],[T]], ((Table133456[[#This Row],[BIDP]]+Table133456[[#This Row],[ASKP]])/2), FALSE)</f>
        <v>0.01</v>
      </c>
      <c r="Q1136" t="b">
        <f>IF(     ISNUMBER(Table133456[[#This Row],[Strike]]),RTD("tos.rtd", , "BID", "."&amp;Table133456[[#This Row],[Ticker]]&amp;Table133456[[#This Row],[Expiry]]&amp;""&amp;"P"&amp;Table133456[[#This Row],[Strike]]))</f>
        <v>0</v>
      </c>
      <c r="R1136" t="b">
        <f>IF(     ISNUMBER(Table133456[[#This Row],[Strike]]),RTD("tos.rtd", , "ASK", "."&amp;Table133456[[#This Row],[Ticker]]&amp;Table133456[[#This Row],[Expiry]]&amp;""&amp;"P"&amp;Table133456[[#This Row],[Strike]]))</f>
        <v>0</v>
      </c>
      <c r="S1136" s="17"/>
      <c r="T113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6" s="19">
        <f>5.5* IF($M$1="NDX", 10, IF(OR($M$1="SPX", $M$1="RUT"), 2, 1))</f>
        <v>11</v>
      </c>
      <c r="Z1136">
        <f ca="1">IFERROR(Table133456[[#This Row],[call gamma]]*(Table133456[[#This Row],[Open.Int]])*$A$4^2,0)</f>
        <v>0</v>
      </c>
      <c r="AA1136">
        <f ca="1">IFERROR(((Table133456[[#This Row],[Open.Int8]])*Table133456[[#This Row],[Put gamma]])*-1*$A$4^2,0)</f>
        <v>0</v>
      </c>
      <c r="AB1136">
        <f ca="1">(Table133456[[#This Row],[Call Gex]]+Table133456[[#This Row],[Put Gex]])</f>
        <v>0</v>
      </c>
      <c r="AC1136">
        <f ca="1">Table133456[[#This Row],[put delta adj]]+Table133456[[#This Row],[call delta adj]]</f>
        <v>0</v>
      </c>
      <c r="AD1136">
        <f ca="1">Table133456[[#This Row],[Put Gex]]*Table133456[[#This Row],[DeltaP]]*-1</f>
        <v>0</v>
      </c>
      <c r="AE1136">
        <f ca="1">Table133456[[#This Row],[Call Gex]]*Table133456[[#This Row],[DeltaC]]</f>
        <v>0</v>
      </c>
      <c r="AF1136">
        <f>IF(Table133456[[#This Row],[DeltaC]]-ABS(Table133456[[#This Row],[DeltaP]])="0","0.01",Table133456[[#This Row],[DeltaC]]-ABS(Table133456[[#This Row],[DeltaP]]))</f>
        <v>0</v>
      </c>
      <c r="AG113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6" t="e">
        <f ca="1">(EXP(-(AG1136^2)/2)/SQRT(2*PI())*EXP(0*SQRT(Table133456[[#This Row],[T]]))/$A$4*18%*SQRT(SQRT(Table133456[[#This Row],[T]])))</f>
        <v>#DIV/0!</v>
      </c>
      <c r="AJ1136" t="e">
        <f ca="1">(EXP(-(AH1136^2)/2)/SQRT(2*PI())*EXP(0*SQRT(Table133456[[#This Row],[T]]))/$A$4*18%*SQRT(SQRT(Table133456[[#This Row],[T]])))</f>
        <v>#DIV/0!</v>
      </c>
      <c r="AK1136" t="e">
        <f ca="1">Table133456[[#This Row],[Call D1]]-Table133456[[#This Row],[IV Calc C]]*SQRT(Table133456[[#This Row],[T]])</f>
        <v>#DIV/0!</v>
      </c>
      <c r="AL1136" t="e">
        <f ca="1">Table133456[[#This Row],[Put D1]]-Table133456[[#This Row],[IV Calc P]]*SQRT(Table133456[[#This Row],[T]])</f>
        <v>#DIV/0!</v>
      </c>
      <c r="AM1136" t="e">
        <f ca="1">EXP(-0.5*Table133456[[#This Row],[Call D1]]^2)/SQRT(2*PI())</f>
        <v>#DIV/0!</v>
      </c>
      <c r="AN1136" t="e">
        <f ca="1">EXP(-0.5*Table133456[[#This Row],[Put D1]]^2)/SQRT(2*PI())</f>
        <v>#DIV/0!</v>
      </c>
      <c r="AO113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6">
        <f ca="1">((Table133456[[#This Row],[call vanna]]+Table133456[[#This Row],[put vanna]])*$A$4)</f>
        <v>0</v>
      </c>
      <c r="AR113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6" s="9" t="str" cm="1">
        <f t="array" ref="AT1136">_xlfn.IFS(     $M$1="SPX","SPXW",     $M$1="RUT","RUTW",  $M$1="NDX","NDXP",   TRUE,$M$1 )</f>
        <v>SPXW</v>
      </c>
      <c r="AU1136" s="2">
        <f t="shared" si="112"/>
        <v>6915</v>
      </c>
      <c r="AV1136" t="str">
        <f t="shared" si="113"/>
        <v>000100</v>
      </c>
      <c r="AY113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6">
        <f>((Table133456[[#This Row],[High C]]+Table133456[[#This Row],[Low C]])/2)*Table133456[[#This Row],[gammac]]*Table133456[[#This Row],[Volume]]</f>
        <v>0</v>
      </c>
      <c r="BD1136">
        <f>((Table133456[[#This Row],[High P]]+Table133456[[#This Row],[Low P]])/2)*Table133456[[#This Row],[gammap]]*Table133456[[#This Row],[Volume9]]*-1</f>
        <v>0</v>
      </c>
      <c r="BE1136">
        <f>(Table133456[[#This Row],[SgammaC]]+Table133456[[#This Row],[SgammaP]])*$A$4*-100</f>
        <v>0</v>
      </c>
      <c r="BF1136">
        <f>Table133456[[#This Row],[DEXc]]+Table133456[[#This Row],[DEXp]]</f>
        <v>0</v>
      </c>
      <c r="BG1136">
        <f>IFERROR(Table133456[[#This Row],[DeltaC]]*Table133456[[#This Row],[Open.Int]]*$A$4,0)</f>
        <v>0</v>
      </c>
      <c r="BH1136">
        <f>IFERROR(Table133456[[#This Row],[DeltaP]]*Table133456[[#This Row],[Open.Int8]]*$A$4,0)</f>
        <v>0</v>
      </c>
      <c r="BI113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6">
        <f ca="1">Table133456[[#This Row],[charmc]]+Table133456[[#This Row],[charmp]]</f>
        <v>0</v>
      </c>
      <c r="BL113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6" s="78">
        <f ca="1">Table133456[[#This Row],[call helper]]+Table133456[[#This Row],[put helper]]</f>
        <v>0</v>
      </c>
      <c r="BP1136" t="str">
        <f>RTD("tos.rtd", , "STRIKE", "."&amp;Table133456[[#This Row],[Ticker]]&amp;Table133456[[#This Row],[Expiry]]&amp;""&amp;"C"&amp;Table133456[[#This Row],[Spot]]+Table133456[[#This Row],[step]])</f>
        <v>N/A</v>
      </c>
    </row>
    <row r="1137" spans="1:68" x14ac:dyDescent="0.25">
      <c r="A1137" s="14">
        <f t="shared" ca="1" si="109"/>
        <v>-126.14810350076104</v>
      </c>
      <c r="C1137" s="17"/>
      <c r="D1137" t="str">
        <f>RTD("tos.rtd", , "OPEN_INT", "."&amp;Table133456[[#This Row],[Ticker]]&amp;Table133456[[#This Row],[Expiry]]&amp;""&amp;"C"&amp;Table133456[[#This Row],[Spot]]+Table133456[[#This Row],[step]])</f>
        <v>N/A</v>
      </c>
      <c r="E113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7" s="17" cm="1">
        <f t="array" aca="1" ref="H1137" ca="1">IndividualLegIVCore($A$4, Table133456[[#This Row],[Strike]], 0.0411, Table133456[[#This Row],[T]], ((Table133456[[#This Row],[BIDC]]+Table133456[[#This Row],[ASKC]])/2), TRUE)</f>
        <v>0.01</v>
      </c>
      <c r="I1137" t="b">
        <f>IF(     ISNUMBER(Table133456[[#This Row],[Strike]]),RTD("tos.rtd", , "BID", "."&amp;Table133456[[#This Row],[Ticker]]&amp;Table133456[[#This Row],[Expiry]]&amp;""&amp;"C"&amp;Table133456[[#This Row],[Strike]]))</f>
        <v>0</v>
      </c>
      <c r="J1137" t="b">
        <f>IF(     ISNUMBER(Table133456[[#This Row],[Strike]]),RTD("tos.rtd", , "ASK", "."&amp;Table133456[[#This Row],[Ticker]]&amp;Table133456[[#This Row],[Expiry]]&amp;""&amp;"C"&amp;Table133456[[#This Row],[Strike]]))</f>
        <v>0</v>
      </c>
      <c r="K1137" s="17"/>
      <c r="M1137" s="1">
        <f t="shared" si="110"/>
        <v>0</v>
      </c>
      <c r="N1137" t="b">
        <f t="shared" si="111"/>
        <v>0</v>
      </c>
      <c r="P1137" s="17" cm="1">
        <f t="array" aca="1" ref="P1137" ca="1">IndividualLegIVCore($A$4, Table133456[[#This Row],[Strike]], 0.0411, Table133456[[#This Row],[T]], ((Table133456[[#This Row],[BIDP]]+Table133456[[#This Row],[ASKP]])/2), FALSE)</f>
        <v>0.01</v>
      </c>
      <c r="Q1137" t="b">
        <f>IF(     ISNUMBER(Table133456[[#This Row],[Strike]]),RTD("tos.rtd", , "BID", "."&amp;Table133456[[#This Row],[Ticker]]&amp;Table133456[[#This Row],[Expiry]]&amp;""&amp;"P"&amp;Table133456[[#This Row],[Strike]]))</f>
        <v>0</v>
      </c>
      <c r="R1137" t="b">
        <f>IF(     ISNUMBER(Table133456[[#This Row],[Strike]]),RTD("tos.rtd", , "ASK", "."&amp;Table133456[[#This Row],[Ticker]]&amp;Table133456[[#This Row],[Expiry]]&amp;""&amp;"P"&amp;Table133456[[#This Row],[Strike]]))</f>
        <v>0</v>
      </c>
      <c r="S1137" s="17"/>
      <c r="T113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7" s="19">
        <f>6* IF($M$1="NDX", 10, IF(OR($M$1="SPX", $M$1="RUT"), 2, 1))</f>
        <v>12</v>
      </c>
      <c r="Z1137">
        <f ca="1">IFERROR(Table133456[[#This Row],[call gamma]]*(Table133456[[#This Row],[Open.Int]])*$A$4^2,0)</f>
        <v>0</v>
      </c>
      <c r="AA1137">
        <f ca="1">IFERROR(((Table133456[[#This Row],[Open.Int8]])*Table133456[[#This Row],[Put gamma]])*-1*$A$4^2,0)</f>
        <v>0</v>
      </c>
      <c r="AB1137">
        <f ca="1">(Table133456[[#This Row],[Call Gex]]+Table133456[[#This Row],[Put Gex]])</f>
        <v>0</v>
      </c>
      <c r="AC1137">
        <f ca="1">Table133456[[#This Row],[put delta adj]]+Table133456[[#This Row],[call delta adj]]</f>
        <v>0</v>
      </c>
      <c r="AD1137">
        <f ca="1">Table133456[[#This Row],[Put Gex]]*Table133456[[#This Row],[DeltaP]]*-1</f>
        <v>0</v>
      </c>
      <c r="AE1137">
        <f ca="1">Table133456[[#This Row],[Call Gex]]*Table133456[[#This Row],[DeltaC]]</f>
        <v>0</v>
      </c>
      <c r="AF1137">
        <f>IF(Table133456[[#This Row],[DeltaC]]-ABS(Table133456[[#This Row],[DeltaP]])="0","0.01",Table133456[[#This Row],[DeltaC]]-ABS(Table133456[[#This Row],[DeltaP]]))</f>
        <v>0</v>
      </c>
      <c r="AG113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7" t="e">
        <f ca="1">(EXP(-(AG1137^2)/2)/SQRT(2*PI())*EXP(0*SQRT(Table133456[[#This Row],[T]]))/$A$4*18%*SQRT(SQRT(Table133456[[#This Row],[T]])))</f>
        <v>#DIV/0!</v>
      </c>
      <c r="AJ1137" t="e">
        <f ca="1">(EXP(-(AH1137^2)/2)/SQRT(2*PI())*EXP(0*SQRT(Table133456[[#This Row],[T]]))/$A$4*18%*SQRT(SQRT(Table133456[[#This Row],[T]])))</f>
        <v>#DIV/0!</v>
      </c>
      <c r="AK1137" t="e">
        <f ca="1">Table133456[[#This Row],[Call D1]]-Table133456[[#This Row],[IV Calc C]]*SQRT(Table133456[[#This Row],[T]])</f>
        <v>#DIV/0!</v>
      </c>
      <c r="AL1137" t="e">
        <f ca="1">Table133456[[#This Row],[Put D1]]-Table133456[[#This Row],[IV Calc P]]*SQRT(Table133456[[#This Row],[T]])</f>
        <v>#DIV/0!</v>
      </c>
      <c r="AM1137" t="e">
        <f ca="1">EXP(-0.5*Table133456[[#This Row],[Call D1]]^2)/SQRT(2*PI())</f>
        <v>#DIV/0!</v>
      </c>
      <c r="AN1137" t="e">
        <f ca="1">EXP(-0.5*Table133456[[#This Row],[Put D1]]^2)/SQRT(2*PI())</f>
        <v>#DIV/0!</v>
      </c>
      <c r="AO113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7">
        <f ca="1">((Table133456[[#This Row],[call vanna]]+Table133456[[#This Row],[put vanna]])*$A$4)</f>
        <v>0</v>
      </c>
      <c r="AR113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7" s="9" t="str" cm="1">
        <f t="array" ref="AT1137">_xlfn.IFS(     $M$1="SPX","SPXW",     $M$1="RUT","RUTW",  $M$1="NDX","NDXP",   TRUE,$M$1 )</f>
        <v>SPXW</v>
      </c>
      <c r="AU1137" s="2">
        <f t="shared" si="112"/>
        <v>6915</v>
      </c>
      <c r="AV1137" t="str">
        <f t="shared" si="113"/>
        <v>000100</v>
      </c>
      <c r="AY113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7">
        <f>((Table133456[[#This Row],[High C]]+Table133456[[#This Row],[Low C]])/2)*Table133456[[#This Row],[gammac]]*Table133456[[#This Row],[Volume]]</f>
        <v>0</v>
      </c>
      <c r="BD1137">
        <f>((Table133456[[#This Row],[High P]]+Table133456[[#This Row],[Low P]])/2)*Table133456[[#This Row],[gammap]]*Table133456[[#This Row],[Volume9]]*-1</f>
        <v>0</v>
      </c>
      <c r="BE1137">
        <f>(Table133456[[#This Row],[SgammaC]]+Table133456[[#This Row],[SgammaP]])*$A$4*-100</f>
        <v>0</v>
      </c>
      <c r="BF1137">
        <f>Table133456[[#This Row],[DEXc]]+Table133456[[#This Row],[DEXp]]</f>
        <v>0</v>
      </c>
      <c r="BG1137">
        <f>IFERROR(Table133456[[#This Row],[DeltaC]]*Table133456[[#This Row],[Open.Int]]*$A$4,0)</f>
        <v>0</v>
      </c>
      <c r="BH1137">
        <f>IFERROR(Table133456[[#This Row],[DeltaP]]*Table133456[[#This Row],[Open.Int8]]*$A$4,0)</f>
        <v>0</v>
      </c>
      <c r="BI113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7">
        <f ca="1">Table133456[[#This Row],[charmc]]+Table133456[[#This Row],[charmp]]</f>
        <v>0</v>
      </c>
      <c r="BL113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7" s="78">
        <f ca="1">Table133456[[#This Row],[call helper]]+Table133456[[#This Row],[put helper]]</f>
        <v>0</v>
      </c>
      <c r="BP1137" t="str">
        <f>RTD("tos.rtd", , "STRIKE", "."&amp;Table133456[[#This Row],[Ticker]]&amp;Table133456[[#This Row],[Expiry]]&amp;""&amp;"C"&amp;Table133456[[#This Row],[Spot]]+Table133456[[#This Row],[step]])</f>
        <v>N/A</v>
      </c>
    </row>
    <row r="1138" spans="1:68" x14ac:dyDescent="0.25">
      <c r="A1138" s="14">
        <f t="shared" ca="1" si="109"/>
        <v>-126.14810350076104</v>
      </c>
      <c r="C1138" s="17"/>
      <c r="D1138" t="str">
        <f>RTD("tos.rtd", , "OPEN_INT", "."&amp;Table133456[[#This Row],[Ticker]]&amp;Table133456[[#This Row],[Expiry]]&amp;""&amp;"C"&amp;Table133456[[#This Row],[Spot]]+Table133456[[#This Row],[step]])</f>
        <v>N/A</v>
      </c>
      <c r="E113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8" s="17" cm="1">
        <f t="array" aca="1" ref="H1138" ca="1">IndividualLegIVCore($A$4, Table133456[[#This Row],[Strike]], 0.0411, Table133456[[#This Row],[T]], ((Table133456[[#This Row],[BIDC]]+Table133456[[#This Row],[ASKC]])/2), TRUE)</f>
        <v>0.01</v>
      </c>
      <c r="I1138" t="b">
        <f>IF(     ISNUMBER(Table133456[[#This Row],[Strike]]),RTD("tos.rtd", , "BID", "."&amp;Table133456[[#This Row],[Ticker]]&amp;Table133456[[#This Row],[Expiry]]&amp;""&amp;"C"&amp;Table133456[[#This Row],[Strike]]))</f>
        <v>0</v>
      </c>
      <c r="J1138" t="b">
        <f>IF(     ISNUMBER(Table133456[[#This Row],[Strike]]),RTD("tos.rtd", , "ASK", "."&amp;Table133456[[#This Row],[Ticker]]&amp;Table133456[[#This Row],[Expiry]]&amp;""&amp;"C"&amp;Table133456[[#This Row],[Strike]]))</f>
        <v>0</v>
      </c>
      <c r="K1138" s="17"/>
      <c r="M1138" s="1">
        <f t="shared" si="110"/>
        <v>0</v>
      </c>
      <c r="N1138" t="b">
        <f t="shared" si="111"/>
        <v>0</v>
      </c>
      <c r="P1138" s="17" cm="1">
        <f t="array" aca="1" ref="P1138" ca="1">IndividualLegIVCore($A$4, Table133456[[#This Row],[Strike]], 0.0411, Table133456[[#This Row],[T]], ((Table133456[[#This Row],[BIDP]]+Table133456[[#This Row],[ASKP]])/2), FALSE)</f>
        <v>0.01</v>
      </c>
      <c r="Q1138" t="b">
        <f>IF(     ISNUMBER(Table133456[[#This Row],[Strike]]),RTD("tos.rtd", , "BID", "."&amp;Table133456[[#This Row],[Ticker]]&amp;Table133456[[#This Row],[Expiry]]&amp;""&amp;"P"&amp;Table133456[[#This Row],[Strike]]))</f>
        <v>0</v>
      </c>
      <c r="R1138" t="b">
        <f>IF(     ISNUMBER(Table133456[[#This Row],[Strike]]),RTD("tos.rtd", , "ASK", "."&amp;Table133456[[#This Row],[Ticker]]&amp;Table133456[[#This Row],[Expiry]]&amp;""&amp;"P"&amp;Table133456[[#This Row],[Strike]]))</f>
        <v>0</v>
      </c>
      <c r="S1138" s="17"/>
      <c r="T113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8" s="19">
        <f>6.5* IF($M$1="NDX", 10, IF(OR($M$1="SPX", $M$1="RUT"), 2, 1))</f>
        <v>13</v>
      </c>
      <c r="Z1138">
        <f ca="1">IFERROR(Table133456[[#This Row],[call gamma]]*(Table133456[[#This Row],[Open.Int]])*$A$4^2,0)</f>
        <v>0</v>
      </c>
      <c r="AA1138">
        <f ca="1">IFERROR(((Table133456[[#This Row],[Open.Int8]])*Table133456[[#This Row],[Put gamma]])*-1*$A$4^2,0)</f>
        <v>0</v>
      </c>
      <c r="AB1138">
        <f ca="1">(Table133456[[#This Row],[Call Gex]]+Table133456[[#This Row],[Put Gex]])</f>
        <v>0</v>
      </c>
      <c r="AC1138">
        <f ca="1">Table133456[[#This Row],[put delta adj]]+Table133456[[#This Row],[call delta adj]]</f>
        <v>0</v>
      </c>
      <c r="AD1138">
        <f ca="1">Table133456[[#This Row],[Put Gex]]*Table133456[[#This Row],[DeltaP]]*-1</f>
        <v>0</v>
      </c>
      <c r="AE1138">
        <f ca="1">Table133456[[#This Row],[Call Gex]]*Table133456[[#This Row],[DeltaC]]</f>
        <v>0</v>
      </c>
      <c r="AF1138">
        <f>IF(Table133456[[#This Row],[DeltaC]]-ABS(Table133456[[#This Row],[DeltaP]])="0","0.01",Table133456[[#This Row],[DeltaC]]-ABS(Table133456[[#This Row],[DeltaP]]))</f>
        <v>0</v>
      </c>
      <c r="AG113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8" t="e">
        <f ca="1">(EXP(-(AG1138^2)/2)/SQRT(2*PI())*EXP(0*SQRT(Table133456[[#This Row],[T]]))/$A$4*18%*SQRT(SQRT(Table133456[[#This Row],[T]])))</f>
        <v>#DIV/0!</v>
      </c>
      <c r="AJ1138" t="e">
        <f ca="1">(EXP(-(AH1138^2)/2)/SQRT(2*PI())*EXP(0*SQRT(Table133456[[#This Row],[T]]))/$A$4*18%*SQRT(SQRT(Table133456[[#This Row],[T]])))</f>
        <v>#DIV/0!</v>
      </c>
      <c r="AK1138" t="e">
        <f ca="1">Table133456[[#This Row],[Call D1]]-Table133456[[#This Row],[IV Calc C]]*SQRT(Table133456[[#This Row],[T]])</f>
        <v>#DIV/0!</v>
      </c>
      <c r="AL1138" t="e">
        <f ca="1">Table133456[[#This Row],[Put D1]]-Table133456[[#This Row],[IV Calc P]]*SQRT(Table133456[[#This Row],[T]])</f>
        <v>#DIV/0!</v>
      </c>
      <c r="AM1138" t="e">
        <f ca="1">EXP(-0.5*Table133456[[#This Row],[Call D1]]^2)/SQRT(2*PI())</f>
        <v>#DIV/0!</v>
      </c>
      <c r="AN1138" t="e">
        <f ca="1">EXP(-0.5*Table133456[[#This Row],[Put D1]]^2)/SQRT(2*PI())</f>
        <v>#DIV/0!</v>
      </c>
      <c r="AO113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8">
        <f ca="1">((Table133456[[#This Row],[call vanna]]+Table133456[[#This Row],[put vanna]])*$A$4)</f>
        <v>0</v>
      </c>
      <c r="AR113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8" s="9" t="str" cm="1">
        <f t="array" ref="AT1138">_xlfn.IFS(     $M$1="SPX","SPXW",     $M$1="RUT","RUTW",  $M$1="NDX","NDXP",   TRUE,$M$1 )</f>
        <v>SPXW</v>
      </c>
      <c r="AU1138" s="2">
        <f t="shared" si="112"/>
        <v>6915</v>
      </c>
      <c r="AV1138" t="str">
        <f t="shared" si="113"/>
        <v>000100</v>
      </c>
      <c r="AY113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8">
        <f>((Table133456[[#This Row],[High C]]+Table133456[[#This Row],[Low C]])/2)*Table133456[[#This Row],[gammac]]*Table133456[[#This Row],[Volume]]</f>
        <v>0</v>
      </c>
      <c r="BD1138">
        <f>((Table133456[[#This Row],[High P]]+Table133456[[#This Row],[Low P]])/2)*Table133456[[#This Row],[gammap]]*Table133456[[#This Row],[Volume9]]*-1</f>
        <v>0</v>
      </c>
      <c r="BE1138">
        <f>(Table133456[[#This Row],[SgammaC]]+Table133456[[#This Row],[SgammaP]])*$A$4*-100</f>
        <v>0</v>
      </c>
      <c r="BF1138">
        <f>Table133456[[#This Row],[DEXc]]+Table133456[[#This Row],[DEXp]]</f>
        <v>0</v>
      </c>
      <c r="BG1138">
        <f>IFERROR(Table133456[[#This Row],[DeltaC]]*Table133456[[#This Row],[Open.Int]]*$A$4,0)</f>
        <v>0</v>
      </c>
      <c r="BH1138">
        <f>IFERROR(Table133456[[#This Row],[DeltaP]]*Table133456[[#This Row],[Open.Int8]]*$A$4,0)</f>
        <v>0</v>
      </c>
      <c r="BI113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8">
        <f ca="1">Table133456[[#This Row],[charmc]]+Table133456[[#This Row],[charmp]]</f>
        <v>0</v>
      </c>
      <c r="BL113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8" s="78">
        <f ca="1">Table133456[[#This Row],[call helper]]+Table133456[[#This Row],[put helper]]</f>
        <v>0</v>
      </c>
      <c r="BP1138" t="str">
        <f>RTD("tos.rtd", , "STRIKE", "."&amp;Table133456[[#This Row],[Ticker]]&amp;Table133456[[#This Row],[Expiry]]&amp;""&amp;"C"&amp;Table133456[[#This Row],[Spot]]+Table133456[[#This Row],[step]])</f>
        <v>N/A</v>
      </c>
    </row>
    <row r="1139" spans="1:68" x14ac:dyDescent="0.25">
      <c r="A1139" s="14">
        <f t="shared" ca="1" si="109"/>
        <v>-126.14810350076104</v>
      </c>
      <c r="C1139" s="17"/>
      <c r="D1139" t="str">
        <f>RTD("tos.rtd", , "OPEN_INT", "."&amp;Table133456[[#This Row],[Ticker]]&amp;Table133456[[#This Row],[Expiry]]&amp;""&amp;"C"&amp;Table133456[[#This Row],[Spot]]+Table133456[[#This Row],[step]])</f>
        <v>N/A</v>
      </c>
      <c r="E113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9" s="17" cm="1">
        <f t="array" aca="1" ref="H1139" ca="1">IndividualLegIVCore($A$4, Table133456[[#This Row],[Strike]], 0.0411, Table133456[[#This Row],[T]], ((Table133456[[#This Row],[BIDC]]+Table133456[[#This Row],[ASKC]])/2), TRUE)</f>
        <v>0.01</v>
      </c>
      <c r="I1139" t="b">
        <f>IF(     ISNUMBER(Table133456[[#This Row],[Strike]]),RTD("tos.rtd", , "BID", "."&amp;Table133456[[#This Row],[Ticker]]&amp;Table133456[[#This Row],[Expiry]]&amp;""&amp;"C"&amp;Table133456[[#This Row],[Strike]]))</f>
        <v>0</v>
      </c>
      <c r="J1139" t="b">
        <f>IF(     ISNUMBER(Table133456[[#This Row],[Strike]]),RTD("tos.rtd", , "ASK", "."&amp;Table133456[[#This Row],[Ticker]]&amp;Table133456[[#This Row],[Expiry]]&amp;""&amp;"C"&amp;Table133456[[#This Row],[Strike]]))</f>
        <v>0</v>
      </c>
      <c r="K1139" s="17"/>
      <c r="M1139" s="1">
        <f t="shared" si="110"/>
        <v>0</v>
      </c>
      <c r="N1139" t="b">
        <f t="shared" si="111"/>
        <v>0</v>
      </c>
      <c r="P1139" s="17" cm="1">
        <f t="array" aca="1" ref="P1139" ca="1">IndividualLegIVCore($A$4, Table133456[[#This Row],[Strike]], 0.0411, Table133456[[#This Row],[T]], ((Table133456[[#This Row],[BIDP]]+Table133456[[#This Row],[ASKP]])/2), FALSE)</f>
        <v>0.01</v>
      </c>
      <c r="Q1139" t="b">
        <f>IF(     ISNUMBER(Table133456[[#This Row],[Strike]]),RTD("tos.rtd", , "BID", "."&amp;Table133456[[#This Row],[Ticker]]&amp;Table133456[[#This Row],[Expiry]]&amp;""&amp;"P"&amp;Table133456[[#This Row],[Strike]]))</f>
        <v>0</v>
      </c>
      <c r="R1139" t="b">
        <f>IF(     ISNUMBER(Table133456[[#This Row],[Strike]]),RTD("tos.rtd", , "ASK", "."&amp;Table133456[[#This Row],[Ticker]]&amp;Table133456[[#This Row],[Expiry]]&amp;""&amp;"P"&amp;Table133456[[#This Row],[Strike]]))</f>
        <v>0</v>
      </c>
      <c r="S1139" s="17"/>
      <c r="T113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9" s="19">
        <f>7* IF($M$1="NDX", 10, IF(OR($M$1="SPX", $M$1="RUT"), 2, 1))</f>
        <v>14</v>
      </c>
      <c r="Z1139">
        <f ca="1">IFERROR(Table133456[[#This Row],[call gamma]]*(Table133456[[#This Row],[Open.Int]])*$A$4^2,0)</f>
        <v>0</v>
      </c>
      <c r="AA1139">
        <f ca="1">IFERROR(((Table133456[[#This Row],[Open.Int8]])*Table133456[[#This Row],[Put gamma]])*-1*$A$4^2,0)</f>
        <v>0</v>
      </c>
      <c r="AB1139">
        <f ca="1">(Table133456[[#This Row],[Call Gex]]+Table133456[[#This Row],[Put Gex]])</f>
        <v>0</v>
      </c>
      <c r="AC1139">
        <f ca="1">Table133456[[#This Row],[put delta adj]]+Table133456[[#This Row],[call delta adj]]</f>
        <v>0</v>
      </c>
      <c r="AD1139">
        <f ca="1">Table133456[[#This Row],[Put Gex]]*Table133456[[#This Row],[DeltaP]]*-1</f>
        <v>0</v>
      </c>
      <c r="AE1139">
        <f ca="1">Table133456[[#This Row],[Call Gex]]*Table133456[[#This Row],[DeltaC]]</f>
        <v>0</v>
      </c>
      <c r="AF1139">
        <f>IF(Table133456[[#This Row],[DeltaC]]-ABS(Table133456[[#This Row],[DeltaP]])="0","0.01",Table133456[[#This Row],[DeltaC]]-ABS(Table133456[[#This Row],[DeltaP]]))</f>
        <v>0</v>
      </c>
      <c r="AG113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9" t="e">
        <f ca="1">(EXP(-(AG1139^2)/2)/SQRT(2*PI())*EXP(0*SQRT(Table133456[[#This Row],[T]]))/$A$4*18%*SQRT(SQRT(Table133456[[#This Row],[T]])))</f>
        <v>#DIV/0!</v>
      </c>
      <c r="AJ1139" t="e">
        <f ca="1">(EXP(-(AH1139^2)/2)/SQRT(2*PI())*EXP(0*SQRT(Table133456[[#This Row],[T]]))/$A$4*18%*SQRT(SQRT(Table133456[[#This Row],[T]])))</f>
        <v>#DIV/0!</v>
      </c>
      <c r="AK1139" t="e">
        <f ca="1">Table133456[[#This Row],[Call D1]]-Table133456[[#This Row],[IV Calc C]]*SQRT(Table133456[[#This Row],[T]])</f>
        <v>#DIV/0!</v>
      </c>
      <c r="AL1139" t="e">
        <f ca="1">Table133456[[#This Row],[Put D1]]-Table133456[[#This Row],[IV Calc P]]*SQRT(Table133456[[#This Row],[T]])</f>
        <v>#DIV/0!</v>
      </c>
      <c r="AM1139" t="e">
        <f ca="1">EXP(-0.5*Table133456[[#This Row],[Call D1]]^2)/SQRT(2*PI())</f>
        <v>#DIV/0!</v>
      </c>
      <c r="AN1139" t="e">
        <f ca="1">EXP(-0.5*Table133456[[#This Row],[Put D1]]^2)/SQRT(2*PI())</f>
        <v>#DIV/0!</v>
      </c>
      <c r="AO113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9">
        <f ca="1">((Table133456[[#This Row],[call vanna]]+Table133456[[#This Row],[put vanna]])*$A$4)</f>
        <v>0</v>
      </c>
      <c r="AR113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9" s="9" t="str" cm="1">
        <f t="array" ref="AT1139">_xlfn.IFS(     $M$1="SPX","SPXW",     $M$1="RUT","RUTW",  $M$1="NDX","NDXP",   TRUE,$M$1 )</f>
        <v>SPXW</v>
      </c>
      <c r="AU1139" s="2">
        <f t="shared" si="112"/>
        <v>6915</v>
      </c>
      <c r="AV1139" t="str">
        <f t="shared" si="113"/>
        <v>000100</v>
      </c>
      <c r="AY113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9">
        <f>((Table133456[[#This Row],[High C]]+Table133456[[#This Row],[Low C]])/2)*Table133456[[#This Row],[gammac]]*Table133456[[#This Row],[Volume]]</f>
        <v>0</v>
      </c>
      <c r="BD1139">
        <f>((Table133456[[#This Row],[High P]]+Table133456[[#This Row],[Low P]])/2)*Table133456[[#This Row],[gammap]]*Table133456[[#This Row],[Volume9]]*-1</f>
        <v>0</v>
      </c>
      <c r="BE1139">
        <f>(Table133456[[#This Row],[SgammaC]]+Table133456[[#This Row],[SgammaP]])*$A$4*-100</f>
        <v>0</v>
      </c>
      <c r="BF1139">
        <f>Table133456[[#This Row],[DEXc]]+Table133456[[#This Row],[DEXp]]</f>
        <v>0</v>
      </c>
      <c r="BG1139">
        <f>IFERROR(Table133456[[#This Row],[DeltaC]]*Table133456[[#This Row],[Open.Int]]*$A$4,0)</f>
        <v>0</v>
      </c>
      <c r="BH1139">
        <f>IFERROR(Table133456[[#This Row],[DeltaP]]*Table133456[[#This Row],[Open.Int8]]*$A$4,0)</f>
        <v>0</v>
      </c>
      <c r="BI113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9">
        <f ca="1">Table133456[[#This Row],[charmc]]+Table133456[[#This Row],[charmp]]</f>
        <v>0</v>
      </c>
      <c r="BL113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9" s="78">
        <f ca="1">Table133456[[#This Row],[call helper]]+Table133456[[#This Row],[put helper]]</f>
        <v>0</v>
      </c>
      <c r="BP1139" t="str">
        <f>RTD("tos.rtd", , "STRIKE", "."&amp;Table133456[[#This Row],[Ticker]]&amp;Table133456[[#This Row],[Expiry]]&amp;""&amp;"C"&amp;Table133456[[#This Row],[Spot]]+Table133456[[#This Row],[step]])</f>
        <v>N/A</v>
      </c>
    </row>
    <row r="1140" spans="1:68" x14ac:dyDescent="0.25">
      <c r="A1140" s="14">
        <f t="shared" ca="1" si="109"/>
        <v>-126.14810350076104</v>
      </c>
      <c r="C1140" s="17"/>
      <c r="D1140" t="str">
        <f>RTD("tos.rtd", , "OPEN_INT", "."&amp;Table133456[[#This Row],[Ticker]]&amp;Table133456[[#This Row],[Expiry]]&amp;""&amp;"C"&amp;Table133456[[#This Row],[Spot]]+Table133456[[#This Row],[step]])</f>
        <v>N/A</v>
      </c>
      <c r="E114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0" s="17" cm="1">
        <f t="array" aca="1" ref="H1140" ca="1">IndividualLegIVCore($A$4, Table133456[[#This Row],[Strike]], 0.0411, Table133456[[#This Row],[T]], ((Table133456[[#This Row],[BIDC]]+Table133456[[#This Row],[ASKC]])/2), TRUE)</f>
        <v>0.01</v>
      </c>
      <c r="I1140" t="b">
        <f>IF(     ISNUMBER(Table133456[[#This Row],[Strike]]),RTD("tos.rtd", , "BID", "."&amp;Table133456[[#This Row],[Ticker]]&amp;Table133456[[#This Row],[Expiry]]&amp;""&amp;"C"&amp;Table133456[[#This Row],[Strike]]))</f>
        <v>0</v>
      </c>
      <c r="J1140" t="b">
        <f>IF(     ISNUMBER(Table133456[[#This Row],[Strike]]),RTD("tos.rtd", , "ASK", "."&amp;Table133456[[#This Row],[Ticker]]&amp;Table133456[[#This Row],[Expiry]]&amp;""&amp;"C"&amp;Table133456[[#This Row],[Strike]]))</f>
        <v>0</v>
      </c>
      <c r="K1140" s="17"/>
      <c r="M1140" s="1">
        <f t="shared" si="110"/>
        <v>0</v>
      </c>
      <c r="N1140" t="b">
        <f t="shared" si="111"/>
        <v>0</v>
      </c>
      <c r="P1140" s="17" cm="1">
        <f t="array" aca="1" ref="P1140" ca="1">IndividualLegIVCore($A$4, Table133456[[#This Row],[Strike]], 0.0411, Table133456[[#This Row],[T]], ((Table133456[[#This Row],[BIDP]]+Table133456[[#This Row],[ASKP]])/2), FALSE)</f>
        <v>0.01</v>
      </c>
      <c r="Q1140" t="b">
        <f>IF(     ISNUMBER(Table133456[[#This Row],[Strike]]),RTD("tos.rtd", , "BID", "."&amp;Table133456[[#This Row],[Ticker]]&amp;Table133456[[#This Row],[Expiry]]&amp;""&amp;"P"&amp;Table133456[[#This Row],[Strike]]))</f>
        <v>0</v>
      </c>
      <c r="R1140" t="b">
        <f>IF(     ISNUMBER(Table133456[[#This Row],[Strike]]),RTD("tos.rtd", , "ASK", "."&amp;Table133456[[#This Row],[Ticker]]&amp;Table133456[[#This Row],[Expiry]]&amp;""&amp;"P"&amp;Table133456[[#This Row],[Strike]]))</f>
        <v>0</v>
      </c>
      <c r="S1140" s="17"/>
      <c r="T114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0" s="19">
        <f>7.5* IF($M$1="NDX", 10, IF(OR($M$1="SPX", $M$1="RUT"), 2, 1))</f>
        <v>15</v>
      </c>
      <c r="Z1140">
        <f ca="1">IFERROR(Table133456[[#This Row],[call gamma]]*(Table133456[[#This Row],[Open.Int]])*$A$4^2,0)</f>
        <v>0</v>
      </c>
      <c r="AA1140">
        <f ca="1">IFERROR(((Table133456[[#This Row],[Open.Int8]])*Table133456[[#This Row],[Put gamma]])*-1*$A$4^2,0)</f>
        <v>0</v>
      </c>
      <c r="AB1140">
        <f ca="1">(Table133456[[#This Row],[Call Gex]]+Table133456[[#This Row],[Put Gex]])</f>
        <v>0</v>
      </c>
      <c r="AC1140">
        <f ca="1">Table133456[[#This Row],[put delta adj]]+Table133456[[#This Row],[call delta adj]]</f>
        <v>0</v>
      </c>
      <c r="AD1140">
        <f ca="1">Table133456[[#This Row],[Put Gex]]*Table133456[[#This Row],[DeltaP]]*-1</f>
        <v>0</v>
      </c>
      <c r="AE1140">
        <f ca="1">Table133456[[#This Row],[Call Gex]]*Table133456[[#This Row],[DeltaC]]</f>
        <v>0</v>
      </c>
      <c r="AF1140">
        <f>IF(Table133456[[#This Row],[DeltaC]]-ABS(Table133456[[#This Row],[DeltaP]])="0","0.01",Table133456[[#This Row],[DeltaC]]-ABS(Table133456[[#This Row],[DeltaP]]))</f>
        <v>0</v>
      </c>
      <c r="AG114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0" t="e">
        <f ca="1">(EXP(-(AG1140^2)/2)/SQRT(2*PI())*EXP(0*SQRT(Table133456[[#This Row],[T]]))/$A$4*18%*SQRT(SQRT(Table133456[[#This Row],[T]])))</f>
        <v>#DIV/0!</v>
      </c>
      <c r="AJ1140" t="e">
        <f ca="1">(EXP(-(AH1140^2)/2)/SQRT(2*PI())*EXP(0*SQRT(Table133456[[#This Row],[T]]))/$A$4*18%*SQRT(SQRT(Table133456[[#This Row],[T]])))</f>
        <v>#DIV/0!</v>
      </c>
      <c r="AK1140" t="e">
        <f ca="1">Table133456[[#This Row],[Call D1]]-Table133456[[#This Row],[IV Calc C]]*SQRT(Table133456[[#This Row],[T]])</f>
        <v>#DIV/0!</v>
      </c>
      <c r="AL1140" t="e">
        <f ca="1">Table133456[[#This Row],[Put D1]]-Table133456[[#This Row],[IV Calc P]]*SQRT(Table133456[[#This Row],[T]])</f>
        <v>#DIV/0!</v>
      </c>
      <c r="AM1140" t="e">
        <f ca="1">EXP(-0.5*Table133456[[#This Row],[Call D1]]^2)/SQRT(2*PI())</f>
        <v>#DIV/0!</v>
      </c>
      <c r="AN1140" t="e">
        <f ca="1">EXP(-0.5*Table133456[[#This Row],[Put D1]]^2)/SQRT(2*PI())</f>
        <v>#DIV/0!</v>
      </c>
      <c r="AO114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0">
        <f ca="1">((Table133456[[#This Row],[call vanna]]+Table133456[[#This Row],[put vanna]])*$A$4)</f>
        <v>0</v>
      </c>
      <c r="AR114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0" s="9" t="str" cm="1">
        <f t="array" ref="AT1140">_xlfn.IFS(     $M$1="SPX","SPXW",     $M$1="RUT","RUTW",  $M$1="NDX","NDXP",   TRUE,$M$1 )</f>
        <v>SPXW</v>
      </c>
      <c r="AU1140" s="2">
        <f t="shared" si="112"/>
        <v>6915</v>
      </c>
      <c r="AV1140" t="str">
        <f t="shared" si="113"/>
        <v>000100</v>
      </c>
      <c r="AY114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0">
        <f>((Table133456[[#This Row],[High C]]+Table133456[[#This Row],[Low C]])/2)*Table133456[[#This Row],[gammac]]*Table133456[[#This Row],[Volume]]</f>
        <v>0</v>
      </c>
      <c r="BD1140">
        <f>((Table133456[[#This Row],[High P]]+Table133456[[#This Row],[Low P]])/2)*Table133456[[#This Row],[gammap]]*Table133456[[#This Row],[Volume9]]*-1</f>
        <v>0</v>
      </c>
      <c r="BE1140">
        <f>(Table133456[[#This Row],[SgammaC]]+Table133456[[#This Row],[SgammaP]])*$A$4*-100</f>
        <v>0</v>
      </c>
      <c r="BF1140">
        <f>Table133456[[#This Row],[DEXc]]+Table133456[[#This Row],[DEXp]]</f>
        <v>0</v>
      </c>
      <c r="BG1140">
        <f>IFERROR(Table133456[[#This Row],[DeltaC]]*Table133456[[#This Row],[Open.Int]]*$A$4,0)</f>
        <v>0</v>
      </c>
      <c r="BH1140">
        <f>IFERROR(Table133456[[#This Row],[DeltaP]]*Table133456[[#This Row],[Open.Int8]]*$A$4,0)</f>
        <v>0</v>
      </c>
      <c r="BI114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0">
        <f ca="1">Table133456[[#This Row],[charmc]]+Table133456[[#This Row],[charmp]]</f>
        <v>0</v>
      </c>
      <c r="BL114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0" s="78">
        <f ca="1">Table133456[[#This Row],[call helper]]+Table133456[[#This Row],[put helper]]</f>
        <v>0</v>
      </c>
      <c r="BP1140" t="str">
        <f>RTD("tos.rtd", , "STRIKE", "."&amp;Table133456[[#This Row],[Ticker]]&amp;Table133456[[#This Row],[Expiry]]&amp;""&amp;"C"&amp;Table133456[[#This Row],[Spot]]+Table133456[[#This Row],[step]])</f>
        <v>N/A</v>
      </c>
    </row>
    <row r="1141" spans="1:68" x14ac:dyDescent="0.25">
      <c r="A1141" s="14">
        <f t="shared" ca="1" si="109"/>
        <v>-126.14810350076104</v>
      </c>
      <c r="C1141" s="17"/>
      <c r="D1141" t="str">
        <f>RTD("tos.rtd", , "OPEN_INT", "."&amp;Table133456[[#This Row],[Ticker]]&amp;Table133456[[#This Row],[Expiry]]&amp;""&amp;"C"&amp;Table133456[[#This Row],[Spot]]+Table133456[[#This Row],[step]])</f>
        <v>N/A</v>
      </c>
      <c r="E114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1" s="17" cm="1">
        <f t="array" aca="1" ref="H1141" ca="1">IndividualLegIVCore($A$4, Table133456[[#This Row],[Strike]], 0.0411, Table133456[[#This Row],[T]], ((Table133456[[#This Row],[BIDC]]+Table133456[[#This Row],[ASKC]])/2), TRUE)</f>
        <v>0.01</v>
      </c>
      <c r="I1141" t="b">
        <f>IF(     ISNUMBER(Table133456[[#This Row],[Strike]]),RTD("tos.rtd", , "BID", "."&amp;Table133456[[#This Row],[Ticker]]&amp;Table133456[[#This Row],[Expiry]]&amp;""&amp;"C"&amp;Table133456[[#This Row],[Strike]]))</f>
        <v>0</v>
      </c>
      <c r="J1141" t="b">
        <f>IF(     ISNUMBER(Table133456[[#This Row],[Strike]]),RTD("tos.rtd", , "ASK", "."&amp;Table133456[[#This Row],[Ticker]]&amp;Table133456[[#This Row],[Expiry]]&amp;""&amp;"C"&amp;Table133456[[#This Row],[Strike]]))</f>
        <v>0</v>
      </c>
      <c r="K1141" s="17"/>
      <c r="M1141" s="1">
        <f t="shared" si="110"/>
        <v>0</v>
      </c>
      <c r="N1141" t="b">
        <f t="shared" si="111"/>
        <v>0</v>
      </c>
      <c r="P1141" s="17" cm="1">
        <f t="array" aca="1" ref="P1141" ca="1">IndividualLegIVCore($A$4, Table133456[[#This Row],[Strike]], 0.0411, Table133456[[#This Row],[T]], ((Table133456[[#This Row],[BIDP]]+Table133456[[#This Row],[ASKP]])/2), FALSE)</f>
        <v>0.01</v>
      </c>
      <c r="Q1141" t="b">
        <f>IF(     ISNUMBER(Table133456[[#This Row],[Strike]]),RTD("tos.rtd", , "BID", "."&amp;Table133456[[#This Row],[Ticker]]&amp;Table133456[[#This Row],[Expiry]]&amp;""&amp;"P"&amp;Table133456[[#This Row],[Strike]]))</f>
        <v>0</v>
      </c>
      <c r="R1141" t="b">
        <f>IF(     ISNUMBER(Table133456[[#This Row],[Strike]]),RTD("tos.rtd", , "ASK", "."&amp;Table133456[[#This Row],[Ticker]]&amp;Table133456[[#This Row],[Expiry]]&amp;""&amp;"P"&amp;Table133456[[#This Row],[Strike]]))</f>
        <v>0</v>
      </c>
      <c r="S1141" s="17"/>
      <c r="T114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1" s="19">
        <f>8* IF($M$1="NDX", 10, IF(OR($M$1="SPX", $M$1="RUT"), 2, 1))</f>
        <v>16</v>
      </c>
      <c r="Z1141">
        <f ca="1">IFERROR(Table133456[[#This Row],[call gamma]]*(Table133456[[#This Row],[Open.Int]])*$A$4^2,0)</f>
        <v>0</v>
      </c>
      <c r="AA1141">
        <f ca="1">IFERROR(((Table133456[[#This Row],[Open.Int8]])*Table133456[[#This Row],[Put gamma]])*-1*$A$4^2,0)</f>
        <v>0</v>
      </c>
      <c r="AB1141">
        <f ca="1">(Table133456[[#This Row],[Call Gex]]+Table133456[[#This Row],[Put Gex]])</f>
        <v>0</v>
      </c>
      <c r="AC1141">
        <f ca="1">Table133456[[#This Row],[put delta adj]]+Table133456[[#This Row],[call delta adj]]</f>
        <v>0</v>
      </c>
      <c r="AD1141">
        <f ca="1">Table133456[[#This Row],[Put Gex]]*Table133456[[#This Row],[DeltaP]]*-1</f>
        <v>0</v>
      </c>
      <c r="AE1141">
        <f ca="1">Table133456[[#This Row],[Call Gex]]*Table133456[[#This Row],[DeltaC]]</f>
        <v>0</v>
      </c>
      <c r="AF1141">
        <f>IF(Table133456[[#This Row],[DeltaC]]-ABS(Table133456[[#This Row],[DeltaP]])="0","0.01",Table133456[[#This Row],[DeltaC]]-ABS(Table133456[[#This Row],[DeltaP]]))</f>
        <v>0</v>
      </c>
      <c r="AG114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1" t="e">
        <f ca="1">(EXP(-(AG1141^2)/2)/SQRT(2*PI())*EXP(0*SQRT(Table133456[[#This Row],[T]]))/$A$4*18%*SQRT(SQRT(Table133456[[#This Row],[T]])))</f>
        <v>#DIV/0!</v>
      </c>
      <c r="AJ1141" t="e">
        <f ca="1">(EXP(-(AH1141^2)/2)/SQRT(2*PI())*EXP(0*SQRT(Table133456[[#This Row],[T]]))/$A$4*18%*SQRT(SQRT(Table133456[[#This Row],[T]])))</f>
        <v>#DIV/0!</v>
      </c>
      <c r="AK1141" t="e">
        <f ca="1">Table133456[[#This Row],[Call D1]]-Table133456[[#This Row],[IV Calc C]]*SQRT(Table133456[[#This Row],[T]])</f>
        <v>#DIV/0!</v>
      </c>
      <c r="AL1141" t="e">
        <f ca="1">Table133456[[#This Row],[Put D1]]-Table133456[[#This Row],[IV Calc P]]*SQRT(Table133456[[#This Row],[T]])</f>
        <v>#DIV/0!</v>
      </c>
      <c r="AM1141" t="e">
        <f ca="1">EXP(-0.5*Table133456[[#This Row],[Call D1]]^2)/SQRT(2*PI())</f>
        <v>#DIV/0!</v>
      </c>
      <c r="AN1141" t="e">
        <f ca="1">EXP(-0.5*Table133456[[#This Row],[Put D1]]^2)/SQRT(2*PI())</f>
        <v>#DIV/0!</v>
      </c>
      <c r="AO114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1">
        <f ca="1">((Table133456[[#This Row],[call vanna]]+Table133456[[#This Row],[put vanna]])*$A$4)</f>
        <v>0</v>
      </c>
      <c r="AR114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1" s="9" t="str" cm="1">
        <f t="array" ref="AT1141">_xlfn.IFS(     $M$1="SPX","SPXW",     $M$1="RUT","RUTW",  $M$1="NDX","NDXP",   TRUE,$M$1 )</f>
        <v>SPXW</v>
      </c>
      <c r="AU1141" s="2">
        <f t="shared" si="112"/>
        <v>6915</v>
      </c>
      <c r="AV1141" t="str">
        <f t="shared" si="113"/>
        <v>000100</v>
      </c>
      <c r="AY114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1">
        <f>((Table133456[[#This Row],[High C]]+Table133456[[#This Row],[Low C]])/2)*Table133456[[#This Row],[gammac]]*Table133456[[#This Row],[Volume]]</f>
        <v>0</v>
      </c>
      <c r="BD1141">
        <f>((Table133456[[#This Row],[High P]]+Table133456[[#This Row],[Low P]])/2)*Table133456[[#This Row],[gammap]]*Table133456[[#This Row],[Volume9]]*-1</f>
        <v>0</v>
      </c>
      <c r="BE1141">
        <f>(Table133456[[#This Row],[SgammaC]]+Table133456[[#This Row],[SgammaP]])*$A$4*-100</f>
        <v>0</v>
      </c>
      <c r="BF1141">
        <f>Table133456[[#This Row],[DEXc]]+Table133456[[#This Row],[DEXp]]</f>
        <v>0</v>
      </c>
      <c r="BG1141">
        <f>IFERROR(Table133456[[#This Row],[DeltaC]]*Table133456[[#This Row],[Open.Int]]*$A$4,0)</f>
        <v>0</v>
      </c>
      <c r="BH1141">
        <f>IFERROR(Table133456[[#This Row],[DeltaP]]*Table133456[[#This Row],[Open.Int8]]*$A$4,0)</f>
        <v>0</v>
      </c>
      <c r="BI114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1">
        <f ca="1">Table133456[[#This Row],[charmc]]+Table133456[[#This Row],[charmp]]</f>
        <v>0</v>
      </c>
      <c r="BL114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1" s="78">
        <f ca="1">Table133456[[#This Row],[call helper]]+Table133456[[#This Row],[put helper]]</f>
        <v>0</v>
      </c>
      <c r="BP1141" t="str">
        <f>RTD("tos.rtd", , "STRIKE", "."&amp;Table133456[[#This Row],[Ticker]]&amp;Table133456[[#This Row],[Expiry]]&amp;""&amp;"C"&amp;Table133456[[#This Row],[Spot]]+Table133456[[#This Row],[step]])</f>
        <v>N/A</v>
      </c>
    </row>
    <row r="1142" spans="1:68" x14ac:dyDescent="0.25">
      <c r="A1142" s="14">
        <f t="shared" ca="1" si="109"/>
        <v>-126.14810350076104</v>
      </c>
      <c r="C1142" s="17"/>
      <c r="D1142" t="str">
        <f>RTD("tos.rtd", , "OPEN_INT", "."&amp;Table133456[[#This Row],[Ticker]]&amp;Table133456[[#This Row],[Expiry]]&amp;""&amp;"C"&amp;Table133456[[#This Row],[Spot]]+Table133456[[#This Row],[step]])</f>
        <v>N/A</v>
      </c>
      <c r="E114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2" s="17" cm="1">
        <f t="array" aca="1" ref="H1142" ca="1">IndividualLegIVCore($A$4, Table133456[[#This Row],[Strike]], 0.0411, Table133456[[#This Row],[T]], ((Table133456[[#This Row],[BIDC]]+Table133456[[#This Row],[ASKC]])/2), TRUE)</f>
        <v>0.01</v>
      </c>
      <c r="I1142" t="b">
        <f>IF(     ISNUMBER(Table133456[[#This Row],[Strike]]),RTD("tos.rtd", , "BID", "."&amp;Table133456[[#This Row],[Ticker]]&amp;Table133456[[#This Row],[Expiry]]&amp;""&amp;"C"&amp;Table133456[[#This Row],[Strike]]))</f>
        <v>0</v>
      </c>
      <c r="J1142" t="b">
        <f>IF(     ISNUMBER(Table133456[[#This Row],[Strike]]),RTD("tos.rtd", , "ASK", "."&amp;Table133456[[#This Row],[Ticker]]&amp;Table133456[[#This Row],[Expiry]]&amp;""&amp;"C"&amp;Table133456[[#This Row],[Strike]]))</f>
        <v>0</v>
      </c>
      <c r="K1142" s="17"/>
      <c r="M1142" s="1">
        <f t="shared" si="110"/>
        <v>0</v>
      </c>
      <c r="N1142" t="b">
        <f t="shared" si="111"/>
        <v>0</v>
      </c>
      <c r="P1142" s="17" cm="1">
        <f t="array" aca="1" ref="P1142" ca="1">IndividualLegIVCore($A$4, Table133456[[#This Row],[Strike]], 0.0411, Table133456[[#This Row],[T]], ((Table133456[[#This Row],[BIDP]]+Table133456[[#This Row],[ASKP]])/2), FALSE)</f>
        <v>0.01</v>
      </c>
      <c r="Q1142" t="b">
        <f>IF(     ISNUMBER(Table133456[[#This Row],[Strike]]),RTD("tos.rtd", , "BID", "."&amp;Table133456[[#This Row],[Ticker]]&amp;Table133456[[#This Row],[Expiry]]&amp;""&amp;"P"&amp;Table133456[[#This Row],[Strike]]))</f>
        <v>0</v>
      </c>
      <c r="R1142" t="b">
        <f>IF(     ISNUMBER(Table133456[[#This Row],[Strike]]),RTD("tos.rtd", , "ASK", "."&amp;Table133456[[#This Row],[Ticker]]&amp;Table133456[[#This Row],[Expiry]]&amp;""&amp;"P"&amp;Table133456[[#This Row],[Strike]]))</f>
        <v>0</v>
      </c>
      <c r="S1142" s="17"/>
      <c r="T114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2" s="19">
        <f>8.5* IF($M$1="NDX", 10, IF(OR($M$1="SPX", $M$1="RUT"), 2, 1))</f>
        <v>17</v>
      </c>
      <c r="Z1142">
        <f ca="1">IFERROR(Table133456[[#This Row],[call gamma]]*(Table133456[[#This Row],[Open.Int]])*$A$4^2,0)</f>
        <v>0</v>
      </c>
      <c r="AA1142">
        <f ca="1">IFERROR(((Table133456[[#This Row],[Open.Int8]])*Table133456[[#This Row],[Put gamma]])*-1*$A$4^2,0)</f>
        <v>0</v>
      </c>
      <c r="AB1142">
        <f ca="1">(Table133456[[#This Row],[Call Gex]]+Table133456[[#This Row],[Put Gex]])</f>
        <v>0</v>
      </c>
      <c r="AC1142">
        <f ca="1">Table133456[[#This Row],[put delta adj]]+Table133456[[#This Row],[call delta adj]]</f>
        <v>0</v>
      </c>
      <c r="AD1142">
        <f ca="1">Table133456[[#This Row],[Put Gex]]*Table133456[[#This Row],[DeltaP]]*-1</f>
        <v>0</v>
      </c>
      <c r="AE1142">
        <f ca="1">Table133456[[#This Row],[Call Gex]]*Table133456[[#This Row],[DeltaC]]</f>
        <v>0</v>
      </c>
      <c r="AF1142">
        <f>IF(Table133456[[#This Row],[DeltaC]]-ABS(Table133456[[#This Row],[DeltaP]])="0","0.01",Table133456[[#This Row],[DeltaC]]-ABS(Table133456[[#This Row],[DeltaP]]))</f>
        <v>0</v>
      </c>
      <c r="AG114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2" t="e">
        <f ca="1">(EXP(-(AG1142^2)/2)/SQRT(2*PI())*EXP(0*SQRT(Table133456[[#This Row],[T]]))/$A$4*18%*SQRT(SQRT(Table133456[[#This Row],[T]])))</f>
        <v>#DIV/0!</v>
      </c>
      <c r="AJ1142" t="e">
        <f ca="1">(EXP(-(AH1142^2)/2)/SQRT(2*PI())*EXP(0*SQRT(Table133456[[#This Row],[T]]))/$A$4*18%*SQRT(SQRT(Table133456[[#This Row],[T]])))</f>
        <v>#DIV/0!</v>
      </c>
      <c r="AK1142" t="e">
        <f ca="1">Table133456[[#This Row],[Call D1]]-Table133456[[#This Row],[IV Calc C]]*SQRT(Table133456[[#This Row],[T]])</f>
        <v>#DIV/0!</v>
      </c>
      <c r="AL1142" t="e">
        <f ca="1">Table133456[[#This Row],[Put D1]]-Table133456[[#This Row],[IV Calc P]]*SQRT(Table133456[[#This Row],[T]])</f>
        <v>#DIV/0!</v>
      </c>
      <c r="AM1142" t="e">
        <f ca="1">EXP(-0.5*Table133456[[#This Row],[Call D1]]^2)/SQRT(2*PI())</f>
        <v>#DIV/0!</v>
      </c>
      <c r="AN1142" t="e">
        <f ca="1">EXP(-0.5*Table133456[[#This Row],[Put D1]]^2)/SQRT(2*PI())</f>
        <v>#DIV/0!</v>
      </c>
      <c r="AO114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2">
        <f ca="1">((Table133456[[#This Row],[call vanna]]+Table133456[[#This Row],[put vanna]])*$A$4)</f>
        <v>0</v>
      </c>
      <c r="AR114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2" s="9" t="str" cm="1">
        <f t="array" ref="AT1142">_xlfn.IFS(     $M$1="SPX","SPXW",     $M$1="RUT","RUTW",  $M$1="NDX","NDXP",   TRUE,$M$1 )</f>
        <v>SPXW</v>
      </c>
      <c r="AU1142" s="2">
        <f t="shared" si="112"/>
        <v>6915</v>
      </c>
      <c r="AV1142" t="str">
        <f t="shared" si="113"/>
        <v>000100</v>
      </c>
      <c r="AY114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2">
        <f>((Table133456[[#This Row],[High C]]+Table133456[[#This Row],[Low C]])/2)*Table133456[[#This Row],[gammac]]*Table133456[[#This Row],[Volume]]</f>
        <v>0</v>
      </c>
      <c r="BD1142">
        <f>((Table133456[[#This Row],[High P]]+Table133456[[#This Row],[Low P]])/2)*Table133456[[#This Row],[gammap]]*Table133456[[#This Row],[Volume9]]*-1</f>
        <v>0</v>
      </c>
      <c r="BE1142">
        <f>(Table133456[[#This Row],[SgammaC]]+Table133456[[#This Row],[SgammaP]])*$A$4*-100</f>
        <v>0</v>
      </c>
      <c r="BF1142">
        <f>Table133456[[#This Row],[DEXc]]+Table133456[[#This Row],[DEXp]]</f>
        <v>0</v>
      </c>
      <c r="BG1142">
        <f>IFERROR(Table133456[[#This Row],[DeltaC]]*Table133456[[#This Row],[Open.Int]]*$A$4,0)</f>
        <v>0</v>
      </c>
      <c r="BH1142">
        <f>IFERROR(Table133456[[#This Row],[DeltaP]]*Table133456[[#This Row],[Open.Int8]]*$A$4,0)</f>
        <v>0</v>
      </c>
      <c r="BI114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2">
        <f ca="1">Table133456[[#This Row],[charmc]]+Table133456[[#This Row],[charmp]]</f>
        <v>0</v>
      </c>
      <c r="BL114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2" s="78">
        <f ca="1">Table133456[[#This Row],[call helper]]+Table133456[[#This Row],[put helper]]</f>
        <v>0</v>
      </c>
      <c r="BP1142" t="str">
        <f>RTD("tos.rtd", , "STRIKE", "."&amp;Table133456[[#This Row],[Ticker]]&amp;Table133456[[#This Row],[Expiry]]&amp;""&amp;"C"&amp;Table133456[[#This Row],[Spot]]+Table133456[[#This Row],[step]])</f>
        <v>N/A</v>
      </c>
    </row>
    <row r="1143" spans="1:68" x14ac:dyDescent="0.25">
      <c r="A1143" s="14">
        <f t="shared" ca="1" si="109"/>
        <v>-126.14810350076104</v>
      </c>
      <c r="C1143" s="17"/>
      <c r="D1143" t="str">
        <f>RTD("tos.rtd", , "OPEN_INT", "."&amp;Table133456[[#This Row],[Ticker]]&amp;Table133456[[#This Row],[Expiry]]&amp;""&amp;"C"&amp;Table133456[[#This Row],[Spot]]+Table133456[[#This Row],[step]])</f>
        <v>N/A</v>
      </c>
      <c r="E114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3" s="17" cm="1">
        <f t="array" aca="1" ref="H1143" ca="1">IndividualLegIVCore($A$4, Table133456[[#This Row],[Strike]], 0.0411, Table133456[[#This Row],[T]], ((Table133456[[#This Row],[BIDC]]+Table133456[[#This Row],[ASKC]])/2), TRUE)</f>
        <v>0.01</v>
      </c>
      <c r="I1143" t="b">
        <f>IF(     ISNUMBER(Table133456[[#This Row],[Strike]]),RTD("tos.rtd", , "BID", "."&amp;Table133456[[#This Row],[Ticker]]&amp;Table133456[[#This Row],[Expiry]]&amp;""&amp;"C"&amp;Table133456[[#This Row],[Strike]]))</f>
        <v>0</v>
      </c>
      <c r="J1143" t="b">
        <f>IF(     ISNUMBER(Table133456[[#This Row],[Strike]]),RTD("tos.rtd", , "ASK", "."&amp;Table133456[[#This Row],[Ticker]]&amp;Table133456[[#This Row],[Expiry]]&amp;""&amp;"C"&amp;Table133456[[#This Row],[Strike]]))</f>
        <v>0</v>
      </c>
      <c r="K1143" s="17"/>
      <c r="M1143" s="1">
        <f t="shared" si="110"/>
        <v>0</v>
      </c>
      <c r="N1143" t="b">
        <f t="shared" si="111"/>
        <v>0</v>
      </c>
      <c r="P1143" s="17" cm="1">
        <f t="array" aca="1" ref="P1143" ca="1">IndividualLegIVCore($A$4, Table133456[[#This Row],[Strike]], 0.0411, Table133456[[#This Row],[T]], ((Table133456[[#This Row],[BIDP]]+Table133456[[#This Row],[ASKP]])/2), FALSE)</f>
        <v>0.01</v>
      </c>
      <c r="Q1143" t="b">
        <f>IF(     ISNUMBER(Table133456[[#This Row],[Strike]]),RTD("tos.rtd", , "BID", "."&amp;Table133456[[#This Row],[Ticker]]&amp;Table133456[[#This Row],[Expiry]]&amp;""&amp;"P"&amp;Table133456[[#This Row],[Strike]]))</f>
        <v>0</v>
      </c>
      <c r="R1143" t="b">
        <f>IF(     ISNUMBER(Table133456[[#This Row],[Strike]]),RTD("tos.rtd", , "ASK", "."&amp;Table133456[[#This Row],[Ticker]]&amp;Table133456[[#This Row],[Expiry]]&amp;""&amp;"P"&amp;Table133456[[#This Row],[Strike]]))</f>
        <v>0</v>
      </c>
      <c r="S1143" s="17"/>
      <c r="T114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3" s="19">
        <f>9* IF($M$1="NDX", 10, IF(OR($M$1="SPX", $M$1="RUT"), 2, 1))</f>
        <v>18</v>
      </c>
      <c r="Z1143">
        <f ca="1">IFERROR(Table133456[[#This Row],[call gamma]]*(Table133456[[#This Row],[Open.Int]])*$A$4^2,0)</f>
        <v>0</v>
      </c>
      <c r="AA1143">
        <f ca="1">IFERROR(((Table133456[[#This Row],[Open.Int8]])*Table133456[[#This Row],[Put gamma]])*-1*$A$4^2,0)</f>
        <v>0</v>
      </c>
      <c r="AB1143">
        <f ca="1">(Table133456[[#This Row],[Call Gex]]+Table133456[[#This Row],[Put Gex]])</f>
        <v>0</v>
      </c>
      <c r="AC1143">
        <f ca="1">Table133456[[#This Row],[put delta adj]]+Table133456[[#This Row],[call delta adj]]</f>
        <v>0</v>
      </c>
      <c r="AD1143">
        <f ca="1">Table133456[[#This Row],[Put Gex]]*Table133456[[#This Row],[DeltaP]]*-1</f>
        <v>0</v>
      </c>
      <c r="AE1143">
        <f ca="1">Table133456[[#This Row],[Call Gex]]*Table133456[[#This Row],[DeltaC]]</f>
        <v>0</v>
      </c>
      <c r="AF1143">
        <f>IF(Table133456[[#This Row],[DeltaC]]-ABS(Table133456[[#This Row],[DeltaP]])="0","0.01",Table133456[[#This Row],[DeltaC]]-ABS(Table133456[[#This Row],[DeltaP]]))</f>
        <v>0</v>
      </c>
      <c r="AG114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3" t="e">
        <f ca="1">(EXP(-(AG1143^2)/2)/SQRT(2*PI())*EXP(0*SQRT(Table133456[[#This Row],[T]]))/$A$4*18%*SQRT(SQRT(Table133456[[#This Row],[T]])))</f>
        <v>#DIV/0!</v>
      </c>
      <c r="AJ1143" t="e">
        <f ca="1">(EXP(-(AH1143^2)/2)/SQRT(2*PI())*EXP(0*SQRT(Table133456[[#This Row],[T]]))/$A$4*18%*SQRT(SQRT(Table133456[[#This Row],[T]])))</f>
        <v>#DIV/0!</v>
      </c>
      <c r="AK1143" t="e">
        <f ca="1">Table133456[[#This Row],[Call D1]]-Table133456[[#This Row],[IV Calc C]]*SQRT(Table133456[[#This Row],[T]])</f>
        <v>#DIV/0!</v>
      </c>
      <c r="AL1143" t="e">
        <f ca="1">Table133456[[#This Row],[Put D1]]-Table133456[[#This Row],[IV Calc P]]*SQRT(Table133456[[#This Row],[T]])</f>
        <v>#DIV/0!</v>
      </c>
      <c r="AM1143" t="e">
        <f ca="1">EXP(-0.5*Table133456[[#This Row],[Call D1]]^2)/SQRT(2*PI())</f>
        <v>#DIV/0!</v>
      </c>
      <c r="AN1143" t="e">
        <f ca="1">EXP(-0.5*Table133456[[#This Row],[Put D1]]^2)/SQRT(2*PI())</f>
        <v>#DIV/0!</v>
      </c>
      <c r="AO114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3">
        <f ca="1">((Table133456[[#This Row],[call vanna]]+Table133456[[#This Row],[put vanna]])*$A$4)</f>
        <v>0</v>
      </c>
      <c r="AR114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3" s="9" t="str" cm="1">
        <f t="array" ref="AT1143">_xlfn.IFS(     $M$1="SPX","SPXW",     $M$1="RUT","RUTW",  $M$1="NDX","NDXP",   TRUE,$M$1 )</f>
        <v>SPXW</v>
      </c>
      <c r="AU1143" s="2">
        <f t="shared" si="112"/>
        <v>6915</v>
      </c>
      <c r="AV1143" t="str">
        <f t="shared" si="113"/>
        <v>000100</v>
      </c>
      <c r="AY114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3">
        <f>((Table133456[[#This Row],[High C]]+Table133456[[#This Row],[Low C]])/2)*Table133456[[#This Row],[gammac]]*Table133456[[#This Row],[Volume]]</f>
        <v>0</v>
      </c>
      <c r="BD1143">
        <f>((Table133456[[#This Row],[High P]]+Table133456[[#This Row],[Low P]])/2)*Table133456[[#This Row],[gammap]]*Table133456[[#This Row],[Volume9]]*-1</f>
        <v>0</v>
      </c>
      <c r="BE1143">
        <f>(Table133456[[#This Row],[SgammaC]]+Table133456[[#This Row],[SgammaP]])*$A$4*-100</f>
        <v>0</v>
      </c>
      <c r="BF1143">
        <f>Table133456[[#This Row],[DEXc]]+Table133456[[#This Row],[DEXp]]</f>
        <v>0</v>
      </c>
      <c r="BG1143">
        <f>IFERROR(Table133456[[#This Row],[DeltaC]]*Table133456[[#This Row],[Open.Int]]*$A$4,0)</f>
        <v>0</v>
      </c>
      <c r="BH1143">
        <f>IFERROR(Table133456[[#This Row],[DeltaP]]*Table133456[[#This Row],[Open.Int8]]*$A$4,0)</f>
        <v>0</v>
      </c>
      <c r="BI114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3">
        <f ca="1">Table133456[[#This Row],[charmc]]+Table133456[[#This Row],[charmp]]</f>
        <v>0</v>
      </c>
      <c r="BL114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3" s="78">
        <f ca="1">Table133456[[#This Row],[call helper]]+Table133456[[#This Row],[put helper]]</f>
        <v>0</v>
      </c>
      <c r="BP1143" t="str">
        <f>RTD("tos.rtd", , "STRIKE", "."&amp;Table133456[[#This Row],[Ticker]]&amp;Table133456[[#This Row],[Expiry]]&amp;""&amp;"C"&amp;Table133456[[#This Row],[Spot]]+Table133456[[#This Row],[step]])</f>
        <v>N/A</v>
      </c>
    </row>
    <row r="1144" spans="1:68" x14ac:dyDescent="0.25">
      <c r="A1144" s="14">
        <f t="shared" ca="1" si="109"/>
        <v>-126.14810350076104</v>
      </c>
      <c r="C1144" s="17"/>
      <c r="D1144" t="str">
        <f>RTD("tos.rtd", , "OPEN_INT", "."&amp;Table133456[[#This Row],[Ticker]]&amp;Table133456[[#This Row],[Expiry]]&amp;""&amp;"C"&amp;Table133456[[#This Row],[Spot]]+Table133456[[#This Row],[step]])</f>
        <v>N/A</v>
      </c>
      <c r="E114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4" s="17" cm="1">
        <f t="array" aca="1" ref="H1144" ca="1">IndividualLegIVCore($A$4, Table133456[[#This Row],[Strike]], 0.0411, Table133456[[#This Row],[T]], ((Table133456[[#This Row],[BIDC]]+Table133456[[#This Row],[ASKC]])/2), TRUE)</f>
        <v>0.01</v>
      </c>
      <c r="I1144" t="b">
        <f>IF(     ISNUMBER(Table133456[[#This Row],[Strike]]),RTD("tos.rtd", , "BID", "."&amp;Table133456[[#This Row],[Ticker]]&amp;Table133456[[#This Row],[Expiry]]&amp;""&amp;"C"&amp;Table133456[[#This Row],[Strike]]))</f>
        <v>0</v>
      </c>
      <c r="J1144" t="b">
        <f>IF(     ISNUMBER(Table133456[[#This Row],[Strike]]),RTD("tos.rtd", , "ASK", "."&amp;Table133456[[#This Row],[Ticker]]&amp;Table133456[[#This Row],[Expiry]]&amp;""&amp;"C"&amp;Table133456[[#This Row],[Strike]]))</f>
        <v>0</v>
      </c>
      <c r="K1144" s="17"/>
      <c r="M1144" s="1">
        <f t="shared" si="110"/>
        <v>0</v>
      </c>
      <c r="N1144" t="b">
        <f t="shared" si="111"/>
        <v>0</v>
      </c>
      <c r="P1144" s="17" cm="1">
        <f t="array" aca="1" ref="P1144" ca="1">IndividualLegIVCore($A$4, Table133456[[#This Row],[Strike]], 0.0411, Table133456[[#This Row],[T]], ((Table133456[[#This Row],[BIDP]]+Table133456[[#This Row],[ASKP]])/2), FALSE)</f>
        <v>0.01</v>
      </c>
      <c r="Q1144" t="b">
        <f>IF(     ISNUMBER(Table133456[[#This Row],[Strike]]),RTD("tos.rtd", , "BID", "."&amp;Table133456[[#This Row],[Ticker]]&amp;Table133456[[#This Row],[Expiry]]&amp;""&amp;"P"&amp;Table133456[[#This Row],[Strike]]))</f>
        <v>0</v>
      </c>
      <c r="R1144" t="b">
        <f>IF(     ISNUMBER(Table133456[[#This Row],[Strike]]),RTD("tos.rtd", , "ASK", "."&amp;Table133456[[#This Row],[Ticker]]&amp;Table133456[[#This Row],[Expiry]]&amp;""&amp;"P"&amp;Table133456[[#This Row],[Strike]]))</f>
        <v>0</v>
      </c>
      <c r="S1144" s="17"/>
      <c r="T114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4" s="19">
        <f>9.5* IF($M$1="NDX", 10, IF(OR($M$1="SPX", $M$1="RUT"), 2, 1))</f>
        <v>19</v>
      </c>
      <c r="Z1144">
        <f ca="1">IFERROR(Table133456[[#This Row],[call gamma]]*(Table133456[[#This Row],[Open.Int]])*$A$4^2,0)</f>
        <v>0</v>
      </c>
      <c r="AA1144">
        <f ca="1">IFERROR(((Table133456[[#This Row],[Open.Int8]])*Table133456[[#This Row],[Put gamma]])*-1*$A$4^2,0)</f>
        <v>0</v>
      </c>
      <c r="AB1144">
        <f ca="1">(Table133456[[#This Row],[Call Gex]]+Table133456[[#This Row],[Put Gex]])</f>
        <v>0</v>
      </c>
      <c r="AC1144">
        <f ca="1">Table133456[[#This Row],[put delta adj]]+Table133456[[#This Row],[call delta adj]]</f>
        <v>0</v>
      </c>
      <c r="AD1144">
        <f ca="1">Table133456[[#This Row],[Put Gex]]*Table133456[[#This Row],[DeltaP]]*-1</f>
        <v>0</v>
      </c>
      <c r="AE1144">
        <f ca="1">Table133456[[#This Row],[Call Gex]]*Table133456[[#This Row],[DeltaC]]</f>
        <v>0</v>
      </c>
      <c r="AF1144">
        <f>IF(Table133456[[#This Row],[DeltaC]]-ABS(Table133456[[#This Row],[DeltaP]])="0","0.01",Table133456[[#This Row],[DeltaC]]-ABS(Table133456[[#This Row],[DeltaP]]))</f>
        <v>0</v>
      </c>
      <c r="AG114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4" t="e">
        <f ca="1">(EXP(-(AG1144^2)/2)/SQRT(2*PI())*EXP(0*SQRT(Table133456[[#This Row],[T]]))/$A$4*18%*SQRT(SQRT(Table133456[[#This Row],[T]])))</f>
        <v>#DIV/0!</v>
      </c>
      <c r="AJ1144" t="e">
        <f ca="1">(EXP(-(AH1144^2)/2)/SQRT(2*PI())*EXP(0*SQRT(Table133456[[#This Row],[T]]))/$A$4*18%*SQRT(SQRT(Table133456[[#This Row],[T]])))</f>
        <v>#DIV/0!</v>
      </c>
      <c r="AK1144" t="e">
        <f ca="1">Table133456[[#This Row],[Call D1]]-Table133456[[#This Row],[IV Calc C]]*SQRT(Table133456[[#This Row],[T]])</f>
        <v>#DIV/0!</v>
      </c>
      <c r="AL1144" t="e">
        <f ca="1">Table133456[[#This Row],[Put D1]]-Table133456[[#This Row],[IV Calc P]]*SQRT(Table133456[[#This Row],[T]])</f>
        <v>#DIV/0!</v>
      </c>
      <c r="AM1144" t="e">
        <f ca="1">EXP(-0.5*Table133456[[#This Row],[Call D1]]^2)/SQRT(2*PI())</f>
        <v>#DIV/0!</v>
      </c>
      <c r="AN1144" t="e">
        <f ca="1">EXP(-0.5*Table133456[[#This Row],[Put D1]]^2)/SQRT(2*PI())</f>
        <v>#DIV/0!</v>
      </c>
      <c r="AO114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4">
        <f ca="1">((Table133456[[#This Row],[call vanna]]+Table133456[[#This Row],[put vanna]])*$A$4)</f>
        <v>0</v>
      </c>
      <c r="AR114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4" s="9" t="str" cm="1">
        <f t="array" ref="AT1144">_xlfn.IFS(     $M$1="SPX","SPXW",     $M$1="RUT","RUTW",  $M$1="NDX","NDXP",   TRUE,$M$1 )</f>
        <v>SPXW</v>
      </c>
      <c r="AU1144" s="2">
        <f t="shared" si="112"/>
        <v>6915</v>
      </c>
      <c r="AV1144" t="str">
        <f t="shared" si="113"/>
        <v>000100</v>
      </c>
      <c r="AY114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4">
        <f>((Table133456[[#This Row],[High C]]+Table133456[[#This Row],[Low C]])/2)*Table133456[[#This Row],[gammac]]*Table133456[[#This Row],[Volume]]</f>
        <v>0</v>
      </c>
      <c r="BD1144">
        <f>((Table133456[[#This Row],[High P]]+Table133456[[#This Row],[Low P]])/2)*Table133456[[#This Row],[gammap]]*Table133456[[#This Row],[Volume9]]*-1</f>
        <v>0</v>
      </c>
      <c r="BE1144">
        <f>(Table133456[[#This Row],[SgammaC]]+Table133456[[#This Row],[SgammaP]])*$A$4*-100</f>
        <v>0</v>
      </c>
      <c r="BF1144">
        <f>Table133456[[#This Row],[DEXc]]+Table133456[[#This Row],[DEXp]]</f>
        <v>0</v>
      </c>
      <c r="BG1144">
        <f>IFERROR(Table133456[[#This Row],[DeltaC]]*Table133456[[#This Row],[Open.Int]]*$A$4,0)</f>
        <v>0</v>
      </c>
      <c r="BH1144">
        <f>IFERROR(Table133456[[#This Row],[DeltaP]]*Table133456[[#This Row],[Open.Int8]]*$A$4,0)</f>
        <v>0</v>
      </c>
      <c r="BI114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4">
        <f ca="1">Table133456[[#This Row],[charmc]]+Table133456[[#This Row],[charmp]]</f>
        <v>0</v>
      </c>
      <c r="BL114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4" s="78">
        <f ca="1">Table133456[[#This Row],[call helper]]+Table133456[[#This Row],[put helper]]</f>
        <v>0</v>
      </c>
      <c r="BP1144" t="str">
        <f>RTD("tos.rtd", , "STRIKE", "."&amp;Table133456[[#This Row],[Ticker]]&amp;Table133456[[#This Row],[Expiry]]&amp;""&amp;"C"&amp;Table133456[[#This Row],[Spot]]+Table133456[[#This Row],[step]])</f>
        <v>N/A</v>
      </c>
    </row>
    <row r="1145" spans="1:68" x14ac:dyDescent="0.25">
      <c r="A1145" s="14">
        <f t="shared" ca="1" si="109"/>
        <v>-126.14810350076104</v>
      </c>
      <c r="C1145" s="17"/>
      <c r="D1145" t="str">
        <f>RTD("tos.rtd", , "OPEN_INT", "."&amp;Table133456[[#This Row],[Ticker]]&amp;Table133456[[#This Row],[Expiry]]&amp;""&amp;"C"&amp;Table133456[[#This Row],[Spot]]+Table133456[[#This Row],[step]])</f>
        <v>N/A</v>
      </c>
      <c r="E114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5" s="17" cm="1">
        <f t="array" aca="1" ref="H1145" ca="1">IndividualLegIVCore($A$4, Table133456[[#This Row],[Strike]], 0.0411, Table133456[[#This Row],[T]], ((Table133456[[#This Row],[BIDC]]+Table133456[[#This Row],[ASKC]])/2), TRUE)</f>
        <v>0.01</v>
      </c>
      <c r="I1145" t="b">
        <f>IF(     ISNUMBER(Table133456[[#This Row],[Strike]]),RTD("tos.rtd", , "BID", "."&amp;Table133456[[#This Row],[Ticker]]&amp;Table133456[[#This Row],[Expiry]]&amp;""&amp;"C"&amp;Table133456[[#This Row],[Strike]]))</f>
        <v>0</v>
      </c>
      <c r="J1145" t="b">
        <f>IF(     ISNUMBER(Table133456[[#This Row],[Strike]]),RTD("tos.rtd", , "ASK", "."&amp;Table133456[[#This Row],[Ticker]]&amp;Table133456[[#This Row],[Expiry]]&amp;""&amp;"C"&amp;Table133456[[#This Row],[Strike]]))</f>
        <v>0</v>
      </c>
      <c r="K1145" s="17"/>
      <c r="M1145" s="1">
        <f t="shared" si="110"/>
        <v>0</v>
      </c>
      <c r="N1145" t="b">
        <f t="shared" si="111"/>
        <v>0</v>
      </c>
      <c r="P1145" s="17" cm="1">
        <f t="array" aca="1" ref="P1145" ca="1">IndividualLegIVCore($A$4, Table133456[[#This Row],[Strike]], 0.0411, Table133456[[#This Row],[T]], ((Table133456[[#This Row],[BIDP]]+Table133456[[#This Row],[ASKP]])/2), FALSE)</f>
        <v>0.01</v>
      </c>
      <c r="Q1145" t="b">
        <f>IF(     ISNUMBER(Table133456[[#This Row],[Strike]]),RTD("tos.rtd", , "BID", "."&amp;Table133456[[#This Row],[Ticker]]&amp;Table133456[[#This Row],[Expiry]]&amp;""&amp;"P"&amp;Table133456[[#This Row],[Strike]]))</f>
        <v>0</v>
      </c>
      <c r="R1145" t="b">
        <f>IF(     ISNUMBER(Table133456[[#This Row],[Strike]]),RTD("tos.rtd", , "ASK", "."&amp;Table133456[[#This Row],[Ticker]]&amp;Table133456[[#This Row],[Expiry]]&amp;""&amp;"P"&amp;Table133456[[#This Row],[Strike]]))</f>
        <v>0</v>
      </c>
      <c r="S1145" s="17"/>
      <c r="T114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5" s="19">
        <f>10* IF($M$1="NDX", 10, IF(OR($M$1="SPX", $M$1="RUT"), 2, 1))</f>
        <v>20</v>
      </c>
      <c r="Z1145">
        <f ca="1">IFERROR(Table133456[[#This Row],[call gamma]]*(Table133456[[#This Row],[Open.Int]])*$A$4^2,0)</f>
        <v>0</v>
      </c>
      <c r="AA1145">
        <f ca="1">IFERROR(((Table133456[[#This Row],[Open.Int8]])*Table133456[[#This Row],[Put gamma]])*-1*$A$4^2,0)</f>
        <v>0</v>
      </c>
      <c r="AB1145">
        <f ca="1">(Table133456[[#This Row],[Call Gex]]+Table133456[[#This Row],[Put Gex]])</f>
        <v>0</v>
      </c>
      <c r="AC1145">
        <f ca="1">Table133456[[#This Row],[put delta adj]]+Table133456[[#This Row],[call delta adj]]</f>
        <v>0</v>
      </c>
      <c r="AD1145">
        <f ca="1">Table133456[[#This Row],[Put Gex]]*Table133456[[#This Row],[DeltaP]]*-1</f>
        <v>0</v>
      </c>
      <c r="AE1145">
        <f ca="1">Table133456[[#This Row],[Call Gex]]*Table133456[[#This Row],[DeltaC]]</f>
        <v>0</v>
      </c>
      <c r="AF1145">
        <f>IF(Table133456[[#This Row],[DeltaC]]-ABS(Table133456[[#This Row],[DeltaP]])="0","0.01",Table133456[[#This Row],[DeltaC]]-ABS(Table133456[[#This Row],[DeltaP]]))</f>
        <v>0</v>
      </c>
      <c r="AG114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5" t="e">
        <f ca="1">(EXP(-(AG1145^2)/2)/SQRT(2*PI())*EXP(0*SQRT(Table133456[[#This Row],[T]]))/$A$4*18%*SQRT(SQRT(Table133456[[#This Row],[T]])))</f>
        <v>#DIV/0!</v>
      </c>
      <c r="AJ1145" t="e">
        <f ca="1">(EXP(-(AH1145^2)/2)/SQRT(2*PI())*EXP(0*SQRT(Table133456[[#This Row],[T]]))/$A$4*18%*SQRT(SQRT(Table133456[[#This Row],[T]])))</f>
        <v>#DIV/0!</v>
      </c>
      <c r="AK1145" t="e">
        <f ca="1">Table133456[[#This Row],[Call D1]]-Table133456[[#This Row],[IV Calc C]]*SQRT(Table133456[[#This Row],[T]])</f>
        <v>#DIV/0!</v>
      </c>
      <c r="AL1145" t="e">
        <f ca="1">Table133456[[#This Row],[Put D1]]-Table133456[[#This Row],[IV Calc P]]*SQRT(Table133456[[#This Row],[T]])</f>
        <v>#DIV/0!</v>
      </c>
      <c r="AM1145" t="e">
        <f ca="1">EXP(-0.5*Table133456[[#This Row],[Call D1]]^2)/SQRT(2*PI())</f>
        <v>#DIV/0!</v>
      </c>
      <c r="AN1145" t="e">
        <f ca="1">EXP(-0.5*Table133456[[#This Row],[Put D1]]^2)/SQRT(2*PI())</f>
        <v>#DIV/0!</v>
      </c>
      <c r="AO114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5">
        <f ca="1">((Table133456[[#This Row],[call vanna]]+Table133456[[#This Row],[put vanna]])*$A$4)</f>
        <v>0</v>
      </c>
      <c r="AR114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5" s="9" t="str" cm="1">
        <f t="array" ref="AT1145">_xlfn.IFS(     $M$1="SPX","SPXW",     $M$1="RUT","RUTW",  $M$1="NDX","NDXP",   TRUE,$M$1 )</f>
        <v>SPXW</v>
      </c>
      <c r="AU1145" s="2">
        <f t="shared" si="112"/>
        <v>6915</v>
      </c>
      <c r="AV1145" t="str">
        <f t="shared" si="113"/>
        <v>000100</v>
      </c>
      <c r="AY114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5">
        <f>((Table133456[[#This Row],[High C]]+Table133456[[#This Row],[Low C]])/2)*Table133456[[#This Row],[gammac]]*Table133456[[#This Row],[Volume]]</f>
        <v>0</v>
      </c>
      <c r="BD1145">
        <f>((Table133456[[#This Row],[High P]]+Table133456[[#This Row],[Low P]])/2)*Table133456[[#This Row],[gammap]]*Table133456[[#This Row],[Volume9]]*-1</f>
        <v>0</v>
      </c>
      <c r="BE1145">
        <f>(Table133456[[#This Row],[SgammaC]]+Table133456[[#This Row],[SgammaP]])*$A$4*-100</f>
        <v>0</v>
      </c>
      <c r="BF1145">
        <f>Table133456[[#This Row],[DEXc]]+Table133456[[#This Row],[DEXp]]</f>
        <v>0</v>
      </c>
      <c r="BG1145">
        <f>IFERROR(Table133456[[#This Row],[DeltaC]]*Table133456[[#This Row],[Open.Int]]*$A$4,0)</f>
        <v>0</v>
      </c>
      <c r="BH1145">
        <f>IFERROR(Table133456[[#This Row],[DeltaP]]*Table133456[[#This Row],[Open.Int8]]*$A$4,0)</f>
        <v>0</v>
      </c>
      <c r="BI114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5">
        <f ca="1">Table133456[[#This Row],[charmc]]+Table133456[[#This Row],[charmp]]</f>
        <v>0</v>
      </c>
      <c r="BL114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5" s="78">
        <f ca="1">Table133456[[#This Row],[call helper]]+Table133456[[#This Row],[put helper]]</f>
        <v>0</v>
      </c>
      <c r="BP1145" t="str">
        <f>RTD("tos.rtd", , "STRIKE", "."&amp;Table133456[[#This Row],[Ticker]]&amp;Table133456[[#This Row],[Expiry]]&amp;""&amp;"C"&amp;Table133456[[#This Row],[Spot]]+Table133456[[#This Row],[step]])</f>
        <v>N/A</v>
      </c>
    </row>
    <row r="1146" spans="1:68" x14ac:dyDescent="0.25">
      <c r="A1146" s="14">
        <f t="shared" ca="1" si="109"/>
        <v>-126.14810350076104</v>
      </c>
      <c r="C1146" s="17"/>
      <c r="D1146" t="str">
        <f>RTD("tos.rtd", , "OPEN_INT", "."&amp;Table133456[[#This Row],[Ticker]]&amp;Table133456[[#This Row],[Expiry]]&amp;""&amp;"C"&amp;Table133456[[#This Row],[Spot]]+Table133456[[#This Row],[step]])</f>
        <v>N/A</v>
      </c>
      <c r="E114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6" s="17" cm="1">
        <f t="array" aca="1" ref="H1146" ca="1">IndividualLegIVCore($A$4, Table133456[[#This Row],[Strike]], 0.0411, Table133456[[#This Row],[T]], ((Table133456[[#This Row],[BIDC]]+Table133456[[#This Row],[ASKC]])/2), TRUE)</f>
        <v>0.01</v>
      </c>
      <c r="I1146" t="b">
        <f>IF(     ISNUMBER(Table133456[[#This Row],[Strike]]),RTD("tos.rtd", , "BID", "."&amp;Table133456[[#This Row],[Ticker]]&amp;Table133456[[#This Row],[Expiry]]&amp;""&amp;"C"&amp;Table133456[[#This Row],[Strike]]))</f>
        <v>0</v>
      </c>
      <c r="J1146" t="b">
        <f>IF(     ISNUMBER(Table133456[[#This Row],[Strike]]),RTD("tos.rtd", , "ASK", "."&amp;Table133456[[#This Row],[Ticker]]&amp;Table133456[[#This Row],[Expiry]]&amp;""&amp;"C"&amp;Table133456[[#This Row],[Strike]]))</f>
        <v>0</v>
      </c>
      <c r="K1146" s="17"/>
      <c r="M1146" s="1">
        <f t="shared" si="110"/>
        <v>0</v>
      </c>
      <c r="N1146" t="b">
        <f t="shared" si="111"/>
        <v>0</v>
      </c>
      <c r="P1146" s="17" cm="1">
        <f t="array" aca="1" ref="P1146" ca="1">IndividualLegIVCore($A$4, Table133456[[#This Row],[Strike]], 0.0411, Table133456[[#This Row],[T]], ((Table133456[[#This Row],[BIDP]]+Table133456[[#This Row],[ASKP]])/2), FALSE)</f>
        <v>0.01</v>
      </c>
      <c r="Q1146" t="b">
        <f>IF(     ISNUMBER(Table133456[[#This Row],[Strike]]),RTD("tos.rtd", , "BID", "."&amp;Table133456[[#This Row],[Ticker]]&amp;Table133456[[#This Row],[Expiry]]&amp;""&amp;"P"&amp;Table133456[[#This Row],[Strike]]))</f>
        <v>0</v>
      </c>
      <c r="R1146" t="b">
        <f>IF(     ISNUMBER(Table133456[[#This Row],[Strike]]),RTD("tos.rtd", , "ASK", "."&amp;Table133456[[#This Row],[Ticker]]&amp;Table133456[[#This Row],[Expiry]]&amp;""&amp;"P"&amp;Table133456[[#This Row],[Strike]]))</f>
        <v>0</v>
      </c>
      <c r="S1146" s="17"/>
      <c r="T114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6" s="19">
        <f>10.5* IF($M$1="NDX", 10, IF(OR($M$1="SPX", $M$1="RUT"), 2, 1))</f>
        <v>21</v>
      </c>
      <c r="Z1146">
        <f ca="1">IFERROR(Table133456[[#This Row],[call gamma]]*(Table133456[[#This Row],[Open.Int]])*$A$4^2,0)</f>
        <v>0</v>
      </c>
      <c r="AA1146">
        <f ca="1">IFERROR(((Table133456[[#This Row],[Open.Int8]])*Table133456[[#This Row],[Put gamma]])*-1*$A$4^2,0)</f>
        <v>0</v>
      </c>
      <c r="AB1146">
        <f ca="1">(Table133456[[#This Row],[Call Gex]]+Table133456[[#This Row],[Put Gex]])</f>
        <v>0</v>
      </c>
      <c r="AC1146">
        <f ca="1">Table133456[[#This Row],[put delta adj]]+Table133456[[#This Row],[call delta adj]]</f>
        <v>0</v>
      </c>
      <c r="AD1146">
        <f ca="1">Table133456[[#This Row],[Put Gex]]*Table133456[[#This Row],[DeltaP]]*-1</f>
        <v>0</v>
      </c>
      <c r="AE1146">
        <f ca="1">Table133456[[#This Row],[Call Gex]]*Table133456[[#This Row],[DeltaC]]</f>
        <v>0</v>
      </c>
      <c r="AF1146">
        <f>IF(Table133456[[#This Row],[DeltaC]]-ABS(Table133456[[#This Row],[DeltaP]])="0","0.01",Table133456[[#This Row],[DeltaC]]-ABS(Table133456[[#This Row],[DeltaP]]))</f>
        <v>0</v>
      </c>
      <c r="AG114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6" t="e">
        <f ca="1">(EXP(-(AG1146^2)/2)/SQRT(2*PI())*EXP(0*SQRT(Table133456[[#This Row],[T]]))/$A$4*18%*SQRT(SQRT(Table133456[[#This Row],[T]])))</f>
        <v>#DIV/0!</v>
      </c>
      <c r="AJ1146" t="e">
        <f ca="1">(EXP(-(AH1146^2)/2)/SQRT(2*PI())*EXP(0*SQRT(Table133456[[#This Row],[T]]))/$A$4*18%*SQRT(SQRT(Table133456[[#This Row],[T]])))</f>
        <v>#DIV/0!</v>
      </c>
      <c r="AK1146" t="e">
        <f ca="1">Table133456[[#This Row],[Call D1]]-Table133456[[#This Row],[IV Calc C]]*SQRT(Table133456[[#This Row],[T]])</f>
        <v>#DIV/0!</v>
      </c>
      <c r="AL1146" t="e">
        <f ca="1">Table133456[[#This Row],[Put D1]]-Table133456[[#This Row],[IV Calc P]]*SQRT(Table133456[[#This Row],[T]])</f>
        <v>#DIV/0!</v>
      </c>
      <c r="AM1146" t="e">
        <f ca="1">EXP(-0.5*Table133456[[#This Row],[Call D1]]^2)/SQRT(2*PI())</f>
        <v>#DIV/0!</v>
      </c>
      <c r="AN1146" t="e">
        <f ca="1">EXP(-0.5*Table133456[[#This Row],[Put D1]]^2)/SQRT(2*PI())</f>
        <v>#DIV/0!</v>
      </c>
      <c r="AO114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6">
        <f ca="1">((Table133456[[#This Row],[call vanna]]+Table133456[[#This Row],[put vanna]])*$A$4)</f>
        <v>0</v>
      </c>
      <c r="AR114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6" s="9" t="str" cm="1">
        <f t="array" ref="AT1146">_xlfn.IFS(     $M$1="SPX","SPXW",     $M$1="RUT","RUTW",  $M$1="NDX","NDXP",   TRUE,$M$1 )</f>
        <v>SPXW</v>
      </c>
      <c r="AU1146" s="2">
        <f t="shared" si="112"/>
        <v>6915</v>
      </c>
      <c r="AV1146" t="str">
        <f t="shared" si="113"/>
        <v>000100</v>
      </c>
      <c r="AY114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6">
        <f>((Table133456[[#This Row],[High C]]+Table133456[[#This Row],[Low C]])/2)*Table133456[[#This Row],[gammac]]*Table133456[[#This Row],[Volume]]</f>
        <v>0</v>
      </c>
      <c r="BD1146">
        <f>((Table133456[[#This Row],[High P]]+Table133456[[#This Row],[Low P]])/2)*Table133456[[#This Row],[gammap]]*Table133456[[#This Row],[Volume9]]*-1</f>
        <v>0</v>
      </c>
      <c r="BE1146">
        <f>(Table133456[[#This Row],[SgammaC]]+Table133456[[#This Row],[SgammaP]])*$A$4*-100</f>
        <v>0</v>
      </c>
      <c r="BF1146">
        <f>Table133456[[#This Row],[DEXc]]+Table133456[[#This Row],[DEXp]]</f>
        <v>0</v>
      </c>
      <c r="BG1146">
        <f>IFERROR(Table133456[[#This Row],[DeltaC]]*Table133456[[#This Row],[Open.Int]]*$A$4,0)</f>
        <v>0</v>
      </c>
      <c r="BH1146">
        <f>IFERROR(Table133456[[#This Row],[DeltaP]]*Table133456[[#This Row],[Open.Int8]]*$A$4,0)</f>
        <v>0</v>
      </c>
      <c r="BI114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6">
        <f ca="1">Table133456[[#This Row],[charmc]]+Table133456[[#This Row],[charmp]]</f>
        <v>0</v>
      </c>
      <c r="BL114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6" s="78">
        <f ca="1">Table133456[[#This Row],[call helper]]+Table133456[[#This Row],[put helper]]</f>
        <v>0</v>
      </c>
      <c r="BP1146" t="str">
        <f>RTD("tos.rtd", , "STRIKE", "."&amp;Table133456[[#This Row],[Ticker]]&amp;Table133456[[#This Row],[Expiry]]&amp;""&amp;"C"&amp;Table133456[[#This Row],[Spot]]+Table133456[[#This Row],[step]])</f>
        <v>N/A</v>
      </c>
    </row>
    <row r="1147" spans="1:68" x14ac:dyDescent="0.25">
      <c r="A1147" s="14">
        <f t="shared" ca="1" si="109"/>
        <v>-126.14810350076104</v>
      </c>
      <c r="C1147" s="17"/>
      <c r="D1147" t="str">
        <f>RTD("tos.rtd", , "OPEN_INT", "."&amp;Table133456[[#This Row],[Ticker]]&amp;Table133456[[#This Row],[Expiry]]&amp;""&amp;"C"&amp;Table133456[[#This Row],[Spot]]+Table133456[[#This Row],[step]])</f>
        <v>N/A</v>
      </c>
      <c r="E114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7" s="17" cm="1">
        <f t="array" aca="1" ref="H1147" ca="1">IndividualLegIVCore($A$4, Table133456[[#This Row],[Strike]], 0.0411, Table133456[[#This Row],[T]], ((Table133456[[#This Row],[BIDC]]+Table133456[[#This Row],[ASKC]])/2), TRUE)</f>
        <v>0.01</v>
      </c>
      <c r="I1147" t="b">
        <f>IF(     ISNUMBER(Table133456[[#This Row],[Strike]]),RTD("tos.rtd", , "BID", "."&amp;Table133456[[#This Row],[Ticker]]&amp;Table133456[[#This Row],[Expiry]]&amp;""&amp;"C"&amp;Table133456[[#This Row],[Strike]]))</f>
        <v>0</v>
      </c>
      <c r="J1147" t="b">
        <f>IF(     ISNUMBER(Table133456[[#This Row],[Strike]]),RTD("tos.rtd", , "ASK", "."&amp;Table133456[[#This Row],[Ticker]]&amp;Table133456[[#This Row],[Expiry]]&amp;""&amp;"C"&amp;Table133456[[#This Row],[Strike]]))</f>
        <v>0</v>
      </c>
      <c r="K1147" s="17"/>
      <c r="M1147" s="1">
        <f t="shared" si="110"/>
        <v>0</v>
      </c>
      <c r="N1147" t="b">
        <f t="shared" si="111"/>
        <v>0</v>
      </c>
      <c r="P1147" s="17" cm="1">
        <f t="array" aca="1" ref="P1147" ca="1">IndividualLegIVCore($A$4, Table133456[[#This Row],[Strike]], 0.0411, Table133456[[#This Row],[T]], ((Table133456[[#This Row],[BIDP]]+Table133456[[#This Row],[ASKP]])/2), FALSE)</f>
        <v>0.01</v>
      </c>
      <c r="Q1147" t="b">
        <f>IF(     ISNUMBER(Table133456[[#This Row],[Strike]]),RTD("tos.rtd", , "BID", "."&amp;Table133456[[#This Row],[Ticker]]&amp;Table133456[[#This Row],[Expiry]]&amp;""&amp;"P"&amp;Table133456[[#This Row],[Strike]]))</f>
        <v>0</v>
      </c>
      <c r="R1147" t="b">
        <f>IF(     ISNUMBER(Table133456[[#This Row],[Strike]]),RTD("tos.rtd", , "ASK", "."&amp;Table133456[[#This Row],[Ticker]]&amp;Table133456[[#This Row],[Expiry]]&amp;""&amp;"P"&amp;Table133456[[#This Row],[Strike]]))</f>
        <v>0</v>
      </c>
      <c r="S1147" s="17"/>
      <c r="T114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7" s="19">
        <f>11* IF($M$1="NDX", 10, IF(OR($M$1="SPX", $M$1="RUT"), 2, 1))</f>
        <v>22</v>
      </c>
      <c r="Z1147">
        <f ca="1">IFERROR(Table133456[[#This Row],[call gamma]]*(Table133456[[#This Row],[Open.Int]])*$A$4^2,0)</f>
        <v>0</v>
      </c>
      <c r="AA1147">
        <f ca="1">IFERROR(((Table133456[[#This Row],[Open.Int8]])*Table133456[[#This Row],[Put gamma]])*-1*$A$4^2,0)</f>
        <v>0</v>
      </c>
      <c r="AB1147">
        <f ca="1">(Table133456[[#This Row],[Call Gex]]+Table133456[[#This Row],[Put Gex]])</f>
        <v>0</v>
      </c>
      <c r="AC1147">
        <f ca="1">Table133456[[#This Row],[put delta adj]]+Table133456[[#This Row],[call delta adj]]</f>
        <v>0</v>
      </c>
      <c r="AD1147">
        <f ca="1">Table133456[[#This Row],[Put Gex]]*Table133456[[#This Row],[DeltaP]]*-1</f>
        <v>0</v>
      </c>
      <c r="AE1147">
        <f ca="1">Table133456[[#This Row],[Call Gex]]*Table133456[[#This Row],[DeltaC]]</f>
        <v>0</v>
      </c>
      <c r="AF1147">
        <f>IF(Table133456[[#This Row],[DeltaC]]-ABS(Table133456[[#This Row],[DeltaP]])="0","0.01",Table133456[[#This Row],[DeltaC]]-ABS(Table133456[[#This Row],[DeltaP]]))</f>
        <v>0</v>
      </c>
      <c r="AG114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7" t="e">
        <f ca="1">(EXP(-(AG1147^2)/2)/SQRT(2*PI())*EXP(0*SQRT(Table133456[[#This Row],[T]]))/$A$4*18%*SQRT(SQRT(Table133456[[#This Row],[T]])))</f>
        <v>#DIV/0!</v>
      </c>
      <c r="AJ1147" t="e">
        <f ca="1">(EXP(-(AH1147^2)/2)/SQRT(2*PI())*EXP(0*SQRT(Table133456[[#This Row],[T]]))/$A$4*18%*SQRT(SQRT(Table133456[[#This Row],[T]])))</f>
        <v>#DIV/0!</v>
      </c>
      <c r="AK1147" t="e">
        <f ca="1">Table133456[[#This Row],[Call D1]]-Table133456[[#This Row],[IV Calc C]]*SQRT(Table133456[[#This Row],[T]])</f>
        <v>#DIV/0!</v>
      </c>
      <c r="AL1147" t="e">
        <f ca="1">Table133456[[#This Row],[Put D1]]-Table133456[[#This Row],[IV Calc P]]*SQRT(Table133456[[#This Row],[T]])</f>
        <v>#DIV/0!</v>
      </c>
      <c r="AM1147" t="e">
        <f ca="1">EXP(-0.5*Table133456[[#This Row],[Call D1]]^2)/SQRT(2*PI())</f>
        <v>#DIV/0!</v>
      </c>
      <c r="AN1147" t="e">
        <f ca="1">EXP(-0.5*Table133456[[#This Row],[Put D1]]^2)/SQRT(2*PI())</f>
        <v>#DIV/0!</v>
      </c>
      <c r="AO114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7">
        <f ca="1">((Table133456[[#This Row],[call vanna]]+Table133456[[#This Row],[put vanna]])*$A$4)</f>
        <v>0</v>
      </c>
      <c r="AR114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7" s="9" t="str" cm="1">
        <f t="array" ref="AT1147">_xlfn.IFS(     $M$1="SPX","SPXW",     $M$1="RUT","RUTW",  $M$1="NDX","NDXP",   TRUE,$M$1 )</f>
        <v>SPXW</v>
      </c>
      <c r="AU1147" s="2">
        <f t="shared" si="112"/>
        <v>6915</v>
      </c>
      <c r="AV1147" t="str">
        <f t="shared" si="113"/>
        <v>000100</v>
      </c>
      <c r="AY114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7">
        <f>((Table133456[[#This Row],[High C]]+Table133456[[#This Row],[Low C]])/2)*Table133456[[#This Row],[gammac]]*Table133456[[#This Row],[Volume]]</f>
        <v>0</v>
      </c>
      <c r="BD1147">
        <f>((Table133456[[#This Row],[High P]]+Table133456[[#This Row],[Low P]])/2)*Table133456[[#This Row],[gammap]]*Table133456[[#This Row],[Volume9]]*-1</f>
        <v>0</v>
      </c>
      <c r="BE1147">
        <f>(Table133456[[#This Row],[SgammaC]]+Table133456[[#This Row],[SgammaP]])*$A$4*-100</f>
        <v>0</v>
      </c>
      <c r="BF1147">
        <f>Table133456[[#This Row],[DEXc]]+Table133456[[#This Row],[DEXp]]</f>
        <v>0</v>
      </c>
      <c r="BG1147">
        <f>IFERROR(Table133456[[#This Row],[DeltaC]]*Table133456[[#This Row],[Open.Int]]*$A$4,0)</f>
        <v>0</v>
      </c>
      <c r="BH1147">
        <f>IFERROR(Table133456[[#This Row],[DeltaP]]*Table133456[[#This Row],[Open.Int8]]*$A$4,0)</f>
        <v>0</v>
      </c>
      <c r="BI114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7">
        <f ca="1">Table133456[[#This Row],[charmc]]+Table133456[[#This Row],[charmp]]</f>
        <v>0</v>
      </c>
      <c r="BL114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7" s="78">
        <f ca="1">Table133456[[#This Row],[call helper]]+Table133456[[#This Row],[put helper]]</f>
        <v>0</v>
      </c>
      <c r="BP1147" t="str">
        <f>RTD("tos.rtd", , "STRIKE", "."&amp;Table133456[[#This Row],[Ticker]]&amp;Table133456[[#This Row],[Expiry]]&amp;""&amp;"C"&amp;Table133456[[#This Row],[Spot]]+Table133456[[#This Row],[step]])</f>
        <v>N/A</v>
      </c>
    </row>
    <row r="1148" spans="1:68" x14ac:dyDescent="0.25">
      <c r="A1148" s="14">
        <f t="shared" ca="1" si="109"/>
        <v>-126.14810350076104</v>
      </c>
      <c r="C1148" s="17"/>
      <c r="D1148" t="str">
        <f>RTD("tos.rtd", , "OPEN_INT", "."&amp;Table133456[[#This Row],[Ticker]]&amp;Table133456[[#This Row],[Expiry]]&amp;""&amp;"C"&amp;Table133456[[#This Row],[Spot]]+Table133456[[#This Row],[step]])</f>
        <v>N/A</v>
      </c>
      <c r="E114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8" s="17" cm="1">
        <f t="array" aca="1" ref="H1148" ca="1">IndividualLegIVCore($A$4, Table133456[[#This Row],[Strike]], 0.0411, Table133456[[#This Row],[T]], ((Table133456[[#This Row],[BIDC]]+Table133456[[#This Row],[ASKC]])/2), TRUE)</f>
        <v>0.01</v>
      </c>
      <c r="I1148" t="b">
        <f>IF(     ISNUMBER(Table133456[[#This Row],[Strike]]),RTD("tos.rtd", , "BID", "."&amp;Table133456[[#This Row],[Ticker]]&amp;Table133456[[#This Row],[Expiry]]&amp;""&amp;"C"&amp;Table133456[[#This Row],[Strike]]))</f>
        <v>0</v>
      </c>
      <c r="J1148" t="b">
        <f>IF(     ISNUMBER(Table133456[[#This Row],[Strike]]),RTD("tos.rtd", , "ASK", "."&amp;Table133456[[#This Row],[Ticker]]&amp;Table133456[[#This Row],[Expiry]]&amp;""&amp;"C"&amp;Table133456[[#This Row],[Strike]]))</f>
        <v>0</v>
      </c>
      <c r="K1148" s="17"/>
      <c r="M1148" s="1">
        <f t="shared" si="110"/>
        <v>0</v>
      </c>
      <c r="N1148" t="b">
        <f t="shared" si="111"/>
        <v>0</v>
      </c>
      <c r="P1148" s="17" cm="1">
        <f t="array" aca="1" ref="P1148" ca="1">IndividualLegIVCore($A$4, Table133456[[#This Row],[Strike]], 0.0411, Table133456[[#This Row],[T]], ((Table133456[[#This Row],[BIDP]]+Table133456[[#This Row],[ASKP]])/2), FALSE)</f>
        <v>0.01</v>
      </c>
      <c r="Q1148" t="b">
        <f>IF(     ISNUMBER(Table133456[[#This Row],[Strike]]),RTD("tos.rtd", , "BID", "."&amp;Table133456[[#This Row],[Ticker]]&amp;Table133456[[#This Row],[Expiry]]&amp;""&amp;"P"&amp;Table133456[[#This Row],[Strike]]))</f>
        <v>0</v>
      </c>
      <c r="R1148" t="b">
        <f>IF(     ISNUMBER(Table133456[[#This Row],[Strike]]),RTD("tos.rtd", , "ASK", "."&amp;Table133456[[#This Row],[Ticker]]&amp;Table133456[[#This Row],[Expiry]]&amp;""&amp;"P"&amp;Table133456[[#This Row],[Strike]]))</f>
        <v>0</v>
      </c>
      <c r="S1148" s="17"/>
      <c r="T114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8" s="19">
        <f>11.5* IF($M$1="NDX", 10, IF(OR($M$1="SPX", $M$1="RUT"), 2, 1))</f>
        <v>23</v>
      </c>
      <c r="Z1148">
        <f ca="1">IFERROR(Table133456[[#This Row],[call gamma]]*(Table133456[[#This Row],[Open.Int]])*$A$4^2,0)</f>
        <v>0</v>
      </c>
      <c r="AA1148">
        <f ca="1">IFERROR(((Table133456[[#This Row],[Open.Int8]])*Table133456[[#This Row],[Put gamma]])*-1*$A$4^2,0)</f>
        <v>0</v>
      </c>
      <c r="AB1148">
        <f ca="1">(Table133456[[#This Row],[Call Gex]]+Table133456[[#This Row],[Put Gex]])</f>
        <v>0</v>
      </c>
      <c r="AC1148">
        <f ca="1">Table133456[[#This Row],[put delta adj]]+Table133456[[#This Row],[call delta adj]]</f>
        <v>0</v>
      </c>
      <c r="AD1148">
        <f ca="1">Table133456[[#This Row],[Put Gex]]*Table133456[[#This Row],[DeltaP]]*-1</f>
        <v>0</v>
      </c>
      <c r="AE1148">
        <f ca="1">Table133456[[#This Row],[Call Gex]]*Table133456[[#This Row],[DeltaC]]</f>
        <v>0</v>
      </c>
      <c r="AF1148">
        <f>IF(Table133456[[#This Row],[DeltaC]]-ABS(Table133456[[#This Row],[DeltaP]])="0","0.01",Table133456[[#This Row],[DeltaC]]-ABS(Table133456[[#This Row],[DeltaP]]))</f>
        <v>0</v>
      </c>
      <c r="AG114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8" t="e">
        <f ca="1">(EXP(-(AG1148^2)/2)/SQRT(2*PI())*EXP(0*SQRT(Table133456[[#This Row],[T]]))/$A$4*18%*SQRT(SQRT(Table133456[[#This Row],[T]])))</f>
        <v>#DIV/0!</v>
      </c>
      <c r="AJ1148" t="e">
        <f ca="1">(EXP(-(AH1148^2)/2)/SQRT(2*PI())*EXP(0*SQRT(Table133456[[#This Row],[T]]))/$A$4*18%*SQRT(SQRT(Table133456[[#This Row],[T]])))</f>
        <v>#DIV/0!</v>
      </c>
      <c r="AK1148" t="e">
        <f ca="1">Table133456[[#This Row],[Call D1]]-Table133456[[#This Row],[IV Calc C]]*SQRT(Table133456[[#This Row],[T]])</f>
        <v>#DIV/0!</v>
      </c>
      <c r="AL1148" t="e">
        <f ca="1">Table133456[[#This Row],[Put D1]]-Table133456[[#This Row],[IV Calc P]]*SQRT(Table133456[[#This Row],[T]])</f>
        <v>#DIV/0!</v>
      </c>
      <c r="AM1148" t="e">
        <f ca="1">EXP(-0.5*Table133456[[#This Row],[Call D1]]^2)/SQRT(2*PI())</f>
        <v>#DIV/0!</v>
      </c>
      <c r="AN1148" t="e">
        <f ca="1">EXP(-0.5*Table133456[[#This Row],[Put D1]]^2)/SQRT(2*PI())</f>
        <v>#DIV/0!</v>
      </c>
      <c r="AO114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8">
        <f ca="1">((Table133456[[#This Row],[call vanna]]+Table133456[[#This Row],[put vanna]])*$A$4)</f>
        <v>0</v>
      </c>
      <c r="AR114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8" s="9" t="str" cm="1">
        <f t="array" ref="AT1148">_xlfn.IFS(     $M$1="SPX","SPXW",     $M$1="RUT","RUTW",  $M$1="NDX","NDXP",   TRUE,$M$1 )</f>
        <v>SPXW</v>
      </c>
      <c r="AU1148" s="2">
        <f t="shared" si="112"/>
        <v>6915</v>
      </c>
      <c r="AV1148" t="str">
        <f t="shared" si="113"/>
        <v>000100</v>
      </c>
      <c r="AY114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8">
        <f>((Table133456[[#This Row],[High C]]+Table133456[[#This Row],[Low C]])/2)*Table133456[[#This Row],[gammac]]*Table133456[[#This Row],[Volume]]</f>
        <v>0</v>
      </c>
      <c r="BD1148">
        <f>((Table133456[[#This Row],[High P]]+Table133456[[#This Row],[Low P]])/2)*Table133456[[#This Row],[gammap]]*Table133456[[#This Row],[Volume9]]*-1</f>
        <v>0</v>
      </c>
      <c r="BE1148">
        <f>(Table133456[[#This Row],[SgammaC]]+Table133456[[#This Row],[SgammaP]])*$A$4*-100</f>
        <v>0</v>
      </c>
      <c r="BF1148">
        <f>Table133456[[#This Row],[DEXc]]+Table133456[[#This Row],[DEXp]]</f>
        <v>0</v>
      </c>
      <c r="BG1148">
        <f>IFERROR(Table133456[[#This Row],[DeltaC]]*Table133456[[#This Row],[Open.Int]]*$A$4,0)</f>
        <v>0</v>
      </c>
      <c r="BH1148">
        <f>IFERROR(Table133456[[#This Row],[DeltaP]]*Table133456[[#This Row],[Open.Int8]]*$A$4,0)</f>
        <v>0</v>
      </c>
      <c r="BI114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8">
        <f ca="1">Table133456[[#This Row],[charmc]]+Table133456[[#This Row],[charmp]]</f>
        <v>0</v>
      </c>
      <c r="BL114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8" s="78">
        <f ca="1">Table133456[[#This Row],[call helper]]+Table133456[[#This Row],[put helper]]</f>
        <v>0</v>
      </c>
      <c r="BP1148" t="str">
        <f>RTD("tos.rtd", , "STRIKE", "."&amp;Table133456[[#This Row],[Ticker]]&amp;Table133456[[#This Row],[Expiry]]&amp;""&amp;"C"&amp;Table133456[[#This Row],[Spot]]+Table133456[[#This Row],[step]])</f>
        <v>N/A</v>
      </c>
    </row>
    <row r="1149" spans="1:68" x14ac:dyDescent="0.25">
      <c r="A1149" s="14">
        <f t="shared" ca="1" si="109"/>
        <v>-126.14810350076104</v>
      </c>
      <c r="C1149" s="17"/>
      <c r="D1149" t="str">
        <f>RTD("tos.rtd", , "OPEN_INT", "."&amp;Table133456[[#This Row],[Ticker]]&amp;Table133456[[#This Row],[Expiry]]&amp;""&amp;"C"&amp;Table133456[[#This Row],[Spot]]+Table133456[[#This Row],[step]])</f>
        <v>N/A</v>
      </c>
      <c r="E114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9" s="17" cm="1">
        <f t="array" aca="1" ref="H1149" ca="1">IndividualLegIVCore($A$4, Table133456[[#This Row],[Strike]], 0.0411, Table133456[[#This Row],[T]], ((Table133456[[#This Row],[BIDC]]+Table133456[[#This Row],[ASKC]])/2), TRUE)</f>
        <v>0.01</v>
      </c>
      <c r="I1149" t="b">
        <f>IF(     ISNUMBER(Table133456[[#This Row],[Strike]]),RTD("tos.rtd", , "BID", "."&amp;Table133456[[#This Row],[Ticker]]&amp;Table133456[[#This Row],[Expiry]]&amp;""&amp;"C"&amp;Table133456[[#This Row],[Strike]]))</f>
        <v>0</v>
      </c>
      <c r="J1149" t="b">
        <f>IF(     ISNUMBER(Table133456[[#This Row],[Strike]]),RTD("tos.rtd", , "ASK", "."&amp;Table133456[[#This Row],[Ticker]]&amp;Table133456[[#This Row],[Expiry]]&amp;""&amp;"C"&amp;Table133456[[#This Row],[Strike]]))</f>
        <v>0</v>
      </c>
      <c r="K1149" s="17"/>
      <c r="M1149" s="1">
        <f t="shared" si="110"/>
        <v>0</v>
      </c>
      <c r="N1149" t="b">
        <f t="shared" si="111"/>
        <v>0</v>
      </c>
      <c r="P1149" s="17" cm="1">
        <f t="array" aca="1" ref="P1149" ca="1">IndividualLegIVCore($A$4, Table133456[[#This Row],[Strike]], 0.0411, Table133456[[#This Row],[T]], ((Table133456[[#This Row],[BIDP]]+Table133456[[#This Row],[ASKP]])/2), FALSE)</f>
        <v>0.01</v>
      </c>
      <c r="Q1149" t="b">
        <f>IF(     ISNUMBER(Table133456[[#This Row],[Strike]]),RTD("tos.rtd", , "BID", "."&amp;Table133456[[#This Row],[Ticker]]&amp;Table133456[[#This Row],[Expiry]]&amp;""&amp;"P"&amp;Table133456[[#This Row],[Strike]]))</f>
        <v>0</v>
      </c>
      <c r="R1149" t="b">
        <f>IF(     ISNUMBER(Table133456[[#This Row],[Strike]]),RTD("tos.rtd", , "ASK", "."&amp;Table133456[[#This Row],[Ticker]]&amp;Table133456[[#This Row],[Expiry]]&amp;""&amp;"P"&amp;Table133456[[#This Row],[Strike]]))</f>
        <v>0</v>
      </c>
      <c r="S1149" s="17"/>
      <c r="T114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9" s="19">
        <f>12* IF($M$1="NDX", 10, IF(OR($M$1="SPX", $M$1="RUT"), 2, 1))</f>
        <v>24</v>
      </c>
      <c r="Z1149">
        <f ca="1">IFERROR(Table133456[[#This Row],[call gamma]]*(Table133456[[#This Row],[Open.Int]])*$A$4^2,0)</f>
        <v>0</v>
      </c>
      <c r="AA1149">
        <f ca="1">IFERROR(((Table133456[[#This Row],[Open.Int8]])*Table133456[[#This Row],[Put gamma]])*-1*$A$4^2,0)</f>
        <v>0</v>
      </c>
      <c r="AB1149">
        <f ca="1">(Table133456[[#This Row],[Call Gex]]+Table133456[[#This Row],[Put Gex]])</f>
        <v>0</v>
      </c>
      <c r="AC1149">
        <f ca="1">Table133456[[#This Row],[put delta adj]]+Table133456[[#This Row],[call delta adj]]</f>
        <v>0</v>
      </c>
      <c r="AD1149">
        <f ca="1">Table133456[[#This Row],[Put Gex]]*Table133456[[#This Row],[DeltaP]]*-1</f>
        <v>0</v>
      </c>
      <c r="AE1149">
        <f ca="1">Table133456[[#This Row],[Call Gex]]*Table133456[[#This Row],[DeltaC]]</f>
        <v>0</v>
      </c>
      <c r="AF1149">
        <f>IF(Table133456[[#This Row],[DeltaC]]-ABS(Table133456[[#This Row],[DeltaP]])="0","0.01",Table133456[[#This Row],[DeltaC]]-ABS(Table133456[[#This Row],[DeltaP]]))</f>
        <v>0</v>
      </c>
      <c r="AG114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9" t="e">
        <f ca="1">(EXP(-(AG1149^2)/2)/SQRT(2*PI())*EXP(0*SQRT(Table133456[[#This Row],[T]]))/$A$4*18%*SQRT(SQRT(Table133456[[#This Row],[T]])))</f>
        <v>#DIV/0!</v>
      </c>
      <c r="AJ1149" t="e">
        <f ca="1">(EXP(-(AH1149^2)/2)/SQRT(2*PI())*EXP(0*SQRT(Table133456[[#This Row],[T]]))/$A$4*18%*SQRT(SQRT(Table133456[[#This Row],[T]])))</f>
        <v>#DIV/0!</v>
      </c>
      <c r="AK1149" t="e">
        <f ca="1">Table133456[[#This Row],[Call D1]]-Table133456[[#This Row],[IV Calc C]]*SQRT(Table133456[[#This Row],[T]])</f>
        <v>#DIV/0!</v>
      </c>
      <c r="AL1149" t="e">
        <f ca="1">Table133456[[#This Row],[Put D1]]-Table133456[[#This Row],[IV Calc P]]*SQRT(Table133456[[#This Row],[T]])</f>
        <v>#DIV/0!</v>
      </c>
      <c r="AM1149" t="e">
        <f ca="1">EXP(-0.5*Table133456[[#This Row],[Call D1]]^2)/SQRT(2*PI())</f>
        <v>#DIV/0!</v>
      </c>
      <c r="AN1149" t="e">
        <f ca="1">EXP(-0.5*Table133456[[#This Row],[Put D1]]^2)/SQRT(2*PI())</f>
        <v>#DIV/0!</v>
      </c>
      <c r="AO114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9">
        <f ca="1">((Table133456[[#This Row],[call vanna]]+Table133456[[#This Row],[put vanna]])*$A$4)</f>
        <v>0</v>
      </c>
      <c r="AR114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9" s="9" t="str" cm="1">
        <f t="array" ref="AT1149">_xlfn.IFS(     $M$1="SPX","SPXW",     $M$1="RUT","RUTW",  $M$1="NDX","NDXP",   TRUE,$M$1 )</f>
        <v>SPXW</v>
      </c>
      <c r="AU1149" s="2">
        <f t="shared" si="112"/>
        <v>6915</v>
      </c>
      <c r="AV1149" t="str">
        <f t="shared" si="113"/>
        <v>000100</v>
      </c>
      <c r="AY114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9">
        <f>((Table133456[[#This Row],[High C]]+Table133456[[#This Row],[Low C]])/2)*Table133456[[#This Row],[gammac]]*Table133456[[#This Row],[Volume]]</f>
        <v>0</v>
      </c>
      <c r="BD1149">
        <f>((Table133456[[#This Row],[High P]]+Table133456[[#This Row],[Low P]])/2)*Table133456[[#This Row],[gammap]]*Table133456[[#This Row],[Volume9]]*-1</f>
        <v>0</v>
      </c>
      <c r="BE1149">
        <f>(Table133456[[#This Row],[SgammaC]]+Table133456[[#This Row],[SgammaP]])*$A$4*-100</f>
        <v>0</v>
      </c>
      <c r="BF1149">
        <f>Table133456[[#This Row],[DEXc]]+Table133456[[#This Row],[DEXp]]</f>
        <v>0</v>
      </c>
      <c r="BG1149">
        <f>IFERROR(Table133456[[#This Row],[DeltaC]]*Table133456[[#This Row],[Open.Int]]*$A$4,0)</f>
        <v>0</v>
      </c>
      <c r="BH1149">
        <f>IFERROR(Table133456[[#This Row],[DeltaP]]*Table133456[[#This Row],[Open.Int8]]*$A$4,0)</f>
        <v>0</v>
      </c>
      <c r="BI114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9">
        <f ca="1">Table133456[[#This Row],[charmc]]+Table133456[[#This Row],[charmp]]</f>
        <v>0</v>
      </c>
      <c r="BL114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9" s="78">
        <f ca="1">Table133456[[#This Row],[call helper]]+Table133456[[#This Row],[put helper]]</f>
        <v>0</v>
      </c>
      <c r="BP1149" t="str">
        <f>RTD("tos.rtd", , "STRIKE", "."&amp;Table133456[[#This Row],[Ticker]]&amp;Table133456[[#This Row],[Expiry]]&amp;""&amp;"C"&amp;Table133456[[#This Row],[Spot]]+Table133456[[#This Row],[step]])</f>
        <v>N/A</v>
      </c>
    </row>
    <row r="1150" spans="1:68" x14ac:dyDescent="0.25">
      <c r="A1150" s="14">
        <f t="shared" ca="1" si="109"/>
        <v>-126.14810350076104</v>
      </c>
      <c r="C1150" s="17"/>
      <c r="D1150" t="str">
        <f>RTD("tos.rtd", , "OPEN_INT", "."&amp;Table133456[[#This Row],[Ticker]]&amp;Table133456[[#This Row],[Expiry]]&amp;""&amp;"C"&amp;Table133456[[#This Row],[Spot]]+Table133456[[#This Row],[step]])</f>
        <v>N/A</v>
      </c>
      <c r="E115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0" s="17" cm="1">
        <f t="array" aca="1" ref="H1150" ca="1">IndividualLegIVCore($A$4, Table133456[[#This Row],[Strike]], 0.0411, Table133456[[#This Row],[T]], ((Table133456[[#This Row],[BIDC]]+Table133456[[#This Row],[ASKC]])/2), TRUE)</f>
        <v>0.01</v>
      </c>
      <c r="I1150" t="b">
        <f>IF(     ISNUMBER(Table133456[[#This Row],[Strike]]),RTD("tos.rtd", , "BID", "."&amp;Table133456[[#This Row],[Ticker]]&amp;Table133456[[#This Row],[Expiry]]&amp;""&amp;"C"&amp;Table133456[[#This Row],[Strike]]))</f>
        <v>0</v>
      </c>
      <c r="J1150" t="b">
        <f>IF(     ISNUMBER(Table133456[[#This Row],[Strike]]),RTD("tos.rtd", , "ASK", "."&amp;Table133456[[#This Row],[Ticker]]&amp;Table133456[[#This Row],[Expiry]]&amp;""&amp;"C"&amp;Table133456[[#This Row],[Strike]]))</f>
        <v>0</v>
      </c>
      <c r="K1150" s="17"/>
      <c r="M1150" s="1">
        <f t="shared" si="110"/>
        <v>0</v>
      </c>
      <c r="N1150" t="b">
        <f t="shared" si="111"/>
        <v>0</v>
      </c>
      <c r="P1150" s="17" cm="1">
        <f t="array" aca="1" ref="P1150" ca="1">IndividualLegIVCore($A$4, Table133456[[#This Row],[Strike]], 0.0411, Table133456[[#This Row],[T]], ((Table133456[[#This Row],[BIDP]]+Table133456[[#This Row],[ASKP]])/2), FALSE)</f>
        <v>0.01</v>
      </c>
      <c r="Q1150" t="b">
        <f>IF(     ISNUMBER(Table133456[[#This Row],[Strike]]),RTD("tos.rtd", , "BID", "."&amp;Table133456[[#This Row],[Ticker]]&amp;Table133456[[#This Row],[Expiry]]&amp;""&amp;"P"&amp;Table133456[[#This Row],[Strike]]))</f>
        <v>0</v>
      </c>
      <c r="R1150" t="b">
        <f>IF(     ISNUMBER(Table133456[[#This Row],[Strike]]),RTD("tos.rtd", , "ASK", "."&amp;Table133456[[#This Row],[Ticker]]&amp;Table133456[[#This Row],[Expiry]]&amp;""&amp;"P"&amp;Table133456[[#This Row],[Strike]]))</f>
        <v>0</v>
      </c>
      <c r="S1150" s="17"/>
      <c r="T115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0" s="19">
        <f>12.5* IF($M$1="NDX", 10, IF(OR($M$1="SPX", $M$1="RUT"), 2, 1))</f>
        <v>25</v>
      </c>
      <c r="Z1150">
        <f ca="1">IFERROR(Table133456[[#This Row],[call gamma]]*(Table133456[[#This Row],[Open.Int]])*$A$4^2,0)</f>
        <v>0</v>
      </c>
      <c r="AA1150">
        <f ca="1">IFERROR(((Table133456[[#This Row],[Open.Int8]])*Table133456[[#This Row],[Put gamma]])*-1*$A$4^2,0)</f>
        <v>0</v>
      </c>
      <c r="AB1150">
        <f ca="1">(Table133456[[#This Row],[Call Gex]]+Table133456[[#This Row],[Put Gex]])</f>
        <v>0</v>
      </c>
      <c r="AC1150">
        <f ca="1">Table133456[[#This Row],[put delta adj]]+Table133456[[#This Row],[call delta adj]]</f>
        <v>0</v>
      </c>
      <c r="AD1150">
        <f ca="1">Table133456[[#This Row],[Put Gex]]*Table133456[[#This Row],[DeltaP]]*-1</f>
        <v>0</v>
      </c>
      <c r="AE1150">
        <f ca="1">Table133456[[#This Row],[Call Gex]]*Table133456[[#This Row],[DeltaC]]</f>
        <v>0</v>
      </c>
      <c r="AF1150">
        <f>IF(Table133456[[#This Row],[DeltaC]]-ABS(Table133456[[#This Row],[DeltaP]])="0","0.01",Table133456[[#This Row],[DeltaC]]-ABS(Table133456[[#This Row],[DeltaP]]))</f>
        <v>0</v>
      </c>
      <c r="AG115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0" t="e">
        <f ca="1">(EXP(-(AG1150^2)/2)/SQRT(2*PI())*EXP(0*SQRT(Table133456[[#This Row],[T]]))/$A$4*18%*SQRT(SQRT(Table133456[[#This Row],[T]])))</f>
        <v>#DIV/0!</v>
      </c>
      <c r="AJ1150" t="e">
        <f ca="1">(EXP(-(AH1150^2)/2)/SQRT(2*PI())*EXP(0*SQRT(Table133456[[#This Row],[T]]))/$A$4*18%*SQRT(SQRT(Table133456[[#This Row],[T]])))</f>
        <v>#DIV/0!</v>
      </c>
      <c r="AK1150" t="e">
        <f ca="1">Table133456[[#This Row],[Call D1]]-Table133456[[#This Row],[IV Calc C]]*SQRT(Table133456[[#This Row],[T]])</f>
        <v>#DIV/0!</v>
      </c>
      <c r="AL1150" t="e">
        <f ca="1">Table133456[[#This Row],[Put D1]]-Table133456[[#This Row],[IV Calc P]]*SQRT(Table133456[[#This Row],[T]])</f>
        <v>#DIV/0!</v>
      </c>
      <c r="AM1150" t="e">
        <f ca="1">EXP(-0.5*Table133456[[#This Row],[Call D1]]^2)/SQRT(2*PI())</f>
        <v>#DIV/0!</v>
      </c>
      <c r="AN1150" t="e">
        <f ca="1">EXP(-0.5*Table133456[[#This Row],[Put D1]]^2)/SQRT(2*PI())</f>
        <v>#DIV/0!</v>
      </c>
      <c r="AO115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0">
        <f ca="1">((Table133456[[#This Row],[call vanna]]+Table133456[[#This Row],[put vanna]])*$A$4)</f>
        <v>0</v>
      </c>
      <c r="AR115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0" s="9" t="str" cm="1">
        <f t="array" ref="AT1150">_xlfn.IFS(     $M$1="SPX","SPXW",     $M$1="RUT","RUTW",  $M$1="NDX","NDXP",   TRUE,$M$1 )</f>
        <v>SPXW</v>
      </c>
      <c r="AU1150" s="2">
        <f t="shared" si="112"/>
        <v>6915</v>
      </c>
      <c r="AV1150" t="str">
        <f t="shared" si="113"/>
        <v>000100</v>
      </c>
      <c r="AY115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0">
        <f>((Table133456[[#This Row],[High C]]+Table133456[[#This Row],[Low C]])/2)*Table133456[[#This Row],[gammac]]*Table133456[[#This Row],[Volume]]</f>
        <v>0</v>
      </c>
      <c r="BD1150">
        <f>((Table133456[[#This Row],[High P]]+Table133456[[#This Row],[Low P]])/2)*Table133456[[#This Row],[gammap]]*Table133456[[#This Row],[Volume9]]*-1</f>
        <v>0</v>
      </c>
      <c r="BE1150">
        <f>(Table133456[[#This Row],[SgammaC]]+Table133456[[#This Row],[SgammaP]])*$A$4*-100</f>
        <v>0</v>
      </c>
      <c r="BF1150">
        <f>Table133456[[#This Row],[DEXc]]+Table133456[[#This Row],[DEXp]]</f>
        <v>0</v>
      </c>
      <c r="BG1150">
        <f>IFERROR(Table133456[[#This Row],[DeltaC]]*Table133456[[#This Row],[Open.Int]]*$A$4,0)</f>
        <v>0</v>
      </c>
      <c r="BH1150">
        <f>IFERROR(Table133456[[#This Row],[DeltaP]]*Table133456[[#This Row],[Open.Int8]]*$A$4,0)</f>
        <v>0</v>
      </c>
      <c r="BI115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0">
        <f ca="1">Table133456[[#This Row],[charmc]]+Table133456[[#This Row],[charmp]]</f>
        <v>0</v>
      </c>
      <c r="BL115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0" s="78">
        <f ca="1">Table133456[[#This Row],[call helper]]+Table133456[[#This Row],[put helper]]</f>
        <v>0</v>
      </c>
      <c r="BP1150" t="str">
        <f>RTD("tos.rtd", , "STRIKE", "."&amp;Table133456[[#This Row],[Ticker]]&amp;Table133456[[#This Row],[Expiry]]&amp;""&amp;"C"&amp;Table133456[[#This Row],[Spot]]+Table133456[[#This Row],[step]])</f>
        <v>N/A</v>
      </c>
    </row>
    <row r="1151" spans="1:68" x14ac:dyDescent="0.25">
      <c r="A1151" s="14">
        <f t="shared" ca="1" si="109"/>
        <v>-126.14810350076104</v>
      </c>
      <c r="C1151" s="17"/>
      <c r="D1151" t="str">
        <f>RTD("tos.rtd", , "OPEN_INT", "."&amp;Table133456[[#This Row],[Ticker]]&amp;Table133456[[#This Row],[Expiry]]&amp;""&amp;"C"&amp;Table133456[[#This Row],[Spot]]+Table133456[[#This Row],[step]])</f>
        <v>N/A</v>
      </c>
      <c r="E115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1" s="17" cm="1">
        <f t="array" aca="1" ref="H1151" ca="1">IndividualLegIVCore($A$4, Table133456[[#This Row],[Strike]], 0.0411, Table133456[[#This Row],[T]], ((Table133456[[#This Row],[BIDC]]+Table133456[[#This Row],[ASKC]])/2), TRUE)</f>
        <v>0.01</v>
      </c>
      <c r="I1151" t="b">
        <f>IF(     ISNUMBER(Table133456[[#This Row],[Strike]]),RTD("tos.rtd", , "BID", "."&amp;Table133456[[#This Row],[Ticker]]&amp;Table133456[[#This Row],[Expiry]]&amp;""&amp;"C"&amp;Table133456[[#This Row],[Strike]]))</f>
        <v>0</v>
      </c>
      <c r="J1151" t="b">
        <f>IF(     ISNUMBER(Table133456[[#This Row],[Strike]]),RTD("tos.rtd", , "ASK", "."&amp;Table133456[[#This Row],[Ticker]]&amp;Table133456[[#This Row],[Expiry]]&amp;""&amp;"C"&amp;Table133456[[#This Row],[Strike]]))</f>
        <v>0</v>
      </c>
      <c r="K1151" s="17"/>
      <c r="M1151" s="1">
        <f t="shared" si="110"/>
        <v>0</v>
      </c>
      <c r="N1151" t="b">
        <f t="shared" si="111"/>
        <v>0</v>
      </c>
      <c r="P1151" s="17" cm="1">
        <f t="array" aca="1" ref="P1151" ca="1">IndividualLegIVCore($A$4, Table133456[[#This Row],[Strike]], 0.0411, Table133456[[#This Row],[T]], ((Table133456[[#This Row],[BIDP]]+Table133456[[#This Row],[ASKP]])/2), FALSE)</f>
        <v>0.01</v>
      </c>
      <c r="Q1151" t="b">
        <f>IF(     ISNUMBER(Table133456[[#This Row],[Strike]]),RTD("tos.rtd", , "BID", "."&amp;Table133456[[#This Row],[Ticker]]&amp;Table133456[[#This Row],[Expiry]]&amp;""&amp;"P"&amp;Table133456[[#This Row],[Strike]]))</f>
        <v>0</v>
      </c>
      <c r="R1151" t="b">
        <f>IF(     ISNUMBER(Table133456[[#This Row],[Strike]]),RTD("tos.rtd", , "ASK", "."&amp;Table133456[[#This Row],[Ticker]]&amp;Table133456[[#This Row],[Expiry]]&amp;""&amp;"P"&amp;Table133456[[#This Row],[Strike]]))</f>
        <v>0</v>
      </c>
      <c r="S1151" s="17"/>
      <c r="T115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1" s="19">
        <f>13* IF($M$1="NDX", 10, IF(OR($M$1="SPX", $M$1="RUT"), 2, 1))</f>
        <v>26</v>
      </c>
      <c r="Z1151">
        <f ca="1">IFERROR(Table133456[[#This Row],[call gamma]]*(Table133456[[#This Row],[Open.Int]])*$A$4^2,0)</f>
        <v>0</v>
      </c>
      <c r="AA1151">
        <f ca="1">IFERROR(((Table133456[[#This Row],[Open.Int8]])*Table133456[[#This Row],[Put gamma]])*-1*$A$4^2,0)</f>
        <v>0</v>
      </c>
      <c r="AB1151">
        <f ca="1">(Table133456[[#This Row],[Call Gex]]+Table133456[[#This Row],[Put Gex]])</f>
        <v>0</v>
      </c>
      <c r="AC1151">
        <f ca="1">Table133456[[#This Row],[put delta adj]]+Table133456[[#This Row],[call delta adj]]</f>
        <v>0</v>
      </c>
      <c r="AD1151">
        <f ca="1">Table133456[[#This Row],[Put Gex]]*Table133456[[#This Row],[DeltaP]]*-1</f>
        <v>0</v>
      </c>
      <c r="AE1151">
        <f ca="1">Table133456[[#This Row],[Call Gex]]*Table133456[[#This Row],[DeltaC]]</f>
        <v>0</v>
      </c>
      <c r="AF1151">
        <f>IF(Table133456[[#This Row],[DeltaC]]-ABS(Table133456[[#This Row],[DeltaP]])="0","0.01",Table133456[[#This Row],[DeltaC]]-ABS(Table133456[[#This Row],[DeltaP]]))</f>
        <v>0</v>
      </c>
      <c r="AG115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1" t="e">
        <f ca="1">(EXP(-(AG1151^2)/2)/SQRT(2*PI())*EXP(0*SQRT(Table133456[[#This Row],[T]]))/$A$4*18%*SQRT(SQRT(Table133456[[#This Row],[T]])))</f>
        <v>#DIV/0!</v>
      </c>
      <c r="AJ1151" t="e">
        <f ca="1">(EXP(-(AH1151^2)/2)/SQRT(2*PI())*EXP(0*SQRT(Table133456[[#This Row],[T]]))/$A$4*18%*SQRT(SQRT(Table133456[[#This Row],[T]])))</f>
        <v>#DIV/0!</v>
      </c>
      <c r="AK1151" t="e">
        <f ca="1">Table133456[[#This Row],[Call D1]]-Table133456[[#This Row],[IV Calc C]]*SQRT(Table133456[[#This Row],[T]])</f>
        <v>#DIV/0!</v>
      </c>
      <c r="AL1151" t="e">
        <f ca="1">Table133456[[#This Row],[Put D1]]-Table133456[[#This Row],[IV Calc P]]*SQRT(Table133456[[#This Row],[T]])</f>
        <v>#DIV/0!</v>
      </c>
      <c r="AM1151" t="e">
        <f ca="1">EXP(-0.5*Table133456[[#This Row],[Call D1]]^2)/SQRT(2*PI())</f>
        <v>#DIV/0!</v>
      </c>
      <c r="AN1151" t="e">
        <f ca="1">EXP(-0.5*Table133456[[#This Row],[Put D1]]^2)/SQRT(2*PI())</f>
        <v>#DIV/0!</v>
      </c>
      <c r="AO115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1">
        <f ca="1">((Table133456[[#This Row],[call vanna]]+Table133456[[#This Row],[put vanna]])*$A$4)</f>
        <v>0</v>
      </c>
      <c r="AR115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1" s="9" t="str" cm="1">
        <f t="array" ref="AT1151">_xlfn.IFS(     $M$1="SPX","SPXW",     $M$1="RUT","RUTW",  $M$1="NDX","NDXP",   TRUE,$M$1 )</f>
        <v>SPXW</v>
      </c>
      <c r="AU1151" s="2">
        <f t="shared" si="112"/>
        <v>6915</v>
      </c>
      <c r="AV1151" t="str">
        <f t="shared" si="113"/>
        <v>000100</v>
      </c>
      <c r="AY115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1">
        <f>((Table133456[[#This Row],[High C]]+Table133456[[#This Row],[Low C]])/2)*Table133456[[#This Row],[gammac]]*Table133456[[#This Row],[Volume]]</f>
        <v>0</v>
      </c>
      <c r="BD1151">
        <f>((Table133456[[#This Row],[High P]]+Table133456[[#This Row],[Low P]])/2)*Table133456[[#This Row],[gammap]]*Table133456[[#This Row],[Volume9]]*-1</f>
        <v>0</v>
      </c>
      <c r="BE1151">
        <f>(Table133456[[#This Row],[SgammaC]]+Table133456[[#This Row],[SgammaP]])*$A$4*-100</f>
        <v>0</v>
      </c>
      <c r="BF1151">
        <f>Table133456[[#This Row],[DEXc]]+Table133456[[#This Row],[DEXp]]</f>
        <v>0</v>
      </c>
      <c r="BG1151">
        <f>IFERROR(Table133456[[#This Row],[DeltaC]]*Table133456[[#This Row],[Open.Int]]*$A$4,0)</f>
        <v>0</v>
      </c>
      <c r="BH1151">
        <f>IFERROR(Table133456[[#This Row],[DeltaP]]*Table133456[[#This Row],[Open.Int8]]*$A$4,0)</f>
        <v>0</v>
      </c>
      <c r="BI115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1">
        <f ca="1">Table133456[[#This Row],[charmc]]+Table133456[[#This Row],[charmp]]</f>
        <v>0</v>
      </c>
      <c r="BL115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1" s="78">
        <f ca="1">Table133456[[#This Row],[call helper]]+Table133456[[#This Row],[put helper]]</f>
        <v>0</v>
      </c>
      <c r="BP1151" t="str">
        <f>RTD("tos.rtd", , "STRIKE", "."&amp;Table133456[[#This Row],[Ticker]]&amp;Table133456[[#This Row],[Expiry]]&amp;""&amp;"C"&amp;Table133456[[#This Row],[Spot]]+Table133456[[#This Row],[step]])</f>
        <v>N/A</v>
      </c>
    </row>
    <row r="1152" spans="1:68" x14ac:dyDescent="0.25">
      <c r="A1152" s="14">
        <f t="shared" ca="1" si="109"/>
        <v>-126.14810350076104</v>
      </c>
      <c r="C1152" s="17"/>
      <c r="D1152" t="str">
        <f>RTD("tos.rtd", , "OPEN_INT", "."&amp;Table133456[[#This Row],[Ticker]]&amp;Table133456[[#This Row],[Expiry]]&amp;""&amp;"C"&amp;Table133456[[#This Row],[Spot]]+Table133456[[#This Row],[step]])</f>
        <v>N/A</v>
      </c>
      <c r="E115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2" s="17" cm="1">
        <f t="array" aca="1" ref="H1152" ca="1">IndividualLegIVCore($A$4, Table133456[[#This Row],[Strike]], 0.0411, Table133456[[#This Row],[T]], ((Table133456[[#This Row],[BIDC]]+Table133456[[#This Row],[ASKC]])/2), TRUE)</f>
        <v>0.01</v>
      </c>
      <c r="I1152" t="b">
        <f>IF(     ISNUMBER(Table133456[[#This Row],[Strike]]),RTD("tos.rtd", , "BID", "."&amp;Table133456[[#This Row],[Ticker]]&amp;Table133456[[#This Row],[Expiry]]&amp;""&amp;"C"&amp;Table133456[[#This Row],[Strike]]))</f>
        <v>0</v>
      </c>
      <c r="J1152" t="b">
        <f>IF(     ISNUMBER(Table133456[[#This Row],[Strike]]),RTD("tos.rtd", , "ASK", "."&amp;Table133456[[#This Row],[Ticker]]&amp;Table133456[[#This Row],[Expiry]]&amp;""&amp;"C"&amp;Table133456[[#This Row],[Strike]]))</f>
        <v>0</v>
      </c>
      <c r="K1152" s="17"/>
      <c r="M1152" s="1">
        <f t="shared" si="110"/>
        <v>0</v>
      </c>
      <c r="N1152" t="b">
        <f t="shared" si="111"/>
        <v>0</v>
      </c>
      <c r="P1152" s="17" cm="1">
        <f t="array" aca="1" ref="P1152" ca="1">IndividualLegIVCore($A$4, Table133456[[#This Row],[Strike]], 0.0411, Table133456[[#This Row],[T]], ((Table133456[[#This Row],[BIDP]]+Table133456[[#This Row],[ASKP]])/2), FALSE)</f>
        <v>0.01</v>
      </c>
      <c r="Q1152" t="b">
        <f>IF(     ISNUMBER(Table133456[[#This Row],[Strike]]),RTD("tos.rtd", , "BID", "."&amp;Table133456[[#This Row],[Ticker]]&amp;Table133456[[#This Row],[Expiry]]&amp;""&amp;"P"&amp;Table133456[[#This Row],[Strike]]))</f>
        <v>0</v>
      </c>
      <c r="R1152" t="b">
        <f>IF(     ISNUMBER(Table133456[[#This Row],[Strike]]),RTD("tos.rtd", , "ASK", "."&amp;Table133456[[#This Row],[Ticker]]&amp;Table133456[[#This Row],[Expiry]]&amp;""&amp;"P"&amp;Table133456[[#This Row],[Strike]]))</f>
        <v>0</v>
      </c>
      <c r="S1152" s="17"/>
      <c r="T115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2" s="19">
        <f>13.5* IF($M$1="NDX", 10, IF(OR($M$1="SPX", $M$1="RUT"), 2, 1))</f>
        <v>27</v>
      </c>
      <c r="Z1152">
        <f ca="1">IFERROR(Table133456[[#This Row],[call gamma]]*(Table133456[[#This Row],[Open.Int]])*$A$4^2,0)</f>
        <v>0</v>
      </c>
      <c r="AA1152">
        <f ca="1">IFERROR(((Table133456[[#This Row],[Open.Int8]])*Table133456[[#This Row],[Put gamma]])*-1*$A$4^2,0)</f>
        <v>0</v>
      </c>
      <c r="AB1152">
        <f ca="1">(Table133456[[#This Row],[Call Gex]]+Table133456[[#This Row],[Put Gex]])</f>
        <v>0</v>
      </c>
      <c r="AC1152">
        <f ca="1">Table133456[[#This Row],[put delta adj]]+Table133456[[#This Row],[call delta adj]]</f>
        <v>0</v>
      </c>
      <c r="AD1152">
        <f ca="1">Table133456[[#This Row],[Put Gex]]*Table133456[[#This Row],[DeltaP]]*-1</f>
        <v>0</v>
      </c>
      <c r="AE1152">
        <f ca="1">Table133456[[#This Row],[Call Gex]]*Table133456[[#This Row],[DeltaC]]</f>
        <v>0</v>
      </c>
      <c r="AF1152">
        <f>IF(Table133456[[#This Row],[DeltaC]]-ABS(Table133456[[#This Row],[DeltaP]])="0","0.01",Table133456[[#This Row],[DeltaC]]-ABS(Table133456[[#This Row],[DeltaP]]))</f>
        <v>0</v>
      </c>
      <c r="AG115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2" t="e">
        <f ca="1">(EXP(-(AG1152^2)/2)/SQRT(2*PI())*EXP(0*SQRT(Table133456[[#This Row],[T]]))/$A$4*18%*SQRT(SQRT(Table133456[[#This Row],[T]])))</f>
        <v>#DIV/0!</v>
      </c>
      <c r="AJ1152" t="e">
        <f ca="1">(EXP(-(AH1152^2)/2)/SQRT(2*PI())*EXP(0*SQRT(Table133456[[#This Row],[T]]))/$A$4*18%*SQRT(SQRT(Table133456[[#This Row],[T]])))</f>
        <v>#DIV/0!</v>
      </c>
      <c r="AK1152" t="e">
        <f ca="1">Table133456[[#This Row],[Call D1]]-Table133456[[#This Row],[IV Calc C]]*SQRT(Table133456[[#This Row],[T]])</f>
        <v>#DIV/0!</v>
      </c>
      <c r="AL1152" t="e">
        <f ca="1">Table133456[[#This Row],[Put D1]]-Table133456[[#This Row],[IV Calc P]]*SQRT(Table133456[[#This Row],[T]])</f>
        <v>#DIV/0!</v>
      </c>
      <c r="AM1152" t="e">
        <f ca="1">EXP(-0.5*Table133456[[#This Row],[Call D1]]^2)/SQRT(2*PI())</f>
        <v>#DIV/0!</v>
      </c>
      <c r="AN1152" t="e">
        <f ca="1">EXP(-0.5*Table133456[[#This Row],[Put D1]]^2)/SQRT(2*PI())</f>
        <v>#DIV/0!</v>
      </c>
      <c r="AO115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2">
        <f ca="1">((Table133456[[#This Row],[call vanna]]+Table133456[[#This Row],[put vanna]])*$A$4)</f>
        <v>0</v>
      </c>
      <c r="AR115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2" s="9" t="str" cm="1">
        <f t="array" ref="AT1152">_xlfn.IFS(     $M$1="SPX","SPXW",     $M$1="RUT","RUTW",  $M$1="NDX","NDXP",   TRUE,$M$1 )</f>
        <v>SPXW</v>
      </c>
      <c r="AU1152" s="2">
        <f t="shared" si="112"/>
        <v>6915</v>
      </c>
      <c r="AV1152" t="str">
        <f t="shared" si="113"/>
        <v>000100</v>
      </c>
      <c r="AY115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2">
        <f>((Table133456[[#This Row],[High C]]+Table133456[[#This Row],[Low C]])/2)*Table133456[[#This Row],[gammac]]*Table133456[[#This Row],[Volume]]</f>
        <v>0</v>
      </c>
      <c r="BD1152">
        <f>((Table133456[[#This Row],[High P]]+Table133456[[#This Row],[Low P]])/2)*Table133456[[#This Row],[gammap]]*Table133456[[#This Row],[Volume9]]*-1</f>
        <v>0</v>
      </c>
      <c r="BE1152">
        <f>(Table133456[[#This Row],[SgammaC]]+Table133456[[#This Row],[SgammaP]])*$A$4*-100</f>
        <v>0</v>
      </c>
      <c r="BF1152">
        <f>Table133456[[#This Row],[DEXc]]+Table133456[[#This Row],[DEXp]]</f>
        <v>0</v>
      </c>
      <c r="BG1152">
        <f>IFERROR(Table133456[[#This Row],[DeltaC]]*Table133456[[#This Row],[Open.Int]]*$A$4,0)</f>
        <v>0</v>
      </c>
      <c r="BH1152">
        <f>IFERROR(Table133456[[#This Row],[DeltaP]]*Table133456[[#This Row],[Open.Int8]]*$A$4,0)</f>
        <v>0</v>
      </c>
      <c r="BI115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2">
        <f ca="1">Table133456[[#This Row],[charmc]]+Table133456[[#This Row],[charmp]]</f>
        <v>0</v>
      </c>
      <c r="BL115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2" s="78">
        <f ca="1">Table133456[[#This Row],[call helper]]+Table133456[[#This Row],[put helper]]</f>
        <v>0</v>
      </c>
      <c r="BP1152" t="str">
        <f>RTD("tos.rtd", , "STRIKE", "."&amp;Table133456[[#This Row],[Ticker]]&amp;Table133456[[#This Row],[Expiry]]&amp;""&amp;"C"&amp;Table133456[[#This Row],[Spot]]+Table133456[[#This Row],[step]])</f>
        <v>N/A</v>
      </c>
    </row>
    <row r="1153" spans="1:68" x14ac:dyDescent="0.25">
      <c r="A1153" s="14">
        <f t="shared" ref="A1153:A1216" ca="1" si="114">$T$3</f>
        <v>-126.14810350076104</v>
      </c>
      <c r="C1153" s="17"/>
      <c r="D1153" t="str">
        <f>RTD("tos.rtd", , "OPEN_INT", "."&amp;Table133456[[#This Row],[Ticker]]&amp;Table133456[[#This Row],[Expiry]]&amp;""&amp;"C"&amp;Table133456[[#This Row],[Spot]]+Table133456[[#This Row],[step]])</f>
        <v>N/A</v>
      </c>
      <c r="E115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3" s="17" cm="1">
        <f t="array" aca="1" ref="H1153" ca="1">IndividualLegIVCore($A$4, Table133456[[#This Row],[Strike]], 0.0411, Table133456[[#This Row],[T]], ((Table133456[[#This Row],[BIDC]]+Table133456[[#This Row],[ASKC]])/2), TRUE)</f>
        <v>0.01</v>
      </c>
      <c r="I1153" t="b">
        <f>IF(     ISNUMBER(Table133456[[#This Row],[Strike]]),RTD("tos.rtd", , "BID", "."&amp;Table133456[[#This Row],[Ticker]]&amp;Table133456[[#This Row],[Expiry]]&amp;""&amp;"C"&amp;Table133456[[#This Row],[Strike]]))</f>
        <v>0</v>
      </c>
      <c r="J1153" t="b">
        <f>IF(     ISNUMBER(Table133456[[#This Row],[Strike]]),RTD("tos.rtd", , "ASK", "."&amp;Table133456[[#This Row],[Ticker]]&amp;Table133456[[#This Row],[Expiry]]&amp;""&amp;"C"&amp;Table133456[[#This Row],[Strike]]))</f>
        <v>0</v>
      </c>
      <c r="K1153" s="17"/>
      <c r="M1153" s="1">
        <f t="shared" ref="M1153:M1216" si="115">$T$1</f>
        <v>0</v>
      </c>
      <c r="N1153" t="b">
        <f t="shared" ref="N1153:N1216" si="116">IF(ISNUMBER($BP1153), $BP1153, FALSE)</f>
        <v>0</v>
      </c>
      <c r="P1153" s="17" cm="1">
        <f t="array" aca="1" ref="P1153" ca="1">IndividualLegIVCore($A$4, Table133456[[#This Row],[Strike]], 0.0411, Table133456[[#This Row],[T]], ((Table133456[[#This Row],[BIDP]]+Table133456[[#This Row],[ASKP]])/2), FALSE)</f>
        <v>0.01</v>
      </c>
      <c r="Q1153" t="b">
        <f>IF(     ISNUMBER(Table133456[[#This Row],[Strike]]),RTD("tos.rtd", , "BID", "."&amp;Table133456[[#This Row],[Ticker]]&amp;Table133456[[#This Row],[Expiry]]&amp;""&amp;"P"&amp;Table133456[[#This Row],[Strike]]))</f>
        <v>0</v>
      </c>
      <c r="R1153" t="b">
        <f>IF(     ISNUMBER(Table133456[[#This Row],[Strike]]),RTD("tos.rtd", , "ASK", "."&amp;Table133456[[#This Row],[Ticker]]&amp;Table133456[[#This Row],[Expiry]]&amp;""&amp;"P"&amp;Table133456[[#This Row],[Strike]]))</f>
        <v>0</v>
      </c>
      <c r="S1153" s="17"/>
      <c r="T115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3" s="19">
        <f>14* IF($M$1="NDX", 10, IF(OR($M$1="SPX", $M$1="RUT"), 2, 1))</f>
        <v>28</v>
      </c>
      <c r="Z1153">
        <f ca="1">IFERROR(Table133456[[#This Row],[call gamma]]*(Table133456[[#This Row],[Open.Int]])*$A$4^2,0)</f>
        <v>0</v>
      </c>
      <c r="AA1153">
        <f ca="1">IFERROR(((Table133456[[#This Row],[Open.Int8]])*Table133456[[#This Row],[Put gamma]])*-1*$A$4^2,0)</f>
        <v>0</v>
      </c>
      <c r="AB1153">
        <f ca="1">(Table133456[[#This Row],[Call Gex]]+Table133456[[#This Row],[Put Gex]])</f>
        <v>0</v>
      </c>
      <c r="AC1153">
        <f ca="1">Table133456[[#This Row],[put delta adj]]+Table133456[[#This Row],[call delta adj]]</f>
        <v>0</v>
      </c>
      <c r="AD1153">
        <f ca="1">Table133456[[#This Row],[Put Gex]]*Table133456[[#This Row],[DeltaP]]*-1</f>
        <v>0</v>
      </c>
      <c r="AE1153">
        <f ca="1">Table133456[[#This Row],[Call Gex]]*Table133456[[#This Row],[DeltaC]]</f>
        <v>0</v>
      </c>
      <c r="AF1153">
        <f>IF(Table133456[[#This Row],[DeltaC]]-ABS(Table133456[[#This Row],[DeltaP]])="0","0.01",Table133456[[#This Row],[DeltaC]]-ABS(Table133456[[#This Row],[DeltaP]]))</f>
        <v>0</v>
      </c>
      <c r="AG115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3" t="e">
        <f ca="1">(EXP(-(AG1153^2)/2)/SQRT(2*PI())*EXP(0*SQRT(Table133456[[#This Row],[T]]))/$A$4*18%*SQRT(SQRT(Table133456[[#This Row],[T]])))</f>
        <v>#DIV/0!</v>
      </c>
      <c r="AJ1153" t="e">
        <f ca="1">(EXP(-(AH1153^2)/2)/SQRT(2*PI())*EXP(0*SQRT(Table133456[[#This Row],[T]]))/$A$4*18%*SQRT(SQRT(Table133456[[#This Row],[T]])))</f>
        <v>#DIV/0!</v>
      </c>
      <c r="AK1153" t="e">
        <f ca="1">Table133456[[#This Row],[Call D1]]-Table133456[[#This Row],[IV Calc C]]*SQRT(Table133456[[#This Row],[T]])</f>
        <v>#DIV/0!</v>
      </c>
      <c r="AL1153" t="e">
        <f ca="1">Table133456[[#This Row],[Put D1]]-Table133456[[#This Row],[IV Calc P]]*SQRT(Table133456[[#This Row],[T]])</f>
        <v>#DIV/0!</v>
      </c>
      <c r="AM1153" t="e">
        <f ca="1">EXP(-0.5*Table133456[[#This Row],[Call D1]]^2)/SQRT(2*PI())</f>
        <v>#DIV/0!</v>
      </c>
      <c r="AN1153" t="e">
        <f ca="1">EXP(-0.5*Table133456[[#This Row],[Put D1]]^2)/SQRT(2*PI())</f>
        <v>#DIV/0!</v>
      </c>
      <c r="AO115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3">
        <f ca="1">((Table133456[[#This Row],[call vanna]]+Table133456[[#This Row],[put vanna]])*$A$4)</f>
        <v>0</v>
      </c>
      <c r="AR115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3" s="9" t="str" cm="1">
        <f t="array" ref="AT1153">_xlfn.IFS(     $M$1="SPX","SPXW",     $M$1="RUT","RUTW",  $M$1="NDX","NDXP",   TRUE,$M$1 )</f>
        <v>SPXW</v>
      </c>
      <c r="AU1153" s="2">
        <f t="shared" ref="AU1153:AU1216" si="117">$N$1</f>
        <v>6915</v>
      </c>
      <c r="AV1153" t="str">
        <f t="shared" ref="AV1153:AV1216" si="118">$T$2</f>
        <v>000100</v>
      </c>
      <c r="AY115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3">
        <f>((Table133456[[#This Row],[High C]]+Table133456[[#This Row],[Low C]])/2)*Table133456[[#This Row],[gammac]]*Table133456[[#This Row],[Volume]]</f>
        <v>0</v>
      </c>
      <c r="BD1153">
        <f>((Table133456[[#This Row],[High P]]+Table133456[[#This Row],[Low P]])/2)*Table133456[[#This Row],[gammap]]*Table133456[[#This Row],[Volume9]]*-1</f>
        <v>0</v>
      </c>
      <c r="BE1153">
        <f>(Table133456[[#This Row],[SgammaC]]+Table133456[[#This Row],[SgammaP]])*$A$4*-100</f>
        <v>0</v>
      </c>
      <c r="BF1153">
        <f>Table133456[[#This Row],[DEXc]]+Table133456[[#This Row],[DEXp]]</f>
        <v>0</v>
      </c>
      <c r="BG1153">
        <f>IFERROR(Table133456[[#This Row],[DeltaC]]*Table133456[[#This Row],[Open.Int]]*$A$4,0)</f>
        <v>0</v>
      </c>
      <c r="BH1153">
        <f>IFERROR(Table133456[[#This Row],[DeltaP]]*Table133456[[#This Row],[Open.Int8]]*$A$4,0)</f>
        <v>0</v>
      </c>
      <c r="BI115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3">
        <f ca="1">Table133456[[#This Row],[charmc]]+Table133456[[#This Row],[charmp]]</f>
        <v>0</v>
      </c>
      <c r="BL115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3" s="78">
        <f ca="1">Table133456[[#This Row],[call helper]]+Table133456[[#This Row],[put helper]]</f>
        <v>0</v>
      </c>
      <c r="BP1153" t="str">
        <f>RTD("tos.rtd", , "STRIKE", "."&amp;Table133456[[#This Row],[Ticker]]&amp;Table133456[[#This Row],[Expiry]]&amp;""&amp;"C"&amp;Table133456[[#This Row],[Spot]]+Table133456[[#This Row],[step]])</f>
        <v>N/A</v>
      </c>
    </row>
    <row r="1154" spans="1:68" x14ac:dyDescent="0.25">
      <c r="A1154" s="14">
        <f t="shared" ca="1" si="114"/>
        <v>-126.14810350076104</v>
      </c>
      <c r="C1154" s="17"/>
      <c r="D1154" t="str">
        <f>RTD("tos.rtd", , "OPEN_INT", "."&amp;Table133456[[#This Row],[Ticker]]&amp;Table133456[[#This Row],[Expiry]]&amp;""&amp;"C"&amp;Table133456[[#This Row],[Spot]]+Table133456[[#This Row],[step]])</f>
        <v>N/A</v>
      </c>
      <c r="E115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4" s="17" cm="1">
        <f t="array" aca="1" ref="H1154" ca="1">IndividualLegIVCore($A$4, Table133456[[#This Row],[Strike]], 0.0411, Table133456[[#This Row],[T]], ((Table133456[[#This Row],[BIDC]]+Table133456[[#This Row],[ASKC]])/2), TRUE)</f>
        <v>0.01</v>
      </c>
      <c r="I1154" t="b">
        <f>IF(     ISNUMBER(Table133456[[#This Row],[Strike]]),RTD("tos.rtd", , "BID", "."&amp;Table133456[[#This Row],[Ticker]]&amp;Table133456[[#This Row],[Expiry]]&amp;""&amp;"C"&amp;Table133456[[#This Row],[Strike]]))</f>
        <v>0</v>
      </c>
      <c r="J1154" t="b">
        <f>IF(     ISNUMBER(Table133456[[#This Row],[Strike]]),RTD("tos.rtd", , "ASK", "."&amp;Table133456[[#This Row],[Ticker]]&amp;Table133456[[#This Row],[Expiry]]&amp;""&amp;"C"&amp;Table133456[[#This Row],[Strike]]))</f>
        <v>0</v>
      </c>
      <c r="K1154" s="17"/>
      <c r="M1154" s="1">
        <f t="shared" si="115"/>
        <v>0</v>
      </c>
      <c r="N1154" t="b">
        <f t="shared" si="116"/>
        <v>0</v>
      </c>
      <c r="P1154" s="17" cm="1">
        <f t="array" aca="1" ref="P1154" ca="1">IndividualLegIVCore($A$4, Table133456[[#This Row],[Strike]], 0.0411, Table133456[[#This Row],[T]], ((Table133456[[#This Row],[BIDP]]+Table133456[[#This Row],[ASKP]])/2), FALSE)</f>
        <v>0.01</v>
      </c>
      <c r="Q1154" t="b">
        <f>IF(     ISNUMBER(Table133456[[#This Row],[Strike]]),RTD("tos.rtd", , "BID", "."&amp;Table133456[[#This Row],[Ticker]]&amp;Table133456[[#This Row],[Expiry]]&amp;""&amp;"P"&amp;Table133456[[#This Row],[Strike]]))</f>
        <v>0</v>
      </c>
      <c r="R1154" t="b">
        <f>IF(     ISNUMBER(Table133456[[#This Row],[Strike]]),RTD("tos.rtd", , "ASK", "."&amp;Table133456[[#This Row],[Ticker]]&amp;Table133456[[#This Row],[Expiry]]&amp;""&amp;"P"&amp;Table133456[[#This Row],[Strike]]))</f>
        <v>0</v>
      </c>
      <c r="S1154" s="17"/>
      <c r="T115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4" s="19">
        <f>14.5* IF($M$1="NDX", 10, IF(OR($M$1="SPX", $M$1="RUT"), 2, 1))</f>
        <v>29</v>
      </c>
      <c r="Z1154">
        <f ca="1">IFERROR(Table133456[[#This Row],[call gamma]]*(Table133456[[#This Row],[Open.Int]])*$A$4^2,0)</f>
        <v>0</v>
      </c>
      <c r="AA1154">
        <f ca="1">IFERROR(((Table133456[[#This Row],[Open.Int8]])*Table133456[[#This Row],[Put gamma]])*-1*$A$4^2,0)</f>
        <v>0</v>
      </c>
      <c r="AB1154">
        <f ca="1">(Table133456[[#This Row],[Call Gex]]+Table133456[[#This Row],[Put Gex]])</f>
        <v>0</v>
      </c>
      <c r="AC1154">
        <f ca="1">Table133456[[#This Row],[put delta adj]]+Table133456[[#This Row],[call delta adj]]</f>
        <v>0</v>
      </c>
      <c r="AD1154">
        <f ca="1">Table133456[[#This Row],[Put Gex]]*Table133456[[#This Row],[DeltaP]]*-1</f>
        <v>0</v>
      </c>
      <c r="AE1154">
        <f ca="1">Table133456[[#This Row],[Call Gex]]*Table133456[[#This Row],[DeltaC]]</f>
        <v>0</v>
      </c>
      <c r="AF1154">
        <f>IF(Table133456[[#This Row],[DeltaC]]-ABS(Table133456[[#This Row],[DeltaP]])="0","0.01",Table133456[[#This Row],[DeltaC]]-ABS(Table133456[[#This Row],[DeltaP]]))</f>
        <v>0</v>
      </c>
      <c r="AG115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4" t="e">
        <f ca="1">(EXP(-(AG1154^2)/2)/SQRT(2*PI())*EXP(0*SQRT(Table133456[[#This Row],[T]]))/$A$4*18%*SQRT(SQRT(Table133456[[#This Row],[T]])))</f>
        <v>#DIV/0!</v>
      </c>
      <c r="AJ1154" t="e">
        <f ca="1">(EXP(-(AH1154^2)/2)/SQRT(2*PI())*EXP(0*SQRT(Table133456[[#This Row],[T]]))/$A$4*18%*SQRT(SQRT(Table133456[[#This Row],[T]])))</f>
        <v>#DIV/0!</v>
      </c>
      <c r="AK1154" t="e">
        <f ca="1">Table133456[[#This Row],[Call D1]]-Table133456[[#This Row],[IV Calc C]]*SQRT(Table133456[[#This Row],[T]])</f>
        <v>#DIV/0!</v>
      </c>
      <c r="AL1154" t="e">
        <f ca="1">Table133456[[#This Row],[Put D1]]-Table133456[[#This Row],[IV Calc P]]*SQRT(Table133456[[#This Row],[T]])</f>
        <v>#DIV/0!</v>
      </c>
      <c r="AM1154" t="e">
        <f ca="1">EXP(-0.5*Table133456[[#This Row],[Call D1]]^2)/SQRT(2*PI())</f>
        <v>#DIV/0!</v>
      </c>
      <c r="AN1154" t="e">
        <f ca="1">EXP(-0.5*Table133456[[#This Row],[Put D1]]^2)/SQRT(2*PI())</f>
        <v>#DIV/0!</v>
      </c>
      <c r="AO115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4">
        <f ca="1">((Table133456[[#This Row],[call vanna]]+Table133456[[#This Row],[put vanna]])*$A$4)</f>
        <v>0</v>
      </c>
      <c r="AR115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4" s="9" t="str" cm="1">
        <f t="array" ref="AT1154">_xlfn.IFS(     $M$1="SPX","SPXW",     $M$1="RUT","RUTW",  $M$1="NDX","NDXP",   TRUE,$M$1 )</f>
        <v>SPXW</v>
      </c>
      <c r="AU1154" s="2">
        <f t="shared" si="117"/>
        <v>6915</v>
      </c>
      <c r="AV1154" t="str">
        <f t="shared" si="118"/>
        <v>000100</v>
      </c>
      <c r="AY115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4">
        <f>((Table133456[[#This Row],[High C]]+Table133456[[#This Row],[Low C]])/2)*Table133456[[#This Row],[gammac]]*Table133456[[#This Row],[Volume]]</f>
        <v>0</v>
      </c>
      <c r="BD1154">
        <f>((Table133456[[#This Row],[High P]]+Table133456[[#This Row],[Low P]])/2)*Table133456[[#This Row],[gammap]]*Table133456[[#This Row],[Volume9]]*-1</f>
        <v>0</v>
      </c>
      <c r="BE1154">
        <f>(Table133456[[#This Row],[SgammaC]]+Table133456[[#This Row],[SgammaP]])*$A$4*-100</f>
        <v>0</v>
      </c>
      <c r="BF1154">
        <f>Table133456[[#This Row],[DEXc]]+Table133456[[#This Row],[DEXp]]</f>
        <v>0</v>
      </c>
      <c r="BG1154">
        <f>IFERROR(Table133456[[#This Row],[DeltaC]]*Table133456[[#This Row],[Open.Int]]*$A$4,0)</f>
        <v>0</v>
      </c>
      <c r="BH1154">
        <f>IFERROR(Table133456[[#This Row],[DeltaP]]*Table133456[[#This Row],[Open.Int8]]*$A$4,0)</f>
        <v>0</v>
      </c>
      <c r="BI115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4">
        <f ca="1">Table133456[[#This Row],[charmc]]+Table133456[[#This Row],[charmp]]</f>
        <v>0</v>
      </c>
      <c r="BL115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4" s="78">
        <f ca="1">Table133456[[#This Row],[call helper]]+Table133456[[#This Row],[put helper]]</f>
        <v>0</v>
      </c>
      <c r="BP1154" t="str">
        <f>RTD("tos.rtd", , "STRIKE", "."&amp;Table133456[[#This Row],[Ticker]]&amp;Table133456[[#This Row],[Expiry]]&amp;""&amp;"C"&amp;Table133456[[#This Row],[Spot]]+Table133456[[#This Row],[step]])</f>
        <v>N/A</v>
      </c>
    </row>
    <row r="1155" spans="1:68" x14ac:dyDescent="0.25">
      <c r="A1155" s="14">
        <f t="shared" ca="1" si="114"/>
        <v>-126.14810350076104</v>
      </c>
      <c r="C1155" s="17"/>
      <c r="D1155" t="str">
        <f>RTD("tos.rtd", , "OPEN_INT", "."&amp;Table133456[[#This Row],[Ticker]]&amp;Table133456[[#This Row],[Expiry]]&amp;""&amp;"C"&amp;Table133456[[#This Row],[Spot]]+Table133456[[#This Row],[step]])</f>
        <v>N/A</v>
      </c>
      <c r="E115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5" s="17" cm="1">
        <f t="array" aca="1" ref="H1155" ca="1">IndividualLegIVCore($A$4, Table133456[[#This Row],[Strike]], 0.0411, Table133456[[#This Row],[T]], ((Table133456[[#This Row],[BIDC]]+Table133456[[#This Row],[ASKC]])/2), TRUE)</f>
        <v>0.01</v>
      </c>
      <c r="I1155" t="b">
        <f>IF(     ISNUMBER(Table133456[[#This Row],[Strike]]),RTD("tos.rtd", , "BID", "."&amp;Table133456[[#This Row],[Ticker]]&amp;Table133456[[#This Row],[Expiry]]&amp;""&amp;"C"&amp;Table133456[[#This Row],[Strike]]))</f>
        <v>0</v>
      </c>
      <c r="J1155" t="b">
        <f>IF(     ISNUMBER(Table133456[[#This Row],[Strike]]),RTD("tos.rtd", , "ASK", "."&amp;Table133456[[#This Row],[Ticker]]&amp;Table133456[[#This Row],[Expiry]]&amp;""&amp;"C"&amp;Table133456[[#This Row],[Strike]]))</f>
        <v>0</v>
      </c>
      <c r="K1155" s="17"/>
      <c r="M1155" s="1">
        <f t="shared" si="115"/>
        <v>0</v>
      </c>
      <c r="N1155" t="b">
        <f t="shared" si="116"/>
        <v>0</v>
      </c>
      <c r="P1155" s="17" cm="1">
        <f t="array" aca="1" ref="P1155" ca="1">IndividualLegIVCore($A$4, Table133456[[#This Row],[Strike]], 0.0411, Table133456[[#This Row],[T]], ((Table133456[[#This Row],[BIDP]]+Table133456[[#This Row],[ASKP]])/2), FALSE)</f>
        <v>0.01</v>
      </c>
      <c r="Q1155" t="b">
        <f>IF(     ISNUMBER(Table133456[[#This Row],[Strike]]),RTD("tos.rtd", , "BID", "."&amp;Table133456[[#This Row],[Ticker]]&amp;Table133456[[#This Row],[Expiry]]&amp;""&amp;"P"&amp;Table133456[[#This Row],[Strike]]))</f>
        <v>0</v>
      </c>
      <c r="R1155" t="b">
        <f>IF(     ISNUMBER(Table133456[[#This Row],[Strike]]),RTD("tos.rtd", , "ASK", "."&amp;Table133456[[#This Row],[Ticker]]&amp;Table133456[[#This Row],[Expiry]]&amp;""&amp;"P"&amp;Table133456[[#This Row],[Strike]]))</f>
        <v>0</v>
      </c>
      <c r="S1155" s="17"/>
      <c r="T115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5" s="19">
        <f>15* IF($M$1="NDX", 10, IF(OR($M$1="SPX", $M$1="RUT"), 2, 1))</f>
        <v>30</v>
      </c>
      <c r="Z1155">
        <f ca="1">IFERROR(Table133456[[#This Row],[call gamma]]*(Table133456[[#This Row],[Open.Int]])*$A$4^2,0)</f>
        <v>0</v>
      </c>
      <c r="AA1155">
        <f ca="1">IFERROR(((Table133456[[#This Row],[Open.Int8]])*Table133456[[#This Row],[Put gamma]])*-1*$A$4^2,0)</f>
        <v>0</v>
      </c>
      <c r="AB1155">
        <f ca="1">(Table133456[[#This Row],[Call Gex]]+Table133456[[#This Row],[Put Gex]])</f>
        <v>0</v>
      </c>
      <c r="AC1155">
        <f ca="1">Table133456[[#This Row],[put delta adj]]+Table133456[[#This Row],[call delta adj]]</f>
        <v>0</v>
      </c>
      <c r="AD1155">
        <f ca="1">Table133456[[#This Row],[Put Gex]]*Table133456[[#This Row],[DeltaP]]*-1</f>
        <v>0</v>
      </c>
      <c r="AE1155">
        <f ca="1">Table133456[[#This Row],[Call Gex]]*Table133456[[#This Row],[DeltaC]]</f>
        <v>0</v>
      </c>
      <c r="AF1155">
        <f>IF(Table133456[[#This Row],[DeltaC]]-ABS(Table133456[[#This Row],[DeltaP]])="0","0.01",Table133456[[#This Row],[DeltaC]]-ABS(Table133456[[#This Row],[DeltaP]]))</f>
        <v>0</v>
      </c>
      <c r="AG115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5" t="e">
        <f ca="1">(EXP(-(AG1155^2)/2)/SQRT(2*PI())*EXP(0*SQRT(Table133456[[#This Row],[T]]))/$A$4*18%*SQRT(SQRT(Table133456[[#This Row],[T]])))</f>
        <v>#DIV/0!</v>
      </c>
      <c r="AJ1155" t="e">
        <f ca="1">(EXP(-(AH1155^2)/2)/SQRT(2*PI())*EXP(0*SQRT(Table133456[[#This Row],[T]]))/$A$4*18%*SQRT(SQRT(Table133456[[#This Row],[T]])))</f>
        <v>#DIV/0!</v>
      </c>
      <c r="AK1155" t="e">
        <f ca="1">Table133456[[#This Row],[Call D1]]-Table133456[[#This Row],[IV Calc C]]*SQRT(Table133456[[#This Row],[T]])</f>
        <v>#DIV/0!</v>
      </c>
      <c r="AL1155" t="e">
        <f ca="1">Table133456[[#This Row],[Put D1]]-Table133456[[#This Row],[IV Calc P]]*SQRT(Table133456[[#This Row],[T]])</f>
        <v>#DIV/0!</v>
      </c>
      <c r="AM1155" t="e">
        <f ca="1">EXP(-0.5*Table133456[[#This Row],[Call D1]]^2)/SQRT(2*PI())</f>
        <v>#DIV/0!</v>
      </c>
      <c r="AN1155" t="e">
        <f ca="1">EXP(-0.5*Table133456[[#This Row],[Put D1]]^2)/SQRT(2*PI())</f>
        <v>#DIV/0!</v>
      </c>
      <c r="AO115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5">
        <f ca="1">((Table133456[[#This Row],[call vanna]]+Table133456[[#This Row],[put vanna]])*$A$4)</f>
        <v>0</v>
      </c>
      <c r="AR115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5" s="9" t="str" cm="1">
        <f t="array" ref="AT1155">_xlfn.IFS(     $M$1="SPX","SPXW",     $M$1="RUT","RUTW",  $M$1="NDX","NDXP",   TRUE,$M$1 )</f>
        <v>SPXW</v>
      </c>
      <c r="AU1155" s="2">
        <f t="shared" si="117"/>
        <v>6915</v>
      </c>
      <c r="AV1155" t="str">
        <f t="shared" si="118"/>
        <v>000100</v>
      </c>
      <c r="AY115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5">
        <f>((Table133456[[#This Row],[High C]]+Table133456[[#This Row],[Low C]])/2)*Table133456[[#This Row],[gammac]]*Table133456[[#This Row],[Volume]]</f>
        <v>0</v>
      </c>
      <c r="BD1155">
        <f>((Table133456[[#This Row],[High P]]+Table133456[[#This Row],[Low P]])/2)*Table133456[[#This Row],[gammap]]*Table133456[[#This Row],[Volume9]]*-1</f>
        <v>0</v>
      </c>
      <c r="BE1155">
        <f>(Table133456[[#This Row],[SgammaC]]+Table133456[[#This Row],[SgammaP]])*$A$4*-100</f>
        <v>0</v>
      </c>
      <c r="BF1155">
        <f>Table133456[[#This Row],[DEXc]]+Table133456[[#This Row],[DEXp]]</f>
        <v>0</v>
      </c>
      <c r="BG1155">
        <f>IFERROR(Table133456[[#This Row],[DeltaC]]*Table133456[[#This Row],[Open.Int]]*$A$4,0)</f>
        <v>0</v>
      </c>
      <c r="BH1155">
        <f>IFERROR(Table133456[[#This Row],[DeltaP]]*Table133456[[#This Row],[Open.Int8]]*$A$4,0)</f>
        <v>0</v>
      </c>
      <c r="BI115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5">
        <f ca="1">Table133456[[#This Row],[charmc]]+Table133456[[#This Row],[charmp]]</f>
        <v>0</v>
      </c>
      <c r="BL115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5" s="78">
        <f ca="1">Table133456[[#This Row],[call helper]]+Table133456[[#This Row],[put helper]]</f>
        <v>0</v>
      </c>
      <c r="BP1155" t="str">
        <f>RTD("tos.rtd", , "STRIKE", "."&amp;Table133456[[#This Row],[Ticker]]&amp;Table133456[[#This Row],[Expiry]]&amp;""&amp;"C"&amp;Table133456[[#This Row],[Spot]]+Table133456[[#This Row],[step]])</f>
        <v>N/A</v>
      </c>
    </row>
    <row r="1156" spans="1:68" x14ac:dyDescent="0.25">
      <c r="A1156" s="14">
        <f t="shared" ca="1" si="114"/>
        <v>-126.14810350076104</v>
      </c>
      <c r="C1156" s="17"/>
      <c r="D1156" t="str">
        <f>RTD("tos.rtd", , "OPEN_INT", "."&amp;Table133456[[#This Row],[Ticker]]&amp;Table133456[[#This Row],[Expiry]]&amp;""&amp;"C"&amp;Table133456[[#This Row],[Spot]]+Table133456[[#This Row],[step]])</f>
        <v>N/A</v>
      </c>
      <c r="E115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6" s="17" cm="1">
        <f t="array" aca="1" ref="H1156" ca="1">IndividualLegIVCore($A$4, Table133456[[#This Row],[Strike]], 0.0411, Table133456[[#This Row],[T]], ((Table133456[[#This Row],[BIDC]]+Table133456[[#This Row],[ASKC]])/2), TRUE)</f>
        <v>0.01</v>
      </c>
      <c r="I1156" t="b">
        <f>IF(     ISNUMBER(Table133456[[#This Row],[Strike]]),RTD("tos.rtd", , "BID", "."&amp;Table133456[[#This Row],[Ticker]]&amp;Table133456[[#This Row],[Expiry]]&amp;""&amp;"C"&amp;Table133456[[#This Row],[Strike]]))</f>
        <v>0</v>
      </c>
      <c r="J1156" t="b">
        <f>IF(     ISNUMBER(Table133456[[#This Row],[Strike]]),RTD("tos.rtd", , "ASK", "."&amp;Table133456[[#This Row],[Ticker]]&amp;Table133456[[#This Row],[Expiry]]&amp;""&amp;"C"&amp;Table133456[[#This Row],[Strike]]))</f>
        <v>0</v>
      </c>
      <c r="K1156" s="17"/>
      <c r="M1156" s="1">
        <f t="shared" si="115"/>
        <v>0</v>
      </c>
      <c r="N1156" t="b">
        <f t="shared" si="116"/>
        <v>0</v>
      </c>
      <c r="P1156" s="17" cm="1">
        <f t="array" aca="1" ref="P1156" ca="1">IndividualLegIVCore($A$4, Table133456[[#This Row],[Strike]], 0.0411, Table133456[[#This Row],[T]], ((Table133456[[#This Row],[BIDP]]+Table133456[[#This Row],[ASKP]])/2), FALSE)</f>
        <v>0.01</v>
      </c>
      <c r="Q1156" t="b">
        <f>IF(     ISNUMBER(Table133456[[#This Row],[Strike]]),RTD("tos.rtd", , "BID", "."&amp;Table133456[[#This Row],[Ticker]]&amp;Table133456[[#This Row],[Expiry]]&amp;""&amp;"P"&amp;Table133456[[#This Row],[Strike]]))</f>
        <v>0</v>
      </c>
      <c r="R1156" t="b">
        <f>IF(     ISNUMBER(Table133456[[#This Row],[Strike]]),RTD("tos.rtd", , "ASK", "."&amp;Table133456[[#This Row],[Ticker]]&amp;Table133456[[#This Row],[Expiry]]&amp;""&amp;"P"&amp;Table133456[[#This Row],[Strike]]))</f>
        <v>0</v>
      </c>
      <c r="S1156" s="17"/>
      <c r="T115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6" s="19">
        <f>15.5* IF($M$1="NDX", 10, IF(OR($M$1="SPX", $M$1="RUT"), 2, 1))</f>
        <v>31</v>
      </c>
      <c r="Z1156">
        <f ca="1">IFERROR(Table133456[[#This Row],[call gamma]]*(Table133456[[#This Row],[Open.Int]])*$A$4^2,0)</f>
        <v>0</v>
      </c>
      <c r="AA1156">
        <f ca="1">IFERROR(((Table133456[[#This Row],[Open.Int8]])*Table133456[[#This Row],[Put gamma]])*-1*$A$4^2,0)</f>
        <v>0</v>
      </c>
      <c r="AB1156">
        <f ca="1">(Table133456[[#This Row],[Call Gex]]+Table133456[[#This Row],[Put Gex]])</f>
        <v>0</v>
      </c>
      <c r="AC1156">
        <f ca="1">Table133456[[#This Row],[put delta adj]]+Table133456[[#This Row],[call delta adj]]</f>
        <v>0</v>
      </c>
      <c r="AD1156">
        <f ca="1">Table133456[[#This Row],[Put Gex]]*Table133456[[#This Row],[DeltaP]]*-1</f>
        <v>0</v>
      </c>
      <c r="AE1156">
        <f ca="1">Table133456[[#This Row],[Call Gex]]*Table133456[[#This Row],[DeltaC]]</f>
        <v>0</v>
      </c>
      <c r="AF1156">
        <f>IF(Table133456[[#This Row],[DeltaC]]-ABS(Table133456[[#This Row],[DeltaP]])="0","0.01",Table133456[[#This Row],[DeltaC]]-ABS(Table133456[[#This Row],[DeltaP]]))</f>
        <v>0</v>
      </c>
      <c r="AG115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6" t="e">
        <f ca="1">(EXP(-(AG1156^2)/2)/SQRT(2*PI())*EXP(0*SQRT(Table133456[[#This Row],[T]]))/$A$4*18%*SQRT(SQRT(Table133456[[#This Row],[T]])))</f>
        <v>#DIV/0!</v>
      </c>
      <c r="AJ1156" t="e">
        <f ca="1">(EXP(-(AH1156^2)/2)/SQRT(2*PI())*EXP(0*SQRT(Table133456[[#This Row],[T]]))/$A$4*18%*SQRT(SQRT(Table133456[[#This Row],[T]])))</f>
        <v>#DIV/0!</v>
      </c>
      <c r="AK1156" t="e">
        <f ca="1">Table133456[[#This Row],[Call D1]]-Table133456[[#This Row],[IV Calc C]]*SQRT(Table133456[[#This Row],[T]])</f>
        <v>#DIV/0!</v>
      </c>
      <c r="AL1156" t="e">
        <f ca="1">Table133456[[#This Row],[Put D1]]-Table133456[[#This Row],[IV Calc P]]*SQRT(Table133456[[#This Row],[T]])</f>
        <v>#DIV/0!</v>
      </c>
      <c r="AM1156" t="e">
        <f ca="1">EXP(-0.5*Table133456[[#This Row],[Call D1]]^2)/SQRT(2*PI())</f>
        <v>#DIV/0!</v>
      </c>
      <c r="AN1156" t="e">
        <f ca="1">EXP(-0.5*Table133456[[#This Row],[Put D1]]^2)/SQRT(2*PI())</f>
        <v>#DIV/0!</v>
      </c>
      <c r="AO115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6">
        <f ca="1">((Table133456[[#This Row],[call vanna]]+Table133456[[#This Row],[put vanna]])*$A$4)</f>
        <v>0</v>
      </c>
      <c r="AR115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6" s="9" t="str" cm="1">
        <f t="array" ref="AT1156">_xlfn.IFS(     $M$1="SPX","SPXW",     $M$1="RUT","RUTW",  $M$1="NDX","NDXP",   TRUE,$M$1 )</f>
        <v>SPXW</v>
      </c>
      <c r="AU1156" s="2">
        <f t="shared" si="117"/>
        <v>6915</v>
      </c>
      <c r="AV1156" t="str">
        <f t="shared" si="118"/>
        <v>000100</v>
      </c>
      <c r="AY115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6">
        <f>((Table133456[[#This Row],[High C]]+Table133456[[#This Row],[Low C]])/2)*Table133456[[#This Row],[gammac]]*Table133456[[#This Row],[Volume]]</f>
        <v>0</v>
      </c>
      <c r="BD1156">
        <f>((Table133456[[#This Row],[High P]]+Table133456[[#This Row],[Low P]])/2)*Table133456[[#This Row],[gammap]]*Table133456[[#This Row],[Volume9]]*-1</f>
        <v>0</v>
      </c>
      <c r="BE1156">
        <f>(Table133456[[#This Row],[SgammaC]]+Table133456[[#This Row],[SgammaP]])*$A$4*-100</f>
        <v>0</v>
      </c>
      <c r="BF1156">
        <f>Table133456[[#This Row],[DEXc]]+Table133456[[#This Row],[DEXp]]</f>
        <v>0</v>
      </c>
      <c r="BG1156">
        <f>IFERROR(Table133456[[#This Row],[DeltaC]]*Table133456[[#This Row],[Open.Int]]*$A$4,0)</f>
        <v>0</v>
      </c>
      <c r="BH1156">
        <f>IFERROR(Table133456[[#This Row],[DeltaP]]*Table133456[[#This Row],[Open.Int8]]*$A$4,0)</f>
        <v>0</v>
      </c>
      <c r="BI115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6">
        <f ca="1">Table133456[[#This Row],[charmc]]+Table133456[[#This Row],[charmp]]</f>
        <v>0</v>
      </c>
      <c r="BL115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6" s="78">
        <f ca="1">Table133456[[#This Row],[call helper]]+Table133456[[#This Row],[put helper]]</f>
        <v>0</v>
      </c>
      <c r="BP1156" t="str">
        <f>RTD("tos.rtd", , "STRIKE", "."&amp;Table133456[[#This Row],[Ticker]]&amp;Table133456[[#This Row],[Expiry]]&amp;""&amp;"C"&amp;Table133456[[#This Row],[Spot]]+Table133456[[#This Row],[step]])</f>
        <v>N/A</v>
      </c>
    </row>
    <row r="1157" spans="1:68" x14ac:dyDescent="0.25">
      <c r="A1157" s="14">
        <f t="shared" ca="1" si="114"/>
        <v>-126.14810350076104</v>
      </c>
      <c r="C1157" s="17"/>
      <c r="D1157" t="str">
        <f>RTD("tos.rtd", , "OPEN_INT", "."&amp;Table133456[[#This Row],[Ticker]]&amp;Table133456[[#This Row],[Expiry]]&amp;""&amp;"C"&amp;Table133456[[#This Row],[Spot]]+Table133456[[#This Row],[step]])</f>
        <v>N/A</v>
      </c>
      <c r="E115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7" s="17" cm="1">
        <f t="array" aca="1" ref="H1157" ca="1">IndividualLegIVCore($A$4, Table133456[[#This Row],[Strike]], 0.0411, Table133456[[#This Row],[T]], ((Table133456[[#This Row],[BIDC]]+Table133456[[#This Row],[ASKC]])/2), TRUE)</f>
        <v>0.01</v>
      </c>
      <c r="I1157" t="b">
        <f>IF(     ISNUMBER(Table133456[[#This Row],[Strike]]),RTD("tos.rtd", , "BID", "."&amp;Table133456[[#This Row],[Ticker]]&amp;Table133456[[#This Row],[Expiry]]&amp;""&amp;"C"&amp;Table133456[[#This Row],[Strike]]))</f>
        <v>0</v>
      </c>
      <c r="J1157" t="b">
        <f>IF(     ISNUMBER(Table133456[[#This Row],[Strike]]),RTD("tos.rtd", , "ASK", "."&amp;Table133456[[#This Row],[Ticker]]&amp;Table133456[[#This Row],[Expiry]]&amp;""&amp;"C"&amp;Table133456[[#This Row],[Strike]]))</f>
        <v>0</v>
      </c>
      <c r="K1157" s="17"/>
      <c r="M1157" s="1">
        <f t="shared" si="115"/>
        <v>0</v>
      </c>
      <c r="N1157" t="b">
        <f t="shared" si="116"/>
        <v>0</v>
      </c>
      <c r="P1157" s="17" cm="1">
        <f t="array" aca="1" ref="P1157" ca="1">IndividualLegIVCore($A$4, Table133456[[#This Row],[Strike]], 0.0411, Table133456[[#This Row],[T]], ((Table133456[[#This Row],[BIDP]]+Table133456[[#This Row],[ASKP]])/2), FALSE)</f>
        <v>0.01</v>
      </c>
      <c r="Q1157" t="b">
        <f>IF(     ISNUMBER(Table133456[[#This Row],[Strike]]),RTD("tos.rtd", , "BID", "."&amp;Table133456[[#This Row],[Ticker]]&amp;Table133456[[#This Row],[Expiry]]&amp;""&amp;"P"&amp;Table133456[[#This Row],[Strike]]))</f>
        <v>0</v>
      </c>
      <c r="R1157" t="b">
        <f>IF(     ISNUMBER(Table133456[[#This Row],[Strike]]),RTD("tos.rtd", , "ASK", "."&amp;Table133456[[#This Row],[Ticker]]&amp;Table133456[[#This Row],[Expiry]]&amp;""&amp;"P"&amp;Table133456[[#This Row],[Strike]]))</f>
        <v>0</v>
      </c>
      <c r="S1157" s="17"/>
      <c r="T115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7" s="19">
        <f>16* IF($M$1="NDX", 10, IF(OR($M$1="SPX", $M$1="RUT"), 2, 1))</f>
        <v>32</v>
      </c>
      <c r="Z1157">
        <f ca="1">IFERROR(Table133456[[#This Row],[call gamma]]*(Table133456[[#This Row],[Open.Int]])*$A$4^2,0)</f>
        <v>0</v>
      </c>
      <c r="AA1157">
        <f ca="1">IFERROR(((Table133456[[#This Row],[Open.Int8]])*Table133456[[#This Row],[Put gamma]])*-1*$A$4^2,0)</f>
        <v>0</v>
      </c>
      <c r="AB1157">
        <f ca="1">(Table133456[[#This Row],[Call Gex]]+Table133456[[#This Row],[Put Gex]])</f>
        <v>0</v>
      </c>
      <c r="AC1157">
        <f ca="1">Table133456[[#This Row],[put delta adj]]+Table133456[[#This Row],[call delta adj]]</f>
        <v>0</v>
      </c>
      <c r="AD1157">
        <f ca="1">Table133456[[#This Row],[Put Gex]]*Table133456[[#This Row],[DeltaP]]*-1</f>
        <v>0</v>
      </c>
      <c r="AE1157">
        <f ca="1">Table133456[[#This Row],[Call Gex]]*Table133456[[#This Row],[DeltaC]]</f>
        <v>0</v>
      </c>
      <c r="AF1157">
        <f>IF(Table133456[[#This Row],[DeltaC]]-ABS(Table133456[[#This Row],[DeltaP]])="0","0.01",Table133456[[#This Row],[DeltaC]]-ABS(Table133456[[#This Row],[DeltaP]]))</f>
        <v>0</v>
      </c>
      <c r="AG115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7" t="e">
        <f ca="1">(EXP(-(AG1157^2)/2)/SQRT(2*PI())*EXP(0*SQRT(Table133456[[#This Row],[T]]))/$A$4*18%*SQRT(SQRT(Table133456[[#This Row],[T]])))</f>
        <v>#DIV/0!</v>
      </c>
      <c r="AJ1157" t="e">
        <f ca="1">(EXP(-(AH1157^2)/2)/SQRT(2*PI())*EXP(0*SQRT(Table133456[[#This Row],[T]]))/$A$4*18%*SQRT(SQRT(Table133456[[#This Row],[T]])))</f>
        <v>#DIV/0!</v>
      </c>
      <c r="AK1157" t="e">
        <f ca="1">Table133456[[#This Row],[Call D1]]-Table133456[[#This Row],[IV Calc C]]*SQRT(Table133456[[#This Row],[T]])</f>
        <v>#DIV/0!</v>
      </c>
      <c r="AL1157" t="e">
        <f ca="1">Table133456[[#This Row],[Put D1]]-Table133456[[#This Row],[IV Calc P]]*SQRT(Table133456[[#This Row],[T]])</f>
        <v>#DIV/0!</v>
      </c>
      <c r="AM1157" t="e">
        <f ca="1">EXP(-0.5*Table133456[[#This Row],[Call D1]]^2)/SQRT(2*PI())</f>
        <v>#DIV/0!</v>
      </c>
      <c r="AN1157" t="e">
        <f ca="1">EXP(-0.5*Table133456[[#This Row],[Put D1]]^2)/SQRT(2*PI())</f>
        <v>#DIV/0!</v>
      </c>
      <c r="AO115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7">
        <f ca="1">((Table133456[[#This Row],[call vanna]]+Table133456[[#This Row],[put vanna]])*$A$4)</f>
        <v>0</v>
      </c>
      <c r="AR115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7" s="9" t="str" cm="1">
        <f t="array" ref="AT1157">_xlfn.IFS(     $M$1="SPX","SPXW",     $M$1="RUT","RUTW",  $M$1="NDX","NDXP",   TRUE,$M$1 )</f>
        <v>SPXW</v>
      </c>
      <c r="AU1157" s="2">
        <f t="shared" si="117"/>
        <v>6915</v>
      </c>
      <c r="AV1157" t="str">
        <f t="shared" si="118"/>
        <v>000100</v>
      </c>
      <c r="AY115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7">
        <f>((Table133456[[#This Row],[High C]]+Table133456[[#This Row],[Low C]])/2)*Table133456[[#This Row],[gammac]]*Table133456[[#This Row],[Volume]]</f>
        <v>0</v>
      </c>
      <c r="BD1157">
        <f>((Table133456[[#This Row],[High P]]+Table133456[[#This Row],[Low P]])/2)*Table133456[[#This Row],[gammap]]*Table133456[[#This Row],[Volume9]]*-1</f>
        <v>0</v>
      </c>
      <c r="BE1157">
        <f>(Table133456[[#This Row],[SgammaC]]+Table133456[[#This Row],[SgammaP]])*$A$4*-100</f>
        <v>0</v>
      </c>
      <c r="BF1157">
        <f>Table133456[[#This Row],[DEXc]]+Table133456[[#This Row],[DEXp]]</f>
        <v>0</v>
      </c>
      <c r="BG1157">
        <f>IFERROR(Table133456[[#This Row],[DeltaC]]*Table133456[[#This Row],[Open.Int]]*$A$4,0)</f>
        <v>0</v>
      </c>
      <c r="BH1157">
        <f>IFERROR(Table133456[[#This Row],[DeltaP]]*Table133456[[#This Row],[Open.Int8]]*$A$4,0)</f>
        <v>0</v>
      </c>
      <c r="BI115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7">
        <f ca="1">Table133456[[#This Row],[charmc]]+Table133456[[#This Row],[charmp]]</f>
        <v>0</v>
      </c>
      <c r="BL115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7" s="78">
        <f ca="1">Table133456[[#This Row],[call helper]]+Table133456[[#This Row],[put helper]]</f>
        <v>0</v>
      </c>
      <c r="BP1157" t="str">
        <f>RTD("tos.rtd", , "STRIKE", "."&amp;Table133456[[#This Row],[Ticker]]&amp;Table133456[[#This Row],[Expiry]]&amp;""&amp;"C"&amp;Table133456[[#This Row],[Spot]]+Table133456[[#This Row],[step]])</f>
        <v>N/A</v>
      </c>
    </row>
    <row r="1158" spans="1:68" x14ac:dyDescent="0.25">
      <c r="A1158" s="14">
        <f t="shared" ca="1" si="114"/>
        <v>-126.14810350076104</v>
      </c>
      <c r="C1158" s="17"/>
      <c r="D1158" t="str">
        <f>RTD("tos.rtd", , "OPEN_INT", "."&amp;Table133456[[#This Row],[Ticker]]&amp;Table133456[[#This Row],[Expiry]]&amp;""&amp;"C"&amp;Table133456[[#This Row],[Spot]]+Table133456[[#This Row],[step]])</f>
        <v>N/A</v>
      </c>
      <c r="E115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8" s="17" cm="1">
        <f t="array" aca="1" ref="H1158" ca="1">IndividualLegIVCore($A$4, Table133456[[#This Row],[Strike]], 0.0411, Table133456[[#This Row],[T]], ((Table133456[[#This Row],[BIDC]]+Table133456[[#This Row],[ASKC]])/2), TRUE)</f>
        <v>0.01</v>
      </c>
      <c r="I1158" t="b">
        <f>IF(     ISNUMBER(Table133456[[#This Row],[Strike]]),RTD("tos.rtd", , "BID", "."&amp;Table133456[[#This Row],[Ticker]]&amp;Table133456[[#This Row],[Expiry]]&amp;""&amp;"C"&amp;Table133456[[#This Row],[Strike]]))</f>
        <v>0</v>
      </c>
      <c r="J1158" t="b">
        <f>IF(     ISNUMBER(Table133456[[#This Row],[Strike]]),RTD("tos.rtd", , "ASK", "."&amp;Table133456[[#This Row],[Ticker]]&amp;Table133456[[#This Row],[Expiry]]&amp;""&amp;"C"&amp;Table133456[[#This Row],[Strike]]))</f>
        <v>0</v>
      </c>
      <c r="K1158" s="17"/>
      <c r="M1158" s="1">
        <f t="shared" si="115"/>
        <v>0</v>
      </c>
      <c r="N1158" t="b">
        <f t="shared" si="116"/>
        <v>0</v>
      </c>
      <c r="P1158" s="17" cm="1">
        <f t="array" aca="1" ref="P1158" ca="1">IndividualLegIVCore($A$4, Table133456[[#This Row],[Strike]], 0.0411, Table133456[[#This Row],[T]], ((Table133456[[#This Row],[BIDP]]+Table133456[[#This Row],[ASKP]])/2), FALSE)</f>
        <v>0.01</v>
      </c>
      <c r="Q1158" t="b">
        <f>IF(     ISNUMBER(Table133456[[#This Row],[Strike]]),RTD("tos.rtd", , "BID", "."&amp;Table133456[[#This Row],[Ticker]]&amp;Table133456[[#This Row],[Expiry]]&amp;""&amp;"P"&amp;Table133456[[#This Row],[Strike]]))</f>
        <v>0</v>
      </c>
      <c r="R1158" t="b">
        <f>IF(     ISNUMBER(Table133456[[#This Row],[Strike]]),RTD("tos.rtd", , "ASK", "."&amp;Table133456[[#This Row],[Ticker]]&amp;Table133456[[#This Row],[Expiry]]&amp;""&amp;"P"&amp;Table133456[[#This Row],[Strike]]))</f>
        <v>0</v>
      </c>
      <c r="S1158" s="17"/>
      <c r="T115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8" s="19">
        <f>16.5* IF($M$1="NDX", 10, IF(OR($M$1="SPX", $M$1="RUT"), 2, 1))</f>
        <v>33</v>
      </c>
      <c r="Z1158">
        <f ca="1">IFERROR(Table133456[[#This Row],[call gamma]]*(Table133456[[#This Row],[Open.Int]])*$A$4^2,0)</f>
        <v>0</v>
      </c>
      <c r="AA1158">
        <f ca="1">IFERROR(((Table133456[[#This Row],[Open.Int8]])*Table133456[[#This Row],[Put gamma]])*-1*$A$4^2,0)</f>
        <v>0</v>
      </c>
      <c r="AB1158">
        <f ca="1">(Table133456[[#This Row],[Call Gex]]+Table133456[[#This Row],[Put Gex]])</f>
        <v>0</v>
      </c>
      <c r="AC1158">
        <f ca="1">Table133456[[#This Row],[put delta adj]]+Table133456[[#This Row],[call delta adj]]</f>
        <v>0</v>
      </c>
      <c r="AD1158">
        <f ca="1">Table133456[[#This Row],[Put Gex]]*Table133456[[#This Row],[DeltaP]]*-1</f>
        <v>0</v>
      </c>
      <c r="AE1158">
        <f ca="1">Table133456[[#This Row],[Call Gex]]*Table133456[[#This Row],[DeltaC]]</f>
        <v>0</v>
      </c>
      <c r="AF1158">
        <f>IF(Table133456[[#This Row],[DeltaC]]-ABS(Table133456[[#This Row],[DeltaP]])="0","0.01",Table133456[[#This Row],[DeltaC]]-ABS(Table133456[[#This Row],[DeltaP]]))</f>
        <v>0</v>
      </c>
      <c r="AG115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8" t="e">
        <f ca="1">(EXP(-(AG1158^2)/2)/SQRT(2*PI())*EXP(0*SQRT(Table133456[[#This Row],[T]]))/$A$4*18%*SQRT(SQRT(Table133456[[#This Row],[T]])))</f>
        <v>#DIV/0!</v>
      </c>
      <c r="AJ1158" t="e">
        <f ca="1">(EXP(-(AH1158^2)/2)/SQRT(2*PI())*EXP(0*SQRT(Table133456[[#This Row],[T]]))/$A$4*18%*SQRT(SQRT(Table133456[[#This Row],[T]])))</f>
        <v>#DIV/0!</v>
      </c>
      <c r="AK1158" t="e">
        <f ca="1">Table133456[[#This Row],[Call D1]]-Table133456[[#This Row],[IV Calc C]]*SQRT(Table133456[[#This Row],[T]])</f>
        <v>#DIV/0!</v>
      </c>
      <c r="AL1158" t="e">
        <f ca="1">Table133456[[#This Row],[Put D1]]-Table133456[[#This Row],[IV Calc P]]*SQRT(Table133456[[#This Row],[T]])</f>
        <v>#DIV/0!</v>
      </c>
      <c r="AM1158" t="e">
        <f ca="1">EXP(-0.5*Table133456[[#This Row],[Call D1]]^2)/SQRT(2*PI())</f>
        <v>#DIV/0!</v>
      </c>
      <c r="AN1158" t="e">
        <f ca="1">EXP(-0.5*Table133456[[#This Row],[Put D1]]^2)/SQRT(2*PI())</f>
        <v>#DIV/0!</v>
      </c>
      <c r="AO115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8">
        <f ca="1">((Table133456[[#This Row],[call vanna]]+Table133456[[#This Row],[put vanna]])*$A$4)</f>
        <v>0</v>
      </c>
      <c r="AR115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8" s="9" t="str" cm="1">
        <f t="array" ref="AT1158">_xlfn.IFS(     $M$1="SPX","SPXW",     $M$1="RUT","RUTW",  $M$1="NDX","NDXP",   TRUE,$M$1 )</f>
        <v>SPXW</v>
      </c>
      <c r="AU1158" s="2">
        <f t="shared" si="117"/>
        <v>6915</v>
      </c>
      <c r="AV1158" t="str">
        <f t="shared" si="118"/>
        <v>000100</v>
      </c>
      <c r="AY115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8">
        <f>((Table133456[[#This Row],[High C]]+Table133456[[#This Row],[Low C]])/2)*Table133456[[#This Row],[gammac]]*Table133456[[#This Row],[Volume]]</f>
        <v>0</v>
      </c>
      <c r="BD1158">
        <f>((Table133456[[#This Row],[High P]]+Table133456[[#This Row],[Low P]])/2)*Table133456[[#This Row],[gammap]]*Table133456[[#This Row],[Volume9]]*-1</f>
        <v>0</v>
      </c>
      <c r="BE1158">
        <f>(Table133456[[#This Row],[SgammaC]]+Table133456[[#This Row],[SgammaP]])*$A$4*-100</f>
        <v>0</v>
      </c>
      <c r="BF1158">
        <f>Table133456[[#This Row],[DEXc]]+Table133456[[#This Row],[DEXp]]</f>
        <v>0</v>
      </c>
      <c r="BG1158">
        <f>IFERROR(Table133456[[#This Row],[DeltaC]]*Table133456[[#This Row],[Open.Int]]*$A$4,0)</f>
        <v>0</v>
      </c>
      <c r="BH1158">
        <f>IFERROR(Table133456[[#This Row],[DeltaP]]*Table133456[[#This Row],[Open.Int8]]*$A$4,0)</f>
        <v>0</v>
      </c>
      <c r="BI115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8">
        <f ca="1">Table133456[[#This Row],[charmc]]+Table133456[[#This Row],[charmp]]</f>
        <v>0</v>
      </c>
      <c r="BL115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8" s="78">
        <f ca="1">Table133456[[#This Row],[call helper]]+Table133456[[#This Row],[put helper]]</f>
        <v>0</v>
      </c>
      <c r="BP1158" t="str">
        <f>RTD("tos.rtd", , "STRIKE", "."&amp;Table133456[[#This Row],[Ticker]]&amp;Table133456[[#This Row],[Expiry]]&amp;""&amp;"C"&amp;Table133456[[#This Row],[Spot]]+Table133456[[#This Row],[step]])</f>
        <v>N/A</v>
      </c>
    </row>
    <row r="1159" spans="1:68" x14ac:dyDescent="0.25">
      <c r="A1159" s="14">
        <f t="shared" ca="1" si="114"/>
        <v>-126.14810350076104</v>
      </c>
      <c r="C1159" s="17"/>
      <c r="D1159" t="str">
        <f>RTD("tos.rtd", , "OPEN_INT", "."&amp;Table133456[[#This Row],[Ticker]]&amp;Table133456[[#This Row],[Expiry]]&amp;""&amp;"C"&amp;Table133456[[#This Row],[Spot]]+Table133456[[#This Row],[step]])</f>
        <v>N/A</v>
      </c>
      <c r="E115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9" s="17" cm="1">
        <f t="array" aca="1" ref="H1159" ca="1">IndividualLegIVCore($A$4, Table133456[[#This Row],[Strike]], 0.0411, Table133456[[#This Row],[T]], ((Table133456[[#This Row],[BIDC]]+Table133456[[#This Row],[ASKC]])/2), TRUE)</f>
        <v>0.01</v>
      </c>
      <c r="I1159" t="b">
        <f>IF(     ISNUMBER(Table133456[[#This Row],[Strike]]),RTD("tos.rtd", , "BID", "."&amp;Table133456[[#This Row],[Ticker]]&amp;Table133456[[#This Row],[Expiry]]&amp;""&amp;"C"&amp;Table133456[[#This Row],[Strike]]))</f>
        <v>0</v>
      </c>
      <c r="J1159" t="b">
        <f>IF(     ISNUMBER(Table133456[[#This Row],[Strike]]),RTD("tos.rtd", , "ASK", "."&amp;Table133456[[#This Row],[Ticker]]&amp;Table133456[[#This Row],[Expiry]]&amp;""&amp;"C"&amp;Table133456[[#This Row],[Strike]]))</f>
        <v>0</v>
      </c>
      <c r="K1159" s="17"/>
      <c r="M1159" s="1">
        <f t="shared" si="115"/>
        <v>0</v>
      </c>
      <c r="N1159" t="b">
        <f t="shared" si="116"/>
        <v>0</v>
      </c>
      <c r="P1159" s="17" cm="1">
        <f t="array" aca="1" ref="P1159" ca="1">IndividualLegIVCore($A$4, Table133456[[#This Row],[Strike]], 0.0411, Table133456[[#This Row],[T]], ((Table133456[[#This Row],[BIDP]]+Table133456[[#This Row],[ASKP]])/2), FALSE)</f>
        <v>0.01</v>
      </c>
      <c r="Q1159" t="b">
        <f>IF(     ISNUMBER(Table133456[[#This Row],[Strike]]),RTD("tos.rtd", , "BID", "."&amp;Table133456[[#This Row],[Ticker]]&amp;Table133456[[#This Row],[Expiry]]&amp;""&amp;"P"&amp;Table133456[[#This Row],[Strike]]))</f>
        <v>0</v>
      </c>
      <c r="R1159" t="b">
        <f>IF(     ISNUMBER(Table133456[[#This Row],[Strike]]),RTD("tos.rtd", , "ASK", "."&amp;Table133456[[#This Row],[Ticker]]&amp;Table133456[[#This Row],[Expiry]]&amp;""&amp;"P"&amp;Table133456[[#This Row],[Strike]]))</f>
        <v>0</v>
      </c>
      <c r="S1159" s="17"/>
      <c r="T115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9" s="19">
        <f>17* IF($M$1="NDX", 10, IF(OR($M$1="SPX", $M$1="RUT"), 2, 1))</f>
        <v>34</v>
      </c>
      <c r="Z1159">
        <f ca="1">IFERROR(Table133456[[#This Row],[call gamma]]*(Table133456[[#This Row],[Open.Int]])*$A$4^2,0)</f>
        <v>0</v>
      </c>
      <c r="AA1159">
        <f ca="1">IFERROR(((Table133456[[#This Row],[Open.Int8]])*Table133456[[#This Row],[Put gamma]])*-1*$A$4^2,0)</f>
        <v>0</v>
      </c>
      <c r="AB1159">
        <f ca="1">(Table133456[[#This Row],[Call Gex]]+Table133456[[#This Row],[Put Gex]])</f>
        <v>0</v>
      </c>
      <c r="AC1159">
        <f ca="1">Table133456[[#This Row],[put delta adj]]+Table133456[[#This Row],[call delta adj]]</f>
        <v>0</v>
      </c>
      <c r="AD1159">
        <f ca="1">Table133456[[#This Row],[Put Gex]]*Table133456[[#This Row],[DeltaP]]*-1</f>
        <v>0</v>
      </c>
      <c r="AE1159">
        <f ca="1">Table133456[[#This Row],[Call Gex]]*Table133456[[#This Row],[DeltaC]]</f>
        <v>0</v>
      </c>
      <c r="AF1159">
        <f>IF(Table133456[[#This Row],[DeltaC]]-ABS(Table133456[[#This Row],[DeltaP]])="0","0.01",Table133456[[#This Row],[DeltaC]]-ABS(Table133456[[#This Row],[DeltaP]]))</f>
        <v>0</v>
      </c>
      <c r="AG115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9" t="e">
        <f ca="1">(EXP(-(AG1159^2)/2)/SQRT(2*PI())*EXP(0*SQRT(Table133456[[#This Row],[T]]))/$A$4*18%*SQRT(SQRT(Table133456[[#This Row],[T]])))</f>
        <v>#DIV/0!</v>
      </c>
      <c r="AJ1159" t="e">
        <f ca="1">(EXP(-(AH1159^2)/2)/SQRT(2*PI())*EXP(0*SQRT(Table133456[[#This Row],[T]]))/$A$4*18%*SQRT(SQRT(Table133456[[#This Row],[T]])))</f>
        <v>#DIV/0!</v>
      </c>
      <c r="AK1159" t="e">
        <f ca="1">Table133456[[#This Row],[Call D1]]-Table133456[[#This Row],[IV Calc C]]*SQRT(Table133456[[#This Row],[T]])</f>
        <v>#DIV/0!</v>
      </c>
      <c r="AL1159" t="e">
        <f ca="1">Table133456[[#This Row],[Put D1]]-Table133456[[#This Row],[IV Calc P]]*SQRT(Table133456[[#This Row],[T]])</f>
        <v>#DIV/0!</v>
      </c>
      <c r="AM1159" t="e">
        <f ca="1">EXP(-0.5*Table133456[[#This Row],[Call D1]]^2)/SQRT(2*PI())</f>
        <v>#DIV/0!</v>
      </c>
      <c r="AN1159" t="e">
        <f ca="1">EXP(-0.5*Table133456[[#This Row],[Put D1]]^2)/SQRT(2*PI())</f>
        <v>#DIV/0!</v>
      </c>
      <c r="AO115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9">
        <f ca="1">((Table133456[[#This Row],[call vanna]]+Table133456[[#This Row],[put vanna]])*$A$4)</f>
        <v>0</v>
      </c>
      <c r="AR115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9" s="9" t="str" cm="1">
        <f t="array" ref="AT1159">_xlfn.IFS(     $M$1="SPX","SPXW",     $M$1="RUT","RUTW",  $M$1="NDX","NDXP",   TRUE,$M$1 )</f>
        <v>SPXW</v>
      </c>
      <c r="AU1159" s="2">
        <f t="shared" si="117"/>
        <v>6915</v>
      </c>
      <c r="AV1159" t="str">
        <f t="shared" si="118"/>
        <v>000100</v>
      </c>
      <c r="AY115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9">
        <f>((Table133456[[#This Row],[High C]]+Table133456[[#This Row],[Low C]])/2)*Table133456[[#This Row],[gammac]]*Table133456[[#This Row],[Volume]]</f>
        <v>0</v>
      </c>
      <c r="BD1159">
        <f>((Table133456[[#This Row],[High P]]+Table133456[[#This Row],[Low P]])/2)*Table133456[[#This Row],[gammap]]*Table133456[[#This Row],[Volume9]]*-1</f>
        <v>0</v>
      </c>
      <c r="BE1159">
        <f>(Table133456[[#This Row],[SgammaC]]+Table133456[[#This Row],[SgammaP]])*$A$4*-100</f>
        <v>0</v>
      </c>
      <c r="BF1159">
        <f>Table133456[[#This Row],[DEXc]]+Table133456[[#This Row],[DEXp]]</f>
        <v>0</v>
      </c>
      <c r="BG1159">
        <f>IFERROR(Table133456[[#This Row],[DeltaC]]*Table133456[[#This Row],[Open.Int]]*$A$4,0)</f>
        <v>0</v>
      </c>
      <c r="BH1159">
        <f>IFERROR(Table133456[[#This Row],[DeltaP]]*Table133456[[#This Row],[Open.Int8]]*$A$4,0)</f>
        <v>0</v>
      </c>
      <c r="BI115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9">
        <f ca="1">Table133456[[#This Row],[charmc]]+Table133456[[#This Row],[charmp]]</f>
        <v>0</v>
      </c>
      <c r="BL115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9" s="78">
        <f ca="1">Table133456[[#This Row],[call helper]]+Table133456[[#This Row],[put helper]]</f>
        <v>0</v>
      </c>
      <c r="BP1159" t="str">
        <f>RTD("tos.rtd", , "STRIKE", "."&amp;Table133456[[#This Row],[Ticker]]&amp;Table133456[[#This Row],[Expiry]]&amp;""&amp;"C"&amp;Table133456[[#This Row],[Spot]]+Table133456[[#This Row],[step]])</f>
        <v>N/A</v>
      </c>
    </row>
    <row r="1160" spans="1:68" x14ac:dyDescent="0.25">
      <c r="A1160" s="14">
        <f t="shared" ca="1" si="114"/>
        <v>-126.14810350076104</v>
      </c>
      <c r="C1160" s="17"/>
      <c r="D1160" t="str">
        <f>RTD("tos.rtd", , "OPEN_INT", "."&amp;Table133456[[#This Row],[Ticker]]&amp;Table133456[[#This Row],[Expiry]]&amp;""&amp;"C"&amp;Table133456[[#This Row],[Spot]]+Table133456[[#This Row],[step]])</f>
        <v>N/A</v>
      </c>
      <c r="E116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0" s="17" cm="1">
        <f t="array" aca="1" ref="H1160" ca="1">IndividualLegIVCore($A$4, Table133456[[#This Row],[Strike]], 0.0411, Table133456[[#This Row],[T]], ((Table133456[[#This Row],[BIDC]]+Table133456[[#This Row],[ASKC]])/2), TRUE)</f>
        <v>0.01</v>
      </c>
      <c r="I1160" t="b">
        <f>IF(     ISNUMBER(Table133456[[#This Row],[Strike]]),RTD("tos.rtd", , "BID", "."&amp;Table133456[[#This Row],[Ticker]]&amp;Table133456[[#This Row],[Expiry]]&amp;""&amp;"C"&amp;Table133456[[#This Row],[Strike]]))</f>
        <v>0</v>
      </c>
      <c r="J1160" t="b">
        <f>IF(     ISNUMBER(Table133456[[#This Row],[Strike]]),RTD("tos.rtd", , "ASK", "."&amp;Table133456[[#This Row],[Ticker]]&amp;Table133456[[#This Row],[Expiry]]&amp;""&amp;"C"&amp;Table133456[[#This Row],[Strike]]))</f>
        <v>0</v>
      </c>
      <c r="K1160" s="17"/>
      <c r="M1160" s="1">
        <f t="shared" si="115"/>
        <v>0</v>
      </c>
      <c r="N1160" t="b">
        <f t="shared" si="116"/>
        <v>0</v>
      </c>
      <c r="P1160" s="17" cm="1">
        <f t="array" aca="1" ref="P1160" ca="1">IndividualLegIVCore($A$4, Table133456[[#This Row],[Strike]], 0.0411, Table133456[[#This Row],[T]], ((Table133456[[#This Row],[BIDP]]+Table133456[[#This Row],[ASKP]])/2), FALSE)</f>
        <v>0.01</v>
      </c>
      <c r="Q1160" t="b">
        <f>IF(     ISNUMBER(Table133456[[#This Row],[Strike]]),RTD("tos.rtd", , "BID", "."&amp;Table133456[[#This Row],[Ticker]]&amp;Table133456[[#This Row],[Expiry]]&amp;""&amp;"P"&amp;Table133456[[#This Row],[Strike]]))</f>
        <v>0</v>
      </c>
      <c r="R1160" t="b">
        <f>IF(     ISNUMBER(Table133456[[#This Row],[Strike]]),RTD("tos.rtd", , "ASK", "."&amp;Table133456[[#This Row],[Ticker]]&amp;Table133456[[#This Row],[Expiry]]&amp;""&amp;"P"&amp;Table133456[[#This Row],[Strike]]))</f>
        <v>0</v>
      </c>
      <c r="S1160" s="17"/>
      <c r="T116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0" s="19">
        <f>17.5* IF($M$1="NDX", 10, IF(OR($M$1="SPX", $M$1="RUT"), 2, 1))</f>
        <v>35</v>
      </c>
      <c r="Z1160">
        <f ca="1">IFERROR(Table133456[[#This Row],[call gamma]]*(Table133456[[#This Row],[Open.Int]])*$A$4^2,0)</f>
        <v>0</v>
      </c>
      <c r="AA1160">
        <f ca="1">IFERROR(((Table133456[[#This Row],[Open.Int8]])*Table133456[[#This Row],[Put gamma]])*-1*$A$4^2,0)</f>
        <v>0</v>
      </c>
      <c r="AB1160">
        <f ca="1">(Table133456[[#This Row],[Call Gex]]+Table133456[[#This Row],[Put Gex]])</f>
        <v>0</v>
      </c>
      <c r="AC1160">
        <f ca="1">Table133456[[#This Row],[put delta adj]]+Table133456[[#This Row],[call delta adj]]</f>
        <v>0</v>
      </c>
      <c r="AD1160">
        <f ca="1">Table133456[[#This Row],[Put Gex]]*Table133456[[#This Row],[DeltaP]]*-1</f>
        <v>0</v>
      </c>
      <c r="AE1160">
        <f ca="1">Table133456[[#This Row],[Call Gex]]*Table133456[[#This Row],[DeltaC]]</f>
        <v>0</v>
      </c>
      <c r="AF1160">
        <f>IF(Table133456[[#This Row],[DeltaC]]-ABS(Table133456[[#This Row],[DeltaP]])="0","0.01",Table133456[[#This Row],[DeltaC]]-ABS(Table133456[[#This Row],[DeltaP]]))</f>
        <v>0</v>
      </c>
      <c r="AG116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0" t="e">
        <f ca="1">(EXP(-(AG1160^2)/2)/SQRT(2*PI())*EXP(0*SQRT(Table133456[[#This Row],[T]]))/$A$4*18%*SQRT(SQRT(Table133456[[#This Row],[T]])))</f>
        <v>#DIV/0!</v>
      </c>
      <c r="AJ1160" t="e">
        <f ca="1">(EXP(-(AH1160^2)/2)/SQRT(2*PI())*EXP(0*SQRT(Table133456[[#This Row],[T]]))/$A$4*18%*SQRT(SQRT(Table133456[[#This Row],[T]])))</f>
        <v>#DIV/0!</v>
      </c>
      <c r="AK1160" t="e">
        <f ca="1">Table133456[[#This Row],[Call D1]]-Table133456[[#This Row],[IV Calc C]]*SQRT(Table133456[[#This Row],[T]])</f>
        <v>#DIV/0!</v>
      </c>
      <c r="AL1160" t="e">
        <f ca="1">Table133456[[#This Row],[Put D1]]-Table133456[[#This Row],[IV Calc P]]*SQRT(Table133456[[#This Row],[T]])</f>
        <v>#DIV/0!</v>
      </c>
      <c r="AM1160" t="e">
        <f ca="1">EXP(-0.5*Table133456[[#This Row],[Call D1]]^2)/SQRT(2*PI())</f>
        <v>#DIV/0!</v>
      </c>
      <c r="AN1160" t="e">
        <f ca="1">EXP(-0.5*Table133456[[#This Row],[Put D1]]^2)/SQRT(2*PI())</f>
        <v>#DIV/0!</v>
      </c>
      <c r="AO116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0">
        <f ca="1">((Table133456[[#This Row],[call vanna]]+Table133456[[#This Row],[put vanna]])*$A$4)</f>
        <v>0</v>
      </c>
      <c r="AR116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0" s="9" t="str" cm="1">
        <f t="array" ref="AT1160">_xlfn.IFS(     $M$1="SPX","SPXW",     $M$1="RUT","RUTW",  $M$1="NDX","NDXP",   TRUE,$M$1 )</f>
        <v>SPXW</v>
      </c>
      <c r="AU1160" s="2">
        <f t="shared" si="117"/>
        <v>6915</v>
      </c>
      <c r="AV1160" t="str">
        <f t="shared" si="118"/>
        <v>000100</v>
      </c>
      <c r="AY116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0">
        <f>((Table133456[[#This Row],[High C]]+Table133456[[#This Row],[Low C]])/2)*Table133456[[#This Row],[gammac]]*Table133456[[#This Row],[Volume]]</f>
        <v>0</v>
      </c>
      <c r="BD1160">
        <f>((Table133456[[#This Row],[High P]]+Table133456[[#This Row],[Low P]])/2)*Table133456[[#This Row],[gammap]]*Table133456[[#This Row],[Volume9]]*-1</f>
        <v>0</v>
      </c>
      <c r="BE1160">
        <f>(Table133456[[#This Row],[SgammaC]]+Table133456[[#This Row],[SgammaP]])*$A$4*-100</f>
        <v>0</v>
      </c>
      <c r="BF1160">
        <f>Table133456[[#This Row],[DEXc]]+Table133456[[#This Row],[DEXp]]</f>
        <v>0</v>
      </c>
      <c r="BG1160">
        <f>IFERROR(Table133456[[#This Row],[DeltaC]]*Table133456[[#This Row],[Open.Int]]*$A$4,0)</f>
        <v>0</v>
      </c>
      <c r="BH1160">
        <f>IFERROR(Table133456[[#This Row],[DeltaP]]*Table133456[[#This Row],[Open.Int8]]*$A$4,0)</f>
        <v>0</v>
      </c>
      <c r="BI116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0">
        <f ca="1">Table133456[[#This Row],[charmc]]+Table133456[[#This Row],[charmp]]</f>
        <v>0</v>
      </c>
      <c r="BL116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0" s="78">
        <f ca="1">Table133456[[#This Row],[call helper]]+Table133456[[#This Row],[put helper]]</f>
        <v>0</v>
      </c>
      <c r="BP1160" t="str">
        <f>RTD("tos.rtd", , "STRIKE", "."&amp;Table133456[[#This Row],[Ticker]]&amp;Table133456[[#This Row],[Expiry]]&amp;""&amp;"C"&amp;Table133456[[#This Row],[Spot]]+Table133456[[#This Row],[step]])</f>
        <v>N/A</v>
      </c>
    </row>
    <row r="1161" spans="1:68" x14ac:dyDescent="0.25">
      <c r="A1161" s="14">
        <f t="shared" ca="1" si="114"/>
        <v>-126.14810350076104</v>
      </c>
      <c r="C1161" s="17"/>
      <c r="D1161" t="str">
        <f>RTD("tos.rtd", , "OPEN_INT", "."&amp;Table133456[[#This Row],[Ticker]]&amp;Table133456[[#This Row],[Expiry]]&amp;""&amp;"C"&amp;Table133456[[#This Row],[Spot]]+Table133456[[#This Row],[step]])</f>
        <v>N/A</v>
      </c>
      <c r="E116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1" s="17" cm="1">
        <f t="array" aca="1" ref="H1161" ca="1">IndividualLegIVCore($A$4, Table133456[[#This Row],[Strike]], 0.0411, Table133456[[#This Row],[T]], ((Table133456[[#This Row],[BIDC]]+Table133456[[#This Row],[ASKC]])/2), TRUE)</f>
        <v>0.01</v>
      </c>
      <c r="I1161" t="b">
        <f>IF(     ISNUMBER(Table133456[[#This Row],[Strike]]),RTD("tos.rtd", , "BID", "."&amp;Table133456[[#This Row],[Ticker]]&amp;Table133456[[#This Row],[Expiry]]&amp;""&amp;"C"&amp;Table133456[[#This Row],[Strike]]))</f>
        <v>0</v>
      </c>
      <c r="J1161" t="b">
        <f>IF(     ISNUMBER(Table133456[[#This Row],[Strike]]),RTD("tos.rtd", , "ASK", "."&amp;Table133456[[#This Row],[Ticker]]&amp;Table133456[[#This Row],[Expiry]]&amp;""&amp;"C"&amp;Table133456[[#This Row],[Strike]]))</f>
        <v>0</v>
      </c>
      <c r="K1161" s="17"/>
      <c r="M1161" s="1">
        <f t="shared" si="115"/>
        <v>0</v>
      </c>
      <c r="N1161" t="b">
        <f t="shared" si="116"/>
        <v>0</v>
      </c>
      <c r="P1161" s="17" cm="1">
        <f t="array" aca="1" ref="P1161" ca="1">IndividualLegIVCore($A$4, Table133456[[#This Row],[Strike]], 0.0411, Table133456[[#This Row],[T]], ((Table133456[[#This Row],[BIDP]]+Table133456[[#This Row],[ASKP]])/2), FALSE)</f>
        <v>0.01</v>
      </c>
      <c r="Q1161" t="b">
        <f>IF(     ISNUMBER(Table133456[[#This Row],[Strike]]),RTD("tos.rtd", , "BID", "."&amp;Table133456[[#This Row],[Ticker]]&amp;Table133456[[#This Row],[Expiry]]&amp;""&amp;"P"&amp;Table133456[[#This Row],[Strike]]))</f>
        <v>0</v>
      </c>
      <c r="R1161" t="b">
        <f>IF(     ISNUMBER(Table133456[[#This Row],[Strike]]),RTD("tos.rtd", , "ASK", "."&amp;Table133456[[#This Row],[Ticker]]&amp;Table133456[[#This Row],[Expiry]]&amp;""&amp;"P"&amp;Table133456[[#This Row],[Strike]]))</f>
        <v>0</v>
      </c>
      <c r="S1161" s="17"/>
      <c r="T116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1" s="19">
        <f>18* IF($M$1="NDX", 10, IF(OR($M$1="SPX", $M$1="RUT"), 2, 1))</f>
        <v>36</v>
      </c>
      <c r="Z1161">
        <f ca="1">IFERROR(Table133456[[#This Row],[call gamma]]*(Table133456[[#This Row],[Open.Int]])*$A$4^2,0)</f>
        <v>0</v>
      </c>
      <c r="AA1161">
        <f ca="1">IFERROR(((Table133456[[#This Row],[Open.Int8]])*Table133456[[#This Row],[Put gamma]])*-1*$A$4^2,0)</f>
        <v>0</v>
      </c>
      <c r="AB1161">
        <f ca="1">(Table133456[[#This Row],[Call Gex]]+Table133456[[#This Row],[Put Gex]])</f>
        <v>0</v>
      </c>
      <c r="AC1161">
        <f ca="1">Table133456[[#This Row],[put delta adj]]+Table133456[[#This Row],[call delta adj]]</f>
        <v>0</v>
      </c>
      <c r="AD1161">
        <f ca="1">Table133456[[#This Row],[Put Gex]]*Table133456[[#This Row],[DeltaP]]*-1</f>
        <v>0</v>
      </c>
      <c r="AE1161">
        <f ca="1">Table133456[[#This Row],[Call Gex]]*Table133456[[#This Row],[DeltaC]]</f>
        <v>0</v>
      </c>
      <c r="AF1161">
        <f>IF(Table133456[[#This Row],[DeltaC]]-ABS(Table133456[[#This Row],[DeltaP]])="0","0.01",Table133456[[#This Row],[DeltaC]]-ABS(Table133456[[#This Row],[DeltaP]]))</f>
        <v>0</v>
      </c>
      <c r="AG116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1" t="e">
        <f ca="1">(EXP(-(AG1161^2)/2)/SQRT(2*PI())*EXP(0*SQRT(Table133456[[#This Row],[T]]))/$A$4*18%*SQRT(SQRT(Table133456[[#This Row],[T]])))</f>
        <v>#DIV/0!</v>
      </c>
      <c r="AJ1161" t="e">
        <f ca="1">(EXP(-(AH1161^2)/2)/SQRT(2*PI())*EXP(0*SQRT(Table133456[[#This Row],[T]]))/$A$4*18%*SQRT(SQRT(Table133456[[#This Row],[T]])))</f>
        <v>#DIV/0!</v>
      </c>
      <c r="AK1161" t="e">
        <f ca="1">Table133456[[#This Row],[Call D1]]-Table133456[[#This Row],[IV Calc C]]*SQRT(Table133456[[#This Row],[T]])</f>
        <v>#DIV/0!</v>
      </c>
      <c r="AL1161" t="e">
        <f ca="1">Table133456[[#This Row],[Put D1]]-Table133456[[#This Row],[IV Calc P]]*SQRT(Table133456[[#This Row],[T]])</f>
        <v>#DIV/0!</v>
      </c>
      <c r="AM1161" t="e">
        <f ca="1">EXP(-0.5*Table133456[[#This Row],[Call D1]]^2)/SQRT(2*PI())</f>
        <v>#DIV/0!</v>
      </c>
      <c r="AN1161" t="e">
        <f ca="1">EXP(-0.5*Table133456[[#This Row],[Put D1]]^2)/SQRT(2*PI())</f>
        <v>#DIV/0!</v>
      </c>
      <c r="AO116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1">
        <f ca="1">((Table133456[[#This Row],[call vanna]]+Table133456[[#This Row],[put vanna]])*$A$4)</f>
        <v>0</v>
      </c>
      <c r="AR116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1" s="9" t="str" cm="1">
        <f t="array" ref="AT1161">_xlfn.IFS(     $M$1="SPX","SPXW",     $M$1="RUT","RUTW",  $M$1="NDX","NDXP",   TRUE,$M$1 )</f>
        <v>SPXW</v>
      </c>
      <c r="AU1161" s="2">
        <f t="shared" si="117"/>
        <v>6915</v>
      </c>
      <c r="AV1161" t="str">
        <f t="shared" si="118"/>
        <v>000100</v>
      </c>
      <c r="AY116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1">
        <f>((Table133456[[#This Row],[High C]]+Table133456[[#This Row],[Low C]])/2)*Table133456[[#This Row],[gammac]]*Table133456[[#This Row],[Volume]]</f>
        <v>0</v>
      </c>
      <c r="BD1161">
        <f>((Table133456[[#This Row],[High P]]+Table133456[[#This Row],[Low P]])/2)*Table133456[[#This Row],[gammap]]*Table133456[[#This Row],[Volume9]]*-1</f>
        <v>0</v>
      </c>
      <c r="BE1161">
        <f>(Table133456[[#This Row],[SgammaC]]+Table133456[[#This Row],[SgammaP]])*$A$4*-100</f>
        <v>0</v>
      </c>
      <c r="BF1161">
        <f>Table133456[[#This Row],[DEXc]]+Table133456[[#This Row],[DEXp]]</f>
        <v>0</v>
      </c>
      <c r="BG1161">
        <f>IFERROR(Table133456[[#This Row],[DeltaC]]*Table133456[[#This Row],[Open.Int]]*$A$4,0)</f>
        <v>0</v>
      </c>
      <c r="BH1161">
        <f>IFERROR(Table133456[[#This Row],[DeltaP]]*Table133456[[#This Row],[Open.Int8]]*$A$4,0)</f>
        <v>0</v>
      </c>
      <c r="BI116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1">
        <f ca="1">Table133456[[#This Row],[charmc]]+Table133456[[#This Row],[charmp]]</f>
        <v>0</v>
      </c>
      <c r="BL116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1" s="78">
        <f ca="1">Table133456[[#This Row],[call helper]]+Table133456[[#This Row],[put helper]]</f>
        <v>0</v>
      </c>
      <c r="BP1161" t="str">
        <f>RTD("tos.rtd", , "STRIKE", "."&amp;Table133456[[#This Row],[Ticker]]&amp;Table133456[[#This Row],[Expiry]]&amp;""&amp;"C"&amp;Table133456[[#This Row],[Spot]]+Table133456[[#This Row],[step]])</f>
        <v>N/A</v>
      </c>
    </row>
    <row r="1162" spans="1:68" x14ac:dyDescent="0.25">
      <c r="A1162" s="14">
        <f t="shared" ca="1" si="114"/>
        <v>-126.14810350076104</v>
      </c>
      <c r="C1162" s="17"/>
      <c r="D1162" t="str">
        <f>RTD("tos.rtd", , "OPEN_INT", "."&amp;Table133456[[#This Row],[Ticker]]&amp;Table133456[[#This Row],[Expiry]]&amp;""&amp;"C"&amp;Table133456[[#This Row],[Spot]]+Table133456[[#This Row],[step]])</f>
        <v>N/A</v>
      </c>
      <c r="E116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2" s="17" cm="1">
        <f t="array" aca="1" ref="H1162" ca="1">IndividualLegIVCore($A$4, Table133456[[#This Row],[Strike]], 0.0411, Table133456[[#This Row],[T]], ((Table133456[[#This Row],[BIDC]]+Table133456[[#This Row],[ASKC]])/2), TRUE)</f>
        <v>0.01</v>
      </c>
      <c r="I1162" t="b">
        <f>IF(     ISNUMBER(Table133456[[#This Row],[Strike]]),RTD("tos.rtd", , "BID", "."&amp;Table133456[[#This Row],[Ticker]]&amp;Table133456[[#This Row],[Expiry]]&amp;""&amp;"C"&amp;Table133456[[#This Row],[Strike]]))</f>
        <v>0</v>
      </c>
      <c r="J1162" t="b">
        <f>IF(     ISNUMBER(Table133456[[#This Row],[Strike]]),RTD("tos.rtd", , "ASK", "."&amp;Table133456[[#This Row],[Ticker]]&amp;Table133456[[#This Row],[Expiry]]&amp;""&amp;"C"&amp;Table133456[[#This Row],[Strike]]))</f>
        <v>0</v>
      </c>
      <c r="K1162" s="17"/>
      <c r="M1162" s="1">
        <f t="shared" si="115"/>
        <v>0</v>
      </c>
      <c r="N1162" t="b">
        <f t="shared" si="116"/>
        <v>0</v>
      </c>
      <c r="P1162" s="17" cm="1">
        <f t="array" aca="1" ref="P1162" ca="1">IndividualLegIVCore($A$4, Table133456[[#This Row],[Strike]], 0.0411, Table133456[[#This Row],[T]], ((Table133456[[#This Row],[BIDP]]+Table133456[[#This Row],[ASKP]])/2), FALSE)</f>
        <v>0.01</v>
      </c>
      <c r="Q1162" t="b">
        <f>IF(     ISNUMBER(Table133456[[#This Row],[Strike]]),RTD("tos.rtd", , "BID", "."&amp;Table133456[[#This Row],[Ticker]]&amp;Table133456[[#This Row],[Expiry]]&amp;""&amp;"P"&amp;Table133456[[#This Row],[Strike]]))</f>
        <v>0</v>
      </c>
      <c r="R1162" t="b">
        <f>IF(     ISNUMBER(Table133456[[#This Row],[Strike]]),RTD("tos.rtd", , "ASK", "."&amp;Table133456[[#This Row],[Ticker]]&amp;Table133456[[#This Row],[Expiry]]&amp;""&amp;"P"&amp;Table133456[[#This Row],[Strike]]))</f>
        <v>0</v>
      </c>
      <c r="S1162" s="17"/>
      <c r="T116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2" s="19">
        <f>18.5* IF($M$1="NDX", 10, IF(OR($M$1="SPX", $M$1="RUT"), 2, 1))</f>
        <v>37</v>
      </c>
      <c r="Z1162">
        <f ca="1">IFERROR(Table133456[[#This Row],[call gamma]]*(Table133456[[#This Row],[Open.Int]])*$A$4^2,0)</f>
        <v>0</v>
      </c>
      <c r="AA1162">
        <f ca="1">IFERROR(((Table133456[[#This Row],[Open.Int8]])*Table133456[[#This Row],[Put gamma]])*-1*$A$4^2,0)</f>
        <v>0</v>
      </c>
      <c r="AB1162">
        <f ca="1">(Table133456[[#This Row],[Call Gex]]+Table133456[[#This Row],[Put Gex]])</f>
        <v>0</v>
      </c>
      <c r="AC1162">
        <f ca="1">Table133456[[#This Row],[put delta adj]]+Table133456[[#This Row],[call delta adj]]</f>
        <v>0</v>
      </c>
      <c r="AD1162">
        <f ca="1">Table133456[[#This Row],[Put Gex]]*Table133456[[#This Row],[DeltaP]]*-1</f>
        <v>0</v>
      </c>
      <c r="AE1162">
        <f ca="1">Table133456[[#This Row],[Call Gex]]*Table133456[[#This Row],[DeltaC]]</f>
        <v>0</v>
      </c>
      <c r="AF1162">
        <f>IF(Table133456[[#This Row],[DeltaC]]-ABS(Table133456[[#This Row],[DeltaP]])="0","0.01",Table133456[[#This Row],[DeltaC]]-ABS(Table133456[[#This Row],[DeltaP]]))</f>
        <v>0</v>
      </c>
      <c r="AG116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2" t="e">
        <f ca="1">(EXP(-(AG1162^2)/2)/SQRT(2*PI())*EXP(0*SQRT(Table133456[[#This Row],[T]]))/$A$4*18%*SQRT(SQRT(Table133456[[#This Row],[T]])))</f>
        <v>#DIV/0!</v>
      </c>
      <c r="AJ1162" t="e">
        <f ca="1">(EXP(-(AH1162^2)/2)/SQRT(2*PI())*EXP(0*SQRT(Table133456[[#This Row],[T]]))/$A$4*18%*SQRT(SQRT(Table133456[[#This Row],[T]])))</f>
        <v>#DIV/0!</v>
      </c>
      <c r="AK1162" t="e">
        <f ca="1">Table133456[[#This Row],[Call D1]]-Table133456[[#This Row],[IV Calc C]]*SQRT(Table133456[[#This Row],[T]])</f>
        <v>#DIV/0!</v>
      </c>
      <c r="AL1162" t="e">
        <f ca="1">Table133456[[#This Row],[Put D1]]-Table133456[[#This Row],[IV Calc P]]*SQRT(Table133456[[#This Row],[T]])</f>
        <v>#DIV/0!</v>
      </c>
      <c r="AM1162" t="e">
        <f ca="1">EXP(-0.5*Table133456[[#This Row],[Call D1]]^2)/SQRT(2*PI())</f>
        <v>#DIV/0!</v>
      </c>
      <c r="AN1162" t="e">
        <f ca="1">EXP(-0.5*Table133456[[#This Row],[Put D1]]^2)/SQRT(2*PI())</f>
        <v>#DIV/0!</v>
      </c>
      <c r="AO116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2">
        <f ca="1">((Table133456[[#This Row],[call vanna]]+Table133456[[#This Row],[put vanna]])*$A$4)</f>
        <v>0</v>
      </c>
      <c r="AR116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2" s="9" t="str" cm="1">
        <f t="array" ref="AT1162">_xlfn.IFS(     $M$1="SPX","SPXW",     $M$1="RUT","RUTW",  $M$1="NDX","NDXP",   TRUE,$M$1 )</f>
        <v>SPXW</v>
      </c>
      <c r="AU1162" s="2">
        <f t="shared" si="117"/>
        <v>6915</v>
      </c>
      <c r="AV1162" t="str">
        <f t="shared" si="118"/>
        <v>000100</v>
      </c>
      <c r="AY116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2">
        <f>((Table133456[[#This Row],[High C]]+Table133456[[#This Row],[Low C]])/2)*Table133456[[#This Row],[gammac]]*Table133456[[#This Row],[Volume]]</f>
        <v>0</v>
      </c>
      <c r="BD1162">
        <f>((Table133456[[#This Row],[High P]]+Table133456[[#This Row],[Low P]])/2)*Table133456[[#This Row],[gammap]]*Table133456[[#This Row],[Volume9]]*-1</f>
        <v>0</v>
      </c>
      <c r="BE1162">
        <f>(Table133456[[#This Row],[SgammaC]]+Table133456[[#This Row],[SgammaP]])*$A$4*-100</f>
        <v>0</v>
      </c>
      <c r="BF1162">
        <f>Table133456[[#This Row],[DEXc]]+Table133456[[#This Row],[DEXp]]</f>
        <v>0</v>
      </c>
      <c r="BG1162">
        <f>IFERROR(Table133456[[#This Row],[DeltaC]]*Table133456[[#This Row],[Open.Int]]*$A$4,0)</f>
        <v>0</v>
      </c>
      <c r="BH1162">
        <f>IFERROR(Table133456[[#This Row],[DeltaP]]*Table133456[[#This Row],[Open.Int8]]*$A$4,0)</f>
        <v>0</v>
      </c>
      <c r="BI116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2">
        <f ca="1">Table133456[[#This Row],[charmc]]+Table133456[[#This Row],[charmp]]</f>
        <v>0</v>
      </c>
      <c r="BL116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2" s="78">
        <f ca="1">Table133456[[#This Row],[call helper]]+Table133456[[#This Row],[put helper]]</f>
        <v>0</v>
      </c>
      <c r="BP1162" t="str">
        <f>RTD("tos.rtd", , "STRIKE", "."&amp;Table133456[[#This Row],[Ticker]]&amp;Table133456[[#This Row],[Expiry]]&amp;""&amp;"C"&amp;Table133456[[#This Row],[Spot]]+Table133456[[#This Row],[step]])</f>
        <v>N/A</v>
      </c>
    </row>
    <row r="1163" spans="1:68" x14ac:dyDescent="0.25">
      <c r="A1163" s="14">
        <f t="shared" ca="1" si="114"/>
        <v>-126.14810350076104</v>
      </c>
      <c r="C1163" s="17"/>
      <c r="D1163" t="str">
        <f>RTD("tos.rtd", , "OPEN_INT", "."&amp;Table133456[[#This Row],[Ticker]]&amp;Table133456[[#This Row],[Expiry]]&amp;""&amp;"C"&amp;Table133456[[#This Row],[Spot]]+Table133456[[#This Row],[step]])</f>
        <v>N/A</v>
      </c>
      <c r="E116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3" s="17" cm="1">
        <f t="array" aca="1" ref="H1163" ca="1">IndividualLegIVCore($A$4, Table133456[[#This Row],[Strike]], 0.0411, Table133456[[#This Row],[T]], ((Table133456[[#This Row],[BIDC]]+Table133456[[#This Row],[ASKC]])/2), TRUE)</f>
        <v>0.01</v>
      </c>
      <c r="I1163" t="b">
        <f>IF(     ISNUMBER(Table133456[[#This Row],[Strike]]),RTD("tos.rtd", , "BID", "."&amp;Table133456[[#This Row],[Ticker]]&amp;Table133456[[#This Row],[Expiry]]&amp;""&amp;"C"&amp;Table133456[[#This Row],[Strike]]))</f>
        <v>0</v>
      </c>
      <c r="J1163" t="b">
        <f>IF(     ISNUMBER(Table133456[[#This Row],[Strike]]),RTD("tos.rtd", , "ASK", "."&amp;Table133456[[#This Row],[Ticker]]&amp;Table133456[[#This Row],[Expiry]]&amp;""&amp;"C"&amp;Table133456[[#This Row],[Strike]]))</f>
        <v>0</v>
      </c>
      <c r="K1163" s="17"/>
      <c r="M1163" s="1">
        <f t="shared" si="115"/>
        <v>0</v>
      </c>
      <c r="N1163" t="b">
        <f t="shared" si="116"/>
        <v>0</v>
      </c>
      <c r="P1163" s="17" cm="1">
        <f t="array" aca="1" ref="P1163" ca="1">IndividualLegIVCore($A$4, Table133456[[#This Row],[Strike]], 0.0411, Table133456[[#This Row],[T]], ((Table133456[[#This Row],[BIDP]]+Table133456[[#This Row],[ASKP]])/2), FALSE)</f>
        <v>0.01</v>
      </c>
      <c r="Q1163" t="b">
        <f>IF(     ISNUMBER(Table133456[[#This Row],[Strike]]),RTD("tos.rtd", , "BID", "."&amp;Table133456[[#This Row],[Ticker]]&amp;Table133456[[#This Row],[Expiry]]&amp;""&amp;"P"&amp;Table133456[[#This Row],[Strike]]))</f>
        <v>0</v>
      </c>
      <c r="R1163" t="b">
        <f>IF(     ISNUMBER(Table133456[[#This Row],[Strike]]),RTD("tos.rtd", , "ASK", "."&amp;Table133456[[#This Row],[Ticker]]&amp;Table133456[[#This Row],[Expiry]]&amp;""&amp;"P"&amp;Table133456[[#This Row],[Strike]]))</f>
        <v>0</v>
      </c>
      <c r="S1163" s="17"/>
      <c r="T116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3" s="19">
        <f>19* IF($M$1="NDX", 10, IF(OR($M$1="SPX", $M$1="RUT"), 2, 1))</f>
        <v>38</v>
      </c>
      <c r="Z1163">
        <f ca="1">IFERROR(Table133456[[#This Row],[call gamma]]*(Table133456[[#This Row],[Open.Int]])*$A$4^2,0)</f>
        <v>0</v>
      </c>
      <c r="AA1163">
        <f ca="1">IFERROR(((Table133456[[#This Row],[Open.Int8]])*Table133456[[#This Row],[Put gamma]])*-1*$A$4^2,0)</f>
        <v>0</v>
      </c>
      <c r="AB1163">
        <f ca="1">(Table133456[[#This Row],[Call Gex]]+Table133456[[#This Row],[Put Gex]])</f>
        <v>0</v>
      </c>
      <c r="AC1163">
        <f ca="1">Table133456[[#This Row],[put delta adj]]+Table133456[[#This Row],[call delta adj]]</f>
        <v>0</v>
      </c>
      <c r="AD1163">
        <f ca="1">Table133456[[#This Row],[Put Gex]]*Table133456[[#This Row],[DeltaP]]*-1</f>
        <v>0</v>
      </c>
      <c r="AE1163">
        <f ca="1">Table133456[[#This Row],[Call Gex]]*Table133456[[#This Row],[DeltaC]]</f>
        <v>0</v>
      </c>
      <c r="AF1163">
        <f>IF(Table133456[[#This Row],[DeltaC]]-ABS(Table133456[[#This Row],[DeltaP]])="0","0.01",Table133456[[#This Row],[DeltaC]]-ABS(Table133456[[#This Row],[DeltaP]]))</f>
        <v>0</v>
      </c>
      <c r="AG116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3" t="e">
        <f ca="1">(EXP(-(AG1163^2)/2)/SQRT(2*PI())*EXP(0*SQRT(Table133456[[#This Row],[T]]))/$A$4*18%*SQRT(SQRT(Table133456[[#This Row],[T]])))</f>
        <v>#DIV/0!</v>
      </c>
      <c r="AJ1163" t="e">
        <f ca="1">(EXP(-(AH1163^2)/2)/SQRT(2*PI())*EXP(0*SQRT(Table133456[[#This Row],[T]]))/$A$4*18%*SQRT(SQRT(Table133456[[#This Row],[T]])))</f>
        <v>#DIV/0!</v>
      </c>
      <c r="AK1163" t="e">
        <f ca="1">Table133456[[#This Row],[Call D1]]-Table133456[[#This Row],[IV Calc C]]*SQRT(Table133456[[#This Row],[T]])</f>
        <v>#DIV/0!</v>
      </c>
      <c r="AL1163" t="e">
        <f ca="1">Table133456[[#This Row],[Put D1]]-Table133456[[#This Row],[IV Calc P]]*SQRT(Table133456[[#This Row],[T]])</f>
        <v>#DIV/0!</v>
      </c>
      <c r="AM1163" t="e">
        <f ca="1">EXP(-0.5*Table133456[[#This Row],[Call D1]]^2)/SQRT(2*PI())</f>
        <v>#DIV/0!</v>
      </c>
      <c r="AN1163" t="e">
        <f ca="1">EXP(-0.5*Table133456[[#This Row],[Put D1]]^2)/SQRT(2*PI())</f>
        <v>#DIV/0!</v>
      </c>
      <c r="AO116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3">
        <f ca="1">((Table133456[[#This Row],[call vanna]]+Table133456[[#This Row],[put vanna]])*$A$4)</f>
        <v>0</v>
      </c>
      <c r="AR116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3" s="9" t="str" cm="1">
        <f t="array" ref="AT1163">_xlfn.IFS(     $M$1="SPX","SPXW",     $M$1="RUT","RUTW",  $M$1="NDX","NDXP",   TRUE,$M$1 )</f>
        <v>SPXW</v>
      </c>
      <c r="AU1163" s="2">
        <f t="shared" si="117"/>
        <v>6915</v>
      </c>
      <c r="AV1163" t="str">
        <f t="shared" si="118"/>
        <v>000100</v>
      </c>
      <c r="AY116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3">
        <f>((Table133456[[#This Row],[High C]]+Table133456[[#This Row],[Low C]])/2)*Table133456[[#This Row],[gammac]]*Table133456[[#This Row],[Volume]]</f>
        <v>0</v>
      </c>
      <c r="BD1163">
        <f>((Table133456[[#This Row],[High P]]+Table133456[[#This Row],[Low P]])/2)*Table133456[[#This Row],[gammap]]*Table133456[[#This Row],[Volume9]]*-1</f>
        <v>0</v>
      </c>
      <c r="BE1163">
        <f>(Table133456[[#This Row],[SgammaC]]+Table133456[[#This Row],[SgammaP]])*$A$4*-100</f>
        <v>0</v>
      </c>
      <c r="BF1163">
        <f>Table133456[[#This Row],[DEXc]]+Table133456[[#This Row],[DEXp]]</f>
        <v>0</v>
      </c>
      <c r="BG1163">
        <f>IFERROR(Table133456[[#This Row],[DeltaC]]*Table133456[[#This Row],[Open.Int]]*$A$4,0)</f>
        <v>0</v>
      </c>
      <c r="BH1163">
        <f>IFERROR(Table133456[[#This Row],[DeltaP]]*Table133456[[#This Row],[Open.Int8]]*$A$4,0)</f>
        <v>0</v>
      </c>
      <c r="BI116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3">
        <f ca="1">Table133456[[#This Row],[charmc]]+Table133456[[#This Row],[charmp]]</f>
        <v>0</v>
      </c>
      <c r="BL116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3" s="78">
        <f ca="1">Table133456[[#This Row],[call helper]]+Table133456[[#This Row],[put helper]]</f>
        <v>0</v>
      </c>
      <c r="BP1163" t="str">
        <f>RTD("tos.rtd", , "STRIKE", "."&amp;Table133456[[#This Row],[Ticker]]&amp;Table133456[[#This Row],[Expiry]]&amp;""&amp;"C"&amp;Table133456[[#This Row],[Spot]]+Table133456[[#This Row],[step]])</f>
        <v>N/A</v>
      </c>
    </row>
    <row r="1164" spans="1:68" x14ac:dyDescent="0.25">
      <c r="A1164" s="14">
        <f t="shared" ca="1" si="114"/>
        <v>-126.14810350076104</v>
      </c>
      <c r="C1164" s="17"/>
      <c r="D1164" t="str">
        <f>RTD("tos.rtd", , "OPEN_INT", "."&amp;Table133456[[#This Row],[Ticker]]&amp;Table133456[[#This Row],[Expiry]]&amp;""&amp;"C"&amp;Table133456[[#This Row],[Spot]]+Table133456[[#This Row],[step]])</f>
        <v>N/A</v>
      </c>
      <c r="E116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4" s="17" cm="1">
        <f t="array" aca="1" ref="H1164" ca="1">IndividualLegIVCore($A$4, Table133456[[#This Row],[Strike]], 0.0411, Table133456[[#This Row],[T]], ((Table133456[[#This Row],[BIDC]]+Table133456[[#This Row],[ASKC]])/2), TRUE)</f>
        <v>0.01</v>
      </c>
      <c r="I1164" t="b">
        <f>IF(     ISNUMBER(Table133456[[#This Row],[Strike]]),RTD("tos.rtd", , "BID", "."&amp;Table133456[[#This Row],[Ticker]]&amp;Table133456[[#This Row],[Expiry]]&amp;""&amp;"C"&amp;Table133456[[#This Row],[Strike]]))</f>
        <v>0</v>
      </c>
      <c r="J1164" t="b">
        <f>IF(     ISNUMBER(Table133456[[#This Row],[Strike]]),RTD("tos.rtd", , "ASK", "."&amp;Table133456[[#This Row],[Ticker]]&amp;Table133456[[#This Row],[Expiry]]&amp;""&amp;"C"&amp;Table133456[[#This Row],[Strike]]))</f>
        <v>0</v>
      </c>
      <c r="K1164" s="17"/>
      <c r="M1164" s="1">
        <f t="shared" si="115"/>
        <v>0</v>
      </c>
      <c r="N1164" t="b">
        <f t="shared" si="116"/>
        <v>0</v>
      </c>
      <c r="P1164" s="17" cm="1">
        <f t="array" aca="1" ref="P1164" ca="1">IndividualLegIVCore($A$4, Table133456[[#This Row],[Strike]], 0.0411, Table133456[[#This Row],[T]], ((Table133456[[#This Row],[BIDP]]+Table133456[[#This Row],[ASKP]])/2), FALSE)</f>
        <v>0.01</v>
      </c>
      <c r="Q1164" t="b">
        <f>IF(     ISNUMBER(Table133456[[#This Row],[Strike]]),RTD("tos.rtd", , "BID", "."&amp;Table133456[[#This Row],[Ticker]]&amp;Table133456[[#This Row],[Expiry]]&amp;""&amp;"P"&amp;Table133456[[#This Row],[Strike]]))</f>
        <v>0</v>
      </c>
      <c r="R1164" t="b">
        <f>IF(     ISNUMBER(Table133456[[#This Row],[Strike]]),RTD("tos.rtd", , "ASK", "."&amp;Table133456[[#This Row],[Ticker]]&amp;Table133456[[#This Row],[Expiry]]&amp;""&amp;"P"&amp;Table133456[[#This Row],[Strike]]))</f>
        <v>0</v>
      </c>
      <c r="S1164" s="17"/>
      <c r="T116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4" s="19">
        <f>19.5* IF($M$1="NDX", 10, IF(OR($M$1="SPX", $M$1="RUT"), 2, 1))</f>
        <v>39</v>
      </c>
      <c r="Z1164">
        <f ca="1">IFERROR(Table133456[[#This Row],[call gamma]]*(Table133456[[#This Row],[Open.Int]])*$A$4^2,0)</f>
        <v>0</v>
      </c>
      <c r="AA1164">
        <f ca="1">IFERROR(((Table133456[[#This Row],[Open.Int8]])*Table133456[[#This Row],[Put gamma]])*-1*$A$4^2,0)</f>
        <v>0</v>
      </c>
      <c r="AB1164">
        <f ca="1">(Table133456[[#This Row],[Call Gex]]+Table133456[[#This Row],[Put Gex]])</f>
        <v>0</v>
      </c>
      <c r="AC1164">
        <f ca="1">Table133456[[#This Row],[put delta adj]]+Table133456[[#This Row],[call delta adj]]</f>
        <v>0</v>
      </c>
      <c r="AD1164">
        <f ca="1">Table133456[[#This Row],[Put Gex]]*Table133456[[#This Row],[DeltaP]]*-1</f>
        <v>0</v>
      </c>
      <c r="AE1164">
        <f ca="1">Table133456[[#This Row],[Call Gex]]*Table133456[[#This Row],[DeltaC]]</f>
        <v>0</v>
      </c>
      <c r="AF1164">
        <f>IF(Table133456[[#This Row],[DeltaC]]-ABS(Table133456[[#This Row],[DeltaP]])="0","0.01",Table133456[[#This Row],[DeltaC]]-ABS(Table133456[[#This Row],[DeltaP]]))</f>
        <v>0</v>
      </c>
      <c r="AG116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4" t="e">
        <f ca="1">(EXP(-(AG1164^2)/2)/SQRT(2*PI())*EXP(0*SQRT(Table133456[[#This Row],[T]]))/$A$4*18%*SQRT(SQRT(Table133456[[#This Row],[T]])))</f>
        <v>#DIV/0!</v>
      </c>
      <c r="AJ1164" t="e">
        <f ca="1">(EXP(-(AH1164^2)/2)/SQRT(2*PI())*EXP(0*SQRT(Table133456[[#This Row],[T]]))/$A$4*18%*SQRT(SQRT(Table133456[[#This Row],[T]])))</f>
        <v>#DIV/0!</v>
      </c>
      <c r="AK1164" t="e">
        <f ca="1">Table133456[[#This Row],[Call D1]]-Table133456[[#This Row],[IV Calc C]]*SQRT(Table133456[[#This Row],[T]])</f>
        <v>#DIV/0!</v>
      </c>
      <c r="AL1164" t="e">
        <f ca="1">Table133456[[#This Row],[Put D1]]-Table133456[[#This Row],[IV Calc P]]*SQRT(Table133456[[#This Row],[T]])</f>
        <v>#DIV/0!</v>
      </c>
      <c r="AM1164" t="e">
        <f ca="1">EXP(-0.5*Table133456[[#This Row],[Call D1]]^2)/SQRT(2*PI())</f>
        <v>#DIV/0!</v>
      </c>
      <c r="AN1164" t="e">
        <f ca="1">EXP(-0.5*Table133456[[#This Row],[Put D1]]^2)/SQRT(2*PI())</f>
        <v>#DIV/0!</v>
      </c>
      <c r="AO116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4">
        <f ca="1">((Table133456[[#This Row],[call vanna]]+Table133456[[#This Row],[put vanna]])*$A$4)</f>
        <v>0</v>
      </c>
      <c r="AR116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4" s="9" t="str" cm="1">
        <f t="array" ref="AT1164">_xlfn.IFS(     $M$1="SPX","SPXW",     $M$1="RUT","RUTW",  $M$1="NDX","NDXP",   TRUE,$M$1 )</f>
        <v>SPXW</v>
      </c>
      <c r="AU1164" s="2">
        <f t="shared" si="117"/>
        <v>6915</v>
      </c>
      <c r="AV1164" t="str">
        <f t="shared" si="118"/>
        <v>000100</v>
      </c>
      <c r="AY116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4">
        <f>((Table133456[[#This Row],[High C]]+Table133456[[#This Row],[Low C]])/2)*Table133456[[#This Row],[gammac]]*Table133456[[#This Row],[Volume]]</f>
        <v>0</v>
      </c>
      <c r="BD1164">
        <f>((Table133456[[#This Row],[High P]]+Table133456[[#This Row],[Low P]])/2)*Table133456[[#This Row],[gammap]]*Table133456[[#This Row],[Volume9]]*-1</f>
        <v>0</v>
      </c>
      <c r="BE1164">
        <f>(Table133456[[#This Row],[SgammaC]]+Table133456[[#This Row],[SgammaP]])*$A$4*-100</f>
        <v>0</v>
      </c>
      <c r="BF1164">
        <f>Table133456[[#This Row],[DEXc]]+Table133456[[#This Row],[DEXp]]</f>
        <v>0</v>
      </c>
      <c r="BG1164">
        <f>IFERROR(Table133456[[#This Row],[DeltaC]]*Table133456[[#This Row],[Open.Int]]*$A$4,0)</f>
        <v>0</v>
      </c>
      <c r="BH1164">
        <f>IFERROR(Table133456[[#This Row],[DeltaP]]*Table133456[[#This Row],[Open.Int8]]*$A$4,0)</f>
        <v>0</v>
      </c>
      <c r="BI116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4">
        <f ca="1">Table133456[[#This Row],[charmc]]+Table133456[[#This Row],[charmp]]</f>
        <v>0</v>
      </c>
      <c r="BL116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4" s="78">
        <f ca="1">Table133456[[#This Row],[call helper]]+Table133456[[#This Row],[put helper]]</f>
        <v>0</v>
      </c>
      <c r="BP1164" t="str">
        <f>RTD("tos.rtd", , "STRIKE", "."&amp;Table133456[[#This Row],[Ticker]]&amp;Table133456[[#This Row],[Expiry]]&amp;""&amp;"C"&amp;Table133456[[#This Row],[Spot]]+Table133456[[#This Row],[step]])</f>
        <v>N/A</v>
      </c>
    </row>
    <row r="1165" spans="1:68" x14ac:dyDescent="0.25">
      <c r="A1165" s="14">
        <f t="shared" ca="1" si="114"/>
        <v>-126.14810350076104</v>
      </c>
      <c r="C1165" s="17"/>
      <c r="D1165" t="str">
        <f>RTD("tos.rtd", , "OPEN_INT", "."&amp;Table133456[[#This Row],[Ticker]]&amp;Table133456[[#This Row],[Expiry]]&amp;""&amp;"C"&amp;Table133456[[#This Row],[Spot]]+Table133456[[#This Row],[step]])</f>
        <v>N/A</v>
      </c>
      <c r="E116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5" s="17" cm="1">
        <f t="array" aca="1" ref="H1165" ca="1">IndividualLegIVCore($A$4, Table133456[[#This Row],[Strike]], 0.0411, Table133456[[#This Row],[T]], ((Table133456[[#This Row],[BIDC]]+Table133456[[#This Row],[ASKC]])/2), TRUE)</f>
        <v>0.01</v>
      </c>
      <c r="I1165" t="b">
        <f>IF(     ISNUMBER(Table133456[[#This Row],[Strike]]),RTD("tos.rtd", , "BID", "."&amp;Table133456[[#This Row],[Ticker]]&amp;Table133456[[#This Row],[Expiry]]&amp;""&amp;"C"&amp;Table133456[[#This Row],[Strike]]))</f>
        <v>0</v>
      </c>
      <c r="J1165" t="b">
        <f>IF(     ISNUMBER(Table133456[[#This Row],[Strike]]),RTD("tos.rtd", , "ASK", "."&amp;Table133456[[#This Row],[Ticker]]&amp;Table133456[[#This Row],[Expiry]]&amp;""&amp;"C"&amp;Table133456[[#This Row],[Strike]]))</f>
        <v>0</v>
      </c>
      <c r="K1165" s="17"/>
      <c r="M1165" s="1">
        <f t="shared" si="115"/>
        <v>0</v>
      </c>
      <c r="N1165" t="b">
        <f t="shared" si="116"/>
        <v>0</v>
      </c>
      <c r="P1165" s="17" cm="1">
        <f t="array" aca="1" ref="P1165" ca="1">IndividualLegIVCore($A$4, Table133456[[#This Row],[Strike]], 0.0411, Table133456[[#This Row],[T]], ((Table133456[[#This Row],[BIDP]]+Table133456[[#This Row],[ASKP]])/2), FALSE)</f>
        <v>0.01</v>
      </c>
      <c r="Q1165" t="b">
        <f>IF(     ISNUMBER(Table133456[[#This Row],[Strike]]),RTD("tos.rtd", , "BID", "."&amp;Table133456[[#This Row],[Ticker]]&amp;Table133456[[#This Row],[Expiry]]&amp;""&amp;"P"&amp;Table133456[[#This Row],[Strike]]))</f>
        <v>0</v>
      </c>
      <c r="R1165" t="b">
        <f>IF(     ISNUMBER(Table133456[[#This Row],[Strike]]),RTD("tos.rtd", , "ASK", "."&amp;Table133456[[#This Row],[Ticker]]&amp;Table133456[[#This Row],[Expiry]]&amp;""&amp;"P"&amp;Table133456[[#This Row],[Strike]]))</f>
        <v>0</v>
      </c>
      <c r="S1165" s="17"/>
      <c r="T116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5" s="19">
        <f>20* IF($M$1="NDX", 10, IF(OR($M$1="SPX", $M$1="RUT"), 2, 1))</f>
        <v>40</v>
      </c>
      <c r="Z1165">
        <f ca="1">IFERROR(Table133456[[#This Row],[call gamma]]*(Table133456[[#This Row],[Open.Int]])*$A$4^2,0)</f>
        <v>0</v>
      </c>
      <c r="AA1165">
        <f ca="1">IFERROR(((Table133456[[#This Row],[Open.Int8]])*Table133456[[#This Row],[Put gamma]])*-1*$A$4^2,0)</f>
        <v>0</v>
      </c>
      <c r="AB1165">
        <f ca="1">(Table133456[[#This Row],[Call Gex]]+Table133456[[#This Row],[Put Gex]])</f>
        <v>0</v>
      </c>
      <c r="AC1165">
        <f ca="1">Table133456[[#This Row],[put delta adj]]+Table133456[[#This Row],[call delta adj]]</f>
        <v>0</v>
      </c>
      <c r="AD1165">
        <f ca="1">Table133456[[#This Row],[Put Gex]]*Table133456[[#This Row],[DeltaP]]*-1</f>
        <v>0</v>
      </c>
      <c r="AE1165">
        <f ca="1">Table133456[[#This Row],[Call Gex]]*Table133456[[#This Row],[DeltaC]]</f>
        <v>0</v>
      </c>
      <c r="AF1165">
        <f>IF(Table133456[[#This Row],[DeltaC]]-ABS(Table133456[[#This Row],[DeltaP]])="0","0.01",Table133456[[#This Row],[DeltaC]]-ABS(Table133456[[#This Row],[DeltaP]]))</f>
        <v>0</v>
      </c>
      <c r="AG116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5" t="e">
        <f ca="1">(EXP(-(AG1165^2)/2)/SQRT(2*PI())*EXP(0*SQRT(Table133456[[#This Row],[T]]))/$A$4*18%*SQRT(SQRT(Table133456[[#This Row],[T]])))</f>
        <v>#DIV/0!</v>
      </c>
      <c r="AJ1165" t="e">
        <f ca="1">(EXP(-(AH1165^2)/2)/SQRT(2*PI())*EXP(0*SQRT(Table133456[[#This Row],[T]]))/$A$4*18%*SQRT(SQRT(Table133456[[#This Row],[T]])))</f>
        <v>#DIV/0!</v>
      </c>
      <c r="AK1165" t="e">
        <f ca="1">Table133456[[#This Row],[Call D1]]-Table133456[[#This Row],[IV Calc C]]*SQRT(Table133456[[#This Row],[T]])</f>
        <v>#DIV/0!</v>
      </c>
      <c r="AL1165" t="e">
        <f ca="1">Table133456[[#This Row],[Put D1]]-Table133456[[#This Row],[IV Calc P]]*SQRT(Table133456[[#This Row],[T]])</f>
        <v>#DIV/0!</v>
      </c>
      <c r="AM1165" t="e">
        <f ca="1">EXP(-0.5*Table133456[[#This Row],[Call D1]]^2)/SQRT(2*PI())</f>
        <v>#DIV/0!</v>
      </c>
      <c r="AN1165" t="e">
        <f ca="1">EXP(-0.5*Table133456[[#This Row],[Put D1]]^2)/SQRT(2*PI())</f>
        <v>#DIV/0!</v>
      </c>
      <c r="AO116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5">
        <f ca="1">((Table133456[[#This Row],[call vanna]]+Table133456[[#This Row],[put vanna]])*$A$4)</f>
        <v>0</v>
      </c>
      <c r="AR116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5" s="9" t="str" cm="1">
        <f t="array" ref="AT1165">_xlfn.IFS(     $M$1="SPX","SPXW",     $M$1="RUT","RUTW",  $M$1="NDX","NDXP",   TRUE,$M$1 )</f>
        <v>SPXW</v>
      </c>
      <c r="AU1165" s="2">
        <f t="shared" si="117"/>
        <v>6915</v>
      </c>
      <c r="AV1165" t="str">
        <f t="shared" si="118"/>
        <v>000100</v>
      </c>
      <c r="AY116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5">
        <f>((Table133456[[#This Row],[High C]]+Table133456[[#This Row],[Low C]])/2)*Table133456[[#This Row],[gammac]]*Table133456[[#This Row],[Volume]]</f>
        <v>0</v>
      </c>
      <c r="BD1165">
        <f>((Table133456[[#This Row],[High P]]+Table133456[[#This Row],[Low P]])/2)*Table133456[[#This Row],[gammap]]*Table133456[[#This Row],[Volume9]]*-1</f>
        <v>0</v>
      </c>
      <c r="BE1165">
        <f>(Table133456[[#This Row],[SgammaC]]+Table133456[[#This Row],[SgammaP]])*$A$4*-100</f>
        <v>0</v>
      </c>
      <c r="BF1165">
        <f>Table133456[[#This Row],[DEXc]]+Table133456[[#This Row],[DEXp]]</f>
        <v>0</v>
      </c>
      <c r="BG1165">
        <f>IFERROR(Table133456[[#This Row],[DeltaC]]*Table133456[[#This Row],[Open.Int]]*$A$4,0)</f>
        <v>0</v>
      </c>
      <c r="BH1165">
        <f>IFERROR(Table133456[[#This Row],[DeltaP]]*Table133456[[#This Row],[Open.Int8]]*$A$4,0)</f>
        <v>0</v>
      </c>
      <c r="BI116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5">
        <f ca="1">Table133456[[#This Row],[charmc]]+Table133456[[#This Row],[charmp]]</f>
        <v>0</v>
      </c>
      <c r="BL116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5" s="78">
        <f ca="1">Table133456[[#This Row],[call helper]]+Table133456[[#This Row],[put helper]]</f>
        <v>0</v>
      </c>
      <c r="BP1165" t="str">
        <f>RTD("tos.rtd", , "STRIKE", "."&amp;Table133456[[#This Row],[Ticker]]&amp;Table133456[[#This Row],[Expiry]]&amp;""&amp;"C"&amp;Table133456[[#This Row],[Spot]]+Table133456[[#This Row],[step]])</f>
        <v>N/A</v>
      </c>
    </row>
    <row r="1166" spans="1:68" x14ac:dyDescent="0.25">
      <c r="A1166" s="14">
        <f t="shared" ca="1" si="114"/>
        <v>-126.14810350076104</v>
      </c>
      <c r="C1166" s="17"/>
      <c r="D1166" t="str">
        <f>RTD("tos.rtd", , "OPEN_INT", "."&amp;Table133456[[#This Row],[Ticker]]&amp;Table133456[[#This Row],[Expiry]]&amp;""&amp;"C"&amp;Table133456[[#This Row],[Spot]]+Table133456[[#This Row],[step]])</f>
        <v>N/A</v>
      </c>
      <c r="E116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6" s="17" cm="1">
        <f t="array" aca="1" ref="H1166" ca="1">IndividualLegIVCore($A$4, Table133456[[#This Row],[Strike]], 0.0411, Table133456[[#This Row],[T]], ((Table133456[[#This Row],[BIDC]]+Table133456[[#This Row],[ASKC]])/2), TRUE)</f>
        <v>0.01</v>
      </c>
      <c r="I1166" t="b">
        <f>IF(     ISNUMBER(Table133456[[#This Row],[Strike]]),RTD("tos.rtd", , "BID", "."&amp;Table133456[[#This Row],[Ticker]]&amp;Table133456[[#This Row],[Expiry]]&amp;""&amp;"C"&amp;Table133456[[#This Row],[Strike]]))</f>
        <v>0</v>
      </c>
      <c r="J1166" t="b">
        <f>IF(     ISNUMBER(Table133456[[#This Row],[Strike]]),RTD("tos.rtd", , "ASK", "."&amp;Table133456[[#This Row],[Ticker]]&amp;Table133456[[#This Row],[Expiry]]&amp;""&amp;"C"&amp;Table133456[[#This Row],[Strike]]))</f>
        <v>0</v>
      </c>
      <c r="K1166" s="17"/>
      <c r="M1166" s="1">
        <f t="shared" si="115"/>
        <v>0</v>
      </c>
      <c r="N1166" t="b">
        <f t="shared" si="116"/>
        <v>0</v>
      </c>
      <c r="P1166" s="17" cm="1">
        <f t="array" aca="1" ref="P1166" ca="1">IndividualLegIVCore($A$4, Table133456[[#This Row],[Strike]], 0.0411, Table133456[[#This Row],[T]], ((Table133456[[#This Row],[BIDP]]+Table133456[[#This Row],[ASKP]])/2), FALSE)</f>
        <v>0.01</v>
      </c>
      <c r="Q1166" t="b">
        <f>IF(     ISNUMBER(Table133456[[#This Row],[Strike]]),RTD("tos.rtd", , "BID", "."&amp;Table133456[[#This Row],[Ticker]]&amp;Table133456[[#This Row],[Expiry]]&amp;""&amp;"P"&amp;Table133456[[#This Row],[Strike]]))</f>
        <v>0</v>
      </c>
      <c r="R1166" t="b">
        <f>IF(     ISNUMBER(Table133456[[#This Row],[Strike]]),RTD("tos.rtd", , "ASK", "."&amp;Table133456[[#This Row],[Ticker]]&amp;Table133456[[#This Row],[Expiry]]&amp;""&amp;"P"&amp;Table133456[[#This Row],[Strike]]))</f>
        <v>0</v>
      </c>
      <c r="S1166" s="17"/>
      <c r="T116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6" s="19">
        <f>20.5* IF($M$1="NDX", 10, IF(OR($M$1="SPX", $M$1="RUT"), 2, 1))</f>
        <v>41</v>
      </c>
      <c r="Z1166">
        <f ca="1">IFERROR(Table133456[[#This Row],[call gamma]]*(Table133456[[#This Row],[Open.Int]])*$A$4^2,0)</f>
        <v>0</v>
      </c>
      <c r="AA1166">
        <f ca="1">IFERROR(((Table133456[[#This Row],[Open.Int8]])*Table133456[[#This Row],[Put gamma]])*-1*$A$4^2,0)</f>
        <v>0</v>
      </c>
      <c r="AB1166">
        <f ca="1">(Table133456[[#This Row],[Call Gex]]+Table133456[[#This Row],[Put Gex]])</f>
        <v>0</v>
      </c>
      <c r="AC1166">
        <f ca="1">Table133456[[#This Row],[put delta adj]]+Table133456[[#This Row],[call delta adj]]</f>
        <v>0</v>
      </c>
      <c r="AD1166">
        <f ca="1">Table133456[[#This Row],[Put Gex]]*Table133456[[#This Row],[DeltaP]]*-1</f>
        <v>0</v>
      </c>
      <c r="AE1166">
        <f ca="1">Table133456[[#This Row],[Call Gex]]*Table133456[[#This Row],[DeltaC]]</f>
        <v>0</v>
      </c>
      <c r="AF1166">
        <f>IF(Table133456[[#This Row],[DeltaC]]-ABS(Table133456[[#This Row],[DeltaP]])="0","0.01",Table133456[[#This Row],[DeltaC]]-ABS(Table133456[[#This Row],[DeltaP]]))</f>
        <v>0</v>
      </c>
      <c r="AG116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6" t="e">
        <f ca="1">(EXP(-(AG1166^2)/2)/SQRT(2*PI())*EXP(0*SQRT(Table133456[[#This Row],[T]]))/$A$4*18%*SQRT(SQRT(Table133456[[#This Row],[T]])))</f>
        <v>#DIV/0!</v>
      </c>
      <c r="AJ1166" t="e">
        <f ca="1">(EXP(-(AH1166^2)/2)/SQRT(2*PI())*EXP(0*SQRT(Table133456[[#This Row],[T]]))/$A$4*18%*SQRT(SQRT(Table133456[[#This Row],[T]])))</f>
        <v>#DIV/0!</v>
      </c>
      <c r="AK1166" t="e">
        <f ca="1">Table133456[[#This Row],[Call D1]]-Table133456[[#This Row],[IV Calc C]]*SQRT(Table133456[[#This Row],[T]])</f>
        <v>#DIV/0!</v>
      </c>
      <c r="AL1166" t="e">
        <f ca="1">Table133456[[#This Row],[Put D1]]-Table133456[[#This Row],[IV Calc P]]*SQRT(Table133456[[#This Row],[T]])</f>
        <v>#DIV/0!</v>
      </c>
      <c r="AM1166" t="e">
        <f ca="1">EXP(-0.5*Table133456[[#This Row],[Call D1]]^2)/SQRT(2*PI())</f>
        <v>#DIV/0!</v>
      </c>
      <c r="AN1166" t="e">
        <f ca="1">EXP(-0.5*Table133456[[#This Row],[Put D1]]^2)/SQRT(2*PI())</f>
        <v>#DIV/0!</v>
      </c>
      <c r="AO116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6">
        <f ca="1">((Table133456[[#This Row],[call vanna]]+Table133456[[#This Row],[put vanna]])*$A$4)</f>
        <v>0</v>
      </c>
      <c r="AR116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6" s="9" t="str" cm="1">
        <f t="array" ref="AT1166">_xlfn.IFS(     $M$1="SPX","SPXW",     $M$1="RUT","RUTW",  $M$1="NDX","NDXP",   TRUE,$M$1 )</f>
        <v>SPXW</v>
      </c>
      <c r="AU1166" s="2">
        <f t="shared" si="117"/>
        <v>6915</v>
      </c>
      <c r="AV1166" t="str">
        <f t="shared" si="118"/>
        <v>000100</v>
      </c>
      <c r="AY116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6">
        <f>((Table133456[[#This Row],[High C]]+Table133456[[#This Row],[Low C]])/2)*Table133456[[#This Row],[gammac]]*Table133456[[#This Row],[Volume]]</f>
        <v>0</v>
      </c>
      <c r="BD1166">
        <f>((Table133456[[#This Row],[High P]]+Table133456[[#This Row],[Low P]])/2)*Table133456[[#This Row],[gammap]]*Table133456[[#This Row],[Volume9]]*-1</f>
        <v>0</v>
      </c>
      <c r="BE1166">
        <f>(Table133456[[#This Row],[SgammaC]]+Table133456[[#This Row],[SgammaP]])*$A$4*-100</f>
        <v>0</v>
      </c>
      <c r="BF1166">
        <f>Table133456[[#This Row],[DEXc]]+Table133456[[#This Row],[DEXp]]</f>
        <v>0</v>
      </c>
      <c r="BG1166">
        <f>IFERROR(Table133456[[#This Row],[DeltaC]]*Table133456[[#This Row],[Open.Int]]*$A$4,0)</f>
        <v>0</v>
      </c>
      <c r="BH1166">
        <f>IFERROR(Table133456[[#This Row],[DeltaP]]*Table133456[[#This Row],[Open.Int8]]*$A$4,0)</f>
        <v>0</v>
      </c>
      <c r="BI116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6">
        <f ca="1">Table133456[[#This Row],[charmc]]+Table133456[[#This Row],[charmp]]</f>
        <v>0</v>
      </c>
      <c r="BL116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6" s="78">
        <f ca="1">Table133456[[#This Row],[call helper]]+Table133456[[#This Row],[put helper]]</f>
        <v>0</v>
      </c>
      <c r="BP1166" t="str">
        <f>RTD("tos.rtd", , "STRIKE", "."&amp;Table133456[[#This Row],[Ticker]]&amp;Table133456[[#This Row],[Expiry]]&amp;""&amp;"C"&amp;Table133456[[#This Row],[Spot]]+Table133456[[#This Row],[step]])</f>
        <v>N/A</v>
      </c>
    </row>
    <row r="1167" spans="1:68" x14ac:dyDescent="0.25">
      <c r="A1167" s="14">
        <f t="shared" ca="1" si="114"/>
        <v>-126.14810350076104</v>
      </c>
      <c r="C1167" s="17"/>
      <c r="D1167" t="str">
        <f>RTD("tos.rtd", , "OPEN_INT", "."&amp;Table133456[[#This Row],[Ticker]]&amp;Table133456[[#This Row],[Expiry]]&amp;""&amp;"C"&amp;Table133456[[#This Row],[Spot]]+Table133456[[#This Row],[step]])</f>
        <v>N/A</v>
      </c>
      <c r="E116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7" s="17" cm="1">
        <f t="array" aca="1" ref="H1167" ca="1">IndividualLegIVCore($A$4, Table133456[[#This Row],[Strike]], 0.0411, Table133456[[#This Row],[T]], ((Table133456[[#This Row],[BIDC]]+Table133456[[#This Row],[ASKC]])/2), TRUE)</f>
        <v>0.01</v>
      </c>
      <c r="I1167" t="b">
        <f>IF(     ISNUMBER(Table133456[[#This Row],[Strike]]),RTD("tos.rtd", , "BID", "."&amp;Table133456[[#This Row],[Ticker]]&amp;Table133456[[#This Row],[Expiry]]&amp;""&amp;"C"&amp;Table133456[[#This Row],[Strike]]))</f>
        <v>0</v>
      </c>
      <c r="J1167" t="b">
        <f>IF(     ISNUMBER(Table133456[[#This Row],[Strike]]),RTD("tos.rtd", , "ASK", "."&amp;Table133456[[#This Row],[Ticker]]&amp;Table133456[[#This Row],[Expiry]]&amp;""&amp;"C"&amp;Table133456[[#This Row],[Strike]]))</f>
        <v>0</v>
      </c>
      <c r="K1167" s="17"/>
      <c r="M1167" s="1">
        <f t="shared" si="115"/>
        <v>0</v>
      </c>
      <c r="N1167" t="b">
        <f t="shared" si="116"/>
        <v>0</v>
      </c>
      <c r="P1167" s="17" cm="1">
        <f t="array" aca="1" ref="P1167" ca="1">IndividualLegIVCore($A$4, Table133456[[#This Row],[Strike]], 0.0411, Table133456[[#This Row],[T]], ((Table133456[[#This Row],[BIDP]]+Table133456[[#This Row],[ASKP]])/2), FALSE)</f>
        <v>0.01</v>
      </c>
      <c r="Q1167" t="b">
        <f>IF(     ISNUMBER(Table133456[[#This Row],[Strike]]),RTD("tos.rtd", , "BID", "."&amp;Table133456[[#This Row],[Ticker]]&amp;Table133456[[#This Row],[Expiry]]&amp;""&amp;"P"&amp;Table133456[[#This Row],[Strike]]))</f>
        <v>0</v>
      </c>
      <c r="R1167" t="b">
        <f>IF(     ISNUMBER(Table133456[[#This Row],[Strike]]),RTD("tos.rtd", , "ASK", "."&amp;Table133456[[#This Row],[Ticker]]&amp;Table133456[[#This Row],[Expiry]]&amp;""&amp;"P"&amp;Table133456[[#This Row],[Strike]]))</f>
        <v>0</v>
      </c>
      <c r="S1167" s="17"/>
      <c r="T116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7" s="19">
        <f>21* IF($M$1="NDX", 10, IF(OR($M$1="SPX", $M$1="RUT"), 2, 1))</f>
        <v>42</v>
      </c>
      <c r="Z1167">
        <f ca="1">IFERROR(Table133456[[#This Row],[call gamma]]*(Table133456[[#This Row],[Open.Int]])*$A$4^2,0)</f>
        <v>0</v>
      </c>
      <c r="AA1167">
        <f ca="1">IFERROR(((Table133456[[#This Row],[Open.Int8]])*Table133456[[#This Row],[Put gamma]])*-1*$A$4^2,0)</f>
        <v>0</v>
      </c>
      <c r="AB1167">
        <f ca="1">(Table133456[[#This Row],[Call Gex]]+Table133456[[#This Row],[Put Gex]])</f>
        <v>0</v>
      </c>
      <c r="AC1167">
        <f ca="1">Table133456[[#This Row],[put delta adj]]+Table133456[[#This Row],[call delta adj]]</f>
        <v>0</v>
      </c>
      <c r="AD1167">
        <f ca="1">Table133456[[#This Row],[Put Gex]]*Table133456[[#This Row],[DeltaP]]*-1</f>
        <v>0</v>
      </c>
      <c r="AE1167">
        <f ca="1">Table133456[[#This Row],[Call Gex]]*Table133456[[#This Row],[DeltaC]]</f>
        <v>0</v>
      </c>
      <c r="AF1167">
        <f>IF(Table133456[[#This Row],[DeltaC]]-ABS(Table133456[[#This Row],[DeltaP]])="0","0.01",Table133456[[#This Row],[DeltaC]]-ABS(Table133456[[#This Row],[DeltaP]]))</f>
        <v>0</v>
      </c>
      <c r="AG116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7" t="e">
        <f ca="1">(EXP(-(AG1167^2)/2)/SQRT(2*PI())*EXP(0*SQRT(Table133456[[#This Row],[T]]))/$A$4*18%*SQRT(SQRT(Table133456[[#This Row],[T]])))</f>
        <v>#DIV/0!</v>
      </c>
      <c r="AJ1167" t="e">
        <f ca="1">(EXP(-(AH1167^2)/2)/SQRT(2*PI())*EXP(0*SQRT(Table133456[[#This Row],[T]]))/$A$4*18%*SQRT(SQRT(Table133456[[#This Row],[T]])))</f>
        <v>#DIV/0!</v>
      </c>
      <c r="AK1167" t="e">
        <f ca="1">Table133456[[#This Row],[Call D1]]-Table133456[[#This Row],[IV Calc C]]*SQRT(Table133456[[#This Row],[T]])</f>
        <v>#DIV/0!</v>
      </c>
      <c r="AL1167" t="e">
        <f ca="1">Table133456[[#This Row],[Put D1]]-Table133456[[#This Row],[IV Calc P]]*SQRT(Table133456[[#This Row],[T]])</f>
        <v>#DIV/0!</v>
      </c>
      <c r="AM1167" t="e">
        <f ca="1">EXP(-0.5*Table133456[[#This Row],[Call D1]]^2)/SQRT(2*PI())</f>
        <v>#DIV/0!</v>
      </c>
      <c r="AN1167" t="e">
        <f ca="1">EXP(-0.5*Table133456[[#This Row],[Put D1]]^2)/SQRT(2*PI())</f>
        <v>#DIV/0!</v>
      </c>
      <c r="AO116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7">
        <f ca="1">((Table133456[[#This Row],[call vanna]]+Table133456[[#This Row],[put vanna]])*$A$4)</f>
        <v>0</v>
      </c>
      <c r="AR116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7" s="9" t="str" cm="1">
        <f t="array" ref="AT1167">_xlfn.IFS(     $M$1="SPX","SPXW",     $M$1="RUT","RUTW",  $M$1="NDX","NDXP",   TRUE,$M$1 )</f>
        <v>SPXW</v>
      </c>
      <c r="AU1167" s="2">
        <f t="shared" si="117"/>
        <v>6915</v>
      </c>
      <c r="AV1167" t="str">
        <f t="shared" si="118"/>
        <v>000100</v>
      </c>
      <c r="AY116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7">
        <f>((Table133456[[#This Row],[High C]]+Table133456[[#This Row],[Low C]])/2)*Table133456[[#This Row],[gammac]]*Table133456[[#This Row],[Volume]]</f>
        <v>0</v>
      </c>
      <c r="BD1167">
        <f>((Table133456[[#This Row],[High P]]+Table133456[[#This Row],[Low P]])/2)*Table133456[[#This Row],[gammap]]*Table133456[[#This Row],[Volume9]]*-1</f>
        <v>0</v>
      </c>
      <c r="BE1167">
        <f>(Table133456[[#This Row],[SgammaC]]+Table133456[[#This Row],[SgammaP]])*$A$4*-100</f>
        <v>0</v>
      </c>
      <c r="BF1167">
        <f>Table133456[[#This Row],[DEXc]]+Table133456[[#This Row],[DEXp]]</f>
        <v>0</v>
      </c>
      <c r="BG1167">
        <f>IFERROR(Table133456[[#This Row],[DeltaC]]*Table133456[[#This Row],[Open.Int]]*$A$4,0)</f>
        <v>0</v>
      </c>
      <c r="BH1167">
        <f>IFERROR(Table133456[[#This Row],[DeltaP]]*Table133456[[#This Row],[Open.Int8]]*$A$4,0)</f>
        <v>0</v>
      </c>
      <c r="BI116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7">
        <f ca="1">Table133456[[#This Row],[charmc]]+Table133456[[#This Row],[charmp]]</f>
        <v>0</v>
      </c>
      <c r="BL116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7" s="78">
        <f ca="1">Table133456[[#This Row],[call helper]]+Table133456[[#This Row],[put helper]]</f>
        <v>0</v>
      </c>
      <c r="BP1167" t="str">
        <f>RTD("tos.rtd", , "STRIKE", "."&amp;Table133456[[#This Row],[Ticker]]&amp;Table133456[[#This Row],[Expiry]]&amp;""&amp;"C"&amp;Table133456[[#This Row],[Spot]]+Table133456[[#This Row],[step]])</f>
        <v>N/A</v>
      </c>
    </row>
    <row r="1168" spans="1:68" x14ac:dyDescent="0.25">
      <c r="A1168" s="14">
        <f t="shared" ca="1" si="114"/>
        <v>-126.14810350076104</v>
      </c>
      <c r="C1168" s="17"/>
      <c r="D1168" t="str">
        <f>RTD("tos.rtd", , "OPEN_INT", "."&amp;Table133456[[#This Row],[Ticker]]&amp;Table133456[[#This Row],[Expiry]]&amp;""&amp;"C"&amp;Table133456[[#This Row],[Spot]]+Table133456[[#This Row],[step]])</f>
        <v>N/A</v>
      </c>
      <c r="E116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8" s="17" cm="1">
        <f t="array" aca="1" ref="H1168" ca="1">IndividualLegIVCore($A$4, Table133456[[#This Row],[Strike]], 0.0411, Table133456[[#This Row],[T]], ((Table133456[[#This Row],[BIDC]]+Table133456[[#This Row],[ASKC]])/2), TRUE)</f>
        <v>0.01</v>
      </c>
      <c r="I1168" t="b">
        <f>IF(     ISNUMBER(Table133456[[#This Row],[Strike]]),RTD("tos.rtd", , "BID", "."&amp;Table133456[[#This Row],[Ticker]]&amp;Table133456[[#This Row],[Expiry]]&amp;""&amp;"C"&amp;Table133456[[#This Row],[Strike]]))</f>
        <v>0</v>
      </c>
      <c r="J1168" t="b">
        <f>IF(     ISNUMBER(Table133456[[#This Row],[Strike]]),RTD("tos.rtd", , "ASK", "."&amp;Table133456[[#This Row],[Ticker]]&amp;Table133456[[#This Row],[Expiry]]&amp;""&amp;"C"&amp;Table133456[[#This Row],[Strike]]))</f>
        <v>0</v>
      </c>
      <c r="K1168" s="17"/>
      <c r="M1168" s="1">
        <f t="shared" si="115"/>
        <v>0</v>
      </c>
      <c r="N1168" t="b">
        <f t="shared" si="116"/>
        <v>0</v>
      </c>
      <c r="P1168" s="17" cm="1">
        <f t="array" aca="1" ref="P1168" ca="1">IndividualLegIVCore($A$4, Table133456[[#This Row],[Strike]], 0.0411, Table133456[[#This Row],[T]], ((Table133456[[#This Row],[BIDP]]+Table133456[[#This Row],[ASKP]])/2), FALSE)</f>
        <v>0.01</v>
      </c>
      <c r="Q1168" t="b">
        <f>IF(     ISNUMBER(Table133456[[#This Row],[Strike]]),RTD("tos.rtd", , "BID", "."&amp;Table133456[[#This Row],[Ticker]]&amp;Table133456[[#This Row],[Expiry]]&amp;""&amp;"P"&amp;Table133456[[#This Row],[Strike]]))</f>
        <v>0</v>
      </c>
      <c r="R1168" t="b">
        <f>IF(     ISNUMBER(Table133456[[#This Row],[Strike]]),RTD("tos.rtd", , "ASK", "."&amp;Table133456[[#This Row],[Ticker]]&amp;Table133456[[#This Row],[Expiry]]&amp;""&amp;"P"&amp;Table133456[[#This Row],[Strike]]))</f>
        <v>0</v>
      </c>
      <c r="S1168" s="17"/>
      <c r="T116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8" s="19">
        <f>21.5* IF($M$1="NDX", 10, IF(OR($M$1="SPX", $M$1="RUT"), 2, 1))</f>
        <v>43</v>
      </c>
      <c r="Z1168">
        <f ca="1">IFERROR(Table133456[[#This Row],[call gamma]]*(Table133456[[#This Row],[Open.Int]])*$A$4^2,0)</f>
        <v>0</v>
      </c>
      <c r="AA1168">
        <f ca="1">IFERROR(((Table133456[[#This Row],[Open.Int8]])*Table133456[[#This Row],[Put gamma]])*-1*$A$4^2,0)</f>
        <v>0</v>
      </c>
      <c r="AB1168">
        <f ca="1">(Table133456[[#This Row],[Call Gex]]+Table133456[[#This Row],[Put Gex]])</f>
        <v>0</v>
      </c>
      <c r="AC1168">
        <f ca="1">Table133456[[#This Row],[put delta adj]]+Table133456[[#This Row],[call delta adj]]</f>
        <v>0</v>
      </c>
      <c r="AD1168">
        <f ca="1">Table133456[[#This Row],[Put Gex]]*Table133456[[#This Row],[DeltaP]]*-1</f>
        <v>0</v>
      </c>
      <c r="AE1168">
        <f ca="1">Table133456[[#This Row],[Call Gex]]*Table133456[[#This Row],[DeltaC]]</f>
        <v>0</v>
      </c>
      <c r="AF1168">
        <f>IF(Table133456[[#This Row],[DeltaC]]-ABS(Table133456[[#This Row],[DeltaP]])="0","0.01",Table133456[[#This Row],[DeltaC]]-ABS(Table133456[[#This Row],[DeltaP]]))</f>
        <v>0</v>
      </c>
      <c r="AG116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8" t="e">
        <f ca="1">(EXP(-(AG1168^2)/2)/SQRT(2*PI())*EXP(0*SQRT(Table133456[[#This Row],[T]]))/$A$4*18%*SQRT(SQRT(Table133456[[#This Row],[T]])))</f>
        <v>#DIV/0!</v>
      </c>
      <c r="AJ1168" t="e">
        <f ca="1">(EXP(-(AH1168^2)/2)/SQRT(2*PI())*EXP(0*SQRT(Table133456[[#This Row],[T]]))/$A$4*18%*SQRT(SQRT(Table133456[[#This Row],[T]])))</f>
        <v>#DIV/0!</v>
      </c>
      <c r="AK1168" t="e">
        <f ca="1">Table133456[[#This Row],[Call D1]]-Table133456[[#This Row],[IV Calc C]]*SQRT(Table133456[[#This Row],[T]])</f>
        <v>#DIV/0!</v>
      </c>
      <c r="AL1168" t="e">
        <f ca="1">Table133456[[#This Row],[Put D1]]-Table133456[[#This Row],[IV Calc P]]*SQRT(Table133456[[#This Row],[T]])</f>
        <v>#DIV/0!</v>
      </c>
      <c r="AM1168" t="e">
        <f ca="1">EXP(-0.5*Table133456[[#This Row],[Call D1]]^2)/SQRT(2*PI())</f>
        <v>#DIV/0!</v>
      </c>
      <c r="AN1168" t="e">
        <f ca="1">EXP(-0.5*Table133456[[#This Row],[Put D1]]^2)/SQRT(2*PI())</f>
        <v>#DIV/0!</v>
      </c>
      <c r="AO116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8">
        <f ca="1">((Table133456[[#This Row],[call vanna]]+Table133456[[#This Row],[put vanna]])*$A$4)</f>
        <v>0</v>
      </c>
      <c r="AR116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8" s="9" t="str" cm="1">
        <f t="array" ref="AT1168">_xlfn.IFS(     $M$1="SPX","SPXW",     $M$1="RUT","RUTW",  $M$1="NDX","NDXP",   TRUE,$M$1 )</f>
        <v>SPXW</v>
      </c>
      <c r="AU1168" s="2">
        <f t="shared" si="117"/>
        <v>6915</v>
      </c>
      <c r="AV1168" t="str">
        <f t="shared" si="118"/>
        <v>000100</v>
      </c>
      <c r="AY116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8">
        <f>((Table133456[[#This Row],[High C]]+Table133456[[#This Row],[Low C]])/2)*Table133456[[#This Row],[gammac]]*Table133456[[#This Row],[Volume]]</f>
        <v>0</v>
      </c>
      <c r="BD1168">
        <f>((Table133456[[#This Row],[High P]]+Table133456[[#This Row],[Low P]])/2)*Table133456[[#This Row],[gammap]]*Table133456[[#This Row],[Volume9]]*-1</f>
        <v>0</v>
      </c>
      <c r="BE1168">
        <f>(Table133456[[#This Row],[SgammaC]]+Table133456[[#This Row],[SgammaP]])*$A$4*-100</f>
        <v>0</v>
      </c>
      <c r="BF1168">
        <f>Table133456[[#This Row],[DEXc]]+Table133456[[#This Row],[DEXp]]</f>
        <v>0</v>
      </c>
      <c r="BG1168">
        <f>IFERROR(Table133456[[#This Row],[DeltaC]]*Table133456[[#This Row],[Open.Int]]*$A$4,0)</f>
        <v>0</v>
      </c>
      <c r="BH1168">
        <f>IFERROR(Table133456[[#This Row],[DeltaP]]*Table133456[[#This Row],[Open.Int8]]*$A$4,0)</f>
        <v>0</v>
      </c>
      <c r="BI116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8">
        <f ca="1">Table133456[[#This Row],[charmc]]+Table133456[[#This Row],[charmp]]</f>
        <v>0</v>
      </c>
      <c r="BL116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8" s="78">
        <f ca="1">Table133456[[#This Row],[call helper]]+Table133456[[#This Row],[put helper]]</f>
        <v>0</v>
      </c>
      <c r="BP1168" t="str">
        <f>RTD("tos.rtd", , "STRIKE", "."&amp;Table133456[[#This Row],[Ticker]]&amp;Table133456[[#This Row],[Expiry]]&amp;""&amp;"C"&amp;Table133456[[#This Row],[Spot]]+Table133456[[#This Row],[step]])</f>
        <v>N/A</v>
      </c>
    </row>
    <row r="1169" spans="1:68" x14ac:dyDescent="0.25">
      <c r="A1169" s="14">
        <f t="shared" ca="1" si="114"/>
        <v>-126.14810350076104</v>
      </c>
      <c r="C1169" s="17"/>
      <c r="D1169" t="str">
        <f>RTD("tos.rtd", , "OPEN_INT", "."&amp;Table133456[[#This Row],[Ticker]]&amp;Table133456[[#This Row],[Expiry]]&amp;""&amp;"C"&amp;Table133456[[#This Row],[Spot]]+Table133456[[#This Row],[step]])</f>
        <v>N/A</v>
      </c>
      <c r="E116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9" s="17" cm="1">
        <f t="array" aca="1" ref="H1169" ca="1">IndividualLegIVCore($A$4, Table133456[[#This Row],[Strike]], 0.0411, Table133456[[#This Row],[T]], ((Table133456[[#This Row],[BIDC]]+Table133456[[#This Row],[ASKC]])/2), TRUE)</f>
        <v>0.01</v>
      </c>
      <c r="I1169" t="b">
        <f>IF(     ISNUMBER(Table133456[[#This Row],[Strike]]),RTD("tos.rtd", , "BID", "."&amp;Table133456[[#This Row],[Ticker]]&amp;Table133456[[#This Row],[Expiry]]&amp;""&amp;"C"&amp;Table133456[[#This Row],[Strike]]))</f>
        <v>0</v>
      </c>
      <c r="J1169" t="b">
        <f>IF(     ISNUMBER(Table133456[[#This Row],[Strike]]),RTD("tos.rtd", , "ASK", "."&amp;Table133456[[#This Row],[Ticker]]&amp;Table133456[[#This Row],[Expiry]]&amp;""&amp;"C"&amp;Table133456[[#This Row],[Strike]]))</f>
        <v>0</v>
      </c>
      <c r="K1169" s="17"/>
      <c r="M1169" s="1">
        <f t="shared" si="115"/>
        <v>0</v>
      </c>
      <c r="N1169" t="b">
        <f t="shared" si="116"/>
        <v>0</v>
      </c>
      <c r="P1169" s="17" cm="1">
        <f t="array" aca="1" ref="P1169" ca="1">IndividualLegIVCore($A$4, Table133456[[#This Row],[Strike]], 0.0411, Table133456[[#This Row],[T]], ((Table133456[[#This Row],[BIDP]]+Table133456[[#This Row],[ASKP]])/2), FALSE)</f>
        <v>0.01</v>
      </c>
      <c r="Q1169" t="b">
        <f>IF(     ISNUMBER(Table133456[[#This Row],[Strike]]),RTD("tos.rtd", , "BID", "."&amp;Table133456[[#This Row],[Ticker]]&amp;Table133456[[#This Row],[Expiry]]&amp;""&amp;"P"&amp;Table133456[[#This Row],[Strike]]))</f>
        <v>0</v>
      </c>
      <c r="R1169" t="b">
        <f>IF(     ISNUMBER(Table133456[[#This Row],[Strike]]),RTD("tos.rtd", , "ASK", "."&amp;Table133456[[#This Row],[Ticker]]&amp;Table133456[[#This Row],[Expiry]]&amp;""&amp;"P"&amp;Table133456[[#This Row],[Strike]]))</f>
        <v>0</v>
      </c>
      <c r="S1169" s="17"/>
      <c r="T116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9" s="19">
        <f>22* IF($M$1="NDX", 10, IF(OR($M$1="SPX", $M$1="RUT"), 2, 1))</f>
        <v>44</v>
      </c>
      <c r="Z1169">
        <f ca="1">IFERROR(Table133456[[#This Row],[call gamma]]*(Table133456[[#This Row],[Open.Int]])*$A$4^2,0)</f>
        <v>0</v>
      </c>
      <c r="AA1169">
        <f ca="1">IFERROR(((Table133456[[#This Row],[Open.Int8]])*Table133456[[#This Row],[Put gamma]])*-1*$A$4^2,0)</f>
        <v>0</v>
      </c>
      <c r="AB1169">
        <f ca="1">(Table133456[[#This Row],[Call Gex]]+Table133456[[#This Row],[Put Gex]])</f>
        <v>0</v>
      </c>
      <c r="AC1169">
        <f ca="1">Table133456[[#This Row],[put delta adj]]+Table133456[[#This Row],[call delta adj]]</f>
        <v>0</v>
      </c>
      <c r="AD1169">
        <f ca="1">Table133456[[#This Row],[Put Gex]]*Table133456[[#This Row],[DeltaP]]*-1</f>
        <v>0</v>
      </c>
      <c r="AE1169">
        <f ca="1">Table133456[[#This Row],[Call Gex]]*Table133456[[#This Row],[DeltaC]]</f>
        <v>0</v>
      </c>
      <c r="AF1169">
        <f>IF(Table133456[[#This Row],[DeltaC]]-ABS(Table133456[[#This Row],[DeltaP]])="0","0.01",Table133456[[#This Row],[DeltaC]]-ABS(Table133456[[#This Row],[DeltaP]]))</f>
        <v>0</v>
      </c>
      <c r="AG116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9" t="e">
        <f ca="1">(EXP(-(AG1169^2)/2)/SQRT(2*PI())*EXP(0*SQRT(Table133456[[#This Row],[T]]))/$A$4*18%*SQRT(SQRT(Table133456[[#This Row],[T]])))</f>
        <v>#DIV/0!</v>
      </c>
      <c r="AJ1169" t="e">
        <f ca="1">(EXP(-(AH1169^2)/2)/SQRT(2*PI())*EXP(0*SQRT(Table133456[[#This Row],[T]]))/$A$4*18%*SQRT(SQRT(Table133456[[#This Row],[T]])))</f>
        <v>#DIV/0!</v>
      </c>
      <c r="AK1169" t="e">
        <f ca="1">Table133456[[#This Row],[Call D1]]-Table133456[[#This Row],[IV Calc C]]*SQRT(Table133456[[#This Row],[T]])</f>
        <v>#DIV/0!</v>
      </c>
      <c r="AL1169" t="e">
        <f ca="1">Table133456[[#This Row],[Put D1]]-Table133456[[#This Row],[IV Calc P]]*SQRT(Table133456[[#This Row],[T]])</f>
        <v>#DIV/0!</v>
      </c>
      <c r="AM1169" t="e">
        <f ca="1">EXP(-0.5*Table133456[[#This Row],[Call D1]]^2)/SQRT(2*PI())</f>
        <v>#DIV/0!</v>
      </c>
      <c r="AN1169" t="e">
        <f ca="1">EXP(-0.5*Table133456[[#This Row],[Put D1]]^2)/SQRT(2*PI())</f>
        <v>#DIV/0!</v>
      </c>
      <c r="AO116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9">
        <f ca="1">((Table133456[[#This Row],[call vanna]]+Table133456[[#This Row],[put vanna]])*$A$4)</f>
        <v>0</v>
      </c>
      <c r="AR116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9" s="9" t="str" cm="1">
        <f t="array" ref="AT1169">_xlfn.IFS(     $M$1="SPX","SPXW",     $M$1="RUT","RUTW",  $M$1="NDX","NDXP",   TRUE,$M$1 )</f>
        <v>SPXW</v>
      </c>
      <c r="AU1169" s="2">
        <f t="shared" si="117"/>
        <v>6915</v>
      </c>
      <c r="AV1169" t="str">
        <f t="shared" si="118"/>
        <v>000100</v>
      </c>
      <c r="AY116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9">
        <f>((Table133456[[#This Row],[High C]]+Table133456[[#This Row],[Low C]])/2)*Table133456[[#This Row],[gammac]]*Table133456[[#This Row],[Volume]]</f>
        <v>0</v>
      </c>
      <c r="BD1169">
        <f>((Table133456[[#This Row],[High P]]+Table133456[[#This Row],[Low P]])/2)*Table133456[[#This Row],[gammap]]*Table133456[[#This Row],[Volume9]]*-1</f>
        <v>0</v>
      </c>
      <c r="BE1169">
        <f>(Table133456[[#This Row],[SgammaC]]+Table133456[[#This Row],[SgammaP]])*$A$4*-100</f>
        <v>0</v>
      </c>
      <c r="BF1169">
        <f>Table133456[[#This Row],[DEXc]]+Table133456[[#This Row],[DEXp]]</f>
        <v>0</v>
      </c>
      <c r="BG1169">
        <f>IFERROR(Table133456[[#This Row],[DeltaC]]*Table133456[[#This Row],[Open.Int]]*$A$4,0)</f>
        <v>0</v>
      </c>
      <c r="BH1169">
        <f>IFERROR(Table133456[[#This Row],[DeltaP]]*Table133456[[#This Row],[Open.Int8]]*$A$4,0)</f>
        <v>0</v>
      </c>
      <c r="BI116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9">
        <f ca="1">Table133456[[#This Row],[charmc]]+Table133456[[#This Row],[charmp]]</f>
        <v>0</v>
      </c>
      <c r="BL116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9" s="78">
        <f ca="1">Table133456[[#This Row],[call helper]]+Table133456[[#This Row],[put helper]]</f>
        <v>0</v>
      </c>
      <c r="BP1169" t="str">
        <f>RTD("tos.rtd", , "STRIKE", "."&amp;Table133456[[#This Row],[Ticker]]&amp;Table133456[[#This Row],[Expiry]]&amp;""&amp;"C"&amp;Table133456[[#This Row],[Spot]]+Table133456[[#This Row],[step]])</f>
        <v>N/A</v>
      </c>
    </row>
    <row r="1170" spans="1:68" x14ac:dyDescent="0.25">
      <c r="A1170" s="14">
        <f t="shared" ca="1" si="114"/>
        <v>-126.14810350076104</v>
      </c>
      <c r="C1170" s="17"/>
      <c r="D1170" t="str">
        <f>RTD("tos.rtd", , "OPEN_INT", "."&amp;Table133456[[#This Row],[Ticker]]&amp;Table133456[[#This Row],[Expiry]]&amp;""&amp;"C"&amp;Table133456[[#This Row],[Spot]]+Table133456[[#This Row],[step]])</f>
        <v>N/A</v>
      </c>
      <c r="E117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0" s="17" cm="1">
        <f t="array" aca="1" ref="H1170" ca="1">IndividualLegIVCore($A$4, Table133456[[#This Row],[Strike]], 0.0411, Table133456[[#This Row],[T]], ((Table133456[[#This Row],[BIDC]]+Table133456[[#This Row],[ASKC]])/2), TRUE)</f>
        <v>0.01</v>
      </c>
      <c r="I1170" t="b">
        <f>IF(     ISNUMBER(Table133456[[#This Row],[Strike]]),RTD("tos.rtd", , "BID", "."&amp;Table133456[[#This Row],[Ticker]]&amp;Table133456[[#This Row],[Expiry]]&amp;""&amp;"C"&amp;Table133456[[#This Row],[Strike]]))</f>
        <v>0</v>
      </c>
      <c r="J1170" t="b">
        <f>IF(     ISNUMBER(Table133456[[#This Row],[Strike]]),RTD("tos.rtd", , "ASK", "."&amp;Table133456[[#This Row],[Ticker]]&amp;Table133456[[#This Row],[Expiry]]&amp;""&amp;"C"&amp;Table133456[[#This Row],[Strike]]))</f>
        <v>0</v>
      </c>
      <c r="K1170" s="17"/>
      <c r="M1170" s="1">
        <f t="shared" si="115"/>
        <v>0</v>
      </c>
      <c r="N1170" t="b">
        <f t="shared" si="116"/>
        <v>0</v>
      </c>
      <c r="P1170" s="17" cm="1">
        <f t="array" aca="1" ref="P1170" ca="1">IndividualLegIVCore($A$4, Table133456[[#This Row],[Strike]], 0.0411, Table133456[[#This Row],[T]], ((Table133456[[#This Row],[BIDP]]+Table133456[[#This Row],[ASKP]])/2), FALSE)</f>
        <v>0.01</v>
      </c>
      <c r="Q1170" t="b">
        <f>IF(     ISNUMBER(Table133456[[#This Row],[Strike]]),RTD("tos.rtd", , "BID", "."&amp;Table133456[[#This Row],[Ticker]]&amp;Table133456[[#This Row],[Expiry]]&amp;""&amp;"P"&amp;Table133456[[#This Row],[Strike]]))</f>
        <v>0</v>
      </c>
      <c r="R1170" t="b">
        <f>IF(     ISNUMBER(Table133456[[#This Row],[Strike]]),RTD("tos.rtd", , "ASK", "."&amp;Table133456[[#This Row],[Ticker]]&amp;Table133456[[#This Row],[Expiry]]&amp;""&amp;"P"&amp;Table133456[[#This Row],[Strike]]))</f>
        <v>0</v>
      </c>
      <c r="S1170" s="17"/>
      <c r="T117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0" s="19">
        <f>22.5* IF($M$1="NDX", 10, IF(OR($M$1="SPX", $M$1="RUT"), 2, 1))</f>
        <v>45</v>
      </c>
      <c r="Z1170">
        <f ca="1">IFERROR(Table133456[[#This Row],[call gamma]]*(Table133456[[#This Row],[Open.Int]])*$A$4^2,0)</f>
        <v>0</v>
      </c>
      <c r="AA1170">
        <f ca="1">IFERROR(((Table133456[[#This Row],[Open.Int8]])*Table133456[[#This Row],[Put gamma]])*-1*$A$4^2,0)</f>
        <v>0</v>
      </c>
      <c r="AB1170">
        <f ca="1">(Table133456[[#This Row],[Call Gex]]+Table133456[[#This Row],[Put Gex]])</f>
        <v>0</v>
      </c>
      <c r="AC1170">
        <f ca="1">Table133456[[#This Row],[put delta adj]]+Table133456[[#This Row],[call delta adj]]</f>
        <v>0</v>
      </c>
      <c r="AD1170">
        <f ca="1">Table133456[[#This Row],[Put Gex]]*Table133456[[#This Row],[DeltaP]]*-1</f>
        <v>0</v>
      </c>
      <c r="AE1170">
        <f ca="1">Table133456[[#This Row],[Call Gex]]*Table133456[[#This Row],[DeltaC]]</f>
        <v>0</v>
      </c>
      <c r="AF1170">
        <f>IF(Table133456[[#This Row],[DeltaC]]-ABS(Table133456[[#This Row],[DeltaP]])="0","0.01",Table133456[[#This Row],[DeltaC]]-ABS(Table133456[[#This Row],[DeltaP]]))</f>
        <v>0</v>
      </c>
      <c r="AG117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0" t="e">
        <f ca="1">(EXP(-(AG1170^2)/2)/SQRT(2*PI())*EXP(0*SQRT(Table133456[[#This Row],[T]]))/$A$4*18%*SQRT(SQRT(Table133456[[#This Row],[T]])))</f>
        <v>#DIV/0!</v>
      </c>
      <c r="AJ1170" t="e">
        <f ca="1">(EXP(-(AH1170^2)/2)/SQRT(2*PI())*EXP(0*SQRT(Table133456[[#This Row],[T]]))/$A$4*18%*SQRT(SQRT(Table133456[[#This Row],[T]])))</f>
        <v>#DIV/0!</v>
      </c>
      <c r="AK1170" t="e">
        <f ca="1">Table133456[[#This Row],[Call D1]]-Table133456[[#This Row],[IV Calc C]]*SQRT(Table133456[[#This Row],[T]])</f>
        <v>#DIV/0!</v>
      </c>
      <c r="AL1170" t="e">
        <f ca="1">Table133456[[#This Row],[Put D1]]-Table133456[[#This Row],[IV Calc P]]*SQRT(Table133456[[#This Row],[T]])</f>
        <v>#DIV/0!</v>
      </c>
      <c r="AM1170" t="e">
        <f ca="1">EXP(-0.5*Table133456[[#This Row],[Call D1]]^2)/SQRT(2*PI())</f>
        <v>#DIV/0!</v>
      </c>
      <c r="AN1170" t="e">
        <f ca="1">EXP(-0.5*Table133456[[#This Row],[Put D1]]^2)/SQRT(2*PI())</f>
        <v>#DIV/0!</v>
      </c>
      <c r="AO117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0">
        <f ca="1">((Table133456[[#This Row],[call vanna]]+Table133456[[#This Row],[put vanna]])*$A$4)</f>
        <v>0</v>
      </c>
      <c r="AR117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0" s="9" t="str" cm="1">
        <f t="array" ref="AT1170">_xlfn.IFS(     $M$1="SPX","SPXW",     $M$1="RUT","RUTW",  $M$1="NDX","NDXP",   TRUE,$M$1 )</f>
        <v>SPXW</v>
      </c>
      <c r="AU1170" s="2">
        <f t="shared" si="117"/>
        <v>6915</v>
      </c>
      <c r="AV1170" t="str">
        <f t="shared" si="118"/>
        <v>000100</v>
      </c>
      <c r="AY117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0">
        <f>((Table133456[[#This Row],[High C]]+Table133456[[#This Row],[Low C]])/2)*Table133456[[#This Row],[gammac]]*Table133456[[#This Row],[Volume]]</f>
        <v>0</v>
      </c>
      <c r="BD1170">
        <f>((Table133456[[#This Row],[High P]]+Table133456[[#This Row],[Low P]])/2)*Table133456[[#This Row],[gammap]]*Table133456[[#This Row],[Volume9]]*-1</f>
        <v>0</v>
      </c>
      <c r="BE1170">
        <f>(Table133456[[#This Row],[SgammaC]]+Table133456[[#This Row],[SgammaP]])*$A$4*-100</f>
        <v>0</v>
      </c>
      <c r="BF1170">
        <f>Table133456[[#This Row],[DEXc]]+Table133456[[#This Row],[DEXp]]</f>
        <v>0</v>
      </c>
      <c r="BG1170">
        <f>IFERROR(Table133456[[#This Row],[DeltaC]]*Table133456[[#This Row],[Open.Int]]*$A$4,0)</f>
        <v>0</v>
      </c>
      <c r="BH1170">
        <f>IFERROR(Table133456[[#This Row],[DeltaP]]*Table133456[[#This Row],[Open.Int8]]*$A$4,0)</f>
        <v>0</v>
      </c>
      <c r="BI117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0">
        <f ca="1">Table133456[[#This Row],[charmc]]+Table133456[[#This Row],[charmp]]</f>
        <v>0</v>
      </c>
      <c r="BL117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0" s="78">
        <f ca="1">Table133456[[#This Row],[call helper]]+Table133456[[#This Row],[put helper]]</f>
        <v>0</v>
      </c>
      <c r="BP1170" t="str">
        <f>RTD("tos.rtd", , "STRIKE", "."&amp;Table133456[[#This Row],[Ticker]]&amp;Table133456[[#This Row],[Expiry]]&amp;""&amp;"C"&amp;Table133456[[#This Row],[Spot]]+Table133456[[#This Row],[step]])</f>
        <v>N/A</v>
      </c>
    </row>
    <row r="1171" spans="1:68" x14ac:dyDescent="0.25">
      <c r="A1171" s="14">
        <f t="shared" ca="1" si="114"/>
        <v>-126.14810350076104</v>
      </c>
      <c r="C1171" s="17"/>
      <c r="D1171" t="str">
        <f>RTD("tos.rtd", , "OPEN_INT", "."&amp;Table133456[[#This Row],[Ticker]]&amp;Table133456[[#This Row],[Expiry]]&amp;""&amp;"C"&amp;Table133456[[#This Row],[Spot]]+Table133456[[#This Row],[step]])</f>
        <v>N/A</v>
      </c>
      <c r="E117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1" s="17" cm="1">
        <f t="array" aca="1" ref="H1171" ca="1">IndividualLegIVCore($A$4, Table133456[[#This Row],[Strike]], 0.0411, Table133456[[#This Row],[T]], ((Table133456[[#This Row],[BIDC]]+Table133456[[#This Row],[ASKC]])/2), TRUE)</f>
        <v>0.01</v>
      </c>
      <c r="I1171" t="b">
        <f>IF(     ISNUMBER(Table133456[[#This Row],[Strike]]),RTD("tos.rtd", , "BID", "."&amp;Table133456[[#This Row],[Ticker]]&amp;Table133456[[#This Row],[Expiry]]&amp;""&amp;"C"&amp;Table133456[[#This Row],[Strike]]))</f>
        <v>0</v>
      </c>
      <c r="J1171" t="b">
        <f>IF(     ISNUMBER(Table133456[[#This Row],[Strike]]),RTD("tos.rtd", , "ASK", "."&amp;Table133456[[#This Row],[Ticker]]&amp;Table133456[[#This Row],[Expiry]]&amp;""&amp;"C"&amp;Table133456[[#This Row],[Strike]]))</f>
        <v>0</v>
      </c>
      <c r="K1171" s="17"/>
      <c r="M1171" s="1">
        <f t="shared" si="115"/>
        <v>0</v>
      </c>
      <c r="N1171" t="b">
        <f t="shared" si="116"/>
        <v>0</v>
      </c>
      <c r="P1171" s="17" cm="1">
        <f t="array" aca="1" ref="P1171" ca="1">IndividualLegIVCore($A$4, Table133456[[#This Row],[Strike]], 0.0411, Table133456[[#This Row],[T]], ((Table133456[[#This Row],[BIDP]]+Table133456[[#This Row],[ASKP]])/2), FALSE)</f>
        <v>0.01</v>
      </c>
      <c r="Q1171" t="b">
        <f>IF(     ISNUMBER(Table133456[[#This Row],[Strike]]),RTD("tos.rtd", , "BID", "."&amp;Table133456[[#This Row],[Ticker]]&amp;Table133456[[#This Row],[Expiry]]&amp;""&amp;"P"&amp;Table133456[[#This Row],[Strike]]))</f>
        <v>0</v>
      </c>
      <c r="R1171" t="b">
        <f>IF(     ISNUMBER(Table133456[[#This Row],[Strike]]),RTD("tos.rtd", , "ASK", "."&amp;Table133456[[#This Row],[Ticker]]&amp;Table133456[[#This Row],[Expiry]]&amp;""&amp;"P"&amp;Table133456[[#This Row],[Strike]]))</f>
        <v>0</v>
      </c>
      <c r="S1171" s="17"/>
      <c r="T117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1" s="19">
        <f>23* IF($M$1="NDX", 10, IF(OR($M$1="SPX", $M$1="RUT"), 2, 1))</f>
        <v>46</v>
      </c>
      <c r="Z1171">
        <f ca="1">IFERROR(Table133456[[#This Row],[call gamma]]*(Table133456[[#This Row],[Open.Int]])*$A$4^2,0)</f>
        <v>0</v>
      </c>
      <c r="AA1171">
        <f ca="1">IFERROR(((Table133456[[#This Row],[Open.Int8]])*Table133456[[#This Row],[Put gamma]])*-1*$A$4^2,0)</f>
        <v>0</v>
      </c>
      <c r="AB1171">
        <f ca="1">(Table133456[[#This Row],[Call Gex]]+Table133456[[#This Row],[Put Gex]])</f>
        <v>0</v>
      </c>
      <c r="AC1171">
        <f ca="1">Table133456[[#This Row],[put delta adj]]+Table133456[[#This Row],[call delta adj]]</f>
        <v>0</v>
      </c>
      <c r="AD1171">
        <f ca="1">Table133456[[#This Row],[Put Gex]]*Table133456[[#This Row],[DeltaP]]*-1</f>
        <v>0</v>
      </c>
      <c r="AE1171">
        <f ca="1">Table133456[[#This Row],[Call Gex]]*Table133456[[#This Row],[DeltaC]]</f>
        <v>0</v>
      </c>
      <c r="AF1171">
        <f>IF(Table133456[[#This Row],[DeltaC]]-ABS(Table133456[[#This Row],[DeltaP]])="0","0.01",Table133456[[#This Row],[DeltaC]]-ABS(Table133456[[#This Row],[DeltaP]]))</f>
        <v>0</v>
      </c>
      <c r="AG117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1" t="e">
        <f ca="1">(EXP(-(AG1171^2)/2)/SQRT(2*PI())*EXP(0*SQRT(Table133456[[#This Row],[T]]))/$A$4*18%*SQRT(SQRT(Table133456[[#This Row],[T]])))</f>
        <v>#DIV/0!</v>
      </c>
      <c r="AJ1171" t="e">
        <f ca="1">(EXP(-(AH1171^2)/2)/SQRT(2*PI())*EXP(0*SQRT(Table133456[[#This Row],[T]]))/$A$4*18%*SQRT(SQRT(Table133456[[#This Row],[T]])))</f>
        <v>#DIV/0!</v>
      </c>
      <c r="AK1171" t="e">
        <f ca="1">Table133456[[#This Row],[Call D1]]-Table133456[[#This Row],[IV Calc C]]*SQRT(Table133456[[#This Row],[T]])</f>
        <v>#DIV/0!</v>
      </c>
      <c r="AL1171" t="e">
        <f ca="1">Table133456[[#This Row],[Put D1]]-Table133456[[#This Row],[IV Calc P]]*SQRT(Table133456[[#This Row],[T]])</f>
        <v>#DIV/0!</v>
      </c>
      <c r="AM1171" t="e">
        <f ca="1">EXP(-0.5*Table133456[[#This Row],[Call D1]]^2)/SQRT(2*PI())</f>
        <v>#DIV/0!</v>
      </c>
      <c r="AN1171" t="e">
        <f ca="1">EXP(-0.5*Table133456[[#This Row],[Put D1]]^2)/SQRT(2*PI())</f>
        <v>#DIV/0!</v>
      </c>
      <c r="AO117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1">
        <f ca="1">((Table133456[[#This Row],[call vanna]]+Table133456[[#This Row],[put vanna]])*$A$4)</f>
        <v>0</v>
      </c>
      <c r="AR117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1" s="9" t="str" cm="1">
        <f t="array" ref="AT1171">_xlfn.IFS(     $M$1="SPX","SPXW",     $M$1="RUT","RUTW",  $M$1="NDX","NDXP",   TRUE,$M$1 )</f>
        <v>SPXW</v>
      </c>
      <c r="AU1171" s="2">
        <f t="shared" si="117"/>
        <v>6915</v>
      </c>
      <c r="AV1171" t="str">
        <f t="shared" si="118"/>
        <v>000100</v>
      </c>
      <c r="AY117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1">
        <f>((Table133456[[#This Row],[High C]]+Table133456[[#This Row],[Low C]])/2)*Table133456[[#This Row],[gammac]]*Table133456[[#This Row],[Volume]]</f>
        <v>0</v>
      </c>
      <c r="BD1171">
        <f>((Table133456[[#This Row],[High P]]+Table133456[[#This Row],[Low P]])/2)*Table133456[[#This Row],[gammap]]*Table133456[[#This Row],[Volume9]]*-1</f>
        <v>0</v>
      </c>
      <c r="BE1171">
        <f>(Table133456[[#This Row],[SgammaC]]+Table133456[[#This Row],[SgammaP]])*$A$4*-100</f>
        <v>0</v>
      </c>
      <c r="BF1171">
        <f>Table133456[[#This Row],[DEXc]]+Table133456[[#This Row],[DEXp]]</f>
        <v>0</v>
      </c>
      <c r="BG1171">
        <f>IFERROR(Table133456[[#This Row],[DeltaC]]*Table133456[[#This Row],[Open.Int]]*$A$4,0)</f>
        <v>0</v>
      </c>
      <c r="BH1171">
        <f>IFERROR(Table133456[[#This Row],[DeltaP]]*Table133456[[#This Row],[Open.Int8]]*$A$4,0)</f>
        <v>0</v>
      </c>
      <c r="BI117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1">
        <f ca="1">Table133456[[#This Row],[charmc]]+Table133456[[#This Row],[charmp]]</f>
        <v>0</v>
      </c>
      <c r="BL117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1" s="78">
        <f ca="1">Table133456[[#This Row],[call helper]]+Table133456[[#This Row],[put helper]]</f>
        <v>0</v>
      </c>
      <c r="BP1171" t="str">
        <f>RTD("tos.rtd", , "STRIKE", "."&amp;Table133456[[#This Row],[Ticker]]&amp;Table133456[[#This Row],[Expiry]]&amp;""&amp;"C"&amp;Table133456[[#This Row],[Spot]]+Table133456[[#This Row],[step]])</f>
        <v>N/A</v>
      </c>
    </row>
    <row r="1172" spans="1:68" x14ac:dyDescent="0.25">
      <c r="A1172" s="14">
        <f t="shared" ca="1" si="114"/>
        <v>-126.14810350076104</v>
      </c>
      <c r="C1172" s="17"/>
      <c r="D1172" t="str">
        <f>RTD("tos.rtd", , "OPEN_INT", "."&amp;Table133456[[#This Row],[Ticker]]&amp;Table133456[[#This Row],[Expiry]]&amp;""&amp;"C"&amp;Table133456[[#This Row],[Spot]]+Table133456[[#This Row],[step]])</f>
        <v>N/A</v>
      </c>
      <c r="E117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2" s="17" cm="1">
        <f t="array" aca="1" ref="H1172" ca="1">IndividualLegIVCore($A$4, Table133456[[#This Row],[Strike]], 0.0411, Table133456[[#This Row],[T]], ((Table133456[[#This Row],[BIDC]]+Table133456[[#This Row],[ASKC]])/2), TRUE)</f>
        <v>0.01</v>
      </c>
      <c r="I1172" t="b">
        <f>IF(     ISNUMBER(Table133456[[#This Row],[Strike]]),RTD("tos.rtd", , "BID", "."&amp;Table133456[[#This Row],[Ticker]]&amp;Table133456[[#This Row],[Expiry]]&amp;""&amp;"C"&amp;Table133456[[#This Row],[Strike]]))</f>
        <v>0</v>
      </c>
      <c r="J1172" t="b">
        <f>IF(     ISNUMBER(Table133456[[#This Row],[Strike]]),RTD("tos.rtd", , "ASK", "."&amp;Table133456[[#This Row],[Ticker]]&amp;Table133456[[#This Row],[Expiry]]&amp;""&amp;"C"&amp;Table133456[[#This Row],[Strike]]))</f>
        <v>0</v>
      </c>
      <c r="K1172" s="17"/>
      <c r="M1172" s="1">
        <f t="shared" si="115"/>
        <v>0</v>
      </c>
      <c r="N1172" t="b">
        <f t="shared" si="116"/>
        <v>0</v>
      </c>
      <c r="P1172" s="17" cm="1">
        <f t="array" aca="1" ref="P1172" ca="1">IndividualLegIVCore($A$4, Table133456[[#This Row],[Strike]], 0.0411, Table133456[[#This Row],[T]], ((Table133456[[#This Row],[BIDP]]+Table133456[[#This Row],[ASKP]])/2), FALSE)</f>
        <v>0.01</v>
      </c>
      <c r="Q1172" t="b">
        <f>IF(     ISNUMBER(Table133456[[#This Row],[Strike]]),RTD("tos.rtd", , "BID", "."&amp;Table133456[[#This Row],[Ticker]]&amp;Table133456[[#This Row],[Expiry]]&amp;""&amp;"P"&amp;Table133456[[#This Row],[Strike]]))</f>
        <v>0</v>
      </c>
      <c r="R1172" t="b">
        <f>IF(     ISNUMBER(Table133456[[#This Row],[Strike]]),RTD("tos.rtd", , "ASK", "."&amp;Table133456[[#This Row],[Ticker]]&amp;Table133456[[#This Row],[Expiry]]&amp;""&amp;"P"&amp;Table133456[[#This Row],[Strike]]))</f>
        <v>0</v>
      </c>
      <c r="S1172" s="17"/>
      <c r="T117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2" s="19">
        <f>23.5* IF($M$1="NDX", 10, IF(OR($M$1="SPX", $M$1="RUT"), 2, 1))</f>
        <v>47</v>
      </c>
      <c r="Z1172">
        <f ca="1">IFERROR(Table133456[[#This Row],[call gamma]]*(Table133456[[#This Row],[Open.Int]])*$A$4^2,0)</f>
        <v>0</v>
      </c>
      <c r="AA1172">
        <f ca="1">IFERROR(((Table133456[[#This Row],[Open.Int8]])*Table133456[[#This Row],[Put gamma]])*-1*$A$4^2,0)</f>
        <v>0</v>
      </c>
      <c r="AB1172">
        <f ca="1">(Table133456[[#This Row],[Call Gex]]+Table133456[[#This Row],[Put Gex]])</f>
        <v>0</v>
      </c>
      <c r="AC1172">
        <f ca="1">Table133456[[#This Row],[put delta adj]]+Table133456[[#This Row],[call delta adj]]</f>
        <v>0</v>
      </c>
      <c r="AD1172">
        <f ca="1">Table133456[[#This Row],[Put Gex]]*Table133456[[#This Row],[DeltaP]]*-1</f>
        <v>0</v>
      </c>
      <c r="AE1172">
        <f ca="1">Table133456[[#This Row],[Call Gex]]*Table133456[[#This Row],[DeltaC]]</f>
        <v>0</v>
      </c>
      <c r="AF1172">
        <f>IF(Table133456[[#This Row],[DeltaC]]-ABS(Table133456[[#This Row],[DeltaP]])="0","0.01",Table133456[[#This Row],[DeltaC]]-ABS(Table133456[[#This Row],[DeltaP]]))</f>
        <v>0</v>
      </c>
      <c r="AG117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2" t="e">
        <f ca="1">(EXP(-(AG1172^2)/2)/SQRT(2*PI())*EXP(0*SQRT(Table133456[[#This Row],[T]]))/$A$4*18%*SQRT(SQRT(Table133456[[#This Row],[T]])))</f>
        <v>#DIV/0!</v>
      </c>
      <c r="AJ1172" t="e">
        <f ca="1">(EXP(-(AH1172^2)/2)/SQRT(2*PI())*EXP(0*SQRT(Table133456[[#This Row],[T]]))/$A$4*18%*SQRT(SQRT(Table133456[[#This Row],[T]])))</f>
        <v>#DIV/0!</v>
      </c>
      <c r="AK1172" t="e">
        <f ca="1">Table133456[[#This Row],[Call D1]]-Table133456[[#This Row],[IV Calc C]]*SQRT(Table133456[[#This Row],[T]])</f>
        <v>#DIV/0!</v>
      </c>
      <c r="AL1172" t="e">
        <f ca="1">Table133456[[#This Row],[Put D1]]-Table133456[[#This Row],[IV Calc P]]*SQRT(Table133456[[#This Row],[T]])</f>
        <v>#DIV/0!</v>
      </c>
      <c r="AM1172" t="e">
        <f ca="1">EXP(-0.5*Table133456[[#This Row],[Call D1]]^2)/SQRT(2*PI())</f>
        <v>#DIV/0!</v>
      </c>
      <c r="AN1172" t="e">
        <f ca="1">EXP(-0.5*Table133456[[#This Row],[Put D1]]^2)/SQRT(2*PI())</f>
        <v>#DIV/0!</v>
      </c>
      <c r="AO117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2">
        <f ca="1">((Table133456[[#This Row],[call vanna]]+Table133456[[#This Row],[put vanna]])*$A$4)</f>
        <v>0</v>
      </c>
      <c r="AR117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2" s="9" t="str" cm="1">
        <f t="array" ref="AT1172">_xlfn.IFS(     $M$1="SPX","SPXW",     $M$1="RUT","RUTW",  $M$1="NDX","NDXP",   TRUE,$M$1 )</f>
        <v>SPXW</v>
      </c>
      <c r="AU1172" s="2">
        <f t="shared" si="117"/>
        <v>6915</v>
      </c>
      <c r="AV1172" t="str">
        <f t="shared" si="118"/>
        <v>000100</v>
      </c>
      <c r="AY117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2">
        <f>((Table133456[[#This Row],[High C]]+Table133456[[#This Row],[Low C]])/2)*Table133456[[#This Row],[gammac]]*Table133456[[#This Row],[Volume]]</f>
        <v>0</v>
      </c>
      <c r="BD1172">
        <f>((Table133456[[#This Row],[High P]]+Table133456[[#This Row],[Low P]])/2)*Table133456[[#This Row],[gammap]]*Table133456[[#This Row],[Volume9]]*-1</f>
        <v>0</v>
      </c>
      <c r="BE1172">
        <f>(Table133456[[#This Row],[SgammaC]]+Table133456[[#This Row],[SgammaP]])*$A$4*-100</f>
        <v>0</v>
      </c>
      <c r="BF1172">
        <f>Table133456[[#This Row],[DEXc]]+Table133456[[#This Row],[DEXp]]</f>
        <v>0</v>
      </c>
      <c r="BG1172">
        <f>IFERROR(Table133456[[#This Row],[DeltaC]]*Table133456[[#This Row],[Open.Int]]*$A$4,0)</f>
        <v>0</v>
      </c>
      <c r="BH1172">
        <f>IFERROR(Table133456[[#This Row],[DeltaP]]*Table133456[[#This Row],[Open.Int8]]*$A$4,0)</f>
        <v>0</v>
      </c>
      <c r="BI117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2">
        <f ca="1">Table133456[[#This Row],[charmc]]+Table133456[[#This Row],[charmp]]</f>
        <v>0</v>
      </c>
      <c r="BL117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2" s="78">
        <f ca="1">Table133456[[#This Row],[call helper]]+Table133456[[#This Row],[put helper]]</f>
        <v>0</v>
      </c>
      <c r="BP1172" t="str">
        <f>RTD("tos.rtd", , "STRIKE", "."&amp;Table133456[[#This Row],[Ticker]]&amp;Table133456[[#This Row],[Expiry]]&amp;""&amp;"C"&amp;Table133456[[#This Row],[Spot]]+Table133456[[#This Row],[step]])</f>
        <v>N/A</v>
      </c>
    </row>
    <row r="1173" spans="1:68" x14ac:dyDescent="0.25">
      <c r="A1173" s="14">
        <f t="shared" ca="1" si="114"/>
        <v>-126.14810350076104</v>
      </c>
      <c r="C1173" s="17"/>
      <c r="D1173" t="str">
        <f>RTD("tos.rtd", , "OPEN_INT", "."&amp;Table133456[[#This Row],[Ticker]]&amp;Table133456[[#This Row],[Expiry]]&amp;""&amp;"C"&amp;Table133456[[#This Row],[Spot]]+Table133456[[#This Row],[step]])</f>
        <v>N/A</v>
      </c>
      <c r="E117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3" s="17" cm="1">
        <f t="array" aca="1" ref="H1173" ca="1">IndividualLegIVCore($A$4, Table133456[[#This Row],[Strike]], 0.0411, Table133456[[#This Row],[T]], ((Table133456[[#This Row],[BIDC]]+Table133456[[#This Row],[ASKC]])/2), TRUE)</f>
        <v>0.01</v>
      </c>
      <c r="I1173" t="b">
        <f>IF(     ISNUMBER(Table133456[[#This Row],[Strike]]),RTD("tos.rtd", , "BID", "."&amp;Table133456[[#This Row],[Ticker]]&amp;Table133456[[#This Row],[Expiry]]&amp;""&amp;"C"&amp;Table133456[[#This Row],[Strike]]))</f>
        <v>0</v>
      </c>
      <c r="J1173" t="b">
        <f>IF(     ISNUMBER(Table133456[[#This Row],[Strike]]),RTD("tos.rtd", , "ASK", "."&amp;Table133456[[#This Row],[Ticker]]&amp;Table133456[[#This Row],[Expiry]]&amp;""&amp;"C"&amp;Table133456[[#This Row],[Strike]]))</f>
        <v>0</v>
      </c>
      <c r="K1173" s="17"/>
      <c r="M1173" s="1">
        <f t="shared" si="115"/>
        <v>0</v>
      </c>
      <c r="N1173" t="b">
        <f t="shared" si="116"/>
        <v>0</v>
      </c>
      <c r="P1173" s="17" cm="1">
        <f t="array" aca="1" ref="P1173" ca="1">IndividualLegIVCore($A$4, Table133456[[#This Row],[Strike]], 0.0411, Table133456[[#This Row],[T]], ((Table133456[[#This Row],[BIDP]]+Table133456[[#This Row],[ASKP]])/2), FALSE)</f>
        <v>0.01</v>
      </c>
      <c r="Q1173" t="b">
        <f>IF(     ISNUMBER(Table133456[[#This Row],[Strike]]),RTD("tos.rtd", , "BID", "."&amp;Table133456[[#This Row],[Ticker]]&amp;Table133456[[#This Row],[Expiry]]&amp;""&amp;"P"&amp;Table133456[[#This Row],[Strike]]))</f>
        <v>0</v>
      </c>
      <c r="R1173" t="b">
        <f>IF(     ISNUMBER(Table133456[[#This Row],[Strike]]),RTD("tos.rtd", , "ASK", "."&amp;Table133456[[#This Row],[Ticker]]&amp;Table133456[[#This Row],[Expiry]]&amp;""&amp;"P"&amp;Table133456[[#This Row],[Strike]]))</f>
        <v>0</v>
      </c>
      <c r="S1173" s="17"/>
      <c r="T117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3" s="19">
        <f>24* IF($M$1="NDX", 10, IF(OR($M$1="SPX", $M$1="RUT"), 2, 1))</f>
        <v>48</v>
      </c>
      <c r="Z1173">
        <f ca="1">IFERROR(Table133456[[#This Row],[call gamma]]*(Table133456[[#This Row],[Open.Int]])*$A$4^2,0)</f>
        <v>0</v>
      </c>
      <c r="AA1173">
        <f ca="1">IFERROR(((Table133456[[#This Row],[Open.Int8]])*Table133456[[#This Row],[Put gamma]])*-1*$A$4^2,0)</f>
        <v>0</v>
      </c>
      <c r="AB1173">
        <f ca="1">(Table133456[[#This Row],[Call Gex]]+Table133456[[#This Row],[Put Gex]])</f>
        <v>0</v>
      </c>
      <c r="AC1173">
        <f ca="1">Table133456[[#This Row],[put delta adj]]+Table133456[[#This Row],[call delta adj]]</f>
        <v>0</v>
      </c>
      <c r="AD1173">
        <f ca="1">Table133456[[#This Row],[Put Gex]]*Table133456[[#This Row],[DeltaP]]*-1</f>
        <v>0</v>
      </c>
      <c r="AE1173">
        <f ca="1">Table133456[[#This Row],[Call Gex]]*Table133456[[#This Row],[DeltaC]]</f>
        <v>0</v>
      </c>
      <c r="AF1173">
        <f>IF(Table133456[[#This Row],[DeltaC]]-ABS(Table133456[[#This Row],[DeltaP]])="0","0.01",Table133456[[#This Row],[DeltaC]]-ABS(Table133456[[#This Row],[DeltaP]]))</f>
        <v>0</v>
      </c>
      <c r="AG117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3" t="e">
        <f ca="1">(EXP(-(AG1173^2)/2)/SQRT(2*PI())*EXP(0*SQRT(Table133456[[#This Row],[T]]))/$A$4*18%*SQRT(SQRT(Table133456[[#This Row],[T]])))</f>
        <v>#DIV/0!</v>
      </c>
      <c r="AJ1173" t="e">
        <f ca="1">(EXP(-(AH1173^2)/2)/SQRT(2*PI())*EXP(0*SQRT(Table133456[[#This Row],[T]]))/$A$4*18%*SQRT(SQRT(Table133456[[#This Row],[T]])))</f>
        <v>#DIV/0!</v>
      </c>
      <c r="AK1173" t="e">
        <f ca="1">Table133456[[#This Row],[Call D1]]-Table133456[[#This Row],[IV Calc C]]*SQRT(Table133456[[#This Row],[T]])</f>
        <v>#DIV/0!</v>
      </c>
      <c r="AL1173" t="e">
        <f ca="1">Table133456[[#This Row],[Put D1]]-Table133456[[#This Row],[IV Calc P]]*SQRT(Table133456[[#This Row],[T]])</f>
        <v>#DIV/0!</v>
      </c>
      <c r="AM1173" t="e">
        <f ca="1">EXP(-0.5*Table133456[[#This Row],[Call D1]]^2)/SQRT(2*PI())</f>
        <v>#DIV/0!</v>
      </c>
      <c r="AN1173" t="e">
        <f ca="1">EXP(-0.5*Table133456[[#This Row],[Put D1]]^2)/SQRT(2*PI())</f>
        <v>#DIV/0!</v>
      </c>
      <c r="AO117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3">
        <f ca="1">((Table133456[[#This Row],[call vanna]]+Table133456[[#This Row],[put vanna]])*$A$4)</f>
        <v>0</v>
      </c>
      <c r="AR117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3" s="9" t="str" cm="1">
        <f t="array" ref="AT1173">_xlfn.IFS(     $M$1="SPX","SPXW",     $M$1="RUT","RUTW",  $M$1="NDX","NDXP",   TRUE,$M$1 )</f>
        <v>SPXW</v>
      </c>
      <c r="AU1173" s="2">
        <f t="shared" si="117"/>
        <v>6915</v>
      </c>
      <c r="AV1173" t="str">
        <f t="shared" si="118"/>
        <v>000100</v>
      </c>
      <c r="AY117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3">
        <f>((Table133456[[#This Row],[High C]]+Table133456[[#This Row],[Low C]])/2)*Table133456[[#This Row],[gammac]]*Table133456[[#This Row],[Volume]]</f>
        <v>0</v>
      </c>
      <c r="BD1173">
        <f>((Table133456[[#This Row],[High P]]+Table133456[[#This Row],[Low P]])/2)*Table133456[[#This Row],[gammap]]*Table133456[[#This Row],[Volume9]]*-1</f>
        <v>0</v>
      </c>
      <c r="BE1173">
        <f>(Table133456[[#This Row],[SgammaC]]+Table133456[[#This Row],[SgammaP]])*$A$4*-100</f>
        <v>0</v>
      </c>
      <c r="BF1173">
        <f>Table133456[[#This Row],[DEXc]]+Table133456[[#This Row],[DEXp]]</f>
        <v>0</v>
      </c>
      <c r="BG1173">
        <f>IFERROR(Table133456[[#This Row],[DeltaC]]*Table133456[[#This Row],[Open.Int]]*$A$4,0)</f>
        <v>0</v>
      </c>
      <c r="BH1173">
        <f>IFERROR(Table133456[[#This Row],[DeltaP]]*Table133456[[#This Row],[Open.Int8]]*$A$4,0)</f>
        <v>0</v>
      </c>
      <c r="BI117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3">
        <f ca="1">Table133456[[#This Row],[charmc]]+Table133456[[#This Row],[charmp]]</f>
        <v>0</v>
      </c>
      <c r="BL117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3" s="78">
        <f ca="1">Table133456[[#This Row],[call helper]]+Table133456[[#This Row],[put helper]]</f>
        <v>0</v>
      </c>
      <c r="BP1173" t="str">
        <f>RTD("tos.rtd", , "STRIKE", "."&amp;Table133456[[#This Row],[Ticker]]&amp;Table133456[[#This Row],[Expiry]]&amp;""&amp;"C"&amp;Table133456[[#This Row],[Spot]]+Table133456[[#This Row],[step]])</f>
        <v>N/A</v>
      </c>
    </row>
    <row r="1174" spans="1:68" x14ac:dyDescent="0.25">
      <c r="A1174" s="14">
        <f t="shared" ca="1" si="114"/>
        <v>-126.14810350076104</v>
      </c>
      <c r="C1174" s="17"/>
      <c r="D1174" t="str">
        <f>RTD("tos.rtd", , "OPEN_INT", "."&amp;Table133456[[#This Row],[Ticker]]&amp;Table133456[[#This Row],[Expiry]]&amp;""&amp;"C"&amp;Table133456[[#This Row],[Spot]]+Table133456[[#This Row],[step]])</f>
        <v>N/A</v>
      </c>
      <c r="E117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4" s="17" cm="1">
        <f t="array" aca="1" ref="H1174" ca="1">IndividualLegIVCore($A$4, Table133456[[#This Row],[Strike]], 0.0411, Table133456[[#This Row],[T]], ((Table133456[[#This Row],[BIDC]]+Table133456[[#This Row],[ASKC]])/2), TRUE)</f>
        <v>0.01</v>
      </c>
      <c r="I1174" t="b">
        <f>IF(     ISNUMBER(Table133456[[#This Row],[Strike]]),RTD("tos.rtd", , "BID", "."&amp;Table133456[[#This Row],[Ticker]]&amp;Table133456[[#This Row],[Expiry]]&amp;""&amp;"C"&amp;Table133456[[#This Row],[Strike]]))</f>
        <v>0</v>
      </c>
      <c r="J1174" t="b">
        <f>IF(     ISNUMBER(Table133456[[#This Row],[Strike]]),RTD("tos.rtd", , "ASK", "."&amp;Table133456[[#This Row],[Ticker]]&amp;Table133456[[#This Row],[Expiry]]&amp;""&amp;"C"&amp;Table133456[[#This Row],[Strike]]))</f>
        <v>0</v>
      </c>
      <c r="K1174" s="17"/>
      <c r="M1174" s="1">
        <f t="shared" si="115"/>
        <v>0</v>
      </c>
      <c r="N1174" t="b">
        <f t="shared" si="116"/>
        <v>0</v>
      </c>
      <c r="P1174" s="17" cm="1">
        <f t="array" aca="1" ref="P1174" ca="1">IndividualLegIVCore($A$4, Table133456[[#This Row],[Strike]], 0.0411, Table133456[[#This Row],[T]], ((Table133456[[#This Row],[BIDP]]+Table133456[[#This Row],[ASKP]])/2), FALSE)</f>
        <v>0.01</v>
      </c>
      <c r="Q1174" t="b">
        <f>IF(     ISNUMBER(Table133456[[#This Row],[Strike]]),RTD("tos.rtd", , "BID", "."&amp;Table133456[[#This Row],[Ticker]]&amp;Table133456[[#This Row],[Expiry]]&amp;""&amp;"P"&amp;Table133456[[#This Row],[Strike]]))</f>
        <v>0</v>
      </c>
      <c r="R1174" t="b">
        <f>IF(     ISNUMBER(Table133456[[#This Row],[Strike]]),RTD("tos.rtd", , "ASK", "."&amp;Table133456[[#This Row],[Ticker]]&amp;Table133456[[#This Row],[Expiry]]&amp;""&amp;"P"&amp;Table133456[[#This Row],[Strike]]))</f>
        <v>0</v>
      </c>
      <c r="S1174" s="17"/>
      <c r="T117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4" s="19">
        <f>24.5* IF($M$1="NDX", 10, IF(OR($M$1="SPX", $M$1="RUT"), 2, 1))</f>
        <v>49</v>
      </c>
      <c r="Z1174">
        <f ca="1">IFERROR(Table133456[[#This Row],[call gamma]]*(Table133456[[#This Row],[Open.Int]])*$A$4^2,0)</f>
        <v>0</v>
      </c>
      <c r="AA1174">
        <f ca="1">IFERROR(((Table133456[[#This Row],[Open.Int8]])*Table133456[[#This Row],[Put gamma]])*-1*$A$4^2,0)</f>
        <v>0</v>
      </c>
      <c r="AB1174">
        <f ca="1">(Table133456[[#This Row],[Call Gex]]+Table133456[[#This Row],[Put Gex]])</f>
        <v>0</v>
      </c>
      <c r="AC1174">
        <f ca="1">Table133456[[#This Row],[put delta adj]]+Table133456[[#This Row],[call delta adj]]</f>
        <v>0</v>
      </c>
      <c r="AD1174">
        <f ca="1">Table133456[[#This Row],[Put Gex]]*Table133456[[#This Row],[DeltaP]]*-1</f>
        <v>0</v>
      </c>
      <c r="AE1174">
        <f ca="1">Table133456[[#This Row],[Call Gex]]*Table133456[[#This Row],[DeltaC]]</f>
        <v>0</v>
      </c>
      <c r="AF1174">
        <f>IF(Table133456[[#This Row],[DeltaC]]-ABS(Table133456[[#This Row],[DeltaP]])="0","0.01",Table133456[[#This Row],[DeltaC]]-ABS(Table133456[[#This Row],[DeltaP]]))</f>
        <v>0</v>
      </c>
      <c r="AG117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4" t="e">
        <f ca="1">(EXP(-(AG1174^2)/2)/SQRT(2*PI())*EXP(0*SQRT(Table133456[[#This Row],[T]]))/$A$4*18%*SQRT(SQRT(Table133456[[#This Row],[T]])))</f>
        <v>#DIV/0!</v>
      </c>
      <c r="AJ1174" t="e">
        <f ca="1">(EXP(-(AH1174^2)/2)/SQRT(2*PI())*EXP(0*SQRT(Table133456[[#This Row],[T]]))/$A$4*18%*SQRT(SQRT(Table133456[[#This Row],[T]])))</f>
        <v>#DIV/0!</v>
      </c>
      <c r="AK1174" t="e">
        <f ca="1">Table133456[[#This Row],[Call D1]]-Table133456[[#This Row],[IV Calc C]]*SQRT(Table133456[[#This Row],[T]])</f>
        <v>#DIV/0!</v>
      </c>
      <c r="AL1174" t="e">
        <f ca="1">Table133456[[#This Row],[Put D1]]-Table133456[[#This Row],[IV Calc P]]*SQRT(Table133456[[#This Row],[T]])</f>
        <v>#DIV/0!</v>
      </c>
      <c r="AM1174" t="e">
        <f ca="1">EXP(-0.5*Table133456[[#This Row],[Call D1]]^2)/SQRT(2*PI())</f>
        <v>#DIV/0!</v>
      </c>
      <c r="AN1174" t="e">
        <f ca="1">EXP(-0.5*Table133456[[#This Row],[Put D1]]^2)/SQRT(2*PI())</f>
        <v>#DIV/0!</v>
      </c>
      <c r="AO117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4">
        <f ca="1">((Table133456[[#This Row],[call vanna]]+Table133456[[#This Row],[put vanna]])*$A$4)</f>
        <v>0</v>
      </c>
      <c r="AR117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4" s="9" t="str" cm="1">
        <f t="array" ref="AT1174">_xlfn.IFS(     $M$1="SPX","SPXW",     $M$1="RUT","RUTW",  $M$1="NDX","NDXP",   TRUE,$M$1 )</f>
        <v>SPXW</v>
      </c>
      <c r="AU1174" s="2">
        <f t="shared" si="117"/>
        <v>6915</v>
      </c>
      <c r="AV1174" t="str">
        <f t="shared" si="118"/>
        <v>000100</v>
      </c>
      <c r="AY117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4">
        <f>((Table133456[[#This Row],[High C]]+Table133456[[#This Row],[Low C]])/2)*Table133456[[#This Row],[gammac]]*Table133456[[#This Row],[Volume]]</f>
        <v>0</v>
      </c>
      <c r="BD1174">
        <f>((Table133456[[#This Row],[High P]]+Table133456[[#This Row],[Low P]])/2)*Table133456[[#This Row],[gammap]]*Table133456[[#This Row],[Volume9]]*-1</f>
        <v>0</v>
      </c>
      <c r="BE1174">
        <f>(Table133456[[#This Row],[SgammaC]]+Table133456[[#This Row],[SgammaP]])*$A$4*-100</f>
        <v>0</v>
      </c>
      <c r="BF1174">
        <f>Table133456[[#This Row],[DEXc]]+Table133456[[#This Row],[DEXp]]</f>
        <v>0</v>
      </c>
      <c r="BG1174">
        <f>IFERROR(Table133456[[#This Row],[DeltaC]]*Table133456[[#This Row],[Open.Int]]*$A$4,0)</f>
        <v>0</v>
      </c>
      <c r="BH1174">
        <f>IFERROR(Table133456[[#This Row],[DeltaP]]*Table133456[[#This Row],[Open.Int8]]*$A$4,0)</f>
        <v>0</v>
      </c>
      <c r="BI117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4">
        <f ca="1">Table133456[[#This Row],[charmc]]+Table133456[[#This Row],[charmp]]</f>
        <v>0</v>
      </c>
      <c r="BL117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4" s="78">
        <f ca="1">Table133456[[#This Row],[call helper]]+Table133456[[#This Row],[put helper]]</f>
        <v>0</v>
      </c>
      <c r="BP1174" t="str">
        <f>RTD("tos.rtd", , "STRIKE", "."&amp;Table133456[[#This Row],[Ticker]]&amp;Table133456[[#This Row],[Expiry]]&amp;""&amp;"C"&amp;Table133456[[#This Row],[Spot]]+Table133456[[#This Row],[step]])</f>
        <v>N/A</v>
      </c>
    </row>
    <row r="1175" spans="1:68" x14ac:dyDescent="0.25">
      <c r="A1175" s="14">
        <f t="shared" ca="1" si="114"/>
        <v>-126.14810350076104</v>
      </c>
      <c r="C1175" s="17"/>
      <c r="D1175" t="str">
        <f>RTD("tos.rtd", , "OPEN_INT", "."&amp;Table133456[[#This Row],[Ticker]]&amp;Table133456[[#This Row],[Expiry]]&amp;""&amp;"C"&amp;Table133456[[#This Row],[Spot]]+Table133456[[#This Row],[step]])</f>
        <v>N/A</v>
      </c>
      <c r="E117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5" s="17" cm="1">
        <f t="array" aca="1" ref="H1175" ca="1">IndividualLegIVCore($A$4, Table133456[[#This Row],[Strike]], 0.0411, Table133456[[#This Row],[T]], ((Table133456[[#This Row],[BIDC]]+Table133456[[#This Row],[ASKC]])/2), TRUE)</f>
        <v>0.01</v>
      </c>
      <c r="I1175" t="b">
        <f>IF(     ISNUMBER(Table133456[[#This Row],[Strike]]),RTD("tos.rtd", , "BID", "."&amp;Table133456[[#This Row],[Ticker]]&amp;Table133456[[#This Row],[Expiry]]&amp;""&amp;"C"&amp;Table133456[[#This Row],[Strike]]))</f>
        <v>0</v>
      </c>
      <c r="J1175" t="b">
        <f>IF(     ISNUMBER(Table133456[[#This Row],[Strike]]),RTD("tos.rtd", , "ASK", "."&amp;Table133456[[#This Row],[Ticker]]&amp;Table133456[[#This Row],[Expiry]]&amp;""&amp;"C"&amp;Table133456[[#This Row],[Strike]]))</f>
        <v>0</v>
      </c>
      <c r="K1175" s="17"/>
      <c r="M1175" s="1">
        <f t="shared" si="115"/>
        <v>0</v>
      </c>
      <c r="N1175" t="b">
        <f t="shared" si="116"/>
        <v>0</v>
      </c>
      <c r="P1175" s="17" cm="1">
        <f t="array" aca="1" ref="P1175" ca="1">IndividualLegIVCore($A$4, Table133456[[#This Row],[Strike]], 0.0411, Table133456[[#This Row],[T]], ((Table133456[[#This Row],[BIDP]]+Table133456[[#This Row],[ASKP]])/2), FALSE)</f>
        <v>0.01</v>
      </c>
      <c r="Q1175" t="b">
        <f>IF(     ISNUMBER(Table133456[[#This Row],[Strike]]),RTD("tos.rtd", , "BID", "."&amp;Table133456[[#This Row],[Ticker]]&amp;Table133456[[#This Row],[Expiry]]&amp;""&amp;"P"&amp;Table133456[[#This Row],[Strike]]))</f>
        <v>0</v>
      </c>
      <c r="R1175" t="b">
        <f>IF(     ISNUMBER(Table133456[[#This Row],[Strike]]),RTD("tos.rtd", , "ASK", "."&amp;Table133456[[#This Row],[Ticker]]&amp;Table133456[[#This Row],[Expiry]]&amp;""&amp;"P"&amp;Table133456[[#This Row],[Strike]]))</f>
        <v>0</v>
      </c>
      <c r="S1175" s="17"/>
      <c r="T117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5" s="19">
        <f>25* IF($M$1="NDX", 10, IF(OR($M$1="SPX", $M$1="RUT"), 2, 1))</f>
        <v>50</v>
      </c>
      <c r="Z1175">
        <f ca="1">IFERROR(Table133456[[#This Row],[call gamma]]*(Table133456[[#This Row],[Open.Int]])*$A$4^2,0)</f>
        <v>0</v>
      </c>
      <c r="AA1175">
        <f ca="1">IFERROR(((Table133456[[#This Row],[Open.Int8]])*Table133456[[#This Row],[Put gamma]])*-1*$A$4^2,0)</f>
        <v>0</v>
      </c>
      <c r="AB1175">
        <f ca="1">(Table133456[[#This Row],[Call Gex]]+Table133456[[#This Row],[Put Gex]])</f>
        <v>0</v>
      </c>
      <c r="AC1175">
        <f ca="1">Table133456[[#This Row],[put delta adj]]+Table133456[[#This Row],[call delta adj]]</f>
        <v>0</v>
      </c>
      <c r="AD1175">
        <f ca="1">Table133456[[#This Row],[Put Gex]]*Table133456[[#This Row],[DeltaP]]*-1</f>
        <v>0</v>
      </c>
      <c r="AE1175">
        <f ca="1">Table133456[[#This Row],[Call Gex]]*Table133456[[#This Row],[DeltaC]]</f>
        <v>0</v>
      </c>
      <c r="AF1175">
        <f>IF(Table133456[[#This Row],[DeltaC]]-ABS(Table133456[[#This Row],[DeltaP]])="0","0.01",Table133456[[#This Row],[DeltaC]]-ABS(Table133456[[#This Row],[DeltaP]]))</f>
        <v>0</v>
      </c>
      <c r="AG117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5" t="e">
        <f ca="1">(EXP(-(AG1175^2)/2)/SQRT(2*PI())*EXP(0*SQRT(Table133456[[#This Row],[T]]))/$A$4*18%*SQRT(SQRT(Table133456[[#This Row],[T]])))</f>
        <v>#DIV/0!</v>
      </c>
      <c r="AJ1175" t="e">
        <f ca="1">(EXP(-(AH1175^2)/2)/SQRT(2*PI())*EXP(0*SQRT(Table133456[[#This Row],[T]]))/$A$4*18%*SQRT(SQRT(Table133456[[#This Row],[T]])))</f>
        <v>#DIV/0!</v>
      </c>
      <c r="AK1175" t="e">
        <f ca="1">Table133456[[#This Row],[Call D1]]-Table133456[[#This Row],[IV Calc C]]*SQRT(Table133456[[#This Row],[T]])</f>
        <v>#DIV/0!</v>
      </c>
      <c r="AL1175" t="e">
        <f ca="1">Table133456[[#This Row],[Put D1]]-Table133456[[#This Row],[IV Calc P]]*SQRT(Table133456[[#This Row],[T]])</f>
        <v>#DIV/0!</v>
      </c>
      <c r="AM1175" t="e">
        <f ca="1">EXP(-0.5*Table133456[[#This Row],[Call D1]]^2)/SQRT(2*PI())</f>
        <v>#DIV/0!</v>
      </c>
      <c r="AN1175" t="e">
        <f ca="1">EXP(-0.5*Table133456[[#This Row],[Put D1]]^2)/SQRT(2*PI())</f>
        <v>#DIV/0!</v>
      </c>
      <c r="AO117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5">
        <f ca="1">((Table133456[[#This Row],[call vanna]]+Table133456[[#This Row],[put vanna]])*$A$4)</f>
        <v>0</v>
      </c>
      <c r="AR117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5" s="9" t="str" cm="1">
        <f t="array" ref="AT1175">_xlfn.IFS(     $M$1="SPX","SPXW",     $M$1="RUT","RUTW",  $M$1="NDX","NDXP",   TRUE,$M$1 )</f>
        <v>SPXW</v>
      </c>
      <c r="AU1175" s="2">
        <f t="shared" si="117"/>
        <v>6915</v>
      </c>
      <c r="AV1175" t="str">
        <f t="shared" si="118"/>
        <v>000100</v>
      </c>
      <c r="AY117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5">
        <f>((Table133456[[#This Row],[High C]]+Table133456[[#This Row],[Low C]])/2)*Table133456[[#This Row],[gammac]]*Table133456[[#This Row],[Volume]]</f>
        <v>0</v>
      </c>
      <c r="BD1175">
        <f>((Table133456[[#This Row],[High P]]+Table133456[[#This Row],[Low P]])/2)*Table133456[[#This Row],[gammap]]*Table133456[[#This Row],[Volume9]]*-1</f>
        <v>0</v>
      </c>
      <c r="BE1175">
        <f>(Table133456[[#This Row],[SgammaC]]+Table133456[[#This Row],[SgammaP]])*$A$4*-100</f>
        <v>0</v>
      </c>
      <c r="BF1175">
        <f>Table133456[[#This Row],[DEXc]]+Table133456[[#This Row],[DEXp]]</f>
        <v>0</v>
      </c>
      <c r="BG1175">
        <f>IFERROR(Table133456[[#This Row],[DeltaC]]*Table133456[[#This Row],[Open.Int]]*$A$4,0)</f>
        <v>0</v>
      </c>
      <c r="BH1175">
        <f>IFERROR(Table133456[[#This Row],[DeltaP]]*Table133456[[#This Row],[Open.Int8]]*$A$4,0)</f>
        <v>0</v>
      </c>
      <c r="BI117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5">
        <f ca="1">Table133456[[#This Row],[charmc]]+Table133456[[#This Row],[charmp]]</f>
        <v>0</v>
      </c>
      <c r="BL117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5" s="78">
        <f ca="1">Table133456[[#This Row],[call helper]]+Table133456[[#This Row],[put helper]]</f>
        <v>0</v>
      </c>
      <c r="BP1175" t="str">
        <f>RTD("tos.rtd", , "STRIKE", "."&amp;Table133456[[#This Row],[Ticker]]&amp;Table133456[[#This Row],[Expiry]]&amp;""&amp;"C"&amp;Table133456[[#This Row],[Spot]]+Table133456[[#This Row],[step]])</f>
        <v>N/A</v>
      </c>
    </row>
    <row r="1176" spans="1:68" x14ac:dyDescent="0.25">
      <c r="A1176" s="14">
        <f t="shared" ca="1" si="114"/>
        <v>-126.14810350076104</v>
      </c>
      <c r="C1176" s="17"/>
      <c r="D1176" t="str">
        <f>RTD("tos.rtd", , "OPEN_INT", "."&amp;Table133456[[#This Row],[Ticker]]&amp;Table133456[[#This Row],[Expiry]]&amp;""&amp;"C"&amp;Table133456[[#This Row],[Spot]]+Table133456[[#This Row],[step]])</f>
        <v>N/A</v>
      </c>
      <c r="E117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6" s="17" cm="1">
        <f t="array" aca="1" ref="H1176" ca="1">IndividualLegIVCore($A$4, Table133456[[#This Row],[Strike]], 0.0411, Table133456[[#This Row],[T]], ((Table133456[[#This Row],[BIDC]]+Table133456[[#This Row],[ASKC]])/2), TRUE)</f>
        <v>0.01</v>
      </c>
      <c r="I1176" t="b">
        <f>IF(     ISNUMBER(Table133456[[#This Row],[Strike]]),RTD("tos.rtd", , "BID", "."&amp;Table133456[[#This Row],[Ticker]]&amp;Table133456[[#This Row],[Expiry]]&amp;""&amp;"C"&amp;Table133456[[#This Row],[Strike]]))</f>
        <v>0</v>
      </c>
      <c r="J1176" t="b">
        <f>IF(     ISNUMBER(Table133456[[#This Row],[Strike]]),RTD("tos.rtd", , "ASK", "."&amp;Table133456[[#This Row],[Ticker]]&amp;Table133456[[#This Row],[Expiry]]&amp;""&amp;"C"&amp;Table133456[[#This Row],[Strike]]))</f>
        <v>0</v>
      </c>
      <c r="K1176" s="17"/>
      <c r="M1176" s="1">
        <f t="shared" si="115"/>
        <v>0</v>
      </c>
      <c r="N1176" t="b">
        <f t="shared" si="116"/>
        <v>0</v>
      </c>
      <c r="P1176" s="17" cm="1">
        <f t="array" aca="1" ref="P1176" ca="1">IndividualLegIVCore($A$4, Table133456[[#This Row],[Strike]], 0.0411, Table133456[[#This Row],[T]], ((Table133456[[#This Row],[BIDP]]+Table133456[[#This Row],[ASKP]])/2), FALSE)</f>
        <v>0.01</v>
      </c>
      <c r="Q1176" t="b">
        <f>IF(     ISNUMBER(Table133456[[#This Row],[Strike]]),RTD("tos.rtd", , "BID", "."&amp;Table133456[[#This Row],[Ticker]]&amp;Table133456[[#This Row],[Expiry]]&amp;""&amp;"P"&amp;Table133456[[#This Row],[Strike]]))</f>
        <v>0</v>
      </c>
      <c r="R1176" t="b">
        <f>IF(     ISNUMBER(Table133456[[#This Row],[Strike]]),RTD("tos.rtd", , "ASK", "."&amp;Table133456[[#This Row],[Ticker]]&amp;Table133456[[#This Row],[Expiry]]&amp;""&amp;"P"&amp;Table133456[[#This Row],[Strike]]))</f>
        <v>0</v>
      </c>
      <c r="S1176" s="17"/>
      <c r="T117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6" s="19">
        <f>25.5* IF($M$1="NDX", 10, IF(OR($M$1="SPX", $M$1="RUT"), 2, 1))</f>
        <v>51</v>
      </c>
      <c r="Z1176">
        <f ca="1">IFERROR(Table133456[[#This Row],[call gamma]]*(Table133456[[#This Row],[Open.Int]])*$A$4^2,0)</f>
        <v>0</v>
      </c>
      <c r="AA1176">
        <f ca="1">IFERROR(((Table133456[[#This Row],[Open.Int8]])*Table133456[[#This Row],[Put gamma]])*-1*$A$4^2,0)</f>
        <v>0</v>
      </c>
      <c r="AB1176">
        <f ca="1">(Table133456[[#This Row],[Call Gex]]+Table133456[[#This Row],[Put Gex]])</f>
        <v>0</v>
      </c>
      <c r="AC1176">
        <f ca="1">Table133456[[#This Row],[put delta adj]]+Table133456[[#This Row],[call delta adj]]</f>
        <v>0</v>
      </c>
      <c r="AD1176">
        <f ca="1">Table133456[[#This Row],[Put Gex]]*Table133456[[#This Row],[DeltaP]]*-1</f>
        <v>0</v>
      </c>
      <c r="AE1176">
        <f ca="1">Table133456[[#This Row],[Call Gex]]*Table133456[[#This Row],[DeltaC]]</f>
        <v>0</v>
      </c>
      <c r="AF1176">
        <f>IF(Table133456[[#This Row],[DeltaC]]-ABS(Table133456[[#This Row],[DeltaP]])="0","0.01",Table133456[[#This Row],[DeltaC]]-ABS(Table133456[[#This Row],[DeltaP]]))</f>
        <v>0</v>
      </c>
      <c r="AG117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6" t="e">
        <f ca="1">(EXP(-(AG1176^2)/2)/SQRT(2*PI())*EXP(0*SQRT(Table133456[[#This Row],[T]]))/$A$4*18%*SQRT(SQRT(Table133456[[#This Row],[T]])))</f>
        <v>#DIV/0!</v>
      </c>
      <c r="AJ1176" t="e">
        <f ca="1">(EXP(-(AH1176^2)/2)/SQRT(2*PI())*EXP(0*SQRT(Table133456[[#This Row],[T]]))/$A$4*18%*SQRT(SQRT(Table133456[[#This Row],[T]])))</f>
        <v>#DIV/0!</v>
      </c>
      <c r="AK1176" t="e">
        <f ca="1">Table133456[[#This Row],[Call D1]]-Table133456[[#This Row],[IV Calc C]]*SQRT(Table133456[[#This Row],[T]])</f>
        <v>#DIV/0!</v>
      </c>
      <c r="AL1176" t="e">
        <f ca="1">Table133456[[#This Row],[Put D1]]-Table133456[[#This Row],[IV Calc P]]*SQRT(Table133456[[#This Row],[T]])</f>
        <v>#DIV/0!</v>
      </c>
      <c r="AM1176" t="e">
        <f ca="1">EXP(-0.5*Table133456[[#This Row],[Call D1]]^2)/SQRT(2*PI())</f>
        <v>#DIV/0!</v>
      </c>
      <c r="AN1176" t="e">
        <f ca="1">EXP(-0.5*Table133456[[#This Row],[Put D1]]^2)/SQRT(2*PI())</f>
        <v>#DIV/0!</v>
      </c>
      <c r="AO117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6">
        <f ca="1">((Table133456[[#This Row],[call vanna]]+Table133456[[#This Row],[put vanna]])*$A$4)</f>
        <v>0</v>
      </c>
      <c r="AR117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6" s="9" t="str" cm="1">
        <f t="array" ref="AT1176">_xlfn.IFS(     $M$1="SPX","SPXW",     $M$1="RUT","RUTW",  $M$1="NDX","NDXP",   TRUE,$M$1 )</f>
        <v>SPXW</v>
      </c>
      <c r="AU1176" s="2">
        <f t="shared" si="117"/>
        <v>6915</v>
      </c>
      <c r="AV1176" t="str">
        <f t="shared" si="118"/>
        <v>000100</v>
      </c>
      <c r="AY117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6">
        <f>((Table133456[[#This Row],[High C]]+Table133456[[#This Row],[Low C]])/2)*Table133456[[#This Row],[gammac]]*Table133456[[#This Row],[Volume]]</f>
        <v>0</v>
      </c>
      <c r="BD1176">
        <f>((Table133456[[#This Row],[High P]]+Table133456[[#This Row],[Low P]])/2)*Table133456[[#This Row],[gammap]]*Table133456[[#This Row],[Volume9]]*-1</f>
        <v>0</v>
      </c>
      <c r="BE1176">
        <f>(Table133456[[#This Row],[SgammaC]]+Table133456[[#This Row],[SgammaP]])*$A$4*-100</f>
        <v>0</v>
      </c>
      <c r="BF1176">
        <f>Table133456[[#This Row],[DEXc]]+Table133456[[#This Row],[DEXp]]</f>
        <v>0</v>
      </c>
      <c r="BG1176">
        <f>IFERROR(Table133456[[#This Row],[DeltaC]]*Table133456[[#This Row],[Open.Int]]*$A$4,0)</f>
        <v>0</v>
      </c>
      <c r="BH1176">
        <f>IFERROR(Table133456[[#This Row],[DeltaP]]*Table133456[[#This Row],[Open.Int8]]*$A$4,0)</f>
        <v>0</v>
      </c>
      <c r="BI117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6">
        <f ca="1">Table133456[[#This Row],[charmc]]+Table133456[[#This Row],[charmp]]</f>
        <v>0</v>
      </c>
      <c r="BL117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6" s="78">
        <f ca="1">Table133456[[#This Row],[call helper]]+Table133456[[#This Row],[put helper]]</f>
        <v>0</v>
      </c>
      <c r="BP1176" t="str">
        <f>RTD("tos.rtd", , "STRIKE", "."&amp;Table133456[[#This Row],[Ticker]]&amp;Table133456[[#This Row],[Expiry]]&amp;""&amp;"C"&amp;Table133456[[#This Row],[Spot]]+Table133456[[#This Row],[step]])</f>
        <v>N/A</v>
      </c>
    </row>
    <row r="1177" spans="1:68" x14ac:dyDescent="0.25">
      <c r="A1177" s="14">
        <f t="shared" ca="1" si="114"/>
        <v>-126.14810350076104</v>
      </c>
      <c r="C1177" s="17"/>
      <c r="D1177" t="str">
        <f>RTD("tos.rtd", , "OPEN_INT", "."&amp;Table133456[[#This Row],[Ticker]]&amp;Table133456[[#This Row],[Expiry]]&amp;""&amp;"C"&amp;Table133456[[#This Row],[Spot]]+Table133456[[#This Row],[step]])</f>
        <v>N/A</v>
      </c>
      <c r="E117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7" s="17" cm="1">
        <f t="array" aca="1" ref="H1177" ca="1">IndividualLegIVCore($A$4, Table133456[[#This Row],[Strike]], 0.0411, Table133456[[#This Row],[T]], ((Table133456[[#This Row],[BIDC]]+Table133456[[#This Row],[ASKC]])/2), TRUE)</f>
        <v>0.01</v>
      </c>
      <c r="I1177" t="b">
        <f>IF(     ISNUMBER(Table133456[[#This Row],[Strike]]),RTD("tos.rtd", , "BID", "."&amp;Table133456[[#This Row],[Ticker]]&amp;Table133456[[#This Row],[Expiry]]&amp;""&amp;"C"&amp;Table133456[[#This Row],[Strike]]))</f>
        <v>0</v>
      </c>
      <c r="J1177" t="b">
        <f>IF(     ISNUMBER(Table133456[[#This Row],[Strike]]),RTD("tos.rtd", , "ASK", "."&amp;Table133456[[#This Row],[Ticker]]&amp;Table133456[[#This Row],[Expiry]]&amp;""&amp;"C"&amp;Table133456[[#This Row],[Strike]]))</f>
        <v>0</v>
      </c>
      <c r="K1177" s="17"/>
      <c r="M1177" s="1">
        <f t="shared" si="115"/>
        <v>0</v>
      </c>
      <c r="N1177" t="b">
        <f t="shared" si="116"/>
        <v>0</v>
      </c>
      <c r="P1177" s="17" cm="1">
        <f t="array" aca="1" ref="P1177" ca="1">IndividualLegIVCore($A$4, Table133456[[#This Row],[Strike]], 0.0411, Table133456[[#This Row],[T]], ((Table133456[[#This Row],[BIDP]]+Table133456[[#This Row],[ASKP]])/2), FALSE)</f>
        <v>0.01</v>
      </c>
      <c r="Q1177" t="b">
        <f>IF(     ISNUMBER(Table133456[[#This Row],[Strike]]),RTD("tos.rtd", , "BID", "."&amp;Table133456[[#This Row],[Ticker]]&amp;Table133456[[#This Row],[Expiry]]&amp;""&amp;"P"&amp;Table133456[[#This Row],[Strike]]))</f>
        <v>0</v>
      </c>
      <c r="R1177" t="b">
        <f>IF(     ISNUMBER(Table133456[[#This Row],[Strike]]),RTD("tos.rtd", , "ASK", "."&amp;Table133456[[#This Row],[Ticker]]&amp;Table133456[[#This Row],[Expiry]]&amp;""&amp;"P"&amp;Table133456[[#This Row],[Strike]]))</f>
        <v>0</v>
      </c>
      <c r="S1177" s="17"/>
      <c r="T117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7" s="19">
        <f>26* IF($M$1="NDX", 10, IF(OR($M$1="SPX", $M$1="RUT"), 2, 1))</f>
        <v>52</v>
      </c>
      <c r="Z1177">
        <f ca="1">IFERROR(Table133456[[#This Row],[call gamma]]*(Table133456[[#This Row],[Open.Int]])*$A$4^2,0)</f>
        <v>0</v>
      </c>
      <c r="AA1177">
        <f ca="1">IFERROR(((Table133456[[#This Row],[Open.Int8]])*Table133456[[#This Row],[Put gamma]])*-1*$A$4^2,0)</f>
        <v>0</v>
      </c>
      <c r="AB1177">
        <f ca="1">(Table133456[[#This Row],[Call Gex]]+Table133456[[#This Row],[Put Gex]])</f>
        <v>0</v>
      </c>
      <c r="AC1177">
        <f ca="1">Table133456[[#This Row],[put delta adj]]+Table133456[[#This Row],[call delta adj]]</f>
        <v>0</v>
      </c>
      <c r="AD1177">
        <f ca="1">Table133456[[#This Row],[Put Gex]]*Table133456[[#This Row],[DeltaP]]*-1</f>
        <v>0</v>
      </c>
      <c r="AE1177">
        <f ca="1">Table133456[[#This Row],[Call Gex]]*Table133456[[#This Row],[DeltaC]]</f>
        <v>0</v>
      </c>
      <c r="AF1177">
        <f>IF(Table133456[[#This Row],[DeltaC]]-ABS(Table133456[[#This Row],[DeltaP]])="0","0.01",Table133456[[#This Row],[DeltaC]]-ABS(Table133456[[#This Row],[DeltaP]]))</f>
        <v>0</v>
      </c>
      <c r="AG117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7" t="e">
        <f ca="1">(EXP(-(AG1177^2)/2)/SQRT(2*PI())*EXP(0*SQRT(Table133456[[#This Row],[T]]))/$A$4*18%*SQRT(SQRT(Table133456[[#This Row],[T]])))</f>
        <v>#DIV/0!</v>
      </c>
      <c r="AJ1177" t="e">
        <f ca="1">(EXP(-(AH1177^2)/2)/SQRT(2*PI())*EXP(0*SQRT(Table133456[[#This Row],[T]]))/$A$4*18%*SQRT(SQRT(Table133456[[#This Row],[T]])))</f>
        <v>#DIV/0!</v>
      </c>
      <c r="AK1177" t="e">
        <f ca="1">Table133456[[#This Row],[Call D1]]-Table133456[[#This Row],[IV Calc C]]*SQRT(Table133456[[#This Row],[T]])</f>
        <v>#DIV/0!</v>
      </c>
      <c r="AL1177" t="e">
        <f ca="1">Table133456[[#This Row],[Put D1]]-Table133456[[#This Row],[IV Calc P]]*SQRT(Table133456[[#This Row],[T]])</f>
        <v>#DIV/0!</v>
      </c>
      <c r="AM1177" t="e">
        <f ca="1">EXP(-0.5*Table133456[[#This Row],[Call D1]]^2)/SQRT(2*PI())</f>
        <v>#DIV/0!</v>
      </c>
      <c r="AN1177" t="e">
        <f ca="1">EXP(-0.5*Table133456[[#This Row],[Put D1]]^2)/SQRT(2*PI())</f>
        <v>#DIV/0!</v>
      </c>
      <c r="AO117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7">
        <f ca="1">((Table133456[[#This Row],[call vanna]]+Table133456[[#This Row],[put vanna]])*$A$4)</f>
        <v>0</v>
      </c>
      <c r="AR117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7" s="9" t="str" cm="1">
        <f t="array" ref="AT1177">_xlfn.IFS(     $M$1="SPX","SPXW",     $M$1="RUT","RUTW",  $M$1="NDX","NDXP",   TRUE,$M$1 )</f>
        <v>SPXW</v>
      </c>
      <c r="AU1177" s="2">
        <f t="shared" si="117"/>
        <v>6915</v>
      </c>
      <c r="AV1177" t="str">
        <f t="shared" si="118"/>
        <v>000100</v>
      </c>
      <c r="AY117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7">
        <f>((Table133456[[#This Row],[High C]]+Table133456[[#This Row],[Low C]])/2)*Table133456[[#This Row],[gammac]]*Table133456[[#This Row],[Volume]]</f>
        <v>0</v>
      </c>
      <c r="BD1177">
        <f>((Table133456[[#This Row],[High P]]+Table133456[[#This Row],[Low P]])/2)*Table133456[[#This Row],[gammap]]*Table133456[[#This Row],[Volume9]]*-1</f>
        <v>0</v>
      </c>
      <c r="BE1177">
        <f>(Table133456[[#This Row],[SgammaC]]+Table133456[[#This Row],[SgammaP]])*$A$4*-100</f>
        <v>0</v>
      </c>
      <c r="BF1177">
        <f>Table133456[[#This Row],[DEXc]]+Table133456[[#This Row],[DEXp]]</f>
        <v>0</v>
      </c>
      <c r="BG1177">
        <f>IFERROR(Table133456[[#This Row],[DeltaC]]*Table133456[[#This Row],[Open.Int]]*$A$4,0)</f>
        <v>0</v>
      </c>
      <c r="BH1177">
        <f>IFERROR(Table133456[[#This Row],[DeltaP]]*Table133456[[#This Row],[Open.Int8]]*$A$4,0)</f>
        <v>0</v>
      </c>
      <c r="BI117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7">
        <f ca="1">Table133456[[#This Row],[charmc]]+Table133456[[#This Row],[charmp]]</f>
        <v>0</v>
      </c>
      <c r="BL117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7" s="78">
        <f ca="1">Table133456[[#This Row],[call helper]]+Table133456[[#This Row],[put helper]]</f>
        <v>0</v>
      </c>
      <c r="BP1177" t="str">
        <f>RTD("tos.rtd", , "STRIKE", "."&amp;Table133456[[#This Row],[Ticker]]&amp;Table133456[[#This Row],[Expiry]]&amp;""&amp;"C"&amp;Table133456[[#This Row],[Spot]]+Table133456[[#This Row],[step]])</f>
        <v>N/A</v>
      </c>
    </row>
    <row r="1178" spans="1:68" x14ac:dyDescent="0.25">
      <c r="A1178" s="14">
        <f t="shared" ca="1" si="114"/>
        <v>-126.14810350076104</v>
      </c>
      <c r="C1178" s="17"/>
      <c r="D1178" t="str">
        <f>RTD("tos.rtd", , "OPEN_INT", "."&amp;Table133456[[#This Row],[Ticker]]&amp;Table133456[[#This Row],[Expiry]]&amp;""&amp;"C"&amp;Table133456[[#This Row],[Spot]]+Table133456[[#This Row],[step]])</f>
        <v>N/A</v>
      </c>
      <c r="E117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8" s="17" cm="1">
        <f t="array" aca="1" ref="H1178" ca="1">IndividualLegIVCore($A$4, Table133456[[#This Row],[Strike]], 0.0411, Table133456[[#This Row],[T]], ((Table133456[[#This Row],[BIDC]]+Table133456[[#This Row],[ASKC]])/2), TRUE)</f>
        <v>0.01</v>
      </c>
      <c r="I1178" t="b">
        <f>IF(     ISNUMBER(Table133456[[#This Row],[Strike]]),RTD("tos.rtd", , "BID", "."&amp;Table133456[[#This Row],[Ticker]]&amp;Table133456[[#This Row],[Expiry]]&amp;""&amp;"C"&amp;Table133456[[#This Row],[Strike]]))</f>
        <v>0</v>
      </c>
      <c r="J1178" t="b">
        <f>IF(     ISNUMBER(Table133456[[#This Row],[Strike]]),RTD("tos.rtd", , "ASK", "."&amp;Table133456[[#This Row],[Ticker]]&amp;Table133456[[#This Row],[Expiry]]&amp;""&amp;"C"&amp;Table133456[[#This Row],[Strike]]))</f>
        <v>0</v>
      </c>
      <c r="K1178" s="17"/>
      <c r="M1178" s="1">
        <f t="shared" si="115"/>
        <v>0</v>
      </c>
      <c r="N1178" t="b">
        <f t="shared" si="116"/>
        <v>0</v>
      </c>
      <c r="P1178" s="17" cm="1">
        <f t="array" aca="1" ref="P1178" ca="1">IndividualLegIVCore($A$4, Table133456[[#This Row],[Strike]], 0.0411, Table133456[[#This Row],[T]], ((Table133456[[#This Row],[BIDP]]+Table133456[[#This Row],[ASKP]])/2), FALSE)</f>
        <v>0.01</v>
      </c>
      <c r="Q1178" t="b">
        <f>IF(     ISNUMBER(Table133456[[#This Row],[Strike]]),RTD("tos.rtd", , "BID", "."&amp;Table133456[[#This Row],[Ticker]]&amp;Table133456[[#This Row],[Expiry]]&amp;""&amp;"P"&amp;Table133456[[#This Row],[Strike]]))</f>
        <v>0</v>
      </c>
      <c r="R1178" t="b">
        <f>IF(     ISNUMBER(Table133456[[#This Row],[Strike]]),RTD("tos.rtd", , "ASK", "."&amp;Table133456[[#This Row],[Ticker]]&amp;Table133456[[#This Row],[Expiry]]&amp;""&amp;"P"&amp;Table133456[[#This Row],[Strike]]))</f>
        <v>0</v>
      </c>
      <c r="S1178" s="17"/>
      <c r="T117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8" s="19">
        <f>26.5* IF($M$1="NDX", 10, IF(OR($M$1="SPX", $M$1="RUT"), 2, 1))</f>
        <v>53</v>
      </c>
      <c r="Z1178">
        <f ca="1">IFERROR(Table133456[[#This Row],[call gamma]]*(Table133456[[#This Row],[Open.Int]])*$A$4^2,0)</f>
        <v>0</v>
      </c>
      <c r="AA1178">
        <f ca="1">IFERROR(((Table133456[[#This Row],[Open.Int8]])*Table133456[[#This Row],[Put gamma]])*-1*$A$4^2,0)</f>
        <v>0</v>
      </c>
      <c r="AB1178">
        <f ca="1">(Table133456[[#This Row],[Call Gex]]+Table133456[[#This Row],[Put Gex]])</f>
        <v>0</v>
      </c>
      <c r="AC1178">
        <f ca="1">Table133456[[#This Row],[put delta adj]]+Table133456[[#This Row],[call delta adj]]</f>
        <v>0</v>
      </c>
      <c r="AD1178">
        <f ca="1">Table133456[[#This Row],[Put Gex]]*Table133456[[#This Row],[DeltaP]]*-1</f>
        <v>0</v>
      </c>
      <c r="AE1178">
        <f ca="1">Table133456[[#This Row],[Call Gex]]*Table133456[[#This Row],[DeltaC]]</f>
        <v>0</v>
      </c>
      <c r="AF1178">
        <f>IF(Table133456[[#This Row],[DeltaC]]-ABS(Table133456[[#This Row],[DeltaP]])="0","0.01",Table133456[[#This Row],[DeltaC]]-ABS(Table133456[[#This Row],[DeltaP]]))</f>
        <v>0</v>
      </c>
      <c r="AG117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8" t="e">
        <f ca="1">(EXP(-(AG1178^2)/2)/SQRT(2*PI())*EXP(0*SQRT(Table133456[[#This Row],[T]]))/$A$4*18%*SQRT(SQRT(Table133456[[#This Row],[T]])))</f>
        <v>#DIV/0!</v>
      </c>
      <c r="AJ1178" t="e">
        <f ca="1">(EXP(-(AH1178^2)/2)/SQRT(2*PI())*EXP(0*SQRT(Table133456[[#This Row],[T]]))/$A$4*18%*SQRT(SQRT(Table133456[[#This Row],[T]])))</f>
        <v>#DIV/0!</v>
      </c>
      <c r="AK1178" t="e">
        <f ca="1">Table133456[[#This Row],[Call D1]]-Table133456[[#This Row],[IV Calc C]]*SQRT(Table133456[[#This Row],[T]])</f>
        <v>#DIV/0!</v>
      </c>
      <c r="AL1178" t="e">
        <f ca="1">Table133456[[#This Row],[Put D1]]-Table133456[[#This Row],[IV Calc P]]*SQRT(Table133456[[#This Row],[T]])</f>
        <v>#DIV/0!</v>
      </c>
      <c r="AM1178" t="e">
        <f ca="1">EXP(-0.5*Table133456[[#This Row],[Call D1]]^2)/SQRT(2*PI())</f>
        <v>#DIV/0!</v>
      </c>
      <c r="AN1178" t="e">
        <f ca="1">EXP(-0.5*Table133456[[#This Row],[Put D1]]^2)/SQRT(2*PI())</f>
        <v>#DIV/0!</v>
      </c>
      <c r="AO117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8">
        <f ca="1">((Table133456[[#This Row],[call vanna]]+Table133456[[#This Row],[put vanna]])*$A$4)</f>
        <v>0</v>
      </c>
      <c r="AR117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8" s="9" t="str" cm="1">
        <f t="array" ref="AT1178">_xlfn.IFS(     $M$1="SPX","SPXW",     $M$1="RUT","RUTW",  $M$1="NDX","NDXP",   TRUE,$M$1 )</f>
        <v>SPXW</v>
      </c>
      <c r="AU1178" s="2">
        <f t="shared" si="117"/>
        <v>6915</v>
      </c>
      <c r="AV1178" t="str">
        <f t="shared" si="118"/>
        <v>000100</v>
      </c>
      <c r="AY117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8">
        <f>((Table133456[[#This Row],[High C]]+Table133456[[#This Row],[Low C]])/2)*Table133456[[#This Row],[gammac]]*Table133456[[#This Row],[Volume]]</f>
        <v>0</v>
      </c>
      <c r="BD1178">
        <f>((Table133456[[#This Row],[High P]]+Table133456[[#This Row],[Low P]])/2)*Table133456[[#This Row],[gammap]]*Table133456[[#This Row],[Volume9]]*-1</f>
        <v>0</v>
      </c>
      <c r="BE1178">
        <f>(Table133456[[#This Row],[SgammaC]]+Table133456[[#This Row],[SgammaP]])*$A$4*-100</f>
        <v>0</v>
      </c>
      <c r="BF1178">
        <f>Table133456[[#This Row],[DEXc]]+Table133456[[#This Row],[DEXp]]</f>
        <v>0</v>
      </c>
      <c r="BG1178">
        <f>IFERROR(Table133456[[#This Row],[DeltaC]]*Table133456[[#This Row],[Open.Int]]*$A$4,0)</f>
        <v>0</v>
      </c>
      <c r="BH1178">
        <f>IFERROR(Table133456[[#This Row],[DeltaP]]*Table133456[[#This Row],[Open.Int8]]*$A$4,0)</f>
        <v>0</v>
      </c>
      <c r="BI117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8">
        <f ca="1">Table133456[[#This Row],[charmc]]+Table133456[[#This Row],[charmp]]</f>
        <v>0</v>
      </c>
      <c r="BL117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8" s="78">
        <f ca="1">Table133456[[#This Row],[call helper]]+Table133456[[#This Row],[put helper]]</f>
        <v>0</v>
      </c>
      <c r="BP1178" t="str">
        <f>RTD("tos.rtd", , "STRIKE", "."&amp;Table133456[[#This Row],[Ticker]]&amp;Table133456[[#This Row],[Expiry]]&amp;""&amp;"C"&amp;Table133456[[#This Row],[Spot]]+Table133456[[#This Row],[step]])</f>
        <v>N/A</v>
      </c>
    </row>
    <row r="1179" spans="1:68" x14ac:dyDescent="0.25">
      <c r="A1179" s="14">
        <f t="shared" ca="1" si="114"/>
        <v>-126.14810350076104</v>
      </c>
      <c r="C1179" s="17"/>
      <c r="D1179" t="str">
        <f>RTD("tos.rtd", , "OPEN_INT", "."&amp;Table133456[[#This Row],[Ticker]]&amp;Table133456[[#This Row],[Expiry]]&amp;""&amp;"C"&amp;Table133456[[#This Row],[Spot]]+Table133456[[#This Row],[step]])</f>
        <v>N/A</v>
      </c>
      <c r="E117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9" s="17" cm="1">
        <f t="array" aca="1" ref="H1179" ca="1">IndividualLegIVCore($A$4, Table133456[[#This Row],[Strike]], 0.0411, Table133456[[#This Row],[T]], ((Table133456[[#This Row],[BIDC]]+Table133456[[#This Row],[ASKC]])/2), TRUE)</f>
        <v>0.01</v>
      </c>
      <c r="I1179" t="b">
        <f>IF(     ISNUMBER(Table133456[[#This Row],[Strike]]),RTD("tos.rtd", , "BID", "."&amp;Table133456[[#This Row],[Ticker]]&amp;Table133456[[#This Row],[Expiry]]&amp;""&amp;"C"&amp;Table133456[[#This Row],[Strike]]))</f>
        <v>0</v>
      </c>
      <c r="J1179" t="b">
        <f>IF(     ISNUMBER(Table133456[[#This Row],[Strike]]),RTD("tos.rtd", , "ASK", "."&amp;Table133456[[#This Row],[Ticker]]&amp;Table133456[[#This Row],[Expiry]]&amp;""&amp;"C"&amp;Table133456[[#This Row],[Strike]]))</f>
        <v>0</v>
      </c>
      <c r="K1179" s="17"/>
      <c r="M1179" s="1">
        <f t="shared" si="115"/>
        <v>0</v>
      </c>
      <c r="N1179" t="b">
        <f t="shared" si="116"/>
        <v>0</v>
      </c>
      <c r="P1179" s="17" cm="1">
        <f t="array" aca="1" ref="P1179" ca="1">IndividualLegIVCore($A$4, Table133456[[#This Row],[Strike]], 0.0411, Table133456[[#This Row],[T]], ((Table133456[[#This Row],[BIDP]]+Table133456[[#This Row],[ASKP]])/2), FALSE)</f>
        <v>0.01</v>
      </c>
      <c r="Q1179" t="b">
        <f>IF(     ISNUMBER(Table133456[[#This Row],[Strike]]),RTD("tos.rtd", , "BID", "."&amp;Table133456[[#This Row],[Ticker]]&amp;Table133456[[#This Row],[Expiry]]&amp;""&amp;"P"&amp;Table133456[[#This Row],[Strike]]))</f>
        <v>0</v>
      </c>
      <c r="R1179" t="b">
        <f>IF(     ISNUMBER(Table133456[[#This Row],[Strike]]),RTD("tos.rtd", , "ASK", "."&amp;Table133456[[#This Row],[Ticker]]&amp;Table133456[[#This Row],[Expiry]]&amp;""&amp;"P"&amp;Table133456[[#This Row],[Strike]]))</f>
        <v>0</v>
      </c>
      <c r="S1179" s="17"/>
      <c r="T117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9" s="19">
        <f>27* IF($M$1="NDX", 10, IF(OR($M$1="SPX", $M$1="RUT"), 2, 1))</f>
        <v>54</v>
      </c>
      <c r="Z1179">
        <f ca="1">IFERROR(Table133456[[#This Row],[call gamma]]*(Table133456[[#This Row],[Open.Int]])*$A$4^2,0)</f>
        <v>0</v>
      </c>
      <c r="AA1179">
        <f ca="1">IFERROR(((Table133456[[#This Row],[Open.Int8]])*Table133456[[#This Row],[Put gamma]])*-1*$A$4^2,0)</f>
        <v>0</v>
      </c>
      <c r="AB1179">
        <f ca="1">(Table133456[[#This Row],[Call Gex]]+Table133456[[#This Row],[Put Gex]])</f>
        <v>0</v>
      </c>
      <c r="AC1179">
        <f ca="1">Table133456[[#This Row],[put delta adj]]+Table133456[[#This Row],[call delta adj]]</f>
        <v>0</v>
      </c>
      <c r="AD1179">
        <f ca="1">Table133456[[#This Row],[Put Gex]]*Table133456[[#This Row],[DeltaP]]*-1</f>
        <v>0</v>
      </c>
      <c r="AE1179">
        <f ca="1">Table133456[[#This Row],[Call Gex]]*Table133456[[#This Row],[DeltaC]]</f>
        <v>0</v>
      </c>
      <c r="AF1179">
        <f>IF(Table133456[[#This Row],[DeltaC]]-ABS(Table133456[[#This Row],[DeltaP]])="0","0.01",Table133456[[#This Row],[DeltaC]]-ABS(Table133456[[#This Row],[DeltaP]]))</f>
        <v>0</v>
      </c>
      <c r="AG117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9" t="e">
        <f ca="1">(EXP(-(AG1179^2)/2)/SQRT(2*PI())*EXP(0*SQRT(Table133456[[#This Row],[T]]))/$A$4*18%*SQRT(SQRT(Table133456[[#This Row],[T]])))</f>
        <v>#DIV/0!</v>
      </c>
      <c r="AJ1179" t="e">
        <f ca="1">(EXP(-(AH1179^2)/2)/SQRT(2*PI())*EXP(0*SQRT(Table133456[[#This Row],[T]]))/$A$4*18%*SQRT(SQRT(Table133456[[#This Row],[T]])))</f>
        <v>#DIV/0!</v>
      </c>
      <c r="AK1179" t="e">
        <f ca="1">Table133456[[#This Row],[Call D1]]-Table133456[[#This Row],[IV Calc C]]*SQRT(Table133456[[#This Row],[T]])</f>
        <v>#DIV/0!</v>
      </c>
      <c r="AL1179" t="e">
        <f ca="1">Table133456[[#This Row],[Put D1]]-Table133456[[#This Row],[IV Calc P]]*SQRT(Table133456[[#This Row],[T]])</f>
        <v>#DIV/0!</v>
      </c>
      <c r="AM1179" t="e">
        <f ca="1">EXP(-0.5*Table133456[[#This Row],[Call D1]]^2)/SQRT(2*PI())</f>
        <v>#DIV/0!</v>
      </c>
      <c r="AN1179" t="e">
        <f ca="1">EXP(-0.5*Table133456[[#This Row],[Put D1]]^2)/SQRT(2*PI())</f>
        <v>#DIV/0!</v>
      </c>
      <c r="AO117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9">
        <f ca="1">((Table133456[[#This Row],[call vanna]]+Table133456[[#This Row],[put vanna]])*$A$4)</f>
        <v>0</v>
      </c>
      <c r="AR117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9" s="9" t="str" cm="1">
        <f t="array" ref="AT1179">_xlfn.IFS(     $M$1="SPX","SPXW",     $M$1="RUT","RUTW",  $M$1="NDX","NDXP",   TRUE,$M$1 )</f>
        <v>SPXW</v>
      </c>
      <c r="AU1179" s="2">
        <f t="shared" si="117"/>
        <v>6915</v>
      </c>
      <c r="AV1179" t="str">
        <f t="shared" si="118"/>
        <v>000100</v>
      </c>
      <c r="AY117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9">
        <f>((Table133456[[#This Row],[High C]]+Table133456[[#This Row],[Low C]])/2)*Table133456[[#This Row],[gammac]]*Table133456[[#This Row],[Volume]]</f>
        <v>0</v>
      </c>
      <c r="BD1179">
        <f>((Table133456[[#This Row],[High P]]+Table133456[[#This Row],[Low P]])/2)*Table133456[[#This Row],[gammap]]*Table133456[[#This Row],[Volume9]]*-1</f>
        <v>0</v>
      </c>
      <c r="BE1179">
        <f>(Table133456[[#This Row],[SgammaC]]+Table133456[[#This Row],[SgammaP]])*$A$4*-100</f>
        <v>0</v>
      </c>
      <c r="BF1179">
        <f>Table133456[[#This Row],[DEXc]]+Table133456[[#This Row],[DEXp]]</f>
        <v>0</v>
      </c>
      <c r="BG1179">
        <f>IFERROR(Table133456[[#This Row],[DeltaC]]*Table133456[[#This Row],[Open.Int]]*$A$4,0)</f>
        <v>0</v>
      </c>
      <c r="BH1179">
        <f>IFERROR(Table133456[[#This Row],[DeltaP]]*Table133456[[#This Row],[Open.Int8]]*$A$4,0)</f>
        <v>0</v>
      </c>
      <c r="BI117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9">
        <f ca="1">Table133456[[#This Row],[charmc]]+Table133456[[#This Row],[charmp]]</f>
        <v>0</v>
      </c>
      <c r="BL117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9" s="78">
        <f ca="1">Table133456[[#This Row],[call helper]]+Table133456[[#This Row],[put helper]]</f>
        <v>0</v>
      </c>
      <c r="BP1179" t="str">
        <f>RTD("tos.rtd", , "STRIKE", "."&amp;Table133456[[#This Row],[Ticker]]&amp;Table133456[[#This Row],[Expiry]]&amp;""&amp;"C"&amp;Table133456[[#This Row],[Spot]]+Table133456[[#This Row],[step]])</f>
        <v>N/A</v>
      </c>
    </row>
    <row r="1180" spans="1:68" x14ac:dyDescent="0.25">
      <c r="A1180" s="14">
        <f t="shared" ca="1" si="114"/>
        <v>-126.14810350076104</v>
      </c>
      <c r="C1180" s="17"/>
      <c r="D1180" t="str">
        <f>RTD("tos.rtd", , "OPEN_INT", "."&amp;Table133456[[#This Row],[Ticker]]&amp;Table133456[[#This Row],[Expiry]]&amp;""&amp;"C"&amp;Table133456[[#This Row],[Spot]]+Table133456[[#This Row],[step]])</f>
        <v>N/A</v>
      </c>
      <c r="E118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0" s="17" cm="1">
        <f t="array" aca="1" ref="H1180" ca="1">IndividualLegIVCore($A$4, Table133456[[#This Row],[Strike]], 0.0411, Table133456[[#This Row],[T]], ((Table133456[[#This Row],[BIDC]]+Table133456[[#This Row],[ASKC]])/2), TRUE)</f>
        <v>0.01</v>
      </c>
      <c r="I1180" t="b">
        <f>IF(     ISNUMBER(Table133456[[#This Row],[Strike]]),RTD("tos.rtd", , "BID", "."&amp;Table133456[[#This Row],[Ticker]]&amp;Table133456[[#This Row],[Expiry]]&amp;""&amp;"C"&amp;Table133456[[#This Row],[Strike]]))</f>
        <v>0</v>
      </c>
      <c r="J1180" t="b">
        <f>IF(     ISNUMBER(Table133456[[#This Row],[Strike]]),RTD("tos.rtd", , "ASK", "."&amp;Table133456[[#This Row],[Ticker]]&amp;Table133456[[#This Row],[Expiry]]&amp;""&amp;"C"&amp;Table133456[[#This Row],[Strike]]))</f>
        <v>0</v>
      </c>
      <c r="K1180" s="17"/>
      <c r="M1180" s="1">
        <f t="shared" si="115"/>
        <v>0</v>
      </c>
      <c r="N1180" t="b">
        <f t="shared" si="116"/>
        <v>0</v>
      </c>
      <c r="P1180" s="17" cm="1">
        <f t="array" aca="1" ref="P1180" ca="1">IndividualLegIVCore($A$4, Table133456[[#This Row],[Strike]], 0.0411, Table133456[[#This Row],[T]], ((Table133456[[#This Row],[BIDP]]+Table133456[[#This Row],[ASKP]])/2), FALSE)</f>
        <v>0.01</v>
      </c>
      <c r="Q1180" t="b">
        <f>IF(     ISNUMBER(Table133456[[#This Row],[Strike]]),RTD("tos.rtd", , "BID", "."&amp;Table133456[[#This Row],[Ticker]]&amp;Table133456[[#This Row],[Expiry]]&amp;""&amp;"P"&amp;Table133456[[#This Row],[Strike]]))</f>
        <v>0</v>
      </c>
      <c r="R1180" t="b">
        <f>IF(     ISNUMBER(Table133456[[#This Row],[Strike]]),RTD("tos.rtd", , "ASK", "."&amp;Table133456[[#This Row],[Ticker]]&amp;Table133456[[#This Row],[Expiry]]&amp;""&amp;"P"&amp;Table133456[[#This Row],[Strike]]))</f>
        <v>0</v>
      </c>
      <c r="S1180" s="17"/>
      <c r="T118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0" s="19">
        <f>27.5* IF($M$1="NDX", 10, IF(OR($M$1="SPX", $M$1="RUT"), 2, 1))</f>
        <v>55</v>
      </c>
      <c r="Z1180">
        <f ca="1">IFERROR(Table133456[[#This Row],[call gamma]]*(Table133456[[#This Row],[Open.Int]])*$A$4^2,0)</f>
        <v>0</v>
      </c>
      <c r="AA1180">
        <f ca="1">IFERROR(((Table133456[[#This Row],[Open.Int8]])*Table133456[[#This Row],[Put gamma]])*-1*$A$4^2,0)</f>
        <v>0</v>
      </c>
      <c r="AB1180">
        <f ca="1">(Table133456[[#This Row],[Call Gex]]+Table133456[[#This Row],[Put Gex]])</f>
        <v>0</v>
      </c>
      <c r="AC1180">
        <f ca="1">Table133456[[#This Row],[put delta adj]]+Table133456[[#This Row],[call delta adj]]</f>
        <v>0</v>
      </c>
      <c r="AD1180">
        <f ca="1">Table133456[[#This Row],[Put Gex]]*Table133456[[#This Row],[DeltaP]]*-1</f>
        <v>0</v>
      </c>
      <c r="AE1180">
        <f ca="1">Table133456[[#This Row],[Call Gex]]*Table133456[[#This Row],[DeltaC]]</f>
        <v>0</v>
      </c>
      <c r="AF1180">
        <f>IF(Table133456[[#This Row],[DeltaC]]-ABS(Table133456[[#This Row],[DeltaP]])="0","0.01",Table133456[[#This Row],[DeltaC]]-ABS(Table133456[[#This Row],[DeltaP]]))</f>
        <v>0</v>
      </c>
      <c r="AG118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0" t="e">
        <f ca="1">(EXP(-(AG1180^2)/2)/SQRT(2*PI())*EXP(0*SQRT(Table133456[[#This Row],[T]]))/$A$4*18%*SQRT(SQRT(Table133456[[#This Row],[T]])))</f>
        <v>#DIV/0!</v>
      </c>
      <c r="AJ1180" t="e">
        <f ca="1">(EXP(-(AH1180^2)/2)/SQRT(2*PI())*EXP(0*SQRT(Table133456[[#This Row],[T]]))/$A$4*18%*SQRT(SQRT(Table133456[[#This Row],[T]])))</f>
        <v>#DIV/0!</v>
      </c>
      <c r="AK1180" t="e">
        <f ca="1">Table133456[[#This Row],[Call D1]]-Table133456[[#This Row],[IV Calc C]]*SQRT(Table133456[[#This Row],[T]])</f>
        <v>#DIV/0!</v>
      </c>
      <c r="AL1180" t="e">
        <f ca="1">Table133456[[#This Row],[Put D1]]-Table133456[[#This Row],[IV Calc P]]*SQRT(Table133456[[#This Row],[T]])</f>
        <v>#DIV/0!</v>
      </c>
      <c r="AM1180" t="e">
        <f ca="1">EXP(-0.5*Table133456[[#This Row],[Call D1]]^2)/SQRT(2*PI())</f>
        <v>#DIV/0!</v>
      </c>
      <c r="AN1180" t="e">
        <f ca="1">EXP(-0.5*Table133456[[#This Row],[Put D1]]^2)/SQRT(2*PI())</f>
        <v>#DIV/0!</v>
      </c>
      <c r="AO118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0">
        <f ca="1">((Table133456[[#This Row],[call vanna]]+Table133456[[#This Row],[put vanna]])*$A$4)</f>
        <v>0</v>
      </c>
      <c r="AR118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0" s="9" t="str" cm="1">
        <f t="array" ref="AT1180">_xlfn.IFS(     $M$1="SPX","SPXW",     $M$1="RUT","RUTW",  $M$1="NDX","NDXP",   TRUE,$M$1 )</f>
        <v>SPXW</v>
      </c>
      <c r="AU1180" s="2">
        <f t="shared" si="117"/>
        <v>6915</v>
      </c>
      <c r="AV1180" t="str">
        <f t="shared" si="118"/>
        <v>000100</v>
      </c>
      <c r="AY118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0">
        <f>((Table133456[[#This Row],[High C]]+Table133456[[#This Row],[Low C]])/2)*Table133456[[#This Row],[gammac]]*Table133456[[#This Row],[Volume]]</f>
        <v>0</v>
      </c>
      <c r="BD1180">
        <f>((Table133456[[#This Row],[High P]]+Table133456[[#This Row],[Low P]])/2)*Table133456[[#This Row],[gammap]]*Table133456[[#This Row],[Volume9]]*-1</f>
        <v>0</v>
      </c>
      <c r="BE1180">
        <f>(Table133456[[#This Row],[SgammaC]]+Table133456[[#This Row],[SgammaP]])*$A$4*-100</f>
        <v>0</v>
      </c>
      <c r="BF1180">
        <f>Table133456[[#This Row],[DEXc]]+Table133456[[#This Row],[DEXp]]</f>
        <v>0</v>
      </c>
      <c r="BG1180">
        <f>IFERROR(Table133456[[#This Row],[DeltaC]]*Table133456[[#This Row],[Open.Int]]*$A$4,0)</f>
        <v>0</v>
      </c>
      <c r="BH1180">
        <f>IFERROR(Table133456[[#This Row],[DeltaP]]*Table133456[[#This Row],[Open.Int8]]*$A$4,0)</f>
        <v>0</v>
      </c>
      <c r="BI118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0">
        <f ca="1">Table133456[[#This Row],[charmc]]+Table133456[[#This Row],[charmp]]</f>
        <v>0</v>
      </c>
      <c r="BL118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0" s="78">
        <f ca="1">Table133456[[#This Row],[call helper]]+Table133456[[#This Row],[put helper]]</f>
        <v>0</v>
      </c>
      <c r="BP1180" t="str">
        <f>RTD("tos.rtd", , "STRIKE", "."&amp;Table133456[[#This Row],[Ticker]]&amp;Table133456[[#This Row],[Expiry]]&amp;""&amp;"C"&amp;Table133456[[#This Row],[Spot]]+Table133456[[#This Row],[step]])</f>
        <v>N/A</v>
      </c>
    </row>
    <row r="1181" spans="1:68" x14ac:dyDescent="0.25">
      <c r="A1181" s="14">
        <f t="shared" ca="1" si="114"/>
        <v>-126.14810350076104</v>
      </c>
      <c r="C1181" s="17"/>
      <c r="D1181" t="str">
        <f>RTD("tos.rtd", , "OPEN_INT", "."&amp;Table133456[[#This Row],[Ticker]]&amp;Table133456[[#This Row],[Expiry]]&amp;""&amp;"C"&amp;Table133456[[#This Row],[Spot]]+Table133456[[#This Row],[step]])</f>
        <v>N/A</v>
      </c>
      <c r="E118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1" s="17" cm="1">
        <f t="array" aca="1" ref="H1181" ca="1">IndividualLegIVCore($A$4, Table133456[[#This Row],[Strike]], 0.0411, Table133456[[#This Row],[T]], ((Table133456[[#This Row],[BIDC]]+Table133456[[#This Row],[ASKC]])/2), TRUE)</f>
        <v>0.01</v>
      </c>
      <c r="I1181" t="b">
        <f>IF(     ISNUMBER(Table133456[[#This Row],[Strike]]),RTD("tos.rtd", , "BID", "."&amp;Table133456[[#This Row],[Ticker]]&amp;Table133456[[#This Row],[Expiry]]&amp;""&amp;"C"&amp;Table133456[[#This Row],[Strike]]))</f>
        <v>0</v>
      </c>
      <c r="J1181" t="b">
        <f>IF(     ISNUMBER(Table133456[[#This Row],[Strike]]),RTD("tos.rtd", , "ASK", "."&amp;Table133456[[#This Row],[Ticker]]&amp;Table133456[[#This Row],[Expiry]]&amp;""&amp;"C"&amp;Table133456[[#This Row],[Strike]]))</f>
        <v>0</v>
      </c>
      <c r="K1181" s="17"/>
      <c r="M1181" s="1">
        <f t="shared" si="115"/>
        <v>0</v>
      </c>
      <c r="N1181" t="b">
        <f t="shared" si="116"/>
        <v>0</v>
      </c>
      <c r="P1181" s="17" cm="1">
        <f t="array" aca="1" ref="P1181" ca="1">IndividualLegIVCore($A$4, Table133456[[#This Row],[Strike]], 0.0411, Table133456[[#This Row],[T]], ((Table133456[[#This Row],[BIDP]]+Table133456[[#This Row],[ASKP]])/2), FALSE)</f>
        <v>0.01</v>
      </c>
      <c r="Q1181" t="b">
        <f>IF(     ISNUMBER(Table133456[[#This Row],[Strike]]),RTD("tos.rtd", , "BID", "."&amp;Table133456[[#This Row],[Ticker]]&amp;Table133456[[#This Row],[Expiry]]&amp;""&amp;"P"&amp;Table133456[[#This Row],[Strike]]))</f>
        <v>0</v>
      </c>
      <c r="R1181" t="b">
        <f>IF(     ISNUMBER(Table133456[[#This Row],[Strike]]),RTD("tos.rtd", , "ASK", "."&amp;Table133456[[#This Row],[Ticker]]&amp;Table133456[[#This Row],[Expiry]]&amp;""&amp;"P"&amp;Table133456[[#This Row],[Strike]]))</f>
        <v>0</v>
      </c>
      <c r="S1181" s="17"/>
      <c r="T118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1" s="19">
        <f>28* IF($M$1="NDX", 10, IF(OR($M$1="SPX", $M$1="RUT"), 2, 1))</f>
        <v>56</v>
      </c>
      <c r="Z1181">
        <f ca="1">IFERROR(Table133456[[#This Row],[call gamma]]*(Table133456[[#This Row],[Open.Int]])*$A$4^2,0)</f>
        <v>0</v>
      </c>
      <c r="AA1181">
        <f ca="1">IFERROR(((Table133456[[#This Row],[Open.Int8]])*Table133456[[#This Row],[Put gamma]])*-1*$A$4^2,0)</f>
        <v>0</v>
      </c>
      <c r="AB1181">
        <f ca="1">(Table133456[[#This Row],[Call Gex]]+Table133456[[#This Row],[Put Gex]])</f>
        <v>0</v>
      </c>
      <c r="AC1181">
        <f ca="1">Table133456[[#This Row],[put delta adj]]+Table133456[[#This Row],[call delta adj]]</f>
        <v>0</v>
      </c>
      <c r="AD1181">
        <f ca="1">Table133456[[#This Row],[Put Gex]]*Table133456[[#This Row],[DeltaP]]*-1</f>
        <v>0</v>
      </c>
      <c r="AE1181">
        <f ca="1">Table133456[[#This Row],[Call Gex]]*Table133456[[#This Row],[DeltaC]]</f>
        <v>0</v>
      </c>
      <c r="AF1181">
        <f>IF(Table133456[[#This Row],[DeltaC]]-ABS(Table133456[[#This Row],[DeltaP]])="0","0.01",Table133456[[#This Row],[DeltaC]]-ABS(Table133456[[#This Row],[DeltaP]]))</f>
        <v>0</v>
      </c>
      <c r="AG118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1" t="e">
        <f ca="1">(EXP(-(AG1181^2)/2)/SQRT(2*PI())*EXP(0*SQRT(Table133456[[#This Row],[T]]))/$A$4*18%*SQRT(SQRT(Table133456[[#This Row],[T]])))</f>
        <v>#DIV/0!</v>
      </c>
      <c r="AJ1181" t="e">
        <f ca="1">(EXP(-(AH1181^2)/2)/SQRT(2*PI())*EXP(0*SQRT(Table133456[[#This Row],[T]]))/$A$4*18%*SQRT(SQRT(Table133456[[#This Row],[T]])))</f>
        <v>#DIV/0!</v>
      </c>
      <c r="AK1181" t="e">
        <f ca="1">Table133456[[#This Row],[Call D1]]-Table133456[[#This Row],[IV Calc C]]*SQRT(Table133456[[#This Row],[T]])</f>
        <v>#DIV/0!</v>
      </c>
      <c r="AL1181" t="e">
        <f ca="1">Table133456[[#This Row],[Put D1]]-Table133456[[#This Row],[IV Calc P]]*SQRT(Table133456[[#This Row],[T]])</f>
        <v>#DIV/0!</v>
      </c>
      <c r="AM1181" t="e">
        <f ca="1">EXP(-0.5*Table133456[[#This Row],[Call D1]]^2)/SQRT(2*PI())</f>
        <v>#DIV/0!</v>
      </c>
      <c r="AN1181" t="e">
        <f ca="1">EXP(-0.5*Table133456[[#This Row],[Put D1]]^2)/SQRT(2*PI())</f>
        <v>#DIV/0!</v>
      </c>
      <c r="AO118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1">
        <f ca="1">((Table133456[[#This Row],[call vanna]]+Table133456[[#This Row],[put vanna]])*$A$4)</f>
        <v>0</v>
      </c>
      <c r="AR118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1" s="9" t="str" cm="1">
        <f t="array" ref="AT1181">_xlfn.IFS(     $M$1="SPX","SPXW",     $M$1="RUT","RUTW",  $M$1="NDX","NDXP",   TRUE,$M$1 )</f>
        <v>SPXW</v>
      </c>
      <c r="AU1181" s="2">
        <f t="shared" si="117"/>
        <v>6915</v>
      </c>
      <c r="AV1181" t="str">
        <f t="shared" si="118"/>
        <v>000100</v>
      </c>
      <c r="AY118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1">
        <f>((Table133456[[#This Row],[High C]]+Table133456[[#This Row],[Low C]])/2)*Table133456[[#This Row],[gammac]]*Table133456[[#This Row],[Volume]]</f>
        <v>0</v>
      </c>
      <c r="BD1181">
        <f>((Table133456[[#This Row],[High P]]+Table133456[[#This Row],[Low P]])/2)*Table133456[[#This Row],[gammap]]*Table133456[[#This Row],[Volume9]]*-1</f>
        <v>0</v>
      </c>
      <c r="BE1181">
        <f>(Table133456[[#This Row],[SgammaC]]+Table133456[[#This Row],[SgammaP]])*$A$4*-100</f>
        <v>0</v>
      </c>
      <c r="BF1181">
        <f>Table133456[[#This Row],[DEXc]]+Table133456[[#This Row],[DEXp]]</f>
        <v>0</v>
      </c>
      <c r="BG1181">
        <f>IFERROR(Table133456[[#This Row],[DeltaC]]*Table133456[[#This Row],[Open.Int]]*$A$4,0)</f>
        <v>0</v>
      </c>
      <c r="BH1181">
        <f>IFERROR(Table133456[[#This Row],[DeltaP]]*Table133456[[#This Row],[Open.Int8]]*$A$4,0)</f>
        <v>0</v>
      </c>
      <c r="BI118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1">
        <f ca="1">Table133456[[#This Row],[charmc]]+Table133456[[#This Row],[charmp]]</f>
        <v>0</v>
      </c>
      <c r="BL118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1" s="78">
        <f ca="1">Table133456[[#This Row],[call helper]]+Table133456[[#This Row],[put helper]]</f>
        <v>0</v>
      </c>
      <c r="BP1181" t="str">
        <f>RTD("tos.rtd", , "STRIKE", "."&amp;Table133456[[#This Row],[Ticker]]&amp;Table133456[[#This Row],[Expiry]]&amp;""&amp;"C"&amp;Table133456[[#This Row],[Spot]]+Table133456[[#This Row],[step]])</f>
        <v>N/A</v>
      </c>
    </row>
    <row r="1182" spans="1:68" x14ac:dyDescent="0.25">
      <c r="A1182" s="14">
        <f t="shared" ca="1" si="114"/>
        <v>-126.14810350076104</v>
      </c>
      <c r="C1182" s="17"/>
      <c r="D1182" t="str">
        <f>RTD("tos.rtd", , "OPEN_INT", "."&amp;Table133456[[#This Row],[Ticker]]&amp;Table133456[[#This Row],[Expiry]]&amp;""&amp;"C"&amp;Table133456[[#This Row],[Spot]]+Table133456[[#This Row],[step]])</f>
        <v>N/A</v>
      </c>
      <c r="E118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2" s="17" cm="1">
        <f t="array" aca="1" ref="H1182" ca="1">IndividualLegIVCore($A$4, Table133456[[#This Row],[Strike]], 0.0411, Table133456[[#This Row],[T]], ((Table133456[[#This Row],[BIDC]]+Table133456[[#This Row],[ASKC]])/2), TRUE)</f>
        <v>0.01</v>
      </c>
      <c r="I1182" t="b">
        <f>IF(     ISNUMBER(Table133456[[#This Row],[Strike]]),RTD("tos.rtd", , "BID", "."&amp;Table133456[[#This Row],[Ticker]]&amp;Table133456[[#This Row],[Expiry]]&amp;""&amp;"C"&amp;Table133456[[#This Row],[Strike]]))</f>
        <v>0</v>
      </c>
      <c r="J1182" t="b">
        <f>IF(     ISNUMBER(Table133456[[#This Row],[Strike]]),RTD("tos.rtd", , "ASK", "."&amp;Table133456[[#This Row],[Ticker]]&amp;Table133456[[#This Row],[Expiry]]&amp;""&amp;"C"&amp;Table133456[[#This Row],[Strike]]))</f>
        <v>0</v>
      </c>
      <c r="K1182" s="17"/>
      <c r="M1182" s="1">
        <f t="shared" si="115"/>
        <v>0</v>
      </c>
      <c r="N1182" t="b">
        <f t="shared" si="116"/>
        <v>0</v>
      </c>
      <c r="P1182" s="17" cm="1">
        <f t="array" aca="1" ref="P1182" ca="1">IndividualLegIVCore($A$4, Table133456[[#This Row],[Strike]], 0.0411, Table133456[[#This Row],[T]], ((Table133456[[#This Row],[BIDP]]+Table133456[[#This Row],[ASKP]])/2), FALSE)</f>
        <v>0.01</v>
      </c>
      <c r="Q1182" t="b">
        <f>IF(     ISNUMBER(Table133456[[#This Row],[Strike]]),RTD("tos.rtd", , "BID", "."&amp;Table133456[[#This Row],[Ticker]]&amp;Table133456[[#This Row],[Expiry]]&amp;""&amp;"P"&amp;Table133456[[#This Row],[Strike]]))</f>
        <v>0</v>
      </c>
      <c r="R1182" t="b">
        <f>IF(     ISNUMBER(Table133456[[#This Row],[Strike]]),RTD("tos.rtd", , "ASK", "."&amp;Table133456[[#This Row],[Ticker]]&amp;Table133456[[#This Row],[Expiry]]&amp;""&amp;"P"&amp;Table133456[[#This Row],[Strike]]))</f>
        <v>0</v>
      </c>
      <c r="S1182" s="17"/>
      <c r="T118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2" s="19">
        <f>28.5* IF($M$1="NDX", 10, IF(OR($M$1="SPX", $M$1="RUT"), 2, 1))</f>
        <v>57</v>
      </c>
      <c r="Z1182">
        <f ca="1">IFERROR(Table133456[[#This Row],[call gamma]]*(Table133456[[#This Row],[Open.Int]])*$A$4^2,0)</f>
        <v>0</v>
      </c>
      <c r="AA1182">
        <f ca="1">IFERROR(((Table133456[[#This Row],[Open.Int8]])*Table133456[[#This Row],[Put gamma]])*-1*$A$4^2,0)</f>
        <v>0</v>
      </c>
      <c r="AB1182">
        <f ca="1">(Table133456[[#This Row],[Call Gex]]+Table133456[[#This Row],[Put Gex]])</f>
        <v>0</v>
      </c>
      <c r="AC1182">
        <f ca="1">Table133456[[#This Row],[put delta adj]]+Table133456[[#This Row],[call delta adj]]</f>
        <v>0</v>
      </c>
      <c r="AD1182">
        <f ca="1">Table133456[[#This Row],[Put Gex]]*Table133456[[#This Row],[DeltaP]]*-1</f>
        <v>0</v>
      </c>
      <c r="AE1182">
        <f ca="1">Table133456[[#This Row],[Call Gex]]*Table133456[[#This Row],[DeltaC]]</f>
        <v>0</v>
      </c>
      <c r="AF1182">
        <f>IF(Table133456[[#This Row],[DeltaC]]-ABS(Table133456[[#This Row],[DeltaP]])="0","0.01",Table133456[[#This Row],[DeltaC]]-ABS(Table133456[[#This Row],[DeltaP]]))</f>
        <v>0</v>
      </c>
      <c r="AG118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2" t="e">
        <f ca="1">(EXP(-(AG1182^2)/2)/SQRT(2*PI())*EXP(0*SQRT(Table133456[[#This Row],[T]]))/$A$4*18%*SQRT(SQRT(Table133456[[#This Row],[T]])))</f>
        <v>#DIV/0!</v>
      </c>
      <c r="AJ1182" t="e">
        <f ca="1">(EXP(-(AH1182^2)/2)/SQRT(2*PI())*EXP(0*SQRT(Table133456[[#This Row],[T]]))/$A$4*18%*SQRT(SQRT(Table133456[[#This Row],[T]])))</f>
        <v>#DIV/0!</v>
      </c>
      <c r="AK1182" t="e">
        <f ca="1">Table133456[[#This Row],[Call D1]]-Table133456[[#This Row],[IV Calc C]]*SQRT(Table133456[[#This Row],[T]])</f>
        <v>#DIV/0!</v>
      </c>
      <c r="AL1182" t="e">
        <f ca="1">Table133456[[#This Row],[Put D1]]-Table133456[[#This Row],[IV Calc P]]*SQRT(Table133456[[#This Row],[T]])</f>
        <v>#DIV/0!</v>
      </c>
      <c r="AM1182" t="e">
        <f ca="1">EXP(-0.5*Table133456[[#This Row],[Call D1]]^2)/SQRT(2*PI())</f>
        <v>#DIV/0!</v>
      </c>
      <c r="AN1182" t="e">
        <f ca="1">EXP(-0.5*Table133456[[#This Row],[Put D1]]^2)/SQRT(2*PI())</f>
        <v>#DIV/0!</v>
      </c>
      <c r="AO118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2">
        <f ca="1">((Table133456[[#This Row],[call vanna]]+Table133456[[#This Row],[put vanna]])*$A$4)</f>
        <v>0</v>
      </c>
      <c r="AR118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2" s="9" t="str" cm="1">
        <f t="array" ref="AT1182">_xlfn.IFS(     $M$1="SPX","SPXW",     $M$1="RUT","RUTW",  $M$1="NDX","NDXP",   TRUE,$M$1 )</f>
        <v>SPXW</v>
      </c>
      <c r="AU1182" s="2">
        <f t="shared" si="117"/>
        <v>6915</v>
      </c>
      <c r="AV1182" t="str">
        <f t="shared" si="118"/>
        <v>000100</v>
      </c>
      <c r="AY118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2">
        <f>((Table133456[[#This Row],[High C]]+Table133456[[#This Row],[Low C]])/2)*Table133456[[#This Row],[gammac]]*Table133456[[#This Row],[Volume]]</f>
        <v>0</v>
      </c>
      <c r="BD1182">
        <f>((Table133456[[#This Row],[High P]]+Table133456[[#This Row],[Low P]])/2)*Table133456[[#This Row],[gammap]]*Table133456[[#This Row],[Volume9]]*-1</f>
        <v>0</v>
      </c>
      <c r="BE1182">
        <f>(Table133456[[#This Row],[SgammaC]]+Table133456[[#This Row],[SgammaP]])*$A$4*-100</f>
        <v>0</v>
      </c>
      <c r="BF1182">
        <f>Table133456[[#This Row],[DEXc]]+Table133456[[#This Row],[DEXp]]</f>
        <v>0</v>
      </c>
      <c r="BG1182">
        <f>IFERROR(Table133456[[#This Row],[DeltaC]]*Table133456[[#This Row],[Open.Int]]*$A$4,0)</f>
        <v>0</v>
      </c>
      <c r="BH1182">
        <f>IFERROR(Table133456[[#This Row],[DeltaP]]*Table133456[[#This Row],[Open.Int8]]*$A$4,0)</f>
        <v>0</v>
      </c>
      <c r="BI118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2">
        <f ca="1">Table133456[[#This Row],[charmc]]+Table133456[[#This Row],[charmp]]</f>
        <v>0</v>
      </c>
      <c r="BL118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2" s="78">
        <f ca="1">Table133456[[#This Row],[call helper]]+Table133456[[#This Row],[put helper]]</f>
        <v>0</v>
      </c>
      <c r="BP1182" t="str">
        <f>RTD("tos.rtd", , "STRIKE", "."&amp;Table133456[[#This Row],[Ticker]]&amp;Table133456[[#This Row],[Expiry]]&amp;""&amp;"C"&amp;Table133456[[#This Row],[Spot]]+Table133456[[#This Row],[step]])</f>
        <v>N/A</v>
      </c>
    </row>
    <row r="1183" spans="1:68" x14ac:dyDescent="0.25">
      <c r="A1183" s="24">
        <f t="shared" ca="1" si="114"/>
        <v>-126.14810350076104</v>
      </c>
      <c r="B1183" s="13"/>
      <c r="C1183" s="17"/>
      <c r="D1183" t="str">
        <f>RTD("tos.rtd", , "OPEN_INT", "."&amp;Table133456[[#This Row],[Ticker]]&amp;Table133456[[#This Row],[Expiry]]&amp;""&amp;"C"&amp;Table133456[[#This Row],[Spot]]+Table133456[[#This Row],[step]])</f>
        <v>N/A</v>
      </c>
      <c r="E118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3" s="17" cm="1">
        <f t="array" aca="1" ref="H1183" ca="1">IndividualLegIVCore($A$4, Table133456[[#This Row],[Strike]], 0.0411, Table133456[[#This Row],[T]], ((Table133456[[#This Row],[BIDC]]+Table133456[[#This Row],[ASKC]])/2), TRUE)</f>
        <v>0.01</v>
      </c>
      <c r="I1183" t="b">
        <f>IF(     ISNUMBER(Table133456[[#This Row],[Strike]]),RTD("tos.rtd", , "BID", "."&amp;Table133456[[#This Row],[Ticker]]&amp;Table133456[[#This Row],[Expiry]]&amp;""&amp;"C"&amp;Table133456[[#This Row],[Strike]]))</f>
        <v>0</v>
      </c>
      <c r="J1183" t="b">
        <f>IF(     ISNUMBER(Table133456[[#This Row],[Strike]]),RTD("tos.rtd", , "ASK", "."&amp;Table133456[[#This Row],[Ticker]]&amp;Table133456[[#This Row],[Expiry]]&amp;""&amp;"C"&amp;Table133456[[#This Row],[Strike]]))</f>
        <v>0</v>
      </c>
      <c r="K1183" s="17"/>
      <c r="M1183" s="1">
        <f t="shared" si="115"/>
        <v>0</v>
      </c>
      <c r="N1183" t="b">
        <f t="shared" si="116"/>
        <v>0</v>
      </c>
      <c r="P1183" s="17" cm="1">
        <f t="array" aca="1" ref="P1183" ca="1">IndividualLegIVCore($A$4, Table133456[[#This Row],[Strike]], 0.0411, Table133456[[#This Row],[T]], ((Table133456[[#This Row],[BIDP]]+Table133456[[#This Row],[ASKP]])/2), FALSE)</f>
        <v>0.01</v>
      </c>
      <c r="Q1183" t="b">
        <f>IF(     ISNUMBER(Table133456[[#This Row],[Strike]]),RTD("tos.rtd", , "BID", "."&amp;Table133456[[#This Row],[Ticker]]&amp;Table133456[[#This Row],[Expiry]]&amp;""&amp;"P"&amp;Table133456[[#This Row],[Strike]]))</f>
        <v>0</v>
      </c>
      <c r="R1183" t="b">
        <f>IF(     ISNUMBER(Table133456[[#This Row],[Strike]]),RTD("tos.rtd", , "ASK", "."&amp;Table133456[[#This Row],[Ticker]]&amp;Table133456[[#This Row],[Expiry]]&amp;""&amp;"P"&amp;Table133456[[#This Row],[Strike]]))</f>
        <v>0</v>
      </c>
      <c r="S1183" s="17"/>
      <c r="T118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3" t="b">
        <f>IF(     ISNUMBER(Table133456[[#This Row],[Strike]]),RTD("tos.rtd", , "DELTA", "."&amp;Table133456[[#This Row],[Ticker]]&amp;Table133456[[#This Row],[Expiry]]&amp;""&amp;"P"&amp;Table133456[[#This Row],[Strike]]))</f>
        <v>0</v>
      </c>
      <c r="X1183" s="13"/>
      <c r="Y1183" s="19">
        <f>29* IF($M$1="NDX", 10, IF(OR($M$1="SPX", $M$1="RUT"), 2, 1))</f>
        <v>58</v>
      </c>
      <c r="Z1183">
        <f ca="1">IFERROR(Table133456[[#This Row],[call gamma]]*(Table133456[[#This Row],[Open.Int]])*$A$4^2,0)</f>
        <v>0</v>
      </c>
      <c r="AA1183">
        <f ca="1">IFERROR(((Table133456[[#This Row],[Open.Int8]])*Table133456[[#This Row],[Put gamma]])*-1*$A$4^2,0)</f>
        <v>0</v>
      </c>
      <c r="AB1183">
        <f ca="1">(Table133456[[#This Row],[Call Gex]]+Table133456[[#This Row],[Put Gex]])</f>
        <v>0</v>
      </c>
      <c r="AC1183">
        <f ca="1">Table133456[[#This Row],[put delta adj]]+Table133456[[#This Row],[call delta adj]]</f>
        <v>0</v>
      </c>
      <c r="AD1183">
        <f ca="1">Table133456[[#This Row],[Put Gex]]*Table133456[[#This Row],[DeltaP]]*-1</f>
        <v>0</v>
      </c>
      <c r="AE1183">
        <f ca="1">Table133456[[#This Row],[Call Gex]]*Table133456[[#This Row],[DeltaC]]</f>
        <v>0</v>
      </c>
      <c r="AF1183">
        <f>IF(Table133456[[#This Row],[DeltaC]]-ABS(Table133456[[#This Row],[DeltaP]])="0","0.01",Table133456[[#This Row],[DeltaC]]-ABS(Table133456[[#This Row],[DeltaP]]))</f>
        <v>0</v>
      </c>
      <c r="AG118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3" t="e">
        <f ca="1">(EXP(-(AG1183^2)/2)/SQRT(2*PI())*EXP(0*SQRT(Table133456[[#This Row],[T]]))/$A$4*18%*SQRT(SQRT(Table133456[[#This Row],[T]])))</f>
        <v>#DIV/0!</v>
      </c>
      <c r="AJ1183" t="e">
        <f ca="1">(EXP(-(AH1183^2)/2)/SQRT(2*PI())*EXP(0*SQRT(Table133456[[#This Row],[T]]))/$A$4*18%*SQRT(SQRT(Table133456[[#This Row],[T]])))</f>
        <v>#DIV/0!</v>
      </c>
      <c r="AK1183" t="e">
        <f ca="1">Table133456[[#This Row],[Call D1]]-Table133456[[#This Row],[IV Calc C]]*SQRT(Table133456[[#This Row],[T]])</f>
        <v>#DIV/0!</v>
      </c>
      <c r="AL1183" t="e">
        <f ca="1">Table133456[[#This Row],[Put D1]]-Table133456[[#This Row],[IV Calc P]]*SQRT(Table133456[[#This Row],[T]])</f>
        <v>#DIV/0!</v>
      </c>
      <c r="AM1183" t="e">
        <f ca="1">EXP(-0.5*Table133456[[#This Row],[Call D1]]^2)/SQRT(2*PI())</f>
        <v>#DIV/0!</v>
      </c>
      <c r="AN1183" t="e">
        <f ca="1">EXP(-0.5*Table133456[[#This Row],[Put D1]]^2)/SQRT(2*PI())</f>
        <v>#DIV/0!</v>
      </c>
      <c r="AO118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3">
        <f ca="1">((Table133456[[#This Row],[call vanna]]+Table133456[[#This Row],[put vanna]])*$A$4)</f>
        <v>0</v>
      </c>
      <c r="AR118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3" s="22" t="str" cm="1">
        <f t="array" ref="AT1183">_xlfn.IFS(     $M$1="SPX","SPXW",     $M$1="RUT","RUTW",  $M$1="NDX","NDXP",   TRUE,$M$1 )</f>
        <v>SPXW</v>
      </c>
      <c r="AU1183" s="23">
        <f t="shared" si="117"/>
        <v>6915</v>
      </c>
      <c r="AV1183" s="13" t="str">
        <f t="shared" si="118"/>
        <v>000100</v>
      </c>
      <c r="AY118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3">
        <f>((Table133456[[#This Row],[High C]]+Table133456[[#This Row],[Low C]])/2)*Table133456[[#This Row],[gammac]]*Table133456[[#This Row],[Volume]]</f>
        <v>0</v>
      </c>
      <c r="BD1183">
        <f>((Table133456[[#This Row],[High P]]+Table133456[[#This Row],[Low P]])/2)*Table133456[[#This Row],[gammap]]*Table133456[[#This Row],[Volume9]]*-1</f>
        <v>0</v>
      </c>
      <c r="BE1183">
        <f>(Table133456[[#This Row],[SgammaC]]+Table133456[[#This Row],[SgammaP]])*$A$4*-100</f>
        <v>0</v>
      </c>
      <c r="BF1183">
        <f>Table133456[[#This Row],[DEXc]]+Table133456[[#This Row],[DEXp]]</f>
        <v>0</v>
      </c>
      <c r="BG1183">
        <f>IFERROR(Table133456[[#This Row],[DeltaC]]*Table133456[[#This Row],[Open.Int]]*$A$4,0)</f>
        <v>0</v>
      </c>
      <c r="BH1183">
        <f>IFERROR(Table133456[[#This Row],[DeltaP]]*Table133456[[#This Row],[Open.Int8]]*$A$4,0)</f>
        <v>0</v>
      </c>
      <c r="BI118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3">
        <f ca="1">Table133456[[#This Row],[charmc]]+Table133456[[#This Row],[charmp]]</f>
        <v>0</v>
      </c>
      <c r="BL118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3" s="78">
        <f ca="1">Table133456[[#This Row],[call helper]]+Table133456[[#This Row],[put helper]]</f>
        <v>0</v>
      </c>
      <c r="BP1183" t="str">
        <f>RTD("tos.rtd", , "STRIKE", "."&amp;Table133456[[#This Row],[Ticker]]&amp;Table133456[[#This Row],[Expiry]]&amp;""&amp;"C"&amp;Table133456[[#This Row],[Spot]]+Table133456[[#This Row],[step]])</f>
        <v>N/A</v>
      </c>
    </row>
    <row r="1184" spans="1:68" x14ac:dyDescent="0.25">
      <c r="A1184" s="14">
        <f t="shared" ca="1" si="114"/>
        <v>-126.14810350076104</v>
      </c>
      <c r="C1184" s="17"/>
      <c r="D1184" t="str">
        <f>RTD("tos.rtd", , "OPEN_INT", "."&amp;Table133456[[#This Row],[Ticker]]&amp;Table133456[[#This Row],[Expiry]]&amp;""&amp;"C"&amp;Table133456[[#This Row],[Spot]]+Table133456[[#This Row],[step]])</f>
        <v>N/A</v>
      </c>
      <c r="E118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4" s="17" cm="1">
        <f t="array" aca="1" ref="H1184" ca="1">IndividualLegIVCore($A$4, Table133456[[#This Row],[Strike]], 0.0411, Table133456[[#This Row],[T]], ((Table133456[[#This Row],[BIDC]]+Table133456[[#This Row],[ASKC]])/2), TRUE)</f>
        <v>0.01</v>
      </c>
      <c r="I1184" t="b">
        <f>IF(     ISNUMBER(Table133456[[#This Row],[Strike]]),RTD("tos.rtd", , "BID", "."&amp;Table133456[[#This Row],[Ticker]]&amp;Table133456[[#This Row],[Expiry]]&amp;""&amp;"C"&amp;Table133456[[#This Row],[Strike]]))</f>
        <v>0</v>
      </c>
      <c r="J1184" t="b">
        <f>IF(     ISNUMBER(Table133456[[#This Row],[Strike]]),RTD("tos.rtd", , "ASK", "."&amp;Table133456[[#This Row],[Ticker]]&amp;Table133456[[#This Row],[Expiry]]&amp;""&amp;"C"&amp;Table133456[[#This Row],[Strike]]))</f>
        <v>0</v>
      </c>
      <c r="K1184" s="17"/>
      <c r="M1184" s="1">
        <f t="shared" si="115"/>
        <v>0</v>
      </c>
      <c r="N1184" t="b">
        <f t="shared" si="116"/>
        <v>0</v>
      </c>
      <c r="P1184" s="17" cm="1">
        <f t="array" aca="1" ref="P1184" ca="1">IndividualLegIVCore($A$4, Table133456[[#This Row],[Strike]], 0.0411, Table133456[[#This Row],[T]], ((Table133456[[#This Row],[BIDP]]+Table133456[[#This Row],[ASKP]])/2), FALSE)</f>
        <v>0.01</v>
      </c>
      <c r="Q1184" t="b">
        <f>IF(     ISNUMBER(Table133456[[#This Row],[Strike]]),RTD("tos.rtd", , "BID", "."&amp;Table133456[[#This Row],[Ticker]]&amp;Table133456[[#This Row],[Expiry]]&amp;""&amp;"P"&amp;Table133456[[#This Row],[Strike]]))</f>
        <v>0</v>
      </c>
      <c r="R1184" t="b">
        <f>IF(     ISNUMBER(Table133456[[#This Row],[Strike]]),RTD("tos.rtd", , "ASK", "."&amp;Table133456[[#This Row],[Ticker]]&amp;Table133456[[#This Row],[Expiry]]&amp;""&amp;"P"&amp;Table133456[[#This Row],[Strike]]))</f>
        <v>0</v>
      </c>
      <c r="S1184" s="17"/>
      <c r="T118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4" s="19">
        <f>29.5* IF($M$1="NDX", 10, IF(OR($M$1="SPX", $M$1="RUT"), 2, 1))</f>
        <v>59</v>
      </c>
      <c r="Z1184">
        <f ca="1">IFERROR(Table133456[[#This Row],[call gamma]]*(Table133456[[#This Row],[Open.Int]])*$A$4^2,0)</f>
        <v>0</v>
      </c>
      <c r="AA1184">
        <f ca="1">IFERROR(((Table133456[[#This Row],[Open.Int8]])*Table133456[[#This Row],[Put gamma]])*-1*$A$4^2,0)</f>
        <v>0</v>
      </c>
      <c r="AB1184">
        <f ca="1">(Table133456[[#This Row],[Call Gex]]+Table133456[[#This Row],[Put Gex]])</f>
        <v>0</v>
      </c>
      <c r="AC1184">
        <f ca="1">Table133456[[#This Row],[put delta adj]]+Table133456[[#This Row],[call delta adj]]</f>
        <v>0</v>
      </c>
      <c r="AD1184">
        <f ca="1">Table133456[[#This Row],[Put Gex]]*Table133456[[#This Row],[DeltaP]]*-1</f>
        <v>0</v>
      </c>
      <c r="AE1184">
        <f ca="1">Table133456[[#This Row],[Call Gex]]*Table133456[[#This Row],[DeltaC]]</f>
        <v>0</v>
      </c>
      <c r="AF1184">
        <f>IF(Table133456[[#This Row],[DeltaC]]-ABS(Table133456[[#This Row],[DeltaP]])="0","0.01",Table133456[[#This Row],[DeltaC]]-ABS(Table133456[[#This Row],[DeltaP]]))</f>
        <v>0</v>
      </c>
      <c r="AG118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4" t="e">
        <f ca="1">(EXP(-(AG1184^2)/2)/SQRT(2*PI())*EXP(0*SQRT(Table133456[[#This Row],[T]]))/$A$4*18%*SQRT(SQRT(Table133456[[#This Row],[T]])))</f>
        <v>#DIV/0!</v>
      </c>
      <c r="AJ1184" t="e">
        <f ca="1">(EXP(-(AH1184^2)/2)/SQRT(2*PI())*EXP(0*SQRT(Table133456[[#This Row],[T]]))/$A$4*18%*SQRT(SQRT(Table133456[[#This Row],[T]])))</f>
        <v>#DIV/0!</v>
      </c>
      <c r="AK1184" t="e">
        <f ca="1">Table133456[[#This Row],[Call D1]]-Table133456[[#This Row],[IV Calc C]]*SQRT(Table133456[[#This Row],[T]])</f>
        <v>#DIV/0!</v>
      </c>
      <c r="AL1184" t="e">
        <f ca="1">Table133456[[#This Row],[Put D1]]-Table133456[[#This Row],[IV Calc P]]*SQRT(Table133456[[#This Row],[T]])</f>
        <v>#DIV/0!</v>
      </c>
      <c r="AM1184" t="e">
        <f ca="1">EXP(-0.5*Table133456[[#This Row],[Call D1]]^2)/SQRT(2*PI())</f>
        <v>#DIV/0!</v>
      </c>
      <c r="AN1184" t="e">
        <f ca="1">EXP(-0.5*Table133456[[#This Row],[Put D1]]^2)/SQRT(2*PI())</f>
        <v>#DIV/0!</v>
      </c>
      <c r="AO118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4">
        <f ca="1">((Table133456[[#This Row],[call vanna]]+Table133456[[#This Row],[put vanna]])*$A$4)</f>
        <v>0</v>
      </c>
      <c r="AR118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4" s="9" t="str" cm="1">
        <f t="array" ref="AT1184">_xlfn.IFS(     $M$1="SPX","SPXW",     $M$1="RUT","RUTW",  $M$1="NDX","NDXP",   TRUE,$M$1 )</f>
        <v>SPXW</v>
      </c>
      <c r="AU1184" s="2">
        <f t="shared" si="117"/>
        <v>6915</v>
      </c>
      <c r="AV1184" t="str">
        <f t="shared" si="118"/>
        <v>000100</v>
      </c>
      <c r="AY118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4">
        <f>((Table133456[[#This Row],[High C]]+Table133456[[#This Row],[Low C]])/2)*Table133456[[#This Row],[gammac]]*Table133456[[#This Row],[Volume]]</f>
        <v>0</v>
      </c>
      <c r="BD1184">
        <f>((Table133456[[#This Row],[High P]]+Table133456[[#This Row],[Low P]])/2)*Table133456[[#This Row],[gammap]]*Table133456[[#This Row],[Volume9]]*-1</f>
        <v>0</v>
      </c>
      <c r="BE1184">
        <f>(Table133456[[#This Row],[SgammaC]]+Table133456[[#This Row],[SgammaP]])*$A$4*-100</f>
        <v>0</v>
      </c>
      <c r="BF1184">
        <f>Table133456[[#This Row],[DEXc]]+Table133456[[#This Row],[DEXp]]</f>
        <v>0</v>
      </c>
      <c r="BG1184">
        <f>IFERROR(Table133456[[#This Row],[DeltaC]]*Table133456[[#This Row],[Open.Int]]*$A$4,0)</f>
        <v>0</v>
      </c>
      <c r="BH1184">
        <f>IFERROR(Table133456[[#This Row],[DeltaP]]*Table133456[[#This Row],[Open.Int8]]*$A$4,0)</f>
        <v>0</v>
      </c>
      <c r="BI118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4">
        <f ca="1">Table133456[[#This Row],[charmc]]+Table133456[[#This Row],[charmp]]</f>
        <v>0</v>
      </c>
      <c r="BL118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4" s="78">
        <f ca="1">Table133456[[#This Row],[call helper]]+Table133456[[#This Row],[put helper]]</f>
        <v>0</v>
      </c>
      <c r="BP1184" t="str">
        <f>RTD("tos.rtd", , "STRIKE", "."&amp;Table133456[[#This Row],[Ticker]]&amp;Table133456[[#This Row],[Expiry]]&amp;""&amp;"C"&amp;Table133456[[#This Row],[Spot]]+Table133456[[#This Row],[step]])</f>
        <v>N/A</v>
      </c>
    </row>
    <row r="1185" spans="1:68" x14ac:dyDescent="0.25">
      <c r="A1185" s="14">
        <f t="shared" ca="1" si="114"/>
        <v>-126.14810350076104</v>
      </c>
      <c r="C1185" s="17"/>
      <c r="D1185" t="str">
        <f>RTD("tos.rtd", , "OPEN_INT", "."&amp;Table133456[[#This Row],[Ticker]]&amp;Table133456[[#This Row],[Expiry]]&amp;""&amp;"C"&amp;Table133456[[#This Row],[Spot]]+Table133456[[#This Row],[step]])</f>
        <v>N/A</v>
      </c>
      <c r="E118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5" s="17" cm="1">
        <f t="array" aca="1" ref="H1185" ca="1">IndividualLegIVCore($A$4, Table133456[[#This Row],[Strike]], 0.0411, Table133456[[#This Row],[T]], ((Table133456[[#This Row],[BIDC]]+Table133456[[#This Row],[ASKC]])/2), TRUE)</f>
        <v>0.01</v>
      </c>
      <c r="I1185" t="b">
        <f>IF(     ISNUMBER(Table133456[[#This Row],[Strike]]),RTD("tos.rtd", , "BID", "."&amp;Table133456[[#This Row],[Ticker]]&amp;Table133456[[#This Row],[Expiry]]&amp;""&amp;"C"&amp;Table133456[[#This Row],[Strike]]))</f>
        <v>0</v>
      </c>
      <c r="J1185" t="b">
        <f>IF(     ISNUMBER(Table133456[[#This Row],[Strike]]),RTD("tos.rtd", , "ASK", "."&amp;Table133456[[#This Row],[Ticker]]&amp;Table133456[[#This Row],[Expiry]]&amp;""&amp;"C"&amp;Table133456[[#This Row],[Strike]]))</f>
        <v>0</v>
      </c>
      <c r="K1185" s="17"/>
      <c r="M1185" s="1">
        <f t="shared" si="115"/>
        <v>0</v>
      </c>
      <c r="N1185" t="b">
        <f t="shared" si="116"/>
        <v>0</v>
      </c>
      <c r="P1185" s="17" cm="1">
        <f t="array" aca="1" ref="P1185" ca="1">IndividualLegIVCore($A$4, Table133456[[#This Row],[Strike]], 0.0411, Table133456[[#This Row],[T]], ((Table133456[[#This Row],[BIDP]]+Table133456[[#This Row],[ASKP]])/2), FALSE)</f>
        <v>0.01</v>
      </c>
      <c r="Q1185" t="b">
        <f>IF(     ISNUMBER(Table133456[[#This Row],[Strike]]),RTD("tos.rtd", , "BID", "."&amp;Table133456[[#This Row],[Ticker]]&amp;Table133456[[#This Row],[Expiry]]&amp;""&amp;"P"&amp;Table133456[[#This Row],[Strike]]))</f>
        <v>0</v>
      </c>
      <c r="R1185" t="b">
        <f>IF(     ISNUMBER(Table133456[[#This Row],[Strike]]),RTD("tos.rtd", , "ASK", "."&amp;Table133456[[#This Row],[Ticker]]&amp;Table133456[[#This Row],[Expiry]]&amp;""&amp;"P"&amp;Table133456[[#This Row],[Strike]]))</f>
        <v>0</v>
      </c>
      <c r="S1185" s="17"/>
      <c r="T118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5" s="21">
        <f>30* IF($M$1="NDX", 10, IF(OR($M$1="SPX", $M$1="RUT"), 2, 1))</f>
        <v>60</v>
      </c>
      <c r="Z1185">
        <f ca="1">IFERROR(Table133456[[#This Row],[call gamma]]*(Table133456[[#This Row],[Open.Int]])*$A$4^2,0)</f>
        <v>0</v>
      </c>
      <c r="AA1185">
        <f ca="1">IFERROR(((Table133456[[#This Row],[Open.Int8]])*Table133456[[#This Row],[Put gamma]])*-1*$A$4^2,0)</f>
        <v>0</v>
      </c>
      <c r="AB1185">
        <f ca="1">(Table133456[[#This Row],[Call Gex]]+Table133456[[#This Row],[Put Gex]])</f>
        <v>0</v>
      </c>
      <c r="AC1185">
        <f ca="1">Table133456[[#This Row],[put delta adj]]+Table133456[[#This Row],[call delta adj]]</f>
        <v>0</v>
      </c>
      <c r="AD1185">
        <f ca="1">Table133456[[#This Row],[Put Gex]]*Table133456[[#This Row],[DeltaP]]*-1</f>
        <v>0</v>
      </c>
      <c r="AE1185">
        <f ca="1">Table133456[[#This Row],[Call Gex]]*Table133456[[#This Row],[DeltaC]]</f>
        <v>0</v>
      </c>
      <c r="AF1185">
        <f>IF(Table133456[[#This Row],[DeltaC]]-ABS(Table133456[[#This Row],[DeltaP]])="0","0.01",Table133456[[#This Row],[DeltaC]]-ABS(Table133456[[#This Row],[DeltaP]]))</f>
        <v>0</v>
      </c>
      <c r="AG118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5" t="e">
        <f ca="1">(EXP(-(AG1185^2)/2)/SQRT(2*PI())*EXP(0*SQRT(Table133456[[#This Row],[T]]))/$A$4*18%*SQRT(SQRT(Table133456[[#This Row],[T]])))</f>
        <v>#DIV/0!</v>
      </c>
      <c r="AJ1185" t="e">
        <f ca="1">(EXP(-(AH1185^2)/2)/SQRT(2*PI())*EXP(0*SQRT(Table133456[[#This Row],[T]]))/$A$4*18%*SQRT(SQRT(Table133456[[#This Row],[T]])))</f>
        <v>#DIV/0!</v>
      </c>
      <c r="AK1185" t="e">
        <f ca="1">Table133456[[#This Row],[Call D1]]-Table133456[[#This Row],[IV Calc C]]*SQRT(Table133456[[#This Row],[T]])</f>
        <v>#DIV/0!</v>
      </c>
      <c r="AL1185" t="e">
        <f ca="1">Table133456[[#This Row],[Put D1]]-Table133456[[#This Row],[IV Calc P]]*SQRT(Table133456[[#This Row],[T]])</f>
        <v>#DIV/0!</v>
      </c>
      <c r="AM1185" t="e">
        <f ca="1">EXP(-0.5*Table133456[[#This Row],[Call D1]]^2)/SQRT(2*PI())</f>
        <v>#DIV/0!</v>
      </c>
      <c r="AN1185" t="e">
        <f ca="1">EXP(-0.5*Table133456[[#This Row],[Put D1]]^2)/SQRT(2*PI())</f>
        <v>#DIV/0!</v>
      </c>
      <c r="AO118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5">
        <f ca="1">((Table133456[[#This Row],[call vanna]]+Table133456[[#This Row],[put vanna]])*$A$4)</f>
        <v>0</v>
      </c>
      <c r="AR118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5" s="9" t="str" cm="1">
        <f t="array" ref="AT1185">_xlfn.IFS(     $M$1="SPX","SPXW",     $M$1="RUT","RUTW",  $M$1="NDX","NDXP",   TRUE,$M$1 )</f>
        <v>SPXW</v>
      </c>
      <c r="AU1185" s="2">
        <f t="shared" si="117"/>
        <v>6915</v>
      </c>
      <c r="AV1185" t="str">
        <f t="shared" si="118"/>
        <v>000100</v>
      </c>
      <c r="AY118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5">
        <f>((Table133456[[#This Row],[High C]]+Table133456[[#This Row],[Low C]])/2)*Table133456[[#This Row],[gammac]]*Table133456[[#This Row],[Volume]]</f>
        <v>0</v>
      </c>
      <c r="BD1185">
        <f>((Table133456[[#This Row],[High P]]+Table133456[[#This Row],[Low P]])/2)*Table133456[[#This Row],[gammap]]*Table133456[[#This Row],[Volume9]]*-1</f>
        <v>0</v>
      </c>
      <c r="BE1185">
        <f>(Table133456[[#This Row],[SgammaC]]+Table133456[[#This Row],[SgammaP]])*$A$4*-100</f>
        <v>0</v>
      </c>
      <c r="BF1185">
        <f>Table133456[[#This Row],[DEXc]]+Table133456[[#This Row],[DEXp]]</f>
        <v>0</v>
      </c>
      <c r="BG1185">
        <f>IFERROR(Table133456[[#This Row],[DeltaC]]*Table133456[[#This Row],[Open.Int]]*$A$4,0)</f>
        <v>0</v>
      </c>
      <c r="BH1185">
        <f>IFERROR(Table133456[[#This Row],[DeltaP]]*Table133456[[#This Row],[Open.Int8]]*$A$4,0)</f>
        <v>0</v>
      </c>
      <c r="BI118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5">
        <f ca="1">Table133456[[#This Row],[charmc]]+Table133456[[#This Row],[charmp]]</f>
        <v>0</v>
      </c>
      <c r="BL118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5" s="78">
        <f ca="1">Table133456[[#This Row],[call helper]]+Table133456[[#This Row],[put helper]]</f>
        <v>0</v>
      </c>
      <c r="BP1185" t="str">
        <f>RTD("tos.rtd", , "STRIKE", "."&amp;Table133456[[#This Row],[Ticker]]&amp;Table133456[[#This Row],[Expiry]]&amp;""&amp;"C"&amp;Table133456[[#This Row],[Spot]]+Table133456[[#This Row],[step]])</f>
        <v>N/A</v>
      </c>
    </row>
    <row r="1186" spans="1:68" x14ac:dyDescent="0.25">
      <c r="A1186" s="14">
        <f t="shared" ca="1" si="114"/>
        <v>-126.14810350076104</v>
      </c>
      <c r="C1186" s="17"/>
      <c r="D1186" t="str">
        <f>RTD("tos.rtd", , "OPEN_INT", "."&amp;Table133456[[#This Row],[Ticker]]&amp;Table133456[[#This Row],[Expiry]]&amp;""&amp;"C"&amp;Table133456[[#This Row],[Spot]]+Table133456[[#This Row],[step]])</f>
        <v>N/A</v>
      </c>
      <c r="E118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6" s="17" cm="1">
        <f t="array" aca="1" ref="H1186" ca="1">IndividualLegIVCore($A$4, Table133456[[#This Row],[Strike]], 0.0411, Table133456[[#This Row],[T]], ((Table133456[[#This Row],[BIDC]]+Table133456[[#This Row],[ASKC]])/2), TRUE)</f>
        <v>0.01</v>
      </c>
      <c r="I1186" t="b">
        <f>IF(     ISNUMBER(Table133456[[#This Row],[Strike]]),RTD("tos.rtd", , "BID", "."&amp;Table133456[[#This Row],[Ticker]]&amp;Table133456[[#This Row],[Expiry]]&amp;""&amp;"C"&amp;Table133456[[#This Row],[Strike]]))</f>
        <v>0</v>
      </c>
      <c r="J1186" t="b">
        <f>IF(     ISNUMBER(Table133456[[#This Row],[Strike]]),RTD("tos.rtd", , "ASK", "."&amp;Table133456[[#This Row],[Ticker]]&amp;Table133456[[#This Row],[Expiry]]&amp;""&amp;"C"&amp;Table133456[[#This Row],[Strike]]))</f>
        <v>0</v>
      </c>
      <c r="K1186" s="17"/>
      <c r="M1186" s="1">
        <f t="shared" si="115"/>
        <v>0</v>
      </c>
      <c r="N1186" t="b">
        <f t="shared" si="116"/>
        <v>0</v>
      </c>
      <c r="P1186" s="17" cm="1">
        <f t="array" aca="1" ref="P1186" ca="1">IndividualLegIVCore($A$4, Table133456[[#This Row],[Strike]], 0.0411, Table133456[[#This Row],[T]], ((Table133456[[#This Row],[BIDP]]+Table133456[[#This Row],[ASKP]])/2), FALSE)</f>
        <v>0.01</v>
      </c>
      <c r="Q1186" t="b">
        <f>IF(     ISNUMBER(Table133456[[#This Row],[Strike]]),RTD("tos.rtd", , "BID", "."&amp;Table133456[[#This Row],[Ticker]]&amp;Table133456[[#This Row],[Expiry]]&amp;""&amp;"P"&amp;Table133456[[#This Row],[Strike]]))</f>
        <v>0</v>
      </c>
      <c r="R1186" t="b">
        <f>IF(     ISNUMBER(Table133456[[#This Row],[Strike]]),RTD("tos.rtd", , "ASK", "."&amp;Table133456[[#This Row],[Ticker]]&amp;Table133456[[#This Row],[Expiry]]&amp;""&amp;"P"&amp;Table133456[[#This Row],[Strike]]))</f>
        <v>0</v>
      </c>
      <c r="S1186" s="17"/>
      <c r="T118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6" s="19">
        <f>30.5* IF($M$1="NDX", 10, IF(OR($M$1="SPX", $M$1="RUT"), 2, 1))</f>
        <v>61</v>
      </c>
      <c r="Z1186">
        <f ca="1">IFERROR(Table133456[[#This Row],[call gamma]]*(Table133456[[#This Row],[Open.Int]])*$A$4^2,0)</f>
        <v>0</v>
      </c>
      <c r="AA1186">
        <f ca="1">IFERROR(((Table133456[[#This Row],[Open.Int8]])*Table133456[[#This Row],[Put gamma]])*-1*$A$4^2,0)</f>
        <v>0</v>
      </c>
      <c r="AB1186">
        <f ca="1">(Table133456[[#This Row],[Call Gex]]+Table133456[[#This Row],[Put Gex]])</f>
        <v>0</v>
      </c>
      <c r="AC1186">
        <f ca="1">Table133456[[#This Row],[put delta adj]]+Table133456[[#This Row],[call delta adj]]</f>
        <v>0</v>
      </c>
      <c r="AD1186">
        <f ca="1">Table133456[[#This Row],[Put Gex]]*Table133456[[#This Row],[DeltaP]]*-1</f>
        <v>0</v>
      </c>
      <c r="AE1186">
        <f ca="1">Table133456[[#This Row],[Call Gex]]*Table133456[[#This Row],[DeltaC]]</f>
        <v>0</v>
      </c>
      <c r="AF1186">
        <f>IF(Table133456[[#This Row],[DeltaC]]-ABS(Table133456[[#This Row],[DeltaP]])="0","0.01",Table133456[[#This Row],[DeltaC]]-ABS(Table133456[[#This Row],[DeltaP]]))</f>
        <v>0</v>
      </c>
      <c r="AG118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6" t="e">
        <f ca="1">(EXP(-(AG1186^2)/2)/SQRT(2*PI())*EXP(0*SQRT(Table133456[[#This Row],[T]]))/$A$4*18%*SQRT(SQRT(Table133456[[#This Row],[T]])))</f>
        <v>#DIV/0!</v>
      </c>
      <c r="AJ1186" t="e">
        <f ca="1">(EXP(-(AH1186^2)/2)/SQRT(2*PI())*EXP(0*SQRT(Table133456[[#This Row],[T]]))/$A$4*18%*SQRT(SQRT(Table133456[[#This Row],[T]])))</f>
        <v>#DIV/0!</v>
      </c>
      <c r="AK1186" t="e">
        <f ca="1">Table133456[[#This Row],[Call D1]]-Table133456[[#This Row],[IV Calc C]]*SQRT(Table133456[[#This Row],[T]])</f>
        <v>#DIV/0!</v>
      </c>
      <c r="AL1186" t="e">
        <f ca="1">Table133456[[#This Row],[Put D1]]-Table133456[[#This Row],[IV Calc P]]*SQRT(Table133456[[#This Row],[T]])</f>
        <v>#DIV/0!</v>
      </c>
      <c r="AM1186" t="e">
        <f ca="1">EXP(-0.5*Table133456[[#This Row],[Call D1]]^2)/SQRT(2*PI())</f>
        <v>#DIV/0!</v>
      </c>
      <c r="AN1186" t="e">
        <f ca="1">EXP(-0.5*Table133456[[#This Row],[Put D1]]^2)/SQRT(2*PI())</f>
        <v>#DIV/0!</v>
      </c>
      <c r="AO118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6">
        <f ca="1">((Table133456[[#This Row],[call vanna]]+Table133456[[#This Row],[put vanna]])*$A$4)</f>
        <v>0</v>
      </c>
      <c r="AR118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6" s="9" t="str" cm="1">
        <f t="array" ref="AT1186">_xlfn.IFS(     $M$1="SPX","SPXW",     $M$1="RUT","RUTW",  $M$1="NDX","NDXP",   TRUE,$M$1 )</f>
        <v>SPXW</v>
      </c>
      <c r="AU1186" s="2">
        <f t="shared" si="117"/>
        <v>6915</v>
      </c>
      <c r="AV1186" t="str">
        <f t="shared" si="118"/>
        <v>000100</v>
      </c>
      <c r="AY118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6">
        <f>((Table133456[[#This Row],[High C]]+Table133456[[#This Row],[Low C]])/2)*Table133456[[#This Row],[gammac]]*Table133456[[#This Row],[Volume]]</f>
        <v>0</v>
      </c>
      <c r="BD1186">
        <f>((Table133456[[#This Row],[High P]]+Table133456[[#This Row],[Low P]])/2)*Table133456[[#This Row],[gammap]]*Table133456[[#This Row],[Volume9]]*-1</f>
        <v>0</v>
      </c>
      <c r="BE1186">
        <f>(Table133456[[#This Row],[SgammaC]]+Table133456[[#This Row],[SgammaP]])*$A$4*-100</f>
        <v>0</v>
      </c>
      <c r="BF1186">
        <f>Table133456[[#This Row],[DEXc]]+Table133456[[#This Row],[DEXp]]</f>
        <v>0</v>
      </c>
      <c r="BG1186">
        <f>IFERROR(Table133456[[#This Row],[DeltaC]]*Table133456[[#This Row],[Open.Int]]*$A$4,0)</f>
        <v>0</v>
      </c>
      <c r="BH1186">
        <f>IFERROR(Table133456[[#This Row],[DeltaP]]*Table133456[[#This Row],[Open.Int8]]*$A$4,0)</f>
        <v>0</v>
      </c>
      <c r="BI118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6">
        <f ca="1">Table133456[[#This Row],[charmc]]+Table133456[[#This Row],[charmp]]</f>
        <v>0</v>
      </c>
      <c r="BL118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6" s="78">
        <f ca="1">Table133456[[#This Row],[call helper]]+Table133456[[#This Row],[put helper]]</f>
        <v>0</v>
      </c>
      <c r="BP1186" t="str">
        <f>RTD("tos.rtd", , "STRIKE", "."&amp;Table133456[[#This Row],[Ticker]]&amp;Table133456[[#This Row],[Expiry]]&amp;""&amp;"C"&amp;Table133456[[#This Row],[Spot]]+Table133456[[#This Row],[step]])</f>
        <v>N/A</v>
      </c>
    </row>
    <row r="1187" spans="1:68" x14ac:dyDescent="0.25">
      <c r="A1187" s="14">
        <f t="shared" ca="1" si="114"/>
        <v>-126.14810350076104</v>
      </c>
      <c r="C1187" s="17"/>
      <c r="D1187" t="str">
        <f>RTD("tos.rtd", , "OPEN_INT", "."&amp;Table133456[[#This Row],[Ticker]]&amp;Table133456[[#This Row],[Expiry]]&amp;""&amp;"C"&amp;Table133456[[#This Row],[Spot]]+Table133456[[#This Row],[step]])</f>
        <v>N/A</v>
      </c>
      <c r="E118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7" s="17" cm="1">
        <f t="array" aca="1" ref="H1187" ca="1">IndividualLegIVCore($A$4, Table133456[[#This Row],[Strike]], 0.0411, Table133456[[#This Row],[T]], ((Table133456[[#This Row],[BIDC]]+Table133456[[#This Row],[ASKC]])/2), TRUE)</f>
        <v>0.01</v>
      </c>
      <c r="I1187" t="b">
        <f>IF(     ISNUMBER(Table133456[[#This Row],[Strike]]),RTD("tos.rtd", , "BID", "."&amp;Table133456[[#This Row],[Ticker]]&amp;Table133456[[#This Row],[Expiry]]&amp;""&amp;"C"&amp;Table133456[[#This Row],[Strike]]))</f>
        <v>0</v>
      </c>
      <c r="J1187" t="b">
        <f>IF(     ISNUMBER(Table133456[[#This Row],[Strike]]),RTD("tos.rtd", , "ASK", "."&amp;Table133456[[#This Row],[Ticker]]&amp;Table133456[[#This Row],[Expiry]]&amp;""&amp;"C"&amp;Table133456[[#This Row],[Strike]]))</f>
        <v>0</v>
      </c>
      <c r="K1187" s="17"/>
      <c r="M1187" s="1">
        <f t="shared" si="115"/>
        <v>0</v>
      </c>
      <c r="N1187" t="b">
        <f t="shared" si="116"/>
        <v>0</v>
      </c>
      <c r="P1187" s="17" cm="1">
        <f t="array" aca="1" ref="P1187" ca="1">IndividualLegIVCore($A$4, Table133456[[#This Row],[Strike]], 0.0411, Table133456[[#This Row],[T]], ((Table133456[[#This Row],[BIDP]]+Table133456[[#This Row],[ASKP]])/2), FALSE)</f>
        <v>0.01</v>
      </c>
      <c r="Q1187" t="b">
        <f>IF(     ISNUMBER(Table133456[[#This Row],[Strike]]),RTD("tos.rtd", , "BID", "."&amp;Table133456[[#This Row],[Ticker]]&amp;Table133456[[#This Row],[Expiry]]&amp;""&amp;"P"&amp;Table133456[[#This Row],[Strike]]))</f>
        <v>0</v>
      </c>
      <c r="R1187" t="b">
        <f>IF(     ISNUMBER(Table133456[[#This Row],[Strike]]),RTD("tos.rtd", , "ASK", "."&amp;Table133456[[#This Row],[Ticker]]&amp;Table133456[[#This Row],[Expiry]]&amp;""&amp;"P"&amp;Table133456[[#This Row],[Strike]]))</f>
        <v>0</v>
      </c>
      <c r="S1187" s="17"/>
      <c r="T118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7" s="19">
        <f>31* IF($M$1="NDX", 10, IF(OR($M$1="SPX", $M$1="RUT"), 2, 1))</f>
        <v>62</v>
      </c>
      <c r="Z1187">
        <f ca="1">IFERROR(Table133456[[#This Row],[call gamma]]*(Table133456[[#This Row],[Open.Int]])*$A$4^2,0)</f>
        <v>0</v>
      </c>
      <c r="AA1187">
        <f ca="1">IFERROR(((Table133456[[#This Row],[Open.Int8]])*Table133456[[#This Row],[Put gamma]])*-1*$A$4^2,0)</f>
        <v>0</v>
      </c>
      <c r="AB1187">
        <f ca="1">(Table133456[[#This Row],[Call Gex]]+Table133456[[#This Row],[Put Gex]])</f>
        <v>0</v>
      </c>
      <c r="AC1187">
        <f ca="1">Table133456[[#This Row],[put delta adj]]+Table133456[[#This Row],[call delta adj]]</f>
        <v>0</v>
      </c>
      <c r="AD1187">
        <f ca="1">Table133456[[#This Row],[Put Gex]]*Table133456[[#This Row],[DeltaP]]*-1</f>
        <v>0</v>
      </c>
      <c r="AE1187">
        <f ca="1">Table133456[[#This Row],[Call Gex]]*Table133456[[#This Row],[DeltaC]]</f>
        <v>0</v>
      </c>
      <c r="AF1187">
        <f>IF(Table133456[[#This Row],[DeltaC]]-ABS(Table133456[[#This Row],[DeltaP]])="0","0.01",Table133456[[#This Row],[DeltaC]]-ABS(Table133456[[#This Row],[DeltaP]]))</f>
        <v>0</v>
      </c>
      <c r="AG118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7" t="e">
        <f ca="1">(EXP(-(AG1187^2)/2)/SQRT(2*PI())*EXP(0*SQRT(Table133456[[#This Row],[T]]))/$A$4*18%*SQRT(SQRT(Table133456[[#This Row],[T]])))</f>
        <v>#DIV/0!</v>
      </c>
      <c r="AJ1187" t="e">
        <f ca="1">(EXP(-(AH1187^2)/2)/SQRT(2*PI())*EXP(0*SQRT(Table133456[[#This Row],[T]]))/$A$4*18%*SQRT(SQRT(Table133456[[#This Row],[T]])))</f>
        <v>#DIV/0!</v>
      </c>
      <c r="AK1187" t="e">
        <f ca="1">Table133456[[#This Row],[Call D1]]-Table133456[[#This Row],[IV Calc C]]*SQRT(Table133456[[#This Row],[T]])</f>
        <v>#DIV/0!</v>
      </c>
      <c r="AL1187" t="e">
        <f ca="1">Table133456[[#This Row],[Put D1]]-Table133456[[#This Row],[IV Calc P]]*SQRT(Table133456[[#This Row],[T]])</f>
        <v>#DIV/0!</v>
      </c>
      <c r="AM1187" t="e">
        <f ca="1">EXP(-0.5*Table133456[[#This Row],[Call D1]]^2)/SQRT(2*PI())</f>
        <v>#DIV/0!</v>
      </c>
      <c r="AN1187" t="e">
        <f ca="1">EXP(-0.5*Table133456[[#This Row],[Put D1]]^2)/SQRT(2*PI())</f>
        <v>#DIV/0!</v>
      </c>
      <c r="AO118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7">
        <f ca="1">((Table133456[[#This Row],[call vanna]]+Table133456[[#This Row],[put vanna]])*$A$4)</f>
        <v>0</v>
      </c>
      <c r="AR118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7" s="9" t="str" cm="1">
        <f t="array" ref="AT1187">_xlfn.IFS(     $M$1="SPX","SPXW",     $M$1="RUT","RUTW",  $M$1="NDX","NDXP",   TRUE,$M$1 )</f>
        <v>SPXW</v>
      </c>
      <c r="AU1187" s="2">
        <f t="shared" si="117"/>
        <v>6915</v>
      </c>
      <c r="AV1187" t="str">
        <f t="shared" si="118"/>
        <v>000100</v>
      </c>
      <c r="AY118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7">
        <f>((Table133456[[#This Row],[High C]]+Table133456[[#This Row],[Low C]])/2)*Table133456[[#This Row],[gammac]]*Table133456[[#This Row],[Volume]]</f>
        <v>0</v>
      </c>
      <c r="BD1187">
        <f>((Table133456[[#This Row],[High P]]+Table133456[[#This Row],[Low P]])/2)*Table133456[[#This Row],[gammap]]*Table133456[[#This Row],[Volume9]]*-1</f>
        <v>0</v>
      </c>
      <c r="BE1187">
        <f>(Table133456[[#This Row],[SgammaC]]+Table133456[[#This Row],[SgammaP]])*$A$4*-100</f>
        <v>0</v>
      </c>
      <c r="BF1187">
        <f>Table133456[[#This Row],[DEXc]]+Table133456[[#This Row],[DEXp]]</f>
        <v>0</v>
      </c>
      <c r="BG1187">
        <f>IFERROR(Table133456[[#This Row],[DeltaC]]*Table133456[[#This Row],[Open.Int]]*$A$4,0)</f>
        <v>0</v>
      </c>
      <c r="BH1187">
        <f>IFERROR(Table133456[[#This Row],[DeltaP]]*Table133456[[#This Row],[Open.Int8]]*$A$4,0)</f>
        <v>0</v>
      </c>
      <c r="BI118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7">
        <f ca="1">Table133456[[#This Row],[charmc]]+Table133456[[#This Row],[charmp]]</f>
        <v>0</v>
      </c>
      <c r="BL118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7" s="78">
        <f ca="1">Table133456[[#This Row],[call helper]]+Table133456[[#This Row],[put helper]]</f>
        <v>0</v>
      </c>
      <c r="BP1187" t="str">
        <f>RTD("tos.rtd", , "STRIKE", "."&amp;Table133456[[#This Row],[Ticker]]&amp;Table133456[[#This Row],[Expiry]]&amp;""&amp;"C"&amp;Table133456[[#This Row],[Spot]]+Table133456[[#This Row],[step]])</f>
        <v>N/A</v>
      </c>
    </row>
    <row r="1188" spans="1:68" x14ac:dyDescent="0.25">
      <c r="A1188" s="14">
        <f t="shared" ca="1" si="114"/>
        <v>-126.14810350076104</v>
      </c>
      <c r="C1188" s="17"/>
      <c r="D1188" t="str">
        <f>RTD("tos.rtd", , "OPEN_INT", "."&amp;Table133456[[#This Row],[Ticker]]&amp;Table133456[[#This Row],[Expiry]]&amp;""&amp;"C"&amp;Table133456[[#This Row],[Spot]]+Table133456[[#This Row],[step]])</f>
        <v>N/A</v>
      </c>
      <c r="E118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8" s="17" cm="1">
        <f t="array" aca="1" ref="H1188" ca="1">IndividualLegIVCore($A$4, Table133456[[#This Row],[Strike]], 0.0411, Table133456[[#This Row],[T]], ((Table133456[[#This Row],[BIDC]]+Table133456[[#This Row],[ASKC]])/2), TRUE)</f>
        <v>0.01</v>
      </c>
      <c r="I1188" t="b">
        <f>IF(     ISNUMBER(Table133456[[#This Row],[Strike]]),RTD("tos.rtd", , "BID", "."&amp;Table133456[[#This Row],[Ticker]]&amp;Table133456[[#This Row],[Expiry]]&amp;""&amp;"C"&amp;Table133456[[#This Row],[Strike]]))</f>
        <v>0</v>
      </c>
      <c r="J1188" t="b">
        <f>IF(     ISNUMBER(Table133456[[#This Row],[Strike]]),RTD("tos.rtd", , "ASK", "."&amp;Table133456[[#This Row],[Ticker]]&amp;Table133456[[#This Row],[Expiry]]&amp;""&amp;"C"&amp;Table133456[[#This Row],[Strike]]))</f>
        <v>0</v>
      </c>
      <c r="K1188" s="17"/>
      <c r="M1188" s="1">
        <f t="shared" si="115"/>
        <v>0</v>
      </c>
      <c r="N1188" t="b">
        <f t="shared" si="116"/>
        <v>0</v>
      </c>
      <c r="P1188" s="17" cm="1">
        <f t="array" aca="1" ref="P1188" ca="1">IndividualLegIVCore($A$4, Table133456[[#This Row],[Strike]], 0.0411, Table133456[[#This Row],[T]], ((Table133456[[#This Row],[BIDP]]+Table133456[[#This Row],[ASKP]])/2), FALSE)</f>
        <v>0.01</v>
      </c>
      <c r="Q1188" t="b">
        <f>IF(     ISNUMBER(Table133456[[#This Row],[Strike]]),RTD("tos.rtd", , "BID", "."&amp;Table133456[[#This Row],[Ticker]]&amp;Table133456[[#This Row],[Expiry]]&amp;""&amp;"P"&amp;Table133456[[#This Row],[Strike]]))</f>
        <v>0</v>
      </c>
      <c r="R1188" t="b">
        <f>IF(     ISNUMBER(Table133456[[#This Row],[Strike]]),RTD("tos.rtd", , "ASK", "."&amp;Table133456[[#This Row],[Ticker]]&amp;Table133456[[#This Row],[Expiry]]&amp;""&amp;"P"&amp;Table133456[[#This Row],[Strike]]))</f>
        <v>0</v>
      </c>
      <c r="S1188" s="17"/>
      <c r="T118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8" s="19">
        <f>31.5* IF($M$1="NDX", 10, IF(OR($M$1="SPX", $M$1="RUT"), 2, 1))</f>
        <v>63</v>
      </c>
      <c r="Z1188">
        <f ca="1">IFERROR(Table133456[[#This Row],[call gamma]]*(Table133456[[#This Row],[Open.Int]])*$A$4^2,0)</f>
        <v>0</v>
      </c>
      <c r="AA1188">
        <f ca="1">IFERROR(((Table133456[[#This Row],[Open.Int8]])*Table133456[[#This Row],[Put gamma]])*-1*$A$4^2,0)</f>
        <v>0</v>
      </c>
      <c r="AB1188">
        <f ca="1">(Table133456[[#This Row],[Call Gex]]+Table133456[[#This Row],[Put Gex]])</f>
        <v>0</v>
      </c>
      <c r="AC1188">
        <f ca="1">Table133456[[#This Row],[put delta adj]]+Table133456[[#This Row],[call delta adj]]</f>
        <v>0</v>
      </c>
      <c r="AD1188">
        <f ca="1">Table133456[[#This Row],[Put Gex]]*Table133456[[#This Row],[DeltaP]]*-1</f>
        <v>0</v>
      </c>
      <c r="AE1188">
        <f ca="1">Table133456[[#This Row],[Call Gex]]*Table133456[[#This Row],[DeltaC]]</f>
        <v>0</v>
      </c>
      <c r="AF1188">
        <f>IF(Table133456[[#This Row],[DeltaC]]-ABS(Table133456[[#This Row],[DeltaP]])="0","0.01",Table133456[[#This Row],[DeltaC]]-ABS(Table133456[[#This Row],[DeltaP]]))</f>
        <v>0</v>
      </c>
      <c r="AG118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8" t="e">
        <f ca="1">(EXP(-(AG1188^2)/2)/SQRT(2*PI())*EXP(0*SQRT(Table133456[[#This Row],[T]]))/$A$4*18%*SQRT(SQRT(Table133456[[#This Row],[T]])))</f>
        <v>#DIV/0!</v>
      </c>
      <c r="AJ1188" t="e">
        <f ca="1">(EXP(-(AH1188^2)/2)/SQRT(2*PI())*EXP(0*SQRT(Table133456[[#This Row],[T]]))/$A$4*18%*SQRT(SQRT(Table133456[[#This Row],[T]])))</f>
        <v>#DIV/0!</v>
      </c>
      <c r="AK1188" t="e">
        <f ca="1">Table133456[[#This Row],[Call D1]]-Table133456[[#This Row],[IV Calc C]]*SQRT(Table133456[[#This Row],[T]])</f>
        <v>#DIV/0!</v>
      </c>
      <c r="AL1188" t="e">
        <f ca="1">Table133456[[#This Row],[Put D1]]-Table133456[[#This Row],[IV Calc P]]*SQRT(Table133456[[#This Row],[T]])</f>
        <v>#DIV/0!</v>
      </c>
      <c r="AM1188" t="e">
        <f ca="1">EXP(-0.5*Table133456[[#This Row],[Call D1]]^2)/SQRT(2*PI())</f>
        <v>#DIV/0!</v>
      </c>
      <c r="AN1188" t="e">
        <f ca="1">EXP(-0.5*Table133456[[#This Row],[Put D1]]^2)/SQRT(2*PI())</f>
        <v>#DIV/0!</v>
      </c>
      <c r="AO118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8">
        <f ca="1">((Table133456[[#This Row],[call vanna]]+Table133456[[#This Row],[put vanna]])*$A$4)</f>
        <v>0</v>
      </c>
      <c r="AR118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8" s="9" t="str" cm="1">
        <f t="array" ref="AT1188">_xlfn.IFS(     $M$1="SPX","SPXW",     $M$1="RUT","RUTW",  $M$1="NDX","NDXP",   TRUE,$M$1 )</f>
        <v>SPXW</v>
      </c>
      <c r="AU1188" s="2">
        <f t="shared" si="117"/>
        <v>6915</v>
      </c>
      <c r="AV1188" t="str">
        <f t="shared" si="118"/>
        <v>000100</v>
      </c>
      <c r="AY118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8">
        <f>((Table133456[[#This Row],[High C]]+Table133456[[#This Row],[Low C]])/2)*Table133456[[#This Row],[gammac]]*Table133456[[#This Row],[Volume]]</f>
        <v>0</v>
      </c>
      <c r="BD1188">
        <f>((Table133456[[#This Row],[High P]]+Table133456[[#This Row],[Low P]])/2)*Table133456[[#This Row],[gammap]]*Table133456[[#This Row],[Volume9]]*-1</f>
        <v>0</v>
      </c>
      <c r="BE1188">
        <f>(Table133456[[#This Row],[SgammaC]]+Table133456[[#This Row],[SgammaP]])*$A$4*-100</f>
        <v>0</v>
      </c>
      <c r="BF1188">
        <f>Table133456[[#This Row],[DEXc]]+Table133456[[#This Row],[DEXp]]</f>
        <v>0</v>
      </c>
      <c r="BG1188">
        <f>IFERROR(Table133456[[#This Row],[DeltaC]]*Table133456[[#This Row],[Open.Int]]*$A$4,0)</f>
        <v>0</v>
      </c>
      <c r="BH1188">
        <f>IFERROR(Table133456[[#This Row],[DeltaP]]*Table133456[[#This Row],[Open.Int8]]*$A$4,0)</f>
        <v>0</v>
      </c>
      <c r="BI118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8">
        <f ca="1">Table133456[[#This Row],[charmc]]+Table133456[[#This Row],[charmp]]</f>
        <v>0</v>
      </c>
      <c r="BL118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8" s="78">
        <f ca="1">Table133456[[#This Row],[call helper]]+Table133456[[#This Row],[put helper]]</f>
        <v>0</v>
      </c>
      <c r="BP1188" t="str">
        <f>RTD("tos.rtd", , "STRIKE", "."&amp;Table133456[[#This Row],[Ticker]]&amp;Table133456[[#This Row],[Expiry]]&amp;""&amp;"C"&amp;Table133456[[#This Row],[Spot]]+Table133456[[#This Row],[step]])</f>
        <v>N/A</v>
      </c>
    </row>
    <row r="1189" spans="1:68" x14ac:dyDescent="0.25">
      <c r="A1189" s="14">
        <f t="shared" ca="1" si="114"/>
        <v>-126.14810350076104</v>
      </c>
      <c r="C1189" s="17"/>
      <c r="D1189" t="str">
        <f>RTD("tos.rtd", , "OPEN_INT", "."&amp;Table133456[[#This Row],[Ticker]]&amp;Table133456[[#This Row],[Expiry]]&amp;""&amp;"C"&amp;Table133456[[#This Row],[Spot]]+Table133456[[#This Row],[step]])</f>
        <v>N/A</v>
      </c>
      <c r="E118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9" s="17" cm="1">
        <f t="array" aca="1" ref="H1189" ca="1">IndividualLegIVCore($A$4, Table133456[[#This Row],[Strike]], 0.0411, Table133456[[#This Row],[T]], ((Table133456[[#This Row],[BIDC]]+Table133456[[#This Row],[ASKC]])/2), TRUE)</f>
        <v>0.01</v>
      </c>
      <c r="I1189" t="b">
        <f>IF(     ISNUMBER(Table133456[[#This Row],[Strike]]),RTD("tos.rtd", , "BID", "."&amp;Table133456[[#This Row],[Ticker]]&amp;Table133456[[#This Row],[Expiry]]&amp;""&amp;"C"&amp;Table133456[[#This Row],[Strike]]))</f>
        <v>0</v>
      </c>
      <c r="J1189" t="b">
        <f>IF(     ISNUMBER(Table133456[[#This Row],[Strike]]),RTD("tos.rtd", , "ASK", "."&amp;Table133456[[#This Row],[Ticker]]&amp;Table133456[[#This Row],[Expiry]]&amp;""&amp;"C"&amp;Table133456[[#This Row],[Strike]]))</f>
        <v>0</v>
      </c>
      <c r="K1189" s="17"/>
      <c r="M1189" s="1">
        <f t="shared" si="115"/>
        <v>0</v>
      </c>
      <c r="N1189" t="b">
        <f t="shared" si="116"/>
        <v>0</v>
      </c>
      <c r="P1189" s="17" cm="1">
        <f t="array" aca="1" ref="P1189" ca="1">IndividualLegIVCore($A$4, Table133456[[#This Row],[Strike]], 0.0411, Table133456[[#This Row],[T]], ((Table133456[[#This Row],[BIDP]]+Table133456[[#This Row],[ASKP]])/2), FALSE)</f>
        <v>0.01</v>
      </c>
      <c r="Q1189" t="b">
        <f>IF(     ISNUMBER(Table133456[[#This Row],[Strike]]),RTD("tos.rtd", , "BID", "."&amp;Table133456[[#This Row],[Ticker]]&amp;Table133456[[#This Row],[Expiry]]&amp;""&amp;"P"&amp;Table133456[[#This Row],[Strike]]))</f>
        <v>0</v>
      </c>
      <c r="R1189" t="b">
        <f>IF(     ISNUMBER(Table133456[[#This Row],[Strike]]),RTD("tos.rtd", , "ASK", "."&amp;Table133456[[#This Row],[Ticker]]&amp;Table133456[[#This Row],[Expiry]]&amp;""&amp;"P"&amp;Table133456[[#This Row],[Strike]]))</f>
        <v>0</v>
      </c>
      <c r="S1189" s="17"/>
      <c r="T118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9" s="19">
        <f>32* IF($M$1="NDX", 10, IF(OR($M$1="SPX", $M$1="RUT"), 2, 1))</f>
        <v>64</v>
      </c>
      <c r="Z1189">
        <f ca="1">IFERROR(Table133456[[#This Row],[call gamma]]*(Table133456[[#This Row],[Open.Int]])*$A$4^2,0)</f>
        <v>0</v>
      </c>
      <c r="AA1189">
        <f ca="1">IFERROR(((Table133456[[#This Row],[Open.Int8]])*Table133456[[#This Row],[Put gamma]])*-1*$A$4^2,0)</f>
        <v>0</v>
      </c>
      <c r="AB1189">
        <f ca="1">(Table133456[[#This Row],[Call Gex]]+Table133456[[#This Row],[Put Gex]])</f>
        <v>0</v>
      </c>
      <c r="AC1189">
        <f ca="1">Table133456[[#This Row],[put delta adj]]+Table133456[[#This Row],[call delta adj]]</f>
        <v>0</v>
      </c>
      <c r="AD1189">
        <f ca="1">Table133456[[#This Row],[Put Gex]]*Table133456[[#This Row],[DeltaP]]*-1</f>
        <v>0</v>
      </c>
      <c r="AE1189">
        <f ca="1">Table133456[[#This Row],[Call Gex]]*Table133456[[#This Row],[DeltaC]]</f>
        <v>0</v>
      </c>
      <c r="AF1189">
        <f>IF(Table133456[[#This Row],[DeltaC]]-ABS(Table133456[[#This Row],[DeltaP]])="0","0.01",Table133456[[#This Row],[DeltaC]]-ABS(Table133456[[#This Row],[DeltaP]]))</f>
        <v>0</v>
      </c>
      <c r="AG118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9" t="e">
        <f ca="1">(EXP(-(AG1189^2)/2)/SQRT(2*PI())*EXP(0*SQRT(Table133456[[#This Row],[T]]))/$A$4*18%*SQRT(SQRT(Table133456[[#This Row],[T]])))</f>
        <v>#DIV/0!</v>
      </c>
      <c r="AJ1189" t="e">
        <f ca="1">(EXP(-(AH1189^2)/2)/SQRT(2*PI())*EXP(0*SQRT(Table133456[[#This Row],[T]]))/$A$4*18%*SQRT(SQRT(Table133456[[#This Row],[T]])))</f>
        <v>#DIV/0!</v>
      </c>
      <c r="AK1189" t="e">
        <f ca="1">Table133456[[#This Row],[Call D1]]-Table133456[[#This Row],[IV Calc C]]*SQRT(Table133456[[#This Row],[T]])</f>
        <v>#DIV/0!</v>
      </c>
      <c r="AL1189" t="e">
        <f ca="1">Table133456[[#This Row],[Put D1]]-Table133456[[#This Row],[IV Calc P]]*SQRT(Table133456[[#This Row],[T]])</f>
        <v>#DIV/0!</v>
      </c>
      <c r="AM1189" t="e">
        <f ca="1">EXP(-0.5*Table133456[[#This Row],[Call D1]]^2)/SQRT(2*PI())</f>
        <v>#DIV/0!</v>
      </c>
      <c r="AN1189" t="e">
        <f ca="1">EXP(-0.5*Table133456[[#This Row],[Put D1]]^2)/SQRT(2*PI())</f>
        <v>#DIV/0!</v>
      </c>
      <c r="AO118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9">
        <f ca="1">((Table133456[[#This Row],[call vanna]]+Table133456[[#This Row],[put vanna]])*$A$4)</f>
        <v>0</v>
      </c>
      <c r="AR118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9" s="9" t="str" cm="1">
        <f t="array" ref="AT1189">_xlfn.IFS(     $M$1="SPX","SPXW",     $M$1="RUT","RUTW",  $M$1="NDX","NDXP",   TRUE,$M$1 )</f>
        <v>SPXW</v>
      </c>
      <c r="AU1189" s="2">
        <f t="shared" si="117"/>
        <v>6915</v>
      </c>
      <c r="AV1189" t="str">
        <f t="shared" si="118"/>
        <v>000100</v>
      </c>
      <c r="AY118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9">
        <f>((Table133456[[#This Row],[High C]]+Table133456[[#This Row],[Low C]])/2)*Table133456[[#This Row],[gammac]]*Table133456[[#This Row],[Volume]]</f>
        <v>0</v>
      </c>
      <c r="BD1189">
        <f>((Table133456[[#This Row],[High P]]+Table133456[[#This Row],[Low P]])/2)*Table133456[[#This Row],[gammap]]*Table133456[[#This Row],[Volume9]]*-1</f>
        <v>0</v>
      </c>
      <c r="BE1189">
        <f>(Table133456[[#This Row],[SgammaC]]+Table133456[[#This Row],[SgammaP]])*$A$4*-100</f>
        <v>0</v>
      </c>
      <c r="BF1189">
        <f>Table133456[[#This Row],[DEXc]]+Table133456[[#This Row],[DEXp]]</f>
        <v>0</v>
      </c>
      <c r="BG1189">
        <f>IFERROR(Table133456[[#This Row],[DeltaC]]*Table133456[[#This Row],[Open.Int]]*$A$4,0)</f>
        <v>0</v>
      </c>
      <c r="BH1189">
        <f>IFERROR(Table133456[[#This Row],[DeltaP]]*Table133456[[#This Row],[Open.Int8]]*$A$4,0)</f>
        <v>0</v>
      </c>
      <c r="BI118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9">
        <f ca="1">Table133456[[#This Row],[charmc]]+Table133456[[#This Row],[charmp]]</f>
        <v>0</v>
      </c>
      <c r="BL118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9" s="78">
        <f ca="1">Table133456[[#This Row],[call helper]]+Table133456[[#This Row],[put helper]]</f>
        <v>0</v>
      </c>
      <c r="BP1189" t="str">
        <f>RTD("tos.rtd", , "STRIKE", "."&amp;Table133456[[#This Row],[Ticker]]&amp;Table133456[[#This Row],[Expiry]]&amp;""&amp;"C"&amp;Table133456[[#This Row],[Spot]]+Table133456[[#This Row],[step]])</f>
        <v>N/A</v>
      </c>
    </row>
    <row r="1190" spans="1:68" x14ac:dyDescent="0.25">
      <c r="A1190" s="14">
        <f t="shared" ca="1" si="114"/>
        <v>-126.14810350076104</v>
      </c>
      <c r="C1190" s="17"/>
      <c r="D1190" t="str">
        <f>RTD("tos.rtd", , "OPEN_INT", "."&amp;Table133456[[#This Row],[Ticker]]&amp;Table133456[[#This Row],[Expiry]]&amp;""&amp;"C"&amp;Table133456[[#This Row],[Spot]]+Table133456[[#This Row],[step]])</f>
        <v>N/A</v>
      </c>
      <c r="E119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0" s="17" cm="1">
        <f t="array" aca="1" ref="H1190" ca="1">IndividualLegIVCore($A$4, Table133456[[#This Row],[Strike]], 0.0411, Table133456[[#This Row],[T]], ((Table133456[[#This Row],[BIDC]]+Table133456[[#This Row],[ASKC]])/2), TRUE)</f>
        <v>0.01</v>
      </c>
      <c r="I1190" t="b">
        <f>IF(     ISNUMBER(Table133456[[#This Row],[Strike]]),RTD("tos.rtd", , "BID", "."&amp;Table133456[[#This Row],[Ticker]]&amp;Table133456[[#This Row],[Expiry]]&amp;""&amp;"C"&amp;Table133456[[#This Row],[Strike]]))</f>
        <v>0</v>
      </c>
      <c r="J1190" t="b">
        <f>IF(     ISNUMBER(Table133456[[#This Row],[Strike]]),RTD("tos.rtd", , "ASK", "."&amp;Table133456[[#This Row],[Ticker]]&amp;Table133456[[#This Row],[Expiry]]&amp;""&amp;"C"&amp;Table133456[[#This Row],[Strike]]))</f>
        <v>0</v>
      </c>
      <c r="K1190" s="17"/>
      <c r="M1190" s="1">
        <f t="shared" si="115"/>
        <v>0</v>
      </c>
      <c r="N1190" t="b">
        <f t="shared" si="116"/>
        <v>0</v>
      </c>
      <c r="P1190" s="17" cm="1">
        <f t="array" aca="1" ref="P1190" ca="1">IndividualLegIVCore($A$4, Table133456[[#This Row],[Strike]], 0.0411, Table133456[[#This Row],[T]], ((Table133456[[#This Row],[BIDP]]+Table133456[[#This Row],[ASKP]])/2), FALSE)</f>
        <v>0.01</v>
      </c>
      <c r="Q1190" t="b">
        <f>IF(     ISNUMBER(Table133456[[#This Row],[Strike]]),RTD("tos.rtd", , "BID", "."&amp;Table133456[[#This Row],[Ticker]]&amp;Table133456[[#This Row],[Expiry]]&amp;""&amp;"P"&amp;Table133456[[#This Row],[Strike]]))</f>
        <v>0</v>
      </c>
      <c r="R1190" t="b">
        <f>IF(     ISNUMBER(Table133456[[#This Row],[Strike]]),RTD("tos.rtd", , "ASK", "."&amp;Table133456[[#This Row],[Ticker]]&amp;Table133456[[#This Row],[Expiry]]&amp;""&amp;"P"&amp;Table133456[[#This Row],[Strike]]))</f>
        <v>0</v>
      </c>
      <c r="S1190" s="17"/>
      <c r="T119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0" s="19">
        <f>32.5* IF($M$1="NDX", 10, IF(OR($M$1="SPX", $M$1="RUT"), 2, 1))</f>
        <v>65</v>
      </c>
      <c r="Z1190">
        <f ca="1">IFERROR(Table133456[[#This Row],[call gamma]]*(Table133456[[#This Row],[Open.Int]])*$A$4^2,0)</f>
        <v>0</v>
      </c>
      <c r="AA1190">
        <f ca="1">IFERROR(((Table133456[[#This Row],[Open.Int8]])*Table133456[[#This Row],[Put gamma]])*-1*$A$4^2,0)</f>
        <v>0</v>
      </c>
      <c r="AB1190">
        <f ca="1">(Table133456[[#This Row],[Call Gex]]+Table133456[[#This Row],[Put Gex]])</f>
        <v>0</v>
      </c>
      <c r="AC1190">
        <f ca="1">Table133456[[#This Row],[put delta adj]]+Table133456[[#This Row],[call delta adj]]</f>
        <v>0</v>
      </c>
      <c r="AD1190">
        <f ca="1">Table133456[[#This Row],[Put Gex]]*Table133456[[#This Row],[DeltaP]]*-1</f>
        <v>0</v>
      </c>
      <c r="AE1190">
        <f ca="1">Table133456[[#This Row],[Call Gex]]*Table133456[[#This Row],[DeltaC]]</f>
        <v>0</v>
      </c>
      <c r="AF1190">
        <f>IF(Table133456[[#This Row],[DeltaC]]-ABS(Table133456[[#This Row],[DeltaP]])="0","0.01",Table133456[[#This Row],[DeltaC]]-ABS(Table133456[[#This Row],[DeltaP]]))</f>
        <v>0</v>
      </c>
      <c r="AG119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0" t="e">
        <f ca="1">(EXP(-(AG1190^2)/2)/SQRT(2*PI())*EXP(0*SQRT(Table133456[[#This Row],[T]]))/$A$4*18%*SQRT(SQRT(Table133456[[#This Row],[T]])))</f>
        <v>#DIV/0!</v>
      </c>
      <c r="AJ1190" t="e">
        <f ca="1">(EXP(-(AH1190^2)/2)/SQRT(2*PI())*EXP(0*SQRT(Table133456[[#This Row],[T]]))/$A$4*18%*SQRT(SQRT(Table133456[[#This Row],[T]])))</f>
        <v>#DIV/0!</v>
      </c>
      <c r="AK1190" t="e">
        <f ca="1">Table133456[[#This Row],[Call D1]]-Table133456[[#This Row],[IV Calc C]]*SQRT(Table133456[[#This Row],[T]])</f>
        <v>#DIV/0!</v>
      </c>
      <c r="AL1190" t="e">
        <f ca="1">Table133456[[#This Row],[Put D1]]-Table133456[[#This Row],[IV Calc P]]*SQRT(Table133456[[#This Row],[T]])</f>
        <v>#DIV/0!</v>
      </c>
      <c r="AM1190" t="e">
        <f ca="1">EXP(-0.5*Table133456[[#This Row],[Call D1]]^2)/SQRT(2*PI())</f>
        <v>#DIV/0!</v>
      </c>
      <c r="AN1190" t="e">
        <f ca="1">EXP(-0.5*Table133456[[#This Row],[Put D1]]^2)/SQRT(2*PI())</f>
        <v>#DIV/0!</v>
      </c>
      <c r="AO119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0">
        <f ca="1">((Table133456[[#This Row],[call vanna]]+Table133456[[#This Row],[put vanna]])*$A$4)</f>
        <v>0</v>
      </c>
      <c r="AR119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0" s="9" t="str" cm="1">
        <f t="array" ref="AT1190">_xlfn.IFS(     $M$1="SPX","SPXW",     $M$1="RUT","RUTW",  $M$1="NDX","NDXP",   TRUE,$M$1 )</f>
        <v>SPXW</v>
      </c>
      <c r="AU1190" s="2">
        <f t="shared" si="117"/>
        <v>6915</v>
      </c>
      <c r="AV1190" t="str">
        <f t="shared" si="118"/>
        <v>000100</v>
      </c>
      <c r="AY119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0">
        <f>((Table133456[[#This Row],[High C]]+Table133456[[#This Row],[Low C]])/2)*Table133456[[#This Row],[gammac]]*Table133456[[#This Row],[Volume]]</f>
        <v>0</v>
      </c>
      <c r="BD1190">
        <f>((Table133456[[#This Row],[High P]]+Table133456[[#This Row],[Low P]])/2)*Table133456[[#This Row],[gammap]]*Table133456[[#This Row],[Volume9]]*-1</f>
        <v>0</v>
      </c>
      <c r="BE1190">
        <f>(Table133456[[#This Row],[SgammaC]]+Table133456[[#This Row],[SgammaP]])*$A$4*-100</f>
        <v>0</v>
      </c>
      <c r="BF1190">
        <f>Table133456[[#This Row],[DEXc]]+Table133456[[#This Row],[DEXp]]</f>
        <v>0</v>
      </c>
      <c r="BG1190">
        <f>IFERROR(Table133456[[#This Row],[DeltaC]]*Table133456[[#This Row],[Open.Int]]*$A$4,0)</f>
        <v>0</v>
      </c>
      <c r="BH1190">
        <f>IFERROR(Table133456[[#This Row],[DeltaP]]*Table133456[[#This Row],[Open.Int8]]*$A$4,0)</f>
        <v>0</v>
      </c>
      <c r="BI119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0">
        <f ca="1">Table133456[[#This Row],[charmc]]+Table133456[[#This Row],[charmp]]</f>
        <v>0</v>
      </c>
      <c r="BL119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0" s="78">
        <f ca="1">Table133456[[#This Row],[call helper]]+Table133456[[#This Row],[put helper]]</f>
        <v>0</v>
      </c>
      <c r="BP1190" t="str">
        <f>RTD("tos.rtd", , "STRIKE", "."&amp;Table133456[[#This Row],[Ticker]]&amp;Table133456[[#This Row],[Expiry]]&amp;""&amp;"C"&amp;Table133456[[#This Row],[Spot]]+Table133456[[#This Row],[step]])</f>
        <v>N/A</v>
      </c>
    </row>
    <row r="1191" spans="1:68" x14ac:dyDescent="0.25">
      <c r="A1191" s="14">
        <f t="shared" ca="1" si="114"/>
        <v>-126.14810350076104</v>
      </c>
      <c r="C1191" s="17"/>
      <c r="D1191" t="str">
        <f>RTD("tos.rtd", , "OPEN_INT", "."&amp;Table133456[[#This Row],[Ticker]]&amp;Table133456[[#This Row],[Expiry]]&amp;""&amp;"C"&amp;Table133456[[#This Row],[Spot]]+Table133456[[#This Row],[step]])</f>
        <v>N/A</v>
      </c>
      <c r="E119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1" s="17" cm="1">
        <f t="array" aca="1" ref="H1191" ca="1">IndividualLegIVCore($A$4, Table133456[[#This Row],[Strike]], 0.0411, Table133456[[#This Row],[T]], ((Table133456[[#This Row],[BIDC]]+Table133456[[#This Row],[ASKC]])/2), TRUE)</f>
        <v>0.01</v>
      </c>
      <c r="I1191" t="b">
        <f>IF(     ISNUMBER(Table133456[[#This Row],[Strike]]),RTD("tos.rtd", , "BID", "."&amp;Table133456[[#This Row],[Ticker]]&amp;Table133456[[#This Row],[Expiry]]&amp;""&amp;"C"&amp;Table133456[[#This Row],[Strike]]))</f>
        <v>0</v>
      </c>
      <c r="J1191" t="b">
        <f>IF(     ISNUMBER(Table133456[[#This Row],[Strike]]),RTD("tos.rtd", , "ASK", "."&amp;Table133456[[#This Row],[Ticker]]&amp;Table133456[[#This Row],[Expiry]]&amp;""&amp;"C"&amp;Table133456[[#This Row],[Strike]]))</f>
        <v>0</v>
      </c>
      <c r="K1191" s="17"/>
      <c r="M1191" s="1">
        <f t="shared" si="115"/>
        <v>0</v>
      </c>
      <c r="N1191" t="b">
        <f t="shared" si="116"/>
        <v>0</v>
      </c>
      <c r="P1191" s="17" cm="1">
        <f t="array" aca="1" ref="P1191" ca="1">IndividualLegIVCore($A$4, Table133456[[#This Row],[Strike]], 0.0411, Table133456[[#This Row],[T]], ((Table133456[[#This Row],[BIDP]]+Table133456[[#This Row],[ASKP]])/2), FALSE)</f>
        <v>0.01</v>
      </c>
      <c r="Q1191" t="b">
        <f>IF(     ISNUMBER(Table133456[[#This Row],[Strike]]),RTD("tos.rtd", , "BID", "."&amp;Table133456[[#This Row],[Ticker]]&amp;Table133456[[#This Row],[Expiry]]&amp;""&amp;"P"&amp;Table133456[[#This Row],[Strike]]))</f>
        <v>0</v>
      </c>
      <c r="R1191" t="b">
        <f>IF(     ISNUMBER(Table133456[[#This Row],[Strike]]),RTD("tos.rtd", , "ASK", "."&amp;Table133456[[#This Row],[Ticker]]&amp;Table133456[[#This Row],[Expiry]]&amp;""&amp;"P"&amp;Table133456[[#This Row],[Strike]]))</f>
        <v>0</v>
      </c>
      <c r="S1191" s="17"/>
      <c r="T119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1" s="19">
        <f>33* IF($M$1="NDX", 10, IF(OR($M$1="SPX", $M$1="RUT"), 2, 1))</f>
        <v>66</v>
      </c>
      <c r="Z1191">
        <f ca="1">IFERROR(Table133456[[#This Row],[call gamma]]*(Table133456[[#This Row],[Open.Int]])*$A$4^2,0)</f>
        <v>0</v>
      </c>
      <c r="AA1191">
        <f ca="1">IFERROR(((Table133456[[#This Row],[Open.Int8]])*Table133456[[#This Row],[Put gamma]])*-1*$A$4^2,0)</f>
        <v>0</v>
      </c>
      <c r="AB1191">
        <f ca="1">(Table133456[[#This Row],[Call Gex]]+Table133456[[#This Row],[Put Gex]])</f>
        <v>0</v>
      </c>
      <c r="AC1191">
        <f ca="1">Table133456[[#This Row],[put delta adj]]+Table133456[[#This Row],[call delta adj]]</f>
        <v>0</v>
      </c>
      <c r="AD1191">
        <f ca="1">Table133456[[#This Row],[Put Gex]]*Table133456[[#This Row],[DeltaP]]*-1</f>
        <v>0</v>
      </c>
      <c r="AE1191">
        <f ca="1">Table133456[[#This Row],[Call Gex]]*Table133456[[#This Row],[DeltaC]]</f>
        <v>0</v>
      </c>
      <c r="AF1191">
        <f>IF(Table133456[[#This Row],[DeltaC]]-ABS(Table133456[[#This Row],[DeltaP]])="0","0.01",Table133456[[#This Row],[DeltaC]]-ABS(Table133456[[#This Row],[DeltaP]]))</f>
        <v>0</v>
      </c>
      <c r="AG119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1" t="e">
        <f ca="1">(EXP(-(AG1191^2)/2)/SQRT(2*PI())*EXP(0*SQRT(Table133456[[#This Row],[T]]))/$A$4*18%*SQRT(SQRT(Table133456[[#This Row],[T]])))</f>
        <v>#DIV/0!</v>
      </c>
      <c r="AJ1191" t="e">
        <f ca="1">(EXP(-(AH1191^2)/2)/SQRT(2*PI())*EXP(0*SQRT(Table133456[[#This Row],[T]]))/$A$4*18%*SQRT(SQRT(Table133456[[#This Row],[T]])))</f>
        <v>#DIV/0!</v>
      </c>
      <c r="AK1191" t="e">
        <f ca="1">Table133456[[#This Row],[Call D1]]-Table133456[[#This Row],[IV Calc C]]*SQRT(Table133456[[#This Row],[T]])</f>
        <v>#DIV/0!</v>
      </c>
      <c r="AL1191" t="e">
        <f ca="1">Table133456[[#This Row],[Put D1]]-Table133456[[#This Row],[IV Calc P]]*SQRT(Table133456[[#This Row],[T]])</f>
        <v>#DIV/0!</v>
      </c>
      <c r="AM1191" t="e">
        <f ca="1">EXP(-0.5*Table133456[[#This Row],[Call D1]]^2)/SQRT(2*PI())</f>
        <v>#DIV/0!</v>
      </c>
      <c r="AN1191" t="e">
        <f ca="1">EXP(-0.5*Table133456[[#This Row],[Put D1]]^2)/SQRT(2*PI())</f>
        <v>#DIV/0!</v>
      </c>
      <c r="AO119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1">
        <f ca="1">((Table133456[[#This Row],[call vanna]]+Table133456[[#This Row],[put vanna]])*$A$4)</f>
        <v>0</v>
      </c>
      <c r="AR119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1" s="9" t="str" cm="1">
        <f t="array" ref="AT1191">_xlfn.IFS(     $M$1="SPX","SPXW",     $M$1="RUT","RUTW",  $M$1="NDX","NDXP",   TRUE,$M$1 )</f>
        <v>SPXW</v>
      </c>
      <c r="AU1191" s="2">
        <f t="shared" si="117"/>
        <v>6915</v>
      </c>
      <c r="AV1191" t="str">
        <f t="shared" si="118"/>
        <v>000100</v>
      </c>
      <c r="AY119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1">
        <f>((Table133456[[#This Row],[High C]]+Table133456[[#This Row],[Low C]])/2)*Table133456[[#This Row],[gammac]]*Table133456[[#This Row],[Volume]]</f>
        <v>0</v>
      </c>
      <c r="BD1191">
        <f>((Table133456[[#This Row],[High P]]+Table133456[[#This Row],[Low P]])/2)*Table133456[[#This Row],[gammap]]*Table133456[[#This Row],[Volume9]]*-1</f>
        <v>0</v>
      </c>
      <c r="BE1191">
        <f>(Table133456[[#This Row],[SgammaC]]+Table133456[[#This Row],[SgammaP]])*$A$4*-100</f>
        <v>0</v>
      </c>
      <c r="BF1191">
        <f>Table133456[[#This Row],[DEXc]]+Table133456[[#This Row],[DEXp]]</f>
        <v>0</v>
      </c>
      <c r="BG1191">
        <f>IFERROR(Table133456[[#This Row],[DeltaC]]*Table133456[[#This Row],[Open.Int]]*$A$4,0)</f>
        <v>0</v>
      </c>
      <c r="BH1191">
        <f>IFERROR(Table133456[[#This Row],[DeltaP]]*Table133456[[#This Row],[Open.Int8]]*$A$4,0)</f>
        <v>0</v>
      </c>
      <c r="BI119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1">
        <f ca="1">Table133456[[#This Row],[charmc]]+Table133456[[#This Row],[charmp]]</f>
        <v>0</v>
      </c>
      <c r="BL119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1" s="78">
        <f ca="1">Table133456[[#This Row],[call helper]]+Table133456[[#This Row],[put helper]]</f>
        <v>0</v>
      </c>
      <c r="BP1191" t="str">
        <f>RTD("tos.rtd", , "STRIKE", "."&amp;Table133456[[#This Row],[Ticker]]&amp;Table133456[[#This Row],[Expiry]]&amp;""&amp;"C"&amp;Table133456[[#This Row],[Spot]]+Table133456[[#This Row],[step]])</f>
        <v>N/A</v>
      </c>
    </row>
    <row r="1192" spans="1:68" x14ac:dyDescent="0.25">
      <c r="A1192" s="14">
        <f t="shared" ca="1" si="114"/>
        <v>-126.14810350076104</v>
      </c>
      <c r="C1192" s="17"/>
      <c r="D1192" t="str">
        <f>RTD("tos.rtd", , "OPEN_INT", "."&amp;Table133456[[#This Row],[Ticker]]&amp;Table133456[[#This Row],[Expiry]]&amp;""&amp;"C"&amp;Table133456[[#This Row],[Spot]]+Table133456[[#This Row],[step]])</f>
        <v>N/A</v>
      </c>
      <c r="E119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2" s="17" cm="1">
        <f t="array" aca="1" ref="H1192" ca="1">IndividualLegIVCore($A$4, Table133456[[#This Row],[Strike]], 0.0411, Table133456[[#This Row],[T]], ((Table133456[[#This Row],[BIDC]]+Table133456[[#This Row],[ASKC]])/2), TRUE)</f>
        <v>0.01</v>
      </c>
      <c r="I1192" t="b">
        <f>IF(     ISNUMBER(Table133456[[#This Row],[Strike]]),RTD("tos.rtd", , "BID", "."&amp;Table133456[[#This Row],[Ticker]]&amp;Table133456[[#This Row],[Expiry]]&amp;""&amp;"C"&amp;Table133456[[#This Row],[Strike]]))</f>
        <v>0</v>
      </c>
      <c r="J1192" t="b">
        <f>IF(     ISNUMBER(Table133456[[#This Row],[Strike]]),RTD("tos.rtd", , "ASK", "."&amp;Table133456[[#This Row],[Ticker]]&amp;Table133456[[#This Row],[Expiry]]&amp;""&amp;"C"&amp;Table133456[[#This Row],[Strike]]))</f>
        <v>0</v>
      </c>
      <c r="K1192" s="17"/>
      <c r="M1192" s="1">
        <f t="shared" si="115"/>
        <v>0</v>
      </c>
      <c r="N1192" t="b">
        <f t="shared" si="116"/>
        <v>0</v>
      </c>
      <c r="P1192" s="17" cm="1">
        <f t="array" aca="1" ref="P1192" ca="1">IndividualLegIVCore($A$4, Table133456[[#This Row],[Strike]], 0.0411, Table133456[[#This Row],[T]], ((Table133456[[#This Row],[BIDP]]+Table133456[[#This Row],[ASKP]])/2), FALSE)</f>
        <v>0.01</v>
      </c>
      <c r="Q1192" t="b">
        <f>IF(     ISNUMBER(Table133456[[#This Row],[Strike]]),RTD("tos.rtd", , "BID", "."&amp;Table133456[[#This Row],[Ticker]]&amp;Table133456[[#This Row],[Expiry]]&amp;""&amp;"P"&amp;Table133456[[#This Row],[Strike]]))</f>
        <v>0</v>
      </c>
      <c r="R1192" t="b">
        <f>IF(     ISNUMBER(Table133456[[#This Row],[Strike]]),RTD("tos.rtd", , "ASK", "."&amp;Table133456[[#This Row],[Ticker]]&amp;Table133456[[#This Row],[Expiry]]&amp;""&amp;"P"&amp;Table133456[[#This Row],[Strike]]))</f>
        <v>0</v>
      </c>
      <c r="S1192" s="17"/>
      <c r="T119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2" s="19">
        <f>33.5* IF($M$1="NDX", 10, IF(OR($M$1="SPX", $M$1="RUT"), 2, 1))</f>
        <v>67</v>
      </c>
      <c r="Z1192">
        <f ca="1">IFERROR(Table133456[[#This Row],[call gamma]]*(Table133456[[#This Row],[Open.Int]])*$A$4^2,0)</f>
        <v>0</v>
      </c>
      <c r="AA1192">
        <f ca="1">IFERROR(((Table133456[[#This Row],[Open.Int8]])*Table133456[[#This Row],[Put gamma]])*-1*$A$4^2,0)</f>
        <v>0</v>
      </c>
      <c r="AB1192">
        <f ca="1">(Table133456[[#This Row],[Call Gex]]+Table133456[[#This Row],[Put Gex]])</f>
        <v>0</v>
      </c>
      <c r="AC1192">
        <f ca="1">Table133456[[#This Row],[put delta adj]]+Table133456[[#This Row],[call delta adj]]</f>
        <v>0</v>
      </c>
      <c r="AD1192">
        <f ca="1">Table133456[[#This Row],[Put Gex]]*Table133456[[#This Row],[DeltaP]]*-1</f>
        <v>0</v>
      </c>
      <c r="AE1192">
        <f ca="1">Table133456[[#This Row],[Call Gex]]*Table133456[[#This Row],[DeltaC]]</f>
        <v>0</v>
      </c>
      <c r="AF1192">
        <f>IF(Table133456[[#This Row],[DeltaC]]-ABS(Table133456[[#This Row],[DeltaP]])="0","0.01",Table133456[[#This Row],[DeltaC]]-ABS(Table133456[[#This Row],[DeltaP]]))</f>
        <v>0</v>
      </c>
      <c r="AG119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2" t="e">
        <f ca="1">(EXP(-(AG1192^2)/2)/SQRT(2*PI())*EXP(0*SQRT(Table133456[[#This Row],[T]]))/$A$4*18%*SQRT(SQRT(Table133456[[#This Row],[T]])))</f>
        <v>#DIV/0!</v>
      </c>
      <c r="AJ1192" t="e">
        <f ca="1">(EXP(-(AH1192^2)/2)/SQRT(2*PI())*EXP(0*SQRT(Table133456[[#This Row],[T]]))/$A$4*18%*SQRT(SQRT(Table133456[[#This Row],[T]])))</f>
        <v>#DIV/0!</v>
      </c>
      <c r="AK1192" t="e">
        <f ca="1">Table133456[[#This Row],[Call D1]]-Table133456[[#This Row],[IV Calc C]]*SQRT(Table133456[[#This Row],[T]])</f>
        <v>#DIV/0!</v>
      </c>
      <c r="AL1192" t="e">
        <f ca="1">Table133456[[#This Row],[Put D1]]-Table133456[[#This Row],[IV Calc P]]*SQRT(Table133456[[#This Row],[T]])</f>
        <v>#DIV/0!</v>
      </c>
      <c r="AM1192" t="e">
        <f ca="1">EXP(-0.5*Table133456[[#This Row],[Call D1]]^2)/SQRT(2*PI())</f>
        <v>#DIV/0!</v>
      </c>
      <c r="AN1192" t="e">
        <f ca="1">EXP(-0.5*Table133456[[#This Row],[Put D1]]^2)/SQRT(2*PI())</f>
        <v>#DIV/0!</v>
      </c>
      <c r="AO119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2">
        <f ca="1">((Table133456[[#This Row],[call vanna]]+Table133456[[#This Row],[put vanna]])*$A$4)</f>
        <v>0</v>
      </c>
      <c r="AR119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2" s="9" t="str" cm="1">
        <f t="array" ref="AT1192">_xlfn.IFS(     $M$1="SPX","SPXW",     $M$1="RUT","RUTW",  $M$1="NDX","NDXP",   TRUE,$M$1 )</f>
        <v>SPXW</v>
      </c>
      <c r="AU1192" s="2">
        <f t="shared" si="117"/>
        <v>6915</v>
      </c>
      <c r="AV1192" t="str">
        <f t="shared" si="118"/>
        <v>000100</v>
      </c>
      <c r="AY119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2">
        <f>((Table133456[[#This Row],[High C]]+Table133456[[#This Row],[Low C]])/2)*Table133456[[#This Row],[gammac]]*Table133456[[#This Row],[Volume]]</f>
        <v>0</v>
      </c>
      <c r="BD1192">
        <f>((Table133456[[#This Row],[High P]]+Table133456[[#This Row],[Low P]])/2)*Table133456[[#This Row],[gammap]]*Table133456[[#This Row],[Volume9]]*-1</f>
        <v>0</v>
      </c>
      <c r="BE1192">
        <f>(Table133456[[#This Row],[SgammaC]]+Table133456[[#This Row],[SgammaP]])*$A$4*-100</f>
        <v>0</v>
      </c>
      <c r="BF1192">
        <f>Table133456[[#This Row],[DEXc]]+Table133456[[#This Row],[DEXp]]</f>
        <v>0</v>
      </c>
      <c r="BG1192">
        <f>IFERROR(Table133456[[#This Row],[DeltaC]]*Table133456[[#This Row],[Open.Int]]*$A$4,0)</f>
        <v>0</v>
      </c>
      <c r="BH1192">
        <f>IFERROR(Table133456[[#This Row],[DeltaP]]*Table133456[[#This Row],[Open.Int8]]*$A$4,0)</f>
        <v>0</v>
      </c>
      <c r="BI119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2">
        <f ca="1">Table133456[[#This Row],[charmc]]+Table133456[[#This Row],[charmp]]</f>
        <v>0</v>
      </c>
      <c r="BL119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2" s="78">
        <f ca="1">Table133456[[#This Row],[call helper]]+Table133456[[#This Row],[put helper]]</f>
        <v>0</v>
      </c>
      <c r="BP1192" t="str">
        <f>RTD("tos.rtd", , "STRIKE", "."&amp;Table133456[[#This Row],[Ticker]]&amp;Table133456[[#This Row],[Expiry]]&amp;""&amp;"C"&amp;Table133456[[#This Row],[Spot]]+Table133456[[#This Row],[step]])</f>
        <v>N/A</v>
      </c>
    </row>
    <row r="1193" spans="1:68" x14ac:dyDescent="0.25">
      <c r="A1193" s="14">
        <f t="shared" ca="1" si="114"/>
        <v>-126.14810350076104</v>
      </c>
      <c r="C1193" s="17"/>
      <c r="D1193" t="str">
        <f>RTD("tos.rtd", , "OPEN_INT", "."&amp;Table133456[[#This Row],[Ticker]]&amp;Table133456[[#This Row],[Expiry]]&amp;""&amp;"C"&amp;Table133456[[#This Row],[Spot]]+Table133456[[#This Row],[step]])</f>
        <v>N/A</v>
      </c>
      <c r="E119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3" s="17" cm="1">
        <f t="array" aca="1" ref="H1193" ca="1">IndividualLegIVCore($A$4, Table133456[[#This Row],[Strike]], 0.0411, Table133456[[#This Row],[T]], ((Table133456[[#This Row],[BIDC]]+Table133456[[#This Row],[ASKC]])/2), TRUE)</f>
        <v>0.01</v>
      </c>
      <c r="I1193" t="b">
        <f>IF(     ISNUMBER(Table133456[[#This Row],[Strike]]),RTD("tos.rtd", , "BID", "."&amp;Table133456[[#This Row],[Ticker]]&amp;Table133456[[#This Row],[Expiry]]&amp;""&amp;"C"&amp;Table133456[[#This Row],[Strike]]))</f>
        <v>0</v>
      </c>
      <c r="J1193" t="b">
        <f>IF(     ISNUMBER(Table133456[[#This Row],[Strike]]),RTD("tos.rtd", , "ASK", "."&amp;Table133456[[#This Row],[Ticker]]&amp;Table133456[[#This Row],[Expiry]]&amp;""&amp;"C"&amp;Table133456[[#This Row],[Strike]]))</f>
        <v>0</v>
      </c>
      <c r="K1193" s="17"/>
      <c r="M1193" s="1">
        <f t="shared" si="115"/>
        <v>0</v>
      </c>
      <c r="N1193" t="b">
        <f t="shared" si="116"/>
        <v>0</v>
      </c>
      <c r="P1193" s="17" cm="1">
        <f t="array" aca="1" ref="P1193" ca="1">IndividualLegIVCore($A$4, Table133456[[#This Row],[Strike]], 0.0411, Table133456[[#This Row],[T]], ((Table133456[[#This Row],[BIDP]]+Table133456[[#This Row],[ASKP]])/2), FALSE)</f>
        <v>0.01</v>
      </c>
      <c r="Q1193" t="b">
        <f>IF(     ISNUMBER(Table133456[[#This Row],[Strike]]),RTD("tos.rtd", , "BID", "."&amp;Table133456[[#This Row],[Ticker]]&amp;Table133456[[#This Row],[Expiry]]&amp;""&amp;"P"&amp;Table133456[[#This Row],[Strike]]))</f>
        <v>0</v>
      </c>
      <c r="R1193" t="b">
        <f>IF(     ISNUMBER(Table133456[[#This Row],[Strike]]),RTD("tos.rtd", , "ASK", "."&amp;Table133456[[#This Row],[Ticker]]&amp;Table133456[[#This Row],[Expiry]]&amp;""&amp;"P"&amp;Table133456[[#This Row],[Strike]]))</f>
        <v>0</v>
      </c>
      <c r="S1193" s="17"/>
      <c r="T119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3" s="19">
        <f>34* IF($M$1="NDX", 10, IF(OR($M$1="SPX", $M$1="RUT"), 2, 1))</f>
        <v>68</v>
      </c>
      <c r="Z1193">
        <f ca="1">IFERROR(Table133456[[#This Row],[call gamma]]*(Table133456[[#This Row],[Open.Int]])*$A$4^2,0)</f>
        <v>0</v>
      </c>
      <c r="AA1193">
        <f ca="1">IFERROR(((Table133456[[#This Row],[Open.Int8]])*Table133456[[#This Row],[Put gamma]])*-1*$A$4^2,0)</f>
        <v>0</v>
      </c>
      <c r="AB1193">
        <f ca="1">(Table133456[[#This Row],[Call Gex]]+Table133456[[#This Row],[Put Gex]])</f>
        <v>0</v>
      </c>
      <c r="AC1193">
        <f ca="1">Table133456[[#This Row],[put delta adj]]+Table133456[[#This Row],[call delta adj]]</f>
        <v>0</v>
      </c>
      <c r="AD1193">
        <f ca="1">Table133456[[#This Row],[Put Gex]]*Table133456[[#This Row],[DeltaP]]*-1</f>
        <v>0</v>
      </c>
      <c r="AE1193">
        <f ca="1">Table133456[[#This Row],[Call Gex]]*Table133456[[#This Row],[DeltaC]]</f>
        <v>0</v>
      </c>
      <c r="AF1193">
        <f>IF(Table133456[[#This Row],[DeltaC]]-ABS(Table133456[[#This Row],[DeltaP]])="0","0.01",Table133456[[#This Row],[DeltaC]]-ABS(Table133456[[#This Row],[DeltaP]]))</f>
        <v>0</v>
      </c>
      <c r="AG119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3" t="e">
        <f ca="1">(EXP(-(AG1193^2)/2)/SQRT(2*PI())*EXP(0*SQRT(Table133456[[#This Row],[T]]))/$A$4*18%*SQRT(SQRT(Table133456[[#This Row],[T]])))</f>
        <v>#DIV/0!</v>
      </c>
      <c r="AJ1193" t="e">
        <f ca="1">(EXP(-(AH1193^2)/2)/SQRT(2*PI())*EXP(0*SQRT(Table133456[[#This Row],[T]]))/$A$4*18%*SQRT(SQRT(Table133456[[#This Row],[T]])))</f>
        <v>#DIV/0!</v>
      </c>
      <c r="AK1193" t="e">
        <f ca="1">Table133456[[#This Row],[Call D1]]-Table133456[[#This Row],[IV Calc C]]*SQRT(Table133456[[#This Row],[T]])</f>
        <v>#DIV/0!</v>
      </c>
      <c r="AL1193" t="e">
        <f ca="1">Table133456[[#This Row],[Put D1]]-Table133456[[#This Row],[IV Calc P]]*SQRT(Table133456[[#This Row],[T]])</f>
        <v>#DIV/0!</v>
      </c>
      <c r="AM1193" t="e">
        <f ca="1">EXP(-0.5*Table133456[[#This Row],[Call D1]]^2)/SQRT(2*PI())</f>
        <v>#DIV/0!</v>
      </c>
      <c r="AN1193" t="e">
        <f ca="1">EXP(-0.5*Table133456[[#This Row],[Put D1]]^2)/SQRT(2*PI())</f>
        <v>#DIV/0!</v>
      </c>
      <c r="AO119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3">
        <f ca="1">((Table133456[[#This Row],[call vanna]]+Table133456[[#This Row],[put vanna]])*$A$4)</f>
        <v>0</v>
      </c>
      <c r="AR119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3" s="9" t="str" cm="1">
        <f t="array" ref="AT1193">_xlfn.IFS(     $M$1="SPX","SPXW",     $M$1="RUT","RUTW",  $M$1="NDX","NDXP",   TRUE,$M$1 )</f>
        <v>SPXW</v>
      </c>
      <c r="AU1193" s="2">
        <f t="shared" si="117"/>
        <v>6915</v>
      </c>
      <c r="AV1193" t="str">
        <f t="shared" si="118"/>
        <v>000100</v>
      </c>
      <c r="AY119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3">
        <f>((Table133456[[#This Row],[High C]]+Table133456[[#This Row],[Low C]])/2)*Table133456[[#This Row],[gammac]]*Table133456[[#This Row],[Volume]]</f>
        <v>0</v>
      </c>
      <c r="BD1193">
        <f>((Table133456[[#This Row],[High P]]+Table133456[[#This Row],[Low P]])/2)*Table133456[[#This Row],[gammap]]*Table133456[[#This Row],[Volume9]]*-1</f>
        <v>0</v>
      </c>
      <c r="BE1193">
        <f>(Table133456[[#This Row],[SgammaC]]+Table133456[[#This Row],[SgammaP]])*$A$4*-100</f>
        <v>0</v>
      </c>
      <c r="BF1193">
        <f>Table133456[[#This Row],[DEXc]]+Table133456[[#This Row],[DEXp]]</f>
        <v>0</v>
      </c>
      <c r="BG1193">
        <f>IFERROR(Table133456[[#This Row],[DeltaC]]*Table133456[[#This Row],[Open.Int]]*$A$4,0)</f>
        <v>0</v>
      </c>
      <c r="BH1193">
        <f>IFERROR(Table133456[[#This Row],[DeltaP]]*Table133456[[#This Row],[Open.Int8]]*$A$4,0)</f>
        <v>0</v>
      </c>
      <c r="BI119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3">
        <f ca="1">Table133456[[#This Row],[charmc]]+Table133456[[#This Row],[charmp]]</f>
        <v>0</v>
      </c>
      <c r="BL119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3" s="78">
        <f ca="1">Table133456[[#This Row],[call helper]]+Table133456[[#This Row],[put helper]]</f>
        <v>0</v>
      </c>
      <c r="BP1193" t="str">
        <f>RTD("tos.rtd", , "STRIKE", "."&amp;Table133456[[#This Row],[Ticker]]&amp;Table133456[[#This Row],[Expiry]]&amp;""&amp;"C"&amp;Table133456[[#This Row],[Spot]]+Table133456[[#This Row],[step]])</f>
        <v>N/A</v>
      </c>
    </row>
    <row r="1194" spans="1:68" x14ac:dyDescent="0.25">
      <c r="A1194" s="14">
        <f t="shared" ca="1" si="114"/>
        <v>-126.14810350076104</v>
      </c>
      <c r="C1194" s="17"/>
      <c r="D1194" t="str">
        <f>RTD("tos.rtd", , "OPEN_INT", "."&amp;Table133456[[#This Row],[Ticker]]&amp;Table133456[[#This Row],[Expiry]]&amp;""&amp;"C"&amp;Table133456[[#This Row],[Spot]]+Table133456[[#This Row],[step]])</f>
        <v>N/A</v>
      </c>
      <c r="E119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4" s="17" cm="1">
        <f t="array" aca="1" ref="H1194" ca="1">IndividualLegIVCore($A$4, Table133456[[#This Row],[Strike]], 0.0411, Table133456[[#This Row],[T]], ((Table133456[[#This Row],[BIDC]]+Table133456[[#This Row],[ASKC]])/2), TRUE)</f>
        <v>0.01</v>
      </c>
      <c r="I1194" t="b">
        <f>IF(     ISNUMBER(Table133456[[#This Row],[Strike]]),RTD("tos.rtd", , "BID", "."&amp;Table133456[[#This Row],[Ticker]]&amp;Table133456[[#This Row],[Expiry]]&amp;""&amp;"C"&amp;Table133456[[#This Row],[Strike]]))</f>
        <v>0</v>
      </c>
      <c r="J1194" t="b">
        <f>IF(     ISNUMBER(Table133456[[#This Row],[Strike]]),RTD("tos.rtd", , "ASK", "."&amp;Table133456[[#This Row],[Ticker]]&amp;Table133456[[#This Row],[Expiry]]&amp;""&amp;"C"&amp;Table133456[[#This Row],[Strike]]))</f>
        <v>0</v>
      </c>
      <c r="K1194" s="17"/>
      <c r="M1194" s="1">
        <f t="shared" si="115"/>
        <v>0</v>
      </c>
      <c r="N1194" t="b">
        <f t="shared" si="116"/>
        <v>0</v>
      </c>
      <c r="P1194" s="17" cm="1">
        <f t="array" aca="1" ref="P1194" ca="1">IndividualLegIVCore($A$4, Table133456[[#This Row],[Strike]], 0.0411, Table133456[[#This Row],[T]], ((Table133456[[#This Row],[BIDP]]+Table133456[[#This Row],[ASKP]])/2), FALSE)</f>
        <v>0.01</v>
      </c>
      <c r="Q1194" t="b">
        <f>IF(     ISNUMBER(Table133456[[#This Row],[Strike]]),RTD("tos.rtd", , "BID", "."&amp;Table133456[[#This Row],[Ticker]]&amp;Table133456[[#This Row],[Expiry]]&amp;""&amp;"P"&amp;Table133456[[#This Row],[Strike]]))</f>
        <v>0</v>
      </c>
      <c r="R1194" t="b">
        <f>IF(     ISNUMBER(Table133456[[#This Row],[Strike]]),RTD("tos.rtd", , "ASK", "."&amp;Table133456[[#This Row],[Ticker]]&amp;Table133456[[#This Row],[Expiry]]&amp;""&amp;"P"&amp;Table133456[[#This Row],[Strike]]))</f>
        <v>0</v>
      </c>
      <c r="S1194" s="17"/>
      <c r="T119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4" s="19">
        <f>34.5* IF($M$1="NDX", 10, IF(OR($M$1="SPX", $M$1="RUT"), 2, 1))</f>
        <v>69</v>
      </c>
      <c r="Z1194">
        <f ca="1">IFERROR(Table133456[[#This Row],[call gamma]]*(Table133456[[#This Row],[Open.Int]])*$A$4^2,0)</f>
        <v>0</v>
      </c>
      <c r="AA1194">
        <f ca="1">IFERROR(((Table133456[[#This Row],[Open.Int8]])*Table133456[[#This Row],[Put gamma]])*-1*$A$4^2,0)</f>
        <v>0</v>
      </c>
      <c r="AB1194">
        <f ca="1">(Table133456[[#This Row],[Call Gex]]+Table133456[[#This Row],[Put Gex]])</f>
        <v>0</v>
      </c>
      <c r="AC1194">
        <f ca="1">Table133456[[#This Row],[put delta adj]]+Table133456[[#This Row],[call delta adj]]</f>
        <v>0</v>
      </c>
      <c r="AD1194">
        <f ca="1">Table133456[[#This Row],[Put Gex]]*Table133456[[#This Row],[DeltaP]]*-1</f>
        <v>0</v>
      </c>
      <c r="AE1194">
        <f ca="1">Table133456[[#This Row],[Call Gex]]*Table133456[[#This Row],[DeltaC]]</f>
        <v>0</v>
      </c>
      <c r="AF1194">
        <f>IF(Table133456[[#This Row],[DeltaC]]-ABS(Table133456[[#This Row],[DeltaP]])="0","0.01",Table133456[[#This Row],[DeltaC]]-ABS(Table133456[[#This Row],[DeltaP]]))</f>
        <v>0</v>
      </c>
      <c r="AG119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4" t="e">
        <f ca="1">(EXP(-(AG1194^2)/2)/SQRT(2*PI())*EXP(0*SQRT(Table133456[[#This Row],[T]]))/$A$4*18%*SQRT(SQRT(Table133456[[#This Row],[T]])))</f>
        <v>#DIV/0!</v>
      </c>
      <c r="AJ1194" t="e">
        <f ca="1">(EXP(-(AH1194^2)/2)/SQRT(2*PI())*EXP(0*SQRT(Table133456[[#This Row],[T]]))/$A$4*18%*SQRT(SQRT(Table133456[[#This Row],[T]])))</f>
        <v>#DIV/0!</v>
      </c>
      <c r="AK1194" t="e">
        <f ca="1">Table133456[[#This Row],[Call D1]]-Table133456[[#This Row],[IV Calc C]]*SQRT(Table133456[[#This Row],[T]])</f>
        <v>#DIV/0!</v>
      </c>
      <c r="AL1194" t="e">
        <f ca="1">Table133456[[#This Row],[Put D1]]-Table133456[[#This Row],[IV Calc P]]*SQRT(Table133456[[#This Row],[T]])</f>
        <v>#DIV/0!</v>
      </c>
      <c r="AM1194" t="e">
        <f ca="1">EXP(-0.5*Table133456[[#This Row],[Call D1]]^2)/SQRT(2*PI())</f>
        <v>#DIV/0!</v>
      </c>
      <c r="AN1194" t="e">
        <f ca="1">EXP(-0.5*Table133456[[#This Row],[Put D1]]^2)/SQRT(2*PI())</f>
        <v>#DIV/0!</v>
      </c>
      <c r="AO119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4">
        <f ca="1">((Table133456[[#This Row],[call vanna]]+Table133456[[#This Row],[put vanna]])*$A$4)</f>
        <v>0</v>
      </c>
      <c r="AR119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4" s="9" t="str" cm="1">
        <f t="array" ref="AT1194">_xlfn.IFS(     $M$1="SPX","SPXW",     $M$1="RUT","RUTW",  $M$1="NDX","NDXP",   TRUE,$M$1 )</f>
        <v>SPXW</v>
      </c>
      <c r="AU1194" s="2">
        <f t="shared" si="117"/>
        <v>6915</v>
      </c>
      <c r="AV1194" t="str">
        <f t="shared" si="118"/>
        <v>000100</v>
      </c>
      <c r="AY119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4">
        <f>((Table133456[[#This Row],[High C]]+Table133456[[#This Row],[Low C]])/2)*Table133456[[#This Row],[gammac]]*Table133456[[#This Row],[Volume]]</f>
        <v>0</v>
      </c>
      <c r="BD1194">
        <f>((Table133456[[#This Row],[High P]]+Table133456[[#This Row],[Low P]])/2)*Table133456[[#This Row],[gammap]]*Table133456[[#This Row],[Volume9]]*-1</f>
        <v>0</v>
      </c>
      <c r="BE1194">
        <f>(Table133456[[#This Row],[SgammaC]]+Table133456[[#This Row],[SgammaP]])*$A$4*-100</f>
        <v>0</v>
      </c>
      <c r="BF1194">
        <f>Table133456[[#This Row],[DEXc]]+Table133456[[#This Row],[DEXp]]</f>
        <v>0</v>
      </c>
      <c r="BG1194">
        <f>IFERROR(Table133456[[#This Row],[DeltaC]]*Table133456[[#This Row],[Open.Int]]*$A$4,0)</f>
        <v>0</v>
      </c>
      <c r="BH1194">
        <f>IFERROR(Table133456[[#This Row],[DeltaP]]*Table133456[[#This Row],[Open.Int8]]*$A$4,0)</f>
        <v>0</v>
      </c>
      <c r="BI119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4">
        <f ca="1">Table133456[[#This Row],[charmc]]+Table133456[[#This Row],[charmp]]</f>
        <v>0</v>
      </c>
      <c r="BL119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4" s="78">
        <f ca="1">Table133456[[#This Row],[call helper]]+Table133456[[#This Row],[put helper]]</f>
        <v>0</v>
      </c>
      <c r="BP1194" t="str">
        <f>RTD("tos.rtd", , "STRIKE", "."&amp;Table133456[[#This Row],[Ticker]]&amp;Table133456[[#This Row],[Expiry]]&amp;""&amp;"C"&amp;Table133456[[#This Row],[Spot]]+Table133456[[#This Row],[step]])</f>
        <v>N/A</v>
      </c>
    </row>
    <row r="1195" spans="1:68" x14ac:dyDescent="0.25">
      <c r="A1195" s="14">
        <f t="shared" ca="1" si="114"/>
        <v>-126.14810350076104</v>
      </c>
      <c r="C1195" s="17"/>
      <c r="D1195" t="str">
        <f>RTD("tos.rtd", , "OPEN_INT", "."&amp;Table133456[[#This Row],[Ticker]]&amp;Table133456[[#This Row],[Expiry]]&amp;""&amp;"C"&amp;Table133456[[#This Row],[Spot]]+Table133456[[#This Row],[step]])</f>
        <v>N/A</v>
      </c>
      <c r="E119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5" s="17" cm="1">
        <f t="array" aca="1" ref="H1195" ca="1">IndividualLegIVCore($A$4, Table133456[[#This Row],[Strike]], 0.0411, Table133456[[#This Row],[T]], ((Table133456[[#This Row],[BIDC]]+Table133456[[#This Row],[ASKC]])/2), TRUE)</f>
        <v>0.01</v>
      </c>
      <c r="I1195" t="b">
        <f>IF(     ISNUMBER(Table133456[[#This Row],[Strike]]),RTD("tos.rtd", , "BID", "."&amp;Table133456[[#This Row],[Ticker]]&amp;Table133456[[#This Row],[Expiry]]&amp;""&amp;"C"&amp;Table133456[[#This Row],[Strike]]))</f>
        <v>0</v>
      </c>
      <c r="J1195" t="b">
        <f>IF(     ISNUMBER(Table133456[[#This Row],[Strike]]),RTD("tos.rtd", , "ASK", "."&amp;Table133456[[#This Row],[Ticker]]&amp;Table133456[[#This Row],[Expiry]]&amp;""&amp;"C"&amp;Table133456[[#This Row],[Strike]]))</f>
        <v>0</v>
      </c>
      <c r="K1195" s="17"/>
      <c r="M1195" s="1">
        <f t="shared" si="115"/>
        <v>0</v>
      </c>
      <c r="N1195" t="b">
        <f t="shared" si="116"/>
        <v>0</v>
      </c>
      <c r="P1195" s="17" cm="1">
        <f t="array" aca="1" ref="P1195" ca="1">IndividualLegIVCore($A$4, Table133456[[#This Row],[Strike]], 0.0411, Table133456[[#This Row],[T]], ((Table133456[[#This Row],[BIDP]]+Table133456[[#This Row],[ASKP]])/2), FALSE)</f>
        <v>0.01</v>
      </c>
      <c r="Q1195" t="b">
        <f>IF(     ISNUMBER(Table133456[[#This Row],[Strike]]),RTD("tos.rtd", , "BID", "."&amp;Table133456[[#This Row],[Ticker]]&amp;Table133456[[#This Row],[Expiry]]&amp;""&amp;"P"&amp;Table133456[[#This Row],[Strike]]))</f>
        <v>0</v>
      </c>
      <c r="R1195" t="b">
        <f>IF(     ISNUMBER(Table133456[[#This Row],[Strike]]),RTD("tos.rtd", , "ASK", "."&amp;Table133456[[#This Row],[Ticker]]&amp;Table133456[[#This Row],[Expiry]]&amp;""&amp;"P"&amp;Table133456[[#This Row],[Strike]]))</f>
        <v>0</v>
      </c>
      <c r="S1195" s="17"/>
      <c r="T119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5" s="19">
        <f>35* IF($M$1="NDX", 10, IF(OR($M$1="SPX", $M$1="RUT"), 2, 1))</f>
        <v>70</v>
      </c>
      <c r="Z1195">
        <f ca="1">IFERROR(Table133456[[#This Row],[call gamma]]*(Table133456[[#This Row],[Open.Int]])*$A$4^2,0)</f>
        <v>0</v>
      </c>
      <c r="AA1195">
        <f ca="1">IFERROR(((Table133456[[#This Row],[Open.Int8]])*Table133456[[#This Row],[Put gamma]])*-1*$A$4^2,0)</f>
        <v>0</v>
      </c>
      <c r="AB1195">
        <f ca="1">(Table133456[[#This Row],[Call Gex]]+Table133456[[#This Row],[Put Gex]])</f>
        <v>0</v>
      </c>
      <c r="AC1195">
        <f ca="1">Table133456[[#This Row],[put delta adj]]+Table133456[[#This Row],[call delta adj]]</f>
        <v>0</v>
      </c>
      <c r="AD1195">
        <f ca="1">Table133456[[#This Row],[Put Gex]]*Table133456[[#This Row],[DeltaP]]*-1</f>
        <v>0</v>
      </c>
      <c r="AE1195">
        <f ca="1">Table133456[[#This Row],[Call Gex]]*Table133456[[#This Row],[DeltaC]]</f>
        <v>0</v>
      </c>
      <c r="AF1195">
        <f>IF(Table133456[[#This Row],[DeltaC]]-ABS(Table133456[[#This Row],[DeltaP]])="0","0.01",Table133456[[#This Row],[DeltaC]]-ABS(Table133456[[#This Row],[DeltaP]]))</f>
        <v>0</v>
      </c>
      <c r="AG119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5" t="e">
        <f ca="1">(EXP(-(AG1195^2)/2)/SQRT(2*PI())*EXP(0*SQRT(Table133456[[#This Row],[T]]))/$A$4*18%*SQRT(SQRT(Table133456[[#This Row],[T]])))</f>
        <v>#DIV/0!</v>
      </c>
      <c r="AJ1195" t="e">
        <f ca="1">(EXP(-(AH1195^2)/2)/SQRT(2*PI())*EXP(0*SQRT(Table133456[[#This Row],[T]]))/$A$4*18%*SQRT(SQRT(Table133456[[#This Row],[T]])))</f>
        <v>#DIV/0!</v>
      </c>
      <c r="AK1195" t="e">
        <f ca="1">Table133456[[#This Row],[Call D1]]-Table133456[[#This Row],[IV Calc C]]*SQRT(Table133456[[#This Row],[T]])</f>
        <v>#DIV/0!</v>
      </c>
      <c r="AL1195" t="e">
        <f ca="1">Table133456[[#This Row],[Put D1]]-Table133456[[#This Row],[IV Calc P]]*SQRT(Table133456[[#This Row],[T]])</f>
        <v>#DIV/0!</v>
      </c>
      <c r="AM1195" t="e">
        <f ca="1">EXP(-0.5*Table133456[[#This Row],[Call D1]]^2)/SQRT(2*PI())</f>
        <v>#DIV/0!</v>
      </c>
      <c r="AN1195" t="e">
        <f ca="1">EXP(-0.5*Table133456[[#This Row],[Put D1]]^2)/SQRT(2*PI())</f>
        <v>#DIV/0!</v>
      </c>
      <c r="AO119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5">
        <f ca="1">((Table133456[[#This Row],[call vanna]]+Table133456[[#This Row],[put vanna]])*$A$4)</f>
        <v>0</v>
      </c>
      <c r="AR119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5" s="9" t="str" cm="1">
        <f t="array" ref="AT1195">_xlfn.IFS(     $M$1="SPX","SPXW",     $M$1="RUT","RUTW",  $M$1="NDX","NDXP",   TRUE,$M$1 )</f>
        <v>SPXW</v>
      </c>
      <c r="AU1195" s="2">
        <f t="shared" si="117"/>
        <v>6915</v>
      </c>
      <c r="AV1195" t="str">
        <f t="shared" si="118"/>
        <v>000100</v>
      </c>
      <c r="AY119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5">
        <f>((Table133456[[#This Row],[High C]]+Table133456[[#This Row],[Low C]])/2)*Table133456[[#This Row],[gammac]]*Table133456[[#This Row],[Volume]]</f>
        <v>0</v>
      </c>
      <c r="BD1195">
        <f>((Table133456[[#This Row],[High P]]+Table133456[[#This Row],[Low P]])/2)*Table133456[[#This Row],[gammap]]*Table133456[[#This Row],[Volume9]]*-1</f>
        <v>0</v>
      </c>
      <c r="BE1195">
        <f>(Table133456[[#This Row],[SgammaC]]+Table133456[[#This Row],[SgammaP]])*$A$4*-100</f>
        <v>0</v>
      </c>
      <c r="BF1195">
        <f>Table133456[[#This Row],[DEXc]]+Table133456[[#This Row],[DEXp]]</f>
        <v>0</v>
      </c>
      <c r="BG1195">
        <f>IFERROR(Table133456[[#This Row],[DeltaC]]*Table133456[[#This Row],[Open.Int]]*$A$4,0)</f>
        <v>0</v>
      </c>
      <c r="BH1195">
        <f>IFERROR(Table133456[[#This Row],[DeltaP]]*Table133456[[#This Row],[Open.Int8]]*$A$4,0)</f>
        <v>0</v>
      </c>
      <c r="BI119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5">
        <f ca="1">Table133456[[#This Row],[charmc]]+Table133456[[#This Row],[charmp]]</f>
        <v>0</v>
      </c>
      <c r="BL119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5" s="78">
        <f ca="1">Table133456[[#This Row],[call helper]]+Table133456[[#This Row],[put helper]]</f>
        <v>0</v>
      </c>
      <c r="BP1195" t="str">
        <f>RTD("tos.rtd", , "STRIKE", "."&amp;Table133456[[#This Row],[Ticker]]&amp;Table133456[[#This Row],[Expiry]]&amp;""&amp;"C"&amp;Table133456[[#This Row],[Spot]]+Table133456[[#This Row],[step]])</f>
        <v>N/A</v>
      </c>
    </row>
    <row r="1196" spans="1:68" x14ac:dyDescent="0.25">
      <c r="A1196" s="14">
        <f t="shared" ca="1" si="114"/>
        <v>-126.14810350076104</v>
      </c>
      <c r="C1196" s="17"/>
      <c r="D1196" t="str">
        <f>RTD("tos.rtd", , "OPEN_INT", "."&amp;Table133456[[#This Row],[Ticker]]&amp;Table133456[[#This Row],[Expiry]]&amp;""&amp;"C"&amp;Table133456[[#This Row],[Spot]]+Table133456[[#This Row],[step]])</f>
        <v>N/A</v>
      </c>
      <c r="E119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6" s="17" cm="1">
        <f t="array" aca="1" ref="H1196" ca="1">IndividualLegIVCore($A$4, Table133456[[#This Row],[Strike]], 0.0411, Table133456[[#This Row],[T]], ((Table133456[[#This Row],[BIDC]]+Table133456[[#This Row],[ASKC]])/2), TRUE)</f>
        <v>0.01</v>
      </c>
      <c r="I1196" t="b">
        <f>IF(     ISNUMBER(Table133456[[#This Row],[Strike]]),RTD("tos.rtd", , "BID", "."&amp;Table133456[[#This Row],[Ticker]]&amp;Table133456[[#This Row],[Expiry]]&amp;""&amp;"C"&amp;Table133456[[#This Row],[Strike]]))</f>
        <v>0</v>
      </c>
      <c r="J1196" t="b">
        <f>IF(     ISNUMBER(Table133456[[#This Row],[Strike]]),RTD("tos.rtd", , "ASK", "."&amp;Table133456[[#This Row],[Ticker]]&amp;Table133456[[#This Row],[Expiry]]&amp;""&amp;"C"&amp;Table133456[[#This Row],[Strike]]))</f>
        <v>0</v>
      </c>
      <c r="K1196" s="17"/>
      <c r="M1196" s="1">
        <f t="shared" si="115"/>
        <v>0</v>
      </c>
      <c r="N1196" t="b">
        <f t="shared" si="116"/>
        <v>0</v>
      </c>
      <c r="P1196" s="17" cm="1">
        <f t="array" aca="1" ref="P1196" ca="1">IndividualLegIVCore($A$4, Table133456[[#This Row],[Strike]], 0.0411, Table133456[[#This Row],[T]], ((Table133456[[#This Row],[BIDP]]+Table133456[[#This Row],[ASKP]])/2), FALSE)</f>
        <v>0.01</v>
      </c>
      <c r="Q1196" t="b">
        <f>IF(     ISNUMBER(Table133456[[#This Row],[Strike]]),RTD("tos.rtd", , "BID", "."&amp;Table133456[[#This Row],[Ticker]]&amp;Table133456[[#This Row],[Expiry]]&amp;""&amp;"P"&amp;Table133456[[#This Row],[Strike]]))</f>
        <v>0</v>
      </c>
      <c r="R1196" t="b">
        <f>IF(     ISNUMBER(Table133456[[#This Row],[Strike]]),RTD("tos.rtd", , "ASK", "."&amp;Table133456[[#This Row],[Ticker]]&amp;Table133456[[#This Row],[Expiry]]&amp;""&amp;"P"&amp;Table133456[[#This Row],[Strike]]))</f>
        <v>0</v>
      </c>
      <c r="S1196" s="17"/>
      <c r="T119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6" s="19">
        <f>35.5* IF($M$1="NDX", 10, IF(OR($M$1="SPX", $M$1="RUT"), 2, 1))</f>
        <v>71</v>
      </c>
      <c r="Z1196">
        <f ca="1">IFERROR(Table133456[[#This Row],[call gamma]]*(Table133456[[#This Row],[Open.Int]])*$A$4^2,0)</f>
        <v>0</v>
      </c>
      <c r="AA1196">
        <f ca="1">IFERROR(((Table133456[[#This Row],[Open.Int8]])*Table133456[[#This Row],[Put gamma]])*-1*$A$4^2,0)</f>
        <v>0</v>
      </c>
      <c r="AB1196">
        <f ca="1">(Table133456[[#This Row],[Call Gex]]+Table133456[[#This Row],[Put Gex]])</f>
        <v>0</v>
      </c>
      <c r="AC1196">
        <f ca="1">Table133456[[#This Row],[put delta adj]]+Table133456[[#This Row],[call delta adj]]</f>
        <v>0</v>
      </c>
      <c r="AD1196">
        <f ca="1">Table133456[[#This Row],[Put Gex]]*Table133456[[#This Row],[DeltaP]]*-1</f>
        <v>0</v>
      </c>
      <c r="AE1196">
        <f ca="1">Table133456[[#This Row],[Call Gex]]*Table133456[[#This Row],[DeltaC]]</f>
        <v>0</v>
      </c>
      <c r="AF1196">
        <f>IF(Table133456[[#This Row],[DeltaC]]-ABS(Table133456[[#This Row],[DeltaP]])="0","0.01",Table133456[[#This Row],[DeltaC]]-ABS(Table133456[[#This Row],[DeltaP]]))</f>
        <v>0</v>
      </c>
      <c r="AG119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6" t="e">
        <f ca="1">(EXP(-(AG1196^2)/2)/SQRT(2*PI())*EXP(0*SQRT(Table133456[[#This Row],[T]]))/$A$4*18%*SQRT(SQRT(Table133456[[#This Row],[T]])))</f>
        <v>#DIV/0!</v>
      </c>
      <c r="AJ1196" t="e">
        <f ca="1">(EXP(-(AH1196^2)/2)/SQRT(2*PI())*EXP(0*SQRT(Table133456[[#This Row],[T]]))/$A$4*18%*SQRT(SQRT(Table133456[[#This Row],[T]])))</f>
        <v>#DIV/0!</v>
      </c>
      <c r="AK1196" t="e">
        <f ca="1">Table133456[[#This Row],[Call D1]]-Table133456[[#This Row],[IV Calc C]]*SQRT(Table133456[[#This Row],[T]])</f>
        <v>#DIV/0!</v>
      </c>
      <c r="AL1196" t="e">
        <f ca="1">Table133456[[#This Row],[Put D1]]-Table133456[[#This Row],[IV Calc P]]*SQRT(Table133456[[#This Row],[T]])</f>
        <v>#DIV/0!</v>
      </c>
      <c r="AM1196" t="e">
        <f ca="1">EXP(-0.5*Table133456[[#This Row],[Call D1]]^2)/SQRT(2*PI())</f>
        <v>#DIV/0!</v>
      </c>
      <c r="AN1196" t="e">
        <f ca="1">EXP(-0.5*Table133456[[#This Row],[Put D1]]^2)/SQRT(2*PI())</f>
        <v>#DIV/0!</v>
      </c>
      <c r="AO119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6">
        <f ca="1">((Table133456[[#This Row],[call vanna]]+Table133456[[#This Row],[put vanna]])*$A$4)</f>
        <v>0</v>
      </c>
      <c r="AR119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6" s="9" t="str" cm="1">
        <f t="array" ref="AT1196">_xlfn.IFS(     $M$1="SPX","SPXW",     $M$1="RUT","RUTW",  $M$1="NDX","NDXP",   TRUE,$M$1 )</f>
        <v>SPXW</v>
      </c>
      <c r="AU1196" s="2">
        <f t="shared" si="117"/>
        <v>6915</v>
      </c>
      <c r="AV1196" t="str">
        <f t="shared" si="118"/>
        <v>000100</v>
      </c>
      <c r="AY119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6">
        <f>((Table133456[[#This Row],[High C]]+Table133456[[#This Row],[Low C]])/2)*Table133456[[#This Row],[gammac]]*Table133456[[#This Row],[Volume]]</f>
        <v>0</v>
      </c>
      <c r="BD1196">
        <f>((Table133456[[#This Row],[High P]]+Table133456[[#This Row],[Low P]])/2)*Table133456[[#This Row],[gammap]]*Table133456[[#This Row],[Volume9]]*-1</f>
        <v>0</v>
      </c>
      <c r="BE1196">
        <f>(Table133456[[#This Row],[SgammaC]]+Table133456[[#This Row],[SgammaP]])*$A$4*-100</f>
        <v>0</v>
      </c>
      <c r="BF1196">
        <f>Table133456[[#This Row],[DEXc]]+Table133456[[#This Row],[DEXp]]</f>
        <v>0</v>
      </c>
      <c r="BG1196">
        <f>IFERROR(Table133456[[#This Row],[DeltaC]]*Table133456[[#This Row],[Open.Int]]*$A$4,0)</f>
        <v>0</v>
      </c>
      <c r="BH1196">
        <f>IFERROR(Table133456[[#This Row],[DeltaP]]*Table133456[[#This Row],[Open.Int8]]*$A$4,0)</f>
        <v>0</v>
      </c>
      <c r="BI119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6">
        <f ca="1">Table133456[[#This Row],[charmc]]+Table133456[[#This Row],[charmp]]</f>
        <v>0</v>
      </c>
      <c r="BL119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6" s="78">
        <f ca="1">Table133456[[#This Row],[call helper]]+Table133456[[#This Row],[put helper]]</f>
        <v>0</v>
      </c>
      <c r="BP1196" t="str">
        <f>RTD("tos.rtd", , "STRIKE", "."&amp;Table133456[[#This Row],[Ticker]]&amp;Table133456[[#This Row],[Expiry]]&amp;""&amp;"C"&amp;Table133456[[#This Row],[Spot]]+Table133456[[#This Row],[step]])</f>
        <v>N/A</v>
      </c>
    </row>
    <row r="1197" spans="1:68" x14ac:dyDescent="0.25">
      <c r="A1197" s="14">
        <f t="shared" ca="1" si="114"/>
        <v>-126.14810350076104</v>
      </c>
      <c r="C1197" s="17"/>
      <c r="D1197" t="str">
        <f>RTD("tos.rtd", , "OPEN_INT", "."&amp;Table133456[[#This Row],[Ticker]]&amp;Table133456[[#This Row],[Expiry]]&amp;""&amp;"C"&amp;Table133456[[#This Row],[Spot]]+Table133456[[#This Row],[step]])</f>
        <v>N/A</v>
      </c>
      <c r="E119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7" s="17" cm="1">
        <f t="array" aca="1" ref="H1197" ca="1">IndividualLegIVCore($A$4, Table133456[[#This Row],[Strike]], 0.0411, Table133456[[#This Row],[T]], ((Table133456[[#This Row],[BIDC]]+Table133456[[#This Row],[ASKC]])/2), TRUE)</f>
        <v>0.01</v>
      </c>
      <c r="I1197" t="b">
        <f>IF(     ISNUMBER(Table133456[[#This Row],[Strike]]),RTD("tos.rtd", , "BID", "."&amp;Table133456[[#This Row],[Ticker]]&amp;Table133456[[#This Row],[Expiry]]&amp;""&amp;"C"&amp;Table133456[[#This Row],[Strike]]))</f>
        <v>0</v>
      </c>
      <c r="J1197" t="b">
        <f>IF(     ISNUMBER(Table133456[[#This Row],[Strike]]),RTD("tos.rtd", , "ASK", "."&amp;Table133456[[#This Row],[Ticker]]&amp;Table133456[[#This Row],[Expiry]]&amp;""&amp;"C"&amp;Table133456[[#This Row],[Strike]]))</f>
        <v>0</v>
      </c>
      <c r="K1197" s="17"/>
      <c r="M1197" s="1">
        <f t="shared" si="115"/>
        <v>0</v>
      </c>
      <c r="N1197" t="b">
        <f t="shared" si="116"/>
        <v>0</v>
      </c>
      <c r="P1197" s="17" cm="1">
        <f t="array" aca="1" ref="P1197" ca="1">IndividualLegIVCore($A$4, Table133456[[#This Row],[Strike]], 0.0411, Table133456[[#This Row],[T]], ((Table133456[[#This Row],[BIDP]]+Table133456[[#This Row],[ASKP]])/2), FALSE)</f>
        <v>0.01</v>
      </c>
      <c r="Q1197" t="b">
        <f>IF(     ISNUMBER(Table133456[[#This Row],[Strike]]),RTD("tos.rtd", , "BID", "."&amp;Table133456[[#This Row],[Ticker]]&amp;Table133456[[#This Row],[Expiry]]&amp;""&amp;"P"&amp;Table133456[[#This Row],[Strike]]))</f>
        <v>0</v>
      </c>
      <c r="R1197" t="b">
        <f>IF(     ISNUMBER(Table133456[[#This Row],[Strike]]),RTD("tos.rtd", , "ASK", "."&amp;Table133456[[#This Row],[Ticker]]&amp;Table133456[[#This Row],[Expiry]]&amp;""&amp;"P"&amp;Table133456[[#This Row],[Strike]]))</f>
        <v>0</v>
      </c>
      <c r="S1197" s="17"/>
      <c r="T119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7" s="19">
        <f>36* IF($M$1="NDX", 10, IF(OR($M$1="SPX", $M$1="RUT"), 2, 1))</f>
        <v>72</v>
      </c>
      <c r="Z1197">
        <f ca="1">IFERROR(Table133456[[#This Row],[call gamma]]*(Table133456[[#This Row],[Open.Int]])*$A$4^2,0)</f>
        <v>0</v>
      </c>
      <c r="AA1197">
        <f ca="1">IFERROR(((Table133456[[#This Row],[Open.Int8]])*Table133456[[#This Row],[Put gamma]])*-1*$A$4^2,0)</f>
        <v>0</v>
      </c>
      <c r="AB1197">
        <f ca="1">(Table133456[[#This Row],[Call Gex]]+Table133456[[#This Row],[Put Gex]])</f>
        <v>0</v>
      </c>
      <c r="AC1197">
        <f ca="1">Table133456[[#This Row],[put delta adj]]+Table133456[[#This Row],[call delta adj]]</f>
        <v>0</v>
      </c>
      <c r="AD1197">
        <f ca="1">Table133456[[#This Row],[Put Gex]]*Table133456[[#This Row],[DeltaP]]*-1</f>
        <v>0</v>
      </c>
      <c r="AE1197">
        <f ca="1">Table133456[[#This Row],[Call Gex]]*Table133456[[#This Row],[DeltaC]]</f>
        <v>0</v>
      </c>
      <c r="AF1197">
        <f>IF(Table133456[[#This Row],[DeltaC]]-ABS(Table133456[[#This Row],[DeltaP]])="0","0.01",Table133456[[#This Row],[DeltaC]]-ABS(Table133456[[#This Row],[DeltaP]]))</f>
        <v>0</v>
      </c>
      <c r="AG119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7" t="e">
        <f ca="1">(EXP(-(AG1197^2)/2)/SQRT(2*PI())*EXP(0*SQRT(Table133456[[#This Row],[T]]))/$A$4*18%*SQRT(SQRT(Table133456[[#This Row],[T]])))</f>
        <v>#DIV/0!</v>
      </c>
      <c r="AJ1197" t="e">
        <f ca="1">(EXP(-(AH1197^2)/2)/SQRT(2*PI())*EXP(0*SQRT(Table133456[[#This Row],[T]]))/$A$4*18%*SQRT(SQRT(Table133456[[#This Row],[T]])))</f>
        <v>#DIV/0!</v>
      </c>
      <c r="AK1197" t="e">
        <f ca="1">Table133456[[#This Row],[Call D1]]-Table133456[[#This Row],[IV Calc C]]*SQRT(Table133456[[#This Row],[T]])</f>
        <v>#DIV/0!</v>
      </c>
      <c r="AL1197" t="e">
        <f ca="1">Table133456[[#This Row],[Put D1]]-Table133456[[#This Row],[IV Calc P]]*SQRT(Table133456[[#This Row],[T]])</f>
        <v>#DIV/0!</v>
      </c>
      <c r="AM1197" t="e">
        <f ca="1">EXP(-0.5*Table133456[[#This Row],[Call D1]]^2)/SQRT(2*PI())</f>
        <v>#DIV/0!</v>
      </c>
      <c r="AN1197" t="e">
        <f ca="1">EXP(-0.5*Table133456[[#This Row],[Put D1]]^2)/SQRT(2*PI())</f>
        <v>#DIV/0!</v>
      </c>
      <c r="AO119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7">
        <f ca="1">((Table133456[[#This Row],[call vanna]]+Table133456[[#This Row],[put vanna]])*$A$4)</f>
        <v>0</v>
      </c>
      <c r="AR119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7" s="9" t="str" cm="1">
        <f t="array" ref="AT1197">_xlfn.IFS(     $M$1="SPX","SPXW",     $M$1="RUT","RUTW",  $M$1="NDX","NDXP",   TRUE,$M$1 )</f>
        <v>SPXW</v>
      </c>
      <c r="AU1197" s="2">
        <f t="shared" si="117"/>
        <v>6915</v>
      </c>
      <c r="AV1197" t="str">
        <f t="shared" si="118"/>
        <v>000100</v>
      </c>
      <c r="AY119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7">
        <f>((Table133456[[#This Row],[High C]]+Table133456[[#This Row],[Low C]])/2)*Table133456[[#This Row],[gammac]]*Table133456[[#This Row],[Volume]]</f>
        <v>0</v>
      </c>
      <c r="BD1197">
        <f>((Table133456[[#This Row],[High P]]+Table133456[[#This Row],[Low P]])/2)*Table133456[[#This Row],[gammap]]*Table133456[[#This Row],[Volume9]]*-1</f>
        <v>0</v>
      </c>
      <c r="BE1197">
        <f>(Table133456[[#This Row],[SgammaC]]+Table133456[[#This Row],[SgammaP]])*$A$4*-100</f>
        <v>0</v>
      </c>
      <c r="BF1197">
        <f>Table133456[[#This Row],[DEXc]]+Table133456[[#This Row],[DEXp]]</f>
        <v>0</v>
      </c>
      <c r="BG1197">
        <f>IFERROR(Table133456[[#This Row],[DeltaC]]*Table133456[[#This Row],[Open.Int]]*$A$4,0)</f>
        <v>0</v>
      </c>
      <c r="BH1197">
        <f>IFERROR(Table133456[[#This Row],[DeltaP]]*Table133456[[#This Row],[Open.Int8]]*$A$4,0)</f>
        <v>0</v>
      </c>
      <c r="BI119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7">
        <f ca="1">Table133456[[#This Row],[charmc]]+Table133456[[#This Row],[charmp]]</f>
        <v>0</v>
      </c>
      <c r="BL119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7" s="78">
        <f ca="1">Table133456[[#This Row],[call helper]]+Table133456[[#This Row],[put helper]]</f>
        <v>0</v>
      </c>
      <c r="BP1197" t="str">
        <f>RTD("tos.rtd", , "STRIKE", "."&amp;Table133456[[#This Row],[Ticker]]&amp;Table133456[[#This Row],[Expiry]]&amp;""&amp;"C"&amp;Table133456[[#This Row],[Spot]]+Table133456[[#This Row],[step]])</f>
        <v>N/A</v>
      </c>
    </row>
    <row r="1198" spans="1:68" x14ac:dyDescent="0.25">
      <c r="A1198" s="14">
        <f t="shared" ca="1" si="114"/>
        <v>-126.14810350076104</v>
      </c>
      <c r="C1198" s="17"/>
      <c r="D1198" t="str">
        <f>RTD("tos.rtd", , "OPEN_INT", "."&amp;Table133456[[#This Row],[Ticker]]&amp;Table133456[[#This Row],[Expiry]]&amp;""&amp;"C"&amp;Table133456[[#This Row],[Spot]]+Table133456[[#This Row],[step]])</f>
        <v>N/A</v>
      </c>
      <c r="E119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8" s="17" cm="1">
        <f t="array" aca="1" ref="H1198" ca="1">IndividualLegIVCore($A$4, Table133456[[#This Row],[Strike]], 0.0411, Table133456[[#This Row],[T]], ((Table133456[[#This Row],[BIDC]]+Table133456[[#This Row],[ASKC]])/2), TRUE)</f>
        <v>0.01</v>
      </c>
      <c r="I1198" t="b">
        <f>IF(     ISNUMBER(Table133456[[#This Row],[Strike]]),RTD("tos.rtd", , "BID", "."&amp;Table133456[[#This Row],[Ticker]]&amp;Table133456[[#This Row],[Expiry]]&amp;""&amp;"C"&amp;Table133456[[#This Row],[Strike]]))</f>
        <v>0</v>
      </c>
      <c r="J1198" t="b">
        <f>IF(     ISNUMBER(Table133456[[#This Row],[Strike]]),RTD("tos.rtd", , "ASK", "."&amp;Table133456[[#This Row],[Ticker]]&amp;Table133456[[#This Row],[Expiry]]&amp;""&amp;"C"&amp;Table133456[[#This Row],[Strike]]))</f>
        <v>0</v>
      </c>
      <c r="K1198" s="17"/>
      <c r="M1198" s="1">
        <f t="shared" si="115"/>
        <v>0</v>
      </c>
      <c r="N1198" t="b">
        <f t="shared" si="116"/>
        <v>0</v>
      </c>
      <c r="P1198" s="17" cm="1">
        <f t="array" aca="1" ref="P1198" ca="1">IndividualLegIVCore($A$4, Table133456[[#This Row],[Strike]], 0.0411, Table133456[[#This Row],[T]], ((Table133456[[#This Row],[BIDP]]+Table133456[[#This Row],[ASKP]])/2), FALSE)</f>
        <v>0.01</v>
      </c>
      <c r="Q1198" t="b">
        <f>IF(     ISNUMBER(Table133456[[#This Row],[Strike]]),RTD("tos.rtd", , "BID", "."&amp;Table133456[[#This Row],[Ticker]]&amp;Table133456[[#This Row],[Expiry]]&amp;""&amp;"P"&amp;Table133456[[#This Row],[Strike]]))</f>
        <v>0</v>
      </c>
      <c r="R1198" t="b">
        <f>IF(     ISNUMBER(Table133456[[#This Row],[Strike]]),RTD("tos.rtd", , "ASK", "."&amp;Table133456[[#This Row],[Ticker]]&amp;Table133456[[#This Row],[Expiry]]&amp;""&amp;"P"&amp;Table133456[[#This Row],[Strike]]))</f>
        <v>0</v>
      </c>
      <c r="S1198" s="17"/>
      <c r="T119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8" s="19">
        <f>36.5* IF($M$1="NDX", 10, IF(OR($M$1="SPX", $M$1="RUT"), 2, 1))</f>
        <v>73</v>
      </c>
      <c r="Z1198">
        <f ca="1">IFERROR(Table133456[[#This Row],[call gamma]]*(Table133456[[#This Row],[Open.Int]])*$A$4^2,0)</f>
        <v>0</v>
      </c>
      <c r="AA1198">
        <f ca="1">IFERROR(((Table133456[[#This Row],[Open.Int8]])*Table133456[[#This Row],[Put gamma]])*-1*$A$4^2,0)</f>
        <v>0</v>
      </c>
      <c r="AB1198">
        <f ca="1">(Table133456[[#This Row],[Call Gex]]+Table133456[[#This Row],[Put Gex]])</f>
        <v>0</v>
      </c>
      <c r="AC1198">
        <f ca="1">Table133456[[#This Row],[put delta adj]]+Table133456[[#This Row],[call delta adj]]</f>
        <v>0</v>
      </c>
      <c r="AD1198">
        <f ca="1">Table133456[[#This Row],[Put Gex]]*Table133456[[#This Row],[DeltaP]]*-1</f>
        <v>0</v>
      </c>
      <c r="AE1198">
        <f ca="1">Table133456[[#This Row],[Call Gex]]*Table133456[[#This Row],[DeltaC]]</f>
        <v>0</v>
      </c>
      <c r="AF1198">
        <f>IF(Table133456[[#This Row],[DeltaC]]-ABS(Table133456[[#This Row],[DeltaP]])="0","0.01",Table133456[[#This Row],[DeltaC]]-ABS(Table133456[[#This Row],[DeltaP]]))</f>
        <v>0</v>
      </c>
      <c r="AG119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8" t="e">
        <f ca="1">(EXP(-(AG1198^2)/2)/SQRT(2*PI())*EXP(0*SQRT(Table133456[[#This Row],[T]]))/$A$4*18%*SQRT(SQRT(Table133456[[#This Row],[T]])))</f>
        <v>#DIV/0!</v>
      </c>
      <c r="AJ1198" t="e">
        <f ca="1">(EXP(-(AH1198^2)/2)/SQRT(2*PI())*EXP(0*SQRT(Table133456[[#This Row],[T]]))/$A$4*18%*SQRT(SQRT(Table133456[[#This Row],[T]])))</f>
        <v>#DIV/0!</v>
      </c>
      <c r="AK1198" t="e">
        <f ca="1">Table133456[[#This Row],[Call D1]]-Table133456[[#This Row],[IV Calc C]]*SQRT(Table133456[[#This Row],[T]])</f>
        <v>#DIV/0!</v>
      </c>
      <c r="AL1198" t="e">
        <f ca="1">Table133456[[#This Row],[Put D1]]-Table133456[[#This Row],[IV Calc P]]*SQRT(Table133456[[#This Row],[T]])</f>
        <v>#DIV/0!</v>
      </c>
      <c r="AM1198" t="e">
        <f ca="1">EXP(-0.5*Table133456[[#This Row],[Call D1]]^2)/SQRT(2*PI())</f>
        <v>#DIV/0!</v>
      </c>
      <c r="AN1198" t="e">
        <f ca="1">EXP(-0.5*Table133456[[#This Row],[Put D1]]^2)/SQRT(2*PI())</f>
        <v>#DIV/0!</v>
      </c>
      <c r="AO119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8">
        <f ca="1">((Table133456[[#This Row],[call vanna]]+Table133456[[#This Row],[put vanna]])*$A$4)</f>
        <v>0</v>
      </c>
      <c r="AR119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8" s="9" t="str" cm="1">
        <f t="array" ref="AT1198">_xlfn.IFS(     $M$1="SPX","SPXW",     $M$1="RUT","RUTW",  $M$1="NDX","NDXP",   TRUE,$M$1 )</f>
        <v>SPXW</v>
      </c>
      <c r="AU1198" s="2">
        <f t="shared" si="117"/>
        <v>6915</v>
      </c>
      <c r="AV1198" t="str">
        <f t="shared" si="118"/>
        <v>000100</v>
      </c>
      <c r="AY119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8">
        <f>((Table133456[[#This Row],[High C]]+Table133456[[#This Row],[Low C]])/2)*Table133456[[#This Row],[gammac]]*Table133456[[#This Row],[Volume]]</f>
        <v>0</v>
      </c>
      <c r="BD1198">
        <f>((Table133456[[#This Row],[High P]]+Table133456[[#This Row],[Low P]])/2)*Table133456[[#This Row],[gammap]]*Table133456[[#This Row],[Volume9]]*-1</f>
        <v>0</v>
      </c>
      <c r="BE1198">
        <f>(Table133456[[#This Row],[SgammaC]]+Table133456[[#This Row],[SgammaP]])*$A$4*-100</f>
        <v>0</v>
      </c>
      <c r="BF1198">
        <f>Table133456[[#This Row],[DEXc]]+Table133456[[#This Row],[DEXp]]</f>
        <v>0</v>
      </c>
      <c r="BG1198">
        <f>IFERROR(Table133456[[#This Row],[DeltaC]]*Table133456[[#This Row],[Open.Int]]*$A$4,0)</f>
        <v>0</v>
      </c>
      <c r="BH1198">
        <f>IFERROR(Table133456[[#This Row],[DeltaP]]*Table133456[[#This Row],[Open.Int8]]*$A$4,0)</f>
        <v>0</v>
      </c>
      <c r="BI119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8">
        <f ca="1">Table133456[[#This Row],[charmc]]+Table133456[[#This Row],[charmp]]</f>
        <v>0</v>
      </c>
      <c r="BL119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8" s="78">
        <f ca="1">Table133456[[#This Row],[call helper]]+Table133456[[#This Row],[put helper]]</f>
        <v>0</v>
      </c>
      <c r="BP1198" t="str">
        <f>RTD("tos.rtd", , "STRIKE", "."&amp;Table133456[[#This Row],[Ticker]]&amp;Table133456[[#This Row],[Expiry]]&amp;""&amp;"C"&amp;Table133456[[#This Row],[Spot]]+Table133456[[#This Row],[step]])</f>
        <v>N/A</v>
      </c>
    </row>
    <row r="1199" spans="1:68" x14ac:dyDescent="0.25">
      <c r="A1199" s="14">
        <f t="shared" ca="1" si="114"/>
        <v>-126.14810350076104</v>
      </c>
      <c r="C1199" s="17"/>
      <c r="D1199" t="str">
        <f>RTD("tos.rtd", , "OPEN_INT", "."&amp;Table133456[[#This Row],[Ticker]]&amp;Table133456[[#This Row],[Expiry]]&amp;""&amp;"C"&amp;Table133456[[#This Row],[Spot]]+Table133456[[#This Row],[step]])</f>
        <v>N/A</v>
      </c>
      <c r="E119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9" s="17" cm="1">
        <f t="array" aca="1" ref="H1199" ca="1">IndividualLegIVCore($A$4, Table133456[[#This Row],[Strike]], 0.0411, Table133456[[#This Row],[T]], ((Table133456[[#This Row],[BIDC]]+Table133456[[#This Row],[ASKC]])/2), TRUE)</f>
        <v>0.01</v>
      </c>
      <c r="I1199" t="b">
        <f>IF(     ISNUMBER(Table133456[[#This Row],[Strike]]),RTD("tos.rtd", , "BID", "."&amp;Table133456[[#This Row],[Ticker]]&amp;Table133456[[#This Row],[Expiry]]&amp;""&amp;"C"&amp;Table133456[[#This Row],[Strike]]))</f>
        <v>0</v>
      </c>
      <c r="J1199" t="b">
        <f>IF(     ISNUMBER(Table133456[[#This Row],[Strike]]),RTD("tos.rtd", , "ASK", "."&amp;Table133456[[#This Row],[Ticker]]&amp;Table133456[[#This Row],[Expiry]]&amp;""&amp;"C"&amp;Table133456[[#This Row],[Strike]]))</f>
        <v>0</v>
      </c>
      <c r="K1199" s="17"/>
      <c r="M1199" s="1">
        <f t="shared" si="115"/>
        <v>0</v>
      </c>
      <c r="N1199" t="b">
        <f t="shared" si="116"/>
        <v>0</v>
      </c>
      <c r="P1199" s="17" cm="1">
        <f t="array" aca="1" ref="P1199" ca="1">IndividualLegIVCore($A$4, Table133456[[#This Row],[Strike]], 0.0411, Table133456[[#This Row],[T]], ((Table133456[[#This Row],[BIDP]]+Table133456[[#This Row],[ASKP]])/2), FALSE)</f>
        <v>0.01</v>
      </c>
      <c r="Q1199" t="b">
        <f>IF(     ISNUMBER(Table133456[[#This Row],[Strike]]),RTD("tos.rtd", , "BID", "."&amp;Table133456[[#This Row],[Ticker]]&amp;Table133456[[#This Row],[Expiry]]&amp;""&amp;"P"&amp;Table133456[[#This Row],[Strike]]))</f>
        <v>0</v>
      </c>
      <c r="R1199" t="b">
        <f>IF(     ISNUMBER(Table133456[[#This Row],[Strike]]),RTD("tos.rtd", , "ASK", "."&amp;Table133456[[#This Row],[Ticker]]&amp;Table133456[[#This Row],[Expiry]]&amp;""&amp;"P"&amp;Table133456[[#This Row],[Strike]]))</f>
        <v>0</v>
      </c>
      <c r="S1199" s="17"/>
      <c r="T119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9" s="19">
        <f>37* IF($M$1="NDX", 10, IF(OR($M$1="SPX", $M$1="RUT"), 2, 1))</f>
        <v>74</v>
      </c>
      <c r="Z1199">
        <f ca="1">IFERROR(Table133456[[#This Row],[call gamma]]*(Table133456[[#This Row],[Open.Int]])*$A$4^2,0)</f>
        <v>0</v>
      </c>
      <c r="AA1199">
        <f ca="1">IFERROR(((Table133456[[#This Row],[Open.Int8]])*Table133456[[#This Row],[Put gamma]])*-1*$A$4^2,0)</f>
        <v>0</v>
      </c>
      <c r="AB1199">
        <f ca="1">(Table133456[[#This Row],[Call Gex]]+Table133456[[#This Row],[Put Gex]])</f>
        <v>0</v>
      </c>
      <c r="AC1199">
        <f ca="1">Table133456[[#This Row],[put delta adj]]+Table133456[[#This Row],[call delta adj]]</f>
        <v>0</v>
      </c>
      <c r="AD1199">
        <f ca="1">Table133456[[#This Row],[Put Gex]]*Table133456[[#This Row],[DeltaP]]*-1</f>
        <v>0</v>
      </c>
      <c r="AE1199">
        <f ca="1">Table133456[[#This Row],[Call Gex]]*Table133456[[#This Row],[DeltaC]]</f>
        <v>0</v>
      </c>
      <c r="AF1199">
        <f>IF(Table133456[[#This Row],[DeltaC]]-ABS(Table133456[[#This Row],[DeltaP]])="0","0.01",Table133456[[#This Row],[DeltaC]]-ABS(Table133456[[#This Row],[DeltaP]]))</f>
        <v>0</v>
      </c>
      <c r="AG119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9" t="e">
        <f ca="1">(EXP(-(AG1199^2)/2)/SQRT(2*PI())*EXP(0*SQRT(Table133456[[#This Row],[T]]))/$A$4*18%*SQRT(SQRT(Table133456[[#This Row],[T]])))</f>
        <v>#DIV/0!</v>
      </c>
      <c r="AJ1199" t="e">
        <f ca="1">(EXP(-(AH1199^2)/2)/SQRT(2*PI())*EXP(0*SQRT(Table133456[[#This Row],[T]]))/$A$4*18%*SQRT(SQRT(Table133456[[#This Row],[T]])))</f>
        <v>#DIV/0!</v>
      </c>
      <c r="AK1199" t="e">
        <f ca="1">Table133456[[#This Row],[Call D1]]-Table133456[[#This Row],[IV Calc C]]*SQRT(Table133456[[#This Row],[T]])</f>
        <v>#DIV/0!</v>
      </c>
      <c r="AL1199" t="e">
        <f ca="1">Table133456[[#This Row],[Put D1]]-Table133456[[#This Row],[IV Calc P]]*SQRT(Table133456[[#This Row],[T]])</f>
        <v>#DIV/0!</v>
      </c>
      <c r="AM1199" t="e">
        <f ca="1">EXP(-0.5*Table133456[[#This Row],[Call D1]]^2)/SQRT(2*PI())</f>
        <v>#DIV/0!</v>
      </c>
      <c r="AN1199" t="e">
        <f ca="1">EXP(-0.5*Table133456[[#This Row],[Put D1]]^2)/SQRT(2*PI())</f>
        <v>#DIV/0!</v>
      </c>
      <c r="AO119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9">
        <f ca="1">((Table133456[[#This Row],[call vanna]]+Table133456[[#This Row],[put vanna]])*$A$4)</f>
        <v>0</v>
      </c>
      <c r="AR119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9" s="9" t="str" cm="1">
        <f t="array" ref="AT1199">_xlfn.IFS(     $M$1="SPX","SPXW",     $M$1="RUT","RUTW",  $M$1="NDX","NDXP",   TRUE,$M$1 )</f>
        <v>SPXW</v>
      </c>
      <c r="AU1199" s="2">
        <f t="shared" si="117"/>
        <v>6915</v>
      </c>
      <c r="AV1199" t="str">
        <f t="shared" si="118"/>
        <v>000100</v>
      </c>
      <c r="AY119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9">
        <f>((Table133456[[#This Row],[High C]]+Table133456[[#This Row],[Low C]])/2)*Table133456[[#This Row],[gammac]]*Table133456[[#This Row],[Volume]]</f>
        <v>0</v>
      </c>
      <c r="BD1199">
        <f>((Table133456[[#This Row],[High P]]+Table133456[[#This Row],[Low P]])/2)*Table133456[[#This Row],[gammap]]*Table133456[[#This Row],[Volume9]]*-1</f>
        <v>0</v>
      </c>
      <c r="BE1199">
        <f>(Table133456[[#This Row],[SgammaC]]+Table133456[[#This Row],[SgammaP]])*$A$4*-100</f>
        <v>0</v>
      </c>
      <c r="BF1199">
        <f>Table133456[[#This Row],[DEXc]]+Table133456[[#This Row],[DEXp]]</f>
        <v>0</v>
      </c>
      <c r="BG1199">
        <f>IFERROR(Table133456[[#This Row],[DeltaC]]*Table133456[[#This Row],[Open.Int]]*$A$4,0)</f>
        <v>0</v>
      </c>
      <c r="BH1199">
        <f>IFERROR(Table133456[[#This Row],[DeltaP]]*Table133456[[#This Row],[Open.Int8]]*$A$4,0)</f>
        <v>0</v>
      </c>
      <c r="BI119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9">
        <f ca="1">Table133456[[#This Row],[charmc]]+Table133456[[#This Row],[charmp]]</f>
        <v>0</v>
      </c>
      <c r="BL119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9" s="78">
        <f ca="1">Table133456[[#This Row],[call helper]]+Table133456[[#This Row],[put helper]]</f>
        <v>0</v>
      </c>
      <c r="BP1199" t="str">
        <f>RTD("tos.rtd", , "STRIKE", "."&amp;Table133456[[#This Row],[Ticker]]&amp;Table133456[[#This Row],[Expiry]]&amp;""&amp;"C"&amp;Table133456[[#This Row],[Spot]]+Table133456[[#This Row],[step]])</f>
        <v>N/A</v>
      </c>
    </row>
    <row r="1200" spans="1:68" x14ac:dyDescent="0.25">
      <c r="A1200" s="14">
        <f t="shared" ca="1" si="114"/>
        <v>-126.14810350076104</v>
      </c>
      <c r="C1200" s="17"/>
      <c r="D1200" t="str">
        <f>RTD("tos.rtd", , "OPEN_INT", "."&amp;Table133456[[#This Row],[Ticker]]&amp;Table133456[[#This Row],[Expiry]]&amp;""&amp;"C"&amp;Table133456[[#This Row],[Spot]]+Table133456[[#This Row],[step]])</f>
        <v>N/A</v>
      </c>
      <c r="E120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0" s="17" cm="1">
        <f t="array" aca="1" ref="H1200" ca="1">IndividualLegIVCore($A$4, Table133456[[#This Row],[Strike]], 0.0411, Table133456[[#This Row],[T]], ((Table133456[[#This Row],[BIDC]]+Table133456[[#This Row],[ASKC]])/2), TRUE)</f>
        <v>0.01</v>
      </c>
      <c r="I1200" t="b">
        <f>IF(     ISNUMBER(Table133456[[#This Row],[Strike]]),RTD("tos.rtd", , "BID", "."&amp;Table133456[[#This Row],[Ticker]]&amp;Table133456[[#This Row],[Expiry]]&amp;""&amp;"C"&amp;Table133456[[#This Row],[Strike]]))</f>
        <v>0</v>
      </c>
      <c r="J1200" t="b">
        <f>IF(     ISNUMBER(Table133456[[#This Row],[Strike]]),RTD("tos.rtd", , "ASK", "."&amp;Table133456[[#This Row],[Ticker]]&amp;Table133456[[#This Row],[Expiry]]&amp;""&amp;"C"&amp;Table133456[[#This Row],[Strike]]))</f>
        <v>0</v>
      </c>
      <c r="K1200" s="17"/>
      <c r="M1200" s="1">
        <f t="shared" si="115"/>
        <v>0</v>
      </c>
      <c r="N1200" t="b">
        <f t="shared" si="116"/>
        <v>0</v>
      </c>
      <c r="P1200" s="17" cm="1">
        <f t="array" aca="1" ref="P1200" ca="1">IndividualLegIVCore($A$4, Table133456[[#This Row],[Strike]], 0.0411, Table133456[[#This Row],[T]], ((Table133456[[#This Row],[BIDP]]+Table133456[[#This Row],[ASKP]])/2), FALSE)</f>
        <v>0.01</v>
      </c>
      <c r="Q1200" t="b">
        <f>IF(     ISNUMBER(Table133456[[#This Row],[Strike]]),RTD("tos.rtd", , "BID", "."&amp;Table133456[[#This Row],[Ticker]]&amp;Table133456[[#This Row],[Expiry]]&amp;""&amp;"P"&amp;Table133456[[#This Row],[Strike]]))</f>
        <v>0</v>
      </c>
      <c r="R1200" t="b">
        <f>IF(     ISNUMBER(Table133456[[#This Row],[Strike]]),RTD("tos.rtd", , "ASK", "."&amp;Table133456[[#This Row],[Ticker]]&amp;Table133456[[#This Row],[Expiry]]&amp;""&amp;"P"&amp;Table133456[[#This Row],[Strike]]))</f>
        <v>0</v>
      </c>
      <c r="S1200" s="17"/>
      <c r="T120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0" s="19">
        <f>37.5* IF($M$1="NDX", 10, IF(OR($M$1="SPX", $M$1="RUT"), 2, 1))</f>
        <v>75</v>
      </c>
      <c r="Z1200">
        <f ca="1">IFERROR(Table133456[[#This Row],[call gamma]]*(Table133456[[#This Row],[Open.Int]])*$A$4^2,0)</f>
        <v>0</v>
      </c>
      <c r="AA1200">
        <f ca="1">IFERROR(((Table133456[[#This Row],[Open.Int8]])*Table133456[[#This Row],[Put gamma]])*-1*$A$4^2,0)</f>
        <v>0</v>
      </c>
      <c r="AB1200">
        <f ca="1">(Table133456[[#This Row],[Call Gex]]+Table133456[[#This Row],[Put Gex]])</f>
        <v>0</v>
      </c>
      <c r="AC1200">
        <f ca="1">Table133456[[#This Row],[put delta adj]]+Table133456[[#This Row],[call delta adj]]</f>
        <v>0</v>
      </c>
      <c r="AD1200">
        <f ca="1">Table133456[[#This Row],[Put Gex]]*Table133456[[#This Row],[DeltaP]]*-1</f>
        <v>0</v>
      </c>
      <c r="AE1200">
        <f ca="1">Table133456[[#This Row],[Call Gex]]*Table133456[[#This Row],[DeltaC]]</f>
        <v>0</v>
      </c>
      <c r="AF1200">
        <f>IF(Table133456[[#This Row],[DeltaC]]-ABS(Table133456[[#This Row],[DeltaP]])="0","0.01",Table133456[[#This Row],[DeltaC]]-ABS(Table133456[[#This Row],[DeltaP]]))</f>
        <v>0</v>
      </c>
      <c r="AG120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0" t="e">
        <f ca="1">(EXP(-(AG1200^2)/2)/SQRT(2*PI())*EXP(0*SQRT(Table133456[[#This Row],[T]]))/$A$4*18%*SQRT(SQRT(Table133456[[#This Row],[T]])))</f>
        <v>#DIV/0!</v>
      </c>
      <c r="AJ1200" t="e">
        <f ca="1">(EXP(-(AH1200^2)/2)/SQRT(2*PI())*EXP(0*SQRT(Table133456[[#This Row],[T]]))/$A$4*18%*SQRT(SQRT(Table133456[[#This Row],[T]])))</f>
        <v>#DIV/0!</v>
      </c>
      <c r="AK1200" t="e">
        <f ca="1">Table133456[[#This Row],[Call D1]]-Table133456[[#This Row],[IV Calc C]]*SQRT(Table133456[[#This Row],[T]])</f>
        <v>#DIV/0!</v>
      </c>
      <c r="AL1200" t="e">
        <f ca="1">Table133456[[#This Row],[Put D1]]-Table133456[[#This Row],[IV Calc P]]*SQRT(Table133456[[#This Row],[T]])</f>
        <v>#DIV/0!</v>
      </c>
      <c r="AM1200" t="e">
        <f ca="1">EXP(-0.5*Table133456[[#This Row],[Call D1]]^2)/SQRT(2*PI())</f>
        <v>#DIV/0!</v>
      </c>
      <c r="AN1200" t="e">
        <f ca="1">EXP(-0.5*Table133456[[#This Row],[Put D1]]^2)/SQRT(2*PI())</f>
        <v>#DIV/0!</v>
      </c>
      <c r="AO120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0">
        <f ca="1">((Table133456[[#This Row],[call vanna]]+Table133456[[#This Row],[put vanna]])*$A$4)</f>
        <v>0</v>
      </c>
      <c r="AR120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0" s="9" t="str" cm="1">
        <f t="array" ref="AT1200">_xlfn.IFS(     $M$1="SPX","SPXW",     $M$1="RUT","RUTW",  $M$1="NDX","NDXP",   TRUE,$M$1 )</f>
        <v>SPXW</v>
      </c>
      <c r="AU1200" s="2">
        <f t="shared" si="117"/>
        <v>6915</v>
      </c>
      <c r="AV1200" t="str">
        <f t="shared" si="118"/>
        <v>000100</v>
      </c>
      <c r="AY120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0">
        <f>((Table133456[[#This Row],[High C]]+Table133456[[#This Row],[Low C]])/2)*Table133456[[#This Row],[gammac]]*Table133456[[#This Row],[Volume]]</f>
        <v>0</v>
      </c>
      <c r="BD1200">
        <f>((Table133456[[#This Row],[High P]]+Table133456[[#This Row],[Low P]])/2)*Table133456[[#This Row],[gammap]]*Table133456[[#This Row],[Volume9]]*-1</f>
        <v>0</v>
      </c>
      <c r="BE1200">
        <f>(Table133456[[#This Row],[SgammaC]]+Table133456[[#This Row],[SgammaP]])*$A$4*-100</f>
        <v>0</v>
      </c>
      <c r="BF1200">
        <f>Table133456[[#This Row],[DEXc]]+Table133456[[#This Row],[DEXp]]</f>
        <v>0</v>
      </c>
      <c r="BG1200">
        <f>IFERROR(Table133456[[#This Row],[DeltaC]]*Table133456[[#This Row],[Open.Int]]*$A$4,0)</f>
        <v>0</v>
      </c>
      <c r="BH1200">
        <f>IFERROR(Table133456[[#This Row],[DeltaP]]*Table133456[[#This Row],[Open.Int8]]*$A$4,0)</f>
        <v>0</v>
      </c>
      <c r="BI120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0">
        <f ca="1">Table133456[[#This Row],[charmc]]+Table133456[[#This Row],[charmp]]</f>
        <v>0</v>
      </c>
      <c r="BL120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0" s="78">
        <f ca="1">Table133456[[#This Row],[call helper]]+Table133456[[#This Row],[put helper]]</f>
        <v>0</v>
      </c>
      <c r="BP1200" t="str">
        <f>RTD("tos.rtd", , "STRIKE", "."&amp;Table133456[[#This Row],[Ticker]]&amp;Table133456[[#This Row],[Expiry]]&amp;""&amp;"C"&amp;Table133456[[#This Row],[Spot]]+Table133456[[#This Row],[step]])</f>
        <v>N/A</v>
      </c>
    </row>
    <row r="1201" spans="1:68" x14ac:dyDescent="0.25">
      <c r="A1201" s="14">
        <f t="shared" ca="1" si="114"/>
        <v>-126.14810350076104</v>
      </c>
      <c r="C1201" s="17"/>
      <c r="D1201" t="str">
        <f>RTD("tos.rtd", , "OPEN_INT", "."&amp;Table133456[[#This Row],[Ticker]]&amp;Table133456[[#This Row],[Expiry]]&amp;""&amp;"C"&amp;Table133456[[#This Row],[Spot]]+Table133456[[#This Row],[step]])</f>
        <v>N/A</v>
      </c>
      <c r="E120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1" s="17" cm="1">
        <f t="array" aca="1" ref="H1201" ca="1">IndividualLegIVCore($A$4, Table133456[[#This Row],[Strike]], 0.0411, Table133456[[#This Row],[T]], ((Table133456[[#This Row],[BIDC]]+Table133456[[#This Row],[ASKC]])/2), TRUE)</f>
        <v>0.01</v>
      </c>
      <c r="I1201" t="b">
        <f>IF(     ISNUMBER(Table133456[[#This Row],[Strike]]),RTD("tos.rtd", , "BID", "."&amp;Table133456[[#This Row],[Ticker]]&amp;Table133456[[#This Row],[Expiry]]&amp;""&amp;"C"&amp;Table133456[[#This Row],[Strike]]))</f>
        <v>0</v>
      </c>
      <c r="J1201" t="b">
        <f>IF(     ISNUMBER(Table133456[[#This Row],[Strike]]),RTD("tos.rtd", , "ASK", "."&amp;Table133456[[#This Row],[Ticker]]&amp;Table133456[[#This Row],[Expiry]]&amp;""&amp;"C"&amp;Table133456[[#This Row],[Strike]]))</f>
        <v>0</v>
      </c>
      <c r="K1201" s="17"/>
      <c r="M1201" s="1">
        <f t="shared" si="115"/>
        <v>0</v>
      </c>
      <c r="N1201" t="b">
        <f t="shared" si="116"/>
        <v>0</v>
      </c>
      <c r="P1201" s="17" cm="1">
        <f t="array" aca="1" ref="P1201" ca="1">IndividualLegIVCore($A$4, Table133456[[#This Row],[Strike]], 0.0411, Table133456[[#This Row],[T]], ((Table133456[[#This Row],[BIDP]]+Table133456[[#This Row],[ASKP]])/2), FALSE)</f>
        <v>0.01</v>
      </c>
      <c r="Q1201" t="b">
        <f>IF(     ISNUMBER(Table133456[[#This Row],[Strike]]),RTD("tos.rtd", , "BID", "."&amp;Table133456[[#This Row],[Ticker]]&amp;Table133456[[#This Row],[Expiry]]&amp;""&amp;"P"&amp;Table133456[[#This Row],[Strike]]))</f>
        <v>0</v>
      </c>
      <c r="R1201" t="b">
        <f>IF(     ISNUMBER(Table133456[[#This Row],[Strike]]),RTD("tos.rtd", , "ASK", "."&amp;Table133456[[#This Row],[Ticker]]&amp;Table133456[[#This Row],[Expiry]]&amp;""&amp;"P"&amp;Table133456[[#This Row],[Strike]]))</f>
        <v>0</v>
      </c>
      <c r="S1201" s="17"/>
      <c r="T120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1" s="19">
        <f>38* IF($M$1="NDX", 10, IF(OR($M$1="SPX", $M$1="RUT"), 2, 1))</f>
        <v>76</v>
      </c>
      <c r="Z1201">
        <f ca="1">IFERROR(Table133456[[#This Row],[call gamma]]*(Table133456[[#This Row],[Open.Int]])*$A$4^2,0)</f>
        <v>0</v>
      </c>
      <c r="AA1201">
        <f ca="1">IFERROR(((Table133456[[#This Row],[Open.Int8]])*Table133456[[#This Row],[Put gamma]])*-1*$A$4^2,0)</f>
        <v>0</v>
      </c>
      <c r="AB1201">
        <f ca="1">(Table133456[[#This Row],[Call Gex]]+Table133456[[#This Row],[Put Gex]])</f>
        <v>0</v>
      </c>
      <c r="AC1201">
        <f ca="1">Table133456[[#This Row],[put delta adj]]+Table133456[[#This Row],[call delta adj]]</f>
        <v>0</v>
      </c>
      <c r="AD1201">
        <f ca="1">Table133456[[#This Row],[Put Gex]]*Table133456[[#This Row],[DeltaP]]*-1</f>
        <v>0</v>
      </c>
      <c r="AE1201">
        <f ca="1">Table133456[[#This Row],[Call Gex]]*Table133456[[#This Row],[DeltaC]]</f>
        <v>0</v>
      </c>
      <c r="AF1201">
        <f>IF(Table133456[[#This Row],[DeltaC]]-ABS(Table133456[[#This Row],[DeltaP]])="0","0.01",Table133456[[#This Row],[DeltaC]]-ABS(Table133456[[#This Row],[DeltaP]]))</f>
        <v>0</v>
      </c>
      <c r="AG120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1" t="e">
        <f ca="1">(EXP(-(AG1201^2)/2)/SQRT(2*PI())*EXP(0*SQRT(Table133456[[#This Row],[T]]))/$A$4*18%*SQRT(SQRT(Table133456[[#This Row],[T]])))</f>
        <v>#DIV/0!</v>
      </c>
      <c r="AJ1201" t="e">
        <f ca="1">(EXP(-(AH1201^2)/2)/SQRT(2*PI())*EXP(0*SQRT(Table133456[[#This Row],[T]]))/$A$4*18%*SQRT(SQRT(Table133456[[#This Row],[T]])))</f>
        <v>#DIV/0!</v>
      </c>
      <c r="AK1201" t="e">
        <f ca="1">Table133456[[#This Row],[Call D1]]-Table133456[[#This Row],[IV Calc C]]*SQRT(Table133456[[#This Row],[T]])</f>
        <v>#DIV/0!</v>
      </c>
      <c r="AL1201" t="e">
        <f ca="1">Table133456[[#This Row],[Put D1]]-Table133456[[#This Row],[IV Calc P]]*SQRT(Table133456[[#This Row],[T]])</f>
        <v>#DIV/0!</v>
      </c>
      <c r="AM1201" t="e">
        <f ca="1">EXP(-0.5*Table133456[[#This Row],[Call D1]]^2)/SQRT(2*PI())</f>
        <v>#DIV/0!</v>
      </c>
      <c r="AN1201" t="e">
        <f ca="1">EXP(-0.5*Table133456[[#This Row],[Put D1]]^2)/SQRT(2*PI())</f>
        <v>#DIV/0!</v>
      </c>
      <c r="AO120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1">
        <f ca="1">((Table133456[[#This Row],[call vanna]]+Table133456[[#This Row],[put vanna]])*$A$4)</f>
        <v>0</v>
      </c>
      <c r="AR120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1" s="9" t="str" cm="1">
        <f t="array" ref="AT1201">_xlfn.IFS(     $M$1="SPX","SPXW",     $M$1="RUT","RUTW",  $M$1="NDX","NDXP",   TRUE,$M$1 )</f>
        <v>SPXW</v>
      </c>
      <c r="AU1201" s="2">
        <f t="shared" si="117"/>
        <v>6915</v>
      </c>
      <c r="AV1201" t="str">
        <f t="shared" si="118"/>
        <v>000100</v>
      </c>
      <c r="AY120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1">
        <f>((Table133456[[#This Row],[High C]]+Table133456[[#This Row],[Low C]])/2)*Table133456[[#This Row],[gammac]]*Table133456[[#This Row],[Volume]]</f>
        <v>0</v>
      </c>
      <c r="BD1201">
        <f>((Table133456[[#This Row],[High P]]+Table133456[[#This Row],[Low P]])/2)*Table133456[[#This Row],[gammap]]*Table133456[[#This Row],[Volume9]]*-1</f>
        <v>0</v>
      </c>
      <c r="BE1201">
        <f>(Table133456[[#This Row],[SgammaC]]+Table133456[[#This Row],[SgammaP]])*$A$4*-100</f>
        <v>0</v>
      </c>
      <c r="BF1201">
        <f>Table133456[[#This Row],[DEXc]]+Table133456[[#This Row],[DEXp]]</f>
        <v>0</v>
      </c>
      <c r="BG1201">
        <f>IFERROR(Table133456[[#This Row],[DeltaC]]*Table133456[[#This Row],[Open.Int]]*$A$4,0)</f>
        <v>0</v>
      </c>
      <c r="BH1201">
        <f>IFERROR(Table133456[[#This Row],[DeltaP]]*Table133456[[#This Row],[Open.Int8]]*$A$4,0)</f>
        <v>0</v>
      </c>
      <c r="BI120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1">
        <f ca="1">Table133456[[#This Row],[charmc]]+Table133456[[#This Row],[charmp]]</f>
        <v>0</v>
      </c>
      <c r="BL120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1" s="78">
        <f ca="1">Table133456[[#This Row],[call helper]]+Table133456[[#This Row],[put helper]]</f>
        <v>0</v>
      </c>
      <c r="BP1201" t="str">
        <f>RTD("tos.rtd", , "STRIKE", "."&amp;Table133456[[#This Row],[Ticker]]&amp;Table133456[[#This Row],[Expiry]]&amp;""&amp;"C"&amp;Table133456[[#This Row],[Spot]]+Table133456[[#This Row],[step]])</f>
        <v>N/A</v>
      </c>
    </row>
    <row r="1202" spans="1:68" x14ac:dyDescent="0.25">
      <c r="A1202" s="14">
        <f t="shared" ca="1" si="114"/>
        <v>-126.14810350076104</v>
      </c>
      <c r="C1202" s="17"/>
      <c r="D1202" t="str">
        <f>RTD("tos.rtd", , "OPEN_INT", "."&amp;Table133456[[#This Row],[Ticker]]&amp;Table133456[[#This Row],[Expiry]]&amp;""&amp;"C"&amp;Table133456[[#This Row],[Spot]]+Table133456[[#This Row],[step]])</f>
        <v>N/A</v>
      </c>
      <c r="E120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2" s="17" cm="1">
        <f t="array" aca="1" ref="H1202" ca="1">IndividualLegIVCore($A$4, Table133456[[#This Row],[Strike]], 0.0411, Table133456[[#This Row],[T]], ((Table133456[[#This Row],[BIDC]]+Table133456[[#This Row],[ASKC]])/2), TRUE)</f>
        <v>0.01</v>
      </c>
      <c r="I1202" t="b">
        <f>IF(     ISNUMBER(Table133456[[#This Row],[Strike]]),RTD("tos.rtd", , "BID", "."&amp;Table133456[[#This Row],[Ticker]]&amp;Table133456[[#This Row],[Expiry]]&amp;""&amp;"C"&amp;Table133456[[#This Row],[Strike]]))</f>
        <v>0</v>
      </c>
      <c r="J1202" t="b">
        <f>IF(     ISNUMBER(Table133456[[#This Row],[Strike]]),RTD("tos.rtd", , "ASK", "."&amp;Table133456[[#This Row],[Ticker]]&amp;Table133456[[#This Row],[Expiry]]&amp;""&amp;"C"&amp;Table133456[[#This Row],[Strike]]))</f>
        <v>0</v>
      </c>
      <c r="K1202" s="17"/>
      <c r="M1202" s="1">
        <f t="shared" si="115"/>
        <v>0</v>
      </c>
      <c r="N1202" t="b">
        <f t="shared" si="116"/>
        <v>0</v>
      </c>
      <c r="P1202" s="17" cm="1">
        <f t="array" aca="1" ref="P1202" ca="1">IndividualLegIVCore($A$4, Table133456[[#This Row],[Strike]], 0.0411, Table133456[[#This Row],[T]], ((Table133456[[#This Row],[BIDP]]+Table133456[[#This Row],[ASKP]])/2), FALSE)</f>
        <v>0.01</v>
      </c>
      <c r="Q1202" t="b">
        <f>IF(     ISNUMBER(Table133456[[#This Row],[Strike]]),RTD("tos.rtd", , "BID", "."&amp;Table133456[[#This Row],[Ticker]]&amp;Table133456[[#This Row],[Expiry]]&amp;""&amp;"P"&amp;Table133456[[#This Row],[Strike]]))</f>
        <v>0</v>
      </c>
      <c r="R1202" t="b">
        <f>IF(     ISNUMBER(Table133456[[#This Row],[Strike]]),RTD("tos.rtd", , "ASK", "."&amp;Table133456[[#This Row],[Ticker]]&amp;Table133456[[#This Row],[Expiry]]&amp;""&amp;"P"&amp;Table133456[[#This Row],[Strike]]))</f>
        <v>0</v>
      </c>
      <c r="S1202" s="17"/>
      <c r="T120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2" s="19">
        <f>38.5* IF($M$1="NDX", 10, IF(OR($M$1="SPX", $M$1="RUT"), 2, 1))</f>
        <v>77</v>
      </c>
      <c r="Z1202">
        <f ca="1">IFERROR(Table133456[[#This Row],[call gamma]]*(Table133456[[#This Row],[Open.Int]])*$A$4^2,0)</f>
        <v>0</v>
      </c>
      <c r="AA1202">
        <f ca="1">IFERROR(((Table133456[[#This Row],[Open.Int8]])*Table133456[[#This Row],[Put gamma]])*-1*$A$4^2,0)</f>
        <v>0</v>
      </c>
      <c r="AB1202">
        <f ca="1">(Table133456[[#This Row],[Call Gex]]+Table133456[[#This Row],[Put Gex]])</f>
        <v>0</v>
      </c>
      <c r="AC1202">
        <f ca="1">Table133456[[#This Row],[put delta adj]]+Table133456[[#This Row],[call delta adj]]</f>
        <v>0</v>
      </c>
      <c r="AD1202">
        <f ca="1">Table133456[[#This Row],[Put Gex]]*Table133456[[#This Row],[DeltaP]]*-1</f>
        <v>0</v>
      </c>
      <c r="AE1202">
        <f ca="1">Table133456[[#This Row],[Call Gex]]*Table133456[[#This Row],[DeltaC]]</f>
        <v>0</v>
      </c>
      <c r="AF1202">
        <f>IF(Table133456[[#This Row],[DeltaC]]-ABS(Table133456[[#This Row],[DeltaP]])="0","0.01",Table133456[[#This Row],[DeltaC]]-ABS(Table133456[[#This Row],[DeltaP]]))</f>
        <v>0</v>
      </c>
      <c r="AG120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2" t="e">
        <f ca="1">(EXP(-(AG1202^2)/2)/SQRT(2*PI())*EXP(0*SQRT(Table133456[[#This Row],[T]]))/$A$4*18%*SQRT(SQRT(Table133456[[#This Row],[T]])))</f>
        <v>#DIV/0!</v>
      </c>
      <c r="AJ1202" t="e">
        <f ca="1">(EXP(-(AH1202^2)/2)/SQRT(2*PI())*EXP(0*SQRT(Table133456[[#This Row],[T]]))/$A$4*18%*SQRT(SQRT(Table133456[[#This Row],[T]])))</f>
        <v>#DIV/0!</v>
      </c>
      <c r="AK1202" t="e">
        <f ca="1">Table133456[[#This Row],[Call D1]]-Table133456[[#This Row],[IV Calc C]]*SQRT(Table133456[[#This Row],[T]])</f>
        <v>#DIV/0!</v>
      </c>
      <c r="AL1202" t="e">
        <f ca="1">Table133456[[#This Row],[Put D1]]-Table133456[[#This Row],[IV Calc P]]*SQRT(Table133456[[#This Row],[T]])</f>
        <v>#DIV/0!</v>
      </c>
      <c r="AM1202" t="e">
        <f ca="1">EXP(-0.5*Table133456[[#This Row],[Call D1]]^2)/SQRT(2*PI())</f>
        <v>#DIV/0!</v>
      </c>
      <c r="AN1202" t="e">
        <f ca="1">EXP(-0.5*Table133456[[#This Row],[Put D1]]^2)/SQRT(2*PI())</f>
        <v>#DIV/0!</v>
      </c>
      <c r="AO120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2">
        <f ca="1">((Table133456[[#This Row],[call vanna]]+Table133456[[#This Row],[put vanna]])*$A$4)</f>
        <v>0</v>
      </c>
      <c r="AR120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2" s="9" t="str" cm="1">
        <f t="array" ref="AT1202">_xlfn.IFS(     $M$1="SPX","SPXW",     $M$1="RUT","RUTW",  $M$1="NDX","NDXP",   TRUE,$M$1 )</f>
        <v>SPXW</v>
      </c>
      <c r="AU1202" s="2">
        <f t="shared" si="117"/>
        <v>6915</v>
      </c>
      <c r="AV1202" t="str">
        <f t="shared" si="118"/>
        <v>000100</v>
      </c>
      <c r="AY120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2">
        <f>((Table133456[[#This Row],[High C]]+Table133456[[#This Row],[Low C]])/2)*Table133456[[#This Row],[gammac]]*Table133456[[#This Row],[Volume]]</f>
        <v>0</v>
      </c>
      <c r="BD1202">
        <f>((Table133456[[#This Row],[High P]]+Table133456[[#This Row],[Low P]])/2)*Table133456[[#This Row],[gammap]]*Table133456[[#This Row],[Volume9]]*-1</f>
        <v>0</v>
      </c>
      <c r="BE1202">
        <f>(Table133456[[#This Row],[SgammaC]]+Table133456[[#This Row],[SgammaP]])*$A$4*-100</f>
        <v>0</v>
      </c>
      <c r="BF1202">
        <f>Table133456[[#This Row],[DEXc]]+Table133456[[#This Row],[DEXp]]</f>
        <v>0</v>
      </c>
      <c r="BG1202">
        <f>IFERROR(Table133456[[#This Row],[DeltaC]]*Table133456[[#This Row],[Open.Int]]*$A$4,0)</f>
        <v>0</v>
      </c>
      <c r="BH1202">
        <f>IFERROR(Table133456[[#This Row],[DeltaP]]*Table133456[[#This Row],[Open.Int8]]*$A$4,0)</f>
        <v>0</v>
      </c>
      <c r="BI120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2">
        <f ca="1">Table133456[[#This Row],[charmc]]+Table133456[[#This Row],[charmp]]</f>
        <v>0</v>
      </c>
      <c r="BL120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2" s="78">
        <f ca="1">Table133456[[#This Row],[call helper]]+Table133456[[#This Row],[put helper]]</f>
        <v>0</v>
      </c>
      <c r="BP1202" t="str">
        <f>RTD("tos.rtd", , "STRIKE", "."&amp;Table133456[[#This Row],[Ticker]]&amp;Table133456[[#This Row],[Expiry]]&amp;""&amp;"C"&amp;Table133456[[#This Row],[Spot]]+Table133456[[#This Row],[step]])</f>
        <v>N/A</v>
      </c>
    </row>
    <row r="1203" spans="1:68" x14ac:dyDescent="0.25">
      <c r="A1203" s="14">
        <f t="shared" ca="1" si="114"/>
        <v>-126.14810350076104</v>
      </c>
      <c r="C1203" s="17"/>
      <c r="D1203" t="str">
        <f>RTD("tos.rtd", , "OPEN_INT", "."&amp;Table133456[[#This Row],[Ticker]]&amp;Table133456[[#This Row],[Expiry]]&amp;""&amp;"C"&amp;Table133456[[#This Row],[Spot]]+Table133456[[#This Row],[step]])</f>
        <v>N/A</v>
      </c>
      <c r="E120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3" s="17" cm="1">
        <f t="array" aca="1" ref="H1203" ca="1">IndividualLegIVCore($A$4, Table133456[[#This Row],[Strike]], 0.0411, Table133456[[#This Row],[T]], ((Table133456[[#This Row],[BIDC]]+Table133456[[#This Row],[ASKC]])/2), TRUE)</f>
        <v>0.01</v>
      </c>
      <c r="I1203" t="b">
        <f>IF(     ISNUMBER(Table133456[[#This Row],[Strike]]),RTD("tos.rtd", , "BID", "."&amp;Table133456[[#This Row],[Ticker]]&amp;Table133456[[#This Row],[Expiry]]&amp;""&amp;"C"&amp;Table133456[[#This Row],[Strike]]))</f>
        <v>0</v>
      </c>
      <c r="J1203" t="b">
        <f>IF(     ISNUMBER(Table133456[[#This Row],[Strike]]),RTD("tos.rtd", , "ASK", "."&amp;Table133456[[#This Row],[Ticker]]&amp;Table133456[[#This Row],[Expiry]]&amp;""&amp;"C"&amp;Table133456[[#This Row],[Strike]]))</f>
        <v>0</v>
      </c>
      <c r="K1203" s="17"/>
      <c r="M1203" s="1">
        <f t="shared" si="115"/>
        <v>0</v>
      </c>
      <c r="N1203" t="b">
        <f t="shared" si="116"/>
        <v>0</v>
      </c>
      <c r="P1203" s="17" cm="1">
        <f t="array" aca="1" ref="P1203" ca="1">IndividualLegIVCore($A$4, Table133456[[#This Row],[Strike]], 0.0411, Table133456[[#This Row],[T]], ((Table133456[[#This Row],[BIDP]]+Table133456[[#This Row],[ASKP]])/2), FALSE)</f>
        <v>0.01</v>
      </c>
      <c r="Q1203" t="b">
        <f>IF(     ISNUMBER(Table133456[[#This Row],[Strike]]),RTD("tos.rtd", , "BID", "."&amp;Table133456[[#This Row],[Ticker]]&amp;Table133456[[#This Row],[Expiry]]&amp;""&amp;"P"&amp;Table133456[[#This Row],[Strike]]))</f>
        <v>0</v>
      </c>
      <c r="R1203" t="b">
        <f>IF(     ISNUMBER(Table133456[[#This Row],[Strike]]),RTD("tos.rtd", , "ASK", "."&amp;Table133456[[#This Row],[Ticker]]&amp;Table133456[[#This Row],[Expiry]]&amp;""&amp;"P"&amp;Table133456[[#This Row],[Strike]]))</f>
        <v>0</v>
      </c>
      <c r="S1203" s="17"/>
      <c r="T120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3" s="19">
        <f>39* IF($M$1="NDX", 10, IF(OR($M$1="SPX", $M$1="RUT"), 2, 1))</f>
        <v>78</v>
      </c>
      <c r="Z1203">
        <f ca="1">IFERROR(Table133456[[#This Row],[call gamma]]*(Table133456[[#This Row],[Open.Int]])*$A$4^2,0)</f>
        <v>0</v>
      </c>
      <c r="AA1203">
        <f ca="1">IFERROR(((Table133456[[#This Row],[Open.Int8]])*Table133456[[#This Row],[Put gamma]])*-1*$A$4^2,0)</f>
        <v>0</v>
      </c>
      <c r="AB1203">
        <f ca="1">(Table133456[[#This Row],[Call Gex]]+Table133456[[#This Row],[Put Gex]])</f>
        <v>0</v>
      </c>
      <c r="AC1203">
        <f ca="1">Table133456[[#This Row],[put delta adj]]+Table133456[[#This Row],[call delta adj]]</f>
        <v>0</v>
      </c>
      <c r="AD1203">
        <f ca="1">Table133456[[#This Row],[Put Gex]]*Table133456[[#This Row],[DeltaP]]*-1</f>
        <v>0</v>
      </c>
      <c r="AE1203">
        <f ca="1">Table133456[[#This Row],[Call Gex]]*Table133456[[#This Row],[DeltaC]]</f>
        <v>0</v>
      </c>
      <c r="AF1203">
        <f>IF(Table133456[[#This Row],[DeltaC]]-ABS(Table133456[[#This Row],[DeltaP]])="0","0.01",Table133456[[#This Row],[DeltaC]]-ABS(Table133456[[#This Row],[DeltaP]]))</f>
        <v>0</v>
      </c>
      <c r="AG120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3" t="e">
        <f ca="1">(EXP(-(AG1203^2)/2)/SQRT(2*PI())*EXP(0*SQRT(Table133456[[#This Row],[T]]))/$A$4*18%*SQRT(SQRT(Table133456[[#This Row],[T]])))</f>
        <v>#DIV/0!</v>
      </c>
      <c r="AJ1203" t="e">
        <f ca="1">(EXP(-(AH1203^2)/2)/SQRT(2*PI())*EXP(0*SQRT(Table133456[[#This Row],[T]]))/$A$4*18%*SQRT(SQRT(Table133456[[#This Row],[T]])))</f>
        <v>#DIV/0!</v>
      </c>
      <c r="AK1203" t="e">
        <f ca="1">Table133456[[#This Row],[Call D1]]-Table133456[[#This Row],[IV Calc C]]*SQRT(Table133456[[#This Row],[T]])</f>
        <v>#DIV/0!</v>
      </c>
      <c r="AL1203" t="e">
        <f ca="1">Table133456[[#This Row],[Put D1]]-Table133456[[#This Row],[IV Calc P]]*SQRT(Table133456[[#This Row],[T]])</f>
        <v>#DIV/0!</v>
      </c>
      <c r="AM1203" t="e">
        <f ca="1">EXP(-0.5*Table133456[[#This Row],[Call D1]]^2)/SQRT(2*PI())</f>
        <v>#DIV/0!</v>
      </c>
      <c r="AN1203" t="e">
        <f ca="1">EXP(-0.5*Table133456[[#This Row],[Put D1]]^2)/SQRT(2*PI())</f>
        <v>#DIV/0!</v>
      </c>
      <c r="AO120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3">
        <f ca="1">((Table133456[[#This Row],[call vanna]]+Table133456[[#This Row],[put vanna]])*$A$4)</f>
        <v>0</v>
      </c>
      <c r="AR120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3" s="9" t="str" cm="1">
        <f t="array" ref="AT1203">_xlfn.IFS(     $M$1="SPX","SPXW",     $M$1="RUT","RUTW",  $M$1="NDX","NDXP",   TRUE,$M$1 )</f>
        <v>SPXW</v>
      </c>
      <c r="AU1203" s="2">
        <f t="shared" si="117"/>
        <v>6915</v>
      </c>
      <c r="AV1203" t="str">
        <f t="shared" si="118"/>
        <v>000100</v>
      </c>
      <c r="AY120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3">
        <f>((Table133456[[#This Row],[High C]]+Table133456[[#This Row],[Low C]])/2)*Table133456[[#This Row],[gammac]]*Table133456[[#This Row],[Volume]]</f>
        <v>0</v>
      </c>
      <c r="BD1203">
        <f>((Table133456[[#This Row],[High P]]+Table133456[[#This Row],[Low P]])/2)*Table133456[[#This Row],[gammap]]*Table133456[[#This Row],[Volume9]]*-1</f>
        <v>0</v>
      </c>
      <c r="BE1203">
        <f>(Table133456[[#This Row],[SgammaC]]+Table133456[[#This Row],[SgammaP]])*$A$4*-100</f>
        <v>0</v>
      </c>
      <c r="BF1203">
        <f>Table133456[[#This Row],[DEXc]]+Table133456[[#This Row],[DEXp]]</f>
        <v>0</v>
      </c>
      <c r="BG1203">
        <f>IFERROR(Table133456[[#This Row],[DeltaC]]*Table133456[[#This Row],[Open.Int]]*$A$4,0)</f>
        <v>0</v>
      </c>
      <c r="BH1203">
        <f>IFERROR(Table133456[[#This Row],[DeltaP]]*Table133456[[#This Row],[Open.Int8]]*$A$4,0)</f>
        <v>0</v>
      </c>
      <c r="BI120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3">
        <f ca="1">Table133456[[#This Row],[charmc]]+Table133456[[#This Row],[charmp]]</f>
        <v>0</v>
      </c>
      <c r="BL120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3" s="78">
        <f ca="1">Table133456[[#This Row],[call helper]]+Table133456[[#This Row],[put helper]]</f>
        <v>0</v>
      </c>
      <c r="BP1203" t="str">
        <f>RTD("tos.rtd", , "STRIKE", "."&amp;Table133456[[#This Row],[Ticker]]&amp;Table133456[[#This Row],[Expiry]]&amp;""&amp;"C"&amp;Table133456[[#This Row],[Spot]]+Table133456[[#This Row],[step]])</f>
        <v>N/A</v>
      </c>
    </row>
    <row r="1204" spans="1:68" x14ac:dyDescent="0.25">
      <c r="A1204" s="14">
        <f t="shared" ca="1" si="114"/>
        <v>-126.14810350076104</v>
      </c>
      <c r="C1204" s="17"/>
      <c r="D1204" t="str">
        <f>RTD("tos.rtd", , "OPEN_INT", "."&amp;Table133456[[#This Row],[Ticker]]&amp;Table133456[[#This Row],[Expiry]]&amp;""&amp;"C"&amp;Table133456[[#This Row],[Spot]]+Table133456[[#This Row],[step]])</f>
        <v>N/A</v>
      </c>
      <c r="E120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4" s="17" cm="1">
        <f t="array" aca="1" ref="H1204" ca="1">IndividualLegIVCore($A$4, Table133456[[#This Row],[Strike]], 0.0411, Table133456[[#This Row],[T]], ((Table133456[[#This Row],[BIDC]]+Table133456[[#This Row],[ASKC]])/2), TRUE)</f>
        <v>0.01</v>
      </c>
      <c r="I1204" t="b">
        <f>IF(     ISNUMBER(Table133456[[#This Row],[Strike]]),RTD("tos.rtd", , "BID", "."&amp;Table133456[[#This Row],[Ticker]]&amp;Table133456[[#This Row],[Expiry]]&amp;""&amp;"C"&amp;Table133456[[#This Row],[Strike]]))</f>
        <v>0</v>
      </c>
      <c r="J1204" t="b">
        <f>IF(     ISNUMBER(Table133456[[#This Row],[Strike]]),RTD("tos.rtd", , "ASK", "."&amp;Table133456[[#This Row],[Ticker]]&amp;Table133456[[#This Row],[Expiry]]&amp;""&amp;"C"&amp;Table133456[[#This Row],[Strike]]))</f>
        <v>0</v>
      </c>
      <c r="K1204" s="17"/>
      <c r="M1204" s="1">
        <f t="shared" si="115"/>
        <v>0</v>
      </c>
      <c r="N1204" t="b">
        <f t="shared" si="116"/>
        <v>0</v>
      </c>
      <c r="P1204" s="17" cm="1">
        <f t="array" aca="1" ref="P1204" ca="1">IndividualLegIVCore($A$4, Table133456[[#This Row],[Strike]], 0.0411, Table133456[[#This Row],[T]], ((Table133456[[#This Row],[BIDP]]+Table133456[[#This Row],[ASKP]])/2), FALSE)</f>
        <v>0.01</v>
      </c>
      <c r="Q1204" t="b">
        <f>IF(     ISNUMBER(Table133456[[#This Row],[Strike]]),RTD("tos.rtd", , "BID", "."&amp;Table133456[[#This Row],[Ticker]]&amp;Table133456[[#This Row],[Expiry]]&amp;""&amp;"P"&amp;Table133456[[#This Row],[Strike]]))</f>
        <v>0</v>
      </c>
      <c r="R1204" t="b">
        <f>IF(     ISNUMBER(Table133456[[#This Row],[Strike]]),RTD("tos.rtd", , "ASK", "."&amp;Table133456[[#This Row],[Ticker]]&amp;Table133456[[#This Row],[Expiry]]&amp;""&amp;"P"&amp;Table133456[[#This Row],[Strike]]))</f>
        <v>0</v>
      </c>
      <c r="S1204" s="17"/>
      <c r="T120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4" s="19">
        <f>39.5* IF($M$1="NDX", 10, IF(OR($M$1="SPX", $M$1="RUT"), 2, 1))</f>
        <v>79</v>
      </c>
      <c r="Z1204">
        <f ca="1">IFERROR(Table133456[[#This Row],[call gamma]]*(Table133456[[#This Row],[Open.Int]])*$A$4^2,0)</f>
        <v>0</v>
      </c>
      <c r="AA1204">
        <f ca="1">IFERROR(((Table133456[[#This Row],[Open.Int8]])*Table133456[[#This Row],[Put gamma]])*-1*$A$4^2,0)</f>
        <v>0</v>
      </c>
      <c r="AB1204">
        <f ca="1">(Table133456[[#This Row],[Call Gex]]+Table133456[[#This Row],[Put Gex]])</f>
        <v>0</v>
      </c>
      <c r="AC1204">
        <f ca="1">Table133456[[#This Row],[put delta adj]]+Table133456[[#This Row],[call delta adj]]</f>
        <v>0</v>
      </c>
      <c r="AD1204">
        <f ca="1">Table133456[[#This Row],[Put Gex]]*Table133456[[#This Row],[DeltaP]]*-1</f>
        <v>0</v>
      </c>
      <c r="AE1204">
        <f ca="1">Table133456[[#This Row],[Call Gex]]*Table133456[[#This Row],[DeltaC]]</f>
        <v>0</v>
      </c>
      <c r="AF1204">
        <f>IF(Table133456[[#This Row],[DeltaC]]-ABS(Table133456[[#This Row],[DeltaP]])="0","0.01",Table133456[[#This Row],[DeltaC]]-ABS(Table133456[[#This Row],[DeltaP]]))</f>
        <v>0</v>
      </c>
      <c r="AG120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4" t="e">
        <f ca="1">(EXP(-(AG1204^2)/2)/SQRT(2*PI())*EXP(0*SQRT(Table133456[[#This Row],[T]]))/$A$4*18%*SQRT(SQRT(Table133456[[#This Row],[T]])))</f>
        <v>#DIV/0!</v>
      </c>
      <c r="AJ1204" t="e">
        <f ca="1">(EXP(-(AH1204^2)/2)/SQRT(2*PI())*EXP(0*SQRT(Table133456[[#This Row],[T]]))/$A$4*18%*SQRT(SQRT(Table133456[[#This Row],[T]])))</f>
        <v>#DIV/0!</v>
      </c>
      <c r="AK1204" t="e">
        <f ca="1">Table133456[[#This Row],[Call D1]]-Table133456[[#This Row],[IV Calc C]]*SQRT(Table133456[[#This Row],[T]])</f>
        <v>#DIV/0!</v>
      </c>
      <c r="AL1204" t="e">
        <f ca="1">Table133456[[#This Row],[Put D1]]-Table133456[[#This Row],[IV Calc P]]*SQRT(Table133456[[#This Row],[T]])</f>
        <v>#DIV/0!</v>
      </c>
      <c r="AM1204" t="e">
        <f ca="1">EXP(-0.5*Table133456[[#This Row],[Call D1]]^2)/SQRT(2*PI())</f>
        <v>#DIV/0!</v>
      </c>
      <c r="AN1204" t="e">
        <f ca="1">EXP(-0.5*Table133456[[#This Row],[Put D1]]^2)/SQRT(2*PI())</f>
        <v>#DIV/0!</v>
      </c>
      <c r="AO120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4">
        <f ca="1">((Table133456[[#This Row],[call vanna]]+Table133456[[#This Row],[put vanna]])*$A$4)</f>
        <v>0</v>
      </c>
      <c r="AR120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4" s="9" t="str" cm="1">
        <f t="array" ref="AT1204">_xlfn.IFS(     $M$1="SPX","SPXW",     $M$1="RUT","RUTW",  $M$1="NDX","NDXP",   TRUE,$M$1 )</f>
        <v>SPXW</v>
      </c>
      <c r="AU1204" s="2">
        <f t="shared" si="117"/>
        <v>6915</v>
      </c>
      <c r="AV1204" t="str">
        <f t="shared" si="118"/>
        <v>000100</v>
      </c>
      <c r="AY120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4">
        <f>((Table133456[[#This Row],[High C]]+Table133456[[#This Row],[Low C]])/2)*Table133456[[#This Row],[gammac]]*Table133456[[#This Row],[Volume]]</f>
        <v>0</v>
      </c>
      <c r="BD1204">
        <f>((Table133456[[#This Row],[High P]]+Table133456[[#This Row],[Low P]])/2)*Table133456[[#This Row],[gammap]]*Table133456[[#This Row],[Volume9]]*-1</f>
        <v>0</v>
      </c>
      <c r="BE1204">
        <f>(Table133456[[#This Row],[SgammaC]]+Table133456[[#This Row],[SgammaP]])*$A$4*-100</f>
        <v>0</v>
      </c>
      <c r="BF1204">
        <f>Table133456[[#This Row],[DEXc]]+Table133456[[#This Row],[DEXp]]</f>
        <v>0</v>
      </c>
      <c r="BG1204">
        <f>IFERROR(Table133456[[#This Row],[DeltaC]]*Table133456[[#This Row],[Open.Int]]*$A$4,0)</f>
        <v>0</v>
      </c>
      <c r="BH1204">
        <f>IFERROR(Table133456[[#This Row],[DeltaP]]*Table133456[[#This Row],[Open.Int8]]*$A$4,0)</f>
        <v>0</v>
      </c>
      <c r="BI120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4">
        <f ca="1">Table133456[[#This Row],[charmc]]+Table133456[[#This Row],[charmp]]</f>
        <v>0</v>
      </c>
      <c r="BL120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4" s="78">
        <f ca="1">Table133456[[#This Row],[call helper]]+Table133456[[#This Row],[put helper]]</f>
        <v>0</v>
      </c>
      <c r="BP1204" t="str">
        <f>RTD("tos.rtd", , "STRIKE", "."&amp;Table133456[[#This Row],[Ticker]]&amp;Table133456[[#This Row],[Expiry]]&amp;""&amp;"C"&amp;Table133456[[#This Row],[Spot]]+Table133456[[#This Row],[step]])</f>
        <v>N/A</v>
      </c>
    </row>
    <row r="1205" spans="1:68" x14ac:dyDescent="0.25">
      <c r="A1205" s="14">
        <f t="shared" ca="1" si="114"/>
        <v>-126.14810350076104</v>
      </c>
      <c r="C1205" s="17"/>
      <c r="D1205" t="str">
        <f>RTD("tos.rtd", , "OPEN_INT", "."&amp;Table133456[[#This Row],[Ticker]]&amp;Table133456[[#This Row],[Expiry]]&amp;""&amp;"C"&amp;Table133456[[#This Row],[Spot]]+Table133456[[#This Row],[step]])</f>
        <v>N/A</v>
      </c>
      <c r="E120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5" s="17" cm="1">
        <f t="array" aca="1" ref="H1205" ca="1">IndividualLegIVCore($A$4, Table133456[[#This Row],[Strike]], 0.0411, Table133456[[#This Row],[T]], ((Table133456[[#This Row],[BIDC]]+Table133456[[#This Row],[ASKC]])/2), TRUE)</f>
        <v>0.01</v>
      </c>
      <c r="I1205" t="b">
        <f>IF(     ISNUMBER(Table133456[[#This Row],[Strike]]),RTD("tos.rtd", , "BID", "."&amp;Table133456[[#This Row],[Ticker]]&amp;Table133456[[#This Row],[Expiry]]&amp;""&amp;"C"&amp;Table133456[[#This Row],[Strike]]))</f>
        <v>0</v>
      </c>
      <c r="J1205" t="b">
        <f>IF(     ISNUMBER(Table133456[[#This Row],[Strike]]),RTD("tos.rtd", , "ASK", "."&amp;Table133456[[#This Row],[Ticker]]&amp;Table133456[[#This Row],[Expiry]]&amp;""&amp;"C"&amp;Table133456[[#This Row],[Strike]]))</f>
        <v>0</v>
      </c>
      <c r="K1205" s="17"/>
      <c r="M1205" s="1">
        <f t="shared" si="115"/>
        <v>0</v>
      </c>
      <c r="N1205" t="b">
        <f t="shared" si="116"/>
        <v>0</v>
      </c>
      <c r="P1205" s="17" cm="1">
        <f t="array" aca="1" ref="P1205" ca="1">IndividualLegIVCore($A$4, Table133456[[#This Row],[Strike]], 0.0411, Table133456[[#This Row],[T]], ((Table133456[[#This Row],[BIDP]]+Table133456[[#This Row],[ASKP]])/2), FALSE)</f>
        <v>0.01</v>
      </c>
      <c r="Q1205" t="b">
        <f>IF(     ISNUMBER(Table133456[[#This Row],[Strike]]),RTD("tos.rtd", , "BID", "."&amp;Table133456[[#This Row],[Ticker]]&amp;Table133456[[#This Row],[Expiry]]&amp;""&amp;"P"&amp;Table133456[[#This Row],[Strike]]))</f>
        <v>0</v>
      </c>
      <c r="R1205" t="b">
        <f>IF(     ISNUMBER(Table133456[[#This Row],[Strike]]),RTD("tos.rtd", , "ASK", "."&amp;Table133456[[#This Row],[Ticker]]&amp;Table133456[[#This Row],[Expiry]]&amp;""&amp;"P"&amp;Table133456[[#This Row],[Strike]]))</f>
        <v>0</v>
      </c>
      <c r="S1205" s="17"/>
      <c r="T120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5" s="19">
        <f>40* IF($M$1="NDX", 10, IF(OR($M$1="SPX", $M$1="RUT"), 2, 1))</f>
        <v>80</v>
      </c>
      <c r="Z1205">
        <f ca="1">IFERROR(Table133456[[#This Row],[call gamma]]*(Table133456[[#This Row],[Open.Int]])*$A$4^2,0)</f>
        <v>0</v>
      </c>
      <c r="AA1205">
        <f ca="1">IFERROR(((Table133456[[#This Row],[Open.Int8]])*Table133456[[#This Row],[Put gamma]])*-1*$A$4^2,0)</f>
        <v>0</v>
      </c>
      <c r="AB1205">
        <f ca="1">(Table133456[[#This Row],[Call Gex]]+Table133456[[#This Row],[Put Gex]])</f>
        <v>0</v>
      </c>
      <c r="AC1205">
        <f ca="1">Table133456[[#This Row],[put delta adj]]+Table133456[[#This Row],[call delta adj]]</f>
        <v>0</v>
      </c>
      <c r="AD1205">
        <f ca="1">Table133456[[#This Row],[Put Gex]]*Table133456[[#This Row],[DeltaP]]*-1</f>
        <v>0</v>
      </c>
      <c r="AE1205">
        <f ca="1">Table133456[[#This Row],[Call Gex]]*Table133456[[#This Row],[DeltaC]]</f>
        <v>0</v>
      </c>
      <c r="AF1205">
        <f>IF(Table133456[[#This Row],[DeltaC]]-ABS(Table133456[[#This Row],[DeltaP]])="0","0.01",Table133456[[#This Row],[DeltaC]]-ABS(Table133456[[#This Row],[DeltaP]]))</f>
        <v>0</v>
      </c>
      <c r="AG120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5" t="e">
        <f ca="1">(EXP(-(AG1205^2)/2)/SQRT(2*PI())*EXP(0*SQRT(Table133456[[#This Row],[T]]))/$A$4*18%*SQRT(SQRT(Table133456[[#This Row],[T]])))</f>
        <v>#DIV/0!</v>
      </c>
      <c r="AJ1205" t="e">
        <f ca="1">(EXP(-(AH1205^2)/2)/SQRT(2*PI())*EXP(0*SQRT(Table133456[[#This Row],[T]]))/$A$4*18%*SQRT(SQRT(Table133456[[#This Row],[T]])))</f>
        <v>#DIV/0!</v>
      </c>
      <c r="AK1205" t="e">
        <f ca="1">Table133456[[#This Row],[Call D1]]-Table133456[[#This Row],[IV Calc C]]*SQRT(Table133456[[#This Row],[T]])</f>
        <v>#DIV/0!</v>
      </c>
      <c r="AL1205" t="e">
        <f ca="1">Table133456[[#This Row],[Put D1]]-Table133456[[#This Row],[IV Calc P]]*SQRT(Table133456[[#This Row],[T]])</f>
        <v>#DIV/0!</v>
      </c>
      <c r="AM1205" t="e">
        <f ca="1">EXP(-0.5*Table133456[[#This Row],[Call D1]]^2)/SQRT(2*PI())</f>
        <v>#DIV/0!</v>
      </c>
      <c r="AN1205" t="e">
        <f ca="1">EXP(-0.5*Table133456[[#This Row],[Put D1]]^2)/SQRT(2*PI())</f>
        <v>#DIV/0!</v>
      </c>
      <c r="AO120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5">
        <f ca="1">((Table133456[[#This Row],[call vanna]]+Table133456[[#This Row],[put vanna]])*$A$4)</f>
        <v>0</v>
      </c>
      <c r="AR120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5" s="9" t="str" cm="1">
        <f t="array" ref="AT1205">_xlfn.IFS(     $M$1="SPX","SPXW",     $M$1="RUT","RUTW",  $M$1="NDX","NDXP",   TRUE,$M$1 )</f>
        <v>SPXW</v>
      </c>
      <c r="AU1205" s="2">
        <f t="shared" si="117"/>
        <v>6915</v>
      </c>
      <c r="AV1205" t="str">
        <f t="shared" si="118"/>
        <v>000100</v>
      </c>
      <c r="AY120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5">
        <f>((Table133456[[#This Row],[High C]]+Table133456[[#This Row],[Low C]])/2)*Table133456[[#This Row],[gammac]]*Table133456[[#This Row],[Volume]]</f>
        <v>0</v>
      </c>
      <c r="BD1205">
        <f>((Table133456[[#This Row],[High P]]+Table133456[[#This Row],[Low P]])/2)*Table133456[[#This Row],[gammap]]*Table133456[[#This Row],[Volume9]]*-1</f>
        <v>0</v>
      </c>
      <c r="BE1205">
        <f>(Table133456[[#This Row],[SgammaC]]+Table133456[[#This Row],[SgammaP]])*$A$4*-100</f>
        <v>0</v>
      </c>
      <c r="BF1205">
        <f>Table133456[[#This Row],[DEXc]]+Table133456[[#This Row],[DEXp]]</f>
        <v>0</v>
      </c>
      <c r="BG1205">
        <f>IFERROR(Table133456[[#This Row],[DeltaC]]*Table133456[[#This Row],[Open.Int]]*$A$4,0)</f>
        <v>0</v>
      </c>
      <c r="BH1205">
        <f>IFERROR(Table133456[[#This Row],[DeltaP]]*Table133456[[#This Row],[Open.Int8]]*$A$4,0)</f>
        <v>0</v>
      </c>
      <c r="BI120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5">
        <f ca="1">Table133456[[#This Row],[charmc]]+Table133456[[#This Row],[charmp]]</f>
        <v>0</v>
      </c>
      <c r="BL120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5" s="78">
        <f ca="1">Table133456[[#This Row],[call helper]]+Table133456[[#This Row],[put helper]]</f>
        <v>0</v>
      </c>
      <c r="BP1205" t="str">
        <f>RTD("tos.rtd", , "STRIKE", "."&amp;Table133456[[#This Row],[Ticker]]&amp;Table133456[[#This Row],[Expiry]]&amp;""&amp;"C"&amp;Table133456[[#This Row],[Spot]]+Table133456[[#This Row],[step]])</f>
        <v>N/A</v>
      </c>
    </row>
    <row r="1206" spans="1:68" x14ac:dyDescent="0.25">
      <c r="A1206" s="14">
        <f t="shared" ca="1" si="114"/>
        <v>-126.14810350076104</v>
      </c>
      <c r="C1206" s="17"/>
      <c r="D1206" t="str">
        <f>RTD("tos.rtd", , "OPEN_INT", "."&amp;Table133456[[#This Row],[Ticker]]&amp;Table133456[[#This Row],[Expiry]]&amp;""&amp;"C"&amp;Table133456[[#This Row],[Spot]]+Table133456[[#This Row],[step]])</f>
        <v>N/A</v>
      </c>
      <c r="E120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6" s="17" cm="1">
        <f t="array" aca="1" ref="H1206" ca="1">IndividualLegIVCore($A$4, Table133456[[#This Row],[Strike]], 0.0411, Table133456[[#This Row],[T]], ((Table133456[[#This Row],[BIDC]]+Table133456[[#This Row],[ASKC]])/2), TRUE)</f>
        <v>0.01</v>
      </c>
      <c r="I1206" t="b">
        <f>IF(     ISNUMBER(Table133456[[#This Row],[Strike]]),RTD("tos.rtd", , "BID", "."&amp;Table133456[[#This Row],[Ticker]]&amp;Table133456[[#This Row],[Expiry]]&amp;""&amp;"C"&amp;Table133456[[#This Row],[Strike]]))</f>
        <v>0</v>
      </c>
      <c r="J1206" t="b">
        <f>IF(     ISNUMBER(Table133456[[#This Row],[Strike]]),RTD("tos.rtd", , "ASK", "."&amp;Table133456[[#This Row],[Ticker]]&amp;Table133456[[#This Row],[Expiry]]&amp;""&amp;"C"&amp;Table133456[[#This Row],[Strike]]))</f>
        <v>0</v>
      </c>
      <c r="K1206" s="17"/>
      <c r="M1206" s="1">
        <f t="shared" si="115"/>
        <v>0</v>
      </c>
      <c r="N1206" t="b">
        <f t="shared" si="116"/>
        <v>0</v>
      </c>
      <c r="P1206" s="17" cm="1">
        <f t="array" aca="1" ref="P1206" ca="1">IndividualLegIVCore($A$4, Table133456[[#This Row],[Strike]], 0.0411, Table133456[[#This Row],[T]], ((Table133456[[#This Row],[BIDP]]+Table133456[[#This Row],[ASKP]])/2), FALSE)</f>
        <v>0.01</v>
      </c>
      <c r="Q1206" t="b">
        <f>IF(     ISNUMBER(Table133456[[#This Row],[Strike]]),RTD("tos.rtd", , "BID", "."&amp;Table133456[[#This Row],[Ticker]]&amp;Table133456[[#This Row],[Expiry]]&amp;""&amp;"P"&amp;Table133456[[#This Row],[Strike]]))</f>
        <v>0</v>
      </c>
      <c r="R1206" t="b">
        <f>IF(     ISNUMBER(Table133456[[#This Row],[Strike]]),RTD("tos.rtd", , "ASK", "."&amp;Table133456[[#This Row],[Ticker]]&amp;Table133456[[#This Row],[Expiry]]&amp;""&amp;"P"&amp;Table133456[[#This Row],[Strike]]))</f>
        <v>0</v>
      </c>
      <c r="S1206" s="17"/>
      <c r="T120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6" s="19">
        <f>40.5* IF($M$1="NDX", 10, IF(OR($M$1="SPX", $M$1="RUT"), 2, 1))</f>
        <v>81</v>
      </c>
      <c r="Z1206">
        <f ca="1">IFERROR(Table133456[[#This Row],[call gamma]]*(Table133456[[#This Row],[Open.Int]])*$A$4^2,0)</f>
        <v>0</v>
      </c>
      <c r="AA1206">
        <f ca="1">IFERROR(((Table133456[[#This Row],[Open.Int8]])*Table133456[[#This Row],[Put gamma]])*-1*$A$4^2,0)</f>
        <v>0</v>
      </c>
      <c r="AB1206">
        <f ca="1">(Table133456[[#This Row],[Call Gex]]+Table133456[[#This Row],[Put Gex]])</f>
        <v>0</v>
      </c>
      <c r="AC1206">
        <f ca="1">Table133456[[#This Row],[put delta adj]]+Table133456[[#This Row],[call delta adj]]</f>
        <v>0</v>
      </c>
      <c r="AD1206">
        <f ca="1">Table133456[[#This Row],[Put Gex]]*Table133456[[#This Row],[DeltaP]]*-1</f>
        <v>0</v>
      </c>
      <c r="AE1206">
        <f ca="1">Table133456[[#This Row],[Call Gex]]*Table133456[[#This Row],[DeltaC]]</f>
        <v>0</v>
      </c>
      <c r="AF1206">
        <f>IF(Table133456[[#This Row],[DeltaC]]-ABS(Table133456[[#This Row],[DeltaP]])="0","0.01",Table133456[[#This Row],[DeltaC]]-ABS(Table133456[[#This Row],[DeltaP]]))</f>
        <v>0</v>
      </c>
      <c r="AG120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6" t="e">
        <f ca="1">(EXP(-(AG1206^2)/2)/SQRT(2*PI())*EXP(0*SQRT(Table133456[[#This Row],[T]]))/$A$4*18%*SQRT(SQRT(Table133456[[#This Row],[T]])))</f>
        <v>#DIV/0!</v>
      </c>
      <c r="AJ1206" t="e">
        <f ca="1">(EXP(-(AH1206^2)/2)/SQRT(2*PI())*EXP(0*SQRT(Table133456[[#This Row],[T]]))/$A$4*18%*SQRT(SQRT(Table133456[[#This Row],[T]])))</f>
        <v>#DIV/0!</v>
      </c>
      <c r="AK1206" t="e">
        <f ca="1">Table133456[[#This Row],[Call D1]]-Table133456[[#This Row],[IV Calc C]]*SQRT(Table133456[[#This Row],[T]])</f>
        <v>#DIV/0!</v>
      </c>
      <c r="AL1206" t="e">
        <f ca="1">Table133456[[#This Row],[Put D1]]-Table133456[[#This Row],[IV Calc P]]*SQRT(Table133456[[#This Row],[T]])</f>
        <v>#DIV/0!</v>
      </c>
      <c r="AM1206" t="e">
        <f ca="1">EXP(-0.5*Table133456[[#This Row],[Call D1]]^2)/SQRT(2*PI())</f>
        <v>#DIV/0!</v>
      </c>
      <c r="AN1206" t="e">
        <f ca="1">EXP(-0.5*Table133456[[#This Row],[Put D1]]^2)/SQRT(2*PI())</f>
        <v>#DIV/0!</v>
      </c>
      <c r="AO120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6">
        <f ca="1">((Table133456[[#This Row],[call vanna]]+Table133456[[#This Row],[put vanna]])*$A$4)</f>
        <v>0</v>
      </c>
      <c r="AR120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6" s="9" t="str" cm="1">
        <f t="array" ref="AT1206">_xlfn.IFS(     $M$1="SPX","SPXW",     $M$1="RUT","RUTW",  $M$1="NDX","NDXP",   TRUE,$M$1 )</f>
        <v>SPXW</v>
      </c>
      <c r="AU1206" s="2">
        <f t="shared" si="117"/>
        <v>6915</v>
      </c>
      <c r="AV1206" t="str">
        <f t="shared" si="118"/>
        <v>000100</v>
      </c>
      <c r="AY120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6">
        <f>((Table133456[[#This Row],[High C]]+Table133456[[#This Row],[Low C]])/2)*Table133456[[#This Row],[gammac]]*Table133456[[#This Row],[Volume]]</f>
        <v>0</v>
      </c>
      <c r="BD1206">
        <f>((Table133456[[#This Row],[High P]]+Table133456[[#This Row],[Low P]])/2)*Table133456[[#This Row],[gammap]]*Table133456[[#This Row],[Volume9]]*-1</f>
        <v>0</v>
      </c>
      <c r="BE1206">
        <f>(Table133456[[#This Row],[SgammaC]]+Table133456[[#This Row],[SgammaP]])*$A$4*-100</f>
        <v>0</v>
      </c>
      <c r="BF1206">
        <f>Table133456[[#This Row],[DEXc]]+Table133456[[#This Row],[DEXp]]</f>
        <v>0</v>
      </c>
      <c r="BG1206">
        <f>IFERROR(Table133456[[#This Row],[DeltaC]]*Table133456[[#This Row],[Open.Int]]*$A$4,0)</f>
        <v>0</v>
      </c>
      <c r="BH1206">
        <f>IFERROR(Table133456[[#This Row],[DeltaP]]*Table133456[[#This Row],[Open.Int8]]*$A$4,0)</f>
        <v>0</v>
      </c>
      <c r="BI120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6">
        <f ca="1">Table133456[[#This Row],[charmc]]+Table133456[[#This Row],[charmp]]</f>
        <v>0</v>
      </c>
      <c r="BL120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6" s="78">
        <f ca="1">Table133456[[#This Row],[call helper]]+Table133456[[#This Row],[put helper]]</f>
        <v>0</v>
      </c>
      <c r="BP1206" t="str">
        <f>RTD("tos.rtd", , "STRIKE", "."&amp;Table133456[[#This Row],[Ticker]]&amp;Table133456[[#This Row],[Expiry]]&amp;""&amp;"C"&amp;Table133456[[#This Row],[Spot]]+Table133456[[#This Row],[step]])</f>
        <v>N/A</v>
      </c>
    </row>
    <row r="1207" spans="1:68" x14ac:dyDescent="0.25">
      <c r="A1207" s="14">
        <f t="shared" ca="1" si="114"/>
        <v>-126.14810350076104</v>
      </c>
      <c r="C1207" s="17"/>
      <c r="D1207" t="str">
        <f>RTD("tos.rtd", , "OPEN_INT", "."&amp;Table133456[[#This Row],[Ticker]]&amp;Table133456[[#This Row],[Expiry]]&amp;""&amp;"C"&amp;Table133456[[#This Row],[Spot]]+Table133456[[#This Row],[step]])</f>
        <v>N/A</v>
      </c>
      <c r="E120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7" s="17" cm="1">
        <f t="array" aca="1" ref="H1207" ca="1">IndividualLegIVCore($A$4, Table133456[[#This Row],[Strike]], 0.0411, Table133456[[#This Row],[T]], ((Table133456[[#This Row],[BIDC]]+Table133456[[#This Row],[ASKC]])/2), TRUE)</f>
        <v>0.01</v>
      </c>
      <c r="I1207" t="b">
        <f>IF(     ISNUMBER(Table133456[[#This Row],[Strike]]),RTD("tos.rtd", , "BID", "."&amp;Table133456[[#This Row],[Ticker]]&amp;Table133456[[#This Row],[Expiry]]&amp;""&amp;"C"&amp;Table133456[[#This Row],[Strike]]))</f>
        <v>0</v>
      </c>
      <c r="J1207" t="b">
        <f>IF(     ISNUMBER(Table133456[[#This Row],[Strike]]),RTD("tos.rtd", , "ASK", "."&amp;Table133456[[#This Row],[Ticker]]&amp;Table133456[[#This Row],[Expiry]]&amp;""&amp;"C"&amp;Table133456[[#This Row],[Strike]]))</f>
        <v>0</v>
      </c>
      <c r="K1207" s="17"/>
      <c r="M1207" s="1">
        <f t="shared" si="115"/>
        <v>0</v>
      </c>
      <c r="N1207" t="b">
        <f t="shared" si="116"/>
        <v>0</v>
      </c>
      <c r="P1207" s="17" cm="1">
        <f t="array" aca="1" ref="P1207" ca="1">IndividualLegIVCore($A$4, Table133456[[#This Row],[Strike]], 0.0411, Table133456[[#This Row],[T]], ((Table133456[[#This Row],[BIDP]]+Table133456[[#This Row],[ASKP]])/2), FALSE)</f>
        <v>0.01</v>
      </c>
      <c r="Q1207" t="b">
        <f>IF(     ISNUMBER(Table133456[[#This Row],[Strike]]),RTD("tos.rtd", , "BID", "."&amp;Table133456[[#This Row],[Ticker]]&amp;Table133456[[#This Row],[Expiry]]&amp;""&amp;"P"&amp;Table133456[[#This Row],[Strike]]))</f>
        <v>0</v>
      </c>
      <c r="R1207" t="b">
        <f>IF(     ISNUMBER(Table133456[[#This Row],[Strike]]),RTD("tos.rtd", , "ASK", "."&amp;Table133456[[#This Row],[Ticker]]&amp;Table133456[[#This Row],[Expiry]]&amp;""&amp;"P"&amp;Table133456[[#This Row],[Strike]]))</f>
        <v>0</v>
      </c>
      <c r="S1207" s="17"/>
      <c r="T120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7" s="19">
        <f>41* IF($M$1="NDX", 10, IF(OR($M$1="SPX", $M$1="RUT"), 2, 1))</f>
        <v>82</v>
      </c>
      <c r="Z1207">
        <f ca="1">IFERROR(Table133456[[#This Row],[call gamma]]*(Table133456[[#This Row],[Open.Int]])*$A$4^2,0)</f>
        <v>0</v>
      </c>
      <c r="AA1207">
        <f ca="1">IFERROR(((Table133456[[#This Row],[Open.Int8]])*Table133456[[#This Row],[Put gamma]])*-1*$A$4^2,0)</f>
        <v>0</v>
      </c>
      <c r="AB1207">
        <f ca="1">(Table133456[[#This Row],[Call Gex]]+Table133456[[#This Row],[Put Gex]])</f>
        <v>0</v>
      </c>
      <c r="AC1207">
        <f ca="1">Table133456[[#This Row],[put delta adj]]+Table133456[[#This Row],[call delta adj]]</f>
        <v>0</v>
      </c>
      <c r="AD1207">
        <f ca="1">Table133456[[#This Row],[Put Gex]]*Table133456[[#This Row],[DeltaP]]*-1</f>
        <v>0</v>
      </c>
      <c r="AE1207">
        <f ca="1">Table133456[[#This Row],[Call Gex]]*Table133456[[#This Row],[DeltaC]]</f>
        <v>0</v>
      </c>
      <c r="AF1207">
        <f>IF(Table133456[[#This Row],[DeltaC]]-ABS(Table133456[[#This Row],[DeltaP]])="0","0.01",Table133456[[#This Row],[DeltaC]]-ABS(Table133456[[#This Row],[DeltaP]]))</f>
        <v>0</v>
      </c>
      <c r="AG120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7" t="e">
        <f ca="1">(EXP(-(AG1207^2)/2)/SQRT(2*PI())*EXP(0*SQRT(Table133456[[#This Row],[T]]))/$A$4*18%*SQRT(SQRT(Table133456[[#This Row],[T]])))</f>
        <v>#DIV/0!</v>
      </c>
      <c r="AJ1207" t="e">
        <f ca="1">(EXP(-(AH1207^2)/2)/SQRT(2*PI())*EXP(0*SQRT(Table133456[[#This Row],[T]]))/$A$4*18%*SQRT(SQRT(Table133456[[#This Row],[T]])))</f>
        <v>#DIV/0!</v>
      </c>
      <c r="AK1207" t="e">
        <f ca="1">Table133456[[#This Row],[Call D1]]-Table133456[[#This Row],[IV Calc C]]*SQRT(Table133456[[#This Row],[T]])</f>
        <v>#DIV/0!</v>
      </c>
      <c r="AL1207" t="e">
        <f ca="1">Table133456[[#This Row],[Put D1]]-Table133456[[#This Row],[IV Calc P]]*SQRT(Table133456[[#This Row],[T]])</f>
        <v>#DIV/0!</v>
      </c>
      <c r="AM1207" t="e">
        <f ca="1">EXP(-0.5*Table133456[[#This Row],[Call D1]]^2)/SQRT(2*PI())</f>
        <v>#DIV/0!</v>
      </c>
      <c r="AN1207" t="e">
        <f ca="1">EXP(-0.5*Table133456[[#This Row],[Put D1]]^2)/SQRT(2*PI())</f>
        <v>#DIV/0!</v>
      </c>
      <c r="AO120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7">
        <f ca="1">((Table133456[[#This Row],[call vanna]]+Table133456[[#This Row],[put vanna]])*$A$4)</f>
        <v>0</v>
      </c>
      <c r="AR120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7" s="9" t="str" cm="1">
        <f t="array" ref="AT1207">_xlfn.IFS(     $M$1="SPX","SPXW",     $M$1="RUT","RUTW",  $M$1="NDX","NDXP",   TRUE,$M$1 )</f>
        <v>SPXW</v>
      </c>
      <c r="AU1207" s="2">
        <f t="shared" si="117"/>
        <v>6915</v>
      </c>
      <c r="AV1207" t="str">
        <f t="shared" si="118"/>
        <v>000100</v>
      </c>
      <c r="AY120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7">
        <f>((Table133456[[#This Row],[High C]]+Table133456[[#This Row],[Low C]])/2)*Table133456[[#This Row],[gammac]]*Table133456[[#This Row],[Volume]]</f>
        <v>0</v>
      </c>
      <c r="BD1207">
        <f>((Table133456[[#This Row],[High P]]+Table133456[[#This Row],[Low P]])/2)*Table133456[[#This Row],[gammap]]*Table133456[[#This Row],[Volume9]]*-1</f>
        <v>0</v>
      </c>
      <c r="BE1207">
        <f>(Table133456[[#This Row],[SgammaC]]+Table133456[[#This Row],[SgammaP]])*$A$4*-100</f>
        <v>0</v>
      </c>
      <c r="BF1207">
        <f>Table133456[[#This Row],[DEXc]]+Table133456[[#This Row],[DEXp]]</f>
        <v>0</v>
      </c>
      <c r="BG1207">
        <f>IFERROR(Table133456[[#This Row],[DeltaC]]*Table133456[[#This Row],[Open.Int]]*$A$4,0)</f>
        <v>0</v>
      </c>
      <c r="BH1207">
        <f>IFERROR(Table133456[[#This Row],[DeltaP]]*Table133456[[#This Row],[Open.Int8]]*$A$4,0)</f>
        <v>0</v>
      </c>
      <c r="BI120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7">
        <f ca="1">Table133456[[#This Row],[charmc]]+Table133456[[#This Row],[charmp]]</f>
        <v>0</v>
      </c>
      <c r="BL120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7" s="78">
        <f ca="1">Table133456[[#This Row],[call helper]]+Table133456[[#This Row],[put helper]]</f>
        <v>0</v>
      </c>
      <c r="BP1207" t="str">
        <f>RTD("tos.rtd", , "STRIKE", "."&amp;Table133456[[#This Row],[Ticker]]&amp;Table133456[[#This Row],[Expiry]]&amp;""&amp;"C"&amp;Table133456[[#This Row],[Spot]]+Table133456[[#This Row],[step]])</f>
        <v>N/A</v>
      </c>
    </row>
    <row r="1208" spans="1:68" x14ac:dyDescent="0.25">
      <c r="A1208" s="14">
        <f t="shared" ca="1" si="114"/>
        <v>-126.14810350076104</v>
      </c>
      <c r="C1208" s="17"/>
      <c r="D1208" t="str">
        <f>RTD("tos.rtd", , "OPEN_INT", "."&amp;Table133456[[#This Row],[Ticker]]&amp;Table133456[[#This Row],[Expiry]]&amp;""&amp;"C"&amp;Table133456[[#This Row],[Spot]]+Table133456[[#This Row],[step]])</f>
        <v>N/A</v>
      </c>
      <c r="E120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8" s="17" cm="1">
        <f t="array" aca="1" ref="H1208" ca="1">IndividualLegIVCore($A$4, Table133456[[#This Row],[Strike]], 0.0411, Table133456[[#This Row],[T]], ((Table133456[[#This Row],[BIDC]]+Table133456[[#This Row],[ASKC]])/2), TRUE)</f>
        <v>0.01</v>
      </c>
      <c r="I1208" t="b">
        <f>IF(     ISNUMBER(Table133456[[#This Row],[Strike]]),RTD("tos.rtd", , "BID", "."&amp;Table133456[[#This Row],[Ticker]]&amp;Table133456[[#This Row],[Expiry]]&amp;""&amp;"C"&amp;Table133456[[#This Row],[Strike]]))</f>
        <v>0</v>
      </c>
      <c r="J1208" t="b">
        <f>IF(     ISNUMBER(Table133456[[#This Row],[Strike]]),RTD("tos.rtd", , "ASK", "."&amp;Table133456[[#This Row],[Ticker]]&amp;Table133456[[#This Row],[Expiry]]&amp;""&amp;"C"&amp;Table133456[[#This Row],[Strike]]))</f>
        <v>0</v>
      </c>
      <c r="K1208" s="17"/>
      <c r="M1208" s="1">
        <f t="shared" si="115"/>
        <v>0</v>
      </c>
      <c r="N1208" t="b">
        <f t="shared" si="116"/>
        <v>0</v>
      </c>
      <c r="P1208" s="17" cm="1">
        <f t="array" aca="1" ref="P1208" ca="1">IndividualLegIVCore($A$4, Table133456[[#This Row],[Strike]], 0.0411, Table133456[[#This Row],[T]], ((Table133456[[#This Row],[BIDP]]+Table133456[[#This Row],[ASKP]])/2), FALSE)</f>
        <v>0.01</v>
      </c>
      <c r="Q1208" t="b">
        <f>IF(     ISNUMBER(Table133456[[#This Row],[Strike]]),RTD("tos.rtd", , "BID", "."&amp;Table133456[[#This Row],[Ticker]]&amp;Table133456[[#This Row],[Expiry]]&amp;""&amp;"P"&amp;Table133456[[#This Row],[Strike]]))</f>
        <v>0</v>
      </c>
      <c r="R1208" t="b">
        <f>IF(     ISNUMBER(Table133456[[#This Row],[Strike]]),RTD("tos.rtd", , "ASK", "."&amp;Table133456[[#This Row],[Ticker]]&amp;Table133456[[#This Row],[Expiry]]&amp;""&amp;"P"&amp;Table133456[[#This Row],[Strike]]))</f>
        <v>0</v>
      </c>
      <c r="S1208" s="17"/>
      <c r="T120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8" s="19">
        <f>41.5* IF($M$1="NDX", 10, IF(OR($M$1="SPX", $M$1="RUT"), 2, 1))</f>
        <v>83</v>
      </c>
      <c r="Z1208">
        <f ca="1">IFERROR(Table133456[[#This Row],[call gamma]]*(Table133456[[#This Row],[Open.Int]])*$A$4^2,0)</f>
        <v>0</v>
      </c>
      <c r="AA1208">
        <f ca="1">IFERROR(((Table133456[[#This Row],[Open.Int8]])*Table133456[[#This Row],[Put gamma]])*-1*$A$4^2,0)</f>
        <v>0</v>
      </c>
      <c r="AB1208">
        <f ca="1">(Table133456[[#This Row],[Call Gex]]+Table133456[[#This Row],[Put Gex]])</f>
        <v>0</v>
      </c>
      <c r="AC1208">
        <f ca="1">Table133456[[#This Row],[put delta adj]]+Table133456[[#This Row],[call delta adj]]</f>
        <v>0</v>
      </c>
      <c r="AD1208">
        <f ca="1">Table133456[[#This Row],[Put Gex]]*Table133456[[#This Row],[DeltaP]]*-1</f>
        <v>0</v>
      </c>
      <c r="AE1208">
        <f ca="1">Table133456[[#This Row],[Call Gex]]*Table133456[[#This Row],[DeltaC]]</f>
        <v>0</v>
      </c>
      <c r="AF1208">
        <f>IF(Table133456[[#This Row],[DeltaC]]-ABS(Table133456[[#This Row],[DeltaP]])="0","0.01",Table133456[[#This Row],[DeltaC]]-ABS(Table133456[[#This Row],[DeltaP]]))</f>
        <v>0</v>
      </c>
      <c r="AG120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8" t="e">
        <f ca="1">(EXP(-(AG1208^2)/2)/SQRT(2*PI())*EXP(0*SQRT(Table133456[[#This Row],[T]]))/$A$4*18%*SQRT(SQRT(Table133456[[#This Row],[T]])))</f>
        <v>#DIV/0!</v>
      </c>
      <c r="AJ1208" t="e">
        <f ca="1">(EXP(-(AH1208^2)/2)/SQRT(2*PI())*EXP(0*SQRT(Table133456[[#This Row],[T]]))/$A$4*18%*SQRT(SQRT(Table133456[[#This Row],[T]])))</f>
        <v>#DIV/0!</v>
      </c>
      <c r="AK1208" t="e">
        <f ca="1">Table133456[[#This Row],[Call D1]]-Table133456[[#This Row],[IV Calc C]]*SQRT(Table133456[[#This Row],[T]])</f>
        <v>#DIV/0!</v>
      </c>
      <c r="AL1208" t="e">
        <f ca="1">Table133456[[#This Row],[Put D1]]-Table133456[[#This Row],[IV Calc P]]*SQRT(Table133456[[#This Row],[T]])</f>
        <v>#DIV/0!</v>
      </c>
      <c r="AM1208" t="e">
        <f ca="1">EXP(-0.5*Table133456[[#This Row],[Call D1]]^2)/SQRT(2*PI())</f>
        <v>#DIV/0!</v>
      </c>
      <c r="AN1208" t="e">
        <f ca="1">EXP(-0.5*Table133456[[#This Row],[Put D1]]^2)/SQRT(2*PI())</f>
        <v>#DIV/0!</v>
      </c>
      <c r="AO120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8">
        <f ca="1">((Table133456[[#This Row],[call vanna]]+Table133456[[#This Row],[put vanna]])*$A$4)</f>
        <v>0</v>
      </c>
      <c r="AR120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8" s="9" t="str" cm="1">
        <f t="array" ref="AT1208">_xlfn.IFS(     $M$1="SPX","SPXW",     $M$1="RUT","RUTW",  $M$1="NDX","NDXP",   TRUE,$M$1 )</f>
        <v>SPXW</v>
      </c>
      <c r="AU1208" s="2">
        <f t="shared" si="117"/>
        <v>6915</v>
      </c>
      <c r="AV1208" t="str">
        <f t="shared" si="118"/>
        <v>000100</v>
      </c>
      <c r="AY120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8">
        <f>((Table133456[[#This Row],[High C]]+Table133456[[#This Row],[Low C]])/2)*Table133456[[#This Row],[gammac]]*Table133456[[#This Row],[Volume]]</f>
        <v>0</v>
      </c>
      <c r="BD1208">
        <f>((Table133456[[#This Row],[High P]]+Table133456[[#This Row],[Low P]])/2)*Table133456[[#This Row],[gammap]]*Table133456[[#This Row],[Volume9]]*-1</f>
        <v>0</v>
      </c>
      <c r="BE1208">
        <f>(Table133456[[#This Row],[SgammaC]]+Table133456[[#This Row],[SgammaP]])*$A$4*-100</f>
        <v>0</v>
      </c>
      <c r="BF1208">
        <f>Table133456[[#This Row],[DEXc]]+Table133456[[#This Row],[DEXp]]</f>
        <v>0</v>
      </c>
      <c r="BG1208">
        <f>IFERROR(Table133456[[#This Row],[DeltaC]]*Table133456[[#This Row],[Open.Int]]*$A$4,0)</f>
        <v>0</v>
      </c>
      <c r="BH1208">
        <f>IFERROR(Table133456[[#This Row],[DeltaP]]*Table133456[[#This Row],[Open.Int8]]*$A$4,0)</f>
        <v>0</v>
      </c>
      <c r="BI120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8">
        <f ca="1">Table133456[[#This Row],[charmc]]+Table133456[[#This Row],[charmp]]</f>
        <v>0</v>
      </c>
      <c r="BL120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8" s="78">
        <f ca="1">Table133456[[#This Row],[call helper]]+Table133456[[#This Row],[put helper]]</f>
        <v>0</v>
      </c>
      <c r="BP1208" t="str">
        <f>RTD("tos.rtd", , "STRIKE", "."&amp;Table133456[[#This Row],[Ticker]]&amp;Table133456[[#This Row],[Expiry]]&amp;""&amp;"C"&amp;Table133456[[#This Row],[Spot]]+Table133456[[#This Row],[step]])</f>
        <v>N/A</v>
      </c>
    </row>
    <row r="1209" spans="1:68" x14ac:dyDescent="0.25">
      <c r="A1209" s="14">
        <f t="shared" ca="1" si="114"/>
        <v>-126.14810350076104</v>
      </c>
      <c r="C1209" s="17"/>
      <c r="D1209" t="str">
        <f>RTD("tos.rtd", , "OPEN_INT", "."&amp;Table133456[[#This Row],[Ticker]]&amp;Table133456[[#This Row],[Expiry]]&amp;""&amp;"C"&amp;Table133456[[#This Row],[Spot]]+Table133456[[#This Row],[step]])</f>
        <v>N/A</v>
      </c>
      <c r="E120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9" s="17" cm="1">
        <f t="array" aca="1" ref="H1209" ca="1">IndividualLegIVCore($A$4, Table133456[[#This Row],[Strike]], 0.0411, Table133456[[#This Row],[T]], ((Table133456[[#This Row],[BIDC]]+Table133456[[#This Row],[ASKC]])/2), TRUE)</f>
        <v>0.01</v>
      </c>
      <c r="I1209" t="b">
        <f>IF(     ISNUMBER(Table133456[[#This Row],[Strike]]),RTD("tos.rtd", , "BID", "."&amp;Table133456[[#This Row],[Ticker]]&amp;Table133456[[#This Row],[Expiry]]&amp;""&amp;"C"&amp;Table133456[[#This Row],[Strike]]))</f>
        <v>0</v>
      </c>
      <c r="J1209" t="b">
        <f>IF(     ISNUMBER(Table133456[[#This Row],[Strike]]),RTD("tos.rtd", , "ASK", "."&amp;Table133456[[#This Row],[Ticker]]&amp;Table133456[[#This Row],[Expiry]]&amp;""&amp;"C"&amp;Table133456[[#This Row],[Strike]]))</f>
        <v>0</v>
      </c>
      <c r="K1209" s="17"/>
      <c r="M1209" s="1">
        <f t="shared" si="115"/>
        <v>0</v>
      </c>
      <c r="N1209" t="b">
        <f t="shared" si="116"/>
        <v>0</v>
      </c>
      <c r="P1209" s="17" cm="1">
        <f t="array" aca="1" ref="P1209" ca="1">IndividualLegIVCore($A$4, Table133456[[#This Row],[Strike]], 0.0411, Table133456[[#This Row],[T]], ((Table133456[[#This Row],[BIDP]]+Table133456[[#This Row],[ASKP]])/2), FALSE)</f>
        <v>0.01</v>
      </c>
      <c r="Q1209" t="b">
        <f>IF(     ISNUMBER(Table133456[[#This Row],[Strike]]),RTD("tos.rtd", , "BID", "."&amp;Table133456[[#This Row],[Ticker]]&amp;Table133456[[#This Row],[Expiry]]&amp;""&amp;"P"&amp;Table133456[[#This Row],[Strike]]))</f>
        <v>0</v>
      </c>
      <c r="R1209" t="b">
        <f>IF(     ISNUMBER(Table133456[[#This Row],[Strike]]),RTD("tos.rtd", , "ASK", "."&amp;Table133456[[#This Row],[Ticker]]&amp;Table133456[[#This Row],[Expiry]]&amp;""&amp;"P"&amp;Table133456[[#This Row],[Strike]]))</f>
        <v>0</v>
      </c>
      <c r="S1209" s="17"/>
      <c r="T120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9" s="19">
        <f>42* IF($M$1="NDX", 10, IF(OR($M$1="SPX", $M$1="RUT"), 2, 1))</f>
        <v>84</v>
      </c>
      <c r="Z1209">
        <f ca="1">IFERROR(Table133456[[#This Row],[call gamma]]*(Table133456[[#This Row],[Open.Int]])*$A$4^2,0)</f>
        <v>0</v>
      </c>
      <c r="AA1209">
        <f ca="1">IFERROR(((Table133456[[#This Row],[Open.Int8]])*Table133456[[#This Row],[Put gamma]])*-1*$A$4^2,0)</f>
        <v>0</v>
      </c>
      <c r="AB1209">
        <f ca="1">(Table133456[[#This Row],[Call Gex]]+Table133456[[#This Row],[Put Gex]])</f>
        <v>0</v>
      </c>
      <c r="AC1209">
        <f ca="1">Table133456[[#This Row],[put delta adj]]+Table133456[[#This Row],[call delta adj]]</f>
        <v>0</v>
      </c>
      <c r="AD1209">
        <f ca="1">Table133456[[#This Row],[Put Gex]]*Table133456[[#This Row],[DeltaP]]*-1</f>
        <v>0</v>
      </c>
      <c r="AE1209">
        <f ca="1">Table133456[[#This Row],[Call Gex]]*Table133456[[#This Row],[DeltaC]]</f>
        <v>0</v>
      </c>
      <c r="AF1209">
        <f>IF(Table133456[[#This Row],[DeltaC]]-ABS(Table133456[[#This Row],[DeltaP]])="0","0.01",Table133456[[#This Row],[DeltaC]]-ABS(Table133456[[#This Row],[DeltaP]]))</f>
        <v>0</v>
      </c>
      <c r="AG120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9" t="e">
        <f ca="1">(EXP(-(AG1209^2)/2)/SQRT(2*PI())*EXP(0*SQRT(Table133456[[#This Row],[T]]))/$A$4*18%*SQRT(SQRT(Table133456[[#This Row],[T]])))</f>
        <v>#DIV/0!</v>
      </c>
      <c r="AJ1209" t="e">
        <f ca="1">(EXP(-(AH1209^2)/2)/SQRT(2*PI())*EXP(0*SQRT(Table133456[[#This Row],[T]]))/$A$4*18%*SQRT(SQRT(Table133456[[#This Row],[T]])))</f>
        <v>#DIV/0!</v>
      </c>
      <c r="AK1209" t="e">
        <f ca="1">Table133456[[#This Row],[Call D1]]-Table133456[[#This Row],[IV Calc C]]*SQRT(Table133456[[#This Row],[T]])</f>
        <v>#DIV/0!</v>
      </c>
      <c r="AL1209" t="e">
        <f ca="1">Table133456[[#This Row],[Put D1]]-Table133456[[#This Row],[IV Calc P]]*SQRT(Table133456[[#This Row],[T]])</f>
        <v>#DIV/0!</v>
      </c>
      <c r="AM1209" t="e">
        <f ca="1">EXP(-0.5*Table133456[[#This Row],[Call D1]]^2)/SQRT(2*PI())</f>
        <v>#DIV/0!</v>
      </c>
      <c r="AN1209" t="e">
        <f ca="1">EXP(-0.5*Table133456[[#This Row],[Put D1]]^2)/SQRT(2*PI())</f>
        <v>#DIV/0!</v>
      </c>
      <c r="AO120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9">
        <f ca="1">((Table133456[[#This Row],[call vanna]]+Table133456[[#This Row],[put vanna]])*$A$4)</f>
        <v>0</v>
      </c>
      <c r="AR120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9" s="9" t="str" cm="1">
        <f t="array" ref="AT1209">_xlfn.IFS(     $M$1="SPX","SPXW",     $M$1="RUT","RUTW",  $M$1="NDX","NDXP",   TRUE,$M$1 )</f>
        <v>SPXW</v>
      </c>
      <c r="AU1209" s="2">
        <f t="shared" si="117"/>
        <v>6915</v>
      </c>
      <c r="AV1209" t="str">
        <f t="shared" si="118"/>
        <v>000100</v>
      </c>
      <c r="AY120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9">
        <f>((Table133456[[#This Row],[High C]]+Table133456[[#This Row],[Low C]])/2)*Table133456[[#This Row],[gammac]]*Table133456[[#This Row],[Volume]]</f>
        <v>0</v>
      </c>
      <c r="BD1209">
        <f>((Table133456[[#This Row],[High P]]+Table133456[[#This Row],[Low P]])/2)*Table133456[[#This Row],[gammap]]*Table133456[[#This Row],[Volume9]]*-1</f>
        <v>0</v>
      </c>
      <c r="BE1209">
        <f>(Table133456[[#This Row],[SgammaC]]+Table133456[[#This Row],[SgammaP]])*$A$4*-100</f>
        <v>0</v>
      </c>
      <c r="BF1209">
        <f>Table133456[[#This Row],[DEXc]]+Table133456[[#This Row],[DEXp]]</f>
        <v>0</v>
      </c>
      <c r="BG1209">
        <f>IFERROR(Table133456[[#This Row],[DeltaC]]*Table133456[[#This Row],[Open.Int]]*$A$4,0)</f>
        <v>0</v>
      </c>
      <c r="BH1209">
        <f>IFERROR(Table133456[[#This Row],[DeltaP]]*Table133456[[#This Row],[Open.Int8]]*$A$4,0)</f>
        <v>0</v>
      </c>
      <c r="BI120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9">
        <f ca="1">Table133456[[#This Row],[charmc]]+Table133456[[#This Row],[charmp]]</f>
        <v>0</v>
      </c>
      <c r="BL120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9" s="78">
        <f ca="1">Table133456[[#This Row],[call helper]]+Table133456[[#This Row],[put helper]]</f>
        <v>0</v>
      </c>
      <c r="BP1209" t="str">
        <f>RTD("tos.rtd", , "STRIKE", "."&amp;Table133456[[#This Row],[Ticker]]&amp;Table133456[[#This Row],[Expiry]]&amp;""&amp;"C"&amp;Table133456[[#This Row],[Spot]]+Table133456[[#This Row],[step]])</f>
        <v>N/A</v>
      </c>
    </row>
    <row r="1210" spans="1:68" x14ac:dyDescent="0.25">
      <c r="A1210" s="14">
        <f t="shared" ca="1" si="114"/>
        <v>-126.14810350076104</v>
      </c>
      <c r="C1210" s="17"/>
      <c r="D1210" t="str">
        <f>RTD("tos.rtd", , "OPEN_INT", "."&amp;Table133456[[#This Row],[Ticker]]&amp;Table133456[[#This Row],[Expiry]]&amp;""&amp;"C"&amp;Table133456[[#This Row],[Spot]]+Table133456[[#This Row],[step]])</f>
        <v>N/A</v>
      </c>
      <c r="E121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0" s="17" cm="1">
        <f t="array" aca="1" ref="H1210" ca="1">IndividualLegIVCore($A$4, Table133456[[#This Row],[Strike]], 0.0411, Table133456[[#This Row],[T]], ((Table133456[[#This Row],[BIDC]]+Table133456[[#This Row],[ASKC]])/2), TRUE)</f>
        <v>0.01</v>
      </c>
      <c r="I1210" t="b">
        <f>IF(     ISNUMBER(Table133456[[#This Row],[Strike]]),RTD("tos.rtd", , "BID", "."&amp;Table133456[[#This Row],[Ticker]]&amp;Table133456[[#This Row],[Expiry]]&amp;""&amp;"C"&amp;Table133456[[#This Row],[Strike]]))</f>
        <v>0</v>
      </c>
      <c r="J1210" t="b">
        <f>IF(     ISNUMBER(Table133456[[#This Row],[Strike]]),RTD("tos.rtd", , "ASK", "."&amp;Table133456[[#This Row],[Ticker]]&amp;Table133456[[#This Row],[Expiry]]&amp;""&amp;"C"&amp;Table133456[[#This Row],[Strike]]))</f>
        <v>0</v>
      </c>
      <c r="K1210" s="17"/>
      <c r="M1210" s="1">
        <f t="shared" si="115"/>
        <v>0</v>
      </c>
      <c r="N1210" t="b">
        <f t="shared" si="116"/>
        <v>0</v>
      </c>
      <c r="P1210" s="17" cm="1">
        <f t="array" aca="1" ref="P1210" ca="1">IndividualLegIVCore($A$4, Table133456[[#This Row],[Strike]], 0.0411, Table133456[[#This Row],[T]], ((Table133456[[#This Row],[BIDP]]+Table133456[[#This Row],[ASKP]])/2), FALSE)</f>
        <v>0.01</v>
      </c>
      <c r="Q1210" t="b">
        <f>IF(     ISNUMBER(Table133456[[#This Row],[Strike]]),RTD("tos.rtd", , "BID", "."&amp;Table133456[[#This Row],[Ticker]]&amp;Table133456[[#This Row],[Expiry]]&amp;""&amp;"P"&amp;Table133456[[#This Row],[Strike]]))</f>
        <v>0</v>
      </c>
      <c r="R1210" t="b">
        <f>IF(     ISNUMBER(Table133456[[#This Row],[Strike]]),RTD("tos.rtd", , "ASK", "."&amp;Table133456[[#This Row],[Ticker]]&amp;Table133456[[#This Row],[Expiry]]&amp;""&amp;"P"&amp;Table133456[[#This Row],[Strike]]))</f>
        <v>0</v>
      </c>
      <c r="S1210" s="17"/>
      <c r="T121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0" s="19">
        <f>42.5* IF($M$1="NDX", 10, IF(OR($M$1="SPX", $M$1="RUT"), 2, 1))</f>
        <v>85</v>
      </c>
      <c r="Z1210">
        <f ca="1">IFERROR(Table133456[[#This Row],[call gamma]]*(Table133456[[#This Row],[Open.Int]])*$A$4^2,0)</f>
        <v>0</v>
      </c>
      <c r="AA1210">
        <f ca="1">IFERROR(((Table133456[[#This Row],[Open.Int8]])*Table133456[[#This Row],[Put gamma]])*-1*$A$4^2,0)</f>
        <v>0</v>
      </c>
      <c r="AB1210">
        <f ca="1">(Table133456[[#This Row],[Call Gex]]+Table133456[[#This Row],[Put Gex]])</f>
        <v>0</v>
      </c>
      <c r="AC1210">
        <f ca="1">Table133456[[#This Row],[put delta adj]]+Table133456[[#This Row],[call delta adj]]</f>
        <v>0</v>
      </c>
      <c r="AD1210">
        <f ca="1">Table133456[[#This Row],[Put Gex]]*Table133456[[#This Row],[DeltaP]]*-1</f>
        <v>0</v>
      </c>
      <c r="AE1210">
        <f ca="1">Table133456[[#This Row],[Call Gex]]*Table133456[[#This Row],[DeltaC]]</f>
        <v>0</v>
      </c>
      <c r="AF1210">
        <f>IF(Table133456[[#This Row],[DeltaC]]-ABS(Table133456[[#This Row],[DeltaP]])="0","0.01",Table133456[[#This Row],[DeltaC]]-ABS(Table133456[[#This Row],[DeltaP]]))</f>
        <v>0</v>
      </c>
      <c r="AG121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0" t="e">
        <f ca="1">(EXP(-(AG1210^2)/2)/SQRT(2*PI())*EXP(0*SQRT(Table133456[[#This Row],[T]]))/$A$4*18%*SQRT(SQRT(Table133456[[#This Row],[T]])))</f>
        <v>#DIV/0!</v>
      </c>
      <c r="AJ1210" t="e">
        <f ca="1">(EXP(-(AH1210^2)/2)/SQRT(2*PI())*EXP(0*SQRT(Table133456[[#This Row],[T]]))/$A$4*18%*SQRT(SQRT(Table133456[[#This Row],[T]])))</f>
        <v>#DIV/0!</v>
      </c>
      <c r="AK1210" t="e">
        <f ca="1">Table133456[[#This Row],[Call D1]]-Table133456[[#This Row],[IV Calc C]]*SQRT(Table133456[[#This Row],[T]])</f>
        <v>#DIV/0!</v>
      </c>
      <c r="AL1210" t="e">
        <f ca="1">Table133456[[#This Row],[Put D1]]-Table133456[[#This Row],[IV Calc P]]*SQRT(Table133456[[#This Row],[T]])</f>
        <v>#DIV/0!</v>
      </c>
      <c r="AM1210" t="e">
        <f ca="1">EXP(-0.5*Table133456[[#This Row],[Call D1]]^2)/SQRT(2*PI())</f>
        <v>#DIV/0!</v>
      </c>
      <c r="AN1210" t="e">
        <f ca="1">EXP(-0.5*Table133456[[#This Row],[Put D1]]^2)/SQRT(2*PI())</f>
        <v>#DIV/0!</v>
      </c>
      <c r="AO121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0">
        <f ca="1">((Table133456[[#This Row],[call vanna]]+Table133456[[#This Row],[put vanna]])*$A$4)</f>
        <v>0</v>
      </c>
      <c r="AR121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0" s="9" t="str" cm="1">
        <f t="array" ref="AT1210">_xlfn.IFS(     $M$1="SPX","SPXW",     $M$1="RUT","RUTW",  $M$1="NDX","NDXP",   TRUE,$M$1 )</f>
        <v>SPXW</v>
      </c>
      <c r="AU1210" s="2">
        <f t="shared" si="117"/>
        <v>6915</v>
      </c>
      <c r="AV1210" t="str">
        <f t="shared" si="118"/>
        <v>000100</v>
      </c>
      <c r="AY121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0">
        <f>((Table133456[[#This Row],[High C]]+Table133456[[#This Row],[Low C]])/2)*Table133456[[#This Row],[gammac]]*Table133456[[#This Row],[Volume]]</f>
        <v>0</v>
      </c>
      <c r="BD1210">
        <f>((Table133456[[#This Row],[High P]]+Table133456[[#This Row],[Low P]])/2)*Table133456[[#This Row],[gammap]]*Table133456[[#This Row],[Volume9]]*-1</f>
        <v>0</v>
      </c>
      <c r="BE1210">
        <f>(Table133456[[#This Row],[SgammaC]]+Table133456[[#This Row],[SgammaP]])*$A$4*-100</f>
        <v>0</v>
      </c>
      <c r="BF1210">
        <f>Table133456[[#This Row],[DEXc]]+Table133456[[#This Row],[DEXp]]</f>
        <v>0</v>
      </c>
      <c r="BG1210">
        <f>IFERROR(Table133456[[#This Row],[DeltaC]]*Table133456[[#This Row],[Open.Int]]*$A$4,0)</f>
        <v>0</v>
      </c>
      <c r="BH1210">
        <f>IFERROR(Table133456[[#This Row],[DeltaP]]*Table133456[[#This Row],[Open.Int8]]*$A$4,0)</f>
        <v>0</v>
      </c>
      <c r="BI121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0">
        <f ca="1">Table133456[[#This Row],[charmc]]+Table133456[[#This Row],[charmp]]</f>
        <v>0</v>
      </c>
      <c r="BL121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0" s="78">
        <f ca="1">Table133456[[#This Row],[call helper]]+Table133456[[#This Row],[put helper]]</f>
        <v>0</v>
      </c>
      <c r="BP1210" t="str">
        <f>RTD("tos.rtd", , "STRIKE", "."&amp;Table133456[[#This Row],[Ticker]]&amp;Table133456[[#This Row],[Expiry]]&amp;""&amp;"C"&amp;Table133456[[#This Row],[Spot]]+Table133456[[#This Row],[step]])</f>
        <v>N/A</v>
      </c>
    </row>
    <row r="1211" spans="1:68" x14ac:dyDescent="0.25">
      <c r="A1211" s="14">
        <f t="shared" ca="1" si="114"/>
        <v>-126.14810350076104</v>
      </c>
      <c r="C1211" s="17"/>
      <c r="D1211" t="str">
        <f>RTD("tos.rtd", , "OPEN_INT", "."&amp;Table133456[[#This Row],[Ticker]]&amp;Table133456[[#This Row],[Expiry]]&amp;""&amp;"C"&amp;Table133456[[#This Row],[Spot]]+Table133456[[#This Row],[step]])</f>
        <v>N/A</v>
      </c>
      <c r="E121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1" s="17" cm="1">
        <f t="array" aca="1" ref="H1211" ca="1">IndividualLegIVCore($A$4, Table133456[[#This Row],[Strike]], 0.0411, Table133456[[#This Row],[T]], ((Table133456[[#This Row],[BIDC]]+Table133456[[#This Row],[ASKC]])/2), TRUE)</f>
        <v>0.01</v>
      </c>
      <c r="I1211" t="b">
        <f>IF(     ISNUMBER(Table133456[[#This Row],[Strike]]),RTD("tos.rtd", , "BID", "."&amp;Table133456[[#This Row],[Ticker]]&amp;Table133456[[#This Row],[Expiry]]&amp;""&amp;"C"&amp;Table133456[[#This Row],[Strike]]))</f>
        <v>0</v>
      </c>
      <c r="J1211" t="b">
        <f>IF(     ISNUMBER(Table133456[[#This Row],[Strike]]),RTD("tos.rtd", , "ASK", "."&amp;Table133456[[#This Row],[Ticker]]&amp;Table133456[[#This Row],[Expiry]]&amp;""&amp;"C"&amp;Table133456[[#This Row],[Strike]]))</f>
        <v>0</v>
      </c>
      <c r="K1211" s="17"/>
      <c r="M1211" s="1">
        <f t="shared" si="115"/>
        <v>0</v>
      </c>
      <c r="N1211" t="b">
        <f t="shared" si="116"/>
        <v>0</v>
      </c>
      <c r="P1211" s="17" cm="1">
        <f t="array" aca="1" ref="P1211" ca="1">IndividualLegIVCore($A$4, Table133456[[#This Row],[Strike]], 0.0411, Table133456[[#This Row],[T]], ((Table133456[[#This Row],[BIDP]]+Table133456[[#This Row],[ASKP]])/2), FALSE)</f>
        <v>0.01</v>
      </c>
      <c r="Q1211" t="b">
        <f>IF(     ISNUMBER(Table133456[[#This Row],[Strike]]),RTD("tos.rtd", , "BID", "."&amp;Table133456[[#This Row],[Ticker]]&amp;Table133456[[#This Row],[Expiry]]&amp;""&amp;"P"&amp;Table133456[[#This Row],[Strike]]))</f>
        <v>0</v>
      </c>
      <c r="R1211" t="b">
        <f>IF(     ISNUMBER(Table133456[[#This Row],[Strike]]),RTD("tos.rtd", , "ASK", "."&amp;Table133456[[#This Row],[Ticker]]&amp;Table133456[[#This Row],[Expiry]]&amp;""&amp;"P"&amp;Table133456[[#This Row],[Strike]]))</f>
        <v>0</v>
      </c>
      <c r="S1211" s="17"/>
      <c r="T121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1" s="19">
        <f>43* IF($M$1="NDX", 10, IF(OR($M$1="SPX", $M$1="RUT"), 2, 1))</f>
        <v>86</v>
      </c>
      <c r="Z1211">
        <f ca="1">IFERROR(Table133456[[#This Row],[call gamma]]*(Table133456[[#This Row],[Open.Int]])*$A$4^2,0)</f>
        <v>0</v>
      </c>
      <c r="AA1211">
        <f ca="1">IFERROR(((Table133456[[#This Row],[Open.Int8]])*Table133456[[#This Row],[Put gamma]])*-1*$A$4^2,0)</f>
        <v>0</v>
      </c>
      <c r="AB1211">
        <f ca="1">(Table133456[[#This Row],[Call Gex]]+Table133456[[#This Row],[Put Gex]])</f>
        <v>0</v>
      </c>
      <c r="AC1211">
        <f ca="1">Table133456[[#This Row],[put delta adj]]+Table133456[[#This Row],[call delta adj]]</f>
        <v>0</v>
      </c>
      <c r="AD1211">
        <f ca="1">Table133456[[#This Row],[Put Gex]]*Table133456[[#This Row],[DeltaP]]*-1</f>
        <v>0</v>
      </c>
      <c r="AE1211">
        <f ca="1">Table133456[[#This Row],[Call Gex]]*Table133456[[#This Row],[DeltaC]]</f>
        <v>0</v>
      </c>
      <c r="AF1211">
        <f>IF(Table133456[[#This Row],[DeltaC]]-ABS(Table133456[[#This Row],[DeltaP]])="0","0.01",Table133456[[#This Row],[DeltaC]]-ABS(Table133456[[#This Row],[DeltaP]]))</f>
        <v>0</v>
      </c>
      <c r="AG121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1" t="e">
        <f ca="1">(EXP(-(AG1211^2)/2)/SQRT(2*PI())*EXP(0*SQRT(Table133456[[#This Row],[T]]))/$A$4*18%*SQRT(SQRT(Table133456[[#This Row],[T]])))</f>
        <v>#DIV/0!</v>
      </c>
      <c r="AJ1211" t="e">
        <f ca="1">(EXP(-(AH1211^2)/2)/SQRT(2*PI())*EXP(0*SQRT(Table133456[[#This Row],[T]]))/$A$4*18%*SQRT(SQRT(Table133456[[#This Row],[T]])))</f>
        <v>#DIV/0!</v>
      </c>
      <c r="AK1211" t="e">
        <f ca="1">Table133456[[#This Row],[Call D1]]-Table133456[[#This Row],[IV Calc C]]*SQRT(Table133456[[#This Row],[T]])</f>
        <v>#DIV/0!</v>
      </c>
      <c r="AL1211" t="e">
        <f ca="1">Table133456[[#This Row],[Put D1]]-Table133456[[#This Row],[IV Calc P]]*SQRT(Table133456[[#This Row],[T]])</f>
        <v>#DIV/0!</v>
      </c>
      <c r="AM1211" t="e">
        <f ca="1">EXP(-0.5*Table133456[[#This Row],[Call D1]]^2)/SQRT(2*PI())</f>
        <v>#DIV/0!</v>
      </c>
      <c r="AN1211" t="e">
        <f ca="1">EXP(-0.5*Table133456[[#This Row],[Put D1]]^2)/SQRT(2*PI())</f>
        <v>#DIV/0!</v>
      </c>
      <c r="AO121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1">
        <f ca="1">((Table133456[[#This Row],[call vanna]]+Table133456[[#This Row],[put vanna]])*$A$4)</f>
        <v>0</v>
      </c>
      <c r="AR121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1" s="9" t="str" cm="1">
        <f t="array" ref="AT1211">_xlfn.IFS(     $M$1="SPX","SPXW",     $M$1="RUT","RUTW",  $M$1="NDX","NDXP",   TRUE,$M$1 )</f>
        <v>SPXW</v>
      </c>
      <c r="AU1211" s="2">
        <f t="shared" si="117"/>
        <v>6915</v>
      </c>
      <c r="AV1211" t="str">
        <f t="shared" si="118"/>
        <v>000100</v>
      </c>
      <c r="AY121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1">
        <f>((Table133456[[#This Row],[High C]]+Table133456[[#This Row],[Low C]])/2)*Table133456[[#This Row],[gammac]]*Table133456[[#This Row],[Volume]]</f>
        <v>0</v>
      </c>
      <c r="BD1211">
        <f>((Table133456[[#This Row],[High P]]+Table133456[[#This Row],[Low P]])/2)*Table133456[[#This Row],[gammap]]*Table133456[[#This Row],[Volume9]]*-1</f>
        <v>0</v>
      </c>
      <c r="BE1211">
        <f>(Table133456[[#This Row],[SgammaC]]+Table133456[[#This Row],[SgammaP]])*$A$4*-100</f>
        <v>0</v>
      </c>
      <c r="BF1211">
        <f>Table133456[[#This Row],[DEXc]]+Table133456[[#This Row],[DEXp]]</f>
        <v>0</v>
      </c>
      <c r="BG1211">
        <f>IFERROR(Table133456[[#This Row],[DeltaC]]*Table133456[[#This Row],[Open.Int]]*$A$4,0)</f>
        <v>0</v>
      </c>
      <c r="BH1211">
        <f>IFERROR(Table133456[[#This Row],[DeltaP]]*Table133456[[#This Row],[Open.Int8]]*$A$4,0)</f>
        <v>0</v>
      </c>
      <c r="BI121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1">
        <f ca="1">Table133456[[#This Row],[charmc]]+Table133456[[#This Row],[charmp]]</f>
        <v>0</v>
      </c>
      <c r="BL121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1" s="78">
        <f ca="1">Table133456[[#This Row],[call helper]]+Table133456[[#This Row],[put helper]]</f>
        <v>0</v>
      </c>
      <c r="BP1211" t="str">
        <f>RTD("tos.rtd", , "STRIKE", "."&amp;Table133456[[#This Row],[Ticker]]&amp;Table133456[[#This Row],[Expiry]]&amp;""&amp;"C"&amp;Table133456[[#This Row],[Spot]]+Table133456[[#This Row],[step]])</f>
        <v>N/A</v>
      </c>
    </row>
    <row r="1212" spans="1:68" x14ac:dyDescent="0.25">
      <c r="A1212" s="14">
        <f t="shared" ca="1" si="114"/>
        <v>-126.14810350076104</v>
      </c>
      <c r="C1212" s="17"/>
      <c r="D1212" t="str">
        <f>RTD("tos.rtd", , "OPEN_INT", "."&amp;Table133456[[#This Row],[Ticker]]&amp;Table133456[[#This Row],[Expiry]]&amp;""&amp;"C"&amp;Table133456[[#This Row],[Spot]]+Table133456[[#This Row],[step]])</f>
        <v>N/A</v>
      </c>
      <c r="E121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2" s="17" cm="1">
        <f t="array" aca="1" ref="H1212" ca="1">IndividualLegIVCore($A$4, Table133456[[#This Row],[Strike]], 0.0411, Table133456[[#This Row],[T]], ((Table133456[[#This Row],[BIDC]]+Table133456[[#This Row],[ASKC]])/2), TRUE)</f>
        <v>0.01</v>
      </c>
      <c r="I1212" t="b">
        <f>IF(     ISNUMBER(Table133456[[#This Row],[Strike]]),RTD("tos.rtd", , "BID", "."&amp;Table133456[[#This Row],[Ticker]]&amp;Table133456[[#This Row],[Expiry]]&amp;""&amp;"C"&amp;Table133456[[#This Row],[Strike]]))</f>
        <v>0</v>
      </c>
      <c r="J1212" t="b">
        <f>IF(     ISNUMBER(Table133456[[#This Row],[Strike]]),RTD("tos.rtd", , "ASK", "."&amp;Table133456[[#This Row],[Ticker]]&amp;Table133456[[#This Row],[Expiry]]&amp;""&amp;"C"&amp;Table133456[[#This Row],[Strike]]))</f>
        <v>0</v>
      </c>
      <c r="K1212" s="17"/>
      <c r="M1212" s="1">
        <f t="shared" si="115"/>
        <v>0</v>
      </c>
      <c r="N1212" t="b">
        <f t="shared" si="116"/>
        <v>0</v>
      </c>
      <c r="P1212" s="17" cm="1">
        <f t="array" aca="1" ref="P1212" ca="1">IndividualLegIVCore($A$4, Table133456[[#This Row],[Strike]], 0.0411, Table133456[[#This Row],[T]], ((Table133456[[#This Row],[BIDP]]+Table133456[[#This Row],[ASKP]])/2), FALSE)</f>
        <v>0.01</v>
      </c>
      <c r="Q1212" t="b">
        <f>IF(     ISNUMBER(Table133456[[#This Row],[Strike]]),RTD("tos.rtd", , "BID", "."&amp;Table133456[[#This Row],[Ticker]]&amp;Table133456[[#This Row],[Expiry]]&amp;""&amp;"P"&amp;Table133456[[#This Row],[Strike]]))</f>
        <v>0</v>
      </c>
      <c r="R1212" t="b">
        <f>IF(     ISNUMBER(Table133456[[#This Row],[Strike]]),RTD("tos.rtd", , "ASK", "."&amp;Table133456[[#This Row],[Ticker]]&amp;Table133456[[#This Row],[Expiry]]&amp;""&amp;"P"&amp;Table133456[[#This Row],[Strike]]))</f>
        <v>0</v>
      </c>
      <c r="S1212" s="17"/>
      <c r="T121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2" s="19">
        <f>43.5* IF($M$1="NDX", 10, IF(OR($M$1="SPX", $M$1="RUT"), 2, 1))</f>
        <v>87</v>
      </c>
      <c r="Z1212">
        <f ca="1">IFERROR(Table133456[[#This Row],[call gamma]]*(Table133456[[#This Row],[Open.Int]])*$A$4^2,0)</f>
        <v>0</v>
      </c>
      <c r="AA1212">
        <f ca="1">IFERROR(((Table133456[[#This Row],[Open.Int8]])*Table133456[[#This Row],[Put gamma]])*-1*$A$4^2,0)</f>
        <v>0</v>
      </c>
      <c r="AB1212">
        <f ca="1">(Table133456[[#This Row],[Call Gex]]+Table133456[[#This Row],[Put Gex]])</f>
        <v>0</v>
      </c>
      <c r="AC1212">
        <f ca="1">Table133456[[#This Row],[put delta adj]]+Table133456[[#This Row],[call delta adj]]</f>
        <v>0</v>
      </c>
      <c r="AD1212">
        <f ca="1">Table133456[[#This Row],[Put Gex]]*Table133456[[#This Row],[DeltaP]]*-1</f>
        <v>0</v>
      </c>
      <c r="AE1212">
        <f ca="1">Table133456[[#This Row],[Call Gex]]*Table133456[[#This Row],[DeltaC]]</f>
        <v>0</v>
      </c>
      <c r="AF1212">
        <f>IF(Table133456[[#This Row],[DeltaC]]-ABS(Table133456[[#This Row],[DeltaP]])="0","0.01",Table133456[[#This Row],[DeltaC]]-ABS(Table133456[[#This Row],[DeltaP]]))</f>
        <v>0</v>
      </c>
      <c r="AG121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2" t="e">
        <f ca="1">(EXP(-(AG1212^2)/2)/SQRT(2*PI())*EXP(0*SQRT(Table133456[[#This Row],[T]]))/$A$4*18%*SQRT(SQRT(Table133456[[#This Row],[T]])))</f>
        <v>#DIV/0!</v>
      </c>
      <c r="AJ1212" t="e">
        <f ca="1">(EXP(-(AH1212^2)/2)/SQRT(2*PI())*EXP(0*SQRT(Table133456[[#This Row],[T]]))/$A$4*18%*SQRT(SQRT(Table133456[[#This Row],[T]])))</f>
        <v>#DIV/0!</v>
      </c>
      <c r="AK1212" t="e">
        <f ca="1">Table133456[[#This Row],[Call D1]]-Table133456[[#This Row],[IV Calc C]]*SQRT(Table133456[[#This Row],[T]])</f>
        <v>#DIV/0!</v>
      </c>
      <c r="AL1212" t="e">
        <f ca="1">Table133456[[#This Row],[Put D1]]-Table133456[[#This Row],[IV Calc P]]*SQRT(Table133456[[#This Row],[T]])</f>
        <v>#DIV/0!</v>
      </c>
      <c r="AM1212" t="e">
        <f ca="1">EXP(-0.5*Table133456[[#This Row],[Call D1]]^2)/SQRT(2*PI())</f>
        <v>#DIV/0!</v>
      </c>
      <c r="AN1212" t="e">
        <f ca="1">EXP(-0.5*Table133456[[#This Row],[Put D1]]^2)/SQRT(2*PI())</f>
        <v>#DIV/0!</v>
      </c>
      <c r="AO121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2">
        <f ca="1">((Table133456[[#This Row],[call vanna]]+Table133456[[#This Row],[put vanna]])*$A$4)</f>
        <v>0</v>
      </c>
      <c r="AR121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2" s="9" t="str" cm="1">
        <f t="array" ref="AT1212">_xlfn.IFS(     $M$1="SPX","SPXW",     $M$1="RUT","RUTW",  $M$1="NDX","NDXP",   TRUE,$M$1 )</f>
        <v>SPXW</v>
      </c>
      <c r="AU1212" s="2">
        <f t="shared" si="117"/>
        <v>6915</v>
      </c>
      <c r="AV1212" t="str">
        <f t="shared" si="118"/>
        <v>000100</v>
      </c>
      <c r="AY121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2">
        <f>((Table133456[[#This Row],[High C]]+Table133456[[#This Row],[Low C]])/2)*Table133456[[#This Row],[gammac]]*Table133456[[#This Row],[Volume]]</f>
        <v>0</v>
      </c>
      <c r="BD1212">
        <f>((Table133456[[#This Row],[High P]]+Table133456[[#This Row],[Low P]])/2)*Table133456[[#This Row],[gammap]]*Table133456[[#This Row],[Volume9]]*-1</f>
        <v>0</v>
      </c>
      <c r="BE1212">
        <f>(Table133456[[#This Row],[SgammaC]]+Table133456[[#This Row],[SgammaP]])*$A$4*-100</f>
        <v>0</v>
      </c>
      <c r="BF1212">
        <f>Table133456[[#This Row],[DEXc]]+Table133456[[#This Row],[DEXp]]</f>
        <v>0</v>
      </c>
      <c r="BG1212">
        <f>IFERROR(Table133456[[#This Row],[DeltaC]]*Table133456[[#This Row],[Open.Int]]*$A$4,0)</f>
        <v>0</v>
      </c>
      <c r="BH1212">
        <f>IFERROR(Table133456[[#This Row],[DeltaP]]*Table133456[[#This Row],[Open.Int8]]*$A$4,0)</f>
        <v>0</v>
      </c>
      <c r="BI121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2">
        <f ca="1">Table133456[[#This Row],[charmc]]+Table133456[[#This Row],[charmp]]</f>
        <v>0</v>
      </c>
      <c r="BL121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2" s="78">
        <f ca="1">Table133456[[#This Row],[call helper]]+Table133456[[#This Row],[put helper]]</f>
        <v>0</v>
      </c>
      <c r="BP1212" t="str">
        <f>RTD("tos.rtd", , "STRIKE", "."&amp;Table133456[[#This Row],[Ticker]]&amp;Table133456[[#This Row],[Expiry]]&amp;""&amp;"C"&amp;Table133456[[#This Row],[Spot]]+Table133456[[#This Row],[step]])</f>
        <v>N/A</v>
      </c>
    </row>
    <row r="1213" spans="1:68" x14ac:dyDescent="0.25">
      <c r="A1213" s="14">
        <f t="shared" ca="1" si="114"/>
        <v>-126.14810350076104</v>
      </c>
      <c r="C1213" s="17"/>
      <c r="D1213" t="str">
        <f>RTD("tos.rtd", , "OPEN_INT", "."&amp;Table133456[[#This Row],[Ticker]]&amp;Table133456[[#This Row],[Expiry]]&amp;""&amp;"C"&amp;Table133456[[#This Row],[Spot]]+Table133456[[#This Row],[step]])</f>
        <v>N/A</v>
      </c>
      <c r="E121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3" s="17" cm="1">
        <f t="array" aca="1" ref="H1213" ca="1">IndividualLegIVCore($A$4, Table133456[[#This Row],[Strike]], 0.0411, Table133456[[#This Row],[T]], ((Table133456[[#This Row],[BIDC]]+Table133456[[#This Row],[ASKC]])/2), TRUE)</f>
        <v>0.01</v>
      </c>
      <c r="I1213" t="b">
        <f>IF(     ISNUMBER(Table133456[[#This Row],[Strike]]),RTD("tos.rtd", , "BID", "."&amp;Table133456[[#This Row],[Ticker]]&amp;Table133456[[#This Row],[Expiry]]&amp;""&amp;"C"&amp;Table133456[[#This Row],[Strike]]))</f>
        <v>0</v>
      </c>
      <c r="J1213" t="b">
        <f>IF(     ISNUMBER(Table133456[[#This Row],[Strike]]),RTD("tos.rtd", , "ASK", "."&amp;Table133456[[#This Row],[Ticker]]&amp;Table133456[[#This Row],[Expiry]]&amp;""&amp;"C"&amp;Table133456[[#This Row],[Strike]]))</f>
        <v>0</v>
      </c>
      <c r="K1213" s="17"/>
      <c r="M1213" s="1">
        <f t="shared" si="115"/>
        <v>0</v>
      </c>
      <c r="N1213" t="b">
        <f t="shared" si="116"/>
        <v>0</v>
      </c>
      <c r="P1213" s="17" cm="1">
        <f t="array" aca="1" ref="P1213" ca="1">IndividualLegIVCore($A$4, Table133456[[#This Row],[Strike]], 0.0411, Table133456[[#This Row],[T]], ((Table133456[[#This Row],[BIDP]]+Table133456[[#This Row],[ASKP]])/2), FALSE)</f>
        <v>0.01</v>
      </c>
      <c r="Q1213" t="b">
        <f>IF(     ISNUMBER(Table133456[[#This Row],[Strike]]),RTD("tos.rtd", , "BID", "."&amp;Table133456[[#This Row],[Ticker]]&amp;Table133456[[#This Row],[Expiry]]&amp;""&amp;"P"&amp;Table133456[[#This Row],[Strike]]))</f>
        <v>0</v>
      </c>
      <c r="R1213" t="b">
        <f>IF(     ISNUMBER(Table133456[[#This Row],[Strike]]),RTD("tos.rtd", , "ASK", "."&amp;Table133456[[#This Row],[Ticker]]&amp;Table133456[[#This Row],[Expiry]]&amp;""&amp;"P"&amp;Table133456[[#This Row],[Strike]]))</f>
        <v>0</v>
      </c>
      <c r="S1213" s="17"/>
      <c r="T121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3" s="19">
        <f>44* IF($M$1="NDX", 10, IF(OR($M$1="SPX", $M$1="RUT"), 2, 1))</f>
        <v>88</v>
      </c>
      <c r="Z1213">
        <f ca="1">IFERROR(Table133456[[#This Row],[call gamma]]*(Table133456[[#This Row],[Open.Int]])*$A$4^2,0)</f>
        <v>0</v>
      </c>
      <c r="AA1213">
        <f ca="1">IFERROR(((Table133456[[#This Row],[Open.Int8]])*Table133456[[#This Row],[Put gamma]])*-1*$A$4^2,0)</f>
        <v>0</v>
      </c>
      <c r="AB1213">
        <f ca="1">(Table133456[[#This Row],[Call Gex]]+Table133456[[#This Row],[Put Gex]])</f>
        <v>0</v>
      </c>
      <c r="AC1213">
        <f ca="1">Table133456[[#This Row],[put delta adj]]+Table133456[[#This Row],[call delta adj]]</f>
        <v>0</v>
      </c>
      <c r="AD1213">
        <f ca="1">Table133456[[#This Row],[Put Gex]]*Table133456[[#This Row],[DeltaP]]*-1</f>
        <v>0</v>
      </c>
      <c r="AE1213">
        <f ca="1">Table133456[[#This Row],[Call Gex]]*Table133456[[#This Row],[DeltaC]]</f>
        <v>0</v>
      </c>
      <c r="AF1213">
        <f>IF(Table133456[[#This Row],[DeltaC]]-ABS(Table133456[[#This Row],[DeltaP]])="0","0.01",Table133456[[#This Row],[DeltaC]]-ABS(Table133456[[#This Row],[DeltaP]]))</f>
        <v>0</v>
      </c>
      <c r="AG121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3" t="e">
        <f ca="1">(EXP(-(AG1213^2)/2)/SQRT(2*PI())*EXP(0*SQRT(Table133456[[#This Row],[T]]))/$A$4*18%*SQRT(SQRT(Table133456[[#This Row],[T]])))</f>
        <v>#DIV/0!</v>
      </c>
      <c r="AJ1213" t="e">
        <f ca="1">(EXP(-(AH1213^2)/2)/SQRT(2*PI())*EXP(0*SQRT(Table133456[[#This Row],[T]]))/$A$4*18%*SQRT(SQRT(Table133456[[#This Row],[T]])))</f>
        <v>#DIV/0!</v>
      </c>
      <c r="AK1213" t="e">
        <f ca="1">Table133456[[#This Row],[Call D1]]-Table133456[[#This Row],[IV Calc C]]*SQRT(Table133456[[#This Row],[T]])</f>
        <v>#DIV/0!</v>
      </c>
      <c r="AL1213" t="e">
        <f ca="1">Table133456[[#This Row],[Put D1]]-Table133456[[#This Row],[IV Calc P]]*SQRT(Table133456[[#This Row],[T]])</f>
        <v>#DIV/0!</v>
      </c>
      <c r="AM1213" t="e">
        <f ca="1">EXP(-0.5*Table133456[[#This Row],[Call D1]]^2)/SQRT(2*PI())</f>
        <v>#DIV/0!</v>
      </c>
      <c r="AN1213" t="e">
        <f ca="1">EXP(-0.5*Table133456[[#This Row],[Put D1]]^2)/SQRT(2*PI())</f>
        <v>#DIV/0!</v>
      </c>
      <c r="AO121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3">
        <f ca="1">((Table133456[[#This Row],[call vanna]]+Table133456[[#This Row],[put vanna]])*$A$4)</f>
        <v>0</v>
      </c>
      <c r="AR121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3" s="9" t="str" cm="1">
        <f t="array" ref="AT1213">_xlfn.IFS(     $M$1="SPX","SPXW",     $M$1="RUT","RUTW",  $M$1="NDX","NDXP",   TRUE,$M$1 )</f>
        <v>SPXW</v>
      </c>
      <c r="AU1213" s="2">
        <f t="shared" si="117"/>
        <v>6915</v>
      </c>
      <c r="AV1213" t="str">
        <f t="shared" si="118"/>
        <v>000100</v>
      </c>
      <c r="AY121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3">
        <f>((Table133456[[#This Row],[High C]]+Table133456[[#This Row],[Low C]])/2)*Table133456[[#This Row],[gammac]]*Table133456[[#This Row],[Volume]]</f>
        <v>0</v>
      </c>
      <c r="BD1213">
        <f>((Table133456[[#This Row],[High P]]+Table133456[[#This Row],[Low P]])/2)*Table133456[[#This Row],[gammap]]*Table133456[[#This Row],[Volume9]]*-1</f>
        <v>0</v>
      </c>
      <c r="BE1213">
        <f>(Table133456[[#This Row],[SgammaC]]+Table133456[[#This Row],[SgammaP]])*$A$4*-100</f>
        <v>0</v>
      </c>
      <c r="BF1213">
        <f>Table133456[[#This Row],[DEXc]]+Table133456[[#This Row],[DEXp]]</f>
        <v>0</v>
      </c>
      <c r="BG1213">
        <f>IFERROR(Table133456[[#This Row],[DeltaC]]*Table133456[[#This Row],[Open.Int]]*$A$4,0)</f>
        <v>0</v>
      </c>
      <c r="BH1213">
        <f>IFERROR(Table133456[[#This Row],[DeltaP]]*Table133456[[#This Row],[Open.Int8]]*$A$4,0)</f>
        <v>0</v>
      </c>
      <c r="BI121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3">
        <f ca="1">Table133456[[#This Row],[charmc]]+Table133456[[#This Row],[charmp]]</f>
        <v>0</v>
      </c>
      <c r="BL121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3" s="78">
        <f ca="1">Table133456[[#This Row],[call helper]]+Table133456[[#This Row],[put helper]]</f>
        <v>0</v>
      </c>
      <c r="BP1213" t="str">
        <f>RTD("tos.rtd", , "STRIKE", "."&amp;Table133456[[#This Row],[Ticker]]&amp;Table133456[[#This Row],[Expiry]]&amp;""&amp;"C"&amp;Table133456[[#This Row],[Spot]]+Table133456[[#This Row],[step]])</f>
        <v>N/A</v>
      </c>
    </row>
    <row r="1214" spans="1:68" x14ac:dyDescent="0.25">
      <c r="A1214" s="14">
        <f t="shared" ca="1" si="114"/>
        <v>-126.14810350076104</v>
      </c>
      <c r="C1214" s="17"/>
      <c r="D1214" t="str">
        <f>RTD("tos.rtd", , "OPEN_INT", "."&amp;Table133456[[#This Row],[Ticker]]&amp;Table133456[[#This Row],[Expiry]]&amp;""&amp;"C"&amp;Table133456[[#This Row],[Spot]]+Table133456[[#This Row],[step]])</f>
        <v>N/A</v>
      </c>
      <c r="E121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4" s="17" cm="1">
        <f t="array" aca="1" ref="H1214" ca="1">IndividualLegIVCore($A$4, Table133456[[#This Row],[Strike]], 0.0411, Table133456[[#This Row],[T]], ((Table133456[[#This Row],[BIDC]]+Table133456[[#This Row],[ASKC]])/2), TRUE)</f>
        <v>0.01</v>
      </c>
      <c r="I1214" t="b">
        <f>IF(     ISNUMBER(Table133456[[#This Row],[Strike]]),RTD("tos.rtd", , "BID", "."&amp;Table133456[[#This Row],[Ticker]]&amp;Table133456[[#This Row],[Expiry]]&amp;""&amp;"C"&amp;Table133456[[#This Row],[Strike]]))</f>
        <v>0</v>
      </c>
      <c r="J1214" t="b">
        <f>IF(     ISNUMBER(Table133456[[#This Row],[Strike]]),RTD("tos.rtd", , "ASK", "."&amp;Table133456[[#This Row],[Ticker]]&amp;Table133456[[#This Row],[Expiry]]&amp;""&amp;"C"&amp;Table133456[[#This Row],[Strike]]))</f>
        <v>0</v>
      </c>
      <c r="K1214" s="17"/>
      <c r="M1214" s="1">
        <f t="shared" si="115"/>
        <v>0</v>
      </c>
      <c r="N1214" t="b">
        <f t="shared" si="116"/>
        <v>0</v>
      </c>
      <c r="P1214" s="17" cm="1">
        <f t="array" aca="1" ref="P1214" ca="1">IndividualLegIVCore($A$4, Table133456[[#This Row],[Strike]], 0.0411, Table133456[[#This Row],[T]], ((Table133456[[#This Row],[BIDP]]+Table133456[[#This Row],[ASKP]])/2), FALSE)</f>
        <v>0.01</v>
      </c>
      <c r="Q1214" t="b">
        <f>IF(     ISNUMBER(Table133456[[#This Row],[Strike]]),RTD("tos.rtd", , "BID", "."&amp;Table133456[[#This Row],[Ticker]]&amp;Table133456[[#This Row],[Expiry]]&amp;""&amp;"P"&amp;Table133456[[#This Row],[Strike]]))</f>
        <v>0</v>
      </c>
      <c r="R1214" t="b">
        <f>IF(     ISNUMBER(Table133456[[#This Row],[Strike]]),RTD("tos.rtd", , "ASK", "."&amp;Table133456[[#This Row],[Ticker]]&amp;Table133456[[#This Row],[Expiry]]&amp;""&amp;"P"&amp;Table133456[[#This Row],[Strike]]))</f>
        <v>0</v>
      </c>
      <c r="S1214" s="17"/>
      <c r="T121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4" s="19">
        <f>44.5* IF($M$1="NDX", 10, IF(OR($M$1="SPX", $M$1="RUT"), 2, 1))</f>
        <v>89</v>
      </c>
      <c r="Z1214">
        <f ca="1">IFERROR(Table133456[[#This Row],[call gamma]]*(Table133456[[#This Row],[Open.Int]])*$A$4^2,0)</f>
        <v>0</v>
      </c>
      <c r="AA1214">
        <f ca="1">IFERROR(((Table133456[[#This Row],[Open.Int8]])*Table133456[[#This Row],[Put gamma]])*-1*$A$4^2,0)</f>
        <v>0</v>
      </c>
      <c r="AB1214">
        <f ca="1">(Table133456[[#This Row],[Call Gex]]+Table133456[[#This Row],[Put Gex]])</f>
        <v>0</v>
      </c>
      <c r="AC1214">
        <f ca="1">Table133456[[#This Row],[put delta adj]]+Table133456[[#This Row],[call delta adj]]</f>
        <v>0</v>
      </c>
      <c r="AD1214">
        <f ca="1">Table133456[[#This Row],[Put Gex]]*Table133456[[#This Row],[DeltaP]]*-1</f>
        <v>0</v>
      </c>
      <c r="AE1214">
        <f ca="1">Table133456[[#This Row],[Call Gex]]*Table133456[[#This Row],[DeltaC]]</f>
        <v>0</v>
      </c>
      <c r="AF1214">
        <f>IF(Table133456[[#This Row],[DeltaC]]-ABS(Table133456[[#This Row],[DeltaP]])="0","0.01",Table133456[[#This Row],[DeltaC]]-ABS(Table133456[[#This Row],[DeltaP]]))</f>
        <v>0</v>
      </c>
      <c r="AG121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4" t="e">
        <f ca="1">(EXP(-(AG1214^2)/2)/SQRT(2*PI())*EXP(0*SQRT(Table133456[[#This Row],[T]]))/$A$4*18%*SQRT(SQRT(Table133456[[#This Row],[T]])))</f>
        <v>#DIV/0!</v>
      </c>
      <c r="AJ1214" t="e">
        <f ca="1">(EXP(-(AH1214^2)/2)/SQRT(2*PI())*EXP(0*SQRT(Table133456[[#This Row],[T]]))/$A$4*18%*SQRT(SQRT(Table133456[[#This Row],[T]])))</f>
        <v>#DIV/0!</v>
      </c>
      <c r="AK1214" t="e">
        <f ca="1">Table133456[[#This Row],[Call D1]]-Table133456[[#This Row],[IV Calc C]]*SQRT(Table133456[[#This Row],[T]])</f>
        <v>#DIV/0!</v>
      </c>
      <c r="AL1214" t="e">
        <f ca="1">Table133456[[#This Row],[Put D1]]-Table133456[[#This Row],[IV Calc P]]*SQRT(Table133456[[#This Row],[T]])</f>
        <v>#DIV/0!</v>
      </c>
      <c r="AM1214" t="e">
        <f ca="1">EXP(-0.5*Table133456[[#This Row],[Call D1]]^2)/SQRT(2*PI())</f>
        <v>#DIV/0!</v>
      </c>
      <c r="AN1214" t="e">
        <f ca="1">EXP(-0.5*Table133456[[#This Row],[Put D1]]^2)/SQRT(2*PI())</f>
        <v>#DIV/0!</v>
      </c>
      <c r="AO121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4">
        <f ca="1">((Table133456[[#This Row],[call vanna]]+Table133456[[#This Row],[put vanna]])*$A$4)</f>
        <v>0</v>
      </c>
      <c r="AR121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4" s="9" t="str" cm="1">
        <f t="array" ref="AT1214">_xlfn.IFS(     $M$1="SPX","SPXW",     $M$1="RUT","RUTW",  $M$1="NDX","NDXP",   TRUE,$M$1 )</f>
        <v>SPXW</v>
      </c>
      <c r="AU1214" s="2">
        <f t="shared" si="117"/>
        <v>6915</v>
      </c>
      <c r="AV1214" t="str">
        <f t="shared" si="118"/>
        <v>000100</v>
      </c>
      <c r="AY121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4">
        <f>((Table133456[[#This Row],[High C]]+Table133456[[#This Row],[Low C]])/2)*Table133456[[#This Row],[gammac]]*Table133456[[#This Row],[Volume]]</f>
        <v>0</v>
      </c>
      <c r="BD1214">
        <f>((Table133456[[#This Row],[High P]]+Table133456[[#This Row],[Low P]])/2)*Table133456[[#This Row],[gammap]]*Table133456[[#This Row],[Volume9]]*-1</f>
        <v>0</v>
      </c>
      <c r="BE1214">
        <f>(Table133456[[#This Row],[SgammaC]]+Table133456[[#This Row],[SgammaP]])*$A$4*-100</f>
        <v>0</v>
      </c>
      <c r="BF1214">
        <f>Table133456[[#This Row],[DEXc]]+Table133456[[#This Row],[DEXp]]</f>
        <v>0</v>
      </c>
      <c r="BG1214">
        <f>IFERROR(Table133456[[#This Row],[DeltaC]]*Table133456[[#This Row],[Open.Int]]*$A$4,0)</f>
        <v>0</v>
      </c>
      <c r="BH1214">
        <f>IFERROR(Table133456[[#This Row],[DeltaP]]*Table133456[[#This Row],[Open.Int8]]*$A$4,0)</f>
        <v>0</v>
      </c>
      <c r="BI121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4">
        <f ca="1">Table133456[[#This Row],[charmc]]+Table133456[[#This Row],[charmp]]</f>
        <v>0</v>
      </c>
      <c r="BL121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4" s="78">
        <f ca="1">Table133456[[#This Row],[call helper]]+Table133456[[#This Row],[put helper]]</f>
        <v>0</v>
      </c>
      <c r="BP1214" t="str">
        <f>RTD("tos.rtd", , "STRIKE", "."&amp;Table133456[[#This Row],[Ticker]]&amp;Table133456[[#This Row],[Expiry]]&amp;""&amp;"C"&amp;Table133456[[#This Row],[Spot]]+Table133456[[#This Row],[step]])</f>
        <v>N/A</v>
      </c>
    </row>
    <row r="1215" spans="1:68" x14ac:dyDescent="0.25">
      <c r="A1215" s="14">
        <f t="shared" ca="1" si="114"/>
        <v>-126.14810350076104</v>
      </c>
      <c r="C1215" s="17"/>
      <c r="D1215" t="str">
        <f>RTD("tos.rtd", , "OPEN_INT", "."&amp;Table133456[[#This Row],[Ticker]]&amp;Table133456[[#This Row],[Expiry]]&amp;""&amp;"C"&amp;Table133456[[#This Row],[Spot]]+Table133456[[#This Row],[step]])</f>
        <v>N/A</v>
      </c>
      <c r="E121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5" s="17" cm="1">
        <f t="array" aca="1" ref="H1215" ca="1">IndividualLegIVCore($A$4, Table133456[[#This Row],[Strike]], 0.0411, Table133456[[#This Row],[T]], ((Table133456[[#This Row],[BIDC]]+Table133456[[#This Row],[ASKC]])/2), TRUE)</f>
        <v>0.01</v>
      </c>
      <c r="I1215" t="b">
        <f>IF(     ISNUMBER(Table133456[[#This Row],[Strike]]),RTD("tos.rtd", , "BID", "."&amp;Table133456[[#This Row],[Ticker]]&amp;Table133456[[#This Row],[Expiry]]&amp;""&amp;"C"&amp;Table133456[[#This Row],[Strike]]))</f>
        <v>0</v>
      </c>
      <c r="J1215" t="b">
        <f>IF(     ISNUMBER(Table133456[[#This Row],[Strike]]),RTD("tos.rtd", , "ASK", "."&amp;Table133456[[#This Row],[Ticker]]&amp;Table133456[[#This Row],[Expiry]]&amp;""&amp;"C"&amp;Table133456[[#This Row],[Strike]]))</f>
        <v>0</v>
      </c>
      <c r="K1215" s="17"/>
      <c r="M1215" s="1">
        <f t="shared" si="115"/>
        <v>0</v>
      </c>
      <c r="N1215" t="b">
        <f t="shared" si="116"/>
        <v>0</v>
      </c>
      <c r="P1215" s="17" cm="1">
        <f t="array" aca="1" ref="P1215" ca="1">IndividualLegIVCore($A$4, Table133456[[#This Row],[Strike]], 0.0411, Table133456[[#This Row],[T]], ((Table133456[[#This Row],[BIDP]]+Table133456[[#This Row],[ASKP]])/2), FALSE)</f>
        <v>0.01</v>
      </c>
      <c r="Q1215" t="b">
        <f>IF(     ISNUMBER(Table133456[[#This Row],[Strike]]),RTD("tos.rtd", , "BID", "."&amp;Table133456[[#This Row],[Ticker]]&amp;Table133456[[#This Row],[Expiry]]&amp;""&amp;"P"&amp;Table133456[[#This Row],[Strike]]))</f>
        <v>0</v>
      </c>
      <c r="R1215" t="b">
        <f>IF(     ISNUMBER(Table133456[[#This Row],[Strike]]),RTD("tos.rtd", , "ASK", "."&amp;Table133456[[#This Row],[Ticker]]&amp;Table133456[[#This Row],[Expiry]]&amp;""&amp;"P"&amp;Table133456[[#This Row],[Strike]]))</f>
        <v>0</v>
      </c>
      <c r="S1215" s="17"/>
      <c r="T121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5" s="20">
        <f>45* IF($M$1="NDX", 10, IF(OR($M$1="SPX", $M$1="RUT"), 2, 1))</f>
        <v>90</v>
      </c>
      <c r="Z1215">
        <f ca="1">IFERROR(Table133456[[#This Row],[call gamma]]*(Table133456[[#This Row],[Open.Int]])*$A$4^2,0)</f>
        <v>0</v>
      </c>
      <c r="AA1215">
        <f ca="1">IFERROR(((Table133456[[#This Row],[Open.Int8]])*Table133456[[#This Row],[Put gamma]])*-1*$A$4^2,0)</f>
        <v>0</v>
      </c>
      <c r="AB1215">
        <f ca="1">(Table133456[[#This Row],[Call Gex]]+Table133456[[#This Row],[Put Gex]])</f>
        <v>0</v>
      </c>
      <c r="AC1215">
        <f ca="1">Table133456[[#This Row],[put delta adj]]+Table133456[[#This Row],[call delta adj]]</f>
        <v>0</v>
      </c>
      <c r="AD1215">
        <f ca="1">Table133456[[#This Row],[Put Gex]]*Table133456[[#This Row],[DeltaP]]*-1</f>
        <v>0</v>
      </c>
      <c r="AE1215">
        <f ca="1">Table133456[[#This Row],[Call Gex]]*Table133456[[#This Row],[DeltaC]]</f>
        <v>0</v>
      </c>
      <c r="AF1215">
        <f>IF(Table133456[[#This Row],[DeltaC]]-ABS(Table133456[[#This Row],[DeltaP]])="0","0.01",Table133456[[#This Row],[DeltaC]]-ABS(Table133456[[#This Row],[DeltaP]]))</f>
        <v>0</v>
      </c>
      <c r="AG121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5" t="e">
        <f ca="1">(EXP(-(AG1215^2)/2)/SQRT(2*PI())*EXP(0*SQRT(Table133456[[#This Row],[T]]))/$A$4*18%*SQRT(SQRT(Table133456[[#This Row],[T]])))</f>
        <v>#DIV/0!</v>
      </c>
      <c r="AJ1215" t="e">
        <f ca="1">(EXP(-(AH1215^2)/2)/SQRT(2*PI())*EXP(0*SQRT(Table133456[[#This Row],[T]]))/$A$4*18%*SQRT(SQRT(Table133456[[#This Row],[T]])))</f>
        <v>#DIV/0!</v>
      </c>
      <c r="AK1215" t="e">
        <f ca="1">Table133456[[#This Row],[Call D1]]-Table133456[[#This Row],[IV Calc C]]*SQRT(Table133456[[#This Row],[T]])</f>
        <v>#DIV/0!</v>
      </c>
      <c r="AL1215" t="e">
        <f ca="1">Table133456[[#This Row],[Put D1]]-Table133456[[#This Row],[IV Calc P]]*SQRT(Table133456[[#This Row],[T]])</f>
        <v>#DIV/0!</v>
      </c>
      <c r="AM1215" t="e">
        <f ca="1">EXP(-0.5*Table133456[[#This Row],[Call D1]]^2)/SQRT(2*PI())</f>
        <v>#DIV/0!</v>
      </c>
      <c r="AN1215" t="e">
        <f ca="1">EXP(-0.5*Table133456[[#This Row],[Put D1]]^2)/SQRT(2*PI())</f>
        <v>#DIV/0!</v>
      </c>
      <c r="AO121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5">
        <f ca="1">((Table133456[[#This Row],[call vanna]]+Table133456[[#This Row],[put vanna]])*$A$4)</f>
        <v>0</v>
      </c>
      <c r="AR121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5" s="9" t="str" cm="1">
        <f t="array" ref="AT1215">_xlfn.IFS(     $M$1="SPX","SPXW",     $M$1="RUT","RUTW",  $M$1="NDX","NDXP",   TRUE,$M$1 )</f>
        <v>SPXW</v>
      </c>
      <c r="AU1215" s="2">
        <f t="shared" si="117"/>
        <v>6915</v>
      </c>
      <c r="AV1215" t="str">
        <f t="shared" si="118"/>
        <v>000100</v>
      </c>
      <c r="AY121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5">
        <f>((Table133456[[#This Row],[High C]]+Table133456[[#This Row],[Low C]])/2)*Table133456[[#This Row],[gammac]]*Table133456[[#This Row],[Volume]]</f>
        <v>0</v>
      </c>
      <c r="BD1215">
        <f>((Table133456[[#This Row],[High P]]+Table133456[[#This Row],[Low P]])/2)*Table133456[[#This Row],[gammap]]*Table133456[[#This Row],[Volume9]]*-1</f>
        <v>0</v>
      </c>
      <c r="BE1215">
        <f>(Table133456[[#This Row],[SgammaC]]+Table133456[[#This Row],[SgammaP]])*$A$4*-100</f>
        <v>0</v>
      </c>
      <c r="BF1215">
        <f>Table133456[[#This Row],[DEXc]]+Table133456[[#This Row],[DEXp]]</f>
        <v>0</v>
      </c>
      <c r="BG1215">
        <f>IFERROR(Table133456[[#This Row],[DeltaC]]*Table133456[[#This Row],[Open.Int]]*$A$4,0)</f>
        <v>0</v>
      </c>
      <c r="BH1215">
        <f>IFERROR(Table133456[[#This Row],[DeltaP]]*Table133456[[#This Row],[Open.Int8]]*$A$4,0)</f>
        <v>0</v>
      </c>
      <c r="BI121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5">
        <f ca="1">Table133456[[#This Row],[charmc]]+Table133456[[#This Row],[charmp]]</f>
        <v>0</v>
      </c>
      <c r="BL121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5" s="78">
        <f ca="1">Table133456[[#This Row],[call helper]]+Table133456[[#This Row],[put helper]]</f>
        <v>0</v>
      </c>
      <c r="BP1215" t="str">
        <f>RTD("tos.rtd", , "STRIKE", "."&amp;Table133456[[#This Row],[Ticker]]&amp;Table133456[[#This Row],[Expiry]]&amp;""&amp;"C"&amp;Table133456[[#This Row],[Spot]]+Table133456[[#This Row],[step]])</f>
        <v>N/A</v>
      </c>
    </row>
    <row r="1216" spans="1:68" x14ac:dyDescent="0.25">
      <c r="A1216" s="14">
        <f t="shared" ca="1" si="114"/>
        <v>-126.14810350076104</v>
      </c>
      <c r="C1216" s="17"/>
      <c r="D1216" t="str">
        <f>RTD("tos.rtd", , "OPEN_INT", "."&amp;Table133456[[#This Row],[Ticker]]&amp;Table133456[[#This Row],[Expiry]]&amp;""&amp;"C"&amp;Table133456[[#This Row],[Spot]]+Table133456[[#This Row],[step]])</f>
        <v>N/A</v>
      </c>
      <c r="E121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6" s="17" cm="1">
        <f t="array" aca="1" ref="H1216" ca="1">IndividualLegIVCore($A$4, Table133456[[#This Row],[Strike]], 0.0411, Table133456[[#This Row],[T]], ((Table133456[[#This Row],[BIDC]]+Table133456[[#This Row],[ASKC]])/2), TRUE)</f>
        <v>0.01</v>
      </c>
      <c r="I1216" t="b">
        <f>IF(     ISNUMBER(Table133456[[#This Row],[Strike]]),RTD("tos.rtd", , "BID", "."&amp;Table133456[[#This Row],[Ticker]]&amp;Table133456[[#This Row],[Expiry]]&amp;""&amp;"C"&amp;Table133456[[#This Row],[Strike]]))</f>
        <v>0</v>
      </c>
      <c r="J1216" t="b">
        <f>IF(     ISNUMBER(Table133456[[#This Row],[Strike]]),RTD("tos.rtd", , "ASK", "."&amp;Table133456[[#This Row],[Ticker]]&amp;Table133456[[#This Row],[Expiry]]&amp;""&amp;"C"&amp;Table133456[[#This Row],[Strike]]))</f>
        <v>0</v>
      </c>
      <c r="K1216" s="17"/>
      <c r="M1216" s="1">
        <f t="shared" si="115"/>
        <v>0</v>
      </c>
      <c r="N1216" t="b">
        <f t="shared" si="116"/>
        <v>0</v>
      </c>
      <c r="P1216" s="17" cm="1">
        <f t="array" aca="1" ref="P1216" ca="1">IndividualLegIVCore($A$4, Table133456[[#This Row],[Strike]], 0.0411, Table133456[[#This Row],[T]], ((Table133456[[#This Row],[BIDP]]+Table133456[[#This Row],[ASKP]])/2), FALSE)</f>
        <v>0.01</v>
      </c>
      <c r="Q1216" t="b">
        <f>IF(     ISNUMBER(Table133456[[#This Row],[Strike]]),RTD("tos.rtd", , "BID", "."&amp;Table133456[[#This Row],[Ticker]]&amp;Table133456[[#This Row],[Expiry]]&amp;""&amp;"P"&amp;Table133456[[#This Row],[Strike]]))</f>
        <v>0</v>
      </c>
      <c r="R1216" t="b">
        <f>IF(     ISNUMBER(Table133456[[#This Row],[Strike]]),RTD("tos.rtd", , "ASK", "."&amp;Table133456[[#This Row],[Ticker]]&amp;Table133456[[#This Row],[Expiry]]&amp;""&amp;"P"&amp;Table133456[[#This Row],[Strike]]))</f>
        <v>0</v>
      </c>
      <c r="S1216" s="17"/>
      <c r="T121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6" s="19">
        <f>45.5* IF($M$1="NDX", 10, IF(OR($M$1="SPX", $M$1="RUT"), 2, 1))</f>
        <v>91</v>
      </c>
      <c r="Z1216">
        <f ca="1">IFERROR(Table133456[[#This Row],[call gamma]]*(Table133456[[#This Row],[Open.Int]])*$A$4^2,0)</f>
        <v>0</v>
      </c>
      <c r="AA1216">
        <f ca="1">IFERROR(((Table133456[[#This Row],[Open.Int8]])*Table133456[[#This Row],[Put gamma]])*-1*$A$4^2,0)</f>
        <v>0</v>
      </c>
      <c r="AB1216">
        <f ca="1">(Table133456[[#This Row],[Call Gex]]+Table133456[[#This Row],[Put Gex]])</f>
        <v>0</v>
      </c>
      <c r="AC1216">
        <f ca="1">Table133456[[#This Row],[put delta adj]]+Table133456[[#This Row],[call delta adj]]</f>
        <v>0</v>
      </c>
      <c r="AD1216">
        <f ca="1">Table133456[[#This Row],[Put Gex]]*Table133456[[#This Row],[DeltaP]]*-1</f>
        <v>0</v>
      </c>
      <c r="AE1216">
        <f ca="1">Table133456[[#This Row],[Call Gex]]*Table133456[[#This Row],[DeltaC]]</f>
        <v>0</v>
      </c>
      <c r="AF1216">
        <f>IF(Table133456[[#This Row],[DeltaC]]-ABS(Table133456[[#This Row],[DeltaP]])="0","0.01",Table133456[[#This Row],[DeltaC]]-ABS(Table133456[[#This Row],[DeltaP]]))</f>
        <v>0</v>
      </c>
      <c r="AG121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6" t="e">
        <f ca="1">(EXP(-(AG1216^2)/2)/SQRT(2*PI())*EXP(0*SQRT(Table133456[[#This Row],[T]]))/$A$4*18%*SQRT(SQRT(Table133456[[#This Row],[T]])))</f>
        <v>#DIV/0!</v>
      </c>
      <c r="AJ1216" t="e">
        <f ca="1">(EXP(-(AH1216^2)/2)/SQRT(2*PI())*EXP(0*SQRT(Table133456[[#This Row],[T]]))/$A$4*18%*SQRT(SQRT(Table133456[[#This Row],[T]])))</f>
        <v>#DIV/0!</v>
      </c>
      <c r="AK1216" t="e">
        <f ca="1">Table133456[[#This Row],[Call D1]]-Table133456[[#This Row],[IV Calc C]]*SQRT(Table133456[[#This Row],[T]])</f>
        <v>#DIV/0!</v>
      </c>
      <c r="AL1216" t="e">
        <f ca="1">Table133456[[#This Row],[Put D1]]-Table133456[[#This Row],[IV Calc P]]*SQRT(Table133456[[#This Row],[T]])</f>
        <v>#DIV/0!</v>
      </c>
      <c r="AM1216" t="e">
        <f ca="1">EXP(-0.5*Table133456[[#This Row],[Call D1]]^2)/SQRT(2*PI())</f>
        <v>#DIV/0!</v>
      </c>
      <c r="AN1216" t="e">
        <f ca="1">EXP(-0.5*Table133456[[#This Row],[Put D1]]^2)/SQRT(2*PI())</f>
        <v>#DIV/0!</v>
      </c>
      <c r="AO121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6">
        <f ca="1">((Table133456[[#This Row],[call vanna]]+Table133456[[#This Row],[put vanna]])*$A$4)</f>
        <v>0</v>
      </c>
      <c r="AR121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6" s="9" t="str" cm="1">
        <f t="array" ref="AT1216">_xlfn.IFS(     $M$1="SPX","SPXW",     $M$1="RUT","RUTW",  $M$1="NDX","NDXP",   TRUE,$M$1 )</f>
        <v>SPXW</v>
      </c>
      <c r="AU1216" s="2">
        <f t="shared" si="117"/>
        <v>6915</v>
      </c>
      <c r="AV1216" t="str">
        <f t="shared" si="118"/>
        <v>000100</v>
      </c>
      <c r="AY121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6">
        <f>((Table133456[[#This Row],[High C]]+Table133456[[#This Row],[Low C]])/2)*Table133456[[#This Row],[gammac]]*Table133456[[#This Row],[Volume]]</f>
        <v>0</v>
      </c>
      <c r="BD1216">
        <f>((Table133456[[#This Row],[High P]]+Table133456[[#This Row],[Low P]])/2)*Table133456[[#This Row],[gammap]]*Table133456[[#This Row],[Volume9]]*-1</f>
        <v>0</v>
      </c>
      <c r="BE1216">
        <f>(Table133456[[#This Row],[SgammaC]]+Table133456[[#This Row],[SgammaP]])*$A$4*-100</f>
        <v>0</v>
      </c>
      <c r="BF1216">
        <f>Table133456[[#This Row],[DEXc]]+Table133456[[#This Row],[DEXp]]</f>
        <v>0</v>
      </c>
      <c r="BG1216">
        <f>IFERROR(Table133456[[#This Row],[DeltaC]]*Table133456[[#This Row],[Open.Int]]*$A$4,0)</f>
        <v>0</v>
      </c>
      <c r="BH1216">
        <f>IFERROR(Table133456[[#This Row],[DeltaP]]*Table133456[[#This Row],[Open.Int8]]*$A$4,0)</f>
        <v>0</v>
      </c>
      <c r="BI121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6">
        <f ca="1">Table133456[[#This Row],[charmc]]+Table133456[[#This Row],[charmp]]</f>
        <v>0</v>
      </c>
      <c r="BL1216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6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6" s="78">
        <f ca="1">Table133456[[#This Row],[call helper]]+Table133456[[#This Row],[put helper]]</f>
        <v>0</v>
      </c>
      <c r="BP1216" t="str">
        <f>RTD("tos.rtd", , "STRIKE", "."&amp;Table133456[[#This Row],[Ticker]]&amp;Table133456[[#This Row],[Expiry]]&amp;""&amp;"C"&amp;Table133456[[#This Row],[Spot]]+Table133456[[#This Row],[step]])</f>
        <v>N/A</v>
      </c>
    </row>
    <row r="1217" spans="1:69" x14ac:dyDescent="0.25">
      <c r="A1217" s="14">
        <f t="shared" ref="A1217:A1225" ca="1" si="119">$T$3</f>
        <v>-126.14810350076104</v>
      </c>
      <c r="C1217" s="17"/>
      <c r="D1217" t="str">
        <f>RTD("tos.rtd", , "OPEN_INT", "."&amp;Table133456[[#This Row],[Ticker]]&amp;Table133456[[#This Row],[Expiry]]&amp;""&amp;"C"&amp;Table133456[[#This Row],[Spot]]+Table133456[[#This Row],[step]])</f>
        <v>N/A</v>
      </c>
      <c r="E121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7" s="17" cm="1">
        <f t="array" aca="1" ref="H1217" ca="1">IndividualLegIVCore($A$4, Table133456[[#This Row],[Strike]], 0.0411, Table133456[[#This Row],[T]], ((Table133456[[#This Row],[BIDC]]+Table133456[[#This Row],[ASKC]])/2), TRUE)</f>
        <v>0.01</v>
      </c>
      <c r="I1217" t="b">
        <f>IF(     ISNUMBER(Table133456[[#This Row],[Strike]]),RTD("tos.rtd", , "BID", "."&amp;Table133456[[#This Row],[Ticker]]&amp;Table133456[[#This Row],[Expiry]]&amp;""&amp;"C"&amp;Table133456[[#This Row],[Strike]]))</f>
        <v>0</v>
      </c>
      <c r="J1217" t="b">
        <f>IF(     ISNUMBER(Table133456[[#This Row],[Strike]]),RTD("tos.rtd", , "ASK", "."&amp;Table133456[[#This Row],[Ticker]]&amp;Table133456[[#This Row],[Expiry]]&amp;""&amp;"C"&amp;Table133456[[#This Row],[Strike]]))</f>
        <v>0</v>
      </c>
      <c r="K1217" s="17"/>
      <c r="M1217" s="1">
        <f t="shared" ref="M1217:M1225" si="120">$T$1</f>
        <v>0</v>
      </c>
      <c r="N1217" t="b">
        <f t="shared" ref="N1217:N1225" si="121">IF(ISNUMBER($BP1217), $BP1217, FALSE)</f>
        <v>0</v>
      </c>
      <c r="P1217" s="17" cm="1">
        <f t="array" aca="1" ref="P1217" ca="1">IndividualLegIVCore($A$4, Table133456[[#This Row],[Strike]], 0.0411, Table133456[[#This Row],[T]], ((Table133456[[#This Row],[BIDP]]+Table133456[[#This Row],[ASKP]])/2), FALSE)</f>
        <v>0.01</v>
      </c>
      <c r="Q1217" t="b">
        <f>IF(     ISNUMBER(Table133456[[#This Row],[Strike]]),RTD("tos.rtd", , "BID", "."&amp;Table133456[[#This Row],[Ticker]]&amp;Table133456[[#This Row],[Expiry]]&amp;""&amp;"P"&amp;Table133456[[#This Row],[Strike]]))</f>
        <v>0</v>
      </c>
      <c r="R1217" t="b">
        <f>IF(     ISNUMBER(Table133456[[#This Row],[Strike]]),RTD("tos.rtd", , "ASK", "."&amp;Table133456[[#This Row],[Ticker]]&amp;Table133456[[#This Row],[Expiry]]&amp;""&amp;"P"&amp;Table133456[[#This Row],[Strike]]))</f>
        <v>0</v>
      </c>
      <c r="S1217" s="17"/>
      <c r="T121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7">
        <f>46* IF($M$1="NDX", 10, IF(OR($M$1="SPX", $M$1="RUT"), 2, 1))</f>
        <v>92</v>
      </c>
      <c r="Z1217">
        <f ca="1">IFERROR(Table133456[[#This Row],[call gamma]]*(Table133456[[#This Row],[Open.Int]])*$A$4^2,0)</f>
        <v>0</v>
      </c>
      <c r="AA1217">
        <f ca="1">IFERROR(((Table133456[[#This Row],[Open.Int8]])*Table133456[[#This Row],[Put gamma]])*-1*$A$4^2,0)</f>
        <v>0</v>
      </c>
      <c r="AB1217">
        <f ca="1">(Table133456[[#This Row],[Call Gex]]+Table133456[[#This Row],[Put Gex]])</f>
        <v>0</v>
      </c>
      <c r="AC1217">
        <f ca="1">Table133456[[#This Row],[put delta adj]]+Table133456[[#This Row],[call delta adj]]</f>
        <v>0</v>
      </c>
      <c r="AD1217">
        <f ca="1">Table133456[[#This Row],[Put Gex]]*Table133456[[#This Row],[DeltaP]]*-1</f>
        <v>0</v>
      </c>
      <c r="AE1217">
        <f ca="1">Table133456[[#This Row],[Call Gex]]*Table133456[[#This Row],[DeltaC]]</f>
        <v>0</v>
      </c>
      <c r="AF1217">
        <f>IF(Table133456[[#This Row],[DeltaC]]-ABS(Table133456[[#This Row],[DeltaP]])="0","0.01",Table133456[[#This Row],[DeltaC]]-ABS(Table133456[[#This Row],[DeltaP]]))</f>
        <v>0</v>
      </c>
      <c r="AG121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7" t="e">
        <f ca="1">(EXP(-(AG1217^2)/2)/SQRT(2*PI())*EXP(0*SQRT(Table133456[[#This Row],[T]]))/$A$4*18%*SQRT(SQRT(Table133456[[#This Row],[T]])))</f>
        <v>#DIV/0!</v>
      </c>
      <c r="AJ1217" t="e">
        <f ca="1">(EXP(-(AH1217^2)/2)/SQRT(2*PI())*EXP(0*SQRT(Table133456[[#This Row],[T]]))/$A$4*18%*SQRT(SQRT(Table133456[[#This Row],[T]])))</f>
        <v>#DIV/0!</v>
      </c>
      <c r="AK1217" t="e">
        <f ca="1">Table133456[[#This Row],[Call D1]]-Table133456[[#This Row],[IV Calc C]]*SQRT(Table133456[[#This Row],[T]])</f>
        <v>#DIV/0!</v>
      </c>
      <c r="AL1217" t="e">
        <f ca="1">Table133456[[#This Row],[Put D1]]-Table133456[[#This Row],[IV Calc P]]*SQRT(Table133456[[#This Row],[T]])</f>
        <v>#DIV/0!</v>
      </c>
      <c r="AM1217" t="e">
        <f ca="1">EXP(-0.5*Table133456[[#This Row],[Call D1]]^2)/SQRT(2*PI())</f>
        <v>#DIV/0!</v>
      </c>
      <c r="AN1217" t="e">
        <f ca="1">EXP(-0.5*Table133456[[#This Row],[Put D1]]^2)/SQRT(2*PI())</f>
        <v>#DIV/0!</v>
      </c>
      <c r="AO121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7">
        <f ca="1">((Table133456[[#This Row],[call vanna]]+Table133456[[#This Row],[put vanna]])*$A$4)</f>
        <v>0</v>
      </c>
      <c r="AR121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7" s="9" t="str" cm="1">
        <f t="array" ref="AT1217">_xlfn.IFS(     $M$1="SPX","SPXW",     $M$1="RUT","RUTW",  $M$1="NDX","NDXP",   TRUE,$M$1 )</f>
        <v>SPXW</v>
      </c>
      <c r="AU1217" s="2">
        <f t="shared" ref="AU1217:AU1225" si="122">$N$1</f>
        <v>6915</v>
      </c>
      <c r="AV1217" t="str">
        <f t="shared" ref="AV1217:AV1225" si="123">$T$2</f>
        <v>000100</v>
      </c>
      <c r="AY121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7">
        <f>((Table133456[[#This Row],[High C]]+Table133456[[#This Row],[Low C]])/2)*Table133456[[#This Row],[gammac]]*Table133456[[#This Row],[Volume]]</f>
        <v>0</v>
      </c>
      <c r="BD1217">
        <f>((Table133456[[#This Row],[High P]]+Table133456[[#This Row],[Low P]])/2)*Table133456[[#This Row],[gammap]]*Table133456[[#This Row],[Volume9]]*-1</f>
        <v>0</v>
      </c>
      <c r="BE1217">
        <f>(Table133456[[#This Row],[SgammaC]]+Table133456[[#This Row],[SgammaP]])*$A$4*-100</f>
        <v>0</v>
      </c>
      <c r="BF1217">
        <f>Table133456[[#This Row],[DEXc]]+Table133456[[#This Row],[DEXp]]</f>
        <v>0</v>
      </c>
      <c r="BG1217">
        <f>IFERROR(Table133456[[#This Row],[DeltaC]]*Table133456[[#This Row],[Open.Int]]*$A$4,0)</f>
        <v>0</v>
      </c>
      <c r="BH1217">
        <f>IFERROR(Table133456[[#This Row],[DeltaP]]*Table133456[[#This Row],[Open.Int8]]*$A$4,0)</f>
        <v>0</v>
      </c>
      <c r="BI121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7">
        <f ca="1">Table133456[[#This Row],[charmc]]+Table133456[[#This Row],[charmp]]</f>
        <v>0</v>
      </c>
      <c r="BL1217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7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7" s="78">
        <f ca="1">Table133456[[#This Row],[call helper]]+Table133456[[#This Row],[put helper]]</f>
        <v>0</v>
      </c>
      <c r="BP1217" t="str">
        <f>RTD("tos.rtd", , "STRIKE", "."&amp;Table133456[[#This Row],[Ticker]]&amp;Table133456[[#This Row],[Expiry]]&amp;""&amp;"C"&amp;Table133456[[#This Row],[Spot]]+Table133456[[#This Row],[step]])</f>
        <v>N/A</v>
      </c>
    </row>
    <row r="1218" spans="1:69" x14ac:dyDescent="0.25">
      <c r="A1218" s="14">
        <f t="shared" ca="1" si="119"/>
        <v>-126.14810350076104</v>
      </c>
      <c r="C1218" s="17"/>
      <c r="D1218" t="str">
        <f>RTD("tos.rtd", , "OPEN_INT", "."&amp;Table133456[[#This Row],[Ticker]]&amp;Table133456[[#This Row],[Expiry]]&amp;""&amp;"C"&amp;Table133456[[#This Row],[Spot]]+Table133456[[#This Row],[step]])</f>
        <v>N/A</v>
      </c>
      <c r="E121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8" s="17" cm="1">
        <f t="array" aca="1" ref="H1218" ca="1">IndividualLegIVCore($A$4, Table133456[[#This Row],[Strike]], 0.0411, Table133456[[#This Row],[T]], ((Table133456[[#This Row],[BIDC]]+Table133456[[#This Row],[ASKC]])/2), TRUE)</f>
        <v>0.01</v>
      </c>
      <c r="I1218" t="b">
        <f>IF(     ISNUMBER(Table133456[[#This Row],[Strike]]),RTD("tos.rtd", , "BID", "."&amp;Table133456[[#This Row],[Ticker]]&amp;Table133456[[#This Row],[Expiry]]&amp;""&amp;"C"&amp;Table133456[[#This Row],[Strike]]))</f>
        <v>0</v>
      </c>
      <c r="J1218" t="b">
        <f>IF(     ISNUMBER(Table133456[[#This Row],[Strike]]),RTD("tos.rtd", , "ASK", "."&amp;Table133456[[#This Row],[Ticker]]&amp;Table133456[[#This Row],[Expiry]]&amp;""&amp;"C"&amp;Table133456[[#This Row],[Strike]]))</f>
        <v>0</v>
      </c>
      <c r="K1218" s="17"/>
      <c r="M1218" s="1">
        <f t="shared" si="120"/>
        <v>0</v>
      </c>
      <c r="N1218" t="b">
        <f t="shared" si="121"/>
        <v>0</v>
      </c>
      <c r="P1218" s="17" cm="1">
        <f t="array" aca="1" ref="P1218" ca="1">IndividualLegIVCore($A$4, Table133456[[#This Row],[Strike]], 0.0411, Table133456[[#This Row],[T]], ((Table133456[[#This Row],[BIDP]]+Table133456[[#This Row],[ASKP]])/2), FALSE)</f>
        <v>0.01</v>
      </c>
      <c r="Q1218" t="b">
        <f>IF(     ISNUMBER(Table133456[[#This Row],[Strike]]),RTD("tos.rtd", , "BID", "."&amp;Table133456[[#This Row],[Ticker]]&amp;Table133456[[#This Row],[Expiry]]&amp;""&amp;"P"&amp;Table133456[[#This Row],[Strike]]))</f>
        <v>0</v>
      </c>
      <c r="R1218" t="b">
        <f>IF(     ISNUMBER(Table133456[[#This Row],[Strike]]),RTD("tos.rtd", , "ASK", "."&amp;Table133456[[#This Row],[Ticker]]&amp;Table133456[[#This Row],[Expiry]]&amp;""&amp;"P"&amp;Table133456[[#This Row],[Strike]]))</f>
        <v>0</v>
      </c>
      <c r="S1218" s="17"/>
      <c r="T121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8">
        <f>46.5* IF($M$1="NDX", 10, IF(OR($M$1="SPX", $M$1="RUT"), 2, 1))</f>
        <v>93</v>
      </c>
      <c r="Z1218">
        <f ca="1">IFERROR(Table133456[[#This Row],[call gamma]]*(Table133456[[#This Row],[Open.Int]])*$A$4^2,0)</f>
        <v>0</v>
      </c>
      <c r="AA1218">
        <f ca="1">IFERROR(((Table133456[[#This Row],[Open.Int8]])*Table133456[[#This Row],[Put gamma]])*-1*$A$4^2,0)</f>
        <v>0</v>
      </c>
      <c r="AB1218">
        <f ca="1">(Table133456[[#This Row],[Call Gex]]+Table133456[[#This Row],[Put Gex]])</f>
        <v>0</v>
      </c>
      <c r="AC1218">
        <f ca="1">Table133456[[#This Row],[put delta adj]]+Table133456[[#This Row],[call delta adj]]</f>
        <v>0</v>
      </c>
      <c r="AD1218">
        <f ca="1">Table133456[[#This Row],[Put Gex]]*Table133456[[#This Row],[DeltaP]]*-1</f>
        <v>0</v>
      </c>
      <c r="AE1218">
        <f ca="1">Table133456[[#This Row],[Call Gex]]*Table133456[[#This Row],[DeltaC]]</f>
        <v>0</v>
      </c>
      <c r="AF1218">
        <f>IF(Table133456[[#This Row],[DeltaC]]-ABS(Table133456[[#This Row],[DeltaP]])="0","0.01",Table133456[[#This Row],[DeltaC]]-ABS(Table133456[[#This Row],[DeltaP]]))</f>
        <v>0</v>
      </c>
      <c r="AG121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8" t="e">
        <f ca="1">(EXP(-(AG1218^2)/2)/SQRT(2*PI())*EXP(0*SQRT(Table133456[[#This Row],[T]]))/$A$4*18%*SQRT(SQRT(Table133456[[#This Row],[T]])))</f>
        <v>#DIV/0!</v>
      </c>
      <c r="AJ1218" t="e">
        <f ca="1">(EXP(-(AH1218^2)/2)/SQRT(2*PI())*EXP(0*SQRT(Table133456[[#This Row],[T]]))/$A$4*18%*SQRT(SQRT(Table133456[[#This Row],[T]])))</f>
        <v>#DIV/0!</v>
      </c>
      <c r="AK1218" t="e">
        <f ca="1">Table133456[[#This Row],[Call D1]]-Table133456[[#This Row],[IV Calc C]]*SQRT(Table133456[[#This Row],[T]])</f>
        <v>#DIV/0!</v>
      </c>
      <c r="AL1218" t="e">
        <f ca="1">Table133456[[#This Row],[Put D1]]-Table133456[[#This Row],[IV Calc P]]*SQRT(Table133456[[#This Row],[T]])</f>
        <v>#DIV/0!</v>
      </c>
      <c r="AM1218" t="e">
        <f ca="1">EXP(-0.5*Table133456[[#This Row],[Call D1]]^2)/SQRT(2*PI())</f>
        <v>#DIV/0!</v>
      </c>
      <c r="AN1218" t="e">
        <f ca="1">EXP(-0.5*Table133456[[#This Row],[Put D1]]^2)/SQRT(2*PI())</f>
        <v>#DIV/0!</v>
      </c>
      <c r="AO121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8">
        <f ca="1">((Table133456[[#This Row],[call vanna]]+Table133456[[#This Row],[put vanna]])*$A$4)</f>
        <v>0</v>
      </c>
      <c r="AR121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8" s="9" t="str" cm="1">
        <f t="array" ref="AT1218">_xlfn.IFS(     $M$1="SPX","SPXW",     $M$1="RUT","RUTW",  $M$1="NDX","NDXP",   TRUE,$M$1 )</f>
        <v>SPXW</v>
      </c>
      <c r="AU1218" s="2">
        <f t="shared" si="122"/>
        <v>6915</v>
      </c>
      <c r="AV1218" t="str">
        <f t="shared" si="123"/>
        <v>000100</v>
      </c>
      <c r="AY121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8">
        <f>((Table133456[[#This Row],[High C]]+Table133456[[#This Row],[Low C]])/2)*Table133456[[#This Row],[gammac]]*Table133456[[#This Row],[Volume]]</f>
        <v>0</v>
      </c>
      <c r="BD1218">
        <f>((Table133456[[#This Row],[High P]]+Table133456[[#This Row],[Low P]])/2)*Table133456[[#This Row],[gammap]]*Table133456[[#This Row],[Volume9]]*-1</f>
        <v>0</v>
      </c>
      <c r="BE1218">
        <f>(Table133456[[#This Row],[SgammaC]]+Table133456[[#This Row],[SgammaP]])*$A$4*-100</f>
        <v>0</v>
      </c>
      <c r="BF1218">
        <f>Table133456[[#This Row],[DEXc]]+Table133456[[#This Row],[DEXp]]</f>
        <v>0</v>
      </c>
      <c r="BG1218">
        <f>IFERROR(Table133456[[#This Row],[DeltaC]]*Table133456[[#This Row],[Open.Int]]*$A$4,0)</f>
        <v>0</v>
      </c>
      <c r="BH1218">
        <f>IFERROR(Table133456[[#This Row],[DeltaP]]*Table133456[[#This Row],[Open.Int8]]*$A$4,0)</f>
        <v>0</v>
      </c>
      <c r="BI121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8">
        <f ca="1">Table133456[[#This Row],[charmc]]+Table133456[[#This Row],[charmp]]</f>
        <v>0</v>
      </c>
      <c r="BL1218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8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8" s="78">
        <f ca="1">Table133456[[#This Row],[call helper]]+Table133456[[#This Row],[put helper]]</f>
        <v>0</v>
      </c>
      <c r="BP1218" t="str">
        <f>RTD("tos.rtd", , "STRIKE", "."&amp;Table133456[[#This Row],[Ticker]]&amp;Table133456[[#This Row],[Expiry]]&amp;""&amp;"C"&amp;Table133456[[#This Row],[Spot]]+Table133456[[#This Row],[step]])</f>
        <v>N/A</v>
      </c>
    </row>
    <row r="1219" spans="1:69" x14ac:dyDescent="0.25">
      <c r="A1219" s="14">
        <f t="shared" ca="1" si="119"/>
        <v>-126.14810350076104</v>
      </c>
      <c r="C1219" s="17"/>
      <c r="D1219" t="str">
        <f>RTD("tos.rtd", , "OPEN_INT", "."&amp;Table133456[[#This Row],[Ticker]]&amp;Table133456[[#This Row],[Expiry]]&amp;""&amp;"C"&amp;Table133456[[#This Row],[Spot]]+Table133456[[#This Row],[step]])</f>
        <v>N/A</v>
      </c>
      <c r="E121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9" s="17" cm="1">
        <f t="array" aca="1" ref="H1219" ca="1">IndividualLegIVCore($A$4, Table133456[[#This Row],[Strike]], 0.0411, Table133456[[#This Row],[T]], ((Table133456[[#This Row],[BIDC]]+Table133456[[#This Row],[ASKC]])/2), TRUE)</f>
        <v>0.01</v>
      </c>
      <c r="I1219" t="b">
        <f>IF(     ISNUMBER(Table133456[[#This Row],[Strike]]),RTD("tos.rtd", , "BID", "."&amp;Table133456[[#This Row],[Ticker]]&amp;Table133456[[#This Row],[Expiry]]&amp;""&amp;"C"&amp;Table133456[[#This Row],[Strike]]))</f>
        <v>0</v>
      </c>
      <c r="J1219" t="b">
        <f>IF(     ISNUMBER(Table133456[[#This Row],[Strike]]),RTD("tos.rtd", , "ASK", "."&amp;Table133456[[#This Row],[Ticker]]&amp;Table133456[[#This Row],[Expiry]]&amp;""&amp;"C"&amp;Table133456[[#This Row],[Strike]]))</f>
        <v>0</v>
      </c>
      <c r="K1219" s="17"/>
      <c r="M1219" s="1">
        <f t="shared" si="120"/>
        <v>0</v>
      </c>
      <c r="N1219" t="b">
        <f t="shared" si="121"/>
        <v>0</v>
      </c>
      <c r="P1219" s="17" cm="1">
        <f t="array" aca="1" ref="P1219" ca="1">IndividualLegIVCore($A$4, Table133456[[#This Row],[Strike]], 0.0411, Table133456[[#This Row],[T]], ((Table133456[[#This Row],[BIDP]]+Table133456[[#This Row],[ASKP]])/2), FALSE)</f>
        <v>0.01</v>
      </c>
      <c r="Q1219" t="b">
        <f>IF(     ISNUMBER(Table133456[[#This Row],[Strike]]),RTD("tos.rtd", , "BID", "."&amp;Table133456[[#This Row],[Ticker]]&amp;Table133456[[#This Row],[Expiry]]&amp;""&amp;"P"&amp;Table133456[[#This Row],[Strike]]))</f>
        <v>0</v>
      </c>
      <c r="R1219" t="b">
        <f>IF(     ISNUMBER(Table133456[[#This Row],[Strike]]),RTD("tos.rtd", , "ASK", "."&amp;Table133456[[#This Row],[Ticker]]&amp;Table133456[[#This Row],[Expiry]]&amp;""&amp;"P"&amp;Table133456[[#This Row],[Strike]]))</f>
        <v>0</v>
      </c>
      <c r="S1219" s="17"/>
      <c r="T121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9">
        <f>47* IF($M$1="NDX", 10, IF(OR($M$1="SPX", $M$1="RUT"), 2, 1))</f>
        <v>94</v>
      </c>
      <c r="Z1219">
        <f ca="1">IFERROR(Table133456[[#This Row],[call gamma]]*(Table133456[[#This Row],[Open.Int]])*$A$4^2,0)</f>
        <v>0</v>
      </c>
      <c r="AA1219">
        <f ca="1">IFERROR(((Table133456[[#This Row],[Open.Int8]])*Table133456[[#This Row],[Put gamma]])*-1*$A$4^2,0)</f>
        <v>0</v>
      </c>
      <c r="AB1219">
        <f ca="1">(Table133456[[#This Row],[Call Gex]]+Table133456[[#This Row],[Put Gex]])</f>
        <v>0</v>
      </c>
      <c r="AC1219">
        <f ca="1">Table133456[[#This Row],[put delta adj]]+Table133456[[#This Row],[call delta adj]]</f>
        <v>0</v>
      </c>
      <c r="AD1219">
        <f ca="1">Table133456[[#This Row],[Put Gex]]*Table133456[[#This Row],[DeltaP]]*-1</f>
        <v>0</v>
      </c>
      <c r="AE1219">
        <f ca="1">Table133456[[#This Row],[Call Gex]]*Table133456[[#This Row],[DeltaC]]</f>
        <v>0</v>
      </c>
      <c r="AF1219">
        <f>IF(Table133456[[#This Row],[DeltaC]]-ABS(Table133456[[#This Row],[DeltaP]])="0","0.01",Table133456[[#This Row],[DeltaC]]-ABS(Table133456[[#This Row],[DeltaP]]))</f>
        <v>0</v>
      </c>
      <c r="AG121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9" t="e">
        <f ca="1">(EXP(-(AG1219^2)/2)/SQRT(2*PI())*EXP(0*SQRT(Table133456[[#This Row],[T]]))/$A$4*18%*SQRT(SQRT(Table133456[[#This Row],[T]])))</f>
        <v>#DIV/0!</v>
      </c>
      <c r="AJ1219" t="e">
        <f ca="1">(EXP(-(AH1219^2)/2)/SQRT(2*PI())*EXP(0*SQRT(Table133456[[#This Row],[T]]))/$A$4*18%*SQRT(SQRT(Table133456[[#This Row],[T]])))</f>
        <v>#DIV/0!</v>
      </c>
      <c r="AK1219" t="e">
        <f ca="1">Table133456[[#This Row],[Call D1]]-Table133456[[#This Row],[IV Calc C]]*SQRT(Table133456[[#This Row],[T]])</f>
        <v>#DIV/0!</v>
      </c>
      <c r="AL1219" t="e">
        <f ca="1">Table133456[[#This Row],[Put D1]]-Table133456[[#This Row],[IV Calc P]]*SQRT(Table133456[[#This Row],[T]])</f>
        <v>#DIV/0!</v>
      </c>
      <c r="AM1219" t="e">
        <f ca="1">EXP(-0.5*Table133456[[#This Row],[Call D1]]^2)/SQRT(2*PI())</f>
        <v>#DIV/0!</v>
      </c>
      <c r="AN1219" t="e">
        <f ca="1">EXP(-0.5*Table133456[[#This Row],[Put D1]]^2)/SQRT(2*PI())</f>
        <v>#DIV/0!</v>
      </c>
      <c r="AO121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9">
        <f ca="1">((Table133456[[#This Row],[call vanna]]+Table133456[[#This Row],[put vanna]])*$A$4)</f>
        <v>0</v>
      </c>
      <c r="AR121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9" s="9" t="str" cm="1">
        <f t="array" ref="AT1219">_xlfn.IFS(     $M$1="SPX","SPXW",     $M$1="RUT","RUTW",  $M$1="NDX","NDXP",   TRUE,$M$1 )</f>
        <v>SPXW</v>
      </c>
      <c r="AU1219" s="2">
        <f t="shared" si="122"/>
        <v>6915</v>
      </c>
      <c r="AV1219" t="str">
        <f t="shared" si="123"/>
        <v>000100</v>
      </c>
      <c r="AY121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9">
        <f>((Table133456[[#This Row],[High C]]+Table133456[[#This Row],[Low C]])/2)*Table133456[[#This Row],[gammac]]*Table133456[[#This Row],[Volume]]</f>
        <v>0</v>
      </c>
      <c r="BD1219">
        <f>((Table133456[[#This Row],[High P]]+Table133456[[#This Row],[Low P]])/2)*Table133456[[#This Row],[gammap]]*Table133456[[#This Row],[Volume9]]*-1</f>
        <v>0</v>
      </c>
      <c r="BE1219">
        <f>(Table133456[[#This Row],[SgammaC]]+Table133456[[#This Row],[SgammaP]])*$A$4*-100</f>
        <v>0</v>
      </c>
      <c r="BF1219">
        <f>Table133456[[#This Row],[DEXc]]+Table133456[[#This Row],[DEXp]]</f>
        <v>0</v>
      </c>
      <c r="BG1219">
        <f>IFERROR(Table133456[[#This Row],[DeltaC]]*Table133456[[#This Row],[Open.Int]]*$A$4,0)</f>
        <v>0</v>
      </c>
      <c r="BH1219">
        <f>IFERROR(Table133456[[#This Row],[DeltaP]]*Table133456[[#This Row],[Open.Int8]]*$A$4,0)</f>
        <v>0</v>
      </c>
      <c r="BI121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9">
        <f ca="1">Table133456[[#This Row],[charmc]]+Table133456[[#This Row],[charmp]]</f>
        <v>0</v>
      </c>
      <c r="BL1219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9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9" s="78">
        <f ca="1">Table133456[[#This Row],[call helper]]+Table133456[[#This Row],[put helper]]</f>
        <v>0</v>
      </c>
      <c r="BP1219" t="str">
        <f>RTD("tos.rtd", , "STRIKE", "."&amp;Table133456[[#This Row],[Ticker]]&amp;Table133456[[#This Row],[Expiry]]&amp;""&amp;"C"&amp;Table133456[[#This Row],[Spot]]+Table133456[[#This Row],[step]])</f>
        <v>N/A</v>
      </c>
    </row>
    <row r="1220" spans="1:69" x14ac:dyDescent="0.25">
      <c r="A1220" s="14">
        <f t="shared" ca="1" si="119"/>
        <v>-126.14810350076104</v>
      </c>
      <c r="C1220" s="17"/>
      <c r="D1220" t="str">
        <f>RTD("tos.rtd", , "OPEN_INT", "."&amp;Table133456[[#This Row],[Ticker]]&amp;Table133456[[#This Row],[Expiry]]&amp;""&amp;"C"&amp;Table133456[[#This Row],[Spot]]+Table133456[[#This Row],[step]])</f>
        <v>N/A</v>
      </c>
      <c r="E122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0" s="17" cm="1">
        <f t="array" aca="1" ref="H1220" ca="1">IndividualLegIVCore($A$4, Table133456[[#This Row],[Strike]], 0.0411, Table133456[[#This Row],[T]], ((Table133456[[#This Row],[BIDC]]+Table133456[[#This Row],[ASKC]])/2), TRUE)</f>
        <v>0.01</v>
      </c>
      <c r="I1220" t="b">
        <f>IF(     ISNUMBER(Table133456[[#This Row],[Strike]]),RTD("tos.rtd", , "BID", "."&amp;Table133456[[#This Row],[Ticker]]&amp;Table133456[[#This Row],[Expiry]]&amp;""&amp;"C"&amp;Table133456[[#This Row],[Strike]]))</f>
        <v>0</v>
      </c>
      <c r="J1220" t="b">
        <f>IF(     ISNUMBER(Table133456[[#This Row],[Strike]]),RTD("tos.rtd", , "ASK", "."&amp;Table133456[[#This Row],[Ticker]]&amp;Table133456[[#This Row],[Expiry]]&amp;""&amp;"C"&amp;Table133456[[#This Row],[Strike]]))</f>
        <v>0</v>
      </c>
      <c r="K1220" s="17"/>
      <c r="M1220" s="1">
        <f t="shared" si="120"/>
        <v>0</v>
      </c>
      <c r="N1220" t="b">
        <f t="shared" si="121"/>
        <v>0</v>
      </c>
      <c r="P1220" s="17" cm="1">
        <f t="array" aca="1" ref="P1220" ca="1">IndividualLegIVCore($A$4, Table133456[[#This Row],[Strike]], 0.0411, Table133456[[#This Row],[T]], ((Table133456[[#This Row],[BIDP]]+Table133456[[#This Row],[ASKP]])/2), FALSE)</f>
        <v>0.01</v>
      </c>
      <c r="Q1220" t="b">
        <f>IF(     ISNUMBER(Table133456[[#This Row],[Strike]]),RTD("tos.rtd", , "BID", "."&amp;Table133456[[#This Row],[Ticker]]&amp;Table133456[[#This Row],[Expiry]]&amp;""&amp;"P"&amp;Table133456[[#This Row],[Strike]]))</f>
        <v>0</v>
      </c>
      <c r="R1220" t="b">
        <f>IF(     ISNUMBER(Table133456[[#This Row],[Strike]]),RTD("tos.rtd", , "ASK", "."&amp;Table133456[[#This Row],[Ticker]]&amp;Table133456[[#This Row],[Expiry]]&amp;""&amp;"P"&amp;Table133456[[#This Row],[Strike]]))</f>
        <v>0</v>
      </c>
      <c r="S1220" s="17"/>
      <c r="T122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0">
        <f>47.5* IF($M$1="NDX", 10, IF(OR($M$1="SPX", $M$1="RUT"), 2, 1))</f>
        <v>95</v>
      </c>
      <c r="Z1220">
        <f ca="1">IFERROR(Table133456[[#This Row],[call gamma]]*(Table133456[[#This Row],[Open.Int]])*$A$4^2,0)</f>
        <v>0</v>
      </c>
      <c r="AA1220">
        <f ca="1">IFERROR(((Table133456[[#This Row],[Open.Int8]])*Table133456[[#This Row],[Put gamma]])*-1*$A$4^2,0)</f>
        <v>0</v>
      </c>
      <c r="AB1220">
        <f ca="1">(Table133456[[#This Row],[Call Gex]]+Table133456[[#This Row],[Put Gex]])</f>
        <v>0</v>
      </c>
      <c r="AC1220">
        <f ca="1">Table133456[[#This Row],[put delta adj]]+Table133456[[#This Row],[call delta adj]]</f>
        <v>0</v>
      </c>
      <c r="AD1220">
        <f ca="1">Table133456[[#This Row],[Put Gex]]*Table133456[[#This Row],[DeltaP]]*-1</f>
        <v>0</v>
      </c>
      <c r="AE1220">
        <f ca="1">Table133456[[#This Row],[Call Gex]]*Table133456[[#This Row],[DeltaC]]</f>
        <v>0</v>
      </c>
      <c r="AF1220">
        <f>IF(Table133456[[#This Row],[DeltaC]]-ABS(Table133456[[#This Row],[DeltaP]])="0","0.01",Table133456[[#This Row],[DeltaC]]-ABS(Table133456[[#This Row],[DeltaP]]))</f>
        <v>0</v>
      </c>
      <c r="AG122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0" t="e">
        <f ca="1">(EXP(-(AG1220^2)/2)/SQRT(2*PI())*EXP(0*SQRT(Table133456[[#This Row],[T]]))/$A$4*18%*SQRT(SQRT(Table133456[[#This Row],[T]])))</f>
        <v>#DIV/0!</v>
      </c>
      <c r="AJ1220" t="e">
        <f ca="1">(EXP(-(AH1220^2)/2)/SQRT(2*PI())*EXP(0*SQRT(Table133456[[#This Row],[T]]))/$A$4*18%*SQRT(SQRT(Table133456[[#This Row],[T]])))</f>
        <v>#DIV/0!</v>
      </c>
      <c r="AK1220" t="e">
        <f ca="1">Table133456[[#This Row],[Call D1]]-Table133456[[#This Row],[IV Calc C]]*SQRT(Table133456[[#This Row],[T]])</f>
        <v>#DIV/0!</v>
      </c>
      <c r="AL1220" t="e">
        <f ca="1">Table133456[[#This Row],[Put D1]]-Table133456[[#This Row],[IV Calc P]]*SQRT(Table133456[[#This Row],[T]])</f>
        <v>#DIV/0!</v>
      </c>
      <c r="AM1220" t="e">
        <f ca="1">EXP(-0.5*Table133456[[#This Row],[Call D1]]^2)/SQRT(2*PI())</f>
        <v>#DIV/0!</v>
      </c>
      <c r="AN1220" t="e">
        <f ca="1">EXP(-0.5*Table133456[[#This Row],[Put D1]]^2)/SQRT(2*PI())</f>
        <v>#DIV/0!</v>
      </c>
      <c r="AO122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0">
        <f ca="1">((Table133456[[#This Row],[call vanna]]+Table133456[[#This Row],[put vanna]])*$A$4)</f>
        <v>0</v>
      </c>
      <c r="AR122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0" s="9" t="str" cm="1">
        <f t="array" ref="AT1220">_xlfn.IFS(     $M$1="SPX","SPXW",     $M$1="RUT","RUTW",  $M$1="NDX","NDXP",   TRUE,$M$1 )</f>
        <v>SPXW</v>
      </c>
      <c r="AU1220" s="2">
        <f t="shared" si="122"/>
        <v>6915</v>
      </c>
      <c r="AV1220" t="str">
        <f t="shared" si="123"/>
        <v>000100</v>
      </c>
      <c r="AY122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0">
        <f>((Table133456[[#This Row],[High C]]+Table133456[[#This Row],[Low C]])/2)*Table133456[[#This Row],[gammac]]*Table133456[[#This Row],[Volume]]</f>
        <v>0</v>
      </c>
      <c r="BD1220">
        <f>((Table133456[[#This Row],[High P]]+Table133456[[#This Row],[Low P]])/2)*Table133456[[#This Row],[gammap]]*Table133456[[#This Row],[Volume9]]*-1</f>
        <v>0</v>
      </c>
      <c r="BE1220">
        <f>(Table133456[[#This Row],[SgammaC]]+Table133456[[#This Row],[SgammaP]])*$A$4*-100</f>
        <v>0</v>
      </c>
      <c r="BF1220">
        <f>Table133456[[#This Row],[DEXc]]+Table133456[[#This Row],[DEXp]]</f>
        <v>0</v>
      </c>
      <c r="BG1220">
        <f>IFERROR(Table133456[[#This Row],[DeltaC]]*Table133456[[#This Row],[Open.Int]]*$A$4,0)</f>
        <v>0</v>
      </c>
      <c r="BH1220">
        <f>IFERROR(Table133456[[#This Row],[DeltaP]]*Table133456[[#This Row],[Open.Int8]]*$A$4,0)</f>
        <v>0</v>
      </c>
      <c r="BI122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0">
        <f ca="1">Table133456[[#This Row],[charmc]]+Table133456[[#This Row],[charmp]]</f>
        <v>0</v>
      </c>
      <c r="BL1220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0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0" s="78">
        <f ca="1">Table133456[[#This Row],[call helper]]+Table133456[[#This Row],[put helper]]</f>
        <v>0</v>
      </c>
      <c r="BP1220" t="str">
        <f>RTD("tos.rtd", , "STRIKE", "."&amp;Table133456[[#This Row],[Ticker]]&amp;Table133456[[#This Row],[Expiry]]&amp;""&amp;"C"&amp;Table133456[[#This Row],[Spot]]+Table133456[[#This Row],[step]])</f>
        <v>N/A</v>
      </c>
    </row>
    <row r="1221" spans="1:69" x14ac:dyDescent="0.25">
      <c r="A1221" s="14">
        <f t="shared" ca="1" si="119"/>
        <v>-126.14810350076104</v>
      </c>
      <c r="C1221" s="17"/>
      <c r="D1221" t="str">
        <f>RTD("tos.rtd", , "OPEN_INT", "."&amp;Table133456[[#This Row],[Ticker]]&amp;Table133456[[#This Row],[Expiry]]&amp;""&amp;"C"&amp;Table133456[[#This Row],[Spot]]+Table133456[[#This Row],[step]])</f>
        <v>N/A</v>
      </c>
      <c r="E122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1" s="17" cm="1">
        <f t="array" aca="1" ref="H1221" ca="1">IndividualLegIVCore($A$4, Table133456[[#This Row],[Strike]], 0.0411, Table133456[[#This Row],[T]], ((Table133456[[#This Row],[BIDC]]+Table133456[[#This Row],[ASKC]])/2), TRUE)</f>
        <v>0.01</v>
      </c>
      <c r="I1221" t="b">
        <f>IF(     ISNUMBER(Table133456[[#This Row],[Strike]]),RTD("tos.rtd", , "BID", "."&amp;Table133456[[#This Row],[Ticker]]&amp;Table133456[[#This Row],[Expiry]]&amp;""&amp;"C"&amp;Table133456[[#This Row],[Strike]]))</f>
        <v>0</v>
      </c>
      <c r="J1221" t="b">
        <f>IF(     ISNUMBER(Table133456[[#This Row],[Strike]]),RTD("tos.rtd", , "ASK", "."&amp;Table133456[[#This Row],[Ticker]]&amp;Table133456[[#This Row],[Expiry]]&amp;""&amp;"C"&amp;Table133456[[#This Row],[Strike]]))</f>
        <v>0</v>
      </c>
      <c r="K1221" s="17"/>
      <c r="M1221" s="1">
        <f t="shared" si="120"/>
        <v>0</v>
      </c>
      <c r="N1221" t="b">
        <f t="shared" si="121"/>
        <v>0</v>
      </c>
      <c r="P1221" s="17" cm="1">
        <f t="array" aca="1" ref="P1221" ca="1">IndividualLegIVCore($A$4, Table133456[[#This Row],[Strike]], 0.0411, Table133456[[#This Row],[T]], ((Table133456[[#This Row],[BIDP]]+Table133456[[#This Row],[ASKP]])/2), FALSE)</f>
        <v>0.01</v>
      </c>
      <c r="Q1221" t="b">
        <f>IF(     ISNUMBER(Table133456[[#This Row],[Strike]]),RTD("tos.rtd", , "BID", "."&amp;Table133456[[#This Row],[Ticker]]&amp;Table133456[[#This Row],[Expiry]]&amp;""&amp;"P"&amp;Table133456[[#This Row],[Strike]]))</f>
        <v>0</v>
      </c>
      <c r="R1221" t="b">
        <f>IF(     ISNUMBER(Table133456[[#This Row],[Strike]]),RTD("tos.rtd", , "ASK", "."&amp;Table133456[[#This Row],[Ticker]]&amp;Table133456[[#This Row],[Expiry]]&amp;""&amp;"P"&amp;Table133456[[#This Row],[Strike]]))</f>
        <v>0</v>
      </c>
      <c r="S1221" s="17"/>
      <c r="T122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1">
        <f>48* IF($M$1="NDX", 10, IF(OR($M$1="SPX", $M$1="RUT"), 2, 1))</f>
        <v>96</v>
      </c>
      <c r="Z1221">
        <f ca="1">IFERROR(Table133456[[#This Row],[call gamma]]*(Table133456[[#This Row],[Open.Int]])*$A$4^2,0)</f>
        <v>0</v>
      </c>
      <c r="AA1221">
        <f ca="1">IFERROR(((Table133456[[#This Row],[Open.Int8]])*Table133456[[#This Row],[Put gamma]])*-1*$A$4^2,0)</f>
        <v>0</v>
      </c>
      <c r="AB1221">
        <f ca="1">(Table133456[[#This Row],[Call Gex]]+Table133456[[#This Row],[Put Gex]])</f>
        <v>0</v>
      </c>
      <c r="AC1221">
        <f ca="1">Table133456[[#This Row],[put delta adj]]+Table133456[[#This Row],[call delta adj]]</f>
        <v>0</v>
      </c>
      <c r="AD1221">
        <f ca="1">Table133456[[#This Row],[Put Gex]]*Table133456[[#This Row],[DeltaP]]*-1</f>
        <v>0</v>
      </c>
      <c r="AE1221">
        <f ca="1">Table133456[[#This Row],[Call Gex]]*Table133456[[#This Row],[DeltaC]]</f>
        <v>0</v>
      </c>
      <c r="AF1221">
        <f>IF(Table133456[[#This Row],[DeltaC]]-ABS(Table133456[[#This Row],[DeltaP]])="0","0.01",Table133456[[#This Row],[DeltaC]]-ABS(Table133456[[#This Row],[DeltaP]]))</f>
        <v>0</v>
      </c>
      <c r="AG122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1" t="e">
        <f ca="1">(EXP(-(AG1221^2)/2)/SQRT(2*PI())*EXP(0*SQRT(Table133456[[#This Row],[T]]))/$A$4*18%*SQRT(SQRT(Table133456[[#This Row],[T]])))</f>
        <v>#DIV/0!</v>
      </c>
      <c r="AJ1221" t="e">
        <f ca="1">(EXP(-(AH1221^2)/2)/SQRT(2*PI())*EXP(0*SQRT(Table133456[[#This Row],[T]]))/$A$4*18%*SQRT(SQRT(Table133456[[#This Row],[T]])))</f>
        <v>#DIV/0!</v>
      </c>
      <c r="AK1221" t="e">
        <f ca="1">Table133456[[#This Row],[Call D1]]-Table133456[[#This Row],[IV Calc C]]*SQRT(Table133456[[#This Row],[T]])</f>
        <v>#DIV/0!</v>
      </c>
      <c r="AL1221" t="e">
        <f ca="1">Table133456[[#This Row],[Put D1]]-Table133456[[#This Row],[IV Calc P]]*SQRT(Table133456[[#This Row],[T]])</f>
        <v>#DIV/0!</v>
      </c>
      <c r="AM1221" t="e">
        <f ca="1">EXP(-0.5*Table133456[[#This Row],[Call D1]]^2)/SQRT(2*PI())</f>
        <v>#DIV/0!</v>
      </c>
      <c r="AN1221" t="e">
        <f ca="1">EXP(-0.5*Table133456[[#This Row],[Put D1]]^2)/SQRT(2*PI())</f>
        <v>#DIV/0!</v>
      </c>
      <c r="AO122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1">
        <f ca="1">((Table133456[[#This Row],[call vanna]]+Table133456[[#This Row],[put vanna]])*$A$4)</f>
        <v>0</v>
      </c>
      <c r="AR122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1" s="9" t="str" cm="1">
        <f t="array" ref="AT1221">_xlfn.IFS(     $M$1="SPX","SPXW",     $M$1="RUT","RUTW",  $M$1="NDX","NDXP",   TRUE,$M$1 )</f>
        <v>SPXW</v>
      </c>
      <c r="AU1221" s="2">
        <f t="shared" si="122"/>
        <v>6915</v>
      </c>
      <c r="AV1221" t="str">
        <f t="shared" si="123"/>
        <v>000100</v>
      </c>
      <c r="AY122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1">
        <f>((Table133456[[#This Row],[High C]]+Table133456[[#This Row],[Low C]])/2)*Table133456[[#This Row],[gammac]]*Table133456[[#This Row],[Volume]]</f>
        <v>0</v>
      </c>
      <c r="BD1221">
        <f>((Table133456[[#This Row],[High P]]+Table133456[[#This Row],[Low P]])/2)*Table133456[[#This Row],[gammap]]*Table133456[[#This Row],[Volume9]]*-1</f>
        <v>0</v>
      </c>
      <c r="BE1221">
        <f>(Table133456[[#This Row],[SgammaC]]+Table133456[[#This Row],[SgammaP]])*$A$4*-100</f>
        <v>0</v>
      </c>
      <c r="BF1221">
        <f>Table133456[[#This Row],[DEXc]]+Table133456[[#This Row],[DEXp]]</f>
        <v>0</v>
      </c>
      <c r="BG1221">
        <f>IFERROR(Table133456[[#This Row],[DeltaC]]*Table133456[[#This Row],[Open.Int]]*$A$4,0)</f>
        <v>0</v>
      </c>
      <c r="BH1221">
        <f>IFERROR(Table133456[[#This Row],[DeltaP]]*Table133456[[#This Row],[Open.Int8]]*$A$4,0)</f>
        <v>0</v>
      </c>
      <c r="BI122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1">
        <f ca="1">Table133456[[#This Row],[charmc]]+Table133456[[#This Row],[charmp]]</f>
        <v>0</v>
      </c>
      <c r="BL1221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1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1" s="78">
        <f ca="1">Table133456[[#This Row],[call helper]]+Table133456[[#This Row],[put helper]]</f>
        <v>0</v>
      </c>
      <c r="BP1221" t="str">
        <f>RTD("tos.rtd", , "STRIKE", "."&amp;Table133456[[#This Row],[Ticker]]&amp;Table133456[[#This Row],[Expiry]]&amp;""&amp;"C"&amp;Table133456[[#This Row],[Spot]]+Table133456[[#This Row],[step]])</f>
        <v>N/A</v>
      </c>
    </row>
    <row r="1222" spans="1:69" x14ac:dyDescent="0.25">
      <c r="A1222" s="14">
        <f t="shared" ca="1" si="119"/>
        <v>-126.14810350076104</v>
      </c>
      <c r="C1222" s="17"/>
      <c r="D1222" t="str">
        <f>RTD("tos.rtd", , "OPEN_INT", "."&amp;Table133456[[#This Row],[Ticker]]&amp;Table133456[[#This Row],[Expiry]]&amp;""&amp;"C"&amp;Table133456[[#This Row],[Spot]]+Table133456[[#This Row],[step]])</f>
        <v>N/A</v>
      </c>
      <c r="E122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2" s="17" cm="1">
        <f t="array" aca="1" ref="H1222" ca="1">IndividualLegIVCore($A$4, Table133456[[#This Row],[Strike]], 0.0411, Table133456[[#This Row],[T]], ((Table133456[[#This Row],[BIDC]]+Table133456[[#This Row],[ASKC]])/2), TRUE)</f>
        <v>0.01</v>
      </c>
      <c r="I1222" t="b">
        <f>IF(     ISNUMBER(Table133456[[#This Row],[Strike]]),RTD("tos.rtd", , "BID", "."&amp;Table133456[[#This Row],[Ticker]]&amp;Table133456[[#This Row],[Expiry]]&amp;""&amp;"C"&amp;Table133456[[#This Row],[Strike]]))</f>
        <v>0</v>
      </c>
      <c r="J1222" t="b">
        <f>IF(     ISNUMBER(Table133456[[#This Row],[Strike]]),RTD("tos.rtd", , "ASK", "."&amp;Table133456[[#This Row],[Ticker]]&amp;Table133456[[#This Row],[Expiry]]&amp;""&amp;"C"&amp;Table133456[[#This Row],[Strike]]))</f>
        <v>0</v>
      </c>
      <c r="K1222" s="17"/>
      <c r="M1222" s="1">
        <f t="shared" si="120"/>
        <v>0</v>
      </c>
      <c r="N1222" t="b">
        <f t="shared" si="121"/>
        <v>0</v>
      </c>
      <c r="P1222" s="17" cm="1">
        <f t="array" aca="1" ref="P1222" ca="1">IndividualLegIVCore($A$4, Table133456[[#This Row],[Strike]], 0.0411, Table133456[[#This Row],[T]], ((Table133456[[#This Row],[BIDP]]+Table133456[[#This Row],[ASKP]])/2), FALSE)</f>
        <v>0.01</v>
      </c>
      <c r="Q1222" t="b">
        <f>IF(     ISNUMBER(Table133456[[#This Row],[Strike]]),RTD("tos.rtd", , "BID", "."&amp;Table133456[[#This Row],[Ticker]]&amp;Table133456[[#This Row],[Expiry]]&amp;""&amp;"P"&amp;Table133456[[#This Row],[Strike]]))</f>
        <v>0</v>
      </c>
      <c r="R1222" t="b">
        <f>IF(     ISNUMBER(Table133456[[#This Row],[Strike]]),RTD("tos.rtd", , "ASK", "."&amp;Table133456[[#This Row],[Ticker]]&amp;Table133456[[#This Row],[Expiry]]&amp;""&amp;"P"&amp;Table133456[[#This Row],[Strike]]))</f>
        <v>0</v>
      </c>
      <c r="S1222" s="17"/>
      <c r="T122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2">
        <f>48.5* IF($M$1="NDX", 10, IF(OR($M$1="SPX", $M$1="RUT"), 2, 1))</f>
        <v>97</v>
      </c>
      <c r="Z1222">
        <f ca="1">IFERROR(Table133456[[#This Row],[call gamma]]*(Table133456[[#This Row],[Open.Int]])*$A$4^2,0)</f>
        <v>0</v>
      </c>
      <c r="AA1222">
        <f ca="1">IFERROR(((Table133456[[#This Row],[Open.Int8]])*Table133456[[#This Row],[Put gamma]])*-1*$A$4^2,0)</f>
        <v>0</v>
      </c>
      <c r="AB1222">
        <f ca="1">(Table133456[[#This Row],[Call Gex]]+Table133456[[#This Row],[Put Gex]])</f>
        <v>0</v>
      </c>
      <c r="AC1222">
        <f ca="1">Table133456[[#This Row],[put delta adj]]+Table133456[[#This Row],[call delta adj]]</f>
        <v>0</v>
      </c>
      <c r="AD1222">
        <f ca="1">Table133456[[#This Row],[Put Gex]]*Table133456[[#This Row],[DeltaP]]*-1</f>
        <v>0</v>
      </c>
      <c r="AE1222">
        <f ca="1">Table133456[[#This Row],[Call Gex]]*Table133456[[#This Row],[DeltaC]]</f>
        <v>0</v>
      </c>
      <c r="AF1222">
        <f>IF(Table133456[[#This Row],[DeltaC]]-ABS(Table133456[[#This Row],[DeltaP]])="0","0.01",Table133456[[#This Row],[DeltaC]]-ABS(Table133456[[#This Row],[DeltaP]]))</f>
        <v>0</v>
      </c>
      <c r="AG122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2" t="e">
        <f ca="1">(EXP(-(AG1222^2)/2)/SQRT(2*PI())*EXP(0*SQRT(Table133456[[#This Row],[T]]))/$A$4*18%*SQRT(SQRT(Table133456[[#This Row],[T]])))</f>
        <v>#DIV/0!</v>
      </c>
      <c r="AJ1222" t="e">
        <f ca="1">(EXP(-(AH1222^2)/2)/SQRT(2*PI())*EXP(0*SQRT(Table133456[[#This Row],[T]]))/$A$4*18%*SQRT(SQRT(Table133456[[#This Row],[T]])))</f>
        <v>#DIV/0!</v>
      </c>
      <c r="AK1222" t="e">
        <f ca="1">Table133456[[#This Row],[Call D1]]-Table133456[[#This Row],[IV Calc C]]*SQRT(Table133456[[#This Row],[T]])</f>
        <v>#DIV/0!</v>
      </c>
      <c r="AL1222" t="e">
        <f ca="1">Table133456[[#This Row],[Put D1]]-Table133456[[#This Row],[IV Calc P]]*SQRT(Table133456[[#This Row],[T]])</f>
        <v>#DIV/0!</v>
      </c>
      <c r="AM1222" t="e">
        <f ca="1">EXP(-0.5*Table133456[[#This Row],[Call D1]]^2)/SQRT(2*PI())</f>
        <v>#DIV/0!</v>
      </c>
      <c r="AN1222" t="e">
        <f ca="1">EXP(-0.5*Table133456[[#This Row],[Put D1]]^2)/SQRT(2*PI())</f>
        <v>#DIV/0!</v>
      </c>
      <c r="AO122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2">
        <f ca="1">((Table133456[[#This Row],[call vanna]]+Table133456[[#This Row],[put vanna]])*$A$4)</f>
        <v>0</v>
      </c>
      <c r="AR122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2" s="9" t="str" cm="1">
        <f t="array" ref="AT1222">_xlfn.IFS(     $M$1="SPX","SPXW",     $M$1="RUT","RUTW",  $M$1="NDX","NDXP",   TRUE,$M$1 )</f>
        <v>SPXW</v>
      </c>
      <c r="AU1222" s="2">
        <f t="shared" si="122"/>
        <v>6915</v>
      </c>
      <c r="AV1222" t="str">
        <f t="shared" si="123"/>
        <v>000100</v>
      </c>
      <c r="AY122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2">
        <f>((Table133456[[#This Row],[High C]]+Table133456[[#This Row],[Low C]])/2)*Table133456[[#This Row],[gammac]]*Table133456[[#This Row],[Volume]]</f>
        <v>0</v>
      </c>
      <c r="BD1222">
        <f>((Table133456[[#This Row],[High P]]+Table133456[[#This Row],[Low P]])/2)*Table133456[[#This Row],[gammap]]*Table133456[[#This Row],[Volume9]]*-1</f>
        <v>0</v>
      </c>
      <c r="BE1222">
        <f>(Table133456[[#This Row],[SgammaC]]+Table133456[[#This Row],[SgammaP]])*$A$4*-100</f>
        <v>0</v>
      </c>
      <c r="BF1222">
        <f>Table133456[[#This Row],[DEXc]]+Table133456[[#This Row],[DEXp]]</f>
        <v>0</v>
      </c>
      <c r="BG1222">
        <f>IFERROR(Table133456[[#This Row],[DeltaC]]*Table133456[[#This Row],[Open.Int]]*$A$4,0)</f>
        <v>0</v>
      </c>
      <c r="BH1222">
        <f>IFERROR(Table133456[[#This Row],[DeltaP]]*Table133456[[#This Row],[Open.Int8]]*$A$4,0)</f>
        <v>0</v>
      </c>
      <c r="BI122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2">
        <f ca="1">Table133456[[#This Row],[charmc]]+Table133456[[#This Row],[charmp]]</f>
        <v>0</v>
      </c>
      <c r="BL1222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2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2" s="78">
        <f ca="1">Table133456[[#This Row],[call helper]]+Table133456[[#This Row],[put helper]]</f>
        <v>0</v>
      </c>
      <c r="BP1222" t="str">
        <f>RTD("tos.rtd", , "STRIKE", "."&amp;Table133456[[#This Row],[Ticker]]&amp;Table133456[[#This Row],[Expiry]]&amp;""&amp;"C"&amp;Table133456[[#This Row],[Spot]]+Table133456[[#This Row],[step]])</f>
        <v>N/A</v>
      </c>
    </row>
    <row r="1223" spans="1:69" x14ac:dyDescent="0.25">
      <c r="A1223" s="14">
        <f t="shared" ca="1" si="119"/>
        <v>-126.14810350076104</v>
      </c>
      <c r="C1223" s="17"/>
      <c r="D1223" t="str">
        <f>RTD("tos.rtd", , "OPEN_INT", "."&amp;Table133456[[#This Row],[Ticker]]&amp;Table133456[[#This Row],[Expiry]]&amp;""&amp;"C"&amp;Table133456[[#This Row],[Spot]]+Table133456[[#This Row],[step]])</f>
        <v>N/A</v>
      </c>
      <c r="E122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3" s="17" cm="1">
        <f t="array" aca="1" ref="H1223" ca="1">IndividualLegIVCore($A$4, Table133456[[#This Row],[Strike]], 0.0411, Table133456[[#This Row],[T]], ((Table133456[[#This Row],[BIDC]]+Table133456[[#This Row],[ASKC]])/2), TRUE)</f>
        <v>0.01</v>
      </c>
      <c r="I1223" t="b">
        <f>IF(     ISNUMBER(Table133456[[#This Row],[Strike]]),RTD("tos.rtd", , "BID", "."&amp;Table133456[[#This Row],[Ticker]]&amp;Table133456[[#This Row],[Expiry]]&amp;""&amp;"C"&amp;Table133456[[#This Row],[Strike]]))</f>
        <v>0</v>
      </c>
      <c r="J1223" t="b">
        <f>IF(     ISNUMBER(Table133456[[#This Row],[Strike]]),RTD("tos.rtd", , "ASK", "."&amp;Table133456[[#This Row],[Ticker]]&amp;Table133456[[#This Row],[Expiry]]&amp;""&amp;"C"&amp;Table133456[[#This Row],[Strike]]))</f>
        <v>0</v>
      </c>
      <c r="K1223" s="17"/>
      <c r="M1223" s="1">
        <f t="shared" si="120"/>
        <v>0</v>
      </c>
      <c r="N1223" t="b">
        <f t="shared" si="121"/>
        <v>0</v>
      </c>
      <c r="P1223" s="17" cm="1">
        <f t="array" aca="1" ref="P1223" ca="1">IndividualLegIVCore($A$4, Table133456[[#This Row],[Strike]], 0.0411, Table133456[[#This Row],[T]], ((Table133456[[#This Row],[BIDP]]+Table133456[[#This Row],[ASKP]])/2), FALSE)</f>
        <v>0.01</v>
      </c>
      <c r="Q1223" t="b">
        <f>IF(     ISNUMBER(Table133456[[#This Row],[Strike]]),RTD("tos.rtd", , "BID", "."&amp;Table133456[[#This Row],[Ticker]]&amp;Table133456[[#This Row],[Expiry]]&amp;""&amp;"P"&amp;Table133456[[#This Row],[Strike]]))</f>
        <v>0</v>
      </c>
      <c r="R1223" t="b">
        <f>IF(     ISNUMBER(Table133456[[#This Row],[Strike]]),RTD("tos.rtd", , "ASK", "."&amp;Table133456[[#This Row],[Ticker]]&amp;Table133456[[#This Row],[Expiry]]&amp;""&amp;"P"&amp;Table133456[[#This Row],[Strike]]))</f>
        <v>0</v>
      </c>
      <c r="S1223" s="17"/>
      <c r="T122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3">
        <f>49* IF($M$1="NDX", 10, IF(OR($M$1="SPX", $M$1="RUT"), 2, 1))</f>
        <v>98</v>
      </c>
      <c r="Z1223">
        <f ca="1">IFERROR(Table133456[[#This Row],[call gamma]]*(Table133456[[#This Row],[Open.Int]])*$A$4^2,0)</f>
        <v>0</v>
      </c>
      <c r="AA1223">
        <f ca="1">IFERROR(((Table133456[[#This Row],[Open.Int8]])*Table133456[[#This Row],[Put gamma]])*-1*$A$4^2,0)</f>
        <v>0</v>
      </c>
      <c r="AB1223">
        <f ca="1">(Table133456[[#This Row],[Call Gex]]+Table133456[[#This Row],[Put Gex]])</f>
        <v>0</v>
      </c>
      <c r="AC1223">
        <f ca="1">Table133456[[#This Row],[put delta adj]]+Table133456[[#This Row],[call delta adj]]</f>
        <v>0</v>
      </c>
      <c r="AD1223">
        <f ca="1">Table133456[[#This Row],[Put Gex]]*Table133456[[#This Row],[DeltaP]]*-1</f>
        <v>0</v>
      </c>
      <c r="AE1223">
        <f ca="1">Table133456[[#This Row],[Call Gex]]*Table133456[[#This Row],[DeltaC]]</f>
        <v>0</v>
      </c>
      <c r="AF1223">
        <f>IF(Table133456[[#This Row],[DeltaC]]-ABS(Table133456[[#This Row],[DeltaP]])="0","0.01",Table133456[[#This Row],[DeltaC]]-ABS(Table133456[[#This Row],[DeltaP]]))</f>
        <v>0</v>
      </c>
      <c r="AG122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3" t="e">
        <f ca="1">(EXP(-(AG1223^2)/2)/SQRT(2*PI())*EXP(0*SQRT(Table133456[[#This Row],[T]]))/$A$4*18%*SQRT(SQRT(Table133456[[#This Row],[T]])))</f>
        <v>#DIV/0!</v>
      </c>
      <c r="AJ1223" t="e">
        <f ca="1">(EXP(-(AH1223^2)/2)/SQRT(2*PI())*EXP(0*SQRT(Table133456[[#This Row],[T]]))/$A$4*18%*SQRT(SQRT(Table133456[[#This Row],[T]])))</f>
        <v>#DIV/0!</v>
      </c>
      <c r="AK1223" t="e">
        <f ca="1">Table133456[[#This Row],[Call D1]]-Table133456[[#This Row],[IV Calc C]]*SQRT(Table133456[[#This Row],[T]])</f>
        <v>#DIV/0!</v>
      </c>
      <c r="AL1223" t="e">
        <f ca="1">Table133456[[#This Row],[Put D1]]-Table133456[[#This Row],[IV Calc P]]*SQRT(Table133456[[#This Row],[T]])</f>
        <v>#DIV/0!</v>
      </c>
      <c r="AM1223" t="e">
        <f ca="1">EXP(-0.5*Table133456[[#This Row],[Call D1]]^2)/SQRT(2*PI())</f>
        <v>#DIV/0!</v>
      </c>
      <c r="AN1223" t="e">
        <f ca="1">EXP(-0.5*Table133456[[#This Row],[Put D1]]^2)/SQRT(2*PI())</f>
        <v>#DIV/0!</v>
      </c>
      <c r="AO122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3">
        <f ca="1">((Table133456[[#This Row],[call vanna]]+Table133456[[#This Row],[put vanna]])*$A$4)</f>
        <v>0</v>
      </c>
      <c r="AR122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3" s="9" t="str" cm="1">
        <f t="array" ref="AT1223">_xlfn.IFS(     $M$1="SPX","SPXW",     $M$1="RUT","RUTW",  $M$1="NDX","NDXP",   TRUE,$M$1 )</f>
        <v>SPXW</v>
      </c>
      <c r="AU1223" s="2">
        <f t="shared" si="122"/>
        <v>6915</v>
      </c>
      <c r="AV1223" t="str">
        <f t="shared" si="123"/>
        <v>000100</v>
      </c>
      <c r="AY122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3">
        <f>((Table133456[[#This Row],[High C]]+Table133456[[#This Row],[Low C]])/2)*Table133456[[#This Row],[gammac]]*Table133456[[#This Row],[Volume]]</f>
        <v>0</v>
      </c>
      <c r="BD1223">
        <f>((Table133456[[#This Row],[High P]]+Table133456[[#This Row],[Low P]])/2)*Table133456[[#This Row],[gammap]]*Table133456[[#This Row],[Volume9]]*-1</f>
        <v>0</v>
      </c>
      <c r="BE1223">
        <f>(Table133456[[#This Row],[SgammaC]]+Table133456[[#This Row],[SgammaP]])*$A$4*-100</f>
        <v>0</v>
      </c>
      <c r="BF1223">
        <f>Table133456[[#This Row],[DEXc]]+Table133456[[#This Row],[DEXp]]</f>
        <v>0</v>
      </c>
      <c r="BG1223">
        <f>IFERROR(Table133456[[#This Row],[DeltaC]]*Table133456[[#This Row],[Open.Int]]*$A$4,0)</f>
        <v>0</v>
      </c>
      <c r="BH1223">
        <f>IFERROR(Table133456[[#This Row],[DeltaP]]*Table133456[[#This Row],[Open.Int8]]*$A$4,0)</f>
        <v>0</v>
      </c>
      <c r="BI122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3">
        <f ca="1">Table133456[[#This Row],[charmc]]+Table133456[[#This Row],[charmp]]</f>
        <v>0</v>
      </c>
      <c r="BL1223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3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3" s="78">
        <f ca="1">Table133456[[#This Row],[call helper]]+Table133456[[#This Row],[put helper]]</f>
        <v>0</v>
      </c>
      <c r="BP1223" t="str">
        <f>RTD("tos.rtd", , "STRIKE", "."&amp;Table133456[[#This Row],[Ticker]]&amp;Table133456[[#This Row],[Expiry]]&amp;""&amp;"C"&amp;Table133456[[#This Row],[Spot]]+Table133456[[#This Row],[step]])</f>
        <v>N/A</v>
      </c>
    </row>
    <row r="1224" spans="1:69" x14ac:dyDescent="0.25">
      <c r="A1224" s="14">
        <f t="shared" ca="1" si="119"/>
        <v>-126.14810350076104</v>
      </c>
      <c r="C1224" s="17"/>
      <c r="D1224" t="str">
        <f>RTD("tos.rtd", , "OPEN_INT", "."&amp;Table133456[[#This Row],[Ticker]]&amp;Table133456[[#This Row],[Expiry]]&amp;""&amp;"C"&amp;Table133456[[#This Row],[Spot]]+Table133456[[#This Row],[step]])</f>
        <v>N/A</v>
      </c>
      <c r="E122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4" s="17" cm="1">
        <f t="array" aca="1" ref="H1224" ca="1">IndividualLegIVCore($A$4, Table133456[[#This Row],[Strike]], 0.0411, Table133456[[#This Row],[T]], ((Table133456[[#This Row],[BIDC]]+Table133456[[#This Row],[ASKC]])/2), TRUE)</f>
        <v>0.01</v>
      </c>
      <c r="I1224" t="b">
        <f>IF(     ISNUMBER(Table133456[[#This Row],[Strike]]),RTD("tos.rtd", , "BID", "."&amp;Table133456[[#This Row],[Ticker]]&amp;Table133456[[#This Row],[Expiry]]&amp;""&amp;"C"&amp;Table133456[[#This Row],[Strike]]))</f>
        <v>0</v>
      </c>
      <c r="J1224" t="b">
        <f>IF(     ISNUMBER(Table133456[[#This Row],[Strike]]),RTD("tos.rtd", , "ASK", "."&amp;Table133456[[#This Row],[Ticker]]&amp;Table133456[[#This Row],[Expiry]]&amp;""&amp;"C"&amp;Table133456[[#This Row],[Strike]]))</f>
        <v>0</v>
      </c>
      <c r="K1224" s="17"/>
      <c r="M1224" s="1">
        <f t="shared" si="120"/>
        <v>0</v>
      </c>
      <c r="N1224" t="b">
        <f t="shared" si="121"/>
        <v>0</v>
      </c>
      <c r="P1224" s="17" cm="1">
        <f t="array" aca="1" ref="P1224" ca="1">IndividualLegIVCore($A$4, Table133456[[#This Row],[Strike]], 0.0411, Table133456[[#This Row],[T]], ((Table133456[[#This Row],[BIDP]]+Table133456[[#This Row],[ASKP]])/2), FALSE)</f>
        <v>0.01</v>
      </c>
      <c r="Q1224" t="b">
        <f>IF(     ISNUMBER(Table133456[[#This Row],[Strike]]),RTD("tos.rtd", , "BID", "."&amp;Table133456[[#This Row],[Ticker]]&amp;Table133456[[#This Row],[Expiry]]&amp;""&amp;"P"&amp;Table133456[[#This Row],[Strike]]))</f>
        <v>0</v>
      </c>
      <c r="R1224" t="b">
        <f>IF(     ISNUMBER(Table133456[[#This Row],[Strike]]),RTD("tos.rtd", , "ASK", "."&amp;Table133456[[#This Row],[Ticker]]&amp;Table133456[[#This Row],[Expiry]]&amp;""&amp;"P"&amp;Table133456[[#This Row],[Strike]]))</f>
        <v>0</v>
      </c>
      <c r="S1224" s="17"/>
      <c r="T122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4">
        <f>49.5* IF($M$1="NDX", 10, IF(OR($M$1="SPX", $M$1="RUT"), 2, 1))</f>
        <v>99</v>
      </c>
      <c r="Z1224">
        <f ca="1">IFERROR(Table133456[[#This Row],[call gamma]]*(Table133456[[#This Row],[Open.Int]])*$A$4^2,0)</f>
        <v>0</v>
      </c>
      <c r="AA1224">
        <f ca="1">IFERROR(((Table133456[[#This Row],[Open.Int8]])*Table133456[[#This Row],[Put gamma]])*-1*$A$4^2,0)</f>
        <v>0</v>
      </c>
      <c r="AB1224">
        <f ca="1">(Table133456[[#This Row],[Call Gex]]+Table133456[[#This Row],[Put Gex]])</f>
        <v>0</v>
      </c>
      <c r="AC1224">
        <f ca="1">Table133456[[#This Row],[put delta adj]]+Table133456[[#This Row],[call delta adj]]</f>
        <v>0</v>
      </c>
      <c r="AD1224">
        <f ca="1">Table133456[[#This Row],[Put Gex]]*Table133456[[#This Row],[DeltaP]]*-1</f>
        <v>0</v>
      </c>
      <c r="AE1224">
        <f ca="1">Table133456[[#This Row],[Call Gex]]*Table133456[[#This Row],[DeltaC]]</f>
        <v>0</v>
      </c>
      <c r="AF1224">
        <f>IF(Table133456[[#This Row],[DeltaC]]-ABS(Table133456[[#This Row],[DeltaP]])="0","0.01",Table133456[[#This Row],[DeltaC]]-ABS(Table133456[[#This Row],[DeltaP]]))</f>
        <v>0</v>
      </c>
      <c r="AG122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4" t="e">
        <f ca="1">(EXP(-(AG1224^2)/2)/SQRT(2*PI())*EXP(0*SQRT(Table133456[[#This Row],[T]]))/$A$4*18%*SQRT(SQRT(Table133456[[#This Row],[T]])))</f>
        <v>#DIV/0!</v>
      </c>
      <c r="AJ1224" t="e">
        <f ca="1">(EXP(-(AH1224^2)/2)/SQRT(2*PI())*EXP(0*SQRT(Table133456[[#This Row],[T]]))/$A$4*18%*SQRT(SQRT(Table133456[[#This Row],[T]])))</f>
        <v>#DIV/0!</v>
      </c>
      <c r="AK1224" t="e">
        <f ca="1">Table133456[[#This Row],[Call D1]]-Table133456[[#This Row],[IV Calc C]]*SQRT(Table133456[[#This Row],[T]])</f>
        <v>#DIV/0!</v>
      </c>
      <c r="AL1224" t="e">
        <f ca="1">Table133456[[#This Row],[Put D1]]-Table133456[[#This Row],[IV Calc P]]*SQRT(Table133456[[#This Row],[T]])</f>
        <v>#DIV/0!</v>
      </c>
      <c r="AM1224" t="e">
        <f ca="1">EXP(-0.5*Table133456[[#This Row],[Call D1]]^2)/SQRT(2*PI())</f>
        <v>#DIV/0!</v>
      </c>
      <c r="AN1224" t="e">
        <f ca="1">EXP(-0.5*Table133456[[#This Row],[Put D1]]^2)/SQRT(2*PI())</f>
        <v>#DIV/0!</v>
      </c>
      <c r="AO122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4">
        <f ca="1">((Table133456[[#This Row],[call vanna]]+Table133456[[#This Row],[put vanna]])*$A$4)</f>
        <v>0</v>
      </c>
      <c r="AR122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4" s="9" t="str" cm="1">
        <f t="array" ref="AT1224">_xlfn.IFS(     $M$1="SPX","SPXW",     $M$1="RUT","RUTW",  $M$1="NDX","NDXP",   TRUE,$M$1 )</f>
        <v>SPXW</v>
      </c>
      <c r="AU1224" s="2">
        <f t="shared" si="122"/>
        <v>6915</v>
      </c>
      <c r="AV1224" t="str">
        <f t="shared" si="123"/>
        <v>000100</v>
      </c>
      <c r="AY122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4">
        <f>((Table133456[[#This Row],[High C]]+Table133456[[#This Row],[Low C]])/2)*Table133456[[#This Row],[gammac]]*Table133456[[#This Row],[Volume]]</f>
        <v>0</v>
      </c>
      <c r="BD1224">
        <f>((Table133456[[#This Row],[High P]]+Table133456[[#This Row],[Low P]])/2)*Table133456[[#This Row],[gammap]]*Table133456[[#This Row],[Volume9]]*-1</f>
        <v>0</v>
      </c>
      <c r="BE1224">
        <f>(Table133456[[#This Row],[SgammaC]]+Table133456[[#This Row],[SgammaP]])*$A$4*-100</f>
        <v>0</v>
      </c>
      <c r="BF1224">
        <f>Table133456[[#This Row],[DEXc]]+Table133456[[#This Row],[DEXp]]</f>
        <v>0</v>
      </c>
      <c r="BG1224">
        <f>IFERROR(Table133456[[#This Row],[DeltaC]]*Table133456[[#This Row],[Open.Int]]*$A$4,0)</f>
        <v>0</v>
      </c>
      <c r="BH1224">
        <f>IFERROR(Table133456[[#This Row],[DeltaP]]*Table133456[[#This Row],[Open.Int8]]*$A$4,0)</f>
        <v>0</v>
      </c>
      <c r="BI122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4">
        <f ca="1">Table133456[[#This Row],[charmc]]+Table133456[[#This Row],[charmp]]</f>
        <v>0</v>
      </c>
      <c r="BL1224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4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4" s="78">
        <f ca="1">Table133456[[#This Row],[call helper]]+Table133456[[#This Row],[put helper]]</f>
        <v>0</v>
      </c>
      <c r="BP1224" t="str">
        <f>RTD("tos.rtd", , "STRIKE", "."&amp;Table133456[[#This Row],[Ticker]]&amp;Table133456[[#This Row],[Expiry]]&amp;""&amp;"C"&amp;Table133456[[#This Row],[Spot]]+Table133456[[#This Row],[step]])</f>
        <v>N/A</v>
      </c>
    </row>
    <row r="1225" spans="1:69" x14ac:dyDescent="0.25">
      <c r="A1225" s="14">
        <f t="shared" ca="1" si="119"/>
        <v>-126.14810350076104</v>
      </c>
      <c r="C1225" s="17"/>
      <c r="D1225" t="str">
        <f>RTD("tos.rtd", , "OPEN_INT", "."&amp;Table133456[[#This Row],[Ticker]]&amp;Table133456[[#This Row],[Expiry]]&amp;""&amp;"C"&amp;Table133456[[#This Row],[Spot]]+Table133456[[#This Row],[step]])</f>
        <v>N/A</v>
      </c>
      <c r="E12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5" s="17" cm="1">
        <f t="array" aca="1" ref="H1225" ca="1">IFERROR(
  IndividualLegIVCore(
    $A$4,
    Table133456[[#This Row],[Strike]],
    0.0411,
    Table133456[[#This Row],[T]],
    0,
    TRUE,
    0,
    0.001,
    5,
    0.0001,
    40,
    0,
    0.2,
    Table133456[[#This Row],[BIDC]],
    Table133456[[#This Row],[ASKC]],
    Table133456[[#This Row],[Volume]]
  ),
  NA()
)</f>
        <v>0.2</v>
      </c>
      <c r="I1225" t="b">
        <f>IF(     ISNUMBER(Table133456[[#This Row],[Strike]]),RTD("tos.rtd", , "BID", "."&amp;Table133456[[#This Row],[Ticker]]&amp;Table133456[[#This Row],[Expiry]]&amp;""&amp;"C"&amp;Table133456[[#This Row],[Strike]]))</f>
        <v>0</v>
      </c>
      <c r="J1225" t="b">
        <f>IF(     ISNUMBER(Table133456[[#This Row],[Strike]]),RTD("tos.rtd", , "ASK", "."&amp;Table133456[[#This Row],[Ticker]]&amp;Table133456[[#This Row],[Expiry]]&amp;""&amp;"C"&amp;Table133456[[#This Row],[Strike]]))</f>
        <v>0</v>
      </c>
      <c r="K1225" s="17"/>
      <c r="M1225" s="1">
        <f t="shared" si="120"/>
        <v>0</v>
      </c>
      <c r="N1225" t="b">
        <f t="shared" si="121"/>
        <v>0</v>
      </c>
      <c r="P1225" s="17" cm="1">
        <f t="array" aca="1" ref="P1225" ca="1">IFERROR(
  IndividualLegIVCore(
    $A$4,
    Table133456[[#This Row],[Strike]],
    0.0411,
    Table133456[[#This Row],[T]],
    0,
    FALSE,
    0,
    0.001,
    5,
    0.0001,
    40,
    0,
    0,
    Table133456[[#This Row],[BIDP]],
    Table133456[[#This Row],[ASKP]],
    Table133456[[#This Row],[Volume9]]
  ),
  NA()
)</f>
        <v>0.01</v>
      </c>
      <c r="Q1225" t="b">
        <f>IF(     ISNUMBER(Table133456[[#This Row],[Strike]]),RTD("tos.rtd", , "BID", "."&amp;Table133456[[#This Row],[Ticker]]&amp;Table133456[[#This Row],[Expiry]]&amp;""&amp;"P"&amp;Table133456[[#This Row],[Strike]]))</f>
        <v>0</v>
      </c>
      <c r="R1225" t="b">
        <f>IF(     ISNUMBER(Table133456[[#This Row],[Strike]]),RTD("tos.rtd", , "ASK", "."&amp;Table133456[[#This Row],[Ticker]]&amp;Table133456[[#This Row],[Expiry]]&amp;""&amp;"P"&amp;Table133456[[#This Row],[Strike]]))</f>
        <v>0</v>
      </c>
      <c r="S1225" s="17"/>
      <c r="T12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5">
        <f>50* IF($M$1="NDX", 10, IF(OR($M$1="SPX", $M$1="RUT"), 2, 1))</f>
        <v>100</v>
      </c>
      <c r="Z1225">
        <f ca="1">IFERROR(Table133456[[#This Row],[call gamma]]*(Table133456[[#This Row],[Open.Int]])*$A$4^2,0)</f>
        <v>0</v>
      </c>
      <c r="AA1225">
        <f ca="1">IFERROR(((Table133456[[#This Row],[Open.Int8]])*Table133456[[#This Row],[Put gamma]])*-1*$A$4^2,0)</f>
        <v>0</v>
      </c>
      <c r="AB1225">
        <f ca="1">(Table133456[[#This Row],[Call Gex]]+Table133456[[#This Row],[Put Gex]])</f>
        <v>0</v>
      </c>
      <c r="AC1225">
        <f ca="1">Table133456[[#This Row],[put delta adj]]+Table133456[[#This Row],[call delta adj]]</f>
        <v>0</v>
      </c>
      <c r="AD1225">
        <f ca="1">Table133456[[#This Row],[Put Gex]]*Table133456[[#This Row],[DeltaP]]*-1</f>
        <v>0</v>
      </c>
      <c r="AE1225">
        <f ca="1">Table133456[[#This Row],[Call Gex]]*Table133456[[#This Row],[DeltaC]]</f>
        <v>0</v>
      </c>
      <c r="AF1225">
        <f>IF(Table133456[[#This Row],[DeltaC]]-ABS(Table133456[[#This Row],[DeltaP]])="0","0.01",Table133456[[#This Row],[DeltaC]]-ABS(Table133456[[#This Row],[DeltaP]]))</f>
        <v>0</v>
      </c>
      <c r="AG12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5" t="e">
        <f ca="1">(EXP(-(AG1225^2)/2)/SQRT(2*PI())*EXP(0*SQRT(Table133456[[#This Row],[T]]))/$A$4*18%*SQRT(SQRT(Table133456[[#This Row],[T]])))</f>
        <v>#DIV/0!</v>
      </c>
      <c r="AJ1225" t="e">
        <f ca="1">(EXP(-(AH1225^2)/2)/SQRT(2*PI())*EXP(0*SQRT(Table133456[[#This Row],[T]]))/$A$4*18%*SQRT(SQRT(Table133456[[#This Row],[T]])))</f>
        <v>#DIV/0!</v>
      </c>
      <c r="AK1225" t="e">
        <f ca="1">Table133456[[#This Row],[Call D1]]-Table133456[[#This Row],[IV Calc C]]*SQRT(Table133456[[#This Row],[T]])</f>
        <v>#DIV/0!</v>
      </c>
      <c r="AL1225" t="e">
        <f ca="1">Table133456[[#This Row],[Put D1]]-Table133456[[#This Row],[IV Calc P]]*SQRT(Table133456[[#This Row],[T]])</f>
        <v>#DIV/0!</v>
      </c>
      <c r="AM1225" t="e">
        <f ca="1">EXP(-0.5*Table133456[[#This Row],[Call D1]]^2)/SQRT(2*PI())</f>
        <v>#DIV/0!</v>
      </c>
      <c r="AN1225" t="e">
        <f ca="1">EXP(-0.5*Table133456[[#This Row],[Put D1]]^2)/SQRT(2*PI())</f>
        <v>#DIV/0!</v>
      </c>
      <c r="AO12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5">
        <f ca="1">((Table133456[[#This Row],[call vanna]]+Table133456[[#This Row],[put vanna]])*$A$4)</f>
        <v>0</v>
      </c>
      <c r="AR12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5" s="9" t="str" cm="1">
        <f t="array" ref="AT1225">_xlfn.IFS(     $M$1="SPX","SPXW",     $M$1="RUT","RUTW",  $M$1="NDX","NDXP",   TRUE,$M$1 )</f>
        <v>SPXW</v>
      </c>
      <c r="AU1225" s="2">
        <f t="shared" si="122"/>
        <v>6915</v>
      </c>
      <c r="AV1225" t="str">
        <f t="shared" si="123"/>
        <v>000100</v>
      </c>
      <c r="AY12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5">
        <f>((Table133456[[#This Row],[High C]]+Table133456[[#This Row],[Low C]])/2)*Table133456[[#This Row],[gammac]]*Table133456[[#This Row],[Volume]]</f>
        <v>0</v>
      </c>
      <c r="BD1225">
        <f>((Table133456[[#This Row],[High P]]+Table133456[[#This Row],[Low P]])/2)*Table133456[[#This Row],[gammap]]*Table133456[[#This Row],[Volume9]]*-1</f>
        <v>0</v>
      </c>
      <c r="BE1225">
        <f>(Table133456[[#This Row],[SgammaC]]+Table133456[[#This Row],[SgammaP]])*$A$4*-100</f>
        <v>0</v>
      </c>
      <c r="BF1225">
        <f>Table133456[[#This Row],[DEXc]]+Table133456[[#This Row],[DEXp]]</f>
        <v>0</v>
      </c>
      <c r="BG1225">
        <f>IFERROR(Table133456[[#This Row],[DeltaC]]*Table133456[[#This Row],[Open.Int]]*$A$4,0)</f>
        <v>0</v>
      </c>
      <c r="BH1225">
        <f>IFERROR(Table133456[[#This Row],[DeltaP]]*Table133456[[#This Row],[Open.Int8]]*$A$4,0)</f>
        <v>0</v>
      </c>
      <c r="BI122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5">
        <f ca="1">Table133456[[#This Row],[charmc]]+Table133456[[#This Row],[charmp]]</f>
        <v>0</v>
      </c>
      <c r="BL1225" s="78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5" s="78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5" s="78">
        <f ca="1">Table133456[[#This Row],[call helper]]+Table133456[[#This Row],[put helper]]</f>
        <v>0</v>
      </c>
      <c r="BP1225" t="str">
        <f>RTD("tos.rtd", , "STRIKE", "."&amp;Table133456[[#This Row],[Ticker]]&amp;Table133456[[#This Row],[Expiry]]&amp;""&amp;"C"&amp;Table133456[[#This Row],[Spot]]+Table133456[[#This Row],[step]])</f>
        <v>N/A</v>
      </c>
    </row>
    <row r="1227" spans="1:69" ht="30" x14ac:dyDescent="0.25">
      <c r="A1227" t="s">
        <v>53</v>
      </c>
      <c r="B1227" t="s">
        <v>12</v>
      </c>
      <c r="C1227" t="s">
        <v>26</v>
      </c>
      <c r="D1227" t="s">
        <v>2</v>
      </c>
      <c r="E1227" t="s">
        <v>1</v>
      </c>
      <c r="F1227" t="s">
        <v>29</v>
      </c>
      <c r="G1227" t="s">
        <v>36</v>
      </c>
      <c r="H1227" t="s">
        <v>43</v>
      </c>
      <c r="I1227" t="s">
        <v>34</v>
      </c>
      <c r="J1227" t="s">
        <v>33</v>
      </c>
      <c r="K1227" t="s">
        <v>47</v>
      </c>
      <c r="L1227" s="17" t="s">
        <v>44</v>
      </c>
      <c r="M1227" t="s">
        <v>3</v>
      </c>
      <c r="N1227" t="s">
        <v>4</v>
      </c>
      <c r="O1227" t="s">
        <v>27</v>
      </c>
      <c r="P1227" t="s">
        <v>42</v>
      </c>
      <c r="Q1227" t="s">
        <v>35</v>
      </c>
      <c r="R1227" t="s">
        <v>32</v>
      </c>
      <c r="S1227" t="s">
        <v>11</v>
      </c>
      <c r="T1227" t="s">
        <v>13</v>
      </c>
      <c r="U1227" t="s">
        <v>14</v>
      </c>
      <c r="V1227" t="s">
        <v>30</v>
      </c>
      <c r="W1227" t="s">
        <v>39</v>
      </c>
      <c r="X1227" t="s">
        <v>31</v>
      </c>
      <c r="Y1227" t="s">
        <v>10</v>
      </c>
      <c r="Z1227" t="s">
        <v>5</v>
      </c>
      <c r="AA1227" t="s">
        <v>6</v>
      </c>
      <c r="AB1227" t="s">
        <v>7</v>
      </c>
      <c r="AC1227" t="s">
        <v>40</v>
      </c>
      <c r="AD1227" t="s">
        <v>37</v>
      </c>
      <c r="AE1227" t="s">
        <v>38</v>
      </c>
      <c r="AF1227" t="s">
        <v>8</v>
      </c>
      <c r="AG1227" t="s">
        <v>15</v>
      </c>
      <c r="AH1227" t="s">
        <v>16</v>
      </c>
      <c r="AI1227" t="s">
        <v>17</v>
      </c>
      <c r="AJ1227" t="s">
        <v>18</v>
      </c>
      <c r="AK1227" t="s">
        <v>19</v>
      </c>
      <c r="AL1227" t="s">
        <v>20</v>
      </c>
      <c r="AM1227" t="s">
        <v>21</v>
      </c>
      <c r="AN1227" t="s">
        <v>22</v>
      </c>
      <c r="AO1227" t="s">
        <v>23</v>
      </c>
      <c r="AP1227" t="s">
        <v>24</v>
      </c>
      <c r="AQ1227" t="s">
        <v>25</v>
      </c>
      <c r="AR1227" t="s">
        <v>45</v>
      </c>
      <c r="AS1227" t="s">
        <v>46</v>
      </c>
      <c r="AT1227" t="s">
        <v>54</v>
      </c>
      <c r="AU1227" t="s">
        <v>55</v>
      </c>
      <c r="AV1227" t="s">
        <v>56</v>
      </c>
      <c r="AW1227" t="s">
        <v>60</v>
      </c>
      <c r="AX1227" t="s">
        <v>61</v>
      </c>
      <c r="AY1227" s="61" t="s">
        <v>48</v>
      </c>
      <c r="AZ1227" s="61" t="s">
        <v>49</v>
      </c>
      <c r="BA1227" s="61" t="s">
        <v>50</v>
      </c>
      <c r="BB1227" s="61" t="s">
        <v>51</v>
      </c>
      <c r="BC1227" s="61" t="s">
        <v>52</v>
      </c>
      <c r="BD1227" s="61" t="s">
        <v>59</v>
      </c>
      <c r="BE1227" s="61" t="s">
        <v>62</v>
      </c>
      <c r="BF1227" s="61" t="s">
        <v>28</v>
      </c>
      <c r="BG1227" s="61" t="s">
        <v>68</v>
      </c>
      <c r="BH1227" s="61" t="s">
        <v>69</v>
      </c>
      <c r="BI1227" s="61" t="s">
        <v>70</v>
      </c>
      <c r="BJ1227" s="61" t="s">
        <v>71</v>
      </c>
      <c r="BK1227" s="61" t="s">
        <v>72</v>
      </c>
      <c r="BL1227" s="89" t="s">
        <v>78</v>
      </c>
      <c r="BM1227" s="89" t="s">
        <v>79</v>
      </c>
      <c r="BN1227" s="17" t="s">
        <v>84</v>
      </c>
    </row>
    <row r="1228" spans="1:69" x14ac:dyDescent="0.25">
      <c r="A1228" s="14">
        <f t="shared" ref="A1228:A1291" ca="1" si="124">$U$3</f>
        <v>-126.14810350076104</v>
      </c>
      <c r="C1228" s="17"/>
      <c r="D1228" t="str">
        <f>RTD("tos.rtd", , "OPEN_INT", "."&amp;Table1334567[[#This Row],[Ticker]]&amp;Table1334567[[#This Row],[Expiry]]&amp;""&amp;"C"&amp;Table1334567[[#This Row],[Spot]]+Table1334567[[#This Row],[step]])</f>
        <v>N/A</v>
      </c>
      <c r="E12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28" s="17" cm="1">
        <f t="array" aca="1" ref="H1228" ca="1">IndividualLegIVCore($A$4, Table1334567[[#This Row],[Strike]], 0.0411, Table1334567[[#This Row],[T]], ((Table1334567[[#This Row],[BIDC]]+Table1334567[[#This Row],[ASKC]])/2), TRUE)</f>
        <v>0.01</v>
      </c>
      <c r="I12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28" s="17"/>
      <c r="M1228" s="1">
        <f t="shared" ref="M1228:M1291" si="125">$U$1</f>
        <v>0</v>
      </c>
      <c r="N1228" t="b">
        <f t="shared" ref="N1228:N1291" si="126">IF(ISNUMBER($BP1228), $BP1228, FALSE)</f>
        <v>0</v>
      </c>
      <c r="P1228" s="17" cm="1">
        <f t="array" aca="1" ref="P1228" ca="1">IndividualLegIVCore($A$4, Table1334567[[#This Row],[Strike]], 0.0411, Table1334567[[#This Row],[T]], ((Table1334567[[#This Row],[BIDP]]+Table1334567[[#This Row],[ASKP]])/2), FALSE)</f>
        <v>0.01</v>
      </c>
      <c r="Q12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28" s="17"/>
      <c r="T12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28" s="19">
        <f>-50* IF($M$1="NDX", 10, IF(OR($M$1="SPX", $M$1="RUT"), 2, 1))</f>
        <v>-100</v>
      </c>
      <c r="Z1228">
        <f ca="1">IFERROR(Table1334567[[#This Row],[call gamma]]*(Table1334567[[#This Row],[Open.Int]])*$A$4^2,0)</f>
        <v>0</v>
      </c>
      <c r="AA1228">
        <f ca="1">IFERROR(((Table1334567[[#This Row],[Open.Int8]])*Table1334567[[#This Row],[Put gamma]])*-1*$A$4^2,0)</f>
        <v>0</v>
      </c>
      <c r="AB1228">
        <f ca="1">(Table1334567[[#This Row],[Call Gex]]+Table1334567[[#This Row],[Put Gex]])</f>
        <v>0</v>
      </c>
      <c r="AC1228">
        <f ca="1">Table1334567[[#This Row],[put delta adj]]+Table1334567[[#This Row],[call delta adj]]</f>
        <v>0</v>
      </c>
      <c r="AD1228">
        <f ca="1">Table1334567[[#This Row],[Put Gex]]*Table1334567[[#This Row],[DeltaP]]*-1</f>
        <v>0</v>
      </c>
      <c r="AE1228">
        <f ca="1">Table1334567[[#This Row],[Call Gex]]*Table1334567[[#This Row],[DeltaC]]</f>
        <v>0</v>
      </c>
      <c r="AF1228">
        <f>IF(Table1334567[[#This Row],[DeltaC]]-ABS(Table1334567[[#This Row],[DeltaP]])="0","0.01",Table1334567[[#This Row],[DeltaC]]-ABS(Table1334567[[#This Row],[DeltaP]]))</f>
        <v>0</v>
      </c>
      <c r="AG12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28" t="e">
        <f ca="1">(EXP(-(AG1228^2)/2)/SQRT(2*PI())*EXP(0*SQRT(Table1334567[[#This Row],[T]]))/$A$4*18%*SQRT(SQRT(Table1334567[[#This Row],[T]])))</f>
        <v>#DIV/0!</v>
      </c>
      <c r="AJ1228" t="e">
        <f ca="1">(EXP(-(AH1228^2)/2)/SQRT(2*PI())*EXP(0*SQRT(Table1334567[[#This Row],[T]]))/$A$4*18%*SQRT(SQRT(Table1334567[[#This Row],[T]])))</f>
        <v>#DIV/0!</v>
      </c>
      <c r="AK1228" t="e">
        <f ca="1">Table1334567[[#This Row],[Call D1]]-Table1334567[[#This Row],[IV Calc C]]*SQRT(Table1334567[[#This Row],[T]])</f>
        <v>#DIV/0!</v>
      </c>
      <c r="AL1228" t="e">
        <f ca="1">Table1334567[[#This Row],[Put D1]]-Table1334567[[#This Row],[IV Calc P]]*SQRT(Table1334567[[#This Row],[T]])</f>
        <v>#DIV/0!</v>
      </c>
      <c r="AM1228" t="e">
        <f ca="1">EXP(-0.5*Table1334567[[#This Row],[Call D1]]^2)/SQRT(2*PI())</f>
        <v>#DIV/0!</v>
      </c>
      <c r="AN1228" t="e">
        <f ca="1">EXP(-0.5*Table1334567[[#This Row],[Put D1]]^2)/SQRT(2*PI())</f>
        <v>#DIV/0!</v>
      </c>
      <c r="AO12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28">
        <f ca="1">((Table1334567[[#This Row],[call vanna]]+Table1334567[[#This Row],[put vanna]])*$A$4)</f>
        <v>0</v>
      </c>
      <c r="AR12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28" s="9" t="str" cm="1">
        <f t="array" ref="AT1228">_xlfn.IFS(     $M$1="SPX","SPXW",     $M$1="RUT","RUTW",  $M$1="NDX","NDXP",   TRUE,$M$1 )</f>
        <v>SPXW</v>
      </c>
      <c r="AU1228" s="2">
        <f t="shared" ref="AU1228:AU1291" si="127">$N$1</f>
        <v>6915</v>
      </c>
      <c r="AV1228" t="str">
        <f t="shared" ref="AV1228:AV1291" si="128">$U$2</f>
        <v>000100</v>
      </c>
      <c r="AY12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28">
        <f>((Table1334567[[#This Row],[High C]]+Table1334567[[#This Row],[Low C]])/2)*Table1334567[[#This Row],[gammac]]*Table1334567[[#This Row],[Volume]]</f>
        <v>0</v>
      </c>
      <c r="BD1228">
        <f>((Table1334567[[#This Row],[High P]]+Table1334567[[#This Row],[Low P]])/2)*Table1334567[[#This Row],[gammap]]*Table1334567[[#This Row],[Volume9]]*-1</f>
        <v>0</v>
      </c>
      <c r="BE1228">
        <f>(Table1334567[[#This Row],[SgammaC]]+Table1334567[[#This Row],[SgammaP]])*$A$4*-100</f>
        <v>0</v>
      </c>
      <c r="BF1228" s="78">
        <f>Table1334567[[#This Row],[DEXc]]+Table1334567[[#This Row],[DEXp]]</f>
        <v>0</v>
      </c>
      <c r="BG1228" s="78">
        <f>IFERROR(Table1334567[[#This Row],[DeltaC]]*Table1334567[[#This Row],[Open.Int]]*$A$4,0)</f>
        <v>0</v>
      </c>
      <c r="BH1228">
        <f>IFERROR(Table1334567[[#This Row],[DeltaP]]*Table1334567[[#This Row],[Open.Int8]]*$A$4,0)</f>
        <v>0</v>
      </c>
      <c r="BI1228" s="6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28">
        <f ca="1">Table1334567[[#This Row],[charmc]]+Table1334567[[#This Row],[charmp]]</f>
        <v>0</v>
      </c>
      <c r="BL122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2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28" s="78">
        <f ca="1">Table1334567[[#This Row],[call helper]]+Table1334567[[#This Row],[put helper]]</f>
        <v>0</v>
      </c>
      <c r="BP1228" t="str">
        <f>RTD("tos.rtd", , "STRIKE", "."&amp;Table1334567[[#This Row],[Ticker]]&amp;Table1334567[[#This Row],[Expiry]]&amp;""&amp;"C"&amp;Table1334567[[#This Row],[Spot]]+Table1334567[[#This Row],[step]])</f>
        <v>N/A</v>
      </c>
      <c r="BQ1228" t="e" cm="1" vm="1">
        <f t="array" ref="BQ1228">_xlfn._xlws.FILTER(
    BP1228:BP1428,
    ISNUMBER(BP1228:BP1428)
)</f>
        <v>#VALUE!</v>
      </c>
    </row>
    <row r="1229" spans="1:69" x14ac:dyDescent="0.25">
      <c r="A1229" s="14">
        <f t="shared" ca="1" si="124"/>
        <v>-126.14810350076104</v>
      </c>
      <c r="C1229" s="17"/>
      <c r="D1229" t="str">
        <f>RTD("tos.rtd", , "OPEN_INT", "."&amp;Table1334567[[#This Row],[Ticker]]&amp;Table1334567[[#This Row],[Expiry]]&amp;""&amp;"C"&amp;Table1334567[[#This Row],[Spot]]+Table1334567[[#This Row],[step]])</f>
        <v>N/A</v>
      </c>
      <c r="E122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2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29" s="17" cm="1">
        <f t="array" aca="1" ref="H1229" ca="1">IndividualLegIVCore($A$4, Table1334567[[#This Row],[Strike]], 0.0411, Table1334567[[#This Row],[T]], ((Table1334567[[#This Row],[BIDC]]+Table1334567[[#This Row],[ASKC]])/2), TRUE)</f>
        <v>0.01</v>
      </c>
      <c r="I122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2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29" s="17"/>
      <c r="M1229" s="1">
        <f t="shared" si="125"/>
        <v>0</v>
      </c>
      <c r="N1229" t="b">
        <f t="shared" si="126"/>
        <v>0</v>
      </c>
      <c r="P1229" s="17" cm="1">
        <f t="array" aca="1" ref="P1229" ca="1">IndividualLegIVCore($A$4, Table1334567[[#This Row],[Strike]], 0.0411, Table1334567[[#This Row],[T]], ((Table1334567[[#This Row],[BIDP]]+Table1334567[[#This Row],[ASKP]])/2), FALSE)</f>
        <v>0.01</v>
      </c>
      <c r="Q122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2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29" s="17"/>
      <c r="T122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2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2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29" s="19">
        <f>-49.5* IF($M$1="NDX", 10, IF(OR($M$1="SPX", $M$1="RUT"), 2, 1))</f>
        <v>-99</v>
      </c>
      <c r="Z1229">
        <f ca="1">IFERROR(Table1334567[[#This Row],[call gamma]]*(Table1334567[[#This Row],[Open.Int]])*$A$4^2,0)</f>
        <v>0</v>
      </c>
      <c r="AA1229">
        <f ca="1">IFERROR(((Table1334567[[#This Row],[Open.Int8]])*Table1334567[[#This Row],[Put gamma]])*-1*$A$4^2,0)</f>
        <v>0</v>
      </c>
      <c r="AB1229">
        <f ca="1">(Table1334567[[#This Row],[Call Gex]]+Table1334567[[#This Row],[Put Gex]])</f>
        <v>0</v>
      </c>
      <c r="AC1229">
        <f ca="1">Table1334567[[#This Row],[put delta adj]]+Table1334567[[#This Row],[call delta adj]]</f>
        <v>0</v>
      </c>
      <c r="AD1229">
        <f ca="1">Table1334567[[#This Row],[Put Gex]]*Table1334567[[#This Row],[DeltaP]]*-1</f>
        <v>0</v>
      </c>
      <c r="AE1229">
        <f ca="1">Table1334567[[#This Row],[Call Gex]]*Table1334567[[#This Row],[DeltaC]]</f>
        <v>0</v>
      </c>
      <c r="AF1229">
        <f>IF(Table1334567[[#This Row],[DeltaC]]-ABS(Table1334567[[#This Row],[DeltaP]])="0","0.01",Table1334567[[#This Row],[DeltaC]]-ABS(Table1334567[[#This Row],[DeltaP]]))</f>
        <v>0</v>
      </c>
      <c r="AG122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2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29" t="e">
        <f ca="1">(EXP(-(AG1229^2)/2)/SQRT(2*PI())*EXP(0*SQRT(Table1334567[[#This Row],[T]]))/$A$4*18%*SQRT(SQRT(Table1334567[[#This Row],[T]])))</f>
        <v>#DIV/0!</v>
      </c>
      <c r="AJ1229" t="e">
        <f ca="1">(EXP(-(AH1229^2)/2)/SQRT(2*PI())*EXP(0*SQRT(Table1334567[[#This Row],[T]]))/$A$4*18%*SQRT(SQRT(Table1334567[[#This Row],[T]])))</f>
        <v>#DIV/0!</v>
      </c>
      <c r="AK1229" t="e">
        <f ca="1">Table1334567[[#This Row],[Call D1]]-Table1334567[[#This Row],[IV Calc C]]*SQRT(Table1334567[[#This Row],[T]])</f>
        <v>#DIV/0!</v>
      </c>
      <c r="AL1229" t="e">
        <f ca="1">Table1334567[[#This Row],[Put D1]]-Table1334567[[#This Row],[IV Calc P]]*SQRT(Table1334567[[#This Row],[T]])</f>
        <v>#DIV/0!</v>
      </c>
      <c r="AM1229" t="e">
        <f ca="1">EXP(-0.5*Table1334567[[#This Row],[Call D1]]^2)/SQRT(2*PI())</f>
        <v>#DIV/0!</v>
      </c>
      <c r="AN1229" t="e">
        <f ca="1">EXP(-0.5*Table1334567[[#This Row],[Put D1]]^2)/SQRT(2*PI())</f>
        <v>#DIV/0!</v>
      </c>
      <c r="AO122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2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29">
        <f ca="1">((Table1334567[[#This Row],[call vanna]]+Table1334567[[#This Row],[put vanna]])*$A$4)</f>
        <v>0</v>
      </c>
      <c r="AR122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2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29" s="9" t="str" cm="1">
        <f t="array" ref="AT1229">_xlfn.IFS(     $M$1="SPX","SPXW",     $M$1="RUT","RUTW",  $M$1="NDX","NDXP",   TRUE,$M$1 )</f>
        <v>SPXW</v>
      </c>
      <c r="AU1229" s="2">
        <f t="shared" si="127"/>
        <v>6915</v>
      </c>
      <c r="AV1229" t="str">
        <f t="shared" si="128"/>
        <v>000100</v>
      </c>
      <c r="AY122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2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2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2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29">
        <f>((Table1334567[[#This Row],[High C]]+Table1334567[[#This Row],[Low C]])/2)*Table1334567[[#This Row],[gammac]]*Table1334567[[#This Row],[Volume]]</f>
        <v>0</v>
      </c>
      <c r="BD1229">
        <f>((Table1334567[[#This Row],[High P]]+Table1334567[[#This Row],[Low P]])/2)*Table1334567[[#This Row],[gammap]]*Table1334567[[#This Row],[Volume9]]*-1</f>
        <v>0</v>
      </c>
      <c r="BE1229">
        <f>(Table1334567[[#This Row],[SgammaC]]+Table1334567[[#This Row],[SgammaP]])*$A$4*-100</f>
        <v>0</v>
      </c>
      <c r="BF1229">
        <f>Table1334567[[#This Row],[DEXc]]+Table1334567[[#This Row],[DEXp]]</f>
        <v>0</v>
      </c>
      <c r="BG1229">
        <f>IFERROR(Table1334567[[#This Row],[DeltaC]]*Table1334567[[#This Row],[Open.Int]]*$A$4,0)</f>
        <v>0</v>
      </c>
      <c r="BH1229">
        <f>IFERROR(Table1334567[[#This Row],[DeltaP]]*Table1334567[[#This Row],[Open.Int8]]*$A$4,0)</f>
        <v>0</v>
      </c>
      <c r="BI122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2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29">
        <f ca="1">Table1334567[[#This Row],[charmc]]+Table1334567[[#This Row],[charmp]]</f>
        <v>0</v>
      </c>
      <c r="BL122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2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29" s="78">
        <f ca="1">Table1334567[[#This Row],[call helper]]+Table1334567[[#This Row],[put helper]]</f>
        <v>0</v>
      </c>
      <c r="BP1229" t="str">
        <f>RTD("tos.rtd", , "STRIKE", "."&amp;Table1334567[[#This Row],[Ticker]]&amp;Table1334567[[#This Row],[Expiry]]&amp;""&amp;"C"&amp;Table1334567[[#This Row],[Spot]]+Table1334567[[#This Row],[step]])</f>
        <v>N/A</v>
      </c>
    </row>
    <row r="1230" spans="1:69" x14ac:dyDescent="0.25">
      <c r="A1230" s="14">
        <f t="shared" ca="1" si="124"/>
        <v>-126.14810350076104</v>
      </c>
      <c r="C1230" s="17"/>
      <c r="D1230" t="str">
        <f>RTD("tos.rtd", , "OPEN_INT", "."&amp;Table1334567[[#This Row],[Ticker]]&amp;Table1334567[[#This Row],[Expiry]]&amp;""&amp;"C"&amp;Table1334567[[#This Row],[Spot]]+Table1334567[[#This Row],[step]])</f>
        <v>N/A</v>
      </c>
      <c r="E123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0" s="17" cm="1">
        <f t="array" aca="1" ref="H1230" ca="1">IndividualLegIVCore($A$4, Table1334567[[#This Row],[Strike]], 0.0411, Table1334567[[#This Row],[T]], ((Table1334567[[#This Row],[BIDC]]+Table1334567[[#This Row],[ASKC]])/2), TRUE)</f>
        <v>0.01</v>
      </c>
      <c r="I123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0" s="17"/>
      <c r="M1230" s="1">
        <f t="shared" si="125"/>
        <v>0</v>
      </c>
      <c r="N1230" t="b">
        <f t="shared" si="126"/>
        <v>0</v>
      </c>
      <c r="P1230" s="17" cm="1">
        <f t="array" aca="1" ref="P1230" ca="1">IndividualLegIVCore($A$4, Table1334567[[#This Row],[Strike]], 0.0411, Table1334567[[#This Row],[T]], ((Table1334567[[#This Row],[BIDP]]+Table1334567[[#This Row],[ASKP]])/2), FALSE)</f>
        <v>0.01</v>
      </c>
      <c r="Q123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0" s="17"/>
      <c r="T123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0" s="19">
        <f>-49* IF($M$1="NDX", 10, IF(OR($M$1="SPX", $M$1="RUT"), 2, 1))</f>
        <v>-98</v>
      </c>
      <c r="Z1230">
        <f ca="1">IFERROR(Table1334567[[#This Row],[call gamma]]*(Table1334567[[#This Row],[Open.Int]])*$A$4^2,0)</f>
        <v>0</v>
      </c>
      <c r="AA1230">
        <f ca="1">IFERROR(((Table1334567[[#This Row],[Open.Int8]])*Table1334567[[#This Row],[Put gamma]])*-1*$A$4^2,0)</f>
        <v>0</v>
      </c>
      <c r="AB1230">
        <f ca="1">(Table1334567[[#This Row],[Call Gex]]+Table1334567[[#This Row],[Put Gex]])</f>
        <v>0</v>
      </c>
      <c r="AC1230">
        <f ca="1">Table1334567[[#This Row],[put delta adj]]+Table1334567[[#This Row],[call delta adj]]</f>
        <v>0</v>
      </c>
      <c r="AD1230">
        <f ca="1">Table1334567[[#This Row],[Put Gex]]*Table1334567[[#This Row],[DeltaP]]*-1</f>
        <v>0</v>
      </c>
      <c r="AE1230">
        <f ca="1">Table1334567[[#This Row],[Call Gex]]*Table1334567[[#This Row],[DeltaC]]</f>
        <v>0</v>
      </c>
      <c r="AF1230">
        <f>IF(Table1334567[[#This Row],[DeltaC]]-ABS(Table1334567[[#This Row],[DeltaP]])="0","0.01",Table1334567[[#This Row],[DeltaC]]-ABS(Table1334567[[#This Row],[DeltaP]]))</f>
        <v>0</v>
      </c>
      <c r="AG123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0" t="e">
        <f ca="1">(EXP(-(AG1230^2)/2)/SQRT(2*PI())*EXP(0*SQRT(Table1334567[[#This Row],[T]]))/$A$4*18%*SQRT(SQRT(Table1334567[[#This Row],[T]])))</f>
        <v>#DIV/0!</v>
      </c>
      <c r="AJ1230" t="e">
        <f ca="1">(EXP(-(AH1230^2)/2)/SQRT(2*PI())*EXP(0*SQRT(Table1334567[[#This Row],[T]]))/$A$4*18%*SQRT(SQRT(Table1334567[[#This Row],[T]])))</f>
        <v>#DIV/0!</v>
      </c>
      <c r="AK1230" t="e">
        <f ca="1">Table1334567[[#This Row],[Call D1]]-Table1334567[[#This Row],[IV Calc C]]*SQRT(Table1334567[[#This Row],[T]])</f>
        <v>#DIV/0!</v>
      </c>
      <c r="AL1230" t="e">
        <f ca="1">Table1334567[[#This Row],[Put D1]]-Table1334567[[#This Row],[IV Calc P]]*SQRT(Table1334567[[#This Row],[T]])</f>
        <v>#DIV/0!</v>
      </c>
      <c r="AM1230" t="e">
        <f ca="1">EXP(-0.5*Table1334567[[#This Row],[Call D1]]^2)/SQRT(2*PI())</f>
        <v>#DIV/0!</v>
      </c>
      <c r="AN1230" t="e">
        <f ca="1">EXP(-0.5*Table1334567[[#This Row],[Put D1]]^2)/SQRT(2*PI())</f>
        <v>#DIV/0!</v>
      </c>
      <c r="AO123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0">
        <f ca="1">((Table1334567[[#This Row],[call vanna]]+Table1334567[[#This Row],[put vanna]])*$A$4)</f>
        <v>0</v>
      </c>
      <c r="AR123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0" s="9" t="str" cm="1">
        <f t="array" ref="AT1230">_xlfn.IFS(     $M$1="SPX","SPXW",     $M$1="RUT","RUTW",  $M$1="NDX","NDXP",   TRUE,$M$1 )</f>
        <v>SPXW</v>
      </c>
      <c r="AU1230" s="2">
        <f t="shared" si="127"/>
        <v>6915</v>
      </c>
      <c r="AV1230" t="str">
        <f t="shared" si="128"/>
        <v>000100</v>
      </c>
      <c r="AY123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0">
        <f>((Table1334567[[#This Row],[High C]]+Table1334567[[#This Row],[Low C]])/2)*Table1334567[[#This Row],[gammac]]*Table1334567[[#This Row],[Volume]]</f>
        <v>0</v>
      </c>
      <c r="BD1230">
        <f>((Table1334567[[#This Row],[High P]]+Table1334567[[#This Row],[Low P]])/2)*Table1334567[[#This Row],[gammap]]*Table1334567[[#This Row],[Volume9]]*-1</f>
        <v>0</v>
      </c>
      <c r="BE1230">
        <f>(Table1334567[[#This Row],[SgammaC]]+Table1334567[[#This Row],[SgammaP]])*$A$4*-100</f>
        <v>0</v>
      </c>
      <c r="BF1230">
        <f>Table1334567[[#This Row],[DEXc]]+Table1334567[[#This Row],[DEXp]]</f>
        <v>0</v>
      </c>
      <c r="BG1230">
        <f>IFERROR(Table1334567[[#This Row],[DeltaC]]*Table1334567[[#This Row],[Open.Int]]*$A$4,0)</f>
        <v>0</v>
      </c>
      <c r="BH1230">
        <f>IFERROR(Table1334567[[#This Row],[DeltaP]]*Table1334567[[#This Row],[Open.Int8]]*$A$4,0)</f>
        <v>0</v>
      </c>
      <c r="BI123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0">
        <f ca="1">Table1334567[[#This Row],[charmc]]+Table1334567[[#This Row],[charmp]]</f>
        <v>0</v>
      </c>
      <c r="BL123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0" s="78">
        <f ca="1">Table1334567[[#This Row],[call helper]]+Table1334567[[#This Row],[put helper]]</f>
        <v>0</v>
      </c>
      <c r="BP1230" t="str">
        <f>RTD("tos.rtd", , "STRIKE", "."&amp;Table1334567[[#This Row],[Ticker]]&amp;Table1334567[[#This Row],[Expiry]]&amp;""&amp;"C"&amp;Table1334567[[#This Row],[Spot]]+Table1334567[[#This Row],[step]])</f>
        <v>N/A</v>
      </c>
    </row>
    <row r="1231" spans="1:69" x14ac:dyDescent="0.25">
      <c r="A1231" s="14">
        <f t="shared" ca="1" si="124"/>
        <v>-126.14810350076104</v>
      </c>
      <c r="C1231" s="17"/>
      <c r="D1231" t="str">
        <f>RTD("tos.rtd", , "OPEN_INT", "."&amp;Table1334567[[#This Row],[Ticker]]&amp;Table1334567[[#This Row],[Expiry]]&amp;""&amp;"C"&amp;Table1334567[[#This Row],[Spot]]+Table1334567[[#This Row],[step]])</f>
        <v>N/A</v>
      </c>
      <c r="E123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1" s="17" cm="1">
        <f t="array" aca="1" ref="H1231" ca="1">IndividualLegIVCore($A$4, Table1334567[[#This Row],[Strike]], 0.0411, Table1334567[[#This Row],[T]], ((Table1334567[[#This Row],[BIDC]]+Table1334567[[#This Row],[ASKC]])/2), TRUE)</f>
        <v>0.01</v>
      </c>
      <c r="I123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1" s="17"/>
      <c r="M1231" s="1">
        <f t="shared" si="125"/>
        <v>0</v>
      </c>
      <c r="N1231" t="b">
        <f t="shared" si="126"/>
        <v>0</v>
      </c>
      <c r="P1231" s="17" cm="1">
        <f t="array" aca="1" ref="P1231" ca="1">IndividualLegIVCore($A$4, Table1334567[[#This Row],[Strike]], 0.0411, Table1334567[[#This Row],[T]], ((Table1334567[[#This Row],[BIDP]]+Table1334567[[#This Row],[ASKP]])/2), FALSE)</f>
        <v>0.01</v>
      </c>
      <c r="Q123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1" s="17"/>
      <c r="T123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1" s="19">
        <f>-48.5* IF($M$1="NDX", 10, IF(OR($M$1="SPX", $M$1="RUT"), 2, 1))</f>
        <v>-97</v>
      </c>
      <c r="Z1231">
        <f ca="1">IFERROR(Table1334567[[#This Row],[call gamma]]*(Table1334567[[#This Row],[Open.Int]])*$A$4^2,0)</f>
        <v>0</v>
      </c>
      <c r="AA1231">
        <f ca="1">IFERROR(((Table1334567[[#This Row],[Open.Int8]])*Table1334567[[#This Row],[Put gamma]])*-1*$A$4^2,0)</f>
        <v>0</v>
      </c>
      <c r="AB1231">
        <f ca="1">(Table1334567[[#This Row],[Call Gex]]+Table1334567[[#This Row],[Put Gex]])</f>
        <v>0</v>
      </c>
      <c r="AC1231">
        <f ca="1">Table1334567[[#This Row],[put delta adj]]+Table1334567[[#This Row],[call delta adj]]</f>
        <v>0</v>
      </c>
      <c r="AD1231">
        <f ca="1">Table1334567[[#This Row],[Put Gex]]*Table1334567[[#This Row],[DeltaP]]*-1</f>
        <v>0</v>
      </c>
      <c r="AE1231">
        <f ca="1">Table1334567[[#This Row],[Call Gex]]*Table1334567[[#This Row],[DeltaC]]</f>
        <v>0</v>
      </c>
      <c r="AF1231">
        <f>IF(Table1334567[[#This Row],[DeltaC]]-ABS(Table1334567[[#This Row],[DeltaP]])="0","0.01",Table1334567[[#This Row],[DeltaC]]-ABS(Table1334567[[#This Row],[DeltaP]]))</f>
        <v>0</v>
      </c>
      <c r="AG123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1" t="e">
        <f ca="1">(EXP(-(AG1231^2)/2)/SQRT(2*PI())*EXP(0*SQRT(Table1334567[[#This Row],[T]]))/$A$4*18%*SQRT(SQRT(Table1334567[[#This Row],[T]])))</f>
        <v>#DIV/0!</v>
      </c>
      <c r="AJ1231" t="e">
        <f ca="1">(EXP(-(AH1231^2)/2)/SQRT(2*PI())*EXP(0*SQRT(Table1334567[[#This Row],[T]]))/$A$4*18%*SQRT(SQRT(Table1334567[[#This Row],[T]])))</f>
        <v>#DIV/0!</v>
      </c>
      <c r="AK1231" t="e">
        <f ca="1">Table1334567[[#This Row],[Call D1]]-Table1334567[[#This Row],[IV Calc C]]*SQRT(Table1334567[[#This Row],[T]])</f>
        <v>#DIV/0!</v>
      </c>
      <c r="AL1231" t="e">
        <f ca="1">Table1334567[[#This Row],[Put D1]]-Table1334567[[#This Row],[IV Calc P]]*SQRT(Table1334567[[#This Row],[T]])</f>
        <v>#DIV/0!</v>
      </c>
      <c r="AM1231" t="e">
        <f ca="1">EXP(-0.5*Table1334567[[#This Row],[Call D1]]^2)/SQRT(2*PI())</f>
        <v>#DIV/0!</v>
      </c>
      <c r="AN1231" t="e">
        <f ca="1">EXP(-0.5*Table1334567[[#This Row],[Put D1]]^2)/SQRT(2*PI())</f>
        <v>#DIV/0!</v>
      </c>
      <c r="AO123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1">
        <f ca="1">((Table1334567[[#This Row],[call vanna]]+Table1334567[[#This Row],[put vanna]])*$A$4)</f>
        <v>0</v>
      </c>
      <c r="AR123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1" s="9" t="str" cm="1">
        <f t="array" ref="AT1231">_xlfn.IFS(     $M$1="SPX","SPXW",     $M$1="RUT","RUTW",  $M$1="NDX","NDXP",   TRUE,$M$1 )</f>
        <v>SPXW</v>
      </c>
      <c r="AU1231" s="2">
        <f t="shared" si="127"/>
        <v>6915</v>
      </c>
      <c r="AV1231" t="str">
        <f t="shared" si="128"/>
        <v>000100</v>
      </c>
      <c r="AY123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1">
        <f>((Table1334567[[#This Row],[High C]]+Table1334567[[#This Row],[Low C]])/2)*Table1334567[[#This Row],[gammac]]*Table1334567[[#This Row],[Volume]]</f>
        <v>0</v>
      </c>
      <c r="BD1231">
        <f>((Table1334567[[#This Row],[High P]]+Table1334567[[#This Row],[Low P]])/2)*Table1334567[[#This Row],[gammap]]*Table1334567[[#This Row],[Volume9]]*-1</f>
        <v>0</v>
      </c>
      <c r="BE1231">
        <f>(Table1334567[[#This Row],[SgammaC]]+Table1334567[[#This Row],[SgammaP]])*$A$4*-100</f>
        <v>0</v>
      </c>
      <c r="BF1231">
        <f>Table1334567[[#This Row],[DEXc]]+Table1334567[[#This Row],[DEXp]]</f>
        <v>0</v>
      </c>
      <c r="BG1231">
        <f>IFERROR(Table1334567[[#This Row],[DeltaC]]*Table1334567[[#This Row],[Open.Int]]*$A$4,0)</f>
        <v>0</v>
      </c>
      <c r="BH1231">
        <f>IFERROR(Table1334567[[#This Row],[DeltaP]]*Table1334567[[#This Row],[Open.Int8]]*$A$4,0)</f>
        <v>0</v>
      </c>
      <c r="BI123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1">
        <f ca="1">Table1334567[[#This Row],[charmc]]+Table1334567[[#This Row],[charmp]]</f>
        <v>0</v>
      </c>
      <c r="BL123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1" s="78">
        <f ca="1">Table1334567[[#This Row],[call helper]]+Table1334567[[#This Row],[put helper]]</f>
        <v>0</v>
      </c>
      <c r="BP1231" t="str">
        <f>RTD("tos.rtd", , "STRIKE", "."&amp;Table1334567[[#This Row],[Ticker]]&amp;Table1334567[[#This Row],[Expiry]]&amp;""&amp;"C"&amp;Table1334567[[#This Row],[Spot]]+Table1334567[[#This Row],[step]])</f>
        <v>N/A</v>
      </c>
    </row>
    <row r="1232" spans="1:69" x14ac:dyDescent="0.25">
      <c r="A1232" s="14">
        <f t="shared" ca="1" si="124"/>
        <v>-126.14810350076104</v>
      </c>
      <c r="C1232" s="17"/>
      <c r="D1232" t="str">
        <f>RTD("tos.rtd", , "OPEN_INT", "."&amp;Table1334567[[#This Row],[Ticker]]&amp;Table1334567[[#This Row],[Expiry]]&amp;""&amp;"C"&amp;Table1334567[[#This Row],[Spot]]+Table1334567[[#This Row],[step]])</f>
        <v>N/A</v>
      </c>
      <c r="E123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2" s="17" cm="1">
        <f t="array" aca="1" ref="H1232" ca="1">IndividualLegIVCore($A$4, Table1334567[[#This Row],[Strike]], 0.0411, Table1334567[[#This Row],[T]], ((Table1334567[[#This Row],[BIDC]]+Table1334567[[#This Row],[ASKC]])/2), TRUE)</f>
        <v>0.01</v>
      </c>
      <c r="I123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2" s="17"/>
      <c r="M1232" s="1">
        <f t="shared" si="125"/>
        <v>0</v>
      </c>
      <c r="N1232" t="b">
        <f t="shared" si="126"/>
        <v>0</v>
      </c>
      <c r="P1232" s="17" cm="1">
        <f t="array" aca="1" ref="P1232" ca="1">IndividualLegIVCore($A$4, Table1334567[[#This Row],[Strike]], 0.0411, Table1334567[[#This Row],[T]], ((Table1334567[[#This Row],[BIDP]]+Table1334567[[#This Row],[ASKP]])/2), FALSE)</f>
        <v>0.01</v>
      </c>
      <c r="Q123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2" s="17"/>
      <c r="T123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2" s="19">
        <f>-48* IF($M$1="NDX", 10, IF(OR($M$1="SPX", $M$1="RUT"), 2, 1))</f>
        <v>-96</v>
      </c>
      <c r="Z1232">
        <f ca="1">IFERROR(Table1334567[[#This Row],[call gamma]]*(Table1334567[[#This Row],[Open.Int]])*$A$4^2,0)</f>
        <v>0</v>
      </c>
      <c r="AA1232">
        <f ca="1">IFERROR(((Table1334567[[#This Row],[Open.Int8]])*Table1334567[[#This Row],[Put gamma]])*-1*$A$4^2,0)</f>
        <v>0</v>
      </c>
      <c r="AB1232">
        <f ca="1">(Table1334567[[#This Row],[Call Gex]]+Table1334567[[#This Row],[Put Gex]])</f>
        <v>0</v>
      </c>
      <c r="AC1232">
        <f ca="1">Table1334567[[#This Row],[put delta adj]]+Table1334567[[#This Row],[call delta adj]]</f>
        <v>0</v>
      </c>
      <c r="AD1232">
        <f ca="1">Table1334567[[#This Row],[Put Gex]]*Table1334567[[#This Row],[DeltaP]]*-1</f>
        <v>0</v>
      </c>
      <c r="AE1232">
        <f ca="1">Table1334567[[#This Row],[Call Gex]]*Table1334567[[#This Row],[DeltaC]]</f>
        <v>0</v>
      </c>
      <c r="AF1232">
        <f>IF(Table1334567[[#This Row],[DeltaC]]-ABS(Table1334567[[#This Row],[DeltaP]])="0","0.01",Table1334567[[#This Row],[DeltaC]]-ABS(Table1334567[[#This Row],[DeltaP]]))</f>
        <v>0</v>
      </c>
      <c r="AG123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2" t="e">
        <f ca="1">(EXP(-(AG1232^2)/2)/SQRT(2*PI())*EXP(0*SQRT(Table1334567[[#This Row],[T]]))/$A$4*18%*SQRT(SQRT(Table1334567[[#This Row],[T]])))</f>
        <v>#DIV/0!</v>
      </c>
      <c r="AJ1232" t="e">
        <f ca="1">(EXP(-(AH1232^2)/2)/SQRT(2*PI())*EXP(0*SQRT(Table1334567[[#This Row],[T]]))/$A$4*18%*SQRT(SQRT(Table1334567[[#This Row],[T]])))</f>
        <v>#DIV/0!</v>
      </c>
      <c r="AK1232" t="e">
        <f ca="1">Table1334567[[#This Row],[Call D1]]-Table1334567[[#This Row],[IV Calc C]]*SQRT(Table1334567[[#This Row],[T]])</f>
        <v>#DIV/0!</v>
      </c>
      <c r="AL1232" t="e">
        <f ca="1">Table1334567[[#This Row],[Put D1]]-Table1334567[[#This Row],[IV Calc P]]*SQRT(Table1334567[[#This Row],[T]])</f>
        <v>#DIV/0!</v>
      </c>
      <c r="AM1232" t="e">
        <f ca="1">EXP(-0.5*Table1334567[[#This Row],[Call D1]]^2)/SQRT(2*PI())</f>
        <v>#DIV/0!</v>
      </c>
      <c r="AN1232" t="e">
        <f ca="1">EXP(-0.5*Table1334567[[#This Row],[Put D1]]^2)/SQRT(2*PI())</f>
        <v>#DIV/0!</v>
      </c>
      <c r="AO123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2">
        <f ca="1">((Table1334567[[#This Row],[call vanna]]+Table1334567[[#This Row],[put vanna]])*$A$4)</f>
        <v>0</v>
      </c>
      <c r="AR123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2" s="9" t="str" cm="1">
        <f t="array" ref="AT1232">_xlfn.IFS(     $M$1="SPX","SPXW",     $M$1="RUT","RUTW",  $M$1="NDX","NDXP",   TRUE,$M$1 )</f>
        <v>SPXW</v>
      </c>
      <c r="AU1232" s="2">
        <f t="shared" si="127"/>
        <v>6915</v>
      </c>
      <c r="AV1232" t="str">
        <f t="shared" si="128"/>
        <v>000100</v>
      </c>
      <c r="AY123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2">
        <f>((Table1334567[[#This Row],[High C]]+Table1334567[[#This Row],[Low C]])/2)*Table1334567[[#This Row],[gammac]]*Table1334567[[#This Row],[Volume]]</f>
        <v>0</v>
      </c>
      <c r="BD1232">
        <f>((Table1334567[[#This Row],[High P]]+Table1334567[[#This Row],[Low P]])/2)*Table1334567[[#This Row],[gammap]]*Table1334567[[#This Row],[Volume9]]*-1</f>
        <v>0</v>
      </c>
      <c r="BE1232">
        <f>(Table1334567[[#This Row],[SgammaC]]+Table1334567[[#This Row],[SgammaP]])*$A$4*-100</f>
        <v>0</v>
      </c>
      <c r="BF1232">
        <f>Table1334567[[#This Row],[DEXc]]+Table1334567[[#This Row],[DEXp]]</f>
        <v>0</v>
      </c>
      <c r="BG1232">
        <f>IFERROR(Table1334567[[#This Row],[DeltaC]]*Table1334567[[#This Row],[Open.Int]]*$A$4,0)</f>
        <v>0</v>
      </c>
      <c r="BH1232">
        <f>IFERROR(Table1334567[[#This Row],[DeltaP]]*Table1334567[[#This Row],[Open.Int8]]*$A$4,0)</f>
        <v>0</v>
      </c>
      <c r="BI123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2">
        <f ca="1">Table1334567[[#This Row],[charmc]]+Table1334567[[#This Row],[charmp]]</f>
        <v>0</v>
      </c>
      <c r="BL123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2" s="78">
        <f ca="1">Table1334567[[#This Row],[call helper]]+Table1334567[[#This Row],[put helper]]</f>
        <v>0</v>
      </c>
      <c r="BP1232" t="str">
        <f>RTD("tos.rtd", , "STRIKE", "."&amp;Table1334567[[#This Row],[Ticker]]&amp;Table1334567[[#This Row],[Expiry]]&amp;""&amp;"C"&amp;Table1334567[[#This Row],[Spot]]+Table1334567[[#This Row],[step]])</f>
        <v>N/A</v>
      </c>
    </row>
    <row r="1233" spans="1:68" x14ac:dyDescent="0.25">
      <c r="A1233" s="14">
        <f t="shared" ca="1" si="124"/>
        <v>-126.14810350076104</v>
      </c>
      <c r="C1233" s="17"/>
      <c r="D1233" t="str">
        <f>RTD("tos.rtd", , "OPEN_INT", "."&amp;Table1334567[[#This Row],[Ticker]]&amp;Table1334567[[#This Row],[Expiry]]&amp;""&amp;"C"&amp;Table1334567[[#This Row],[Spot]]+Table1334567[[#This Row],[step]])</f>
        <v>N/A</v>
      </c>
      <c r="E123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3" s="17" cm="1">
        <f t="array" aca="1" ref="H1233" ca="1">IndividualLegIVCore($A$4, Table1334567[[#This Row],[Strike]], 0.0411, Table1334567[[#This Row],[T]], ((Table1334567[[#This Row],[BIDC]]+Table1334567[[#This Row],[ASKC]])/2), TRUE)</f>
        <v>0.01</v>
      </c>
      <c r="I123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3" s="17"/>
      <c r="M1233" s="1">
        <f t="shared" si="125"/>
        <v>0</v>
      </c>
      <c r="N1233" t="b">
        <f t="shared" si="126"/>
        <v>0</v>
      </c>
      <c r="P1233" s="17" cm="1">
        <f t="array" aca="1" ref="P1233" ca="1">IndividualLegIVCore($A$4, Table1334567[[#This Row],[Strike]], 0.0411, Table1334567[[#This Row],[T]], ((Table1334567[[#This Row],[BIDP]]+Table1334567[[#This Row],[ASKP]])/2), FALSE)</f>
        <v>0.01</v>
      </c>
      <c r="Q123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3" s="17"/>
      <c r="T123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3" s="19">
        <f>-47.5* IF($M$1="NDX", 10, IF(OR($M$1="SPX", $M$1="RUT"), 2, 1))</f>
        <v>-95</v>
      </c>
      <c r="Z1233">
        <f ca="1">IFERROR(Table1334567[[#This Row],[call gamma]]*(Table1334567[[#This Row],[Open.Int]])*$A$4^2,0)</f>
        <v>0</v>
      </c>
      <c r="AA1233">
        <f ca="1">IFERROR(((Table1334567[[#This Row],[Open.Int8]])*Table1334567[[#This Row],[Put gamma]])*-1*$A$4^2,0)</f>
        <v>0</v>
      </c>
      <c r="AB1233">
        <f ca="1">(Table1334567[[#This Row],[Call Gex]]+Table1334567[[#This Row],[Put Gex]])</f>
        <v>0</v>
      </c>
      <c r="AC1233">
        <f ca="1">Table1334567[[#This Row],[put delta adj]]+Table1334567[[#This Row],[call delta adj]]</f>
        <v>0</v>
      </c>
      <c r="AD1233">
        <f ca="1">Table1334567[[#This Row],[Put Gex]]*Table1334567[[#This Row],[DeltaP]]*-1</f>
        <v>0</v>
      </c>
      <c r="AE1233">
        <f ca="1">Table1334567[[#This Row],[Call Gex]]*Table1334567[[#This Row],[DeltaC]]</f>
        <v>0</v>
      </c>
      <c r="AF1233">
        <f>IF(Table1334567[[#This Row],[DeltaC]]-ABS(Table1334567[[#This Row],[DeltaP]])="0","0.01",Table1334567[[#This Row],[DeltaC]]-ABS(Table1334567[[#This Row],[DeltaP]]))</f>
        <v>0</v>
      </c>
      <c r="AG123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3" t="e">
        <f ca="1">(EXP(-(AG1233^2)/2)/SQRT(2*PI())*EXP(0*SQRT(Table1334567[[#This Row],[T]]))/$A$4*18%*SQRT(SQRT(Table1334567[[#This Row],[T]])))</f>
        <v>#DIV/0!</v>
      </c>
      <c r="AJ1233" t="e">
        <f ca="1">(EXP(-(AH1233^2)/2)/SQRT(2*PI())*EXP(0*SQRT(Table1334567[[#This Row],[T]]))/$A$4*18%*SQRT(SQRT(Table1334567[[#This Row],[T]])))</f>
        <v>#DIV/0!</v>
      </c>
      <c r="AK1233" t="e">
        <f ca="1">Table1334567[[#This Row],[Call D1]]-Table1334567[[#This Row],[IV Calc C]]*SQRT(Table1334567[[#This Row],[T]])</f>
        <v>#DIV/0!</v>
      </c>
      <c r="AL1233" t="e">
        <f ca="1">Table1334567[[#This Row],[Put D1]]-Table1334567[[#This Row],[IV Calc P]]*SQRT(Table1334567[[#This Row],[T]])</f>
        <v>#DIV/0!</v>
      </c>
      <c r="AM1233" t="e">
        <f ca="1">EXP(-0.5*Table1334567[[#This Row],[Call D1]]^2)/SQRT(2*PI())</f>
        <v>#DIV/0!</v>
      </c>
      <c r="AN1233" t="e">
        <f ca="1">EXP(-0.5*Table1334567[[#This Row],[Put D1]]^2)/SQRT(2*PI())</f>
        <v>#DIV/0!</v>
      </c>
      <c r="AO123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3">
        <f ca="1">((Table1334567[[#This Row],[call vanna]]+Table1334567[[#This Row],[put vanna]])*$A$4)</f>
        <v>0</v>
      </c>
      <c r="AR123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3" s="9" t="str" cm="1">
        <f t="array" ref="AT1233">_xlfn.IFS(     $M$1="SPX","SPXW",     $M$1="RUT","RUTW",  $M$1="NDX","NDXP",   TRUE,$M$1 )</f>
        <v>SPXW</v>
      </c>
      <c r="AU1233" s="2">
        <f t="shared" si="127"/>
        <v>6915</v>
      </c>
      <c r="AV1233" t="str">
        <f t="shared" si="128"/>
        <v>000100</v>
      </c>
      <c r="AY123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3">
        <f>((Table1334567[[#This Row],[High C]]+Table1334567[[#This Row],[Low C]])/2)*Table1334567[[#This Row],[gammac]]*Table1334567[[#This Row],[Volume]]</f>
        <v>0</v>
      </c>
      <c r="BD1233">
        <f>((Table1334567[[#This Row],[High P]]+Table1334567[[#This Row],[Low P]])/2)*Table1334567[[#This Row],[gammap]]*Table1334567[[#This Row],[Volume9]]*-1</f>
        <v>0</v>
      </c>
      <c r="BE1233">
        <f>(Table1334567[[#This Row],[SgammaC]]+Table1334567[[#This Row],[SgammaP]])*$A$4*-100</f>
        <v>0</v>
      </c>
      <c r="BF1233">
        <f>Table1334567[[#This Row],[DEXc]]+Table1334567[[#This Row],[DEXp]]</f>
        <v>0</v>
      </c>
      <c r="BG1233">
        <f>IFERROR(Table1334567[[#This Row],[DeltaC]]*Table1334567[[#This Row],[Open.Int]]*$A$4,0)</f>
        <v>0</v>
      </c>
      <c r="BH1233">
        <f>IFERROR(Table1334567[[#This Row],[DeltaP]]*Table1334567[[#This Row],[Open.Int8]]*$A$4,0)</f>
        <v>0</v>
      </c>
      <c r="BI123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3">
        <f ca="1">Table1334567[[#This Row],[charmc]]+Table1334567[[#This Row],[charmp]]</f>
        <v>0</v>
      </c>
      <c r="BL123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3" s="78">
        <f ca="1">Table1334567[[#This Row],[call helper]]+Table1334567[[#This Row],[put helper]]</f>
        <v>0</v>
      </c>
      <c r="BP1233" t="str">
        <f>RTD("tos.rtd", , "STRIKE", "."&amp;Table1334567[[#This Row],[Ticker]]&amp;Table1334567[[#This Row],[Expiry]]&amp;""&amp;"C"&amp;Table1334567[[#This Row],[Spot]]+Table1334567[[#This Row],[step]])</f>
        <v>N/A</v>
      </c>
    </row>
    <row r="1234" spans="1:68" x14ac:dyDescent="0.25">
      <c r="A1234" s="14">
        <f t="shared" ca="1" si="124"/>
        <v>-126.14810350076104</v>
      </c>
      <c r="C1234" s="17"/>
      <c r="D1234" t="str">
        <f>RTD("tos.rtd", , "OPEN_INT", "."&amp;Table1334567[[#This Row],[Ticker]]&amp;Table1334567[[#This Row],[Expiry]]&amp;""&amp;"C"&amp;Table1334567[[#This Row],[Spot]]+Table1334567[[#This Row],[step]])</f>
        <v>N/A</v>
      </c>
      <c r="E123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4" s="17" cm="1">
        <f t="array" aca="1" ref="H1234" ca="1">IndividualLegIVCore($A$4, Table1334567[[#This Row],[Strike]], 0.0411, Table1334567[[#This Row],[T]], ((Table1334567[[#This Row],[BIDC]]+Table1334567[[#This Row],[ASKC]])/2), TRUE)</f>
        <v>0.01</v>
      </c>
      <c r="I123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4" s="17"/>
      <c r="M1234" s="1">
        <f t="shared" si="125"/>
        <v>0</v>
      </c>
      <c r="N1234" t="b">
        <f t="shared" si="126"/>
        <v>0</v>
      </c>
      <c r="P1234" s="17" cm="1">
        <f t="array" aca="1" ref="P1234" ca="1">IndividualLegIVCore($A$4, Table1334567[[#This Row],[Strike]], 0.0411, Table1334567[[#This Row],[T]], ((Table1334567[[#This Row],[BIDP]]+Table1334567[[#This Row],[ASKP]])/2), FALSE)</f>
        <v>0.01</v>
      </c>
      <c r="Q123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4" s="17"/>
      <c r="T123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4" s="19">
        <f>-47* IF($M$1="NDX", 10, IF(OR($M$1="SPX", $M$1="RUT"), 2, 1))</f>
        <v>-94</v>
      </c>
      <c r="Z1234">
        <f ca="1">IFERROR(Table1334567[[#This Row],[call gamma]]*(Table1334567[[#This Row],[Open.Int]])*$A$4^2,0)</f>
        <v>0</v>
      </c>
      <c r="AA1234">
        <f ca="1">IFERROR(((Table1334567[[#This Row],[Open.Int8]])*Table1334567[[#This Row],[Put gamma]])*-1*$A$4^2,0)</f>
        <v>0</v>
      </c>
      <c r="AB1234">
        <f ca="1">(Table1334567[[#This Row],[Call Gex]]+Table1334567[[#This Row],[Put Gex]])</f>
        <v>0</v>
      </c>
      <c r="AC1234">
        <f ca="1">Table1334567[[#This Row],[put delta adj]]+Table1334567[[#This Row],[call delta adj]]</f>
        <v>0</v>
      </c>
      <c r="AD1234">
        <f ca="1">Table1334567[[#This Row],[Put Gex]]*Table1334567[[#This Row],[DeltaP]]*-1</f>
        <v>0</v>
      </c>
      <c r="AE1234">
        <f ca="1">Table1334567[[#This Row],[Call Gex]]*Table1334567[[#This Row],[DeltaC]]</f>
        <v>0</v>
      </c>
      <c r="AF1234">
        <f>IF(Table1334567[[#This Row],[DeltaC]]-ABS(Table1334567[[#This Row],[DeltaP]])="0","0.01",Table1334567[[#This Row],[DeltaC]]-ABS(Table1334567[[#This Row],[DeltaP]]))</f>
        <v>0</v>
      </c>
      <c r="AG123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4" t="e">
        <f ca="1">(EXP(-(AG1234^2)/2)/SQRT(2*PI())*EXP(0*SQRT(Table1334567[[#This Row],[T]]))/$A$4*18%*SQRT(SQRT(Table1334567[[#This Row],[T]])))</f>
        <v>#DIV/0!</v>
      </c>
      <c r="AJ1234" t="e">
        <f ca="1">(EXP(-(AH1234^2)/2)/SQRT(2*PI())*EXP(0*SQRT(Table1334567[[#This Row],[T]]))/$A$4*18%*SQRT(SQRT(Table1334567[[#This Row],[T]])))</f>
        <v>#DIV/0!</v>
      </c>
      <c r="AK1234" t="e">
        <f ca="1">Table1334567[[#This Row],[Call D1]]-Table1334567[[#This Row],[IV Calc C]]*SQRT(Table1334567[[#This Row],[T]])</f>
        <v>#DIV/0!</v>
      </c>
      <c r="AL1234" t="e">
        <f ca="1">Table1334567[[#This Row],[Put D1]]-Table1334567[[#This Row],[IV Calc P]]*SQRT(Table1334567[[#This Row],[T]])</f>
        <v>#DIV/0!</v>
      </c>
      <c r="AM1234" t="e">
        <f ca="1">EXP(-0.5*Table1334567[[#This Row],[Call D1]]^2)/SQRT(2*PI())</f>
        <v>#DIV/0!</v>
      </c>
      <c r="AN1234" t="e">
        <f ca="1">EXP(-0.5*Table1334567[[#This Row],[Put D1]]^2)/SQRT(2*PI())</f>
        <v>#DIV/0!</v>
      </c>
      <c r="AO123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4">
        <f ca="1">((Table1334567[[#This Row],[call vanna]]+Table1334567[[#This Row],[put vanna]])*$A$4)</f>
        <v>0</v>
      </c>
      <c r="AR123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4" s="9" t="str" cm="1">
        <f t="array" ref="AT1234">_xlfn.IFS(     $M$1="SPX","SPXW",     $M$1="RUT","RUTW",  $M$1="NDX","NDXP",   TRUE,$M$1 )</f>
        <v>SPXW</v>
      </c>
      <c r="AU1234" s="2">
        <f t="shared" si="127"/>
        <v>6915</v>
      </c>
      <c r="AV1234" t="str">
        <f t="shared" si="128"/>
        <v>000100</v>
      </c>
      <c r="AY123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4">
        <f>((Table1334567[[#This Row],[High C]]+Table1334567[[#This Row],[Low C]])/2)*Table1334567[[#This Row],[gammac]]*Table1334567[[#This Row],[Volume]]</f>
        <v>0</v>
      </c>
      <c r="BD1234">
        <f>((Table1334567[[#This Row],[High P]]+Table1334567[[#This Row],[Low P]])/2)*Table1334567[[#This Row],[gammap]]*Table1334567[[#This Row],[Volume9]]*-1</f>
        <v>0</v>
      </c>
      <c r="BE1234">
        <f>(Table1334567[[#This Row],[SgammaC]]+Table1334567[[#This Row],[SgammaP]])*$A$4*-100</f>
        <v>0</v>
      </c>
      <c r="BF1234">
        <f>Table1334567[[#This Row],[DEXc]]+Table1334567[[#This Row],[DEXp]]</f>
        <v>0</v>
      </c>
      <c r="BG1234">
        <f>IFERROR(Table1334567[[#This Row],[DeltaC]]*Table1334567[[#This Row],[Open.Int]]*$A$4,0)</f>
        <v>0</v>
      </c>
      <c r="BH1234">
        <f>IFERROR(Table1334567[[#This Row],[DeltaP]]*Table1334567[[#This Row],[Open.Int8]]*$A$4,0)</f>
        <v>0</v>
      </c>
      <c r="BI123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4">
        <f ca="1">Table1334567[[#This Row],[charmc]]+Table1334567[[#This Row],[charmp]]</f>
        <v>0</v>
      </c>
      <c r="BL123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4" s="78">
        <f ca="1">Table1334567[[#This Row],[call helper]]+Table1334567[[#This Row],[put helper]]</f>
        <v>0</v>
      </c>
      <c r="BP1234" t="str">
        <f>RTD("tos.rtd", , "STRIKE", "."&amp;Table1334567[[#This Row],[Ticker]]&amp;Table1334567[[#This Row],[Expiry]]&amp;""&amp;"C"&amp;Table1334567[[#This Row],[Spot]]+Table1334567[[#This Row],[step]])</f>
        <v>N/A</v>
      </c>
    </row>
    <row r="1235" spans="1:68" x14ac:dyDescent="0.25">
      <c r="A1235" s="14">
        <f t="shared" ca="1" si="124"/>
        <v>-126.14810350076104</v>
      </c>
      <c r="C1235" s="17"/>
      <c r="D1235" t="str">
        <f>RTD("tos.rtd", , "OPEN_INT", "."&amp;Table1334567[[#This Row],[Ticker]]&amp;Table1334567[[#This Row],[Expiry]]&amp;""&amp;"C"&amp;Table1334567[[#This Row],[Spot]]+Table1334567[[#This Row],[step]])</f>
        <v>N/A</v>
      </c>
      <c r="E123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5" s="17" cm="1">
        <f t="array" aca="1" ref="H1235" ca="1">IndividualLegIVCore($A$4, Table1334567[[#This Row],[Strike]], 0.0411, Table1334567[[#This Row],[T]], ((Table1334567[[#This Row],[BIDC]]+Table1334567[[#This Row],[ASKC]])/2), TRUE)</f>
        <v>0.01</v>
      </c>
      <c r="I123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5" s="17"/>
      <c r="M1235" s="1">
        <f t="shared" si="125"/>
        <v>0</v>
      </c>
      <c r="N1235" t="b">
        <f t="shared" si="126"/>
        <v>0</v>
      </c>
      <c r="P1235" s="17" cm="1">
        <f t="array" aca="1" ref="P1235" ca="1">IndividualLegIVCore($A$4, Table1334567[[#This Row],[Strike]], 0.0411, Table1334567[[#This Row],[T]], ((Table1334567[[#This Row],[BIDP]]+Table1334567[[#This Row],[ASKP]])/2), FALSE)</f>
        <v>0.01</v>
      </c>
      <c r="Q123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5" s="17"/>
      <c r="T123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5" s="19">
        <f>-46.5* IF($M$1="NDX", 10, IF(OR($M$1="SPX", $M$1="RUT"), 2, 1))</f>
        <v>-93</v>
      </c>
      <c r="Z1235">
        <f ca="1">IFERROR(Table1334567[[#This Row],[call gamma]]*(Table1334567[[#This Row],[Open.Int]])*$A$4^2,0)</f>
        <v>0</v>
      </c>
      <c r="AA1235">
        <f ca="1">IFERROR(((Table1334567[[#This Row],[Open.Int8]])*Table1334567[[#This Row],[Put gamma]])*-1*$A$4^2,0)</f>
        <v>0</v>
      </c>
      <c r="AB1235">
        <f ca="1">(Table1334567[[#This Row],[Call Gex]]+Table1334567[[#This Row],[Put Gex]])</f>
        <v>0</v>
      </c>
      <c r="AC1235">
        <f ca="1">Table1334567[[#This Row],[put delta adj]]+Table1334567[[#This Row],[call delta adj]]</f>
        <v>0</v>
      </c>
      <c r="AD1235">
        <f ca="1">Table1334567[[#This Row],[Put Gex]]*Table1334567[[#This Row],[DeltaP]]*-1</f>
        <v>0</v>
      </c>
      <c r="AE1235">
        <f ca="1">Table1334567[[#This Row],[Call Gex]]*Table1334567[[#This Row],[DeltaC]]</f>
        <v>0</v>
      </c>
      <c r="AF1235">
        <f>IF(Table1334567[[#This Row],[DeltaC]]-ABS(Table1334567[[#This Row],[DeltaP]])="0","0.01",Table1334567[[#This Row],[DeltaC]]-ABS(Table1334567[[#This Row],[DeltaP]]))</f>
        <v>0</v>
      </c>
      <c r="AG123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5" t="e">
        <f ca="1">(EXP(-(AG1235^2)/2)/SQRT(2*PI())*EXP(0*SQRT(Table1334567[[#This Row],[T]]))/$A$4*18%*SQRT(SQRT(Table1334567[[#This Row],[T]])))</f>
        <v>#DIV/0!</v>
      </c>
      <c r="AJ1235" t="e">
        <f ca="1">(EXP(-(AH1235^2)/2)/SQRT(2*PI())*EXP(0*SQRT(Table1334567[[#This Row],[T]]))/$A$4*18%*SQRT(SQRT(Table1334567[[#This Row],[T]])))</f>
        <v>#DIV/0!</v>
      </c>
      <c r="AK1235" t="e">
        <f ca="1">Table1334567[[#This Row],[Call D1]]-Table1334567[[#This Row],[IV Calc C]]*SQRT(Table1334567[[#This Row],[T]])</f>
        <v>#DIV/0!</v>
      </c>
      <c r="AL1235" t="e">
        <f ca="1">Table1334567[[#This Row],[Put D1]]-Table1334567[[#This Row],[IV Calc P]]*SQRT(Table1334567[[#This Row],[T]])</f>
        <v>#DIV/0!</v>
      </c>
      <c r="AM1235" t="e">
        <f ca="1">EXP(-0.5*Table1334567[[#This Row],[Call D1]]^2)/SQRT(2*PI())</f>
        <v>#DIV/0!</v>
      </c>
      <c r="AN1235" t="e">
        <f ca="1">EXP(-0.5*Table1334567[[#This Row],[Put D1]]^2)/SQRT(2*PI())</f>
        <v>#DIV/0!</v>
      </c>
      <c r="AO123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5">
        <f ca="1">((Table1334567[[#This Row],[call vanna]]+Table1334567[[#This Row],[put vanna]])*$A$4)</f>
        <v>0</v>
      </c>
      <c r="AR123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5" s="9" t="str" cm="1">
        <f t="array" ref="AT1235">_xlfn.IFS(     $M$1="SPX","SPXW",     $M$1="RUT","RUTW",  $M$1="NDX","NDXP",   TRUE,$M$1 )</f>
        <v>SPXW</v>
      </c>
      <c r="AU1235" s="2">
        <f t="shared" si="127"/>
        <v>6915</v>
      </c>
      <c r="AV1235" t="str">
        <f t="shared" si="128"/>
        <v>000100</v>
      </c>
      <c r="AY123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5">
        <f>((Table1334567[[#This Row],[High C]]+Table1334567[[#This Row],[Low C]])/2)*Table1334567[[#This Row],[gammac]]*Table1334567[[#This Row],[Volume]]</f>
        <v>0</v>
      </c>
      <c r="BD1235">
        <f>((Table1334567[[#This Row],[High P]]+Table1334567[[#This Row],[Low P]])/2)*Table1334567[[#This Row],[gammap]]*Table1334567[[#This Row],[Volume9]]*-1</f>
        <v>0</v>
      </c>
      <c r="BE1235">
        <f>(Table1334567[[#This Row],[SgammaC]]+Table1334567[[#This Row],[SgammaP]])*$A$4*-100</f>
        <v>0</v>
      </c>
      <c r="BF1235">
        <f>Table1334567[[#This Row],[DEXc]]+Table1334567[[#This Row],[DEXp]]</f>
        <v>0</v>
      </c>
      <c r="BG1235">
        <f>IFERROR(Table1334567[[#This Row],[DeltaC]]*Table1334567[[#This Row],[Open.Int]]*$A$4,0)</f>
        <v>0</v>
      </c>
      <c r="BH1235">
        <f>IFERROR(Table1334567[[#This Row],[DeltaP]]*Table1334567[[#This Row],[Open.Int8]]*$A$4,0)</f>
        <v>0</v>
      </c>
      <c r="BI123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5">
        <f ca="1">Table1334567[[#This Row],[charmc]]+Table1334567[[#This Row],[charmp]]</f>
        <v>0</v>
      </c>
      <c r="BL123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5" s="78">
        <f ca="1">Table1334567[[#This Row],[call helper]]+Table1334567[[#This Row],[put helper]]</f>
        <v>0</v>
      </c>
      <c r="BP1235" t="str">
        <f>RTD("tos.rtd", , "STRIKE", "."&amp;Table1334567[[#This Row],[Ticker]]&amp;Table1334567[[#This Row],[Expiry]]&amp;""&amp;"C"&amp;Table1334567[[#This Row],[Spot]]+Table1334567[[#This Row],[step]])</f>
        <v>N/A</v>
      </c>
    </row>
    <row r="1236" spans="1:68" x14ac:dyDescent="0.25">
      <c r="A1236" s="14">
        <f t="shared" ca="1" si="124"/>
        <v>-126.14810350076104</v>
      </c>
      <c r="C1236" s="17"/>
      <c r="D1236" t="str">
        <f>RTD("tos.rtd", , "OPEN_INT", "."&amp;Table1334567[[#This Row],[Ticker]]&amp;Table1334567[[#This Row],[Expiry]]&amp;""&amp;"C"&amp;Table1334567[[#This Row],[Spot]]+Table1334567[[#This Row],[step]])</f>
        <v>N/A</v>
      </c>
      <c r="E123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6" s="17" cm="1">
        <f t="array" aca="1" ref="H1236" ca="1">IndividualLegIVCore($A$4, Table1334567[[#This Row],[Strike]], 0.0411, Table1334567[[#This Row],[T]], ((Table1334567[[#This Row],[BIDC]]+Table1334567[[#This Row],[ASKC]])/2), TRUE)</f>
        <v>0.01</v>
      </c>
      <c r="I123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6" s="17"/>
      <c r="M1236" s="1">
        <f t="shared" si="125"/>
        <v>0</v>
      </c>
      <c r="N1236" t="b">
        <f t="shared" si="126"/>
        <v>0</v>
      </c>
      <c r="P1236" s="17" cm="1">
        <f t="array" aca="1" ref="P1236" ca="1">IndividualLegIVCore($A$4, Table1334567[[#This Row],[Strike]], 0.0411, Table1334567[[#This Row],[T]], ((Table1334567[[#This Row],[BIDP]]+Table1334567[[#This Row],[ASKP]])/2), FALSE)</f>
        <v>0.01</v>
      </c>
      <c r="Q123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6" s="17"/>
      <c r="T123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6" s="19">
        <f>-46* IF($M$1="NDX", 10, IF(OR($M$1="SPX", $M$1="RUT"), 2, 1))</f>
        <v>-92</v>
      </c>
      <c r="Z1236">
        <f ca="1">IFERROR(Table1334567[[#This Row],[call gamma]]*(Table1334567[[#This Row],[Open.Int]])*$A$4^2,0)</f>
        <v>0</v>
      </c>
      <c r="AA1236">
        <f ca="1">IFERROR(((Table1334567[[#This Row],[Open.Int8]])*Table1334567[[#This Row],[Put gamma]])*-1*$A$4^2,0)</f>
        <v>0</v>
      </c>
      <c r="AB1236">
        <f ca="1">(Table1334567[[#This Row],[Call Gex]]+Table1334567[[#This Row],[Put Gex]])</f>
        <v>0</v>
      </c>
      <c r="AC1236">
        <f ca="1">Table1334567[[#This Row],[put delta adj]]+Table1334567[[#This Row],[call delta adj]]</f>
        <v>0</v>
      </c>
      <c r="AD1236">
        <f ca="1">Table1334567[[#This Row],[Put Gex]]*Table1334567[[#This Row],[DeltaP]]*-1</f>
        <v>0</v>
      </c>
      <c r="AE1236">
        <f ca="1">Table1334567[[#This Row],[Call Gex]]*Table1334567[[#This Row],[DeltaC]]</f>
        <v>0</v>
      </c>
      <c r="AF1236">
        <f>IF(Table1334567[[#This Row],[DeltaC]]-ABS(Table1334567[[#This Row],[DeltaP]])="0","0.01",Table1334567[[#This Row],[DeltaC]]-ABS(Table1334567[[#This Row],[DeltaP]]))</f>
        <v>0</v>
      </c>
      <c r="AG123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6" t="e">
        <f ca="1">(EXP(-(AG1236^2)/2)/SQRT(2*PI())*EXP(0*SQRT(Table1334567[[#This Row],[T]]))/$A$4*18%*SQRT(SQRT(Table1334567[[#This Row],[T]])))</f>
        <v>#DIV/0!</v>
      </c>
      <c r="AJ1236" t="e">
        <f ca="1">(EXP(-(AH1236^2)/2)/SQRT(2*PI())*EXP(0*SQRT(Table1334567[[#This Row],[T]]))/$A$4*18%*SQRT(SQRT(Table1334567[[#This Row],[T]])))</f>
        <v>#DIV/0!</v>
      </c>
      <c r="AK1236" t="e">
        <f ca="1">Table1334567[[#This Row],[Call D1]]-Table1334567[[#This Row],[IV Calc C]]*SQRT(Table1334567[[#This Row],[T]])</f>
        <v>#DIV/0!</v>
      </c>
      <c r="AL1236" t="e">
        <f ca="1">Table1334567[[#This Row],[Put D1]]-Table1334567[[#This Row],[IV Calc P]]*SQRT(Table1334567[[#This Row],[T]])</f>
        <v>#DIV/0!</v>
      </c>
      <c r="AM1236" t="e">
        <f ca="1">EXP(-0.5*Table1334567[[#This Row],[Call D1]]^2)/SQRT(2*PI())</f>
        <v>#DIV/0!</v>
      </c>
      <c r="AN1236" t="e">
        <f ca="1">EXP(-0.5*Table1334567[[#This Row],[Put D1]]^2)/SQRT(2*PI())</f>
        <v>#DIV/0!</v>
      </c>
      <c r="AO123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6">
        <f ca="1">((Table1334567[[#This Row],[call vanna]]+Table1334567[[#This Row],[put vanna]])*$A$4)</f>
        <v>0</v>
      </c>
      <c r="AR123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6" s="9" t="str" cm="1">
        <f t="array" ref="AT1236">_xlfn.IFS(     $M$1="SPX","SPXW",     $M$1="RUT","RUTW",  $M$1="NDX","NDXP",   TRUE,$M$1 )</f>
        <v>SPXW</v>
      </c>
      <c r="AU1236" s="2">
        <f t="shared" si="127"/>
        <v>6915</v>
      </c>
      <c r="AV1236" t="str">
        <f t="shared" si="128"/>
        <v>000100</v>
      </c>
      <c r="AY123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6">
        <f>((Table1334567[[#This Row],[High C]]+Table1334567[[#This Row],[Low C]])/2)*Table1334567[[#This Row],[gammac]]*Table1334567[[#This Row],[Volume]]</f>
        <v>0</v>
      </c>
      <c r="BD1236">
        <f>((Table1334567[[#This Row],[High P]]+Table1334567[[#This Row],[Low P]])/2)*Table1334567[[#This Row],[gammap]]*Table1334567[[#This Row],[Volume9]]*-1</f>
        <v>0</v>
      </c>
      <c r="BE1236">
        <f>(Table1334567[[#This Row],[SgammaC]]+Table1334567[[#This Row],[SgammaP]])*$A$4*-100</f>
        <v>0</v>
      </c>
      <c r="BF1236">
        <f>Table1334567[[#This Row],[DEXc]]+Table1334567[[#This Row],[DEXp]]</f>
        <v>0</v>
      </c>
      <c r="BG1236">
        <f>IFERROR(Table1334567[[#This Row],[DeltaC]]*Table1334567[[#This Row],[Open.Int]]*$A$4,0)</f>
        <v>0</v>
      </c>
      <c r="BH1236">
        <f>IFERROR(Table1334567[[#This Row],[DeltaP]]*Table1334567[[#This Row],[Open.Int8]]*$A$4,0)</f>
        <v>0</v>
      </c>
      <c r="BI123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6">
        <f ca="1">Table1334567[[#This Row],[charmc]]+Table1334567[[#This Row],[charmp]]</f>
        <v>0</v>
      </c>
      <c r="BL123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6" s="78">
        <f ca="1">Table1334567[[#This Row],[call helper]]+Table1334567[[#This Row],[put helper]]</f>
        <v>0</v>
      </c>
      <c r="BP1236" t="str">
        <f>RTD("tos.rtd", , "STRIKE", "."&amp;Table1334567[[#This Row],[Ticker]]&amp;Table1334567[[#This Row],[Expiry]]&amp;""&amp;"C"&amp;Table1334567[[#This Row],[Spot]]+Table1334567[[#This Row],[step]])</f>
        <v>N/A</v>
      </c>
    </row>
    <row r="1237" spans="1:68" x14ac:dyDescent="0.25">
      <c r="A1237" s="14">
        <f t="shared" ca="1" si="124"/>
        <v>-126.14810350076104</v>
      </c>
      <c r="C1237" s="17"/>
      <c r="D1237" t="str">
        <f>RTD("tos.rtd", , "OPEN_INT", "."&amp;Table1334567[[#This Row],[Ticker]]&amp;Table1334567[[#This Row],[Expiry]]&amp;""&amp;"C"&amp;Table1334567[[#This Row],[Spot]]+Table1334567[[#This Row],[step]])</f>
        <v>N/A</v>
      </c>
      <c r="E123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7" s="17" cm="1">
        <f t="array" aca="1" ref="H1237" ca="1">IndividualLegIVCore($A$4, Table1334567[[#This Row],[Strike]], 0.0411, Table1334567[[#This Row],[T]], ((Table1334567[[#This Row],[BIDC]]+Table1334567[[#This Row],[ASKC]])/2), TRUE)</f>
        <v>0.01</v>
      </c>
      <c r="I123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7" s="17"/>
      <c r="M1237" s="1">
        <f t="shared" si="125"/>
        <v>0</v>
      </c>
      <c r="N1237" t="b">
        <f t="shared" si="126"/>
        <v>0</v>
      </c>
      <c r="P1237" s="17" cm="1">
        <f t="array" aca="1" ref="P1237" ca="1">IndividualLegIVCore($A$4, Table1334567[[#This Row],[Strike]], 0.0411, Table1334567[[#This Row],[T]], ((Table1334567[[#This Row],[BIDP]]+Table1334567[[#This Row],[ASKP]])/2), FALSE)</f>
        <v>0.01</v>
      </c>
      <c r="Q123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7" s="17"/>
      <c r="T123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7" s="19">
        <f>-45.5* IF($M$1="NDX", 10, IF(OR($M$1="SPX", $M$1="RUT"), 2, 1))</f>
        <v>-91</v>
      </c>
      <c r="Z1237">
        <f ca="1">IFERROR(Table1334567[[#This Row],[call gamma]]*(Table1334567[[#This Row],[Open.Int]])*$A$4^2,0)</f>
        <v>0</v>
      </c>
      <c r="AA1237">
        <f ca="1">IFERROR(((Table1334567[[#This Row],[Open.Int8]])*Table1334567[[#This Row],[Put gamma]])*-1*$A$4^2,0)</f>
        <v>0</v>
      </c>
      <c r="AB1237">
        <f ca="1">(Table1334567[[#This Row],[Call Gex]]+Table1334567[[#This Row],[Put Gex]])</f>
        <v>0</v>
      </c>
      <c r="AC1237">
        <f ca="1">Table1334567[[#This Row],[put delta adj]]+Table1334567[[#This Row],[call delta adj]]</f>
        <v>0</v>
      </c>
      <c r="AD1237">
        <f ca="1">Table1334567[[#This Row],[Put Gex]]*Table1334567[[#This Row],[DeltaP]]*-1</f>
        <v>0</v>
      </c>
      <c r="AE1237">
        <f ca="1">Table1334567[[#This Row],[Call Gex]]*Table1334567[[#This Row],[DeltaC]]</f>
        <v>0</v>
      </c>
      <c r="AF1237">
        <f>IF(Table1334567[[#This Row],[DeltaC]]-ABS(Table1334567[[#This Row],[DeltaP]])="0","0.01",Table1334567[[#This Row],[DeltaC]]-ABS(Table1334567[[#This Row],[DeltaP]]))</f>
        <v>0</v>
      </c>
      <c r="AG123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7" t="e">
        <f ca="1">(EXP(-(AG1237^2)/2)/SQRT(2*PI())*EXP(0*SQRT(Table1334567[[#This Row],[T]]))/$A$4*18%*SQRT(SQRT(Table1334567[[#This Row],[T]])))</f>
        <v>#DIV/0!</v>
      </c>
      <c r="AJ1237" t="e">
        <f ca="1">(EXP(-(AH1237^2)/2)/SQRT(2*PI())*EXP(0*SQRT(Table1334567[[#This Row],[T]]))/$A$4*18%*SQRT(SQRT(Table1334567[[#This Row],[T]])))</f>
        <v>#DIV/0!</v>
      </c>
      <c r="AK1237" t="e">
        <f ca="1">Table1334567[[#This Row],[Call D1]]-Table1334567[[#This Row],[IV Calc C]]*SQRT(Table1334567[[#This Row],[T]])</f>
        <v>#DIV/0!</v>
      </c>
      <c r="AL1237" t="e">
        <f ca="1">Table1334567[[#This Row],[Put D1]]-Table1334567[[#This Row],[IV Calc P]]*SQRT(Table1334567[[#This Row],[T]])</f>
        <v>#DIV/0!</v>
      </c>
      <c r="AM1237" t="e">
        <f ca="1">EXP(-0.5*Table1334567[[#This Row],[Call D1]]^2)/SQRT(2*PI())</f>
        <v>#DIV/0!</v>
      </c>
      <c r="AN1237" t="e">
        <f ca="1">EXP(-0.5*Table1334567[[#This Row],[Put D1]]^2)/SQRT(2*PI())</f>
        <v>#DIV/0!</v>
      </c>
      <c r="AO123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7">
        <f ca="1">((Table1334567[[#This Row],[call vanna]]+Table1334567[[#This Row],[put vanna]])*$A$4)</f>
        <v>0</v>
      </c>
      <c r="AR123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7" s="9" t="str" cm="1">
        <f t="array" ref="AT1237">_xlfn.IFS(     $M$1="SPX","SPXW",     $M$1="RUT","RUTW",  $M$1="NDX","NDXP",   TRUE,$M$1 )</f>
        <v>SPXW</v>
      </c>
      <c r="AU1237" s="2">
        <f t="shared" si="127"/>
        <v>6915</v>
      </c>
      <c r="AV1237" t="str">
        <f t="shared" si="128"/>
        <v>000100</v>
      </c>
      <c r="AY123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7">
        <f>((Table1334567[[#This Row],[High C]]+Table1334567[[#This Row],[Low C]])/2)*Table1334567[[#This Row],[gammac]]*Table1334567[[#This Row],[Volume]]</f>
        <v>0</v>
      </c>
      <c r="BD1237">
        <f>((Table1334567[[#This Row],[High P]]+Table1334567[[#This Row],[Low P]])/2)*Table1334567[[#This Row],[gammap]]*Table1334567[[#This Row],[Volume9]]*-1</f>
        <v>0</v>
      </c>
      <c r="BE1237">
        <f>(Table1334567[[#This Row],[SgammaC]]+Table1334567[[#This Row],[SgammaP]])*$A$4*-100</f>
        <v>0</v>
      </c>
      <c r="BF1237">
        <f>Table1334567[[#This Row],[DEXc]]+Table1334567[[#This Row],[DEXp]]</f>
        <v>0</v>
      </c>
      <c r="BG1237">
        <f>IFERROR(Table1334567[[#This Row],[DeltaC]]*Table1334567[[#This Row],[Open.Int]]*$A$4,0)</f>
        <v>0</v>
      </c>
      <c r="BH1237">
        <f>IFERROR(Table1334567[[#This Row],[DeltaP]]*Table1334567[[#This Row],[Open.Int8]]*$A$4,0)</f>
        <v>0</v>
      </c>
      <c r="BI123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7">
        <f ca="1">Table1334567[[#This Row],[charmc]]+Table1334567[[#This Row],[charmp]]</f>
        <v>0</v>
      </c>
      <c r="BL123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7" s="78">
        <f ca="1">Table1334567[[#This Row],[call helper]]+Table1334567[[#This Row],[put helper]]</f>
        <v>0</v>
      </c>
      <c r="BP1237" t="str">
        <f>RTD("tos.rtd", , "STRIKE", "."&amp;Table1334567[[#This Row],[Ticker]]&amp;Table1334567[[#This Row],[Expiry]]&amp;""&amp;"C"&amp;Table1334567[[#This Row],[Spot]]+Table1334567[[#This Row],[step]])</f>
        <v>N/A</v>
      </c>
    </row>
    <row r="1238" spans="1:68" x14ac:dyDescent="0.25">
      <c r="A1238" s="14">
        <f t="shared" ca="1" si="124"/>
        <v>-126.14810350076104</v>
      </c>
      <c r="C1238" s="17"/>
      <c r="D1238" t="str">
        <f>RTD("tos.rtd", , "OPEN_INT", "."&amp;Table1334567[[#This Row],[Ticker]]&amp;Table1334567[[#This Row],[Expiry]]&amp;""&amp;"C"&amp;Table1334567[[#This Row],[Spot]]+Table1334567[[#This Row],[step]])</f>
        <v>N/A</v>
      </c>
      <c r="E123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8" s="17" cm="1">
        <f t="array" aca="1" ref="H1238" ca="1">IndividualLegIVCore($A$4, Table1334567[[#This Row],[Strike]], 0.0411, Table1334567[[#This Row],[T]], ((Table1334567[[#This Row],[BIDC]]+Table1334567[[#This Row],[ASKC]])/2), TRUE)</f>
        <v>0.01</v>
      </c>
      <c r="I123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8" s="17"/>
      <c r="M1238" s="1">
        <f t="shared" si="125"/>
        <v>0</v>
      </c>
      <c r="N1238" t="b">
        <f t="shared" si="126"/>
        <v>0</v>
      </c>
      <c r="P1238" s="17" cm="1">
        <f t="array" aca="1" ref="P1238" ca="1">IndividualLegIVCore($A$4, Table1334567[[#This Row],[Strike]], 0.0411, Table1334567[[#This Row],[T]], ((Table1334567[[#This Row],[BIDP]]+Table1334567[[#This Row],[ASKP]])/2), FALSE)</f>
        <v>0.01</v>
      </c>
      <c r="Q123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8" s="17"/>
      <c r="T123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8" s="19">
        <f>-45* IF($M$1="NDX", 10, IF(OR($M$1="SPX", $M$1="RUT"), 2, 1))</f>
        <v>-90</v>
      </c>
      <c r="Z1238">
        <f ca="1">IFERROR(Table1334567[[#This Row],[call gamma]]*(Table1334567[[#This Row],[Open.Int]])*$A$4^2,0)</f>
        <v>0</v>
      </c>
      <c r="AA1238">
        <f ca="1">IFERROR(((Table1334567[[#This Row],[Open.Int8]])*Table1334567[[#This Row],[Put gamma]])*-1*$A$4^2,0)</f>
        <v>0</v>
      </c>
      <c r="AB1238">
        <f ca="1">(Table1334567[[#This Row],[Call Gex]]+Table1334567[[#This Row],[Put Gex]])</f>
        <v>0</v>
      </c>
      <c r="AC1238">
        <f ca="1">Table1334567[[#This Row],[put delta adj]]+Table1334567[[#This Row],[call delta adj]]</f>
        <v>0</v>
      </c>
      <c r="AD1238">
        <f ca="1">Table1334567[[#This Row],[Put Gex]]*Table1334567[[#This Row],[DeltaP]]*-1</f>
        <v>0</v>
      </c>
      <c r="AE1238">
        <f ca="1">Table1334567[[#This Row],[Call Gex]]*Table1334567[[#This Row],[DeltaC]]</f>
        <v>0</v>
      </c>
      <c r="AF1238">
        <f>IF(Table1334567[[#This Row],[DeltaC]]-ABS(Table1334567[[#This Row],[DeltaP]])="0","0.01",Table1334567[[#This Row],[DeltaC]]-ABS(Table1334567[[#This Row],[DeltaP]]))</f>
        <v>0</v>
      </c>
      <c r="AG123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8" t="e">
        <f ca="1">(EXP(-(AG1238^2)/2)/SQRT(2*PI())*EXP(0*SQRT(Table1334567[[#This Row],[T]]))/$A$4*18%*SQRT(SQRT(Table1334567[[#This Row],[T]])))</f>
        <v>#DIV/0!</v>
      </c>
      <c r="AJ1238" t="e">
        <f ca="1">(EXP(-(AH1238^2)/2)/SQRT(2*PI())*EXP(0*SQRT(Table1334567[[#This Row],[T]]))/$A$4*18%*SQRT(SQRT(Table1334567[[#This Row],[T]])))</f>
        <v>#DIV/0!</v>
      </c>
      <c r="AK1238" t="e">
        <f ca="1">Table1334567[[#This Row],[Call D1]]-Table1334567[[#This Row],[IV Calc C]]*SQRT(Table1334567[[#This Row],[T]])</f>
        <v>#DIV/0!</v>
      </c>
      <c r="AL1238" t="e">
        <f ca="1">Table1334567[[#This Row],[Put D1]]-Table1334567[[#This Row],[IV Calc P]]*SQRT(Table1334567[[#This Row],[T]])</f>
        <v>#DIV/0!</v>
      </c>
      <c r="AM1238" t="e">
        <f ca="1">EXP(-0.5*Table1334567[[#This Row],[Call D1]]^2)/SQRT(2*PI())</f>
        <v>#DIV/0!</v>
      </c>
      <c r="AN1238" t="e">
        <f ca="1">EXP(-0.5*Table1334567[[#This Row],[Put D1]]^2)/SQRT(2*PI())</f>
        <v>#DIV/0!</v>
      </c>
      <c r="AO123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8">
        <f ca="1">((Table1334567[[#This Row],[call vanna]]+Table1334567[[#This Row],[put vanna]])*$A$4)</f>
        <v>0</v>
      </c>
      <c r="AR123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8" s="9" t="str" cm="1">
        <f t="array" ref="AT1238">_xlfn.IFS(     $M$1="SPX","SPXW",     $M$1="RUT","RUTW",  $M$1="NDX","NDXP",   TRUE,$M$1 )</f>
        <v>SPXW</v>
      </c>
      <c r="AU1238" s="2">
        <f t="shared" si="127"/>
        <v>6915</v>
      </c>
      <c r="AV1238" t="str">
        <f t="shared" si="128"/>
        <v>000100</v>
      </c>
      <c r="AY123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8">
        <f>((Table1334567[[#This Row],[High C]]+Table1334567[[#This Row],[Low C]])/2)*Table1334567[[#This Row],[gammac]]*Table1334567[[#This Row],[Volume]]</f>
        <v>0</v>
      </c>
      <c r="BD1238">
        <f>((Table1334567[[#This Row],[High P]]+Table1334567[[#This Row],[Low P]])/2)*Table1334567[[#This Row],[gammap]]*Table1334567[[#This Row],[Volume9]]*-1</f>
        <v>0</v>
      </c>
      <c r="BE1238">
        <f>(Table1334567[[#This Row],[SgammaC]]+Table1334567[[#This Row],[SgammaP]])*$A$4*-100</f>
        <v>0</v>
      </c>
      <c r="BF1238">
        <f>Table1334567[[#This Row],[DEXc]]+Table1334567[[#This Row],[DEXp]]</f>
        <v>0</v>
      </c>
      <c r="BG1238">
        <f>IFERROR(Table1334567[[#This Row],[DeltaC]]*Table1334567[[#This Row],[Open.Int]]*$A$4,0)</f>
        <v>0</v>
      </c>
      <c r="BH1238">
        <f>IFERROR(Table1334567[[#This Row],[DeltaP]]*Table1334567[[#This Row],[Open.Int8]]*$A$4,0)</f>
        <v>0</v>
      </c>
      <c r="BI123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8">
        <f ca="1">Table1334567[[#This Row],[charmc]]+Table1334567[[#This Row],[charmp]]</f>
        <v>0</v>
      </c>
      <c r="BL123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8" s="78">
        <f ca="1">Table1334567[[#This Row],[call helper]]+Table1334567[[#This Row],[put helper]]</f>
        <v>0</v>
      </c>
      <c r="BP1238" t="str">
        <f>RTD("tos.rtd", , "STRIKE", "."&amp;Table1334567[[#This Row],[Ticker]]&amp;Table1334567[[#This Row],[Expiry]]&amp;""&amp;"C"&amp;Table1334567[[#This Row],[Spot]]+Table1334567[[#This Row],[step]])</f>
        <v>N/A</v>
      </c>
    </row>
    <row r="1239" spans="1:68" x14ac:dyDescent="0.25">
      <c r="A1239" s="14">
        <f t="shared" ca="1" si="124"/>
        <v>-126.14810350076104</v>
      </c>
      <c r="C1239" s="17"/>
      <c r="D1239" t="str">
        <f>RTD("tos.rtd", , "OPEN_INT", "."&amp;Table1334567[[#This Row],[Ticker]]&amp;Table1334567[[#This Row],[Expiry]]&amp;""&amp;"C"&amp;Table1334567[[#This Row],[Spot]]+Table1334567[[#This Row],[step]])</f>
        <v>N/A</v>
      </c>
      <c r="E123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9" s="17" cm="1">
        <f t="array" aca="1" ref="H1239" ca="1">IndividualLegIVCore($A$4, Table1334567[[#This Row],[Strike]], 0.0411, Table1334567[[#This Row],[T]], ((Table1334567[[#This Row],[BIDC]]+Table1334567[[#This Row],[ASKC]])/2), TRUE)</f>
        <v>0.01</v>
      </c>
      <c r="I123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9" s="17"/>
      <c r="M1239" s="1">
        <f t="shared" si="125"/>
        <v>0</v>
      </c>
      <c r="N1239" t="b">
        <f t="shared" si="126"/>
        <v>0</v>
      </c>
      <c r="P1239" s="17" cm="1">
        <f t="array" aca="1" ref="P1239" ca="1">IndividualLegIVCore($A$4, Table1334567[[#This Row],[Strike]], 0.0411, Table1334567[[#This Row],[T]], ((Table1334567[[#This Row],[BIDP]]+Table1334567[[#This Row],[ASKP]])/2), FALSE)</f>
        <v>0.01</v>
      </c>
      <c r="Q123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9" s="17"/>
      <c r="T123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9" s="19">
        <f>-44.5* IF($M$1="NDX", 10, IF(OR($M$1="SPX", $M$1="RUT"), 2, 1))</f>
        <v>-89</v>
      </c>
      <c r="Z1239">
        <f ca="1">IFERROR(Table1334567[[#This Row],[call gamma]]*(Table1334567[[#This Row],[Open.Int]])*$A$4^2,0)</f>
        <v>0</v>
      </c>
      <c r="AA1239">
        <f ca="1">IFERROR(((Table1334567[[#This Row],[Open.Int8]])*Table1334567[[#This Row],[Put gamma]])*-1*$A$4^2,0)</f>
        <v>0</v>
      </c>
      <c r="AB1239">
        <f ca="1">(Table1334567[[#This Row],[Call Gex]]+Table1334567[[#This Row],[Put Gex]])</f>
        <v>0</v>
      </c>
      <c r="AC1239">
        <f ca="1">Table1334567[[#This Row],[put delta adj]]+Table1334567[[#This Row],[call delta adj]]</f>
        <v>0</v>
      </c>
      <c r="AD1239">
        <f ca="1">Table1334567[[#This Row],[Put Gex]]*Table1334567[[#This Row],[DeltaP]]*-1</f>
        <v>0</v>
      </c>
      <c r="AE1239">
        <f ca="1">Table1334567[[#This Row],[Call Gex]]*Table1334567[[#This Row],[DeltaC]]</f>
        <v>0</v>
      </c>
      <c r="AF1239">
        <f>IF(Table1334567[[#This Row],[DeltaC]]-ABS(Table1334567[[#This Row],[DeltaP]])="0","0.01",Table1334567[[#This Row],[DeltaC]]-ABS(Table1334567[[#This Row],[DeltaP]]))</f>
        <v>0</v>
      </c>
      <c r="AG123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9" t="e">
        <f ca="1">(EXP(-(AG1239^2)/2)/SQRT(2*PI())*EXP(0*SQRT(Table1334567[[#This Row],[T]]))/$A$4*18%*SQRT(SQRT(Table1334567[[#This Row],[T]])))</f>
        <v>#DIV/0!</v>
      </c>
      <c r="AJ1239" t="e">
        <f ca="1">(EXP(-(AH1239^2)/2)/SQRT(2*PI())*EXP(0*SQRT(Table1334567[[#This Row],[T]]))/$A$4*18%*SQRT(SQRT(Table1334567[[#This Row],[T]])))</f>
        <v>#DIV/0!</v>
      </c>
      <c r="AK1239" t="e">
        <f ca="1">Table1334567[[#This Row],[Call D1]]-Table1334567[[#This Row],[IV Calc C]]*SQRT(Table1334567[[#This Row],[T]])</f>
        <v>#DIV/0!</v>
      </c>
      <c r="AL1239" t="e">
        <f ca="1">Table1334567[[#This Row],[Put D1]]-Table1334567[[#This Row],[IV Calc P]]*SQRT(Table1334567[[#This Row],[T]])</f>
        <v>#DIV/0!</v>
      </c>
      <c r="AM1239" t="e">
        <f ca="1">EXP(-0.5*Table1334567[[#This Row],[Call D1]]^2)/SQRT(2*PI())</f>
        <v>#DIV/0!</v>
      </c>
      <c r="AN1239" t="e">
        <f ca="1">EXP(-0.5*Table1334567[[#This Row],[Put D1]]^2)/SQRT(2*PI())</f>
        <v>#DIV/0!</v>
      </c>
      <c r="AO123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9">
        <f ca="1">((Table1334567[[#This Row],[call vanna]]+Table1334567[[#This Row],[put vanna]])*$A$4)</f>
        <v>0</v>
      </c>
      <c r="AR123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9" s="9" t="str" cm="1">
        <f t="array" ref="AT1239">_xlfn.IFS(     $M$1="SPX","SPXW",     $M$1="RUT","RUTW",  $M$1="NDX","NDXP",   TRUE,$M$1 )</f>
        <v>SPXW</v>
      </c>
      <c r="AU1239" s="2">
        <f t="shared" si="127"/>
        <v>6915</v>
      </c>
      <c r="AV1239" t="str">
        <f t="shared" si="128"/>
        <v>000100</v>
      </c>
      <c r="AY123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9">
        <f>((Table1334567[[#This Row],[High C]]+Table1334567[[#This Row],[Low C]])/2)*Table1334567[[#This Row],[gammac]]*Table1334567[[#This Row],[Volume]]</f>
        <v>0</v>
      </c>
      <c r="BD1239">
        <f>((Table1334567[[#This Row],[High P]]+Table1334567[[#This Row],[Low P]])/2)*Table1334567[[#This Row],[gammap]]*Table1334567[[#This Row],[Volume9]]*-1</f>
        <v>0</v>
      </c>
      <c r="BE1239">
        <f>(Table1334567[[#This Row],[SgammaC]]+Table1334567[[#This Row],[SgammaP]])*$A$4*-100</f>
        <v>0</v>
      </c>
      <c r="BF1239">
        <f>Table1334567[[#This Row],[DEXc]]+Table1334567[[#This Row],[DEXp]]</f>
        <v>0</v>
      </c>
      <c r="BG1239">
        <f>IFERROR(Table1334567[[#This Row],[DeltaC]]*Table1334567[[#This Row],[Open.Int]]*$A$4,0)</f>
        <v>0</v>
      </c>
      <c r="BH1239">
        <f>IFERROR(Table1334567[[#This Row],[DeltaP]]*Table1334567[[#This Row],[Open.Int8]]*$A$4,0)</f>
        <v>0</v>
      </c>
      <c r="BI123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9">
        <f ca="1">Table1334567[[#This Row],[charmc]]+Table1334567[[#This Row],[charmp]]</f>
        <v>0</v>
      </c>
      <c r="BL123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9" s="78">
        <f ca="1">Table1334567[[#This Row],[call helper]]+Table1334567[[#This Row],[put helper]]</f>
        <v>0</v>
      </c>
      <c r="BP1239" t="str">
        <f>RTD("tos.rtd", , "STRIKE", "."&amp;Table1334567[[#This Row],[Ticker]]&amp;Table1334567[[#This Row],[Expiry]]&amp;""&amp;"C"&amp;Table1334567[[#This Row],[Spot]]+Table1334567[[#This Row],[step]])</f>
        <v>N/A</v>
      </c>
    </row>
    <row r="1240" spans="1:68" x14ac:dyDescent="0.25">
      <c r="A1240" s="14">
        <f t="shared" ca="1" si="124"/>
        <v>-126.14810350076104</v>
      </c>
      <c r="C1240" s="17"/>
      <c r="D1240" t="str">
        <f>RTD("tos.rtd", , "OPEN_INT", "."&amp;Table1334567[[#This Row],[Ticker]]&amp;Table1334567[[#This Row],[Expiry]]&amp;""&amp;"C"&amp;Table1334567[[#This Row],[Spot]]+Table1334567[[#This Row],[step]])</f>
        <v>N/A</v>
      </c>
      <c r="E124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0" s="17" cm="1">
        <f t="array" aca="1" ref="H1240" ca="1">IndividualLegIVCore($A$4, Table1334567[[#This Row],[Strike]], 0.0411, Table1334567[[#This Row],[T]], ((Table1334567[[#This Row],[BIDC]]+Table1334567[[#This Row],[ASKC]])/2), TRUE)</f>
        <v>0.01</v>
      </c>
      <c r="I124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0" s="17"/>
      <c r="M1240" s="1">
        <f t="shared" si="125"/>
        <v>0</v>
      </c>
      <c r="N1240" t="b">
        <f t="shared" si="126"/>
        <v>0</v>
      </c>
      <c r="P1240" s="17" cm="1">
        <f t="array" aca="1" ref="P1240" ca="1">IndividualLegIVCore($A$4, Table1334567[[#This Row],[Strike]], 0.0411, Table1334567[[#This Row],[T]], ((Table1334567[[#This Row],[BIDP]]+Table1334567[[#This Row],[ASKP]])/2), FALSE)</f>
        <v>0.01</v>
      </c>
      <c r="Q124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0" s="17"/>
      <c r="T124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0" s="19">
        <f>-44* IF($M$1="NDX", 10, IF(OR($M$1="SPX", $M$1="RUT"), 2, 1))</f>
        <v>-88</v>
      </c>
      <c r="Z1240">
        <f ca="1">IFERROR(Table1334567[[#This Row],[call gamma]]*(Table1334567[[#This Row],[Open.Int]])*$A$4^2,0)</f>
        <v>0</v>
      </c>
      <c r="AA1240">
        <f ca="1">IFERROR(((Table1334567[[#This Row],[Open.Int8]])*Table1334567[[#This Row],[Put gamma]])*-1*$A$4^2,0)</f>
        <v>0</v>
      </c>
      <c r="AB1240">
        <f ca="1">(Table1334567[[#This Row],[Call Gex]]+Table1334567[[#This Row],[Put Gex]])</f>
        <v>0</v>
      </c>
      <c r="AC1240">
        <f ca="1">Table1334567[[#This Row],[put delta adj]]+Table1334567[[#This Row],[call delta adj]]</f>
        <v>0</v>
      </c>
      <c r="AD1240">
        <f ca="1">Table1334567[[#This Row],[Put Gex]]*Table1334567[[#This Row],[DeltaP]]*-1</f>
        <v>0</v>
      </c>
      <c r="AE1240">
        <f ca="1">Table1334567[[#This Row],[Call Gex]]*Table1334567[[#This Row],[DeltaC]]</f>
        <v>0</v>
      </c>
      <c r="AF1240">
        <f>IF(Table1334567[[#This Row],[DeltaC]]-ABS(Table1334567[[#This Row],[DeltaP]])="0","0.01",Table1334567[[#This Row],[DeltaC]]-ABS(Table1334567[[#This Row],[DeltaP]]))</f>
        <v>0</v>
      </c>
      <c r="AG124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0" t="e">
        <f ca="1">(EXP(-(AG1240^2)/2)/SQRT(2*PI())*EXP(0*SQRT(Table1334567[[#This Row],[T]]))/$A$4*18%*SQRT(SQRT(Table1334567[[#This Row],[T]])))</f>
        <v>#DIV/0!</v>
      </c>
      <c r="AJ1240" t="e">
        <f ca="1">(EXP(-(AH1240^2)/2)/SQRT(2*PI())*EXP(0*SQRT(Table1334567[[#This Row],[T]]))/$A$4*18%*SQRT(SQRT(Table1334567[[#This Row],[T]])))</f>
        <v>#DIV/0!</v>
      </c>
      <c r="AK1240" t="e">
        <f ca="1">Table1334567[[#This Row],[Call D1]]-Table1334567[[#This Row],[IV Calc C]]*SQRT(Table1334567[[#This Row],[T]])</f>
        <v>#DIV/0!</v>
      </c>
      <c r="AL1240" t="e">
        <f ca="1">Table1334567[[#This Row],[Put D1]]-Table1334567[[#This Row],[IV Calc P]]*SQRT(Table1334567[[#This Row],[T]])</f>
        <v>#DIV/0!</v>
      </c>
      <c r="AM1240" t="e">
        <f ca="1">EXP(-0.5*Table1334567[[#This Row],[Call D1]]^2)/SQRT(2*PI())</f>
        <v>#DIV/0!</v>
      </c>
      <c r="AN1240" t="e">
        <f ca="1">EXP(-0.5*Table1334567[[#This Row],[Put D1]]^2)/SQRT(2*PI())</f>
        <v>#DIV/0!</v>
      </c>
      <c r="AO124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0">
        <f ca="1">((Table1334567[[#This Row],[call vanna]]+Table1334567[[#This Row],[put vanna]])*$A$4)</f>
        <v>0</v>
      </c>
      <c r="AR124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0" s="9" t="str" cm="1">
        <f t="array" ref="AT1240">_xlfn.IFS(     $M$1="SPX","SPXW",     $M$1="RUT","RUTW",  $M$1="NDX","NDXP",   TRUE,$M$1 )</f>
        <v>SPXW</v>
      </c>
      <c r="AU1240" s="2">
        <f t="shared" si="127"/>
        <v>6915</v>
      </c>
      <c r="AV1240" t="str">
        <f t="shared" si="128"/>
        <v>000100</v>
      </c>
      <c r="AY124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0">
        <f>((Table1334567[[#This Row],[High C]]+Table1334567[[#This Row],[Low C]])/2)*Table1334567[[#This Row],[gammac]]*Table1334567[[#This Row],[Volume]]</f>
        <v>0</v>
      </c>
      <c r="BD1240">
        <f>((Table1334567[[#This Row],[High P]]+Table1334567[[#This Row],[Low P]])/2)*Table1334567[[#This Row],[gammap]]*Table1334567[[#This Row],[Volume9]]*-1</f>
        <v>0</v>
      </c>
      <c r="BE1240">
        <f>(Table1334567[[#This Row],[SgammaC]]+Table1334567[[#This Row],[SgammaP]])*$A$4*-100</f>
        <v>0</v>
      </c>
      <c r="BF1240">
        <f>Table1334567[[#This Row],[DEXc]]+Table1334567[[#This Row],[DEXp]]</f>
        <v>0</v>
      </c>
      <c r="BG1240">
        <f>IFERROR(Table1334567[[#This Row],[DeltaC]]*Table1334567[[#This Row],[Open.Int]]*$A$4,0)</f>
        <v>0</v>
      </c>
      <c r="BH1240">
        <f>IFERROR(Table1334567[[#This Row],[DeltaP]]*Table1334567[[#This Row],[Open.Int8]]*$A$4,0)</f>
        <v>0</v>
      </c>
      <c r="BI124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0">
        <f ca="1">Table1334567[[#This Row],[charmc]]+Table1334567[[#This Row],[charmp]]</f>
        <v>0</v>
      </c>
      <c r="BL124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0" s="78">
        <f ca="1">Table1334567[[#This Row],[call helper]]+Table1334567[[#This Row],[put helper]]</f>
        <v>0</v>
      </c>
      <c r="BP1240" t="str">
        <f>RTD("tos.rtd", , "STRIKE", "."&amp;Table1334567[[#This Row],[Ticker]]&amp;Table1334567[[#This Row],[Expiry]]&amp;""&amp;"C"&amp;Table1334567[[#This Row],[Spot]]+Table1334567[[#This Row],[step]])</f>
        <v>N/A</v>
      </c>
    </row>
    <row r="1241" spans="1:68" x14ac:dyDescent="0.25">
      <c r="A1241" s="14">
        <f t="shared" ca="1" si="124"/>
        <v>-126.14810350076104</v>
      </c>
      <c r="C1241" s="17"/>
      <c r="D1241" t="str">
        <f>RTD("tos.rtd", , "OPEN_INT", "."&amp;Table1334567[[#This Row],[Ticker]]&amp;Table1334567[[#This Row],[Expiry]]&amp;""&amp;"C"&amp;Table1334567[[#This Row],[Spot]]+Table1334567[[#This Row],[step]])</f>
        <v>N/A</v>
      </c>
      <c r="E124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1" s="17" cm="1">
        <f t="array" aca="1" ref="H1241" ca="1">IndividualLegIVCore($A$4, Table1334567[[#This Row],[Strike]], 0.0411, Table1334567[[#This Row],[T]], ((Table1334567[[#This Row],[BIDC]]+Table1334567[[#This Row],[ASKC]])/2), TRUE)</f>
        <v>0.01</v>
      </c>
      <c r="I124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1" s="17"/>
      <c r="M1241" s="1">
        <f t="shared" si="125"/>
        <v>0</v>
      </c>
      <c r="N1241" t="b">
        <f t="shared" si="126"/>
        <v>0</v>
      </c>
      <c r="P1241" s="17" cm="1">
        <f t="array" aca="1" ref="P1241" ca="1">IndividualLegIVCore($A$4, Table1334567[[#This Row],[Strike]], 0.0411, Table1334567[[#This Row],[T]], ((Table1334567[[#This Row],[BIDP]]+Table1334567[[#This Row],[ASKP]])/2), FALSE)</f>
        <v>0.01</v>
      </c>
      <c r="Q124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1" s="17"/>
      <c r="T124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1" s="19">
        <f>-43.5* IF($M$1="NDX", 10, IF(OR($M$1="SPX", $M$1="RUT"), 2, 1))</f>
        <v>-87</v>
      </c>
      <c r="Z1241">
        <f ca="1">IFERROR(Table1334567[[#This Row],[call gamma]]*(Table1334567[[#This Row],[Open.Int]])*$A$4^2,0)</f>
        <v>0</v>
      </c>
      <c r="AA1241">
        <f ca="1">IFERROR(((Table1334567[[#This Row],[Open.Int8]])*Table1334567[[#This Row],[Put gamma]])*-1*$A$4^2,0)</f>
        <v>0</v>
      </c>
      <c r="AB1241">
        <f ca="1">(Table1334567[[#This Row],[Call Gex]]+Table1334567[[#This Row],[Put Gex]])</f>
        <v>0</v>
      </c>
      <c r="AC1241">
        <f ca="1">Table1334567[[#This Row],[put delta adj]]+Table1334567[[#This Row],[call delta adj]]</f>
        <v>0</v>
      </c>
      <c r="AD1241">
        <f ca="1">Table1334567[[#This Row],[Put Gex]]*Table1334567[[#This Row],[DeltaP]]*-1</f>
        <v>0</v>
      </c>
      <c r="AE1241">
        <f ca="1">Table1334567[[#This Row],[Call Gex]]*Table1334567[[#This Row],[DeltaC]]</f>
        <v>0</v>
      </c>
      <c r="AF1241">
        <f>IF(Table1334567[[#This Row],[DeltaC]]-ABS(Table1334567[[#This Row],[DeltaP]])="0","0.01",Table1334567[[#This Row],[DeltaC]]-ABS(Table1334567[[#This Row],[DeltaP]]))</f>
        <v>0</v>
      </c>
      <c r="AG124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1" t="e">
        <f ca="1">(EXP(-(AG1241^2)/2)/SQRT(2*PI())*EXP(0*SQRT(Table1334567[[#This Row],[T]]))/$A$4*18%*SQRT(SQRT(Table1334567[[#This Row],[T]])))</f>
        <v>#DIV/0!</v>
      </c>
      <c r="AJ1241" t="e">
        <f ca="1">(EXP(-(AH1241^2)/2)/SQRT(2*PI())*EXP(0*SQRT(Table1334567[[#This Row],[T]]))/$A$4*18%*SQRT(SQRT(Table1334567[[#This Row],[T]])))</f>
        <v>#DIV/0!</v>
      </c>
      <c r="AK1241" t="e">
        <f ca="1">Table1334567[[#This Row],[Call D1]]-Table1334567[[#This Row],[IV Calc C]]*SQRT(Table1334567[[#This Row],[T]])</f>
        <v>#DIV/0!</v>
      </c>
      <c r="AL1241" t="e">
        <f ca="1">Table1334567[[#This Row],[Put D1]]-Table1334567[[#This Row],[IV Calc P]]*SQRT(Table1334567[[#This Row],[T]])</f>
        <v>#DIV/0!</v>
      </c>
      <c r="AM1241" t="e">
        <f ca="1">EXP(-0.5*Table1334567[[#This Row],[Call D1]]^2)/SQRT(2*PI())</f>
        <v>#DIV/0!</v>
      </c>
      <c r="AN1241" t="e">
        <f ca="1">EXP(-0.5*Table1334567[[#This Row],[Put D1]]^2)/SQRT(2*PI())</f>
        <v>#DIV/0!</v>
      </c>
      <c r="AO124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1">
        <f ca="1">((Table1334567[[#This Row],[call vanna]]+Table1334567[[#This Row],[put vanna]])*$A$4)</f>
        <v>0</v>
      </c>
      <c r="AR124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1" s="9" t="str" cm="1">
        <f t="array" ref="AT1241">_xlfn.IFS(     $M$1="SPX","SPXW",     $M$1="RUT","RUTW",  $M$1="NDX","NDXP",   TRUE,$M$1 )</f>
        <v>SPXW</v>
      </c>
      <c r="AU1241" s="2">
        <f t="shared" si="127"/>
        <v>6915</v>
      </c>
      <c r="AV1241" t="str">
        <f t="shared" si="128"/>
        <v>000100</v>
      </c>
      <c r="AY124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1">
        <f>((Table1334567[[#This Row],[High C]]+Table1334567[[#This Row],[Low C]])/2)*Table1334567[[#This Row],[gammac]]*Table1334567[[#This Row],[Volume]]</f>
        <v>0</v>
      </c>
      <c r="BD1241">
        <f>((Table1334567[[#This Row],[High P]]+Table1334567[[#This Row],[Low P]])/2)*Table1334567[[#This Row],[gammap]]*Table1334567[[#This Row],[Volume9]]*-1</f>
        <v>0</v>
      </c>
      <c r="BE1241">
        <f>(Table1334567[[#This Row],[SgammaC]]+Table1334567[[#This Row],[SgammaP]])*$A$4*-100</f>
        <v>0</v>
      </c>
      <c r="BF1241">
        <f>Table1334567[[#This Row],[DEXc]]+Table1334567[[#This Row],[DEXp]]</f>
        <v>0</v>
      </c>
      <c r="BG1241">
        <f>IFERROR(Table1334567[[#This Row],[DeltaC]]*Table1334567[[#This Row],[Open.Int]]*$A$4,0)</f>
        <v>0</v>
      </c>
      <c r="BH1241">
        <f>IFERROR(Table1334567[[#This Row],[DeltaP]]*Table1334567[[#This Row],[Open.Int8]]*$A$4,0)</f>
        <v>0</v>
      </c>
      <c r="BI124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1">
        <f ca="1">Table1334567[[#This Row],[charmc]]+Table1334567[[#This Row],[charmp]]</f>
        <v>0</v>
      </c>
      <c r="BL124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1" s="78">
        <f ca="1">Table1334567[[#This Row],[call helper]]+Table1334567[[#This Row],[put helper]]</f>
        <v>0</v>
      </c>
      <c r="BP1241" t="str">
        <f>RTD("tos.rtd", , "STRIKE", "."&amp;Table1334567[[#This Row],[Ticker]]&amp;Table1334567[[#This Row],[Expiry]]&amp;""&amp;"C"&amp;Table1334567[[#This Row],[Spot]]+Table1334567[[#This Row],[step]])</f>
        <v>N/A</v>
      </c>
    </row>
    <row r="1242" spans="1:68" x14ac:dyDescent="0.25">
      <c r="A1242" s="14">
        <f t="shared" ca="1" si="124"/>
        <v>-126.14810350076104</v>
      </c>
      <c r="C1242" s="17"/>
      <c r="D1242" t="str">
        <f>RTD("tos.rtd", , "OPEN_INT", "."&amp;Table1334567[[#This Row],[Ticker]]&amp;Table1334567[[#This Row],[Expiry]]&amp;""&amp;"C"&amp;Table1334567[[#This Row],[Spot]]+Table1334567[[#This Row],[step]])</f>
        <v>N/A</v>
      </c>
      <c r="E124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2" s="17" cm="1">
        <f t="array" aca="1" ref="H1242" ca="1">IndividualLegIVCore($A$4, Table1334567[[#This Row],[Strike]], 0.0411, Table1334567[[#This Row],[T]], ((Table1334567[[#This Row],[BIDC]]+Table1334567[[#This Row],[ASKC]])/2), TRUE)</f>
        <v>0.01</v>
      </c>
      <c r="I124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2" s="17"/>
      <c r="M1242" s="1">
        <f t="shared" si="125"/>
        <v>0</v>
      </c>
      <c r="N1242" t="b">
        <f t="shared" si="126"/>
        <v>0</v>
      </c>
      <c r="P1242" s="17" cm="1">
        <f t="array" aca="1" ref="P1242" ca="1">IndividualLegIVCore($A$4, Table1334567[[#This Row],[Strike]], 0.0411, Table1334567[[#This Row],[T]], ((Table1334567[[#This Row],[BIDP]]+Table1334567[[#This Row],[ASKP]])/2), FALSE)</f>
        <v>0.01</v>
      </c>
      <c r="Q124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2" s="17"/>
      <c r="T124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2" s="19">
        <f>-43* IF($M$1="NDX", 10, IF(OR($M$1="SPX", $M$1="RUT"), 2, 1))</f>
        <v>-86</v>
      </c>
      <c r="Z1242">
        <f ca="1">IFERROR(Table1334567[[#This Row],[call gamma]]*(Table1334567[[#This Row],[Open.Int]])*$A$4^2,0)</f>
        <v>0</v>
      </c>
      <c r="AA1242">
        <f ca="1">IFERROR(((Table1334567[[#This Row],[Open.Int8]])*Table1334567[[#This Row],[Put gamma]])*-1*$A$4^2,0)</f>
        <v>0</v>
      </c>
      <c r="AB1242">
        <f ca="1">(Table1334567[[#This Row],[Call Gex]]+Table1334567[[#This Row],[Put Gex]])</f>
        <v>0</v>
      </c>
      <c r="AC1242">
        <f ca="1">Table1334567[[#This Row],[put delta adj]]+Table1334567[[#This Row],[call delta adj]]</f>
        <v>0</v>
      </c>
      <c r="AD1242">
        <f ca="1">Table1334567[[#This Row],[Put Gex]]*Table1334567[[#This Row],[DeltaP]]*-1</f>
        <v>0</v>
      </c>
      <c r="AE1242">
        <f ca="1">Table1334567[[#This Row],[Call Gex]]*Table1334567[[#This Row],[DeltaC]]</f>
        <v>0</v>
      </c>
      <c r="AF1242">
        <f>IF(Table1334567[[#This Row],[DeltaC]]-ABS(Table1334567[[#This Row],[DeltaP]])="0","0.01",Table1334567[[#This Row],[DeltaC]]-ABS(Table1334567[[#This Row],[DeltaP]]))</f>
        <v>0</v>
      </c>
      <c r="AG124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2" t="e">
        <f ca="1">(EXP(-(AG1242^2)/2)/SQRT(2*PI())*EXP(0*SQRT(Table1334567[[#This Row],[T]]))/$A$4*18%*SQRT(SQRT(Table1334567[[#This Row],[T]])))</f>
        <v>#DIV/0!</v>
      </c>
      <c r="AJ1242" t="e">
        <f ca="1">(EXP(-(AH1242^2)/2)/SQRT(2*PI())*EXP(0*SQRT(Table1334567[[#This Row],[T]]))/$A$4*18%*SQRT(SQRT(Table1334567[[#This Row],[T]])))</f>
        <v>#DIV/0!</v>
      </c>
      <c r="AK1242" t="e">
        <f ca="1">Table1334567[[#This Row],[Call D1]]-Table1334567[[#This Row],[IV Calc C]]*SQRT(Table1334567[[#This Row],[T]])</f>
        <v>#DIV/0!</v>
      </c>
      <c r="AL1242" t="e">
        <f ca="1">Table1334567[[#This Row],[Put D1]]-Table1334567[[#This Row],[IV Calc P]]*SQRT(Table1334567[[#This Row],[T]])</f>
        <v>#DIV/0!</v>
      </c>
      <c r="AM1242" t="e">
        <f ca="1">EXP(-0.5*Table1334567[[#This Row],[Call D1]]^2)/SQRT(2*PI())</f>
        <v>#DIV/0!</v>
      </c>
      <c r="AN1242" t="e">
        <f ca="1">EXP(-0.5*Table1334567[[#This Row],[Put D1]]^2)/SQRT(2*PI())</f>
        <v>#DIV/0!</v>
      </c>
      <c r="AO124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2">
        <f ca="1">((Table1334567[[#This Row],[call vanna]]+Table1334567[[#This Row],[put vanna]])*$A$4)</f>
        <v>0</v>
      </c>
      <c r="AR124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2" s="9" t="str" cm="1">
        <f t="array" ref="AT1242">_xlfn.IFS(     $M$1="SPX","SPXW",     $M$1="RUT","RUTW",  $M$1="NDX","NDXP",   TRUE,$M$1 )</f>
        <v>SPXW</v>
      </c>
      <c r="AU1242" s="2">
        <f t="shared" si="127"/>
        <v>6915</v>
      </c>
      <c r="AV1242" t="str">
        <f t="shared" si="128"/>
        <v>000100</v>
      </c>
      <c r="AY124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2">
        <f>((Table1334567[[#This Row],[High C]]+Table1334567[[#This Row],[Low C]])/2)*Table1334567[[#This Row],[gammac]]*Table1334567[[#This Row],[Volume]]</f>
        <v>0</v>
      </c>
      <c r="BD1242">
        <f>((Table1334567[[#This Row],[High P]]+Table1334567[[#This Row],[Low P]])/2)*Table1334567[[#This Row],[gammap]]*Table1334567[[#This Row],[Volume9]]*-1</f>
        <v>0</v>
      </c>
      <c r="BE1242">
        <f>(Table1334567[[#This Row],[SgammaC]]+Table1334567[[#This Row],[SgammaP]])*$A$4*-100</f>
        <v>0</v>
      </c>
      <c r="BF1242">
        <f>Table1334567[[#This Row],[DEXc]]+Table1334567[[#This Row],[DEXp]]</f>
        <v>0</v>
      </c>
      <c r="BG1242">
        <f>IFERROR(Table1334567[[#This Row],[DeltaC]]*Table1334567[[#This Row],[Open.Int]]*$A$4,0)</f>
        <v>0</v>
      </c>
      <c r="BH1242">
        <f>IFERROR(Table1334567[[#This Row],[DeltaP]]*Table1334567[[#This Row],[Open.Int8]]*$A$4,0)</f>
        <v>0</v>
      </c>
      <c r="BI124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2">
        <f ca="1">Table1334567[[#This Row],[charmc]]+Table1334567[[#This Row],[charmp]]</f>
        <v>0</v>
      </c>
      <c r="BL124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2" s="78">
        <f ca="1">Table1334567[[#This Row],[call helper]]+Table1334567[[#This Row],[put helper]]</f>
        <v>0</v>
      </c>
      <c r="BP1242" t="str">
        <f>RTD("tos.rtd", , "STRIKE", "."&amp;Table1334567[[#This Row],[Ticker]]&amp;Table1334567[[#This Row],[Expiry]]&amp;""&amp;"C"&amp;Table1334567[[#This Row],[Spot]]+Table1334567[[#This Row],[step]])</f>
        <v>N/A</v>
      </c>
    </row>
    <row r="1243" spans="1:68" x14ac:dyDescent="0.25">
      <c r="A1243" s="14">
        <f t="shared" ca="1" si="124"/>
        <v>-126.14810350076104</v>
      </c>
      <c r="C1243" s="17"/>
      <c r="D1243" t="str">
        <f>RTD("tos.rtd", , "OPEN_INT", "."&amp;Table1334567[[#This Row],[Ticker]]&amp;Table1334567[[#This Row],[Expiry]]&amp;""&amp;"C"&amp;Table1334567[[#This Row],[Spot]]+Table1334567[[#This Row],[step]])</f>
        <v>N/A</v>
      </c>
      <c r="E124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3" s="17" cm="1">
        <f t="array" aca="1" ref="H1243" ca="1">IndividualLegIVCore($A$4, Table1334567[[#This Row],[Strike]], 0.0411, Table1334567[[#This Row],[T]], ((Table1334567[[#This Row],[BIDC]]+Table1334567[[#This Row],[ASKC]])/2), TRUE)</f>
        <v>0.01</v>
      </c>
      <c r="I124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3" s="17"/>
      <c r="M1243" s="1">
        <f t="shared" si="125"/>
        <v>0</v>
      </c>
      <c r="N1243" t="b">
        <f t="shared" si="126"/>
        <v>0</v>
      </c>
      <c r="P1243" s="17" cm="1">
        <f t="array" aca="1" ref="P1243" ca="1">IndividualLegIVCore($A$4, Table1334567[[#This Row],[Strike]], 0.0411, Table1334567[[#This Row],[T]], ((Table1334567[[#This Row],[BIDP]]+Table1334567[[#This Row],[ASKP]])/2), FALSE)</f>
        <v>0.01</v>
      </c>
      <c r="Q124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3" s="17"/>
      <c r="T124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3" s="19">
        <f>-42.5* IF($M$1="NDX", 10, IF(OR($M$1="SPX", $M$1="RUT"), 2, 1))</f>
        <v>-85</v>
      </c>
      <c r="Z1243">
        <f ca="1">IFERROR(Table1334567[[#This Row],[call gamma]]*(Table1334567[[#This Row],[Open.Int]])*$A$4^2,0)</f>
        <v>0</v>
      </c>
      <c r="AA1243">
        <f ca="1">IFERROR(((Table1334567[[#This Row],[Open.Int8]])*Table1334567[[#This Row],[Put gamma]])*-1*$A$4^2,0)</f>
        <v>0</v>
      </c>
      <c r="AB1243">
        <f ca="1">(Table1334567[[#This Row],[Call Gex]]+Table1334567[[#This Row],[Put Gex]])</f>
        <v>0</v>
      </c>
      <c r="AC1243">
        <f ca="1">Table1334567[[#This Row],[put delta adj]]+Table1334567[[#This Row],[call delta adj]]</f>
        <v>0</v>
      </c>
      <c r="AD1243">
        <f ca="1">Table1334567[[#This Row],[Put Gex]]*Table1334567[[#This Row],[DeltaP]]*-1</f>
        <v>0</v>
      </c>
      <c r="AE1243">
        <f ca="1">Table1334567[[#This Row],[Call Gex]]*Table1334567[[#This Row],[DeltaC]]</f>
        <v>0</v>
      </c>
      <c r="AF1243">
        <f>IF(Table1334567[[#This Row],[DeltaC]]-ABS(Table1334567[[#This Row],[DeltaP]])="0","0.01",Table1334567[[#This Row],[DeltaC]]-ABS(Table1334567[[#This Row],[DeltaP]]))</f>
        <v>0</v>
      </c>
      <c r="AG124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3" t="e">
        <f ca="1">(EXP(-(AG1243^2)/2)/SQRT(2*PI())*EXP(0*SQRT(Table1334567[[#This Row],[T]]))/$A$4*18%*SQRT(SQRT(Table1334567[[#This Row],[T]])))</f>
        <v>#DIV/0!</v>
      </c>
      <c r="AJ1243" t="e">
        <f ca="1">(EXP(-(AH1243^2)/2)/SQRT(2*PI())*EXP(0*SQRT(Table1334567[[#This Row],[T]]))/$A$4*18%*SQRT(SQRT(Table1334567[[#This Row],[T]])))</f>
        <v>#DIV/0!</v>
      </c>
      <c r="AK1243" t="e">
        <f ca="1">Table1334567[[#This Row],[Call D1]]-Table1334567[[#This Row],[IV Calc C]]*SQRT(Table1334567[[#This Row],[T]])</f>
        <v>#DIV/0!</v>
      </c>
      <c r="AL1243" t="e">
        <f ca="1">Table1334567[[#This Row],[Put D1]]-Table1334567[[#This Row],[IV Calc P]]*SQRT(Table1334567[[#This Row],[T]])</f>
        <v>#DIV/0!</v>
      </c>
      <c r="AM1243" t="e">
        <f ca="1">EXP(-0.5*Table1334567[[#This Row],[Call D1]]^2)/SQRT(2*PI())</f>
        <v>#DIV/0!</v>
      </c>
      <c r="AN1243" t="e">
        <f ca="1">EXP(-0.5*Table1334567[[#This Row],[Put D1]]^2)/SQRT(2*PI())</f>
        <v>#DIV/0!</v>
      </c>
      <c r="AO124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3">
        <f ca="1">((Table1334567[[#This Row],[call vanna]]+Table1334567[[#This Row],[put vanna]])*$A$4)</f>
        <v>0</v>
      </c>
      <c r="AR124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3" s="9" t="str" cm="1">
        <f t="array" ref="AT1243">_xlfn.IFS(     $M$1="SPX","SPXW",     $M$1="RUT","RUTW",  $M$1="NDX","NDXP",   TRUE,$M$1 )</f>
        <v>SPXW</v>
      </c>
      <c r="AU1243" s="2">
        <f t="shared" si="127"/>
        <v>6915</v>
      </c>
      <c r="AV1243" t="str">
        <f t="shared" si="128"/>
        <v>000100</v>
      </c>
      <c r="AY124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3">
        <f>((Table1334567[[#This Row],[High C]]+Table1334567[[#This Row],[Low C]])/2)*Table1334567[[#This Row],[gammac]]*Table1334567[[#This Row],[Volume]]</f>
        <v>0</v>
      </c>
      <c r="BD1243">
        <f>((Table1334567[[#This Row],[High P]]+Table1334567[[#This Row],[Low P]])/2)*Table1334567[[#This Row],[gammap]]*Table1334567[[#This Row],[Volume9]]*-1</f>
        <v>0</v>
      </c>
      <c r="BE1243">
        <f>(Table1334567[[#This Row],[SgammaC]]+Table1334567[[#This Row],[SgammaP]])*$A$4*-100</f>
        <v>0</v>
      </c>
      <c r="BF1243">
        <f>Table1334567[[#This Row],[DEXc]]+Table1334567[[#This Row],[DEXp]]</f>
        <v>0</v>
      </c>
      <c r="BG1243">
        <f>IFERROR(Table1334567[[#This Row],[DeltaC]]*Table1334567[[#This Row],[Open.Int]]*$A$4,0)</f>
        <v>0</v>
      </c>
      <c r="BH1243">
        <f>IFERROR(Table1334567[[#This Row],[DeltaP]]*Table1334567[[#This Row],[Open.Int8]]*$A$4,0)</f>
        <v>0</v>
      </c>
      <c r="BI124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3">
        <f ca="1">Table1334567[[#This Row],[charmc]]+Table1334567[[#This Row],[charmp]]</f>
        <v>0</v>
      </c>
      <c r="BL124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3" s="78">
        <f ca="1">Table1334567[[#This Row],[call helper]]+Table1334567[[#This Row],[put helper]]</f>
        <v>0</v>
      </c>
      <c r="BP1243" t="str">
        <f>RTD("tos.rtd", , "STRIKE", "."&amp;Table1334567[[#This Row],[Ticker]]&amp;Table1334567[[#This Row],[Expiry]]&amp;""&amp;"C"&amp;Table1334567[[#This Row],[Spot]]+Table1334567[[#This Row],[step]])</f>
        <v>N/A</v>
      </c>
    </row>
    <row r="1244" spans="1:68" x14ac:dyDescent="0.25">
      <c r="A1244" s="14">
        <f t="shared" ca="1" si="124"/>
        <v>-126.14810350076104</v>
      </c>
      <c r="C1244" s="17"/>
      <c r="D1244" t="str">
        <f>RTD("tos.rtd", , "OPEN_INT", "."&amp;Table1334567[[#This Row],[Ticker]]&amp;Table1334567[[#This Row],[Expiry]]&amp;""&amp;"C"&amp;Table1334567[[#This Row],[Spot]]+Table1334567[[#This Row],[step]])</f>
        <v>N/A</v>
      </c>
      <c r="E124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4" s="17" cm="1">
        <f t="array" aca="1" ref="H1244" ca="1">IndividualLegIVCore($A$4, Table1334567[[#This Row],[Strike]], 0.0411, Table1334567[[#This Row],[T]], ((Table1334567[[#This Row],[BIDC]]+Table1334567[[#This Row],[ASKC]])/2), TRUE)</f>
        <v>0.01</v>
      </c>
      <c r="I124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4" s="17"/>
      <c r="M1244" s="1">
        <f t="shared" si="125"/>
        <v>0</v>
      </c>
      <c r="N1244" t="b">
        <f t="shared" si="126"/>
        <v>0</v>
      </c>
      <c r="P1244" s="17" cm="1">
        <f t="array" aca="1" ref="P1244" ca="1">IndividualLegIVCore($A$4, Table1334567[[#This Row],[Strike]], 0.0411, Table1334567[[#This Row],[T]], ((Table1334567[[#This Row],[BIDP]]+Table1334567[[#This Row],[ASKP]])/2), FALSE)</f>
        <v>0.01</v>
      </c>
      <c r="Q124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4" s="17"/>
      <c r="T124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4" s="19">
        <f>-42* IF($M$1="NDX", 10, IF(OR($M$1="SPX", $M$1="RUT"), 2, 1))</f>
        <v>-84</v>
      </c>
      <c r="Z1244">
        <f ca="1">IFERROR(Table1334567[[#This Row],[call gamma]]*(Table1334567[[#This Row],[Open.Int]])*$A$4^2,0)</f>
        <v>0</v>
      </c>
      <c r="AA1244">
        <f ca="1">IFERROR(((Table1334567[[#This Row],[Open.Int8]])*Table1334567[[#This Row],[Put gamma]])*-1*$A$4^2,0)</f>
        <v>0</v>
      </c>
      <c r="AB1244">
        <f ca="1">(Table1334567[[#This Row],[Call Gex]]+Table1334567[[#This Row],[Put Gex]])</f>
        <v>0</v>
      </c>
      <c r="AC1244">
        <f ca="1">Table1334567[[#This Row],[put delta adj]]+Table1334567[[#This Row],[call delta adj]]</f>
        <v>0</v>
      </c>
      <c r="AD1244">
        <f ca="1">Table1334567[[#This Row],[Put Gex]]*Table1334567[[#This Row],[DeltaP]]*-1</f>
        <v>0</v>
      </c>
      <c r="AE1244">
        <f ca="1">Table1334567[[#This Row],[Call Gex]]*Table1334567[[#This Row],[DeltaC]]</f>
        <v>0</v>
      </c>
      <c r="AF1244">
        <f>IF(Table1334567[[#This Row],[DeltaC]]-ABS(Table1334567[[#This Row],[DeltaP]])="0","0.01",Table1334567[[#This Row],[DeltaC]]-ABS(Table1334567[[#This Row],[DeltaP]]))</f>
        <v>0</v>
      </c>
      <c r="AG124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4" t="e">
        <f ca="1">(EXP(-(AG1244^2)/2)/SQRT(2*PI())*EXP(0*SQRT(Table1334567[[#This Row],[T]]))/$A$4*18%*SQRT(SQRT(Table1334567[[#This Row],[T]])))</f>
        <v>#DIV/0!</v>
      </c>
      <c r="AJ1244" t="e">
        <f ca="1">(EXP(-(AH1244^2)/2)/SQRT(2*PI())*EXP(0*SQRT(Table1334567[[#This Row],[T]]))/$A$4*18%*SQRT(SQRT(Table1334567[[#This Row],[T]])))</f>
        <v>#DIV/0!</v>
      </c>
      <c r="AK1244" t="e">
        <f ca="1">Table1334567[[#This Row],[Call D1]]-Table1334567[[#This Row],[IV Calc C]]*SQRT(Table1334567[[#This Row],[T]])</f>
        <v>#DIV/0!</v>
      </c>
      <c r="AL1244" t="e">
        <f ca="1">Table1334567[[#This Row],[Put D1]]-Table1334567[[#This Row],[IV Calc P]]*SQRT(Table1334567[[#This Row],[T]])</f>
        <v>#DIV/0!</v>
      </c>
      <c r="AM1244" t="e">
        <f ca="1">EXP(-0.5*Table1334567[[#This Row],[Call D1]]^2)/SQRT(2*PI())</f>
        <v>#DIV/0!</v>
      </c>
      <c r="AN1244" t="e">
        <f ca="1">EXP(-0.5*Table1334567[[#This Row],[Put D1]]^2)/SQRT(2*PI())</f>
        <v>#DIV/0!</v>
      </c>
      <c r="AO124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4">
        <f ca="1">((Table1334567[[#This Row],[call vanna]]+Table1334567[[#This Row],[put vanna]])*$A$4)</f>
        <v>0</v>
      </c>
      <c r="AR124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4" s="9" t="str" cm="1">
        <f t="array" ref="AT1244">_xlfn.IFS(     $M$1="SPX","SPXW",     $M$1="RUT","RUTW",  $M$1="NDX","NDXP",   TRUE,$M$1 )</f>
        <v>SPXW</v>
      </c>
      <c r="AU1244" s="2">
        <f t="shared" si="127"/>
        <v>6915</v>
      </c>
      <c r="AV1244" t="str">
        <f t="shared" si="128"/>
        <v>000100</v>
      </c>
      <c r="AY124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4">
        <f>((Table1334567[[#This Row],[High C]]+Table1334567[[#This Row],[Low C]])/2)*Table1334567[[#This Row],[gammac]]*Table1334567[[#This Row],[Volume]]</f>
        <v>0</v>
      </c>
      <c r="BD1244">
        <f>((Table1334567[[#This Row],[High P]]+Table1334567[[#This Row],[Low P]])/2)*Table1334567[[#This Row],[gammap]]*Table1334567[[#This Row],[Volume9]]*-1</f>
        <v>0</v>
      </c>
      <c r="BE1244">
        <f>(Table1334567[[#This Row],[SgammaC]]+Table1334567[[#This Row],[SgammaP]])*$A$4*-100</f>
        <v>0</v>
      </c>
      <c r="BF1244">
        <f>Table1334567[[#This Row],[DEXc]]+Table1334567[[#This Row],[DEXp]]</f>
        <v>0</v>
      </c>
      <c r="BG1244">
        <f>IFERROR(Table1334567[[#This Row],[DeltaC]]*Table1334567[[#This Row],[Open.Int]]*$A$4,0)</f>
        <v>0</v>
      </c>
      <c r="BH1244">
        <f>IFERROR(Table1334567[[#This Row],[DeltaP]]*Table1334567[[#This Row],[Open.Int8]]*$A$4,0)</f>
        <v>0</v>
      </c>
      <c r="BI124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4">
        <f ca="1">Table1334567[[#This Row],[charmc]]+Table1334567[[#This Row],[charmp]]</f>
        <v>0</v>
      </c>
      <c r="BL124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4" s="78">
        <f ca="1">Table1334567[[#This Row],[call helper]]+Table1334567[[#This Row],[put helper]]</f>
        <v>0</v>
      </c>
      <c r="BP1244" t="str">
        <f>RTD("tos.rtd", , "STRIKE", "."&amp;Table1334567[[#This Row],[Ticker]]&amp;Table1334567[[#This Row],[Expiry]]&amp;""&amp;"C"&amp;Table1334567[[#This Row],[Spot]]+Table1334567[[#This Row],[step]])</f>
        <v>N/A</v>
      </c>
    </row>
    <row r="1245" spans="1:68" x14ac:dyDescent="0.25">
      <c r="A1245" s="14">
        <f t="shared" ca="1" si="124"/>
        <v>-126.14810350076104</v>
      </c>
      <c r="C1245" s="17"/>
      <c r="D1245" t="str">
        <f>RTD("tos.rtd", , "OPEN_INT", "."&amp;Table1334567[[#This Row],[Ticker]]&amp;Table1334567[[#This Row],[Expiry]]&amp;""&amp;"C"&amp;Table1334567[[#This Row],[Spot]]+Table1334567[[#This Row],[step]])</f>
        <v>N/A</v>
      </c>
      <c r="E124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5" s="17" cm="1">
        <f t="array" aca="1" ref="H1245" ca="1">IndividualLegIVCore($A$4, Table1334567[[#This Row],[Strike]], 0.0411, Table1334567[[#This Row],[T]], ((Table1334567[[#This Row],[BIDC]]+Table1334567[[#This Row],[ASKC]])/2), TRUE)</f>
        <v>0.01</v>
      </c>
      <c r="I124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5" s="17"/>
      <c r="M1245" s="1">
        <f t="shared" si="125"/>
        <v>0</v>
      </c>
      <c r="N1245" t="b">
        <f t="shared" si="126"/>
        <v>0</v>
      </c>
      <c r="P1245" s="17" cm="1">
        <f t="array" aca="1" ref="P1245" ca="1">IndividualLegIVCore($A$4, Table1334567[[#This Row],[Strike]], 0.0411, Table1334567[[#This Row],[T]], ((Table1334567[[#This Row],[BIDP]]+Table1334567[[#This Row],[ASKP]])/2), FALSE)</f>
        <v>0.01</v>
      </c>
      <c r="Q124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5" s="17"/>
      <c r="T124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5" s="19">
        <f>-41.5* IF($M$1="NDX", 10, IF(OR($M$1="SPX", $M$1="RUT"), 2, 1))</f>
        <v>-83</v>
      </c>
      <c r="Z1245">
        <f ca="1">IFERROR(Table1334567[[#This Row],[call gamma]]*(Table1334567[[#This Row],[Open.Int]])*$A$4^2,0)</f>
        <v>0</v>
      </c>
      <c r="AA1245">
        <f ca="1">IFERROR(((Table1334567[[#This Row],[Open.Int8]])*Table1334567[[#This Row],[Put gamma]])*-1*$A$4^2,0)</f>
        <v>0</v>
      </c>
      <c r="AB1245">
        <f ca="1">(Table1334567[[#This Row],[Call Gex]]+Table1334567[[#This Row],[Put Gex]])</f>
        <v>0</v>
      </c>
      <c r="AC1245">
        <f ca="1">Table1334567[[#This Row],[put delta adj]]+Table1334567[[#This Row],[call delta adj]]</f>
        <v>0</v>
      </c>
      <c r="AD1245">
        <f ca="1">Table1334567[[#This Row],[Put Gex]]*Table1334567[[#This Row],[DeltaP]]*-1</f>
        <v>0</v>
      </c>
      <c r="AE1245">
        <f ca="1">Table1334567[[#This Row],[Call Gex]]*Table1334567[[#This Row],[DeltaC]]</f>
        <v>0</v>
      </c>
      <c r="AF1245">
        <f>IF(Table1334567[[#This Row],[DeltaC]]-ABS(Table1334567[[#This Row],[DeltaP]])="0","0.01",Table1334567[[#This Row],[DeltaC]]-ABS(Table1334567[[#This Row],[DeltaP]]))</f>
        <v>0</v>
      </c>
      <c r="AG124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5" t="e">
        <f ca="1">(EXP(-(AG1245^2)/2)/SQRT(2*PI())*EXP(0*SQRT(Table1334567[[#This Row],[T]]))/$A$4*18%*SQRT(SQRT(Table1334567[[#This Row],[T]])))</f>
        <v>#DIV/0!</v>
      </c>
      <c r="AJ1245" t="e">
        <f ca="1">(EXP(-(AH1245^2)/2)/SQRT(2*PI())*EXP(0*SQRT(Table1334567[[#This Row],[T]]))/$A$4*18%*SQRT(SQRT(Table1334567[[#This Row],[T]])))</f>
        <v>#DIV/0!</v>
      </c>
      <c r="AK1245" t="e">
        <f ca="1">Table1334567[[#This Row],[Call D1]]-Table1334567[[#This Row],[IV Calc C]]*SQRT(Table1334567[[#This Row],[T]])</f>
        <v>#DIV/0!</v>
      </c>
      <c r="AL1245" t="e">
        <f ca="1">Table1334567[[#This Row],[Put D1]]-Table1334567[[#This Row],[IV Calc P]]*SQRT(Table1334567[[#This Row],[T]])</f>
        <v>#DIV/0!</v>
      </c>
      <c r="AM1245" t="e">
        <f ca="1">EXP(-0.5*Table1334567[[#This Row],[Call D1]]^2)/SQRT(2*PI())</f>
        <v>#DIV/0!</v>
      </c>
      <c r="AN1245" t="e">
        <f ca="1">EXP(-0.5*Table1334567[[#This Row],[Put D1]]^2)/SQRT(2*PI())</f>
        <v>#DIV/0!</v>
      </c>
      <c r="AO124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5">
        <f ca="1">((Table1334567[[#This Row],[call vanna]]+Table1334567[[#This Row],[put vanna]])*$A$4)</f>
        <v>0</v>
      </c>
      <c r="AR124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5" s="9" t="str" cm="1">
        <f t="array" ref="AT1245">_xlfn.IFS(     $M$1="SPX","SPXW",     $M$1="RUT","RUTW",  $M$1="NDX","NDXP",   TRUE,$M$1 )</f>
        <v>SPXW</v>
      </c>
      <c r="AU1245" s="2">
        <f t="shared" si="127"/>
        <v>6915</v>
      </c>
      <c r="AV1245" t="str">
        <f t="shared" si="128"/>
        <v>000100</v>
      </c>
      <c r="AY124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5">
        <f>((Table1334567[[#This Row],[High C]]+Table1334567[[#This Row],[Low C]])/2)*Table1334567[[#This Row],[gammac]]*Table1334567[[#This Row],[Volume]]</f>
        <v>0</v>
      </c>
      <c r="BD1245">
        <f>((Table1334567[[#This Row],[High P]]+Table1334567[[#This Row],[Low P]])/2)*Table1334567[[#This Row],[gammap]]*Table1334567[[#This Row],[Volume9]]*-1</f>
        <v>0</v>
      </c>
      <c r="BE1245">
        <f>(Table1334567[[#This Row],[SgammaC]]+Table1334567[[#This Row],[SgammaP]])*$A$4*-100</f>
        <v>0</v>
      </c>
      <c r="BF1245">
        <f>Table1334567[[#This Row],[DEXc]]+Table1334567[[#This Row],[DEXp]]</f>
        <v>0</v>
      </c>
      <c r="BG1245">
        <f>IFERROR(Table1334567[[#This Row],[DeltaC]]*Table1334567[[#This Row],[Open.Int]]*$A$4,0)</f>
        <v>0</v>
      </c>
      <c r="BH1245">
        <f>IFERROR(Table1334567[[#This Row],[DeltaP]]*Table1334567[[#This Row],[Open.Int8]]*$A$4,0)</f>
        <v>0</v>
      </c>
      <c r="BI124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5">
        <f ca="1">Table1334567[[#This Row],[charmc]]+Table1334567[[#This Row],[charmp]]</f>
        <v>0</v>
      </c>
      <c r="BL124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5" s="78">
        <f ca="1">Table1334567[[#This Row],[call helper]]+Table1334567[[#This Row],[put helper]]</f>
        <v>0</v>
      </c>
      <c r="BP1245" t="str">
        <f>RTD("tos.rtd", , "STRIKE", "."&amp;Table1334567[[#This Row],[Ticker]]&amp;Table1334567[[#This Row],[Expiry]]&amp;""&amp;"C"&amp;Table1334567[[#This Row],[Spot]]+Table1334567[[#This Row],[step]])</f>
        <v>N/A</v>
      </c>
    </row>
    <row r="1246" spans="1:68" x14ac:dyDescent="0.25">
      <c r="A1246" s="14">
        <f t="shared" ca="1" si="124"/>
        <v>-126.14810350076104</v>
      </c>
      <c r="C1246" s="17"/>
      <c r="D1246" t="str">
        <f>RTD("tos.rtd", , "OPEN_INT", "."&amp;Table1334567[[#This Row],[Ticker]]&amp;Table1334567[[#This Row],[Expiry]]&amp;""&amp;"C"&amp;Table1334567[[#This Row],[Spot]]+Table1334567[[#This Row],[step]])</f>
        <v>N/A</v>
      </c>
      <c r="E124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6" s="17" cm="1">
        <f t="array" aca="1" ref="H1246" ca="1">IndividualLegIVCore($A$4, Table1334567[[#This Row],[Strike]], 0.0411, Table1334567[[#This Row],[T]], ((Table1334567[[#This Row],[BIDC]]+Table1334567[[#This Row],[ASKC]])/2), TRUE)</f>
        <v>0.01</v>
      </c>
      <c r="I124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6" s="17"/>
      <c r="M1246" s="1">
        <f t="shared" si="125"/>
        <v>0</v>
      </c>
      <c r="N1246" t="b">
        <f t="shared" si="126"/>
        <v>0</v>
      </c>
      <c r="P1246" s="17" cm="1">
        <f t="array" aca="1" ref="P1246" ca="1">IndividualLegIVCore($A$4, Table1334567[[#This Row],[Strike]], 0.0411, Table1334567[[#This Row],[T]], ((Table1334567[[#This Row],[BIDP]]+Table1334567[[#This Row],[ASKP]])/2), FALSE)</f>
        <v>0.01</v>
      </c>
      <c r="Q124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6" s="17"/>
      <c r="T124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6" s="19">
        <f>-41* IF($M$1="NDX", 10, IF(OR($M$1="SPX", $M$1="RUT"), 2, 1))</f>
        <v>-82</v>
      </c>
      <c r="Z1246">
        <f ca="1">IFERROR(Table1334567[[#This Row],[call gamma]]*(Table1334567[[#This Row],[Open.Int]])*$A$4^2,0)</f>
        <v>0</v>
      </c>
      <c r="AA1246">
        <f ca="1">IFERROR(((Table1334567[[#This Row],[Open.Int8]])*Table1334567[[#This Row],[Put gamma]])*-1*$A$4^2,0)</f>
        <v>0</v>
      </c>
      <c r="AB1246">
        <f ca="1">(Table1334567[[#This Row],[Call Gex]]+Table1334567[[#This Row],[Put Gex]])</f>
        <v>0</v>
      </c>
      <c r="AC1246">
        <f ca="1">Table1334567[[#This Row],[put delta adj]]+Table1334567[[#This Row],[call delta adj]]</f>
        <v>0</v>
      </c>
      <c r="AD1246">
        <f ca="1">Table1334567[[#This Row],[Put Gex]]*Table1334567[[#This Row],[DeltaP]]*-1</f>
        <v>0</v>
      </c>
      <c r="AE1246">
        <f ca="1">Table1334567[[#This Row],[Call Gex]]*Table1334567[[#This Row],[DeltaC]]</f>
        <v>0</v>
      </c>
      <c r="AF1246">
        <f>IF(Table1334567[[#This Row],[DeltaC]]-ABS(Table1334567[[#This Row],[DeltaP]])="0","0.01",Table1334567[[#This Row],[DeltaC]]-ABS(Table1334567[[#This Row],[DeltaP]]))</f>
        <v>0</v>
      </c>
      <c r="AG124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6" t="e">
        <f ca="1">(EXP(-(AG1246^2)/2)/SQRT(2*PI())*EXP(0*SQRT(Table1334567[[#This Row],[T]]))/$A$4*18%*SQRT(SQRT(Table1334567[[#This Row],[T]])))</f>
        <v>#DIV/0!</v>
      </c>
      <c r="AJ1246" t="e">
        <f ca="1">(EXP(-(AH1246^2)/2)/SQRT(2*PI())*EXP(0*SQRT(Table1334567[[#This Row],[T]]))/$A$4*18%*SQRT(SQRT(Table1334567[[#This Row],[T]])))</f>
        <v>#DIV/0!</v>
      </c>
      <c r="AK1246" t="e">
        <f ca="1">Table1334567[[#This Row],[Call D1]]-Table1334567[[#This Row],[IV Calc C]]*SQRT(Table1334567[[#This Row],[T]])</f>
        <v>#DIV/0!</v>
      </c>
      <c r="AL1246" t="e">
        <f ca="1">Table1334567[[#This Row],[Put D1]]-Table1334567[[#This Row],[IV Calc P]]*SQRT(Table1334567[[#This Row],[T]])</f>
        <v>#DIV/0!</v>
      </c>
      <c r="AM1246" t="e">
        <f ca="1">EXP(-0.5*Table1334567[[#This Row],[Call D1]]^2)/SQRT(2*PI())</f>
        <v>#DIV/0!</v>
      </c>
      <c r="AN1246" t="e">
        <f ca="1">EXP(-0.5*Table1334567[[#This Row],[Put D1]]^2)/SQRT(2*PI())</f>
        <v>#DIV/0!</v>
      </c>
      <c r="AO124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6">
        <f ca="1">((Table1334567[[#This Row],[call vanna]]+Table1334567[[#This Row],[put vanna]])*$A$4)</f>
        <v>0</v>
      </c>
      <c r="AR124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6" s="9" t="str" cm="1">
        <f t="array" ref="AT1246">_xlfn.IFS(     $M$1="SPX","SPXW",     $M$1="RUT","RUTW",  $M$1="NDX","NDXP",   TRUE,$M$1 )</f>
        <v>SPXW</v>
      </c>
      <c r="AU1246" s="2">
        <f t="shared" si="127"/>
        <v>6915</v>
      </c>
      <c r="AV1246" t="str">
        <f t="shared" si="128"/>
        <v>000100</v>
      </c>
      <c r="AY124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6">
        <f>((Table1334567[[#This Row],[High C]]+Table1334567[[#This Row],[Low C]])/2)*Table1334567[[#This Row],[gammac]]*Table1334567[[#This Row],[Volume]]</f>
        <v>0</v>
      </c>
      <c r="BD1246">
        <f>((Table1334567[[#This Row],[High P]]+Table1334567[[#This Row],[Low P]])/2)*Table1334567[[#This Row],[gammap]]*Table1334567[[#This Row],[Volume9]]*-1</f>
        <v>0</v>
      </c>
      <c r="BE1246">
        <f>(Table1334567[[#This Row],[SgammaC]]+Table1334567[[#This Row],[SgammaP]])*$A$4*-100</f>
        <v>0</v>
      </c>
      <c r="BF1246">
        <f>Table1334567[[#This Row],[DEXc]]+Table1334567[[#This Row],[DEXp]]</f>
        <v>0</v>
      </c>
      <c r="BG1246">
        <f>IFERROR(Table1334567[[#This Row],[DeltaC]]*Table1334567[[#This Row],[Open.Int]]*$A$4,0)</f>
        <v>0</v>
      </c>
      <c r="BH1246">
        <f>IFERROR(Table1334567[[#This Row],[DeltaP]]*Table1334567[[#This Row],[Open.Int8]]*$A$4,0)</f>
        <v>0</v>
      </c>
      <c r="BI124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6">
        <f ca="1">Table1334567[[#This Row],[charmc]]+Table1334567[[#This Row],[charmp]]</f>
        <v>0</v>
      </c>
      <c r="BL124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6" s="78">
        <f ca="1">Table1334567[[#This Row],[call helper]]+Table1334567[[#This Row],[put helper]]</f>
        <v>0</v>
      </c>
      <c r="BP1246" t="str">
        <f>RTD("tos.rtd", , "STRIKE", "."&amp;Table1334567[[#This Row],[Ticker]]&amp;Table1334567[[#This Row],[Expiry]]&amp;""&amp;"C"&amp;Table1334567[[#This Row],[Spot]]+Table1334567[[#This Row],[step]])</f>
        <v>N/A</v>
      </c>
    </row>
    <row r="1247" spans="1:68" x14ac:dyDescent="0.25">
      <c r="A1247" s="14">
        <f t="shared" ca="1" si="124"/>
        <v>-126.14810350076104</v>
      </c>
      <c r="C1247" s="17"/>
      <c r="D1247" t="str">
        <f>RTD("tos.rtd", , "OPEN_INT", "."&amp;Table1334567[[#This Row],[Ticker]]&amp;Table1334567[[#This Row],[Expiry]]&amp;""&amp;"C"&amp;Table1334567[[#This Row],[Spot]]+Table1334567[[#This Row],[step]])</f>
        <v>N/A</v>
      </c>
      <c r="E124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7" s="17" cm="1">
        <f t="array" aca="1" ref="H1247" ca="1">IndividualLegIVCore($A$4, Table1334567[[#This Row],[Strike]], 0.0411, Table1334567[[#This Row],[T]], ((Table1334567[[#This Row],[BIDC]]+Table1334567[[#This Row],[ASKC]])/2), TRUE)</f>
        <v>0.01</v>
      </c>
      <c r="I124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7" s="17"/>
      <c r="M1247" s="1">
        <f t="shared" si="125"/>
        <v>0</v>
      </c>
      <c r="N1247" t="b">
        <f t="shared" si="126"/>
        <v>0</v>
      </c>
      <c r="P1247" s="17" cm="1">
        <f t="array" aca="1" ref="P1247" ca="1">IndividualLegIVCore($A$4, Table1334567[[#This Row],[Strike]], 0.0411, Table1334567[[#This Row],[T]], ((Table1334567[[#This Row],[BIDP]]+Table1334567[[#This Row],[ASKP]])/2), FALSE)</f>
        <v>0.01</v>
      </c>
      <c r="Q124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7" s="17"/>
      <c r="T124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7" s="19">
        <f>-40.5* IF($M$1="NDX", 10, IF(OR($M$1="SPX", $M$1="RUT"), 2, 1))</f>
        <v>-81</v>
      </c>
      <c r="Z1247">
        <f ca="1">IFERROR(Table1334567[[#This Row],[call gamma]]*(Table1334567[[#This Row],[Open.Int]])*$A$4^2,0)</f>
        <v>0</v>
      </c>
      <c r="AA1247">
        <f ca="1">IFERROR(((Table1334567[[#This Row],[Open.Int8]])*Table1334567[[#This Row],[Put gamma]])*-1*$A$4^2,0)</f>
        <v>0</v>
      </c>
      <c r="AB1247">
        <f ca="1">(Table1334567[[#This Row],[Call Gex]]+Table1334567[[#This Row],[Put Gex]])</f>
        <v>0</v>
      </c>
      <c r="AC1247">
        <f ca="1">Table1334567[[#This Row],[put delta adj]]+Table1334567[[#This Row],[call delta adj]]</f>
        <v>0</v>
      </c>
      <c r="AD1247">
        <f ca="1">Table1334567[[#This Row],[Put Gex]]*Table1334567[[#This Row],[DeltaP]]*-1</f>
        <v>0</v>
      </c>
      <c r="AE1247">
        <f ca="1">Table1334567[[#This Row],[Call Gex]]*Table1334567[[#This Row],[DeltaC]]</f>
        <v>0</v>
      </c>
      <c r="AF1247">
        <f>IF(Table1334567[[#This Row],[DeltaC]]-ABS(Table1334567[[#This Row],[DeltaP]])="0","0.01",Table1334567[[#This Row],[DeltaC]]-ABS(Table1334567[[#This Row],[DeltaP]]))</f>
        <v>0</v>
      </c>
      <c r="AG124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7" t="e">
        <f ca="1">(EXP(-(AG1247^2)/2)/SQRT(2*PI())*EXP(0*SQRT(Table1334567[[#This Row],[T]]))/$A$4*18%*SQRT(SQRT(Table1334567[[#This Row],[T]])))</f>
        <v>#DIV/0!</v>
      </c>
      <c r="AJ1247" t="e">
        <f ca="1">(EXP(-(AH1247^2)/2)/SQRT(2*PI())*EXP(0*SQRT(Table1334567[[#This Row],[T]]))/$A$4*18%*SQRT(SQRT(Table1334567[[#This Row],[T]])))</f>
        <v>#DIV/0!</v>
      </c>
      <c r="AK1247" t="e">
        <f ca="1">Table1334567[[#This Row],[Call D1]]-Table1334567[[#This Row],[IV Calc C]]*SQRT(Table1334567[[#This Row],[T]])</f>
        <v>#DIV/0!</v>
      </c>
      <c r="AL1247" t="e">
        <f ca="1">Table1334567[[#This Row],[Put D1]]-Table1334567[[#This Row],[IV Calc P]]*SQRT(Table1334567[[#This Row],[T]])</f>
        <v>#DIV/0!</v>
      </c>
      <c r="AM1247" t="e">
        <f ca="1">EXP(-0.5*Table1334567[[#This Row],[Call D1]]^2)/SQRT(2*PI())</f>
        <v>#DIV/0!</v>
      </c>
      <c r="AN1247" t="e">
        <f ca="1">EXP(-0.5*Table1334567[[#This Row],[Put D1]]^2)/SQRT(2*PI())</f>
        <v>#DIV/0!</v>
      </c>
      <c r="AO124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7">
        <f ca="1">((Table1334567[[#This Row],[call vanna]]+Table1334567[[#This Row],[put vanna]])*$A$4)</f>
        <v>0</v>
      </c>
      <c r="AR124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7" s="9" t="str" cm="1">
        <f t="array" ref="AT1247">_xlfn.IFS(     $M$1="SPX","SPXW",     $M$1="RUT","RUTW",  $M$1="NDX","NDXP",   TRUE,$M$1 )</f>
        <v>SPXW</v>
      </c>
      <c r="AU1247" s="2">
        <f t="shared" si="127"/>
        <v>6915</v>
      </c>
      <c r="AV1247" t="str">
        <f t="shared" si="128"/>
        <v>000100</v>
      </c>
      <c r="AY124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7">
        <f>((Table1334567[[#This Row],[High C]]+Table1334567[[#This Row],[Low C]])/2)*Table1334567[[#This Row],[gammac]]*Table1334567[[#This Row],[Volume]]</f>
        <v>0</v>
      </c>
      <c r="BD1247">
        <f>((Table1334567[[#This Row],[High P]]+Table1334567[[#This Row],[Low P]])/2)*Table1334567[[#This Row],[gammap]]*Table1334567[[#This Row],[Volume9]]*-1</f>
        <v>0</v>
      </c>
      <c r="BE1247">
        <f>(Table1334567[[#This Row],[SgammaC]]+Table1334567[[#This Row],[SgammaP]])*$A$4*-100</f>
        <v>0</v>
      </c>
      <c r="BF1247">
        <f>Table1334567[[#This Row],[DEXc]]+Table1334567[[#This Row],[DEXp]]</f>
        <v>0</v>
      </c>
      <c r="BG1247">
        <f>IFERROR(Table1334567[[#This Row],[DeltaC]]*Table1334567[[#This Row],[Open.Int]]*$A$4,0)</f>
        <v>0</v>
      </c>
      <c r="BH1247">
        <f>IFERROR(Table1334567[[#This Row],[DeltaP]]*Table1334567[[#This Row],[Open.Int8]]*$A$4,0)</f>
        <v>0</v>
      </c>
      <c r="BI124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7">
        <f ca="1">Table1334567[[#This Row],[charmc]]+Table1334567[[#This Row],[charmp]]</f>
        <v>0</v>
      </c>
      <c r="BL124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7" s="78">
        <f ca="1">Table1334567[[#This Row],[call helper]]+Table1334567[[#This Row],[put helper]]</f>
        <v>0</v>
      </c>
      <c r="BP1247" t="str">
        <f>RTD("tos.rtd", , "STRIKE", "."&amp;Table1334567[[#This Row],[Ticker]]&amp;Table1334567[[#This Row],[Expiry]]&amp;""&amp;"C"&amp;Table1334567[[#This Row],[Spot]]+Table1334567[[#This Row],[step]])</f>
        <v>N/A</v>
      </c>
    </row>
    <row r="1248" spans="1:68" x14ac:dyDescent="0.25">
      <c r="A1248" s="14">
        <f t="shared" ca="1" si="124"/>
        <v>-126.14810350076104</v>
      </c>
      <c r="C1248" s="17"/>
      <c r="D1248" t="str">
        <f>RTD("tos.rtd", , "OPEN_INT", "."&amp;Table1334567[[#This Row],[Ticker]]&amp;Table1334567[[#This Row],[Expiry]]&amp;""&amp;"C"&amp;Table1334567[[#This Row],[Spot]]+Table1334567[[#This Row],[step]])</f>
        <v>N/A</v>
      </c>
      <c r="E124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8" s="17" cm="1">
        <f t="array" aca="1" ref="H1248" ca="1">IndividualLegIVCore($A$4, Table1334567[[#This Row],[Strike]], 0.0411, Table1334567[[#This Row],[T]], ((Table1334567[[#This Row],[BIDC]]+Table1334567[[#This Row],[ASKC]])/2), TRUE)</f>
        <v>0.01</v>
      </c>
      <c r="I124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8" s="17"/>
      <c r="M1248" s="1">
        <f t="shared" si="125"/>
        <v>0</v>
      </c>
      <c r="N1248" t="b">
        <f t="shared" si="126"/>
        <v>0</v>
      </c>
      <c r="P1248" s="17" cm="1">
        <f t="array" aca="1" ref="P1248" ca="1">IndividualLegIVCore($A$4, Table1334567[[#This Row],[Strike]], 0.0411, Table1334567[[#This Row],[T]], ((Table1334567[[#This Row],[BIDP]]+Table1334567[[#This Row],[ASKP]])/2), FALSE)</f>
        <v>0.01</v>
      </c>
      <c r="Q124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8" s="17"/>
      <c r="T124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8" s="19">
        <f>-40* IF($M$1="NDX", 10, IF(OR($M$1="SPX", $M$1="RUT"), 2, 1))</f>
        <v>-80</v>
      </c>
      <c r="Z1248">
        <f ca="1">IFERROR(Table1334567[[#This Row],[call gamma]]*(Table1334567[[#This Row],[Open.Int]])*$A$4^2,0)</f>
        <v>0</v>
      </c>
      <c r="AA1248">
        <f ca="1">IFERROR(((Table1334567[[#This Row],[Open.Int8]])*Table1334567[[#This Row],[Put gamma]])*-1*$A$4^2,0)</f>
        <v>0</v>
      </c>
      <c r="AB1248">
        <f ca="1">(Table1334567[[#This Row],[Call Gex]]+Table1334567[[#This Row],[Put Gex]])</f>
        <v>0</v>
      </c>
      <c r="AC1248">
        <f ca="1">Table1334567[[#This Row],[put delta adj]]+Table1334567[[#This Row],[call delta adj]]</f>
        <v>0</v>
      </c>
      <c r="AD1248">
        <f ca="1">Table1334567[[#This Row],[Put Gex]]*Table1334567[[#This Row],[DeltaP]]*-1</f>
        <v>0</v>
      </c>
      <c r="AE1248">
        <f ca="1">Table1334567[[#This Row],[Call Gex]]*Table1334567[[#This Row],[DeltaC]]</f>
        <v>0</v>
      </c>
      <c r="AF1248">
        <f>IF(Table1334567[[#This Row],[DeltaC]]-ABS(Table1334567[[#This Row],[DeltaP]])="0","0.01",Table1334567[[#This Row],[DeltaC]]-ABS(Table1334567[[#This Row],[DeltaP]]))</f>
        <v>0</v>
      </c>
      <c r="AG124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8" t="e">
        <f ca="1">(EXP(-(AG1248^2)/2)/SQRT(2*PI())*EXP(0*SQRT(Table1334567[[#This Row],[T]]))/$A$4*18%*SQRT(SQRT(Table1334567[[#This Row],[T]])))</f>
        <v>#DIV/0!</v>
      </c>
      <c r="AJ1248" t="e">
        <f ca="1">(EXP(-(AH1248^2)/2)/SQRT(2*PI())*EXP(0*SQRT(Table1334567[[#This Row],[T]]))/$A$4*18%*SQRT(SQRT(Table1334567[[#This Row],[T]])))</f>
        <v>#DIV/0!</v>
      </c>
      <c r="AK1248" t="e">
        <f ca="1">Table1334567[[#This Row],[Call D1]]-Table1334567[[#This Row],[IV Calc C]]*SQRT(Table1334567[[#This Row],[T]])</f>
        <v>#DIV/0!</v>
      </c>
      <c r="AL1248" t="e">
        <f ca="1">Table1334567[[#This Row],[Put D1]]-Table1334567[[#This Row],[IV Calc P]]*SQRT(Table1334567[[#This Row],[T]])</f>
        <v>#DIV/0!</v>
      </c>
      <c r="AM1248" t="e">
        <f ca="1">EXP(-0.5*Table1334567[[#This Row],[Call D1]]^2)/SQRT(2*PI())</f>
        <v>#DIV/0!</v>
      </c>
      <c r="AN1248" t="e">
        <f ca="1">EXP(-0.5*Table1334567[[#This Row],[Put D1]]^2)/SQRT(2*PI())</f>
        <v>#DIV/0!</v>
      </c>
      <c r="AO124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8">
        <f ca="1">((Table1334567[[#This Row],[call vanna]]+Table1334567[[#This Row],[put vanna]])*$A$4)</f>
        <v>0</v>
      </c>
      <c r="AR124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8" s="9" t="str" cm="1">
        <f t="array" ref="AT1248">_xlfn.IFS(     $M$1="SPX","SPXW",     $M$1="RUT","RUTW",  $M$1="NDX","NDXP",   TRUE,$M$1 )</f>
        <v>SPXW</v>
      </c>
      <c r="AU1248" s="2">
        <f t="shared" si="127"/>
        <v>6915</v>
      </c>
      <c r="AV1248" t="str">
        <f t="shared" si="128"/>
        <v>000100</v>
      </c>
      <c r="AY124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8">
        <f>((Table1334567[[#This Row],[High C]]+Table1334567[[#This Row],[Low C]])/2)*Table1334567[[#This Row],[gammac]]*Table1334567[[#This Row],[Volume]]</f>
        <v>0</v>
      </c>
      <c r="BD1248">
        <f>((Table1334567[[#This Row],[High P]]+Table1334567[[#This Row],[Low P]])/2)*Table1334567[[#This Row],[gammap]]*Table1334567[[#This Row],[Volume9]]*-1</f>
        <v>0</v>
      </c>
      <c r="BE1248">
        <f>(Table1334567[[#This Row],[SgammaC]]+Table1334567[[#This Row],[SgammaP]])*$A$4*-100</f>
        <v>0</v>
      </c>
      <c r="BF1248">
        <f>Table1334567[[#This Row],[DEXc]]+Table1334567[[#This Row],[DEXp]]</f>
        <v>0</v>
      </c>
      <c r="BG1248">
        <f>IFERROR(Table1334567[[#This Row],[DeltaC]]*Table1334567[[#This Row],[Open.Int]]*$A$4,0)</f>
        <v>0</v>
      </c>
      <c r="BH1248">
        <f>IFERROR(Table1334567[[#This Row],[DeltaP]]*Table1334567[[#This Row],[Open.Int8]]*$A$4,0)</f>
        <v>0</v>
      </c>
      <c r="BI124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8">
        <f ca="1">Table1334567[[#This Row],[charmc]]+Table1334567[[#This Row],[charmp]]</f>
        <v>0</v>
      </c>
      <c r="BL124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8" s="78">
        <f ca="1">Table1334567[[#This Row],[call helper]]+Table1334567[[#This Row],[put helper]]</f>
        <v>0</v>
      </c>
      <c r="BP1248" t="str">
        <f>RTD("tos.rtd", , "STRIKE", "."&amp;Table1334567[[#This Row],[Ticker]]&amp;Table1334567[[#This Row],[Expiry]]&amp;""&amp;"C"&amp;Table1334567[[#This Row],[Spot]]+Table1334567[[#This Row],[step]])</f>
        <v>N/A</v>
      </c>
    </row>
    <row r="1249" spans="1:68" x14ac:dyDescent="0.25">
      <c r="A1249" s="14">
        <f t="shared" ca="1" si="124"/>
        <v>-126.14810350076104</v>
      </c>
      <c r="C1249" s="17"/>
      <c r="D1249" t="str">
        <f>RTD("tos.rtd", , "OPEN_INT", "."&amp;Table1334567[[#This Row],[Ticker]]&amp;Table1334567[[#This Row],[Expiry]]&amp;""&amp;"C"&amp;Table1334567[[#This Row],[Spot]]+Table1334567[[#This Row],[step]])</f>
        <v>N/A</v>
      </c>
      <c r="E124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9" s="17" cm="1">
        <f t="array" aca="1" ref="H1249" ca="1">IndividualLegIVCore($A$4, Table1334567[[#This Row],[Strike]], 0.0411, Table1334567[[#This Row],[T]], ((Table1334567[[#This Row],[BIDC]]+Table1334567[[#This Row],[ASKC]])/2), TRUE)</f>
        <v>0.01</v>
      </c>
      <c r="I124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9" s="17"/>
      <c r="M1249" s="1">
        <f t="shared" si="125"/>
        <v>0</v>
      </c>
      <c r="N1249" t="b">
        <f t="shared" si="126"/>
        <v>0</v>
      </c>
      <c r="P1249" s="17" cm="1">
        <f t="array" aca="1" ref="P1249" ca="1">IndividualLegIVCore($A$4, Table1334567[[#This Row],[Strike]], 0.0411, Table1334567[[#This Row],[T]], ((Table1334567[[#This Row],[BIDP]]+Table1334567[[#This Row],[ASKP]])/2), FALSE)</f>
        <v>0.01</v>
      </c>
      <c r="Q124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9" s="17"/>
      <c r="T124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9" s="19">
        <f>-39.5* IF($M$1="NDX", 10, IF(OR($M$1="SPX", $M$1="RUT"), 2, 1))</f>
        <v>-79</v>
      </c>
      <c r="Z1249">
        <f ca="1">IFERROR(Table1334567[[#This Row],[call gamma]]*(Table1334567[[#This Row],[Open.Int]])*$A$4^2,0)</f>
        <v>0</v>
      </c>
      <c r="AA1249">
        <f ca="1">IFERROR(((Table1334567[[#This Row],[Open.Int8]])*Table1334567[[#This Row],[Put gamma]])*-1*$A$4^2,0)</f>
        <v>0</v>
      </c>
      <c r="AB1249">
        <f ca="1">(Table1334567[[#This Row],[Call Gex]]+Table1334567[[#This Row],[Put Gex]])</f>
        <v>0</v>
      </c>
      <c r="AC1249">
        <f ca="1">Table1334567[[#This Row],[put delta adj]]+Table1334567[[#This Row],[call delta adj]]</f>
        <v>0</v>
      </c>
      <c r="AD1249">
        <f ca="1">Table1334567[[#This Row],[Put Gex]]*Table1334567[[#This Row],[DeltaP]]*-1</f>
        <v>0</v>
      </c>
      <c r="AE1249">
        <f ca="1">Table1334567[[#This Row],[Call Gex]]*Table1334567[[#This Row],[DeltaC]]</f>
        <v>0</v>
      </c>
      <c r="AF1249">
        <f>IF(Table1334567[[#This Row],[DeltaC]]-ABS(Table1334567[[#This Row],[DeltaP]])="0","0.01",Table1334567[[#This Row],[DeltaC]]-ABS(Table1334567[[#This Row],[DeltaP]]))</f>
        <v>0</v>
      </c>
      <c r="AG124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9" t="e">
        <f ca="1">(EXP(-(AG1249^2)/2)/SQRT(2*PI())*EXP(0*SQRT(Table1334567[[#This Row],[T]]))/$A$4*18%*SQRT(SQRT(Table1334567[[#This Row],[T]])))</f>
        <v>#DIV/0!</v>
      </c>
      <c r="AJ1249" t="e">
        <f ca="1">(EXP(-(AH1249^2)/2)/SQRT(2*PI())*EXP(0*SQRT(Table1334567[[#This Row],[T]]))/$A$4*18%*SQRT(SQRT(Table1334567[[#This Row],[T]])))</f>
        <v>#DIV/0!</v>
      </c>
      <c r="AK1249" t="e">
        <f ca="1">Table1334567[[#This Row],[Call D1]]-Table1334567[[#This Row],[IV Calc C]]*SQRT(Table1334567[[#This Row],[T]])</f>
        <v>#DIV/0!</v>
      </c>
      <c r="AL1249" t="e">
        <f ca="1">Table1334567[[#This Row],[Put D1]]-Table1334567[[#This Row],[IV Calc P]]*SQRT(Table1334567[[#This Row],[T]])</f>
        <v>#DIV/0!</v>
      </c>
      <c r="AM1249" t="e">
        <f ca="1">EXP(-0.5*Table1334567[[#This Row],[Call D1]]^2)/SQRT(2*PI())</f>
        <v>#DIV/0!</v>
      </c>
      <c r="AN1249" t="e">
        <f ca="1">EXP(-0.5*Table1334567[[#This Row],[Put D1]]^2)/SQRT(2*PI())</f>
        <v>#DIV/0!</v>
      </c>
      <c r="AO124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9">
        <f ca="1">((Table1334567[[#This Row],[call vanna]]+Table1334567[[#This Row],[put vanna]])*$A$4)</f>
        <v>0</v>
      </c>
      <c r="AR124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9" s="9" t="str" cm="1">
        <f t="array" ref="AT1249">_xlfn.IFS(     $M$1="SPX","SPXW",     $M$1="RUT","RUTW",  $M$1="NDX","NDXP",   TRUE,$M$1 )</f>
        <v>SPXW</v>
      </c>
      <c r="AU1249" s="2">
        <f t="shared" si="127"/>
        <v>6915</v>
      </c>
      <c r="AV1249" t="str">
        <f t="shared" si="128"/>
        <v>000100</v>
      </c>
      <c r="AY124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9">
        <f>((Table1334567[[#This Row],[High C]]+Table1334567[[#This Row],[Low C]])/2)*Table1334567[[#This Row],[gammac]]*Table1334567[[#This Row],[Volume]]</f>
        <v>0</v>
      </c>
      <c r="BD1249">
        <f>((Table1334567[[#This Row],[High P]]+Table1334567[[#This Row],[Low P]])/2)*Table1334567[[#This Row],[gammap]]*Table1334567[[#This Row],[Volume9]]*-1</f>
        <v>0</v>
      </c>
      <c r="BE1249">
        <f>(Table1334567[[#This Row],[SgammaC]]+Table1334567[[#This Row],[SgammaP]])*$A$4*-100</f>
        <v>0</v>
      </c>
      <c r="BF1249">
        <f>Table1334567[[#This Row],[DEXc]]+Table1334567[[#This Row],[DEXp]]</f>
        <v>0</v>
      </c>
      <c r="BG1249">
        <f>IFERROR(Table1334567[[#This Row],[DeltaC]]*Table1334567[[#This Row],[Open.Int]]*$A$4,0)</f>
        <v>0</v>
      </c>
      <c r="BH1249">
        <f>IFERROR(Table1334567[[#This Row],[DeltaP]]*Table1334567[[#This Row],[Open.Int8]]*$A$4,0)</f>
        <v>0</v>
      </c>
      <c r="BI124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9">
        <f ca="1">Table1334567[[#This Row],[charmc]]+Table1334567[[#This Row],[charmp]]</f>
        <v>0</v>
      </c>
      <c r="BL124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9" s="78">
        <f ca="1">Table1334567[[#This Row],[call helper]]+Table1334567[[#This Row],[put helper]]</f>
        <v>0</v>
      </c>
      <c r="BP1249" t="str">
        <f>RTD("tos.rtd", , "STRIKE", "."&amp;Table1334567[[#This Row],[Ticker]]&amp;Table1334567[[#This Row],[Expiry]]&amp;""&amp;"C"&amp;Table1334567[[#This Row],[Spot]]+Table1334567[[#This Row],[step]])</f>
        <v>N/A</v>
      </c>
    </row>
    <row r="1250" spans="1:68" x14ac:dyDescent="0.25">
      <c r="A1250" s="14">
        <f t="shared" ca="1" si="124"/>
        <v>-126.14810350076104</v>
      </c>
      <c r="C1250" s="17"/>
      <c r="D1250" t="str">
        <f>RTD("tos.rtd", , "OPEN_INT", "."&amp;Table1334567[[#This Row],[Ticker]]&amp;Table1334567[[#This Row],[Expiry]]&amp;""&amp;"C"&amp;Table1334567[[#This Row],[Spot]]+Table1334567[[#This Row],[step]])</f>
        <v>N/A</v>
      </c>
      <c r="E125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0" s="17" cm="1">
        <f t="array" aca="1" ref="H1250" ca="1">IndividualLegIVCore($A$4, Table1334567[[#This Row],[Strike]], 0.0411, Table1334567[[#This Row],[T]], ((Table1334567[[#This Row],[BIDC]]+Table1334567[[#This Row],[ASKC]])/2), TRUE)</f>
        <v>0.01</v>
      </c>
      <c r="I125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0" s="17"/>
      <c r="M1250" s="1">
        <f t="shared" si="125"/>
        <v>0</v>
      </c>
      <c r="N1250" t="b">
        <f t="shared" si="126"/>
        <v>0</v>
      </c>
      <c r="P1250" s="17" cm="1">
        <f t="array" aca="1" ref="P1250" ca="1">IndividualLegIVCore($A$4, Table1334567[[#This Row],[Strike]], 0.0411, Table1334567[[#This Row],[T]], ((Table1334567[[#This Row],[BIDP]]+Table1334567[[#This Row],[ASKP]])/2), FALSE)</f>
        <v>0.01</v>
      </c>
      <c r="Q125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0" s="17"/>
      <c r="T125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0" s="19">
        <f>-39* IF($M$1="NDX", 10, IF(OR($M$1="SPX", $M$1="RUT"), 2, 1))</f>
        <v>-78</v>
      </c>
      <c r="Z1250">
        <f ca="1">IFERROR(Table1334567[[#This Row],[call gamma]]*(Table1334567[[#This Row],[Open.Int]])*$A$4^2,0)</f>
        <v>0</v>
      </c>
      <c r="AA1250">
        <f ca="1">IFERROR(((Table1334567[[#This Row],[Open.Int8]])*Table1334567[[#This Row],[Put gamma]])*-1*$A$4^2,0)</f>
        <v>0</v>
      </c>
      <c r="AB1250">
        <f ca="1">(Table1334567[[#This Row],[Call Gex]]+Table1334567[[#This Row],[Put Gex]])</f>
        <v>0</v>
      </c>
      <c r="AC1250">
        <f ca="1">Table1334567[[#This Row],[put delta adj]]+Table1334567[[#This Row],[call delta adj]]</f>
        <v>0</v>
      </c>
      <c r="AD1250">
        <f ca="1">Table1334567[[#This Row],[Put Gex]]*Table1334567[[#This Row],[DeltaP]]*-1</f>
        <v>0</v>
      </c>
      <c r="AE1250">
        <f ca="1">Table1334567[[#This Row],[Call Gex]]*Table1334567[[#This Row],[DeltaC]]</f>
        <v>0</v>
      </c>
      <c r="AF1250">
        <f>IF(Table1334567[[#This Row],[DeltaC]]-ABS(Table1334567[[#This Row],[DeltaP]])="0","0.01",Table1334567[[#This Row],[DeltaC]]-ABS(Table1334567[[#This Row],[DeltaP]]))</f>
        <v>0</v>
      </c>
      <c r="AG125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0" t="e">
        <f ca="1">(EXP(-(AG1250^2)/2)/SQRT(2*PI())*EXP(0*SQRT(Table1334567[[#This Row],[T]]))/$A$4*18%*SQRT(SQRT(Table1334567[[#This Row],[T]])))</f>
        <v>#DIV/0!</v>
      </c>
      <c r="AJ1250" t="e">
        <f ca="1">(EXP(-(AH1250^2)/2)/SQRT(2*PI())*EXP(0*SQRT(Table1334567[[#This Row],[T]]))/$A$4*18%*SQRT(SQRT(Table1334567[[#This Row],[T]])))</f>
        <v>#DIV/0!</v>
      </c>
      <c r="AK1250" t="e">
        <f ca="1">Table1334567[[#This Row],[Call D1]]-Table1334567[[#This Row],[IV Calc C]]*SQRT(Table1334567[[#This Row],[T]])</f>
        <v>#DIV/0!</v>
      </c>
      <c r="AL1250" t="e">
        <f ca="1">Table1334567[[#This Row],[Put D1]]-Table1334567[[#This Row],[IV Calc P]]*SQRT(Table1334567[[#This Row],[T]])</f>
        <v>#DIV/0!</v>
      </c>
      <c r="AM1250" t="e">
        <f ca="1">EXP(-0.5*Table1334567[[#This Row],[Call D1]]^2)/SQRT(2*PI())</f>
        <v>#DIV/0!</v>
      </c>
      <c r="AN1250" t="e">
        <f ca="1">EXP(-0.5*Table1334567[[#This Row],[Put D1]]^2)/SQRT(2*PI())</f>
        <v>#DIV/0!</v>
      </c>
      <c r="AO125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0">
        <f ca="1">((Table1334567[[#This Row],[call vanna]]+Table1334567[[#This Row],[put vanna]])*$A$4)</f>
        <v>0</v>
      </c>
      <c r="AR125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0" s="9" t="str" cm="1">
        <f t="array" ref="AT1250">_xlfn.IFS(     $M$1="SPX","SPXW",     $M$1="RUT","RUTW",  $M$1="NDX","NDXP",   TRUE,$M$1 )</f>
        <v>SPXW</v>
      </c>
      <c r="AU1250" s="2">
        <f t="shared" si="127"/>
        <v>6915</v>
      </c>
      <c r="AV1250" t="str">
        <f t="shared" si="128"/>
        <v>000100</v>
      </c>
      <c r="AY125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0">
        <f>((Table1334567[[#This Row],[High C]]+Table1334567[[#This Row],[Low C]])/2)*Table1334567[[#This Row],[gammac]]*Table1334567[[#This Row],[Volume]]</f>
        <v>0</v>
      </c>
      <c r="BD1250">
        <f>((Table1334567[[#This Row],[High P]]+Table1334567[[#This Row],[Low P]])/2)*Table1334567[[#This Row],[gammap]]*Table1334567[[#This Row],[Volume9]]*-1</f>
        <v>0</v>
      </c>
      <c r="BE1250">
        <f>(Table1334567[[#This Row],[SgammaC]]+Table1334567[[#This Row],[SgammaP]])*$A$4*-100</f>
        <v>0</v>
      </c>
      <c r="BF1250">
        <f>Table1334567[[#This Row],[DEXc]]+Table1334567[[#This Row],[DEXp]]</f>
        <v>0</v>
      </c>
      <c r="BG1250">
        <f>IFERROR(Table1334567[[#This Row],[DeltaC]]*Table1334567[[#This Row],[Open.Int]]*$A$4,0)</f>
        <v>0</v>
      </c>
      <c r="BH1250">
        <f>IFERROR(Table1334567[[#This Row],[DeltaP]]*Table1334567[[#This Row],[Open.Int8]]*$A$4,0)</f>
        <v>0</v>
      </c>
      <c r="BI125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0">
        <f ca="1">Table1334567[[#This Row],[charmc]]+Table1334567[[#This Row],[charmp]]</f>
        <v>0</v>
      </c>
      <c r="BL125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0" s="78">
        <f ca="1">Table1334567[[#This Row],[call helper]]+Table1334567[[#This Row],[put helper]]</f>
        <v>0</v>
      </c>
      <c r="BP1250" t="str">
        <f>RTD("tos.rtd", , "STRIKE", "."&amp;Table1334567[[#This Row],[Ticker]]&amp;Table1334567[[#This Row],[Expiry]]&amp;""&amp;"C"&amp;Table1334567[[#This Row],[Spot]]+Table1334567[[#This Row],[step]])</f>
        <v>N/A</v>
      </c>
    </row>
    <row r="1251" spans="1:68" x14ac:dyDescent="0.25">
      <c r="A1251" s="14">
        <f t="shared" ca="1" si="124"/>
        <v>-126.14810350076104</v>
      </c>
      <c r="C1251" s="17"/>
      <c r="D1251" t="str">
        <f>RTD("tos.rtd", , "OPEN_INT", "."&amp;Table1334567[[#This Row],[Ticker]]&amp;Table1334567[[#This Row],[Expiry]]&amp;""&amp;"C"&amp;Table1334567[[#This Row],[Spot]]+Table1334567[[#This Row],[step]])</f>
        <v>N/A</v>
      </c>
      <c r="E125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1" s="17" cm="1">
        <f t="array" aca="1" ref="H1251" ca="1">IndividualLegIVCore($A$4, Table1334567[[#This Row],[Strike]], 0.0411, Table1334567[[#This Row],[T]], ((Table1334567[[#This Row],[BIDC]]+Table1334567[[#This Row],[ASKC]])/2), TRUE)</f>
        <v>0.01</v>
      </c>
      <c r="I125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1" s="17"/>
      <c r="M1251" s="1">
        <f t="shared" si="125"/>
        <v>0</v>
      </c>
      <c r="N1251" t="b">
        <f t="shared" si="126"/>
        <v>0</v>
      </c>
      <c r="P1251" s="17" cm="1">
        <f t="array" aca="1" ref="P1251" ca="1">IndividualLegIVCore($A$4, Table1334567[[#This Row],[Strike]], 0.0411, Table1334567[[#This Row],[T]], ((Table1334567[[#This Row],[BIDP]]+Table1334567[[#This Row],[ASKP]])/2), FALSE)</f>
        <v>0.01</v>
      </c>
      <c r="Q125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1" s="17"/>
      <c r="T125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1" s="19">
        <f>-38.5* IF($M$1="NDX", 10, IF(OR($M$1="SPX", $M$1="RUT"), 2, 1))</f>
        <v>-77</v>
      </c>
      <c r="Z1251">
        <f ca="1">IFERROR(Table1334567[[#This Row],[call gamma]]*(Table1334567[[#This Row],[Open.Int]])*$A$4^2,0)</f>
        <v>0</v>
      </c>
      <c r="AA1251">
        <f ca="1">IFERROR(((Table1334567[[#This Row],[Open.Int8]])*Table1334567[[#This Row],[Put gamma]])*-1*$A$4^2,0)</f>
        <v>0</v>
      </c>
      <c r="AB1251">
        <f ca="1">(Table1334567[[#This Row],[Call Gex]]+Table1334567[[#This Row],[Put Gex]])</f>
        <v>0</v>
      </c>
      <c r="AC1251">
        <f ca="1">Table1334567[[#This Row],[put delta adj]]+Table1334567[[#This Row],[call delta adj]]</f>
        <v>0</v>
      </c>
      <c r="AD1251">
        <f ca="1">Table1334567[[#This Row],[Put Gex]]*Table1334567[[#This Row],[DeltaP]]*-1</f>
        <v>0</v>
      </c>
      <c r="AE1251">
        <f ca="1">Table1334567[[#This Row],[Call Gex]]*Table1334567[[#This Row],[DeltaC]]</f>
        <v>0</v>
      </c>
      <c r="AF1251">
        <f>IF(Table1334567[[#This Row],[DeltaC]]-ABS(Table1334567[[#This Row],[DeltaP]])="0","0.01",Table1334567[[#This Row],[DeltaC]]-ABS(Table1334567[[#This Row],[DeltaP]]))</f>
        <v>0</v>
      </c>
      <c r="AG125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1" t="e">
        <f ca="1">(EXP(-(AG1251^2)/2)/SQRT(2*PI())*EXP(0*SQRT(Table1334567[[#This Row],[T]]))/$A$4*18%*SQRT(SQRT(Table1334567[[#This Row],[T]])))</f>
        <v>#DIV/0!</v>
      </c>
      <c r="AJ1251" t="e">
        <f ca="1">(EXP(-(AH1251^2)/2)/SQRT(2*PI())*EXP(0*SQRT(Table1334567[[#This Row],[T]]))/$A$4*18%*SQRT(SQRT(Table1334567[[#This Row],[T]])))</f>
        <v>#DIV/0!</v>
      </c>
      <c r="AK1251" t="e">
        <f ca="1">Table1334567[[#This Row],[Call D1]]-Table1334567[[#This Row],[IV Calc C]]*SQRT(Table1334567[[#This Row],[T]])</f>
        <v>#DIV/0!</v>
      </c>
      <c r="AL1251" t="e">
        <f ca="1">Table1334567[[#This Row],[Put D1]]-Table1334567[[#This Row],[IV Calc P]]*SQRT(Table1334567[[#This Row],[T]])</f>
        <v>#DIV/0!</v>
      </c>
      <c r="AM1251" t="e">
        <f ca="1">EXP(-0.5*Table1334567[[#This Row],[Call D1]]^2)/SQRT(2*PI())</f>
        <v>#DIV/0!</v>
      </c>
      <c r="AN1251" t="e">
        <f ca="1">EXP(-0.5*Table1334567[[#This Row],[Put D1]]^2)/SQRT(2*PI())</f>
        <v>#DIV/0!</v>
      </c>
      <c r="AO125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1">
        <f ca="1">((Table1334567[[#This Row],[call vanna]]+Table1334567[[#This Row],[put vanna]])*$A$4)</f>
        <v>0</v>
      </c>
      <c r="AR125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1" s="9" t="str" cm="1">
        <f t="array" ref="AT1251">_xlfn.IFS(     $M$1="SPX","SPXW",     $M$1="RUT","RUTW",  $M$1="NDX","NDXP",   TRUE,$M$1 )</f>
        <v>SPXW</v>
      </c>
      <c r="AU1251" s="2">
        <f t="shared" si="127"/>
        <v>6915</v>
      </c>
      <c r="AV1251" t="str">
        <f t="shared" si="128"/>
        <v>000100</v>
      </c>
      <c r="AY125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1">
        <f>((Table1334567[[#This Row],[High C]]+Table1334567[[#This Row],[Low C]])/2)*Table1334567[[#This Row],[gammac]]*Table1334567[[#This Row],[Volume]]</f>
        <v>0</v>
      </c>
      <c r="BD1251">
        <f>((Table1334567[[#This Row],[High P]]+Table1334567[[#This Row],[Low P]])/2)*Table1334567[[#This Row],[gammap]]*Table1334567[[#This Row],[Volume9]]*-1</f>
        <v>0</v>
      </c>
      <c r="BE1251">
        <f>(Table1334567[[#This Row],[SgammaC]]+Table1334567[[#This Row],[SgammaP]])*$A$4*-100</f>
        <v>0</v>
      </c>
      <c r="BF1251">
        <f>Table1334567[[#This Row],[DEXc]]+Table1334567[[#This Row],[DEXp]]</f>
        <v>0</v>
      </c>
      <c r="BG1251">
        <f>IFERROR(Table1334567[[#This Row],[DeltaC]]*Table1334567[[#This Row],[Open.Int]]*$A$4,0)</f>
        <v>0</v>
      </c>
      <c r="BH1251">
        <f>IFERROR(Table1334567[[#This Row],[DeltaP]]*Table1334567[[#This Row],[Open.Int8]]*$A$4,0)</f>
        <v>0</v>
      </c>
      <c r="BI125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1">
        <f ca="1">Table1334567[[#This Row],[charmc]]+Table1334567[[#This Row],[charmp]]</f>
        <v>0</v>
      </c>
      <c r="BL125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1" s="78">
        <f ca="1">Table1334567[[#This Row],[call helper]]+Table1334567[[#This Row],[put helper]]</f>
        <v>0</v>
      </c>
      <c r="BP1251" t="str">
        <f>RTD("tos.rtd", , "STRIKE", "."&amp;Table1334567[[#This Row],[Ticker]]&amp;Table1334567[[#This Row],[Expiry]]&amp;""&amp;"C"&amp;Table1334567[[#This Row],[Spot]]+Table1334567[[#This Row],[step]])</f>
        <v>N/A</v>
      </c>
    </row>
    <row r="1252" spans="1:68" x14ac:dyDescent="0.25">
      <c r="A1252" s="14">
        <f t="shared" ca="1" si="124"/>
        <v>-126.14810350076104</v>
      </c>
      <c r="C1252" s="17"/>
      <c r="D1252" t="str">
        <f>RTD("tos.rtd", , "OPEN_INT", "."&amp;Table1334567[[#This Row],[Ticker]]&amp;Table1334567[[#This Row],[Expiry]]&amp;""&amp;"C"&amp;Table1334567[[#This Row],[Spot]]+Table1334567[[#This Row],[step]])</f>
        <v>N/A</v>
      </c>
      <c r="E125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2" s="17" cm="1">
        <f t="array" aca="1" ref="H1252" ca="1">IndividualLegIVCore($A$4, Table1334567[[#This Row],[Strike]], 0.0411, Table1334567[[#This Row],[T]], ((Table1334567[[#This Row],[BIDC]]+Table1334567[[#This Row],[ASKC]])/2), TRUE)</f>
        <v>0.01</v>
      </c>
      <c r="I125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2" s="17"/>
      <c r="M1252" s="1">
        <f t="shared" si="125"/>
        <v>0</v>
      </c>
      <c r="N1252" t="b">
        <f t="shared" si="126"/>
        <v>0</v>
      </c>
      <c r="P1252" s="17" cm="1">
        <f t="array" aca="1" ref="P1252" ca="1">IndividualLegIVCore($A$4, Table1334567[[#This Row],[Strike]], 0.0411, Table1334567[[#This Row],[T]], ((Table1334567[[#This Row],[BIDP]]+Table1334567[[#This Row],[ASKP]])/2), FALSE)</f>
        <v>0.01</v>
      </c>
      <c r="Q125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2" s="17"/>
      <c r="T125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2" s="19">
        <f>-38* IF($M$1="NDX", 10, IF(OR($M$1="SPX", $M$1="RUT"), 2, 1))</f>
        <v>-76</v>
      </c>
      <c r="Z1252">
        <f ca="1">IFERROR(Table1334567[[#This Row],[call gamma]]*(Table1334567[[#This Row],[Open.Int]])*$A$4^2,0)</f>
        <v>0</v>
      </c>
      <c r="AA1252">
        <f ca="1">IFERROR(((Table1334567[[#This Row],[Open.Int8]])*Table1334567[[#This Row],[Put gamma]])*-1*$A$4^2,0)</f>
        <v>0</v>
      </c>
      <c r="AB1252">
        <f ca="1">(Table1334567[[#This Row],[Call Gex]]+Table1334567[[#This Row],[Put Gex]])</f>
        <v>0</v>
      </c>
      <c r="AC1252">
        <f ca="1">Table1334567[[#This Row],[put delta adj]]+Table1334567[[#This Row],[call delta adj]]</f>
        <v>0</v>
      </c>
      <c r="AD1252">
        <f ca="1">Table1334567[[#This Row],[Put Gex]]*Table1334567[[#This Row],[DeltaP]]*-1</f>
        <v>0</v>
      </c>
      <c r="AE1252">
        <f ca="1">Table1334567[[#This Row],[Call Gex]]*Table1334567[[#This Row],[DeltaC]]</f>
        <v>0</v>
      </c>
      <c r="AF1252">
        <f>IF(Table1334567[[#This Row],[DeltaC]]-ABS(Table1334567[[#This Row],[DeltaP]])="0","0.01",Table1334567[[#This Row],[DeltaC]]-ABS(Table1334567[[#This Row],[DeltaP]]))</f>
        <v>0</v>
      </c>
      <c r="AG125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2" t="e">
        <f ca="1">(EXP(-(AG1252^2)/2)/SQRT(2*PI())*EXP(0*SQRT(Table1334567[[#This Row],[T]]))/$A$4*18%*SQRT(SQRT(Table1334567[[#This Row],[T]])))</f>
        <v>#DIV/0!</v>
      </c>
      <c r="AJ1252" t="e">
        <f ca="1">(EXP(-(AH1252^2)/2)/SQRT(2*PI())*EXP(0*SQRT(Table1334567[[#This Row],[T]]))/$A$4*18%*SQRT(SQRT(Table1334567[[#This Row],[T]])))</f>
        <v>#DIV/0!</v>
      </c>
      <c r="AK1252" t="e">
        <f ca="1">Table1334567[[#This Row],[Call D1]]-Table1334567[[#This Row],[IV Calc C]]*SQRT(Table1334567[[#This Row],[T]])</f>
        <v>#DIV/0!</v>
      </c>
      <c r="AL1252" t="e">
        <f ca="1">Table1334567[[#This Row],[Put D1]]-Table1334567[[#This Row],[IV Calc P]]*SQRT(Table1334567[[#This Row],[T]])</f>
        <v>#DIV/0!</v>
      </c>
      <c r="AM1252" t="e">
        <f ca="1">EXP(-0.5*Table1334567[[#This Row],[Call D1]]^2)/SQRT(2*PI())</f>
        <v>#DIV/0!</v>
      </c>
      <c r="AN1252" t="e">
        <f ca="1">EXP(-0.5*Table1334567[[#This Row],[Put D1]]^2)/SQRT(2*PI())</f>
        <v>#DIV/0!</v>
      </c>
      <c r="AO125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2">
        <f ca="1">((Table1334567[[#This Row],[call vanna]]+Table1334567[[#This Row],[put vanna]])*$A$4)</f>
        <v>0</v>
      </c>
      <c r="AR125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2" s="9" t="str" cm="1">
        <f t="array" ref="AT1252">_xlfn.IFS(     $M$1="SPX","SPXW",     $M$1="RUT","RUTW",  $M$1="NDX","NDXP",   TRUE,$M$1 )</f>
        <v>SPXW</v>
      </c>
      <c r="AU1252" s="2">
        <f t="shared" si="127"/>
        <v>6915</v>
      </c>
      <c r="AV1252" t="str">
        <f t="shared" si="128"/>
        <v>000100</v>
      </c>
      <c r="AY125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2">
        <f>((Table1334567[[#This Row],[High C]]+Table1334567[[#This Row],[Low C]])/2)*Table1334567[[#This Row],[gammac]]*Table1334567[[#This Row],[Volume]]</f>
        <v>0</v>
      </c>
      <c r="BD1252">
        <f>((Table1334567[[#This Row],[High P]]+Table1334567[[#This Row],[Low P]])/2)*Table1334567[[#This Row],[gammap]]*Table1334567[[#This Row],[Volume9]]*-1</f>
        <v>0</v>
      </c>
      <c r="BE1252">
        <f>(Table1334567[[#This Row],[SgammaC]]+Table1334567[[#This Row],[SgammaP]])*$A$4*-100</f>
        <v>0</v>
      </c>
      <c r="BF1252">
        <f>Table1334567[[#This Row],[DEXc]]+Table1334567[[#This Row],[DEXp]]</f>
        <v>0</v>
      </c>
      <c r="BG1252">
        <f>IFERROR(Table1334567[[#This Row],[DeltaC]]*Table1334567[[#This Row],[Open.Int]]*$A$4,0)</f>
        <v>0</v>
      </c>
      <c r="BH1252">
        <f>IFERROR(Table1334567[[#This Row],[DeltaP]]*Table1334567[[#This Row],[Open.Int8]]*$A$4,0)</f>
        <v>0</v>
      </c>
      <c r="BI125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2">
        <f ca="1">Table1334567[[#This Row],[charmc]]+Table1334567[[#This Row],[charmp]]</f>
        <v>0</v>
      </c>
      <c r="BL125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2" s="78">
        <f ca="1">Table1334567[[#This Row],[call helper]]+Table1334567[[#This Row],[put helper]]</f>
        <v>0</v>
      </c>
      <c r="BP1252" t="str">
        <f>RTD("tos.rtd", , "STRIKE", "."&amp;Table1334567[[#This Row],[Ticker]]&amp;Table1334567[[#This Row],[Expiry]]&amp;""&amp;"C"&amp;Table1334567[[#This Row],[Spot]]+Table1334567[[#This Row],[step]])</f>
        <v>N/A</v>
      </c>
    </row>
    <row r="1253" spans="1:68" x14ac:dyDescent="0.25">
      <c r="A1253" s="14">
        <f t="shared" ca="1" si="124"/>
        <v>-126.14810350076104</v>
      </c>
      <c r="C1253" s="17"/>
      <c r="D1253" t="str">
        <f>RTD("tos.rtd", , "OPEN_INT", "."&amp;Table1334567[[#This Row],[Ticker]]&amp;Table1334567[[#This Row],[Expiry]]&amp;""&amp;"C"&amp;Table1334567[[#This Row],[Spot]]+Table1334567[[#This Row],[step]])</f>
        <v>N/A</v>
      </c>
      <c r="E125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3" s="17" cm="1">
        <f t="array" aca="1" ref="H1253" ca="1">IndividualLegIVCore($A$4, Table1334567[[#This Row],[Strike]], 0.0411, Table1334567[[#This Row],[T]], ((Table1334567[[#This Row],[BIDC]]+Table1334567[[#This Row],[ASKC]])/2), TRUE)</f>
        <v>0.01</v>
      </c>
      <c r="I125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3" s="17"/>
      <c r="M1253" s="1">
        <f t="shared" si="125"/>
        <v>0</v>
      </c>
      <c r="N1253" t="b">
        <f t="shared" si="126"/>
        <v>0</v>
      </c>
      <c r="P1253" s="17" cm="1">
        <f t="array" aca="1" ref="P1253" ca="1">IndividualLegIVCore($A$4, Table1334567[[#This Row],[Strike]], 0.0411, Table1334567[[#This Row],[T]], ((Table1334567[[#This Row],[BIDP]]+Table1334567[[#This Row],[ASKP]])/2), FALSE)</f>
        <v>0.01</v>
      </c>
      <c r="Q125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3" s="17"/>
      <c r="T125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3" s="19">
        <f>-37.5* IF($M$1="NDX", 10, IF(OR($M$1="SPX", $M$1="RUT"), 2, 1))</f>
        <v>-75</v>
      </c>
      <c r="Z1253">
        <f ca="1">IFERROR(Table1334567[[#This Row],[call gamma]]*(Table1334567[[#This Row],[Open.Int]])*$A$4^2,0)</f>
        <v>0</v>
      </c>
      <c r="AA1253">
        <f ca="1">IFERROR(((Table1334567[[#This Row],[Open.Int8]])*Table1334567[[#This Row],[Put gamma]])*-1*$A$4^2,0)</f>
        <v>0</v>
      </c>
      <c r="AB1253">
        <f ca="1">(Table1334567[[#This Row],[Call Gex]]+Table1334567[[#This Row],[Put Gex]])</f>
        <v>0</v>
      </c>
      <c r="AC1253">
        <f ca="1">Table1334567[[#This Row],[put delta adj]]+Table1334567[[#This Row],[call delta adj]]</f>
        <v>0</v>
      </c>
      <c r="AD1253">
        <f ca="1">Table1334567[[#This Row],[Put Gex]]*Table1334567[[#This Row],[DeltaP]]*-1</f>
        <v>0</v>
      </c>
      <c r="AE1253">
        <f ca="1">Table1334567[[#This Row],[Call Gex]]*Table1334567[[#This Row],[DeltaC]]</f>
        <v>0</v>
      </c>
      <c r="AF1253">
        <f>IF(Table1334567[[#This Row],[DeltaC]]-ABS(Table1334567[[#This Row],[DeltaP]])="0","0.01",Table1334567[[#This Row],[DeltaC]]-ABS(Table1334567[[#This Row],[DeltaP]]))</f>
        <v>0</v>
      </c>
      <c r="AG125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3" t="e">
        <f ca="1">(EXP(-(AG1253^2)/2)/SQRT(2*PI())*EXP(0*SQRT(Table1334567[[#This Row],[T]]))/$A$4*18%*SQRT(SQRT(Table1334567[[#This Row],[T]])))</f>
        <v>#DIV/0!</v>
      </c>
      <c r="AJ1253" t="e">
        <f ca="1">(EXP(-(AH1253^2)/2)/SQRT(2*PI())*EXP(0*SQRT(Table1334567[[#This Row],[T]]))/$A$4*18%*SQRT(SQRT(Table1334567[[#This Row],[T]])))</f>
        <v>#DIV/0!</v>
      </c>
      <c r="AK1253" t="e">
        <f ca="1">Table1334567[[#This Row],[Call D1]]-Table1334567[[#This Row],[IV Calc C]]*SQRT(Table1334567[[#This Row],[T]])</f>
        <v>#DIV/0!</v>
      </c>
      <c r="AL1253" t="e">
        <f ca="1">Table1334567[[#This Row],[Put D1]]-Table1334567[[#This Row],[IV Calc P]]*SQRT(Table1334567[[#This Row],[T]])</f>
        <v>#DIV/0!</v>
      </c>
      <c r="AM1253" t="e">
        <f ca="1">EXP(-0.5*Table1334567[[#This Row],[Call D1]]^2)/SQRT(2*PI())</f>
        <v>#DIV/0!</v>
      </c>
      <c r="AN1253" t="e">
        <f ca="1">EXP(-0.5*Table1334567[[#This Row],[Put D1]]^2)/SQRT(2*PI())</f>
        <v>#DIV/0!</v>
      </c>
      <c r="AO125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3">
        <f ca="1">((Table1334567[[#This Row],[call vanna]]+Table1334567[[#This Row],[put vanna]])*$A$4)</f>
        <v>0</v>
      </c>
      <c r="AR125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3" s="9" t="str" cm="1">
        <f t="array" ref="AT1253">_xlfn.IFS(     $M$1="SPX","SPXW",     $M$1="RUT","RUTW",  $M$1="NDX","NDXP",   TRUE,$M$1 )</f>
        <v>SPXW</v>
      </c>
      <c r="AU1253" s="2">
        <f t="shared" si="127"/>
        <v>6915</v>
      </c>
      <c r="AV1253" t="str">
        <f t="shared" si="128"/>
        <v>000100</v>
      </c>
      <c r="AY125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3">
        <f>((Table1334567[[#This Row],[High C]]+Table1334567[[#This Row],[Low C]])/2)*Table1334567[[#This Row],[gammac]]*Table1334567[[#This Row],[Volume]]</f>
        <v>0</v>
      </c>
      <c r="BD1253">
        <f>((Table1334567[[#This Row],[High P]]+Table1334567[[#This Row],[Low P]])/2)*Table1334567[[#This Row],[gammap]]*Table1334567[[#This Row],[Volume9]]*-1</f>
        <v>0</v>
      </c>
      <c r="BE1253">
        <f>(Table1334567[[#This Row],[SgammaC]]+Table1334567[[#This Row],[SgammaP]])*$A$4*-100</f>
        <v>0</v>
      </c>
      <c r="BF1253">
        <f>Table1334567[[#This Row],[DEXc]]+Table1334567[[#This Row],[DEXp]]</f>
        <v>0</v>
      </c>
      <c r="BG1253">
        <f>IFERROR(Table1334567[[#This Row],[DeltaC]]*Table1334567[[#This Row],[Open.Int]]*$A$4,0)</f>
        <v>0</v>
      </c>
      <c r="BH1253">
        <f>IFERROR(Table1334567[[#This Row],[DeltaP]]*Table1334567[[#This Row],[Open.Int8]]*$A$4,0)</f>
        <v>0</v>
      </c>
      <c r="BI125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3">
        <f ca="1">Table1334567[[#This Row],[charmc]]+Table1334567[[#This Row],[charmp]]</f>
        <v>0</v>
      </c>
      <c r="BL125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3" s="78">
        <f ca="1">Table1334567[[#This Row],[call helper]]+Table1334567[[#This Row],[put helper]]</f>
        <v>0</v>
      </c>
      <c r="BP1253" t="str">
        <f>RTD("tos.rtd", , "STRIKE", "."&amp;Table1334567[[#This Row],[Ticker]]&amp;Table1334567[[#This Row],[Expiry]]&amp;""&amp;"C"&amp;Table1334567[[#This Row],[Spot]]+Table1334567[[#This Row],[step]])</f>
        <v>N/A</v>
      </c>
    </row>
    <row r="1254" spans="1:68" x14ac:dyDescent="0.25">
      <c r="A1254" s="14">
        <f t="shared" ca="1" si="124"/>
        <v>-126.14810350076104</v>
      </c>
      <c r="C1254" s="17"/>
      <c r="D1254" t="str">
        <f>RTD("tos.rtd", , "OPEN_INT", "."&amp;Table1334567[[#This Row],[Ticker]]&amp;Table1334567[[#This Row],[Expiry]]&amp;""&amp;"C"&amp;Table1334567[[#This Row],[Spot]]+Table1334567[[#This Row],[step]])</f>
        <v>N/A</v>
      </c>
      <c r="E125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4" s="17" cm="1">
        <f t="array" aca="1" ref="H1254" ca="1">IndividualLegIVCore($A$4, Table1334567[[#This Row],[Strike]], 0.0411, Table1334567[[#This Row],[T]], ((Table1334567[[#This Row],[BIDC]]+Table1334567[[#This Row],[ASKC]])/2), TRUE)</f>
        <v>0.01</v>
      </c>
      <c r="I125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4" s="17"/>
      <c r="M1254" s="1">
        <f t="shared" si="125"/>
        <v>0</v>
      </c>
      <c r="N1254" t="b">
        <f t="shared" si="126"/>
        <v>0</v>
      </c>
      <c r="P1254" s="17" cm="1">
        <f t="array" aca="1" ref="P1254" ca="1">IndividualLegIVCore($A$4, Table1334567[[#This Row],[Strike]], 0.0411, Table1334567[[#This Row],[T]], ((Table1334567[[#This Row],[BIDP]]+Table1334567[[#This Row],[ASKP]])/2), FALSE)</f>
        <v>0.01</v>
      </c>
      <c r="Q125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4" s="17"/>
      <c r="T125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4" s="19">
        <f xml:space="preserve"> -37 * IF($M$1="NDX", 10, IF(OR($M$1="SPX", $M$1="RUT"), 2, 1))</f>
        <v>-74</v>
      </c>
      <c r="Z1254">
        <f ca="1">IFERROR(Table1334567[[#This Row],[call gamma]]*(Table1334567[[#This Row],[Open.Int]])*$A$4^2,0)</f>
        <v>0</v>
      </c>
      <c r="AA1254">
        <f ca="1">IFERROR(((Table1334567[[#This Row],[Open.Int8]])*Table1334567[[#This Row],[Put gamma]])*-1*$A$4^2,0)</f>
        <v>0</v>
      </c>
      <c r="AB1254">
        <f ca="1">(Table1334567[[#This Row],[Call Gex]]+Table1334567[[#This Row],[Put Gex]])</f>
        <v>0</v>
      </c>
      <c r="AC1254">
        <f ca="1">Table1334567[[#This Row],[put delta adj]]+Table1334567[[#This Row],[call delta adj]]</f>
        <v>0</v>
      </c>
      <c r="AD1254">
        <f ca="1">Table1334567[[#This Row],[Put Gex]]*Table1334567[[#This Row],[DeltaP]]*-1</f>
        <v>0</v>
      </c>
      <c r="AE1254">
        <f ca="1">Table1334567[[#This Row],[Call Gex]]*Table1334567[[#This Row],[DeltaC]]</f>
        <v>0</v>
      </c>
      <c r="AF1254">
        <f>IF(Table1334567[[#This Row],[DeltaC]]-ABS(Table1334567[[#This Row],[DeltaP]])="0","0.01",Table1334567[[#This Row],[DeltaC]]-ABS(Table1334567[[#This Row],[DeltaP]]))</f>
        <v>0</v>
      </c>
      <c r="AG125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4" t="e">
        <f ca="1">(EXP(-(AG1254^2)/2)/SQRT(2*PI())*EXP(0*SQRT(Table1334567[[#This Row],[T]]))/$A$4*18%*SQRT(SQRT(Table1334567[[#This Row],[T]])))</f>
        <v>#DIV/0!</v>
      </c>
      <c r="AJ1254" t="e">
        <f ca="1">(EXP(-(AH1254^2)/2)/SQRT(2*PI())*EXP(0*SQRT(Table1334567[[#This Row],[T]]))/$A$4*18%*SQRT(SQRT(Table1334567[[#This Row],[T]])))</f>
        <v>#DIV/0!</v>
      </c>
      <c r="AK1254" t="e">
        <f ca="1">Table1334567[[#This Row],[Call D1]]-Table1334567[[#This Row],[IV Calc C]]*SQRT(Table1334567[[#This Row],[T]])</f>
        <v>#DIV/0!</v>
      </c>
      <c r="AL1254" t="e">
        <f ca="1">Table1334567[[#This Row],[Put D1]]-Table1334567[[#This Row],[IV Calc P]]*SQRT(Table1334567[[#This Row],[T]])</f>
        <v>#DIV/0!</v>
      </c>
      <c r="AM1254" t="e">
        <f ca="1">EXP(-0.5*Table1334567[[#This Row],[Call D1]]^2)/SQRT(2*PI())</f>
        <v>#DIV/0!</v>
      </c>
      <c r="AN1254" t="e">
        <f ca="1">EXP(-0.5*Table1334567[[#This Row],[Put D1]]^2)/SQRT(2*PI())</f>
        <v>#DIV/0!</v>
      </c>
      <c r="AO125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4">
        <f ca="1">((Table1334567[[#This Row],[call vanna]]+Table1334567[[#This Row],[put vanna]])*$A$4)</f>
        <v>0</v>
      </c>
      <c r="AR125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4" s="9" t="str" cm="1">
        <f t="array" ref="AT1254">_xlfn.IFS(     $M$1="SPX","SPXW",     $M$1="RUT","RUTW",  $M$1="NDX","NDXP",   TRUE,$M$1 )</f>
        <v>SPXW</v>
      </c>
      <c r="AU1254" s="2">
        <f t="shared" si="127"/>
        <v>6915</v>
      </c>
      <c r="AV1254" t="str">
        <f t="shared" si="128"/>
        <v>000100</v>
      </c>
      <c r="AY125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4">
        <f>((Table1334567[[#This Row],[High C]]+Table1334567[[#This Row],[Low C]])/2)*Table1334567[[#This Row],[gammac]]*Table1334567[[#This Row],[Volume]]</f>
        <v>0</v>
      </c>
      <c r="BD1254">
        <f>((Table1334567[[#This Row],[High P]]+Table1334567[[#This Row],[Low P]])/2)*Table1334567[[#This Row],[gammap]]*Table1334567[[#This Row],[Volume9]]*-1</f>
        <v>0</v>
      </c>
      <c r="BE1254">
        <f>(Table1334567[[#This Row],[SgammaC]]+Table1334567[[#This Row],[SgammaP]])*$A$4*-100</f>
        <v>0</v>
      </c>
      <c r="BF1254">
        <f>Table1334567[[#This Row],[DEXc]]+Table1334567[[#This Row],[DEXp]]</f>
        <v>0</v>
      </c>
      <c r="BG1254">
        <f>IFERROR(Table1334567[[#This Row],[DeltaC]]*Table1334567[[#This Row],[Open.Int]]*$A$4,0)</f>
        <v>0</v>
      </c>
      <c r="BH1254">
        <f>IFERROR(Table1334567[[#This Row],[DeltaP]]*Table1334567[[#This Row],[Open.Int8]]*$A$4,0)</f>
        <v>0</v>
      </c>
      <c r="BI125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4">
        <f ca="1">Table1334567[[#This Row],[charmc]]+Table1334567[[#This Row],[charmp]]</f>
        <v>0</v>
      </c>
      <c r="BL125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4" s="78">
        <f ca="1">Table1334567[[#This Row],[call helper]]+Table1334567[[#This Row],[put helper]]</f>
        <v>0</v>
      </c>
      <c r="BP1254" t="str">
        <f>RTD("tos.rtd", , "STRIKE", "."&amp;Table1334567[[#This Row],[Ticker]]&amp;Table1334567[[#This Row],[Expiry]]&amp;""&amp;"C"&amp;Table1334567[[#This Row],[Spot]]+Table1334567[[#This Row],[step]])</f>
        <v>N/A</v>
      </c>
    </row>
    <row r="1255" spans="1:68" x14ac:dyDescent="0.25">
      <c r="A1255" s="14">
        <f t="shared" ca="1" si="124"/>
        <v>-126.14810350076104</v>
      </c>
      <c r="C1255" s="17"/>
      <c r="D1255" t="str">
        <f>RTD("tos.rtd", , "OPEN_INT", "."&amp;Table1334567[[#This Row],[Ticker]]&amp;Table1334567[[#This Row],[Expiry]]&amp;""&amp;"C"&amp;Table1334567[[#This Row],[Spot]]+Table1334567[[#This Row],[step]])</f>
        <v>N/A</v>
      </c>
      <c r="E125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5" s="17" cm="1">
        <f t="array" aca="1" ref="H1255" ca="1">IndividualLegIVCore($A$4, Table1334567[[#This Row],[Strike]], 0.0411, Table1334567[[#This Row],[T]], ((Table1334567[[#This Row],[BIDC]]+Table1334567[[#This Row],[ASKC]])/2), TRUE)</f>
        <v>0.01</v>
      </c>
      <c r="I125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5" s="17"/>
      <c r="M1255" s="1">
        <f t="shared" si="125"/>
        <v>0</v>
      </c>
      <c r="N1255" t="b">
        <f t="shared" si="126"/>
        <v>0</v>
      </c>
      <c r="P1255" s="17" cm="1">
        <f t="array" aca="1" ref="P1255" ca="1">IndividualLegIVCore($A$4, Table1334567[[#This Row],[Strike]], 0.0411, Table1334567[[#This Row],[T]], ((Table1334567[[#This Row],[BIDP]]+Table1334567[[#This Row],[ASKP]])/2), FALSE)</f>
        <v>0.01</v>
      </c>
      <c r="Q125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5" s="17"/>
      <c r="T125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5" s="19">
        <f>-36.5 * IF($M$1="NDX", 10, IF(OR($M$1="SPX", $M$1="RUT"), 2, 1))</f>
        <v>-73</v>
      </c>
      <c r="Z1255">
        <f ca="1">IFERROR(Table1334567[[#This Row],[call gamma]]*(Table1334567[[#This Row],[Open.Int]])*$A$4^2,0)</f>
        <v>0</v>
      </c>
      <c r="AA1255">
        <f ca="1">IFERROR(((Table1334567[[#This Row],[Open.Int8]])*Table1334567[[#This Row],[Put gamma]])*-1*$A$4^2,0)</f>
        <v>0</v>
      </c>
      <c r="AB1255">
        <f ca="1">(Table1334567[[#This Row],[Call Gex]]+Table1334567[[#This Row],[Put Gex]])</f>
        <v>0</v>
      </c>
      <c r="AC1255">
        <f ca="1">Table1334567[[#This Row],[put delta adj]]+Table1334567[[#This Row],[call delta adj]]</f>
        <v>0</v>
      </c>
      <c r="AD1255">
        <f ca="1">Table1334567[[#This Row],[Put Gex]]*Table1334567[[#This Row],[DeltaP]]*-1</f>
        <v>0</v>
      </c>
      <c r="AE1255">
        <f ca="1">Table1334567[[#This Row],[Call Gex]]*Table1334567[[#This Row],[DeltaC]]</f>
        <v>0</v>
      </c>
      <c r="AF1255">
        <f>IF(Table1334567[[#This Row],[DeltaC]]-ABS(Table1334567[[#This Row],[DeltaP]])="0","0.01",Table1334567[[#This Row],[DeltaC]]-ABS(Table1334567[[#This Row],[DeltaP]]))</f>
        <v>0</v>
      </c>
      <c r="AG125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5" t="e">
        <f ca="1">(EXP(-(AG1255^2)/2)/SQRT(2*PI())*EXP(0*SQRT(Table1334567[[#This Row],[T]]))/$A$4*18%*SQRT(SQRT(Table1334567[[#This Row],[T]])))</f>
        <v>#DIV/0!</v>
      </c>
      <c r="AJ1255" t="e">
        <f ca="1">(EXP(-(AH1255^2)/2)/SQRT(2*PI())*EXP(0*SQRT(Table1334567[[#This Row],[T]]))/$A$4*18%*SQRT(SQRT(Table1334567[[#This Row],[T]])))</f>
        <v>#DIV/0!</v>
      </c>
      <c r="AK1255" t="e">
        <f ca="1">Table1334567[[#This Row],[Call D1]]-Table1334567[[#This Row],[IV Calc C]]*SQRT(Table1334567[[#This Row],[T]])</f>
        <v>#DIV/0!</v>
      </c>
      <c r="AL1255" t="e">
        <f ca="1">Table1334567[[#This Row],[Put D1]]-Table1334567[[#This Row],[IV Calc P]]*SQRT(Table1334567[[#This Row],[T]])</f>
        <v>#DIV/0!</v>
      </c>
      <c r="AM1255" t="e">
        <f ca="1">EXP(-0.5*Table1334567[[#This Row],[Call D1]]^2)/SQRT(2*PI())</f>
        <v>#DIV/0!</v>
      </c>
      <c r="AN1255" t="e">
        <f ca="1">EXP(-0.5*Table1334567[[#This Row],[Put D1]]^2)/SQRT(2*PI())</f>
        <v>#DIV/0!</v>
      </c>
      <c r="AO125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5">
        <f ca="1">((Table1334567[[#This Row],[call vanna]]+Table1334567[[#This Row],[put vanna]])*$A$4)</f>
        <v>0</v>
      </c>
      <c r="AR125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5" s="9" t="str" cm="1">
        <f t="array" ref="AT1255">_xlfn.IFS(     $M$1="SPX","SPXW",     $M$1="RUT","RUTW",  $M$1="NDX","NDXP",   TRUE,$M$1 )</f>
        <v>SPXW</v>
      </c>
      <c r="AU1255" s="2">
        <f t="shared" si="127"/>
        <v>6915</v>
      </c>
      <c r="AV1255" t="str">
        <f t="shared" si="128"/>
        <v>000100</v>
      </c>
      <c r="AY125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5">
        <f>((Table1334567[[#This Row],[High C]]+Table1334567[[#This Row],[Low C]])/2)*Table1334567[[#This Row],[gammac]]*Table1334567[[#This Row],[Volume]]</f>
        <v>0</v>
      </c>
      <c r="BD1255">
        <f>((Table1334567[[#This Row],[High P]]+Table1334567[[#This Row],[Low P]])/2)*Table1334567[[#This Row],[gammap]]*Table1334567[[#This Row],[Volume9]]*-1</f>
        <v>0</v>
      </c>
      <c r="BE1255">
        <f>(Table1334567[[#This Row],[SgammaC]]+Table1334567[[#This Row],[SgammaP]])*$A$4*-100</f>
        <v>0</v>
      </c>
      <c r="BF1255">
        <f>Table1334567[[#This Row],[DEXc]]+Table1334567[[#This Row],[DEXp]]</f>
        <v>0</v>
      </c>
      <c r="BG1255">
        <f>IFERROR(Table1334567[[#This Row],[DeltaC]]*Table1334567[[#This Row],[Open.Int]]*$A$4,0)</f>
        <v>0</v>
      </c>
      <c r="BH1255">
        <f>IFERROR(Table1334567[[#This Row],[DeltaP]]*Table1334567[[#This Row],[Open.Int8]]*$A$4,0)</f>
        <v>0</v>
      </c>
      <c r="BI125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5">
        <f ca="1">Table1334567[[#This Row],[charmc]]+Table1334567[[#This Row],[charmp]]</f>
        <v>0</v>
      </c>
      <c r="BL125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5" s="78">
        <f ca="1">Table1334567[[#This Row],[call helper]]+Table1334567[[#This Row],[put helper]]</f>
        <v>0</v>
      </c>
      <c r="BP1255" t="str">
        <f>RTD("tos.rtd", , "STRIKE", "."&amp;Table1334567[[#This Row],[Ticker]]&amp;Table1334567[[#This Row],[Expiry]]&amp;""&amp;"C"&amp;Table1334567[[#This Row],[Spot]]+Table1334567[[#This Row],[step]])</f>
        <v>N/A</v>
      </c>
    </row>
    <row r="1256" spans="1:68" x14ac:dyDescent="0.25">
      <c r="A1256" s="14">
        <f t="shared" ca="1" si="124"/>
        <v>-126.14810350076104</v>
      </c>
      <c r="C1256" s="17"/>
      <c r="D1256" t="str">
        <f>RTD("tos.rtd", , "OPEN_INT", "."&amp;Table1334567[[#This Row],[Ticker]]&amp;Table1334567[[#This Row],[Expiry]]&amp;""&amp;"C"&amp;Table1334567[[#This Row],[Spot]]+Table1334567[[#This Row],[step]])</f>
        <v>N/A</v>
      </c>
      <c r="E125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6" s="17" cm="1">
        <f t="array" aca="1" ref="H1256" ca="1">IndividualLegIVCore($A$4, Table1334567[[#This Row],[Strike]], 0.0411, Table1334567[[#This Row],[T]], ((Table1334567[[#This Row],[BIDC]]+Table1334567[[#This Row],[ASKC]])/2), TRUE)</f>
        <v>0.01</v>
      </c>
      <c r="I125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6" s="17"/>
      <c r="M1256" s="1">
        <f t="shared" si="125"/>
        <v>0</v>
      </c>
      <c r="N1256" t="b">
        <f t="shared" si="126"/>
        <v>0</v>
      </c>
      <c r="P1256" s="17" cm="1">
        <f t="array" aca="1" ref="P1256" ca="1">IndividualLegIVCore($A$4, Table1334567[[#This Row],[Strike]], 0.0411, Table1334567[[#This Row],[T]], ((Table1334567[[#This Row],[BIDP]]+Table1334567[[#This Row],[ASKP]])/2), FALSE)</f>
        <v>0.01</v>
      </c>
      <c r="Q125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6" s="17"/>
      <c r="T125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6" s="19">
        <f>-36 * IF($M$1="NDX", 10, IF(OR($M$1="SPX", $M$1="RUT"), 2, 1))</f>
        <v>-72</v>
      </c>
      <c r="Z1256">
        <f ca="1">IFERROR(Table1334567[[#This Row],[call gamma]]*(Table1334567[[#This Row],[Open.Int]])*$A$4^2,0)</f>
        <v>0</v>
      </c>
      <c r="AA1256">
        <f ca="1">IFERROR(((Table1334567[[#This Row],[Open.Int8]])*Table1334567[[#This Row],[Put gamma]])*-1*$A$4^2,0)</f>
        <v>0</v>
      </c>
      <c r="AB1256">
        <f ca="1">(Table1334567[[#This Row],[Call Gex]]+Table1334567[[#This Row],[Put Gex]])</f>
        <v>0</v>
      </c>
      <c r="AC1256">
        <f ca="1">Table1334567[[#This Row],[put delta adj]]+Table1334567[[#This Row],[call delta adj]]</f>
        <v>0</v>
      </c>
      <c r="AD1256">
        <f ca="1">Table1334567[[#This Row],[Put Gex]]*Table1334567[[#This Row],[DeltaP]]*-1</f>
        <v>0</v>
      </c>
      <c r="AE1256">
        <f ca="1">Table1334567[[#This Row],[Call Gex]]*Table1334567[[#This Row],[DeltaC]]</f>
        <v>0</v>
      </c>
      <c r="AF1256">
        <f>IF(Table1334567[[#This Row],[DeltaC]]-ABS(Table1334567[[#This Row],[DeltaP]])="0","0.01",Table1334567[[#This Row],[DeltaC]]-ABS(Table1334567[[#This Row],[DeltaP]]))</f>
        <v>0</v>
      </c>
      <c r="AG125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6" t="e">
        <f ca="1">(EXP(-(AG1256^2)/2)/SQRT(2*PI())*EXP(0*SQRT(Table1334567[[#This Row],[T]]))/$A$4*18%*SQRT(SQRT(Table1334567[[#This Row],[T]])))</f>
        <v>#DIV/0!</v>
      </c>
      <c r="AJ1256" t="e">
        <f ca="1">(EXP(-(AH1256^2)/2)/SQRT(2*PI())*EXP(0*SQRT(Table1334567[[#This Row],[T]]))/$A$4*18%*SQRT(SQRT(Table1334567[[#This Row],[T]])))</f>
        <v>#DIV/0!</v>
      </c>
      <c r="AK1256" t="e">
        <f ca="1">Table1334567[[#This Row],[Call D1]]-Table1334567[[#This Row],[IV Calc C]]*SQRT(Table1334567[[#This Row],[T]])</f>
        <v>#DIV/0!</v>
      </c>
      <c r="AL1256" t="e">
        <f ca="1">Table1334567[[#This Row],[Put D1]]-Table1334567[[#This Row],[IV Calc P]]*SQRT(Table1334567[[#This Row],[T]])</f>
        <v>#DIV/0!</v>
      </c>
      <c r="AM1256" t="e">
        <f ca="1">EXP(-0.5*Table1334567[[#This Row],[Call D1]]^2)/SQRT(2*PI())</f>
        <v>#DIV/0!</v>
      </c>
      <c r="AN1256" t="e">
        <f ca="1">EXP(-0.5*Table1334567[[#This Row],[Put D1]]^2)/SQRT(2*PI())</f>
        <v>#DIV/0!</v>
      </c>
      <c r="AO125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6">
        <f ca="1">((Table1334567[[#This Row],[call vanna]]+Table1334567[[#This Row],[put vanna]])*$A$4)</f>
        <v>0</v>
      </c>
      <c r="AR125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6" s="9" t="str" cm="1">
        <f t="array" ref="AT1256">_xlfn.IFS(     $M$1="SPX","SPXW",     $M$1="RUT","RUTW",  $M$1="NDX","NDXP",   TRUE,$M$1 )</f>
        <v>SPXW</v>
      </c>
      <c r="AU1256" s="2">
        <f t="shared" si="127"/>
        <v>6915</v>
      </c>
      <c r="AV1256" t="str">
        <f t="shared" si="128"/>
        <v>000100</v>
      </c>
      <c r="AY125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6">
        <f>((Table1334567[[#This Row],[High C]]+Table1334567[[#This Row],[Low C]])/2)*Table1334567[[#This Row],[gammac]]*Table1334567[[#This Row],[Volume]]</f>
        <v>0</v>
      </c>
      <c r="BD1256">
        <f>((Table1334567[[#This Row],[High P]]+Table1334567[[#This Row],[Low P]])/2)*Table1334567[[#This Row],[gammap]]*Table1334567[[#This Row],[Volume9]]*-1</f>
        <v>0</v>
      </c>
      <c r="BE1256">
        <f>(Table1334567[[#This Row],[SgammaC]]+Table1334567[[#This Row],[SgammaP]])*$A$4*-100</f>
        <v>0</v>
      </c>
      <c r="BF1256">
        <f>Table1334567[[#This Row],[DEXc]]+Table1334567[[#This Row],[DEXp]]</f>
        <v>0</v>
      </c>
      <c r="BG1256">
        <f>IFERROR(Table1334567[[#This Row],[DeltaC]]*Table1334567[[#This Row],[Open.Int]]*$A$4,0)</f>
        <v>0</v>
      </c>
      <c r="BH1256">
        <f>IFERROR(Table1334567[[#This Row],[DeltaP]]*Table1334567[[#This Row],[Open.Int8]]*$A$4,0)</f>
        <v>0</v>
      </c>
      <c r="BI125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6">
        <f ca="1">Table1334567[[#This Row],[charmc]]+Table1334567[[#This Row],[charmp]]</f>
        <v>0</v>
      </c>
      <c r="BL125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6" s="78">
        <f ca="1">Table1334567[[#This Row],[call helper]]+Table1334567[[#This Row],[put helper]]</f>
        <v>0</v>
      </c>
      <c r="BP1256" t="str">
        <f>RTD("tos.rtd", , "STRIKE", "."&amp;Table1334567[[#This Row],[Ticker]]&amp;Table1334567[[#This Row],[Expiry]]&amp;""&amp;"C"&amp;Table1334567[[#This Row],[Spot]]+Table1334567[[#This Row],[step]])</f>
        <v>N/A</v>
      </c>
    </row>
    <row r="1257" spans="1:68" x14ac:dyDescent="0.25">
      <c r="A1257" s="14">
        <f t="shared" ca="1" si="124"/>
        <v>-126.14810350076104</v>
      </c>
      <c r="C1257" s="17"/>
      <c r="D1257" t="str">
        <f>RTD("tos.rtd", , "OPEN_INT", "."&amp;Table1334567[[#This Row],[Ticker]]&amp;Table1334567[[#This Row],[Expiry]]&amp;""&amp;"C"&amp;Table1334567[[#This Row],[Spot]]+Table1334567[[#This Row],[step]])</f>
        <v>N/A</v>
      </c>
      <c r="E125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7" s="17" cm="1">
        <f t="array" aca="1" ref="H1257" ca="1">IndividualLegIVCore($A$4, Table1334567[[#This Row],[Strike]], 0.0411, Table1334567[[#This Row],[T]], ((Table1334567[[#This Row],[BIDC]]+Table1334567[[#This Row],[ASKC]])/2), TRUE)</f>
        <v>0.01</v>
      </c>
      <c r="I125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7" s="17"/>
      <c r="M1257" s="1">
        <f t="shared" si="125"/>
        <v>0</v>
      </c>
      <c r="N1257" t="b">
        <f t="shared" si="126"/>
        <v>0</v>
      </c>
      <c r="P1257" s="17" cm="1">
        <f t="array" aca="1" ref="P1257" ca="1">IndividualLegIVCore($A$4, Table1334567[[#This Row],[Strike]], 0.0411, Table1334567[[#This Row],[T]], ((Table1334567[[#This Row],[BIDP]]+Table1334567[[#This Row],[ASKP]])/2), FALSE)</f>
        <v>0.01</v>
      </c>
      <c r="Q125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7" s="17"/>
      <c r="T125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7" s="19">
        <f>-35.5 * IF($M$1="NDX", 10, IF(OR($M$1="SPX", $M$1="RUT"), 2, 1))</f>
        <v>-71</v>
      </c>
      <c r="Z1257">
        <f ca="1">IFERROR(Table1334567[[#This Row],[call gamma]]*(Table1334567[[#This Row],[Open.Int]])*$A$4^2,0)</f>
        <v>0</v>
      </c>
      <c r="AA1257">
        <f ca="1">IFERROR(((Table1334567[[#This Row],[Open.Int8]])*Table1334567[[#This Row],[Put gamma]])*-1*$A$4^2,0)</f>
        <v>0</v>
      </c>
      <c r="AB1257">
        <f ca="1">(Table1334567[[#This Row],[Call Gex]]+Table1334567[[#This Row],[Put Gex]])</f>
        <v>0</v>
      </c>
      <c r="AC1257">
        <f ca="1">Table1334567[[#This Row],[put delta adj]]+Table1334567[[#This Row],[call delta adj]]</f>
        <v>0</v>
      </c>
      <c r="AD1257">
        <f ca="1">Table1334567[[#This Row],[Put Gex]]*Table1334567[[#This Row],[DeltaP]]*-1</f>
        <v>0</v>
      </c>
      <c r="AE1257">
        <f ca="1">Table1334567[[#This Row],[Call Gex]]*Table1334567[[#This Row],[DeltaC]]</f>
        <v>0</v>
      </c>
      <c r="AF1257">
        <f>IF(Table1334567[[#This Row],[DeltaC]]-ABS(Table1334567[[#This Row],[DeltaP]])="0","0.01",Table1334567[[#This Row],[DeltaC]]-ABS(Table1334567[[#This Row],[DeltaP]]))</f>
        <v>0</v>
      </c>
      <c r="AG125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7" t="e">
        <f ca="1">(EXP(-(AG1257^2)/2)/SQRT(2*PI())*EXP(0*SQRT(Table1334567[[#This Row],[T]]))/$A$4*18%*SQRT(SQRT(Table1334567[[#This Row],[T]])))</f>
        <v>#DIV/0!</v>
      </c>
      <c r="AJ1257" t="e">
        <f ca="1">(EXP(-(AH1257^2)/2)/SQRT(2*PI())*EXP(0*SQRT(Table1334567[[#This Row],[T]]))/$A$4*18%*SQRT(SQRT(Table1334567[[#This Row],[T]])))</f>
        <v>#DIV/0!</v>
      </c>
      <c r="AK1257" t="e">
        <f ca="1">Table1334567[[#This Row],[Call D1]]-Table1334567[[#This Row],[IV Calc C]]*SQRT(Table1334567[[#This Row],[T]])</f>
        <v>#DIV/0!</v>
      </c>
      <c r="AL1257" t="e">
        <f ca="1">Table1334567[[#This Row],[Put D1]]-Table1334567[[#This Row],[IV Calc P]]*SQRT(Table1334567[[#This Row],[T]])</f>
        <v>#DIV/0!</v>
      </c>
      <c r="AM1257" t="e">
        <f ca="1">EXP(-0.5*Table1334567[[#This Row],[Call D1]]^2)/SQRT(2*PI())</f>
        <v>#DIV/0!</v>
      </c>
      <c r="AN1257" t="e">
        <f ca="1">EXP(-0.5*Table1334567[[#This Row],[Put D1]]^2)/SQRT(2*PI())</f>
        <v>#DIV/0!</v>
      </c>
      <c r="AO125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7">
        <f ca="1">((Table1334567[[#This Row],[call vanna]]+Table1334567[[#This Row],[put vanna]])*$A$4)</f>
        <v>0</v>
      </c>
      <c r="AR125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7" s="9" t="str" cm="1">
        <f t="array" ref="AT1257">_xlfn.IFS(     $M$1="SPX","SPXW",     $M$1="RUT","RUTW",  $M$1="NDX","NDXP",   TRUE,$M$1 )</f>
        <v>SPXW</v>
      </c>
      <c r="AU1257" s="2">
        <f t="shared" si="127"/>
        <v>6915</v>
      </c>
      <c r="AV1257" t="str">
        <f t="shared" si="128"/>
        <v>000100</v>
      </c>
      <c r="AY125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7">
        <f>((Table1334567[[#This Row],[High C]]+Table1334567[[#This Row],[Low C]])/2)*Table1334567[[#This Row],[gammac]]*Table1334567[[#This Row],[Volume]]</f>
        <v>0</v>
      </c>
      <c r="BD1257">
        <f>((Table1334567[[#This Row],[High P]]+Table1334567[[#This Row],[Low P]])/2)*Table1334567[[#This Row],[gammap]]*Table1334567[[#This Row],[Volume9]]*-1</f>
        <v>0</v>
      </c>
      <c r="BE1257">
        <f>(Table1334567[[#This Row],[SgammaC]]+Table1334567[[#This Row],[SgammaP]])*$A$4*-100</f>
        <v>0</v>
      </c>
      <c r="BF1257">
        <f>Table1334567[[#This Row],[DEXc]]+Table1334567[[#This Row],[DEXp]]</f>
        <v>0</v>
      </c>
      <c r="BG1257">
        <f>IFERROR(Table1334567[[#This Row],[DeltaC]]*Table1334567[[#This Row],[Open.Int]]*$A$4,0)</f>
        <v>0</v>
      </c>
      <c r="BH1257">
        <f>IFERROR(Table1334567[[#This Row],[DeltaP]]*Table1334567[[#This Row],[Open.Int8]]*$A$4,0)</f>
        <v>0</v>
      </c>
      <c r="BI125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7">
        <f ca="1">Table1334567[[#This Row],[charmc]]+Table1334567[[#This Row],[charmp]]</f>
        <v>0</v>
      </c>
      <c r="BL125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7" s="78">
        <f ca="1">Table1334567[[#This Row],[call helper]]+Table1334567[[#This Row],[put helper]]</f>
        <v>0</v>
      </c>
      <c r="BP1257" t="str">
        <f>RTD("tos.rtd", , "STRIKE", "."&amp;Table1334567[[#This Row],[Ticker]]&amp;Table1334567[[#This Row],[Expiry]]&amp;""&amp;"C"&amp;Table1334567[[#This Row],[Spot]]+Table1334567[[#This Row],[step]])</f>
        <v>N/A</v>
      </c>
    </row>
    <row r="1258" spans="1:68" x14ac:dyDescent="0.25">
      <c r="A1258" s="14">
        <f t="shared" ca="1" si="124"/>
        <v>-126.14810350076104</v>
      </c>
      <c r="C1258" s="17"/>
      <c r="D1258" t="str">
        <f>RTD("tos.rtd", , "OPEN_INT", "."&amp;Table1334567[[#This Row],[Ticker]]&amp;Table1334567[[#This Row],[Expiry]]&amp;""&amp;"C"&amp;Table1334567[[#This Row],[Spot]]+Table1334567[[#This Row],[step]])</f>
        <v>N/A</v>
      </c>
      <c r="E125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8" s="17" cm="1">
        <f t="array" aca="1" ref="H1258" ca="1">IndividualLegIVCore($A$4, Table1334567[[#This Row],[Strike]], 0.0411, Table1334567[[#This Row],[T]], ((Table1334567[[#This Row],[BIDC]]+Table1334567[[#This Row],[ASKC]])/2), TRUE)</f>
        <v>0.01</v>
      </c>
      <c r="I125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8" s="17"/>
      <c r="M1258" s="1">
        <f t="shared" si="125"/>
        <v>0</v>
      </c>
      <c r="N1258" t="b">
        <f t="shared" si="126"/>
        <v>0</v>
      </c>
      <c r="P1258" s="17" cm="1">
        <f t="array" aca="1" ref="P1258" ca="1">IndividualLegIVCore($A$4, Table1334567[[#This Row],[Strike]], 0.0411, Table1334567[[#This Row],[T]], ((Table1334567[[#This Row],[BIDP]]+Table1334567[[#This Row],[ASKP]])/2), FALSE)</f>
        <v>0.01</v>
      </c>
      <c r="Q125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8" s="17"/>
      <c r="T125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8" s="19">
        <f>-35 * IF($M$1="NDX", 10, IF(OR($M$1="SPX", $M$1="RUT"), 2, 1))</f>
        <v>-70</v>
      </c>
      <c r="Z1258">
        <f ca="1">IFERROR(Table1334567[[#This Row],[call gamma]]*(Table1334567[[#This Row],[Open.Int]])*$A$4^2,0)</f>
        <v>0</v>
      </c>
      <c r="AA1258">
        <f ca="1">IFERROR(((Table1334567[[#This Row],[Open.Int8]])*Table1334567[[#This Row],[Put gamma]])*-1*$A$4^2,0)</f>
        <v>0</v>
      </c>
      <c r="AB1258">
        <f ca="1">(Table1334567[[#This Row],[Call Gex]]+Table1334567[[#This Row],[Put Gex]])</f>
        <v>0</v>
      </c>
      <c r="AC1258">
        <f ca="1">Table1334567[[#This Row],[put delta adj]]+Table1334567[[#This Row],[call delta adj]]</f>
        <v>0</v>
      </c>
      <c r="AD1258">
        <f ca="1">Table1334567[[#This Row],[Put Gex]]*Table1334567[[#This Row],[DeltaP]]*-1</f>
        <v>0</v>
      </c>
      <c r="AE1258">
        <f ca="1">Table1334567[[#This Row],[Call Gex]]*Table1334567[[#This Row],[DeltaC]]</f>
        <v>0</v>
      </c>
      <c r="AF1258">
        <f>IF(Table1334567[[#This Row],[DeltaC]]-ABS(Table1334567[[#This Row],[DeltaP]])="0","0.01",Table1334567[[#This Row],[DeltaC]]-ABS(Table1334567[[#This Row],[DeltaP]]))</f>
        <v>0</v>
      </c>
      <c r="AG125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8" t="e">
        <f ca="1">(EXP(-(AG1258^2)/2)/SQRT(2*PI())*EXP(0*SQRT(Table1334567[[#This Row],[T]]))/$A$4*18%*SQRT(SQRT(Table1334567[[#This Row],[T]])))</f>
        <v>#DIV/0!</v>
      </c>
      <c r="AJ1258" t="e">
        <f ca="1">(EXP(-(AH1258^2)/2)/SQRT(2*PI())*EXP(0*SQRT(Table1334567[[#This Row],[T]]))/$A$4*18%*SQRT(SQRT(Table1334567[[#This Row],[T]])))</f>
        <v>#DIV/0!</v>
      </c>
      <c r="AK1258" t="e">
        <f ca="1">Table1334567[[#This Row],[Call D1]]-Table1334567[[#This Row],[IV Calc C]]*SQRT(Table1334567[[#This Row],[T]])</f>
        <v>#DIV/0!</v>
      </c>
      <c r="AL1258" t="e">
        <f ca="1">Table1334567[[#This Row],[Put D1]]-Table1334567[[#This Row],[IV Calc P]]*SQRT(Table1334567[[#This Row],[T]])</f>
        <v>#DIV/0!</v>
      </c>
      <c r="AM1258" t="e">
        <f ca="1">EXP(-0.5*Table1334567[[#This Row],[Call D1]]^2)/SQRT(2*PI())</f>
        <v>#DIV/0!</v>
      </c>
      <c r="AN1258" t="e">
        <f ca="1">EXP(-0.5*Table1334567[[#This Row],[Put D1]]^2)/SQRT(2*PI())</f>
        <v>#DIV/0!</v>
      </c>
      <c r="AO125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8">
        <f ca="1">((Table1334567[[#This Row],[call vanna]]+Table1334567[[#This Row],[put vanna]])*$A$4)</f>
        <v>0</v>
      </c>
      <c r="AR125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8" s="9" t="str" cm="1">
        <f t="array" ref="AT1258">_xlfn.IFS(     $M$1="SPX","SPXW",     $M$1="RUT","RUTW",  $M$1="NDX","NDXP",   TRUE,$M$1 )</f>
        <v>SPXW</v>
      </c>
      <c r="AU1258" s="2">
        <f t="shared" si="127"/>
        <v>6915</v>
      </c>
      <c r="AV1258" t="str">
        <f t="shared" si="128"/>
        <v>000100</v>
      </c>
      <c r="AY125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8">
        <f>((Table1334567[[#This Row],[High C]]+Table1334567[[#This Row],[Low C]])/2)*Table1334567[[#This Row],[gammac]]*Table1334567[[#This Row],[Volume]]</f>
        <v>0</v>
      </c>
      <c r="BD1258">
        <f>((Table1334567[[#This Row],[High P]]+Table1334567[[#This Row],[Low P]])/2)*Table1334567[[#This Row],[gammap]]*Table1334567[[#This Row],[Volume9]]*-1</f>
        <v>0</v>
      </c>
      <c r="BE1258">
        <f>(Table1334567[[#This Row],[SgammaC]]+Table1334567[[#This Row],[SgammaP]])*$A$4*-100</f>
        <v>0</v>
      </c>
      <c r="BF1258">
        <f>Table1334567[[#This Row],[DEXc]]+Table1334567[[#This Row],[DEXp]]</f>
        <v>0</v>
      </c>
      <c r="BG1258">
        <f>IFERROR(Table1334567[[#This Row],[DeltaC]]*Table1334567[[#This Row],[Open.Int]]*$A$4,0)</f>
        <v>0</v>
      </c>
      <c r="BH1258">
        <f>IFERROR(Table1334567[[#This Row],[DeltaP]]*Table1334567[[#This Row],[Open.Int8]]*$A$4,0)</f>
        <v>0</v>
      </c>
      <c r="BI125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8">
        <f ca="1">Table1334567[[#This Row],[charmc]]+Table1334567[[#This Row],[charmp]]</f>
        <v>0</v>
      </c>
      <c r="BL125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8" s="78">
        <f ca="1">Table1334567[[#This Row],[call helper]]+Table1334567[[#This Row],[put helper]]</f>
        <v>0</v>
      </c>
      <c r="BP1258" t="str">
        <f>RTD("tos.rtd", , "STRIKE", "."&amp;Table1334567[[#This Row],[Ticker]]&amp;Table1334567[[#This Row],[Expiry]]&amp;""&amp;"C"&amp;Table1334567[[#This Row],[Spot]]+Table1334567[[#This Row],[step]])</f>
        <v>N/A</v>
      </c>
    </row>
    <row r="1259" spans="1:68" x14ac:dyDescent="0.25">
      <c r="A1259" s="14">
        <f t="shared" ca="1" si="124"/>
        <v>-126.14810350076104</v>
      </c>
      <c r="C1259" s="17"/>
      <c r="D1259" t="str">
        <f>RTD("tos.rtd", , "OPEN_INT", "."&amp;Table1334567[[#This Row],[Ticker]]&amp;Table1334567[[#This Row],[Expiry]]&amp;""&amp;"C"&amp;Table1334567[[#This Row],[Spot]]+Table1334567[[#This Row],[step]])</f>
        <v>N/A</v>
      </c>
      <c r="E125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9" s="17" cm="1">
        <f t="array" aca="1" ref="H1259" ca="1">IndividualLegIVCore($A$4, Table1334567[[#This Row],[Strike]], 0.0411, Table1334567[[#This Row],[T]], ((Table1334567[[#This Row],[BIDC]]+Table1334567[[#This Row],[ASKC]])/2), TRUE)</f>
        <v>0.01</v>
      </c>
      <c r="I125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9" s="17"/>
      <c r="M1259" s="1">
        <f t="shared" si="125"/>
        <v>0</v>
      </c>
      <c r="N1259" t="b">
        <f t="shared" si="126"/>
        <v>0</v>
      </c>
      <c r="P1259" s="17" cm="1">
        <f t="array" aca="1" ref="P1259" ca="1">IndividualLegIVCore($A$4, Table1334567[[#This Row],[Strike]], 0.0411, Table1334567[[#This Row],[T]], ((Table1334567[[#This Row],[BIDP]]+Table1334567[[#This Row],[ASKP]])/2), FALSE)</f>
        <v>0.01</v>
      </c>
      <c r="Q125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9" s="17"/>
      <c r="T125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9" s="19">
        <f>-34.5 * IF($M$1="NDX", 10, IF(OR($M$1="SPX", $M$1="RUT"), 2, 1))</f>
        <v>-69</v>
      </c>
      <c r="Z1259">
        <f ca="1">IFERROR(Table1334567[[#This Row],[call gamma]]*(Table1334567[[#This Row],[Open.Int]])*$A$4^2,0)</f>
        <v>0</v>
      </c>
      <c r="AA1259">
        <f ca="1">IFERROR(((Table1334567[[#This Row],[Open.Int8]])*Table1334567[[#This Row],[Put gamma]])*-1*$A$4^2,0)</f>
        <v>0</v>
      </c>
      <c r="AB1259">
        <f ca="1">(Table1334567[[#This Row],[Call Gex]]+Table1334567[[#This Row],[Put Gex]])</f>
        <v>0</v>
      </c>
      <c r="AC1259">
        <f ca="1">Table1334567[[#This Row],[put delta adj]]+Table1334567[[#This Row],[call delta adj]]</f>
        <v>0</v>
      </c>
      <c r="AD1259">
        <f ca="1">Table1334567[[#This Row],[Put Gex]]*Table1334567[[#This Row],[DeltaP]]*-1</f>
        <v>0</v>
      </c>
      <c r="AE1259">
        <f ca="1">Table1334567[[#This Row],[Call Gex]]*Table1334567[[#This Row],[DeltaC]]</f>
        <v>0</v>
      </c>
      <c r="AF1259">
        <f>IF(Table1334567[[#This Row],[DeltaC]]-ABS(Table1334567[[#This Row],[DeltaP]])="0","0.01",Table1334567[[#This Row],[DeltaC]]-ABS(Table1334567[[#This Row],[DeltaP]]))</f>
        <v>0</v>
      </c>
      <c r="AG125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9" t="e">
        <f ca="1">(EXP(-(AG1259^2)/2)/SQRT(2*PI())*EXP(0*SQRT(Table1334567[[#This Row],[T]]))/$A$4*18%*SQRT(SQRT(Table1334567[[#This Row],[T]])))</f>
        <v>#DIV/0!</v>
      </c>
      <c r="AJ1259" t="e">
        <f ca="1">(EXP(-(AH1259^2)/2)/SQRT(2*PI())*EXP(0*SQRT(Table1334567[[#This Row],[T]]))/$A$4*18%*SQRT(SQRT(Table1334567[[#This Row],[T]])))</f>
        <v>#DIV/0!</v>
      </c>
      <c r="AK1259" t="e">
        <f ca="1">Table1334567[[#This Row],[Call D1]]-Table1334567[[#This Row],[IV Calc C]]*SQRT(Table1334567[[#This Row],[T]])</f>
        <v>#DIV/0!</v>
      </c>
      <c r="AL1259" t="e">
        <f ca="1">Table1334567[[#This Row],[Put D1]]-Table1334567[[#This Row],[IV Calc P]]*SQRT(Table1334567[[#This Row],[T]])</f>
        <v>#DIV/0!</v>
      </c>
      <c r="AM1259" t="e">
        <f ca="1">EXP(-0.5*Table1334567[[#This Row],[Call D1]]^2)/SQRT(2*PI())</f>
        <v>#DIV/0!</v>
      </c>
      <c r="AN1259" t="e">
        <f ca="1">EXP(-0.5*Table1334567[[#This Row],[Put D1]]^2)/SQRT(2*PI())</f>
        <v>#DIV/0!</v>
      </c>
      <c r="AO125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9">
        <f ca="1">((Table1334567[[#This Row],[call vanna]]+Table1334567[[#This Row],[put vanna]])*$A$4)</f>
        <v>0</v>
      </c>
      <c r="AR125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9" s="9" t="str" cm="1">
        <f t="array" ref="AT1259">_xlfn.IFS(     $M$1="SPX","SPXW",     $M$1="RUT","RUTW",  $M$1="NDX","NDXP",   TRUE,$M$1 )</f>
        <v>SPXW</v>
      </c>
      <c r="AU1259" s="2">
        <f t="shared" si="127"/>
        <v>6915</v>
      </c>
      <c r="AV1259" t="str">
        <f t="shared" si="128"/>
        <v>000100</v>
      </c>
      <c r="AY125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9">
        <f>((Table1334567[[#This Row],[High C]]+Table1334567[[#This Row],[Low C]])/2)*Table1334567[[#This Row],[gammac]]*Table1334567[[#This Row],[Volume]]</f>
        <v>0</v>
      </c>
      <c r="BD1259">
        <f>((Table1334567[[#This Row],[High P]]+Table1334567[[#This Row],[Low P]])/2)*Table1334567[[#This Row],[gammap]]*Table1334567[[#This Row],[Volume9]]*-1</f>
        <v>0</v>
      </c>
      <c r="BE1259">
        <f>(Table1334567[[#This Row],[SgammaC]]+Table1334567[[#This Row],[SgammaP]])*$A$4*-100</f>
        <v>0</v>
      </c>
      <c r="BF1259">
        <f>Table1334567[[#This Row],[DEXc]]+Table1334567[[#This Row],[DEXp]]</f>
        <v>0</v>
      </c>
      <c r="BG1259">
        <f>IFERROR(Table1334567[[#This Row],[DeltaC]]*Table1334567[[#This Row],[Open.Int]]*$A$4,0)</f>
        <v>0</v>
      </c>
      <c r="BH1259">
        <f>IFERROR(Table1334567[[#This Row],[DeltaP]]*Table1334567[[#This Row],[Open.Int8]]*$A$4,0)</f>
        <v>0</v>
      </c>
      <c r="BI125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9">
        <f ca="1">Table1334567[[#This Row],[charmc]]+Table1334567[[#This Row],[charmp]]</f>
        <v>0</v>
      </c>
      <c r="BL125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9" s="78">
        <f ca="1">Table1334567[[#This Row],[call helper]]+Table1334567[[#This Row],[put helper]]</f>
        <v>0</v>
      </c>
      <c r="BP1259" t="str">
        <f>RTD("tos.rtd", , "STRIKE", "."&amp;Table1334567[[#This Row],[Ticker]]&amp;Table1334567[[#This Row],[Expiry]]&amp;""&amp;"C"&amp;Table1334567[[#This Row],[Spot]]+Table1334567[[#This Row],[step]])</f>
        <v>N/A</v>
      </c>
    </row>
    <row r="1260" spans="1:68" x14ac:dyDescent="0.25">
      <c r="A1260" s="14">
        <f t="shared" ca="1" si="124"/>
        <v>-126.14810350076104</v>
      </c>
      <c r="C1260" s="17"/>
      <c r="D1260" t="str">
        <f>RTD("tos.rtd", , "OPEN_INT", "."&amp;Table1334567[[#This Row],[Ticker]]&amp;Table1334567[[#This Row],[Expiry]]&amp;""&amp;"C"&amp;Table1334567[[#This Row],[Spot]]+Table1334567[[#This Row],[step]])</f>
        <v>N/A</v>
      </c>
      <c r="E126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0" s="17" cm="1">
        <f t="array" aca="1" ref="H1260" ca="1">IndividualLegIVCore($A$4, Table1334567[[#This Row],[Strike]], 0.0411, Table1334567[[#This Row],[T]], ((Table1334567[[#This Row],[BIDC]]+Table1334567[[#This Row],[ASKC]])/2), TRUE)</f>
        <v>0.01</v>
      </c>
      <c r="I126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0" s="17"/>
      <c r="M1260" s="1">
        <f t="shared" si="125"/>
        <v>0</v>
      </c>
      <c r="N1260" t="b">
        <f t="shared" si="126"/>
        <v>0</v>
      </c>
      <c r="P1260" s="17" cm="1">
        <f t="array" aca="1" ref="P1260" ca="1">IndividualLegIVCore($A$4, Table1334567[[#This Row],[Strike]], 0.0411, Table1334567[[#This Row],[T]], ((Table1334567[[#This Row],[BIDP]]+Table1334567[[#This Row],[ASKP]])/2), FALSE)</f>
        <v>0.01</v>
      </c>
      <c r="Q126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0" s="17"/>
      <c r="T126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0" s="19">
        <f>-34 * IF($M$1="NDX", 10, IF(OR($M$1="SPX", $M$1="RUT"), 2, 1))</f>
        <v>-68</v>
      </c>
      <c r="Z1260">
        <f ca="1">IFERROR(Table1334567[[#This Row],[call gamma]]*(Table1334567[[#This Row],[Open.Int]])*$A$4^2,0)</f>
        <v>0</v>
      </c>
      <c r="AA1260">
        <f ca="1">IFERROR(((Table1334567[[#This Row],[Open.Int8]])*Table1334567[[#This Row],[Put gamma]])*-1*$A$4^2,0)</f>
        <v>0</v>
      </c>
      <c r="AB1260">
        <f ca="1">(Table1334567[[#This Row],[Call Gex]]+Table1334567[[#This Row],[Put Gex]])</f>
        <v>0</v>
      </c>
      <c r="AC1260">
        <f ca="1">Table1334567[[#This Row],[put delta adj]]+Table1334567[[#This Row],[call delta adj]]</f>
        <v>0</v>
      </c>
      <c r="AD1260">
        <f ca="1">Table1334567[[#This Row],[Put Gex]]*Table1334567[[#This Row],[DeltaP]]*-1</f>
        <v>0</v>
      </c>
      <c r="AE1260">
        <f ca="1">Table1334567[[#This Row],[Call Gex]]*Table1334567[[#This Row],[DeltaC]]</f>
        <v>0</v>
      </c>
      <c r="AF1260">
        <f>IF(Table1334567[[#This Row],[DeltaC]]-ABS(Table1334567[[#This Row],[DeltaP]])="0","0.01",Table1334567[[#This Row],[DeltaC]]-ABS(Table1334567[[#This Row],[DeltaP]]))</f>
        <v>0</v>
      </c>
      <c r="AG126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0" t="e">
        <f ca="1">(EXP(-(AG1260^2)/2)/SQRT(2*PI())*EXP(0*SQRT(Table1334567[[#This Row],[T]]))/$A$4*18%*SQRT(SQRT(Table1334567[[#This Row],[T]])))</f>
        <v>#DIV/0!</v>
      </c>
      <c r="AJ1260" t="e">
        <f ca="1">(EXP(-(AH1260^2)/2)/SQRT(2*PI())*EXP(0*SQRT(Table1334567[[#This Row],[T]]))/$A$4*18%*SQRT(SQRT(Table1334567[[#This Row],[T]])))</f>
        <v>#DIV/0!</v>
      </c>
      <c r="AK1260" t="e">
        <f ca="1">Table1334567[[#This Row],[Call D1]]-Table1334567[[#This Row],[IV Calc C]]*SQRT(Table1334567[[#This Row],[T]])</f>
        <v>#DIV/0!</v>
      </c>
      <c r="AL1260" t="e">
        <f ca="1">Table1334567[[#This Row],[Put D1]]-Table1334567[[#This Row],[IV Calc P]]*SQRT(Table1334567[[#This Row],[T]])</f>
        <v>#DIV/0!</v>
      </c>
      <c r="AM1260" t="e">
        <f ca="1">EXP(-0.5*Table1334567[[#This Row],[Call D1]]^2)/SQRT(2*PI())</f>
        <v>#DIV/0!</v>
      </c>
      <c r="AN1260" t="e">
        <f ca="1">EXP(-0.5*Table1334567[[#This Row],[Put D1]]^2)/SQRT(2*PI())</f>
        <v>#DIV/0!</v>
      </c>
      <c r="AO126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0">
        <f ca="1">((Table1334567[[#This Row],[call vanna]]+Table1334567[[#This Row],[put vanna]])*$A$4)</f>
        <v>0</v>
      </c>
      <c r="AR126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0" s="9" t="str" cm="1">
        <f t="array" ref="AT1260">_xlfn.IFS(     $M$1="SPX","SPXW",     $M$1="RUT","RUTW",  $M$1="NDX","NDXP",   TRUE,$M$1 )</f>
        <v>SPXW</v>
      </c>
      <c r="AU1260" s="2">
        <f t="shared" si="127"/>
        <v>6915</v>
      </c>
      <c r="AV1260" t="str">
        <f t="shared" si="128"/>
        <v>000100</v>
      </c>
      <c r="AY126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0">
        <f>((Table1334567[[#This Row],[High C]]+Table1334567[[#This Row],[Low C]])/2)*Table1334567[[#This Row],[gammac]]*Table1334567[[#This Row],[Volume]]</f>
        <v>0</v>
      </c>
      <c r="BD1260">
        <f>((Table1334567[[#This Row],[High P]]+Table1334567[[#This Row],[Low P]])/2)*Table1334567[[#This Row],[gammap]]*Table1334567[[#This Row],[Volume9]]*-1</f>
        <v>0</v>
      </c>
      <c r="BE1260">
        <f>(Table1334567[[#This Row],[SgammaC]]+Table1334567[[#This Row],[SgammaP]])*$A$4*-100</f>
        <v>0</v>
      </c>
      <c r="BF1260">
        <f>Table1334567[[#This Row],[DEXc]]+Table1334567[[#This Row],[DEXp]]</f>
        <v>0</v>
      </c>
      <c r="BG1260">
        <f>IFERROR(Table1334567[[#This Row],[DeltaC]]*Table1334567[[#This Row],[Open.Int]]*$A$4,0)</f>
        <v>0</v>
      </c>
      <c r="BH1260">
        <f>IFERROR(Table1334567[[#This Row],[DeltaP]]*Table1334567[[#This Row],[Open.Int8]]*$A$4,0)</f>
        <v>0</v>
      </c>
      <c r="BI126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0">
        <f ca="1">Table1334567[[#This Row],[charmc]]+Table1334567[[#This Row],[charmp]]</f>
        <v>0</v>
      </c>
      <c r="BL126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0" s="78">
        <f ca="1">Table1334567[[#This Row],[call helper]]+Table1334567[[#This Row],[put helper]]</f>
        <v>0</v>
      </c>
      <c r="BP1260" t="str">
        <f>RTD("tos.rtd", , "STRIKE", "."&amp;Table1334567[[#This Row],[Ticker]]&amp;Table1334567[[#This Row],[Expiry]]&amp;""&amp;"C"&amp;Table1334567[[#This Row],[Spot]]+Table1334567[[#This Row],[step]])</f>
        <v>N/A</v>
      </c>
    </row>
    <row r="1261" spans="1:68" x14ac:dyDescent="0.25">
      <c r="A1261" s="14">
        <f t="shared" ca="1" si="124"/>
        <v>-126.14810350076104</v>
      </c>
      <c r="C1261" s="17"/>
      <c r="D1261" t="str">
        <f>RTD("tos.rtd", , "OPEN_INT", "."&amp;Table1334567[[#This Row],[Ticker]]&amp;Table1334567[[#This Row],[Expiry]]&amp;""&amp;"C"&amp;Table1334567[[#This Row],[Spot]]+Table1334567[[#This Row],[step]])</f>
        <v>N/A</v>
      </c>
      <c r="E126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1" s="17" cm="1">
        <f t="array" aca="1" ref="H1261" ca="1">IndividualLegIVCore($A$4, Table1334567[[#This Row],[Strike]], 0.0411, Table1334567[[#This Row],[T]], ((Table1334567[[#This Row],[BIDC]]+Table1334567[[#This Row],[ASKC]])/2), TRUE)</f>
        <v>0.01</v>
      </c>
      <c r="I126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1" s="17"/>
      <c r="M1261" s="1">
        <f t="shared" si="125"/>
        <v>0</v>
      </c>
      <c r="N1261" t="b">
        <f t="shared" si="126"/>
        <v>0</v>
      </c>
      <c r="P1261" s="17" cm="1">
        <f t="array" aca="1" ref="P1261" ca="1">IndividualLegIVCore($A$4, Table1334567[[#This Row],[Strike]], 0.0411, Table1334567[[#This Row],[T]], ((Table1334567[[#This Row],[BIDP]]+Table1334567[[#This Row],[ASKP]])/2), FALSE)</f>
        <v>0.01</v>
      </c>
      <c r="Q126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1" s="17"/>
      <c r="T126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1" s="19">
        <f>-33.5 * IF($M$1="NDX", 10, IF(OR($M$1="SPX", $M$1="RUT"), 2, 1))</f>
        <v>-67</v>
      </c>
      <c r="Z1261">
        <f ca="1">IFERROR(Table1334567[[#This Row],[call gamma]]*(Table1334567[[#This Row],[Open.Int]])*$A$4^2,0)</f>
        <v>0</v>
      </c>
      <c r="AA1261">
        <f ca="1">IFERROR(((Table1334567[[#This Row],[Open.Int8]])*Table1334567[[#This Row],[Put gamma]])*-1*$A$4^2,0)</f>
        <v>0</v>
      </c>
      <c r="AB1261">
        <f ca="1">(Table1334567[[#This Row],[Call Gex]]+Table1334567[[#This Row],[Put Gex]])</f>
        <v>0</v>
      </c>
      <c r="AC1261">
        <f ca="1">Table1334567[[#This Row],[put delta adj]]+Table1334567[[#This Row],[call delta adj]]</f>
        <v>0</v>
      </c>
      <c r="AD1261">
        <f ca="1">Table1334567[[#This Row],[Put Gex]]*Table1334567[[#This Row],[DeltaP]]*-1</f>
        <v>0</v>
      </c>
      <c r="AE1261">
        <f ca="1">Table1334567[[#This Row],[Call Gex]]*Table1334567[[#This Row],[DeltaC]]</f>
        <v>0</v>
      </c>
      <c r="AF1261">
        <f>IF(Table1334567[[#This Row],[DeltaC]]-ABS(Table1334567[[#This Row],[DeltaP]])="0","0.01",Table1334567[[#This Row],[DeltaC]]-ABS(Table1334567[[#This Row],[DeltaP]]))</f>
        <v>0</v>
      </c>
      <c r="AG126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1" t="e">
        <f ca="1">(EXP(-(AG1261^2)/2)/SQRT(2*PI())*EXP(0*SQRT(Table1334567[[#This Row],[T]]))/$A$4*18%*SQRT(SQRT(Table1334567[[#This Row],[T]])))</f>
        <v>#DIV/0!</v>
      </c>
      <c r="AJ1261" t="e">
        <f ca="1">(EXP(-(AH1261^2)/2)/SQRT(2*PI())*EXP(0*SQRT(Table1334567[[#This Row],[T]]))/$A$4*18%*SQRT(SQRT(Table1334567[[#This Row],[T]])))</f>
        <v>#DIV/0!</v>
      </c>
      <c r="AK1261" t="e">
        <f ca="1">Table1334567[[#This Row],[Call D1]]-Table1334567[[#This Row],[IV Calc C]]*SQRT(Table1334567[[#This Row],[T]])</f>
        <v>#DIV/0!</v>
      </c>
      <c r="AL1261" t="e">
        <f ca="1">Table1334567[[#This Row],[Put D1]]-Table1334567[[#This Row],[IV Calc P]]*SQRT(Table1334567[[#This Row],[T]])</f>
        <v>#DIV/0!</v>
      </c>
      <c r="AM1261" t="e">
        <f ca="1">EXP(-0.5*Table1334567[[#This Row],[Call D1]]^2)/SQRT(2*PI())</f>
        <v>#DIV/0!</v>
      </c>
      <c r="AN1261" t="e">
        <f ca="1">EXP(-0.5*Table1334567[[#This Row],[Put D1]]^2)/SQRT(2*PI())</f>
        <v>#DIV/0!</v>
      </c>
      <c r="AO126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1">
        <f ca="1">((Table1334567[[#This Row],[call vanna]]+Table1334567[[#This Row],[put vanna]])*$A$4)</f>
        <v>0</v>
      </c>
      <c r="AR126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1" s="9" t="str" cm="1">
        <f t="array" ref="AT1261">_xlfn.IFS(     $M$1="SPX","SPXW",     $M$1="RUT","RUTW",  $M$1="NDX","NDXP",   TRUE,$M$1 )</f>
        <v>SPXW</v>
      </c>
      <c r="AU1261" s="2">
        <f t="shared" si="127"/>
        <v>6915</v>
      </c>
      <c r="AV1261" t="str">
        <f t="shared" si="128"/>
        <v>000100</v>
      </c>
      <c r="AY126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1">
        <f>((Table1334567[[#This Row],[High C]]+Table1334567[[#This Row],[Low C]])/2)*Table1334567[[#This Row],[gammac]]*Table1334567[[#This Row],[Volume]]</f>
        <v>0</v>
      </c>
      <c r="BD1261">
        <f>((Table1334567[[#This Row],[High P]]+Table1334567[[#This Row],[Low P]])/2)*Table1334567[[#This Row],[gammap]]*Table1334567[[#This Row],[Volume9]]*-1</f>
        <v>0</v>
      </c>
      <c r="BE1261">
        <f>(Table1334567[[#This Row],[SgammaC]]+Table1334567[[#This Row],[SgammaP]])*$A$4*-100</f>
        <v>0</v>
      </c>
      <c r="BF1261">
        <f>Table1334567[[#This Row],[DEXc]]+Table1334567[[#This Row],[DEXp]]</f>
        <v>0</v>
      </c>
      <c r="BG1261">
        <f>IFERROR(Table1334567[[#This Row],[DeltaC]]*Table1334567[[#This Row],[Open.Int]]*$A$4,0)</f>
        <v>0</v>
      </c>
      <c r="BH1261">
        <f>IFERROR(Table1334567[[#This Row],[DeltaP]]*Table1334567[[#This Row],[Open.Int8]]*$A$4,0)</f>
        <v>0</v>
      </c>
      <c r="BI126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1">
        <f ca="1">Table1334567[[#This Row],[charmc]]+Table1334567[[#This Row],[charmp]]</f>
        <v>0</v>
      </c>
      <c r="BL126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1" s="78">
        <f ca="1">Table1334567[[#This Row],[call helper]]+Table1334567[[#This Row],[put helper]]</f>
        <v>0</v>
      </c>
      <c r="BP1261" t="str">
        <f>RTD("tos.rtd", , "STRIKE", "."&amp;Table1334567[[#This Row],[Ticker]]&amp;Table1334567[[#This Row],[Expiry]]&amp;""&amp;"C"&amp;Table1334567[[#This Row],[Spot]]+Table1334567[[#This Row],[step]])</f>
        <v>N/A</v>
      </c>
    </row>
    <row r="1262" spans="1:68" x14ac:dyDescent="0.25">
      <c r="A1262" s="14">
        <f t="shared" ca="1" si="124"/>
        <v>-126.14810350076104</v>
      </c>
      <c r="C1262" s="17"/>
      <c r="D1262" t="str">
        <f>RTD("tos.rtd", , "OPEN_INT", "."&amp;Table1334567[[#This Row],[Ticker]]&amp;Table1334567[[#This Row],[Expiry]]&amp;""&amp;"C"&amp;Table1334567[[#This Row],[Spot]]+Table1334567[[#This Row],[step]])</f>
        <v>N/A</v>
      </c>
      <c r="E126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2" s="17" cm="1">
        <f t="array" aca="1" ref="H1262" ca="1">IndividualLegIVCore($A$4, Table1334567[[#This Row],[Strike]], 0.0411, Table1334567[[#This Row],[T]], ((Table1334567[[#This Row],[BIDC]]+Table1334567[[#This Row],[ASKC]])/2), TRUE)</f>
        <v>0.01</v>
      </c>
      <c r="I126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2" s="17"/>
      <c r="M1262" s="1">
        <f t="shared" si="125"/>
        <v>0</v>
      </c>
      <c r="N1262" t="b">
        <f t="shared" si="126"/>
        <v>0</v>
      </c>
      <c r="P1262" s="17" cm="1">
        <f t="array" aca="1" ref="P1262" ca="1">IndividualLegIVCore($A$4, Table1334567[[#This Row],[Strike]], 0.0411, Table1334567[[#This Row],[T]], ((Table1334567[[#This Row],[BIDP]]+Table1334567[[#This Row],[ASKP]])/2), FALSE)</f>
        <v>0.01</v>
      </c>
      <c r="Q126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2" s="17"/>
      <c r="T126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2" s="19">
        <f>-33 * IF($M$1="NDX", 10, IF(OR($M$1="SPX", $M$1="RUT"), 2, 1))</f>
        <v>-66</v>
      </c>
      <c r="Z1262">
        <f ca="1">IFERROR(Table1334567[[#This Row],[call gamma]]*(Table1334567[[#This Row],[Open.Int]])*$A$4^2,0)</f>
        <v>0</v>
      </c>
      <c r="AA1262">
        <f ca="1">IFERROR(((Table1334567[[#This Row],[Open.Int8]])*Table1334567[[#This Row],[Put gamma]])*-1*$A$4^2,0)</f>
        <v>0</v>
      </c>
      <c r="AB1262">
        <f ca="1">(Table1334567[[#This Row],[Call Gex]]+Table1334567[[#This Row],[Put Gex]])</f>
        <v>0</v>
      </c>
      <c r="AC1262">
        <f ca="1">Table1334567[[#This Row],[put delta adj]]+Table1334567[[#This Row],[call delta adj]]</f>
        <v>0</v>
      </c>
      <c r="AD1262">
        <f ca="1">Table1334567[[#This Row],[Put Gex]]*Table1334567[[#This Row],[DeltaP]]*-1</f>
        <v>0</v>
      </c>
      <c r="AE1262">
        <f ca="1">Table1334567[[#This Row],[Call Gex]]*Table1334567[[#This Row],[DeltaC]]</f>
        <v>0</v>
      </c>
      <c r="AF1262">
        <f>IF(Table1334567[[#This Row],[DeltaC]]-ABS(Table1334567[[#This Row],[DeltaP]])="0","0.01",Table1334567[[#This Row],[DeltaC]]-ABS(Table1334567[[#This Row],[DeltaP]]))</f>
        <v>0</v>
      </c>
      <c r="AG126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2" t="e">
        <f ca="1">(EXP(-(AG1262^2)/2)/SQRT(2*PI())*EXP(0*SQRT(Table1334567[[#This Row],[T]]))/$A$4*18%*SQRT(SQRT(Table1334567[[#This Row],[T]])))</f>
        <v>#DIV/0!</v>
      </c>
      <c r="AJ1262" t="e">
        <f ca="1">(EXP(-(AH1262^2)/2)/SQRT(2*PI())*EXP(0*SQRT(Table1334567[[#This Row],[T]]))/$A$4*18%*SQRT(SQRT(Table1334567[[#This Row],[T]])))</f>
        <v>#DIV/0!</v>
      </c>
      <c r="AK1262" t="e">
        <f ca="1">Table1334567[[#This Row],[Call D1]]-Table1334567[[#This Row],[IV Calc C]]*SQRT(Table1334567[[#This Row],[T]])</f>
        <v>#DIV/0!</v>
      </c>
      <c r="AL1262" t="e">
        <f ca="1">Table1334567[[#This Row],[Put D1]]-Table1334567[[#This Row],[IV Calc P]]*SQRT(Table1334567[[#This Row],[T]])</f>
        <v>#DIV/0!</v>
      </c>
      <c r="AM1262" t="e">
        <f ca="1">EXP(-0.5*Table1334567[[#This Row],[Call D1]]^2)/SQRT(2*PI())</f>
        <v>#DIV/0!</v>
      </c>
      <c r="AN1262" t="e">
        <f ca="1">EXP(-0.5*Table1334567[[#This Row],[Put D1]]^2)/SQRT(2*PI())</f>
        <v>#DIV/0!</v>
      </c>
      <c r="AO126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2">
        <f ca="1">((Table1334567[[#This Row],[call vanna]]+Table1334567[[#This Row],[put vanna]])*$A$4)</f>
        <v>0</v>
      </c>
      <c r="AR126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2" s="9" t="str" cm="1">
        <f t="array" ref="AT1262">_xlfn.IFS(     $M$1="SPX","SPXW",     $M$1="RUT","RUTW",  $M$1="NDX","NDXP",   TRUE,$M$1 )</f>
        <v>SPXW</v>
      </c>
      <c r="AU1262" s="2">
        <f t="shared" si="127"/>
        <v>6915</v>
      </c>
      <c r="AV1262" t="str">
        <f t="shared" si="128"/>
        <v>000100</v>
      </c>
      <c r="AY126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2">
        <f>((Table1334567[[#This Row],[High C]]+Table1334567[[#This Row],[Low C]])/2)*Table1334567[[#This Row],[gammac]]*Table1334567[[#This Row],[Volume]]</f>
        <v>0</v>
      </c>
      <c r="BD1262">
        <f>((Table1334567[[#This Row],[High P]]+Table1334567[[#This Row],[Low P]])/2)*Table1334567[[#This Row],[gammap]]*Table1334567[[#This Row],[Volume9]]*-1</f>
        <v>0</v>
      </c>
      <c r="BE1262">
        <f>(Table1334567[[#This Row],[SgammaC]]+Table1334567[[#This Row],[SgammaP]])*$A$4*-100</f>
        <v>0</v>
      </c>
      <c r="BF1262">
        <f>Table1334567[[#This Row],[DEXc]]+Table1334567[[#This Row],[DEXp]]</f>
        <v>0</v>
      </c>
      <c r="BG1262">
        <f>IFERROR(Table1334567[[#This Row],[DeltaC]]*Table1334567[[#This Row],[Open.Int]]*$A$4,0)</f>
        <v>0</v>
      </c>
      <c r="BH1262">
        <f>IFERROR(Table1334567[[#This Row],[DeltaP]]*Table1334567[[#This Row],[Open.Int8]]*$A$4,0)</f>
        <v>0</v>
      </c>
      <c r="BI126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2">
        <f ca="1">Table1334567[[#This Row],[charmc]]+Table1334567[[#This Row],[charmp]]</f>
        <v>0</v>
      </c>
      <c r="BL126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2" s="78">
        <f ca="1">Table1334567[[#This Row],[call helper]]+Table1334567[[#This Row],[put helper]]</f>
        <v>0</v>
      </c>
      <c r="BP1262" t="str">
        <f>RTD("tos.rtd", , "STRIKE", "."&amp;Table1334567[[#This Row],[Ticker]]&amp;Table1334567[[#This Row],[Expiry]]&amp;""&amp;"C"&amp;Table1334567[[#This Row],[Spot]]+Table1334567[[#This Row],[step]])</f>
        <v>N/A</v>
      </c>
    </row>
    <row r="1263" spans="1:68" x14ac:dyDescent="0.25">
      <c r="A1263" s="14">
        <f t="shared" ca="1" si="124"/>
        <v>-126.14810350076104</v>
      </c>
      <c r="C1263" s="17"/>
      <c r="D1263" t="str">
        <f>RTD("tos.rtd", , "OPEN_INT", "."&amp;Table1334567[[#This Row],[Ticker]]&amp;Table1334567[[#This Row],[Expiry]]&amp;""&amp;"C"&amp;Table1334567[[#This Row],[Spot]]+Table1334567[[#This Row],[step]])</f>
        <v>N/A</v>
      </c>
      <c r="E126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3" s="17" cm="1">
        <f t="array" aca="1" ref="H1263" ca="1">IndividualLegIVCore($A$4, Table1334567[[#This Row],[Strike]], 0.0411, Table1334567[[#This Row],[T]], ((Table1334567[[#This Row],[BIDC]]+Table1334567[[#This Row],[ASKC]])/2), TRUE)</f>
        <v>0.01</v>
      </c>
      <c r="I126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3" s="17"/>
      <c r="M1263" s="1">
        <f t="shared" si="125"/>
        <v>0</v>
      </c>
      <c r="N1263" t="b">
        <f t="shared" si="126"/>
        <v>0</v>
      </c>
      <c r="P1263" s="17" cm="1">
        <f t="array" aca="1" ref="P1263" ca="1">IndividualLegIVCore($A$4, Table1334567[[#This Row],[Strike]], 0.0411, Table1334567[[#This Row],[T]], ((Table1334567[[#This Row],[BIDP]]+Table1334567[[#This Row],[ASKP]])/2), FALSE)</f>
        <v>0.01</v>
      </c>
      <c r="Q126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3" s="17"/>
      <c r="T126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3" s="19">
        <f>-32.5 * IF($M$1="NDX", 10, IF(OR($M$1="SPX", $M$1="RUT"), 2, 1))</f>
        <v>-65</v>
      </c>
      <c r="Z1263">
        <f ca="1">IFERROR(Table1334567[[#This Row],[call gamma]]*(Table1334567[[#This Row],[Open.Int]])*$A$4^2,0)</f>
        <v>0</v>
      </c>
      <c r="AA1263">
        <f ca="1">IFERROR(((Table1334567[[#This Row],[Open.Int8]])*Table1334567[[#This Row],[Put gamma]])*-1*$A$4^2,0)</f>
        <v>0</v>
      </c>
      <c r="AB1263">
        <f ca="1">(Table1334567[[#This Row],[Call Gex]]+Table1334567[[#This Row],[Put Gex]])</f>
        <v>0</v>
      </c>
      <c r="AC1263">
        <f ca="1">Table1334567[[#This Row],[put delta adj]]+Table1334567[[#This Row],[call delta adj]]</f>
        <v>0</v>
      </c>
      <c r="AD1263">
        <f ca="1">Table1334567[[#This Row],[Put Gex]]*Table1334567[[#This Row],[DeltaP]]*-1</f>
        <v>0</v>
      </c>
      <c r="AE1263">
        <f ca="1">Table1334567[[#This Row],[Call Gex]]*Table1334567[[#This Row],[DeltaC]]</f>
        <v>0</v>
      </c>
      <c r="AF1263">
        <f>IF(Table1334567[[#This Row],[DeltaC]]-ABS(Table1334567[[#This Row],[DeltaP]])="0","0.01",Table1334567[[#This Row],[DeltaC]]-ABS(Table1334567[[#This Row],[DeltaP]]))</f>
        <v>0</v>
      </c>
      <c r="AG126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3" t="e">
        <f ca="1">(EXP(-(AG1263^2)/2)/SQRT(2*PI())*EXP(0*SQRT(Table1334567[[#This Row],[T]]))/$A$4*18%*SQRT(SQRT(Table1334567[[#This Row],[T]])))</f>
        <v>#DIV/0!</v>
      </c>
      <c r="AJ1263" t="e">
        <f ca="1">(EXP(-(AH1263^2)/2)/SQRT(2*PI())*EXP(0*SQRT(Table1334567[[#This Row],[T]]))/$A$4*18%*SQRT(SQRT(Table1334567[[#This Row],[T]])))</f>
        <v>#DIV/0!</v>
      </c>
      <c r="AK1263" t="e">
        <f ca="1">Table1334567[[#This Row],[Call D1]]-Table1334567[[#This Row],[IV Calc C]]*SQRT(Table1334567[[#This Row],[T]])</f>
        <v>#DIV/0!</v>
      </c>
      <c r="AL1263" t="e">
        <f ca="1">Table1334567[[#This Row],[Put D1]]-Table1334567[[#This Row],[IV Calc P]]*SQRT(Table1334567[[#This Row],[T]])</f>
        <v>#DIV/0!</v>
      </c>
      <c r="AM1263" t="e">
        <f ca="1">EXP(-0.5*Table1334567[[#This Row],[Call D1]]^2)/SQRT(2*PI())</f>
        <v>#DIV/0!</v>
      </c>
      <c r="AN1263" t="e">
        <f ca="1">EXP(-0.5*Table1334567[[#This Row],[Put D1]]^2)/SQRT(2*PI())</f>
        <v>#DIV/0!</v>
      </c>
      <c r="AO126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3">
        <f ca="1">((Table1334567[[#This Row],[call vanna]]+Table1334567[[#This Row],[put vanna]])*$A$4)</f>
        <v>0</v>
      </c>
      <c r="AR126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3" s="9" t="str" cm="1">
        <f t="array" ref="AT1263">_xlfn.IFS(     $M$1="SPX","SPXW",     $M$1="RUT","RUTW",  $M$1="NDX","NDXP",   TRUE,$M$1 )</f>
        <v>SPXW</v>
      </c>
      <c r="AU1263" s="2">
        <f t="shared" si="127"/>
        <v>6915</v>
      </c>
      <c r="AV1263" t="str">
        <f t="shared" si="128"/>
        <v>000100</v>
      </c>
      <c r="AY126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3">
        <f>((Table1334567[[#This Row],[High C]]+Table1334567[[#This Row],[Low C]])/2)*Table1334567[[#This Row],[gammac]]*Table1334567[[#This Row],[Volume]]</f>
        <v>0</v>
      </c>
      <c r="BD1263">
        <f>((Table1334567[[#This Row],[High P]]+Table1334567[[#This Row],[Low P]])/2)*Table1334567[[#This Row],[gammap]]*Table1334567[[#This Row],[Volume9]]*-1</f>
        <v>0</v>
      </c>
      <c r="BE1263">
        <f>(Table1334567[[#This Row],[SgammaC]]+Table1334567[[#This Row],[SgammaP]])*$A$4*-100</f>
        <v>0</v>
      </c>
      <c r="BF1263">
        <f>Table1334567[[#This Row],[DEXc]]+Table1334567[[#This Row],[DEXp]]</f>
        <v>0</v>
      </c>
      <c r="BG1263">
        <f>IFERROR(Table1334567[[#This Row],[DeltaC]]*Table1334567[[#This Row],[Open.Int]]*$A$4,0)</f>
        <v>0</v>
      </c>
      <c r="BH1263">
        <f>IFERROR(Table1334567[[#This Row],[DeltaP]]*Table1334567[[#This Row],[Open.Int8]]*$A$4,0)</f>
        <v>0</v>
      </c>
      <c r="BI126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3">
        <f ca="1">Table1334567[[#This Row],[charmc]]+Table1334567[[#This Row],[charmp]]</f>
        <v>0</v>
      </c>
      <c r="BL126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3" s="78">
        <f ca="1">Table1334567[[#This Row],[call helper]]+Table1334567[[#This Row],[put helper]]</f>
        <v>0</v>
      </c>
      <c r="BP1263" t="str">
        <f>RTD("tos.rtd", , "STRIKE", "."&amp;Table1334567[[#This Row],[Ticker]]&amp;Table1334567[[#This Row],[Expiry]]&amp;""&amp;"C"&amp;Table1334567[[#This Row],[Spot]]+Table1334567[[#This Row],[step]])</f>
        <v>N/A</v>
      </c>
    </row>
    <row r="1264" spans="1:68" x14ac:dyDescent="0.25">
      <c r="A1264" s="14">
        <f t="shared" ca="1" si="124"/>
        <v>-126.14810350076104</v>
      </c>
      <c r="C1264" s="17"/>
      <c r="D1264" t="str">
        <f>RTD("tos.rtd", , "OPEN_INT", "."&amp;Table1334567[[#This Row],[Ticker]]&amp;Table1334567[[#This Row],[Expiry]]&amp;""&amp;"C"&amp;Table1334567[[#This Row],[Spot]]+Table1334567[[#This Row],[step]])</f>
        <v>N/A</v>
      </c>
      <c r="E126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4" s="17" cm="1">
        <f t="array" aca="1" ref="H1264" ca="1">IndividualLegIVCore($A$4, Table1334567[[#This Row],[Strike]], 0.0411, Table1334567[[#This Row],[T]], ((Table1334567[[#This Row],[BIDC]]+Table1334567[[#This Row],[ASKC]])/2), TRUE)</f>
        <v>0.01</v>
      </c>
      <c r="I126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4" s="17"/>
      <c r="M1264" s="1">
        <f t="shared" si="125"/>
        <v>0</v>
      </c>
      <c r="N1264" t="b">
        <f t="shared" si="126"/>
        <v>0</v>
      </c>
      <c r="P1264" s="17" cm="1">
        <f t="array" aca="1" ref="P1264" ca="1">IndividualLegIVCore($A$4, Table1334567[[#This Row],[Strike]], 0.0411, Table1334567[[#This Row],[T]], ((Table1334567[[#This Row],[BIDP]]+Table1334567[[#This Row],[ASKP]])/2), FALSE)</f>
        <v>0.01</v>
      </c>
      <c r="Q126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4" s="17"/>
      <c r="T126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4" s="19">
        <f>-32 * IF($M$1="NDX", 10, IF(OR($M$1="SPX", $M$1="RUT"), 2, 1))</f>
        <v>-64</v>
      </c>
      <c r="Z1264">
        <f ca="1">IFERROR(Table1334567[[#This Row],[call gamma]]*(Table1334567[[#This Row],[Open.Int]])*$A$4^2,0)</f>
        <v>0</v>
      </c>
      <c r="AA1264">
        <f ca="1">IFERROR(((Table1334567[[#This Row],[Open.Int8]])*Table1334567[[#This Row],[Put gamma]])*-1*$A$4^2,0)</f>
        <v>0</v>
      </c>
      <c r="AB1264">
        <f ca="1">(Table1334567[[#This Row],[Call Gex]]+Table1334567[[#This Row],[Put Gex]])</f>
        <v>0</v>
      </c>
      <c r="AC1264">
        <f ca="1">Table1334567[[#This Row],[put delta adj]]+Table1334567[[#This Row],[call delta adj]]</f>
        <v>0</v>
      </c>
      <c r="AD1264">
        <f ca="1">Table1334567[[#This Row],[Put Gex]]*Table1334567[[#This Row],[DeltaP]]*-1</f>
        <v>0</v>
      </c>
      <c r="AE1264">
        <f ca="1">Table1334567[[#This Row],[Call Gex]]*Table1334567[[#This Row],[DeltaC]]</f>
        <v>0</v>
      </c>
      <c r="AF1264">
        <f>IF(Table1334567[[#This Row],[DeltaC]]-ABS(Table1334567[[#This Row],[DeltaP]])="0","0.01",Table1334567[[#This Row],[DeltaC]]-ABS(Table1334567[[#This Row],[DeltaP]]))</f>
        <v>0</v>
      </c>
      <c r="AG126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4" t="e">
        <f ca="1">(EXP(-(AG1264^2)/2)/SQRT(2*PI())*EXP(0*SQRT(Table1334567[[#This Row],[T]]))/$A$4*18%*SQRT(SQRT(Table1334567[[#This Row],[T]])))</f>
        <v>#DIV/0!</v>
      </c>
      <c r="AJ1264" t="e">
        <f ca="1">(EXP(-(AH1264^2)/2)/SQRT(2*PI())*EXP(0*SQRT(Table1334567[[#This Row],[T]]))/$A$4*18%*SQRT(SQRT(Table1334567[[#This Row],[T]])))</f>
        <v>#DIV/0!</v>
      </c>
      <c r="AK1264" t="e">
        <f ca="1">Table1334567[[#This Row],[Call D1]]-Table1334567[[#This Row],[IV Calc C]]*SQRT(Table1334567[[#This Row],[T]])</f>
        <v>#DIV/0!</v>
      </c>
      <c r="AL1264" t="e">
        <f ca="1">Table1334567[[#This Row],[Put D1]]-Table1334567[[#This Row],[IV Calc P]]*SQRT(Table1334567[[#This Row],[T]])</f>
        <v>#DIV/0!</v>
      </c>
      <c r="AM1264" t="e">
        <f ca="1">EXP(-0.5*Table1334567[[#This Row],[Call D1]]^2)/SQRT(2*PI())</f>
        <v>#DIV/0!</v>
      </c>
      <c r="AN1264" t="e">
        <f ca="1">EXP(-0.5*Table1334567[[#This Row],[Put D1]]^2)/SQRT(2*PI())</f>
        <v>#DIV/0!</v>
      </c>
      <c r="AO126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4">
        <f ca="1">((Table1334567[[#This Row],[call vanna]]+Table1334567[[#This Row],[put vanna]])*$A$4)</f>
        <v>0</v>
      </c>
      <c r="AR126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4" s="9" t="str" cm="1">
        <f t="array" ref="AT1264">_xlfn.IFS(     $M$1="SPX","SPXW",     $M$1="RUT","RUTW",  $M$1="NDX","NDXP",   TRUE,$M$1 )</f>
        <v>SPXW</v>
      </c>
      <c r="AU1264" s="2">
        <f t="shared" si="127"/>
        <v>6915</v>
      </c>
      <c r="AV1264" t="str">
        <f t="shared" si="128"/>
        <v>000100</v>
      </c>
      <c r="AY126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4">
        <f>((Table1334567[[#This Row],[High C]]+Table1334567[[#This Row],[Low C]])/2)*Table1334567[[#This Row],[gammac]]*Table1334567[[#This Row],[Volume]]</f>
        <v>0</v>
      </c>
      <c r="BD1264">
        <f>((Table1334567[[#This Row],[High P]]+Table1334567[[#This Row],[Low P]])/2)*Table1334567[[#This Row],[gammap]]*Table1334567[[#This Row],[Volume9]]*-1</f>
        <v>0</v>
      </c>
      <c r="BE1264">
        <f>(Table1334567[[#This Row],[SgammaC]]+Table1334567[[#This Row],[SgammaP]])*$A$4*-100</f>
        <v>0</v>
      </c>
      <c r="BF1264">
        <f>Table1334567[[#This Row],[DEXc]]+Table1334567[[#This Row],[DEXp]]</f>
        <v>0</v>
      </c>
      <c r="BG1264">
        <f>IFERROR(Table1334567[[#This Row],[DeltaC]]*Table1334567[[#This Row],[Open.Int]]*$A$4,0)</f>
        <v>0</v>
      </c>
      <c r="BH1264">
        <f>IFERROR(Table1334567[[#This Row],[DeltaP]]*Table1334567[[#This Row],[Open.Int8]]*$A$4,0)</f>
        <v>0</v>
      </c>
      <c r="BI126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4">
        <f ca="1">Table1334567[[#This Row],[charmc]]+Table1334567[[#This Row],[charmp]]</f>
        <v>0</v>
      </c>
      <c r="BL126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4" s="78">
        <f ca="1">Table1334567[[#This Row],[call helper]]+Table1334567[[#This Row],[put helper]]</f>
        <v>0</v>
      </c>
      <c r="BP1264" t="str">
        <f>RTD("tos.rtd", , "STRIKE", "."&amp;Table1334567[[#This Row],[Ticker]]&amp;Table1334567[[#This Row],[Expiry]]&amp;""&amp;"C"&amp;Table1334567[[#This Row],[Spot]]+Table1334567[[#This Row],[step]])</f>
        <v>N/A</v>
      </c>
    </row>
    <row r="1265" spans="1:68" x14ac:dyDescent="0.25">
      <c r="A1265" s="14">
        <f t="shared" ca="1" si="124"/>
        <v>-126.14810350076104</v>
      </c>
      <c r="C1265" s="17"/>
      <c r="D1265" t="str">
        <f>RTD("tos.rtd", , "OPEN_INT", "."&amp;Table1334567[[#This Row],[Ticker]]&amp;Table1334567[[#This Row],[Expiry]]&amp;""&amp;"C"&amp;Table1334567[[#This Row],[Spot]]+Table1334567[[#This Row],[step]])</f>
        <v>N/A</v>
      </c>
      <c r="E126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5" s="17" cm="1">
        <f t="array" aca="1" ref="H1265" ca="1">IndividualLegIVCore($A$4, Table1334567[[#This Row],[Strike]], 0.0411, Table1334567[[#This Row],[T]], ((Table1334567[[#This Row],[BIDC]]+Table1334567[[#This Row],[ASKC]])/2), TRUE)</f>
        <v>0.01</v>
      </c>
      <c r="I126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5" s="17"/>
      <c r="M1265" s="1">
        <f t="shared" si="125"/>
        <v>0</v>
      </c>
      <c r="N1265" t="b">
        <f t="shared" si="126"/>
        <v>0</v>
      </c>
      <c r="P1265" s="17" cm="1">
        <f t="array" aca="1" ref="P1265" ca="1">IndividualLegIVCore($A$4, Table1334567[[#This Row],[Strike]], 0.0411, Table1334567[[#This Row],[T]], ((Table1334567[[#This Row],[BIDP]]+Table1334567[[#This Row],[ASKP]])/2), FALSE)</f>
        <v>0.01</v>
      </c>
      <c r="Q126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5" s="17"/>
      <c r="T126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5" s="19">
        <f>-31.5 * IF($M$1="NDX", 10, IF(OR($M$1="SPX", $M$1="RUT"), 2, 1))</f>
        <v>-63</v>
      </c>
      <c r="Z1265">
        <f ca="1">IFERROR(Table1334567[[#This Row],[call gamma]]*(Table1334567[[#This Row],[Open.Int]])*$A$4^2,0)</f>
        <v>0</v>
      </c>
      <c r="AA1265">
        <f ca="1">IFERROR(((Table1334567[[#This Row],[Open.Int8]])*Table1334567[[#This Row],[Put gamma]])*-1*$A$4^2,0)</f>
        <v>0</v>
      </c>
      <c r="AB1265">
        <f ca="1">(Table1334567[[#This Row],[Call Gex]]+Table1334567[[#This Row],[Put Gex]])</f>
        <v>0</v>
      </c>
      <c r="AC1265">
        <f ca="1">Table1334567[[#This Row],[put delta adj]]+Table1334567[[#This Row],[call delta adj]]</f>
        <v>0</v>
      </c>
      <c r="AD1265">
        <f ca="1">Table1334567[[#This Row],[Put Gex]]*Table1334567[[#This Row],[DeltaP]]*-1</f>
        <v>0</v>
      </c>
      <c r="AE1265">
        <f ca="1">Table1334567[[#This Row],[Call Gex]]*Table1334567[[#This Row],[DeltaC]]</f>
        <v>0</v>
      </c>
      <c r="AF1265">
        <f>IF(Table1334567[[#This Row],[DeltaC]]-ABS(Table1334567[[#This Row],[DeltaP]])="0","0.01",Table1334567[[#This Row],[DeltaC]]-ABS(Table1334567[[#This Row],[DeltaP]]))</f>
        <v>0</v>
      </c>
      <c r="AG126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5" t="e">
        <f ca="1">(EXP(-(AG1265^2)/2)/SQRT(2*PI())*EXP(0*SQRT(Table1334567[[#This Row],[T]]))/$A$4*18%*SQRT(SQRT(Table1334567[[#This Row],[T]])))</f>
        <v>#DIV/0!</v>
      </c>
      <c r="AJ1265" t="e">
        <f ca="1">(EXP(-(AH1265^2)/2)/SQRT(2*PI())*EXP(0*SQRT(Table1334567[[#This Row],[T]]))/$A$4*18%*SQRT(SQRT(Table1334567[[#This Row],[T]])))</f>
        <v>#DIV/0!</v>
      </c>
      <c r="AK1265" t="e">
        <f ca="1">Table1334567[[#This Row],[Call D1]]-Table1334567[[#This Row],[IV Calc C]]*SQRT(Table1334567[[#This Row],[T]])</f>
        <v>#DIV/0!</v>
      </c>
      <c r="AL1265" t="e">
        <f ca="1">Table1334567[[#This Row],[Put D1]]-Table1334567[[#This Row],[IV Calc P]]*SQRT(Table1334567[[#This Row],[T]])</f>
        <v>#DIV/0!</v>
      </c>
      <c r="AM1265" t="e">
        <f ca="1">EXP(-0.5*Table1334567[[#This Row],[Call D1]]^2)/SQRT(2*PI())</f>
        <v>#DIV/0!</v>
      </c>
      <c r="AN1265" t="e">
        <f ca="1">EXP(-0.5*Table1334567[[#This Row],[Put D1]]^2)/SQRT(2*PI())</f>
        <v>#DIV/0!</v>
      </c>
      <c r="AO126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5">
        <f ca="1">((Table1334567[[#This Row],[call vanna]]+Table1334567[[#This Row],[put vanna]])*$A$4)</f>
        <v>0</v>
      </c>
      <c r="AR126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5" s="9" t="str" cm="1">
        <f t="array" ref="AT1265">_xlfn.IFS(     $M$1="SPX","SPXW",     $M$1="RUT","RUTW",  $M$1="NDX","NDXP",   TRUE,$M$1 )</f>
        <v>SPXW</v>
      </c>
      <c r="AU1265" s="2">
        <f t="shared" si="127"/>
        <v>6915</v>
      </c>
      <c r="AV1265" t="str">
        <f t="shared" si="128"/>
        <v>000100</v>
      </c>
      <c r="AY126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5">
        <f>((Table1334567[[#This Row],[High C]]+Table1334567[[#This Row],[Low C]])/2)*Table1334567[[#This Row],[gammac]]*Table1334567[[#This Row],[Volume]]</f>
        <v>0</v>
      </c>
      <c r="BD1265">
        <f>((Table1334567[[#This Row],[High P]]+Table1334567[[#This Row],[Low P]])/2)*Table1334567[[#This Row],[gammap]]*Table1334567[[#This Row],[Volume9]]*-1</f>
        <v>0</v>
      </c>
      <c r="BE1265">
        <f>(Table1334567[[#This Row],[SgammaC]]+Table1334567[[#This Row],[SgammaP]])*$A$4*-100</f>
        <v>0</v>
      </c>
      <c r="BF1265">
        <f>Table1334567[[#This Row],[DEXc]]+Table1334567[[#This Row],[DEXp]]</f>
        <v>0</v>
      </c>
      <c r="BG1265">
        <f>IFERROR(Table1334567[[#This Row],[DeltaC]]*Table1334567[[#This Row],[Open.Int]]*$A$4,0)</f>
        <v>0</v>
      </c>
      <c r="BH1265">
        <f>IFERROR(Table1334567[[#This Row],[DeltaP]]*Table1334567[[#This Row],[Open.Int8]]*$A$4,0)</f>
        <v>0</v>
      </c>
      <c r="BI126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5">
        <f ca="1">Table1334567[[#This Row],[charmc]]+Table1334567[[#This Row],[charmp]]</f>
        <v>0</v>
      </c>
      <c r="BL126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5" s="78">
        <f ca="1">Table1334567[[#This Row],[call helper]]+Table1334567[[#This Row],[put helper]]</f>
        <v>0</v>
      </c>
      <c r="BP1265" t="str">
        <f>RTD("tos.rtd", , "STRIKE", "."&amp;Table1334567[[#This Row],[Ticker]]&amp;Table1334567[[#This Row],[Expiry]]&amp;""&amp;"C"&amp;Table1334567[[#This Row],[Spot]]+Table1334567[[#This Row],[step]])</f>
        <v>N/A</v>
      </c>
    </row>
    <row r="1266" spans="1:68" x14ac:dyDescent="0.25">
      <c r="A1266" s="14">
        <f t="shared" ca="1" si="124"/>
        <v>-126.14810350076104</v>
      </c>
      <c r="C1266" s="17"/>
      <c r="D1266" t="str">
        <f>RTD("tos.rtd", , "OPEN_INT", "."&amp;Table1334567[[#This Row],[Ticker]]&amp;Table1334567[[#This Row],[Expiry]]&amp;""&amp;"C"&amp;Table1334567[[#This Row],[Spot]]+Table1334567[[#This Row],[step]])</f>
        <v>N/A</v>
      </c>
      <c r="E126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6" s="17" cm="1">
        <f t="array" aca="1" ref="H1266" ca="1">IndividualLegIVCore($A$4, Table1334567[[#This Row],[Strike]], 0.0411, Table1334567[[#This Row],[T]], ((Table1334567[[#This Row],[BIDC]]+Table1334567[[#This Row],[ASKC]])/2), TRUE)</f>
        <v>0.01</v>
      </c>
      <c r="I126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6" s="17"/>
      <c r="M1266" s="1">
        <f t="shared" si="125"/>
        <v>0</v>
      </c>
      <c r="N1266" t="b">
        <f t="shared" si="126"/>
        <v>0</v>
      </c>
      <c r="P1266" s="17" cm="1">
        <f t="array" aca="1" ref="P1266" ca="1">IndividualLegIVCore($A$4, Table1334567[[#This Row],[Strike]], 0.0411, Table1334567[[#This Row],[T]], ((Table1334567[[#This Row],[BIDP]]+Table1334567[[#This Row],[ASKP]])/2), FALSE)</f>
        <v>0.01</v>
      </c>
      <c r="Q126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6" s="17"/>
      <c r="T126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6" s="19">
        <f>-31 * IF($M$1="NDX", 10, IF(OR($M$1="SPX", $M$1="RUT"), 2, 1))</f>
        <v>-62</v>
      </c>
      <c r="Z1266">
        <f ca="1">IFERROR(Table1334567[[#This Row],[call gamma]]*(Table1334567[[#This Row],[Open.Int]])*$A$4^2,0)</f>
        <v>0</v>
      </c>
      <c r="AA1266">
        <f ca="1">IFERROR(((Table1334567[[#This Row],[Open.Int8]])*Table1334567[[#This Row],[Put gamma]])*-1*$A$4^2,0)</f>
        <v>0</v>
      </c>
      <c r="AB1266">
        <f ca="1">(Table1334567[[#This Row],[Call Gex]]+Table1334567[[#This Row],[Put Gex]])</f>
        <v>0</v>
      </c>
      <c r="AC1266">
        <f ca="1">Table1334567[[#This Row],[put delta adj]]+Table1334567[[#This Row],[call delta adj]]</f>
        <v>0</v>
      </c>
      <c r="AD1266">
        <f ca="1">Table1334567[[#This Row],[Put Gex]]*Table1334567[[#This Row],[DeltaP]]*-1</f>
        <v>0</v>
      </c>
      <c r="AE1266">
        <f ca="1">Table1334567[[#This Row],[Call Gex]]*Table1334567[[#This Row],[DeltaC]]</f>
        <v>0</v>
      </c>
      <c r="AF1266">
        <f>IF(Table1334567[[#This Row],[DeltaC]]-ABS(Table1334567[[#This Row],[DeltaP]])="0","0.01",Table1334567[[#This Row],[DeltaC]]-ABS(Table1334567[[#This Row],[DeltaP]]))</f>
        <v>0</v>
      </c>
      <c r="AG126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6" t="e">
        <f ca="1">(EXP(-(AG1266^2)/2)/SQRT(2*PI())*EXP(0*SQRT(Table1334567[[#This Row],[T]]))/$A$4*18%*SQRT(SQRT(Table1334567[[#This Row],[T]])))</f>
        <v>#DIV/0!</v>
      </c>
      <c r="AJ1266" t="e">
        <f ca="1">(EXP(-(AH1266^2)/2)/SQRT(2*PI())*EXP(0*SQRT(Table1334567[[#This Row],[T]]))/$A$4*18%*SQRT(SQRT(Table1334567[[#This Row],[T]])))</f>
        <v>#DIV/0!</v>
      </c>
      <c r="AK1266" t="e">
        <f ca="1">Table1334567[[#This Row],[Call D1]]-Table1334567[[#This Row],[IV Calc C]]*SQRT(Table1334567[[#This Row],[T]])</f>
        <v>#DIV/0!</v>
      </c>
      <c r="AL1266" t="e">
        <f ca="1">Table1334567[[#This Row],[Put D1]]-Table1334567[[#This Row],[IV Calc P]]*SQRT(Table1334567[[#This Row],[T]])</f>
        <v>#DIV/0!</v>
      </c>
      <c r="AM1266" t="e">
        <f ca="1">EXP(-0.5*Table1334567[[#This Row],[Call D1]]^2)/SQRT(2*PI())</f>
        <v>#DIV/0!</v>
      </c>
      <c r="AN1266" t="e">
        <f ca="1">EXP(-0.5*Table1334567[[#This Row],[Put D1]]^2)/SQRT(2*PI())</f>
        <v>#DIV/0!</v>
      </c>
      <c r="AO126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6">
        <f ca="1">((Table1334567[[#This Row],[call vanna]]+Table1334567[[#This Row],[put vanna]])*$A$4)</f>
        <v>0</v>
      </c>
      <c r="AR126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6" s="9" t="str" cm="1">
        <f t="array" ref="AT1266">_xlfn.IFS(     $M$1="SPX","SPXW",     $M$1="RUT","RUTW",  $M$1="NDX","NDXP",   TRUE,$M$1 )</f>
        <v>SPXW</v>
      </c>
      <c r="AU1266" s="2">
        <f t="shared" si="127"/>
        <v>6915</v>
      </c>
      <c r="AV1266" t="str">
        <f t="shared" si="128"/>
        <v>000100</v>
      </c>
      <c r="AY126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6">
        <f>((Table1334567[[#This Row],[High C]]+Table1334567[[#This Row],[Low C]])/2)*Table1334567[[#This Row],[gammac]]*Table1334567[[#This Row],[Volume]]</f>
        <v>0</v>
      </c>
      <c r="BD1266">
        <f>((Table1334567[[#This Row],[High P]]+Table1334567[[#This Row],[Low P]])/2)*Table1334567[[#This Row],[gammap]]*Table1334567[[#This Row],[Volume9]]*-1</f>
        <v>0</v>
      </c>
      <c r="BE1266">
        <f>(Table1334567[[#This Row],[SgammaC]]+Table1334567[[#This Row],[SgammaP]])*$A$4*-100</f>
        <v>0</v>
      </c>
      <c r="BF1266">
        <f>Table1334567[[#This Row],[DEXc]]+Table1334567[[#This Row],[DEXp]]</f>
        <v>0</v>
      </c>
      <c r="BG1266">
        <f>IFERROR(Table1334567[[#This Row],[DeltaC]]*Table1334567[[#This Row],[Open.Int]]*$A$4,0)</f>
        <v>0</v>
      </c>
      <c r="BH1266">
        <f>IFERROR(Table1334567[[#This Row],[DeltaP]]*Table1334567[[#This Row],[Open.Int8]]*$A$4,0)</f>
        <v>0</v>
      </c>
      <c r="BI126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6">
        <f ca="1">Table1334567[[#This Row],[charmc]]+Table1334567[[#This Row],[charmp]]</f>
        <v>0</v>
      </c>
      <c r="BL126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6" s="78">
        <f ca="1">Table1334567[[#This Row],[call helper]]+Table1334567[[#This Row],[put helper]]</f>
        <v>0</v>
      </c>
      <c r="BP1266" t="str">
        <f>RTD("tos.rtd", , "STRIKE", "."&amp;Table1334567[[#This Row],[Ticker]]&amp;Table1334567[[#This Row],[Expiry]]&amp;""&amp;"C"&amp;Table1334567[[#This Row],[Spot]]+Table1334567[[#This Row],[step]])</f>
        <v>N/A</v>
      </c>
    </row>
    <row r="1267" spans="1:68" x14ac:dyDescent="0.25">
      <c r="A1267" s="14">
        <f t="shared" ca="1" si="124"/>
        <v>-126.14810350076104</v>
      </c>
      <c r="C1267" s="17"/>
      <c r="D1267" t="str">
        <f>RTD("tos.rtd", , "OPEN_INT", "."&amp;Table1334567[[#This Row],[Ticker]]&amp;Table1334567[[#This Row],[Expiry]]&amp;""&amp;"C"&amp;Table1334567[[#This Row],[Spot]]+Table1334567[[#This Row],[step]])</f>
        <v>N/A</v>
      </c>
      <c r="E126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7" s="17" cm="1">
        <f t="array" aca="1" ref="H1267" ca="1">IndividualLegIVCore($A$4, Table1334567[[#This Row],[Strike]], 0.0411, Table1334567[[#This Row],[T]], ((Table1334567[[#This Row],[BIDC]]+Table1334567[[#This Row],[ASKC]])/2), TRUE)</f>
        <v>0.01</v>
      </c>
      <c r="I126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7" s="17"/>
      <c r="M1267" s="1">
        <f t="shared" si="125"/>
        <v>0</v>
      </c>
      <c r="N1267" t="b">
        <f t="shared" si="126"/>
        <v>0</v>
      </c>
      <c r="P1267" s="17" cm="1">
        <f t="array" aca="1" ref="P1267" ca="1">IndividualLegIVCore($A$4, Table1334567[[#This Row],[Strike]], 0.0411, Table1334567[[#This Row],[T]], ((Table1334567[[#This Row],[BIDP]]+Table1334567[[#This Row],[ASKP]])/2), FALSE)</f>
        <v>0.01</v>
      </c>
      <c r="Q126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7" s="17"/>
      <c r="T126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7" s="19">
        <f>-30.5* IF($M$1="NDX", 10, IF(OR($M$1="SPX", $M$1="RUT"), 2, 1))</f>
        <v>-61</v>
      </c>
      <c r="Z1267">
        <f ca="1">IFERROR(Table1334567[[#This Row],[call gamma]]*(Table1334567[[#This Row],[Open.Int]])*$A$4^2,0)</f>
        <v>0</v>
      </c>
      <c r="AA1267">
        <f ca="1">IFERROR(((Table1334567[[#This Row],[Open.Int8]])*Table1334567[[#This Row],[Put gamma]])*-1*$A$4^2,0)</f>
        <v>0</v>
      </c>
      <c r="AB1267">
        <f ca="1">(Table1334567[[#This Row],[Call Gex]]+Table1334567[[#This Row],[Put Gex]])</f>
        <v>0</v>
      </c>
      <c r="AC1267">
        <f ca="1">Table1334567[[#This Row],[put delta adj]]+Table1334567[[#This Row],[call delta adj]]</f>
        <v>0</v>
      </c>
      <c r="AD1267">
        <f ca="1">Table1334567[[#This Row],[Put Gex]]*Table1334567[[#This Row],[DeltaP]]*-1</f>
        <v>0</v>
      </c>
      <c r="AE1267">
        <f ca="1">Table1334567[[#This Row],[Call Gex]]*Table1334567[[#This Row],[DeltaC]]</f>
        <v>0</v>
      </c>
      <c r="AF1267">
        <f>IF(Table1334567[[#This Row],[DeltaC]]-ABS(Table1334567[[#This Row],[DeltaP]])="0","0.01",Table1334567[[#This Row],[DeltaC]]-ABS(Table1334567[[#This Row],[DeltaP]]))</f>
        <v>0</v>
      </c>
      <c r="AG126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7" t="e">
        <f ca="1">(EXP(-(AG1267^2)/2)/SQRT(2*PI())*EXP(0*SQRT(Table1334567[[#This Row],[T]]))/$A$4*18%*SQRT(SQRT(Table1334567[[#This Row],[T]])))</f>
        <v>#DIV/0!</v>
      </c>
      <c r="AJ1267" t="e">
        <f ca="1">(EXP(-(AH1267^2)/2)/SQRT(2*PI())*EXP(0*SQRT(Table1334567[[#This Row],[T]]))/$A$4*18%*SQRT(SQRT(Table1334567[[#This Row],[T]])))</f>
        <v>#DIV/0!</v>
      </c>
      <c r="AK1267" t="e">
        <f ca="1">Table1334567[[#This Row],[Call D1]]-Table1334567[[#This Row],[IV Calc C]]*SQRT(Table1334567[[#This Row],[T]])</f>
        <v>#DIV/0!</v>
      </c>
      <c r="AL1267" t="e">
        <f ca="1">Table1334567[[#This Row],[Put D1]]-Table1334567[[#This Row],[IV Calc P]]*SQRT(Table1334567[[#This Row],[T]])</f>
        <v>#DIV/0!</v>
      </c>
      <c r="AM1267" t="e">
        <f ca="1">EXP(-0.5*Table1334567[[#This Row],[Call D1]]^2)/SQRT(2*PI())</f>
        <v>#DIV/0!</v>
      </c>
      <c r="AN1267" t="e">
        <f ca="1">EXP(-0.5*Table1334567[[#This Row],[Put D1]]^2)/SQRT(2*PI())</f>
        <v>#DIV/0!</v>
      </c>
      <c r="AO126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7">
        <f ca="1">((Table1334567[[#This Row],[call vanna]]+Table1334567[[#This Row],[put vanna]])*$A$4)</f>
        <v>0</v>
      </c>
      <c r="AR126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7" s="9" t="str" cm="1">
        <f t="array" ref="AT1267">_xlfn.IFS(     $M$1="SPX","SPXW",     $M$1="RUT","RUTW",  $M$1="NDX","NDXP",   TRUE,$M$1 )</f>
        <v>SPXW</v>
      </c>
      <c r="AU1267" s="2">
        <f t="shared" si="127"/>
        <v>6915</v>
      </c>
      <c r="AV1267" t="str">
        <f t="shared" si="128"/>
        <v>000100</v>
      </c>
      <c r="AY126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7">
        <f>((Table1334567[[#This Row],[High C]]+Table1334567[[#This Row],[Low C]])/2)*Table1334567[[#This Row],[gammac]]*Table1334567[[#This Row],[Volume]]</f>
        <v>0</v>
      </c>
      <c r="BD1267">
        <f>((Table1334567[[#This Row],[High P]]+Table1334567[[#This Row],[Low P]])/2)*Table1334567[[#This Row],[gammap]]*Table1334567[[#This Row],[Volume9]]*-1</f>
        <v>0</v>
      </c>
      <c r="BE1267">
        <f>(Table1334567[[#This Row],[SgammaC]]+Table1334567[[#This Row],[SgammaP]])*$A$4*-100</f>
        <v>0</v>
      </c>
      <c r="BF1267">
        <f>Table1334567[[#This Row],[DEXc]]+Table1334567[[#This Row],[DEXp]]</f>
        <v>0</v>
      </c>
      <c r="BG1267">
        <f>IFERROR(Table1334567[[#This Row],[DeltaC]]*Table1334567[[#This Row],[Open.Int]]*$A$4,0)</f>
        <v>0</v>
      </c>
      <c r="BH1267">
        <f>IFERROR(Table1334567[[#This Row],[DeltaP]]*Table1334567[[#This Row],[Open.Int8]]*$A$4,0)</f>
        <v>0</v>
      </c>
      <c r="BI126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7">
        <f ca="1">Table1334567[[#This Row],[charmc]]+Table1334567[[#This Row],[charmp]]</f>
        <v>0</v>
      </c>
      <c r="BL126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7" s="78">
        <f ca="1">Table1334567[[#This Row],[call helper]]+Table1334567[[#This Row],[put helper]]</f>
        <v>0</v>
      </c>
      <c r="BP1267" t="str">
        <f>RTD("tos.rtd", , "STRIKE", "."&amp;Table1334567[[#This Row],[Ticker]]&amp;Table1334567[[#This Row],[Expiry]]&amp;""&amp;"C"&amp;Table1334567[[#This Row],[Spot]]+Table1334567[[#This Row],[step]])</f>
        <v>N/A</v>
      </c>
    </row>
    <row r="1268" spans="1:68" x14ac:dyDescent="0.25">
      <c r="A1268" s="14">
        <f t="shared" ca="1" si="124"/>
        <v>-126.14810350076104</v>
      </c>
      <c r="C1268" s="17"/>
      <c r="D1268" t="str">
        <f>RTD("tos.rtd", , "OPEN_INT", "."&amp;Table1334567[[#This Row],[Ticker]]&amp;Table1334567[[#This Row],[Expiry]]&amp;""&amp;"C"&amp;Table1334567[[#This Row],[Spot]]+Table1334567[[#This Row],[step]])</f>
        <v>N/A</v>
      </c>
      <c r="E126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8" s="17" cm="1">
        <f t="array" aca="1" ref="H1268" ca="1">IndividualLegIVCore($A$4, Table1334567[[#This Row],[Strike]], 0.0411, Table1334567[[#This Row],[T]], ((Table1334567[[#This Row],[BIDC]]+Table1334567[[#This Row],[ASKC]])/2), TRUE)</f>
        <v>0.01</v>
      </c>
      <c r="I126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8" s="17"/>
      <c r="M1268" s="1">
        <f t="shared" si="125"/>
        <v>0</v>
      </c>
      <c r="N1268" t="b">
        <f t="shared" si="126"/>
        <v>0</v>
      </c>
      <c r="P1268" s="17" cm="1">
        <f t="array" aca="1" ref="P1268" ca="1">IndividualLegIVCore($A$4, Table1334567[[#This Row],[Strike]], 0.0411, Table1334567[[#This Row],[T]], ((Table1334567[[#This Row],[BIDP]]+Table1334567[[#This Row],[ASKP]])/2), FALSE)</f>
        <v>0.01</v>
      </c>
      <c r="Q126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8" s="17"/>
      <c r="T126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8" s="19">
        <f>-30* IF($M$1="NDX", 10, IF(OR($M$1="SPX", $M$1="RUT"), 2, 1))</f>
        <v>-60</v>
      </c>
      <c r="Z1268">
        <f ca="1">IFERROR(Table1334567[[#This Row],[call gamma]]*(Table1334567[[#This Row],[Open.Int]])*$A$4^2,0)</f>
        <v>0</v>
      </c>
      <c r="AA1268">
        <f ca="1">IFERROR(((Table1334567[[#This Row],[Open.Int8]])*Table1334567[[#This Row],[Put gamma]])*-1*$A$4^2,0)</f>
        <v>0</v>
      </c>
      <c r="AB1268">
        <f ca="1">(Table1334567[[#This Row],[Call Gex]]+Table1334567[[#This Row],[Put Gex]])</f>
        <v>0</v>
      </c>
      <c r="AC1268">
        <f ca="1">Table1334567[[#This Row],[put delta adj]]+Table1334567[[#This Row],[call delta adj]]</f>
        <v>0</v>
      </c>
      <c r="AD1268">
        <f ca="1">Table1334567[[#This Row],[Put Gex]]*Table1334567[[#This Row],[DeltaP]]*-1</f>
        <v>0</v>
      </c>
      <c r="AE1268">
        <f ca="1">Table1334567[[#This Row],[Call Gex]]*Table1334567[[#This Row],[DeltaC]]</f>
        <v>0</v>
      </c>
      <c r="AF1268">
        <f>IF(Table1334567[[#This Row],[DeltaC]]-ABS(Table1334567[[#This Row],[DeltaP]])="0","0.01",Table1334567[[#This Row],[DeltaC]]-ABS(Table1334567[[#This Row],[DeltaP]]))</f>
        <v>0</v>
      </c>
      <c r="AG126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8" t="e">
        <f ca="1">(EXP(-(AG1268^2)/2)/SQRT(2*PI())*EXP(0*SQRT(Table1334567[[#This Row],[T]]))/$A$4*18%*SQRT(SQRT(Table1334567[[#This Row],[T]])))</f>
        <v>#DIV/0!</v>
      </c>
      <c r="AJ1268" t="e">
        <f ca="1">(EXP(-(AH1268^2)/2)/SQRT(2*PI())*EXP(0*SQRT(Table1334567[[#This Row],[T]]))/$A$4*18%*SQRT(SQRT(Table1334567[[#This Row],[T]])))</f>
        <v>#DIV/0!</v>
      </c>
      <c r="AK1268" t="e">
        <f ca="1">Table1334567[[#This Row],[Call D1]]-Table1334567[[#This Row],[IV Calc C]]*SQRT(Table1334567[[#This Row],[T]])</f>
        <v>#DIV/0!</v>
      </c>
      <c r="AL1268" t="e">
        <f ca="1">Table1334567[[#This Row],[Put D1]]-Table1334567[[#This Row],[IV Calc P]]*SQRT(Table1334567[[#This Row],[T]])</f>
        <v>#DIV/0!</v>
      </c>
      <c r="AM1268" t="e">
        <f ca="1">EXP(-0.5*Table1334567[[#This Row],[Call D1]]^2)/SQRT(2*PI())</f>
        <v>#DIV/0!</v>
      </c>
      <c r="AN1268" t="e">
        <f ca="1">EXP(-0.5*Table1334567[[#This Row],[Put D1]]^2)/SQRT(2*PI())</f>
        <v>#DIV/0!</v>
      </c>
      <c r="AO126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8">
        <f ca="1">((Table1334567[[#This Row],[call vanna]]+Table1334567[[#This Row],[put vanna]])*$A$4)</f>
        <v>0</v>
      </c>
      <c r="AR126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8" s="9" t="str" cm="1">
        <f t="array" ref="AT1268">_xlfn.IFS(     $M$1="SPX","SPXW",     $M$1="RUT","RUTW",  $M$1="NDX","NDXP",   TRUE,$M$1 )</f>
        <v>SPXW</v>
      </c>
      <c r="AU1268" s="2">
        <f t="shared" si="127"/>
        <v>6915</v>
      </c>
      <c r="AV1268" t="str">
        <f t="shared" si="128"/>
        <v>000100</v>
      </c>
      <c r="AY126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8">
        <f>((Table1334567[[#This Row],[High C]]+Table1334567[[#This Row],[Low C]])/2)*Table1334567[[#This Row],[gammac]]*Table1334567[[#This Row],[Volume]]</f>
        <v>0</v>
      </c>
      <c r="BD1268">
        <f>((Table1334567[[#This Row],[High P]]+Table1334567[[#This Row],[Low P]])/2)*Table1334567[[#This Row],[gammap]]*Table1334567[[#This Row],[Volume9]]*-1</f>
        <v>0</v>
      </c>
      <c r="BE1268">
        <f>(Table1334567[[#This Row],[SgammaC]]+Table1334567[[#This Row],[SgammaP]])*$A$4*-100</f>
        <v>0</v>
      </c>
      <c r="BF1268">
        <f>Table1334567[[#This Row],[DEXc]]+Table1334567[[#This Row],[DEXp]]</f>
        <v>0</v>
      </c>
      <c r="BG1268">
        <f>IFERROR(Table1334567[[#This Row],[DeltaC]]*Table1334567[[#This Row],[Open.Int]]*$A$4,0)</f>
        <v>0</v>
      </c>
      <c r="BH1268">
        <f>IFERROR(Table1334567[[#This Row],[DeltaP]]*Table1334567[[#This Row],[Open.Int8]]*$A$4,0)</f>
        <v>0</v>
      </c>
      <c r="BI126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8">
        <f ca="1">Table1334567[[#This Row],[charmc]]+Table1334567[[#This Row],[charmp]]</f>
        <v>0</v>
      </c>
      <c r="BL126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8" s="78">
        <f ca="1">Table1334567[[#This Row],[call helper]]+Table1334567[[#This Row],[put helper]]</f>
        <v>0</v>
      </c>
      <c r="BP1268" t="str">
        <f>RTD("tos.rtd", , "STRIKE", "."&amp;Table1334567[[#This Row],[Ticker]]&amp;Table1334567[[#This Row],[Expiry]]&amp;""&amp;"C"&amp;Table1334567[[#This Row],[Spot]]+Table1334567[[#This Row],[step]])</f>
        <v>N/A</v>
      </c>
    </row>
    <row r="1269" spans="1:68" x14ac:dyDescent="0.25">
      <c r="A1269" s="14">
        <f t="shared" ca="1" si="124"/>
        <v>-126.14810350076104</v>
      </c>
      <c r="C1269" s="17"/>
      <c r="D1269" t="str">
        <f>RTD("tos.rtd", , "OPEN_INT", "."&amp;Table1334567[[#This Row],[Ticker]]&amp;Table1334567[[#This Row],[Expiry]]&amp;""&amp;"C"&amp;Table1334567[[#This Row],[Spot]]+Table1334567[[#This Row],[step]])</f>
        <v>N/A</v>
      </c>
      <c r="E126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9" s="17" cm="1">
        <f t="array" aca="1" ref="H1269" ca="1">IndividualLegIVCore($A$4, Table1334567[[#This Row],[Strike]], 0.0411, Table1334567[[#This Row],[T]], ((Table1334567[[#This Row],[BIDC]]+Table1334567[[#This Row],[ASKC]])/2), TRUE)</f>
        <v>0.01</v>
      </c>
      <c r="I126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9" s="17"/>
      <c r="M1269" s="1">
        <f t="shared" si="125"/>
        <v>0</v>
      </c>
      <c r="N1269" t="b">
        <f t="shared" si="126"/>
        <v>0</v>
      </c>
      <c r="P1269" s="17" cm="1">
        <f t="array" aca="1" ref="P1269" ca="1">IndividualLegIVCore($A$4, Table1334567[[#This Row],[Strike]], 0.0411, Table1334567[[#This Row],[T]], ((Table1334567[[#This Row],[BIDP]]+Table1334567[[#This Row],[ASKP]])/2), FALSE)</f>
        <v>0.01</v>
      </c>
      <c r="Q126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9" s="17"/>
      <c r="T126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9" s="19">
        <f>-29.5* IF($M$1="NDX", 10, IF(OR($M$1="SPX", $M$1="RUT"), 2, 1))</f>
        <v>-59</v>
      </c>
      <c r="Z1269">
        <f ca="1">IFERROR(Table1334567[[#This Row],[call gamma]]*(Table1334567[[#This Row],[Open.Int]])*$A$4^2,0)</f>
        <v>0</v>
      </c>
      <c r="AA1269">
        <f ca="1">IFERROR(((Table1334567[[#This Row],[Open.Int8]])*Table1334567[[#This Row],[Put gamma]])*-1*$A$4^2,0)</f>
        <v>0</v>
      </c>
      <c r="AB1269">
        <f ca="1">(Table1334567[[#This Row],[Call Gex]]+Table1334567[[#This Row],[Put Gex]])</f>
        <v>0</v>
      </c>
      <c r="AC1269">
        <f ca="1">Table1334567[[#This Row],[put delta adj]]+Table1334567[[#This Row],[call delta adj]]</f>
        <v>0</v>
      </c>
      <c r="AD1269">
        <f ca="1">Table1334567[[#This Row],[Put Gex]]*Table1334567[[#This Row],[DeltaP]]*-1</f>
        <v>0</v>
      </c>
      <c r="AE1269">
        <f ca="1">Table1334567[[#This Row],[Call Gex]]*Table1334567[[#This Row],[DeltaC]]</f>
        <v>0</v>
      </c>
      <c r="AF1269">
        <f>IF(Table1334567[[#This Row],[DeltaC]]-ABS(Table1334567[[#This Row],[DeltaP]])="0","0.01",Table1334567[[#This Row],[DeltaC]]-ABS(Table1334567[[#This Row],[DeltaP]]))</f>
        <v>0</v>
      </c>
      <c r="AG126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9" t="e">
        <f ca="1">(EXP(-(AG1269^2)/2)/SQRT(2*PI())*EXP(0*SQRT(Table1334567[[#This Row],[T]]))/$A$4*18%*SQRT(SQRT(Table1334567[[#This Row],[T]])))</f>
        <v>#DIV/0!</v>
      </c>
      <c r="AJ1269" t="e">
        <f ca="1">(EXP(-(AH1269^2)/2)/SQRT(2*PI())*EXP(0*SQRT(Table1334567[[#This Row],[T]]))/$A$4*18%*SQRT(SQRT(Table1334567[[#This Row],[T]])))</f>
        <v>#DIV/0!</v>
      </c>
      <c r="AK1269" t="e">
        <f ca="1">Table1334567[[#This Row],[Call D1]]-Table1334567[[#This Row],[IV Calc C]]*SQRT(Table1334567[[#This Row],[T]])</f>
        <v>#DIV/0!</v>
      </c>
      <c r="AL1269" t="e">
        <f ca="1">Table1334567[[#This Row],[Put D1]]-Table1334567[[#This Row],[IV Calc P]]*SQRT(Table1334567[[#This Row],[T]])</f>
        <v>#DIV/0!</v>
      </c>
      <c r="AM1269" t="e">
        <f ca="1">EXP(-0.5*Table1334567[[#This Row],[Call D1]]^2)/SQRT(2*PI())</f>
        <v>#DIV/0!</v>
      </c>
      <c r="AN1269" t="e">
        <f ca="1">EXP(-0.5*Table1334567[[#This Row],[Put D1]]^2)/SQRT(2*PI())</f>
        <v>#DIV/0!</v>
      </c>
      <c r="AO126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9">
        <f ca="1">((Table1334567[[#This Row],[call vanna]]+Table1334567[[#This Row],[put vanna]])*$A$4)</f>
        <v>0</v>
      </c>
      <c r="AR126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9" s="9" t="str" cm="1">
        <f t="array" ref="AT1269">_xlfn.IFS(     $M$1="SPX","SPXW",     $M$1="RUT","RUTW",  $M$1="NDX","NDXP",   TRUE,$M$1 )</f>
        <v>SPXW</v>
      </c>
      <c r="AU1269" s="2">
        <f t="shared" si="127"/>
        <v>6915</v>
      </c>
      <c r="AV1269" t="str">
        <f t="shared" si="128"/>
        <v>000100</v>
      </c>
      <c r="AY126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9">
        <f>((Table1334567[[#This Row],[High C]]+Table1334567[[#This Row],[Low C]])/2)*Table1334567[[#This Row],[gammac]]*Table1334567[[#This Row],[Volume]]</f>
        <v>0</v>
      </c>
      <c r="BD1269">
        <f>((Table1334567[[#This Row],[High P]]+Table1334567[[#This Row],[Low P]])/2)*Table1334567[[#This Row],[gammap]]*Table1334567[[#This Row],[Volume9]]*-1</f>
        <v>0</v>
      </c>
      <c r="BE1269">
        <f>(Table1334567[[#This Row],[SgammaC]]+Table1334567[[#This Row],[SgammaP]])*$A$4*-100</f>
        <v>0</v>
      </c>
      <c r="BF1269">
        <f>Table1334567[[#This Row],[DEXc]]+Table1334567[[#This Row],[DEXp]]</f>
        <v>0</v>
      </c>
      <c r="BG1269">
        <f>IFERROR(Table1334567[[#This Row],[DeltaC]]*Table1334567[[#This Row],[Open.Int]]*$A$4,0)</f>
        <v>0</v>
      </c>
      <c r="BH1269">
        <f>IFERROR(Table1334567[[#This Row],[DeltaP]]*Table1334567[[#This Row],[Open.Int8]]*$A$4,0)</f>
        <v>0</v>
      </c>
      <c r="BI126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9">
        <f ca="1">Table1334567[[#This Row],[charmc]]+Table1334567[[#This Row],[charmp]]</f>
        <v>0</v>
      </c>
      <c r="BL126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9" s="78">
        <f ca="1">Table1334567[[#This Row],[call helper]]+Table1334567[[#This Row],[put helper]]</f>
        <v>0</v>
      </c>
      <c r="BP1269" t="str">
        <f>RTD("tos.rtd", , "STRIKE", "."&amp;Table1334567[[#This Row],[Ticker]]&amp;Table1334567[[#This Row],[Expiry]]&amp;""&amp;"C"&amp;Table1334567[[#This Row],[Spot]]+Table1334567[[#This Row],[step]])</f>
        <v>N/A</v>
      </c>
    </row>
    <row r="1270" spans="1:68" x14ac:dyDescent="0.25">
      <c r="A1270" s="14">
        <f t="shared" ca="1" si="124"/>
        <v>-126.14810350076104</v>
      </c>
      <c r="C1270" s="17"/>
      <c r="D1270" t="str">
        <f>RTD("tos.rtd", , "OPEN_INT", "."&amp;Table1334567[[#This Row],[Ticker]]&amp;Table1334567[[#This Row],[Expiry]]&amp;""&amp;"C"&amp;Table1334567[[#This Row],[Spot]]+Table1334567[[#This Row],[step]])</f>
        <v>N/A</v>
      </c>
      <c r="E127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0" s="17" cm="1">
        <f t="array" aca="1" ref="H1270" ca="1">IndividualLegIVCore($A$4, Table1334567[[#This Row],[Strike]], 0.0411, Table1334567[[#This Row],[T]], ((Table1334567[[#This Row],[BIDC]]+Table1334567[[#This Row],[ASKC]])/2), TRUE)</f>
        <v>0.01</v>
      </c>
      <c r="I127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0" s="17"/>
      <c r="M1270" s="1">
        <f t="shared" si="125"/>
        <v>0</v>
      </c>
      <c r="N1270" t="b">
        <f t="shared" si="126"/>
        <v>0</v>
      </c>
      <c r="P1270" s="17" cm="1">
        <f t="array" aca="1" ref="P1270" ca="1">IndividualLegIVCore($A$4, Table1334567[[#This Row],[Strike]], 0.0411, Table1334567[[#This Row],[T]], ((Table1334567[[#This Row],[BIDP]]+Table1334567[[#This Row],[ASKP]])/2), FALSE)</f>
        <v>0.01</v>
      </c>
      <c r="Q127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0" s="17"/>
      <c r="T127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0" s="19">
        <f>-29* IF($M$1="NDX", 10, IF(OR($M$1="SPX", $M$1="RUT"), 2, 1))</f>
        <v>-58</v>
      </c>
      <c r="Z1270">
        <f ca="1">IFERROR(Table1334567[[#This Row],[call gamma]]*(Table1334567[[#This Row],[Open.Int]])*$A$4^2,0)</f>
        <v>0</v>
      </c>
      <c r="AA1270">
        <f ca="1">IFERROR(((Table1334567[[#This Row],[Open.Int8]])*Table1334567[[#This Row],[Put gamma]])*-1*$A$4^2,0)</f>
        <v>0</v>
      </c>
      <c r="AB1270">
        <f ca="1">(Table1334567[[#This Row],[Call Gex]]+Table1334567[[#This Row],[Put Gex]])</f>
        <v>0</v>
      </c>
      <c r="AC1270">
        <f ca="1">Table1334567[[#This Row],[put delta adj]]+Table1334567[[#This Row],[call delta adj]]</f>
        <v>0</v>
      </c>
      <c r="AD1270">
        <f ca="1">Table1334567[[#This Row],[Put Gex]]*Table1334567[[#This Row],[DeltaP]]*-1</f>
        <v>0</v>
      </c>
      <c r="AE1270">
        <f ca="1">Table1334567[[#This Row],[Call Gex]]*Table1334567[[#This Row],[DeltaC]]</f>
        <v>0</v>
      </c>
      <c r="AF1270">
        <f>IF(Table1334567[[#This Row],[DeltaC]]-ABS(Table1334567[[#This Row],[DeltaP]])="0","0.01",Table1334567[[#This Row],[DeltaC]]-ABS(Table1334567[[#This Row],[DeltaP]]))</f>
        <v>0</v>
      </c>
      <c r="AG127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0" t="e">
        <f ca="1">(EXP(-(AG1270^2)/2)/SQRT(2*PI())*EXP(0*SQRT(Table1334567[[#This Row],[T]]))/$A$4*18%*SQRT(SQRT(Table1334567[[#This Row],[T]])))</f>
        <v>#DIV/0!</v>
      </c>
      <c r="AJ1270" t="e">
        <f ca="1">(EXP(-(AH1270^2)/2)/SQRT(2*PI())*EXP(0*SQRT(Table1334567[[#This Row],[T]]))/$A$4*18%*SQRT(SQRT(Table1334567[[#This Row],[T]])))</f>
        <v>#DIV/0!</v>
      </c>
      <c r="AK1270" t="e">
        <f ca="1">Table1334567[[#This Row],[Call D1]]-Table1334567[[#This Row],[IV Calc C]]*SQRT(Table1334567[[#This Row],[T]])</f>
        <v>#DIV/0!</v>
      </c>
      <c r="AL1270" t="e">
        <f ca="1">Table1334567[[#This Row],[Put D1]]-Table1334567[[#This Row],[IV Calc P]]*SQRT(Table1334567[[#This Row],[T]])</f>
        <v>#DIV/0!</v>
      </c>
      <c r="AM1270" t="e">
        <f ca="1">EXP(-0.5*Table1334567[[#This Row],[Call D1]]^2)/SQRT(2*PI())</f>
        <v>#DIV/0!</v>
      </c>
      <c r="AN1270" t="e">
        <f ca="1">EXP(-0.5*Table1334567[[#This Row],[Put D1]]^2)/SQRT(2*PI())</f>
        <v>#DIV/0!</v>
      </c>
      <c r="AO127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0">
        <f ca="1">((Table1334567[[#This Row],[call vanna]]+Table1334567[[#This Row],[put vanna]])*$A$4)</f>
        <v>0</v>
      </c>
      <c r="AR127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0" s="9" t="str" cm="1">
        <f t="array" ref="AT1270">_xlfn.IFS(     $M$1="SPX","SPXW",     $M$1="RUT","RUTW",  $M$1="NDX","NDXP",   TRUE,$M$1 )</f>
        <v>SPXW</v>
      </c>
      <c r="AU1270" s="2">
        <f t="shared" si="127"/>
        <v>6915</v>
      </c>
      <c r="AV1270" t="str">
        <f t="shared" si="128"/>
        <v>000100</v>
      </c>
      <c r="AY127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0">
        <f>((Table1334567[[#This Row],[High C]]+Table1334567[[#This Row],[Low C]])/2)*Table1334567[[#This Row],[gammac]]*Table1334567[[#This Row],[Volume]]</f>
        <v>0</v>
      </c>
      <c r="BD1270">
        <f>((Table1334567[[#This Row],[High P]]+Table1334567[[#This Row],[Low P]])/2)*Table1334567[[#This Row],[gammap]]*Table1334567[[#This Row],[Volume9]]*-1</f>
        <v>0</v>
      </c>
      <c r="BE1270">
        <f>(Table1334567[[#This Row],[SgammaC]]+Table1334567[[#This Row],[SgammaP]])*$A$4*-100</f>
        <v>0</v>
      </c>
      <c r="BF1270">
        <f>Table1334567[[#This Row],[DEXc]]+Table1334567[[#This Row],[DEXp]]</f>
        <v>0</v>
      </c>
      <c r="BG1270">
        <f>IFERROR(Table1334567[[#This Row],[DeltaC]]*Table1334567[[#This Row],[Open.Int]]*$A$4,0)</f>
        <v>0</v>
      </c>
      <c r="BH1270">
        <f>IFERROR(Table1334567[[#This Row],[DeltaP]]*Table1334567[[#This Row],[Open.Int8]]*$A$4,0)</f>
        <v>0</v>
      </c>
      <c r="BI127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0">
        <f ca="1">Table1334567[[#This Row],[charmc]]+Table1334567[[#This Row],[charmp]]</f>
        <v>0</v>
      </c>
      <c r="BL127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0" s="78">
        <f ca="1">Table1334567[[#This Row],[call helper]]+Table1334567[[#This Row],[put helper]]</f>
        <v>0</v>
      </c>
      <c r="BP1270" t="str">
        <f>RTD("tos.rtd", , "STRIKE", "."&amp;Table1334567[[#This Row],[Ticker]]&amp;Table1334567[[#This Row],[Expiry]]&amp;""&amp;"C"&amp;Table1334567[[#This Row],[Spot]]+Table1334567[[#This Row],[step]])</f>
        <v>N/A</v>
      </c>
    </row>
    <row r="1271" spans="1:68" x14ac:dyDescent="0.25">
      <c r="A1271" s="14">
        <f t="shared" ca="1" si="124"/>
        <v>-126.14810350076104</v>
      </c>
      <c r="C1271" s="17"/>
      <c r="D1271" t="str">
        <f>RTD("tos.rtd", , "OPEN_INT", "."&amp;Table1334567[[#This Row],[Ticker]]&amp;Table1334567[[#This Row],[Expiry]]&amp;""&amp;"C"&amp;Table1334567[[#This Row],[Spot]]+Table1334567[[#This Row],[step]])</f>
        <v>N/A</v>
      </c>
      <c r="E127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1" s="17" cm="1">
        <f t="array" aca="1" ref="H1271" ca="1">IndividualLegIVCore($A$4, Table1334567[[#This Row],[Strike]], 0.0411, Table1334567[[#This Row],[T]], ((Table1334567[[#This Row],[BIDC]]+Table1334567[[#This Row],[ASKC]])/2), TRUE)</f>
        <v>0.01</v>
      </c>
      <c r="I127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1" s="17"/>
      <c r="M1271" s="1">
        <f t="shared" si="125"/>
        <v>0</v>
      </c>
      <c r="N1271" t="b">
        <f t="shared" si="126"/>
        <v>0</v>
      </c>
      <c r="P1271" s="17" cm="1">
        <f t="array" aca="1" ref="P1271" ca="1">IndividualLegIVCore($A$4, Table1334567[[#This Row],[Strike]], 0.0411, Table1334567[[#This Row],[T]], ((Table1334567[[#This Row],[BIDP]]+Table1334567[[#This Row],[ASKP]])/2), FALSE)</f>
        <v>0.01</v>
      </c>
      <c r="Q127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1" s="17"/>
      <c r="T127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1" s="19">
        <f>-28.5* IF($M$1="NDX", 10, IF(OR($M$1="SPX", $M$1="RUT"), 2, 1))</f>
        <v>-57</v>
      </c>
      <c r="Z1271">
        <f ca="1">IFERROR(Table1334567[[#This Row],[call gamma]]*(Table1334567[[#This Row],[Open.Int]])*$A$4^2,0)</f>
        <v>0</v>
      </c>
      <c r="AA1271">
        <f ca="1">IFERROR(((Table1334567[[#This Row],[Open.Int8]])*Table1334567[[#This Row],[Put gamma]])*-1*$A$4^2,0)</f>
        <v>0</v>
      </c>
      <c r="AB1271">
        <f ca="1">(Table1334567[[#This Row],[Call Gex]]+Table1334567[[#This Row],[Put Gex]])</f>
        <v>0</v>
      </c>
      <c r="AC1271">
        <f ca="1">Table1334567[[#This Row],[put delta adj]]+Table1334567[[#This Row],[call delta adj]]</f>
        <v>0</v>
      </c>
      <c r="AD1271">
        <f ca="1">Table1334567[[#This Row],[Put Gex]]*Table1334567[[#This Row],[DeltaP]]*-1</f>
        <v>0</v>
      </c>
      <c r="AE1271">
        <f ca="1">Table1334567[[#This Row],[Call Gex]]*Table1334567[[#This Row],[DeltaC]]</f>
        <v>0</v>
      </c>
      <c r="AF1271">
        <f>IF(Table1334567[[#This Row],[DeltaC]]-ABS(Table1334567[[#This Row],[DeltaP]])="0","0.01",Table1334567[[#This Row],[DeltaC]]-ABS(Table1334567[[#This Row],[DeltaP]]))</f>
        <v>0</v>
      </c>
      <c r="AG127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1" t="e">
        <f ca="1">(EXP(-(AG1271^2)/2)/SQRT(2*PI())*EXP(0*SQRT(Table1334567[[#This Row],[T]]))/$A$4*18%*SQRT(SQRT(Table1334567[[#This Row],[T]])))</f>
        <v>#DIV/0!</v>
      </c>
      <c r="AJ1271" t="e">
        <f ca="1">(EXP(-(AH1271^2)/2)/SQRT(2*PI())*EXP(0*SQRT(Table1334567[[#This Row],[T]]))/$A$4*18%*SQRT(SQRT(Table1334567[[#This Row],[T]])))</f>
        <v>#DIV/0!</v>
      </c>
      <c r="AK1271" t="e">
        <f ca="1">Table1334567[[#This Row],[Call D1]]-Table1334567[[#This Row],[IV Calc C]]*SQRT(Table1334567[[#This Row],[T]])</f>
        <v>#DIV/0!</v>
      </c>
      <c r="AL1271" t="e">
        <f ca="1">Table1334567[[#This Row],[Put D1]]-Table1334567[[#This Row],[IV Calc P]]*SQRT(Table1334567[[#This Row],[T]])</f>
        <v>#DIV/0!</v>
      </c>
      <c r="AM1271" t="e">
        <f ca="1">EXP(-0.5*Table1334567[[#This Row],[Call D1]]^2)/SQRT(2*PI())</f>
        <v>#DIV/0!</v>
      </c>
      <c r="AN1271" t="e">
        <f ca="1">EXP(-0.5*Table1334567[[#This Row],[Put D1]]^2)/SQRT(2*PI())</f>
        <v>#DIV/0!</v>
      </c>
      <c r="AO127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1">
        <f ca="1">((Table1334567[[#This Row],[call vanna]]+Table1334567[[#This Row],[put vanna]])*$A$4)</f>
        <v>0</v>
      </c>
      <c r="AR127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1" s="9" t="str" cm="1">
        <f t="array" ref="AT1271">_xlfn.IFS(     $M$1="SPX","SPXW",     $M$1="RUT","RUTW",  $M$1="NDX","NDXP",   TRUE,$M$1 )</f>
        <v>SPXW</v>
      </c>
      <c r="AU1271" s="2">
        <f t="shared" si="127"/>
        <v>6915</v>
      </c>
      <c r="AV1271" t="str">
        <f t="shared" si="128"/>
        <v>000100</v>
      </c>
      <c r="AY127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1">
        <f>((Table1334567[[#This Row],[High C]]+Table1334567[[#This Row],[Low C]])/2)*Table1334567[[#This Row],[gammac]]*Table1334567[[#This Row],[Volume]]</f>
        <v>0</v>
      </c>
      <c r="BD1271">
        <f>((Table1334567[[#This Row],[High P]]+Table1334567[[#This Row],[Low P]])/2)*Table1334567[[#This Row],[gammap]]*Table1334567[[#This Row],[Volume9]]*-1</f>
        <v>0</v>
      </c>
      <c r="BE1271">
        <f>(Table1334567[[#This Row],[SgammaC]]+Table1334567[[#This Row],[SgammaP]])*$A$4*-100</f>
        <v>0</v>
      </c>
      <c r="BF1271">
        <f>Table1334567[[#This Row],[DEXc]]+Table1334567[[#This Row],[DEXp]]</f>
        <v>0</v>
      </c>
      <c r="BG1271">
        <f>IFERROR(Table1334567[[#This Row],[DeltaC]]*Table1334567[[#This Row],[Open.Int]]*$A$4,0)</f>
        <v>0</v>
      </c>
      <c r="BH1271">
        <f>IFERROR(Table1334567[[#This Row],[DeltaP]]*Table1334567[[#This Row],[Open.Int8]]*$A$4,0)</f>
        <v>0</v>
      </c>
      <c r="BI127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1">
        <f ca="1">Table1334567[[#This Row],[charmc]]+Table1334567[[#This Row],[charmp]]</f>
        <v>0</v>
      </c>
      <c r="BL127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1" s="78">
        <f ca="1">Table1334567[[#This Row],[call helper]]+Table1334567[[#This Row],[put helper]]</f>
        <v>0</v>
      </c>
      <c r="BP1271" t="str">
        <f>RTD("tos.rtd", , "STRIKE", "."&amp;Table1334567[[#This Row],[Ticker]]&amp;Table1334567[[#This Row],[Expiry]]&amp;""&amp;"C"&amp;Table1334567[[#This Row],[Spot]]+Table1334567[[#This Row],[step]])</f>
        <v>N/A</v>
      </c>
    </row>
    <row r="1272" spans="1:68" x14ac:dyDescent="0.25">
      <c r="A1272" s="14">
        <f t="shared" ca="1" si="124"/>
        <v>-126.14810350076104</v>
      </c>
      <c r="C1272" s="17"/>
      <c r="D1272" t="str">
        <f>RTD("tos.rtd", , "OPEN_INT", "."&amp;Table1334567[[#This Row],[Ticker]]&amp;Table1334567[[#This Row],[Expiry]]&amp;""&amp;"C"&amp;Table1334567[[#This Row],[Spot]]+Table1334567[[#This Row],[step]])</f>
        <v>N/A</v>
      </c>
      <c r="E127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2" s="17" cm="1">
        <f t="array" aca="1" ref="H1272" ca="1">IndividualLegIVCore($A$4, Table1334567[[#This Row],[Strike]], 0.0411, Table1334567[[#This Row],[T]], ((Table1334567[[#This Row],[BIDC]]+Table1334567[[#This Row],[ASKC]])/2), TRUE)</f>
        <v>0.01</v>
      </c>
      <c r="I127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2" s="17"/>
      <c r="M1272" s="1">
        <f t="shared" si="125"/>
        <v>0</v>
      </c>
      <c r="N1272" t="b">
        <f t="shared" si="126"/>
        <v>0</v>
      </c>
      <c r="P1272" s="17" cm="1">
        <f t="array" aca="1" ref="P1272" ca="1">IndividualLegIVCore($A$4, Table1334567[[#This Row],[Strike]], 0.0411, Table1334567[[#This Row],[T]], ((Table1334567[[#This Row],[BIDP]]+Table1334567[[#This Row],[ASKP]])/2), FALSE)</f>
        <v>0.01</v>
      </c>
      <c r="Q127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2" s="17"/>
      <c r="T127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2" s="19">
        <f>-28* IF($M$1="NDX", 10, IF(OR($M$1="SPX", $M$1="RUT"), 2, 1))</f>
        <v>-56</v>
      </c>
      <c r="Z1272">
        <f ca="1">IFERROR(Table1334567[[#This Row],[call gamma]]*(Table1334567[[#This Row],[Open.Int]])*$A$4^2,0)</f>
        <v>0</v>
      </c>
      <c r="AA1272">
        <f ca="1">IFERROR(((Table1334567[[#This Row],[Open.Int8]])*Table1334567[[#This Row],[Put gamma]])*-1*$A$4^2,0)</f>
        <v>0</v>
      </c>
      <c r="AB1272">
        <f ca="1">(Table1334567[[#This Row],[Call Gex]]+Table1334567[[#This Row],[Put Gex]])</f>
        <v>0</v>
      </c>
      <c r="AC1272">
        <f ca="1">Table1334567[[#This Row],[put delta adj]]+Table1334567[[#This Row],[call delta adj]]</f>
        <v>0</v>
      </c>
      <c r="AD1272">
        <f ca="1">Table1334567[[#This Row],[Put Gex]]*Table1334567[[#This Row],[DeltaP]]*-1</f>
        <v>0</v>
      </c>
      <c r="AE1272">
        <f ca="1">Table1334567[[#This Row],[Call Gex]]*Table1334567[[#This Row],[DeltaC]]</f>
        <v>0</v>
      </c>
      <c r="AF1272">
        <f>IF(Table1334567[[#This Row],[DeltaC]]-ABS(Table1334567[[#This Row],[DeltaP]])="0","0.01",Table1334567[[#This Row],[DeltaC]]-ABS(Table1334567[[#This Row],[DeltaP]]))</f>
        <v>0</v>
      </c>
      <c r="AG127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2" t="e">
        <f ca="1">(EXP(-(AG1272^2)/2)/SQRT(2*PI())*EXP(0*SQRT(Table1334567[[#This Row],[T]]))/$A$4*18%*SQRT(SQRT(Table1334567[[#This Row],[T]])))</f>
        <v>#DIV/0!</v>
      </c>
      <c r="AJ1272" t="e">
        <f ca="1">(EXP(-(AH1272^2)/2)/SQRT(2*PI())*EXP(0*SQRT(Table1334567[[#This Row],[T]]))/$A$4*18%*SQRT(SQRT(Table1334567[[#This Row],[T]])))</f>
        <v>#DIV/0!</v>
      </c>
      <c r="AK1272" t="e">
        <f ca="1">Table1334567[[#This Row],[Call D1]]-Table1334567[[#This Row],[IV Calc C]]*SQRT(Table1334567[[#This Row],[T]])</f>
        <v>#DIV/0!</v>
      </c>
      <c r="AL1272" t="e">
        <f ca="1">Table1334567[[#This Row],[Put D1]]-Table1334567[[#This Row],[IV Calc P]]*SQRT(Table1334567[[#This Row],[T]])</f>
        <v>#DIV/0!</v>
      </c>
      <c r="AM1272" t="e">
        <f ca="1">EXP(-0.5*Table1334567[[#This Row],[Call D1]]^2)/SQRT(2*PI())</f>
        <v>#DIV/0!</v>
      </c>
      <c r="AN1272" t="e">
        <f ca="1">EXP(-0.5*Table1334567[[#This Row],[Put D1]]^2)/SQRT(2*PI())</f>
        <v>#DIV/0!</v>
      </c>
      <c r="AO127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2">
        <f ca="1">((Table1334567[[#This Row],[call vanna]]+Table1334567[[#This Row],[put vanna]])*$A$4)</f>
        <v>0</v>
      </c>
      <c r="AR127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2" s="9" t="str" cm="1">
        <f t="array" ref="AT1272">_xlfn.IFS(     $M$1="SPX","SPXW",     $M$1="RUT","RUTW",  $M$1="NDX","NDXP",   TRUE,$M$1 )</f>
        <v>SPXW</v>
      </c>
      <c r="AU1272" s="2">
        <f t="shared" si="127"/>
        <v>6915</v>
      </c>
      <c r="AV1272" t="str">
        <f t="shared" si="128"/>
        <v>000100</v>
      </c>
      <c r="AY127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2">
        <f>((Table1334567[[#This Row],[High C]]+Table1334567[[#This Row],[Low C]])/2)*Table1334567[[#This Row],[gammac]]*Table1334567[[#This Row],[Volume]]</f>
        <v>0</v>
      </c>
      <c r="BD1272">
        <f>((Table1334567[[#This Row],[High P]]+Table1334567[[#This Row],[Low P]])/2)*Table1334567[[#This Row],[gammap]]*Table1334567[[#This Row],[Volume9]]*-1</f>
        <v>0</v>
      </c>
      <c r="BE1272">
        <f>(Table1334567[[#This Row],[SgammaC]]+Table1334567[[#This Row],[SgammaP]])*$A$4*-100</f>
        <v>0</v>
      </c>
      <c r="BF1272">
        <f>Table1334567[[#This Row],[DEXc]]+Table1334567[[#This Row],[DEXp]]</f>
        <v>0</v>
      </c>
      <c r="BG1272">
        <f>IFERROR(Table1334567[[#This Row],[DeltaC]]*Table1334567[[#This Row],[Open.Int]]*$A$4,0)</f>
        <v>0</v>
      </c>
      <c r="BH1272">
        <f>IFERROR(Table1334567[[#This Row],[DeltaP]]*Table1334567[[#This Row],[Open.Int8]]*$A$4,0)</f>
        <v>0</v>
      </c>
      <c r="BI127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2">
        <f ca="1">Table1334567[[#This Row],[charmc]]+Table1334567[[#This Row],[charmp]]</f>
        <v>0</v>
      </c>
      <c r="BL127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2" s="78">
        <f ca="1">Table1334567[[#This Row],[call helper]]+Table1334567[[#This Row],[put helper]]</f>
        <v>0</v>
      </c>
      <c r="BP1272" t="str">
        <f>RTD("tos.rtd", , "STRIKE", "."&amp;Table1334567[[#This Row],[Ticker]]&amp;Table1334567[[#This Row],[Expiry]]&amp;""&amp;"C"&amp;Table1334567[[#This Row],[Spot]]+Table1334567[[#This Row],[step]])</f>
        <v>N/A</v>
      </c>
    </row>
    <row r="1273" spans="1:68" x14ac:dyDescent="0.25">
      <c r="A1273" s="14">
        <f t="shared" ca="1" si="124"/>
        <v>-126.14810350076104</v>
      </c>
      <c r="C1273" s="17"/>
      <c r="D1273" t="str">
        <f>RTD("tos.rtd", , "OPEN_INT", "."&amp;Table1334567[[#This Row],[Ticker]]&amp;Table1334567[[#This Row],[Expiry]]&amp;""&amp;"C"&amp;Table1334567[[#This Row],[Spot]]+Table1334567[[#This Row],[step]])</f>
        <v>N/A</v>
      </c>
      <c r="E127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3" s="17" cm="1">
        <f t="array" aca="1" ref="H1273" ca="1">IndividualLegIVCore($A$4, Table1334567[[#This Row],[Strike]], 0.0411, Table1334567[[#This Row],[T]], ((Table1334567[[#This Row],[BIDC]]+Table1334567[[#This Row],[ASKC]])/2), TRUE)</f>
        <v>0.01</v>
      </c>
      <c r="I127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3" s="17"/>
      <c r="M1273" s="1">
        <f t="shared" si="125"/>
        <v>0</v>
      </c>
      <c r="N1273" t="b">
        <f t="shared" si="126"/>
        <v>0</v>
      </c>
      <c r="P1273" s="17" cm="1">
        <f t="array" aca="1" ref="P1273" ca="1">IndividualLegIVCore($A$4, Table1334567[[#This Row],[Strike]], 0.0411, Table1334567[[#This Row],[T]], ((Table1334567[[#This Row],[BIDP]]+Table1334567[[#This Row],[ASKP]])/2), FALSE)</f>
        <v>0.01</v>
      </c>
      <c r="Q127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3" s="17"/>
      <c r="T127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3" s="19">
        <f>-27.5* IF($M$1="NDX", 10, IF(OR($M$1="SPX", $M$1="RUT"), 2, 1))</f>
        <v>-55</v>
      </c>
      <c r="Z1273">
        <f ca="1">IFERROR(Table1334567[[#This Row],[call gamma]]*(Table1334567[[#This Row],[Open.Int]])*$A$4^2,0)</f>
        <v>0</v>
      </c>
      <c r="AA1273">
        <f ca="1">IFERROR(((Table1334567[[#This Row],[Open.Int8]])*Table1334567[[#This Row],[Put gamma]])*-1*$A$4^2,0)</f>
        <v>0</v>
      </c>
      <c r="AB1273">
        <f ca="1">(Table1334567[[#This Row],[Call Gex]]+Table1334567[[#This Row],[Put Gex]])</f>
        <v>0</v>
      </c>
      <c r="AC1273">
        <f ca="1">Table1334567[[#This Row],[put delta adj]]+Table1334567[[#This Row],[call delta adj]]</f>
        <v>0</v>
      </c>
      <c r="AD1273">
        <f ca="1">Table1334567[[#This Row],[Put Gex]]*Table1334567[[#This Row],[DeltaP]]*-1</f>
        <v>0</v>
      </c>
      <c r="AE1273">
        <f ca="1">Table1334567[[#This Row],[Call Gex]]*Table1334567[[#This Row],[DeltaC]]</f>
        <v>0</v>
      </c>
      <c r="AF1273">
        <f>IF(Table1334567[[#This Row],[DeltaC]]-ABS(Table1334567[[#This Row],[DeltaP]])="0","0.01",Table1334567[[#This Row],[DeltaC]]-ABS(Table1334567[[#This Row],[DeltaP]]))</f>
        <v>0</v>
      </c>
      <c r="AG127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3" t="e">
        <f ca="1">(EXP(-(AG1273^2)/2)/SQRT(2*PI())*EXP(0*SQRT(Table1334567[[#This Row],[T]]))/$A$4*18%*SQRT(SQRT(Table1334567[[#This Row],[T]])))</f>
        <v>#DIV/0!</v>
      </c>
      <c r="AJ1273" t="e">
        <f ca="1">(EXP(-(AH1273^2)/2)/SQRT(2*PI())*EXP(0*SQRT(Table1334567[[#This Row],[T]]))/$A$4*18%*SQRT(SQRT(Table1334567[[#This Row],[T]])))</f>
        <v>#DIV/0!</v>
      </c>
      <c r="AK1273" t="e">
        <f ca="1">Table1334567[[#This Row],[Call D1]]-Table1334567[[#This Row],[IV Calc C]]*SQRT(Table1334567[[#This Row],[T]])</f>
        <v>#DIV/0!</v>
      </c>
      <c r="AL1273" t="e">
        <f ca="1">Table1334567[[#This Row],[Put D1]]-Table1334567[[#This Row],[IV Calc P]]*SQRT(Table1334567[[#This Row],[T]])</f>
        <v>#DIV/0!</v>
      </c>
      <c r="AM1273" t="e">
        <f ca="1">EXP(-0.5*Table1334567[[#This Row],[Call D1]]^2)/SQRT(2*PI())</f>
        <v>#DIV/0!</v>
      </c>
      <c r="AN1273" t="e">
        <f ca="1">EXP(-0.5*Table1334567[[#This Row],[Put D1]]^2)/SQRT(2*PI())</f>
        <v>#DIV/0!</v>
      </c>
      <c r="AO127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3">
        <f ca="1">((Table1334567[[#This Row],[call vanna]]+Table1334567[[#This Row],[put vanna]])*$A$4)</f>
        <v>0</v>
      </c>
      <c r="AR127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3" s="9" t="str" cm="1">
        <f t="array" ref="AT1273">_xlfn.IFS(     $M$1="SPX","SPXW",     $M$1="RUT","RUTW",  $M$1="NDX","NDXP",   TRUE,$M$1 )</f>
        <v>SPXW</v>
      </c>
      <c r="AU1273" s="2">
        <f t="shared" si="127"/>
        <v>6915</v>
      </c>
      <c r="AV1273" t="str">
        <f t="shared" si="128"/>
        <v>000100</v>
      </c>
      <c r="AY127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3">
        <f>((Table1334567[[#This Row],[High C]]+Table1334567[[#This Row],[Low C]])/2)*Table1334567[[#This Row],[gammac]]*Table1334567[[#This Row],[Volume]]</f>
        <v>0</v>
      </c>
      <c r="BD1273">
        <f>((Table1334567[[#This Row],[High P]]+Table1334567[[#This Row],[Low P]])/2)*Table1334567[[#This Row],[gammap]]*Table1334567[[#This Row],[Volume9]]*-1</f>
        <v>0</v>
      </c>
      <c r="BE1273">
        <f>(Table1334567[[#This Row],[SgammaC]]+Table1334567[[#This Row],[SgammaP]])*$A$4*-100</f>
        <v>0</v>
      </c>
      <c r="BF1273">
        <f>Table1334567[[#This Row],[DEXc]]+Table1334567[[#This Row],[DEXp]]</f>
        <v>0</v>
      </c>
      <c r="BG1273">
        <f>IFERROR(Table1334567[[#This Row],[DeltaC]]*Table1334567[[#This Row],[Open.Int]]*$A$4,0)</f>
        <v>0</v>
      </c>
      <c r="BH1273">
        <f>IFERROR(Table1334567[[#This Row],[DeltaP]]*Table1334567[[#This Row],[Open.Int8]]*$A$4,0)</f>
        <v>0</v>
      </c>
      <c r="BI127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3">
        <f ca="1">Table1334567[[#This Row],[charmc]]+Table1334567[[#This Row],[charmp]]</f>
        <v>0</v>
      </c>
      <c r="BL127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3" s="78">
        <f ca="1">Table1334567[[#This Row],[call helper]]+Table1334567[[#This Row],[put helper]]</f>
        <v>0</v>
      </c>
      <c r="BP1273" t="str">
        <f>RTD("tos.rtd", , "STRIKE", "."&amp;Table1334567[[#This Row],[Ticker]]&amp;Table1334567[[#This Row],[Expiry]]&amp;""&amp;"C"&amp;Table1334567[[#This Row],[Spot]]+Table1334567[[#This Row],[step]])</f>
        <v>N/A</v>
      </c>
    </row>
    <row r="1274" spans="1:68" x14ac:dyDescent="0.25">
      <c r="A1274" s="14">
        <f t="shared" ca="1" si="124"/>
        <v>-126.14810350076104</v>
      </c>
      <c r="C1274" s="17"/>
      <c r="D1274" t="str">
        <f>RTD("tos.rtd", , "OPEN_INT", "."&amp;Table1334567[[#This Row],[Ticker]]&amp;Table1334567[[#This Row],[Expiry]]&amp;""&amp;"C"&amp;Table1334567[[#This Row],[Spot]]+Table1334567[[#This Row],[step]])</f>
        <v>N/A</v>
      </c>
      <c r="E127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4" s="17" cm="1">
        <f t="array" aca="1" ref="H1274" ca="1">IndividualLegIVCore($A$4, Table1334567[[#This Row],[Strike]], 0.0411, Table1334567[[#This Row],[T]], ((Table1334567[[#This Row],[BIDC]]+Table1334567[[#This Row],[ASKC]])/2), TRUE)</f>
        <v>0.01</v>
      </c>
      <c r="I127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4" s="17"/>
      <c r="M1274" s="1">
        <f t="shared" si="125"/>
        <v>0</v>
      </c>
      <c r="N1274" t="b">
        <f t="shared" si="126"/>
        <v>0</v>
      </c>
      <c r="P1274" s="17" cm="1">
        <f t="array" aca="1" ref="P1274" ca="1">IndividualLegIVCore($A$4, Table1334567[[#This Row],[Strike]], 0.0411, Table1334567[[#This Row],[T]], ((Table1334567[[#This Row],[BIDP]]+Table1334567[[#This Row],[ASKP]])/2), FALSE)</f>
        <v>0.01</v>
      </c>
      <c r="Q127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4" s="17"/>
      <c r="T127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4" s="19">
        <f>-27* IF($M$1="NDX", 10, IF(OR($M$1="SPX", $M$1="RUT"), 2, 1))</f>
        <v>-54</v>
      </c>
      <c r="Z1274">
        <f ca="1">IFERROR(Table1334567[[#This Row],[call gamma]]*(Table1334567[[#This Row],[Open.Int]])*$A$4^2,0)</f>
        <v>0</v>
      </c>
      <c r="AA1274">
        <f ca="1">IFERROR(((Table1334567[[#This Row],[Open.Int8]])*Table1334567[[#This Row],[Put gamma]])*-1*$A$4^2,0)</f>
        <v>0</v>
      </c>
      <c r="AB1274">
        <f ca="1">(Table1334567[[#This Row],[Call Gex]]+Table1334567[[#This Row],[Put Gex]])</f>
        <v>0</v>
      </c>
      <c r="AC1274">
        <f ca="1">Table1334567[[#This Row],[put delta adj]]+Table1334567[[#This Row],[call delta adj]]</f>
        <v>0</v>
      </c>
      <c r="AD1274">
        <f ca="1">Table1334567[[#This Row],[Put Gex]]*Table1334567[[#This Row],[DeltaP]]*-1</f>
        <v>0</v>
      </c>
      <c r="AE1274">
        <f ca="1">Table1334567[[#This Row],[Call Gex]]*Table1334567[[#This Row],[DeltaC]]</f>
        <v>0</v>
      </c>
      <c r="AF1274">
        <f>IF(Table1334567[[#This Row],[DeltaC]]-ABS(Table1334567[[#This Row],[DeltaP]])="0","0.01",Table1334567[[#This Row],[DeltaC]]-ABS(Table1334567[[#This Row],[DeltaP]]))</f>
        <v>0</v>
      </c>
      <c r="AG127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4" t="e">
        <f ca="1">(EXP(-(AG1274^2)/2)/SQRT(2*PI())*EXP(0*SQRT(Table1334567[[#This Row],[T]]))/$A$4*18%*SQRT(SQRT(Table1334567[[#This Row],[T]])))</f>
        <v>#DIV/0!</v>
      </c>
      <c r="AJ1274" t="e">
        <f ca="1">(EXP(-(AH1274^2)/2)/SQRT(2*PI())*EXP(0*SQRT(Table1334567[[#This Row],[T]]))/$A$4*18%*SQRT(SQRT(Table1334567[[#This Row],[T]])))</f>
        <v>#DIV/0!</v>
      </c>
      <c r="AK1274" t="e">
        <f ca="1">Table1334567[[#This Row],[Call D1]]-Table1334567[[#This Row],[IV Calc C]]*SQRT(Table1334567[[#This Row],[T]])</f>
        <v>#DIV/0!</v>
      </c>
      <c r="AL1274" t="e">
        <f ca="1">Table1334567[[#This Row],[Put D1]]-Table1334567[[#This Row],[IV Calc P]]*SQRT(Table1334567[[#This Row],[T]])</f>
        <v>#DIV/0!</v>
      </c>
      <c r="AM1274" t="e">
        <f ca="1">EXP(-0.5*Table1334567[[#This Row],[Call D1]]^2)/SQRT(2*PI())</f>
        <v>#DIV/0!</v>
      </c>
      <c r="AN1274" t="e">
        <f ca="1">EXP(-0.5*Table1334567[[#This Row],[Put D1]]^2)/SQRT(2*PI())</f>
        <v>#DIV/0!</v>
      </c>
      <c r="AO127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4">
        <f ca="1">((Table1334567[[#This Row],[call vanna]]+Table1334567[[#This Row],[put vanna]])*$A$4)</f>
        <v>0</v>
      </c>
      <c r="AR127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4" s="9" t="str" cm="1">
        <f t="array" ref="AT1274">_xlfn.IFS(     $M$1="SPX","SPXW",     $M$1="RUT","RUTW",  $M$1="NDX","NDXP",   TRUE,$M$1 )</f>
        <v>SPXW</v>
      </c>
      <c r="AU1274" s="2">
        <f t="shared" si="127"/>
        <v>6915</v>
      </c>
      <c r="AV1274" t="str">
        <f t="shared" si="128"/>
        <v>000100</v>
      </c>
      <c r="AY127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4">
        <f>((Table1334567[[#This Row],[High C]]+Table1334567[[#This Row],[Low C]])/2)*Table1334567[[#This Row],[gammac]]*Table1334567[[#This Row],[Volume]]</f>
        <v>0</v>
      </c>
      <c r="BD1274">
        <f>((Table1334567[[#This Row],[High P]]+Table1334567[[#This Row],[Low P]])/2)*Table1334567[[#This Row],[gammap]]*Table1334567[[#This Row],[Volume9]]*-1</f>
        <v>0</v>
      </c>
      <c r="BE1274">
        <f>(Table1334567[[#This Row],[SgammaC]]+Table1334567[[#This Row],[SgammaP]])*$A$4*-100</f>
        <v>0</v>
      </c>
      <c r="BF1274">
        <f>Table1334567[[#This Row],[DEXc]]+Table1334567[[#This Row],[DEXp]]</f>
        <v>0</v>
      </c>
      <c r="BG1274">
        <f>IFERROR(Table1334567[[#This Row],[DeltaC]]*Table1334567[[#This Row],[Open.Int]]*$A$4,0)</f>
        <v>0</v>
      </c>
      <c r="BH1274">
        <f>IFERROR(Table1334567[[#This Row],[DeltaP]]*Table1334567[[#This Row],[Open.Int8]]*$A$4,0)</f>
        <v>0</v>
      </c>
      <c r="BI127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4">
        <f ca="1">Table1334567[[#This Row],[charmc]]+Table1334567[[#This Row],[charmp]]</f>
        <v>0</v>
      </c>
      <c r="BL127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4" s="78">
        <f ca="1">Table1334567[[#This Row],[call helper]]+Table1334567[[#This Row],[put helper]]</f>
        <v>0</v>
      </c>
      <c r="BP1274" t="str">
        <f>RTD("tos.rtd", , "STRIKE", "."&amp;Table1334567[[#This Row],[Ticker]]&amp;Table1334567[[#This Row],[Expiry]]&amp;""&amp;"C"&amp;Table1334567[[#This Row],[Spot]]+Table1334567[[#This Row],[step]])</f>
        <v>N/A</v>
      </c>
    </row>
    <row r="1275" spans="1:68" x14ac:dyDescent="0.25">
      <c r="A1275" s="14">
        <f t="shared" ca="1" si="124"/>
        <v>-126.14810350076104</v>
      </c>
      <c r="C1275" s="17"/>
      <c r="D1275" t="str">
        <f>RTD("tos.rtd", , "OPEN_INT", "."&amp;Table1334567[[#This Row],[Ticker]]&amp;Table1334567[[#This Row],[Expiry]]&amp;""&amp;"C"&amp;Table1334567[[#This Row],[Spot]]+Table1334567[[#This Row],[step]])</f>
        <v>N/A</v>
      </c>
      <c r="E127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5" s="17" cm="1">
        <f t="array" aca="1" ref="H1275" ca="1">IndividualLegIVCore($A$4, Table1334567[[#This Row],[Strike]], 0.0411, Table1334567[[#This Row],[T]], ((Table1334567[[#This Row],[BIDC]]+Table1334567[[#This Row],[ASKC]])/2), TRUE)</f>
        <v>0.01</v>
      </c>
      <c r="I127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5" s="17"/>
      <c r="M1275" s="1">
        <f t="shared" si="125"/>
        <v>0</v>
      </c>
      <c r="N1275" t="b">
        <f t="shared" si="126"/>
        <v>0</v>
      </c>
      <c r="P1275" s="17" cm="1">
        <f t="array" aca="1" ref="P1275" ca="1">IndividualLegIVCore($A$4, Table1334567[[#This Row],[Strike]], 0.0411, Table1334567[[#This Row],[T]], ((Table1334567[[#This Row],[BIDP]]+Table1334567[[#This Row],[ASKP]])/2), FALSE)</f>
        <v>0.01</v>
      </c>
      <c r="Q127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5" s="17"/>
      <c r="T127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5" s="19">
        <f>-26.5* IF($M$1="NDX", 10, IF(OR($M$1="SPX", $M$1="RUT"), 2, 1))</f>
        <v>-53</v>
      </c>
      <c r="Z1275">
        <f ca="1">IFERROR(Table1334567[[#This Row],[call gamma]]*(Table1334567[[#This Row],[Open.Int]])*$A$4^2,0)</f>
        <v>0</v>
      </c>
      <c r="AA1275">
        <f ca="1">IFERROR(((Table1334567[[#This Row],[Open.Int8]])*Table1334567[[#This Row],[Put gamma]])*-1*$A$4^2,0)</f>
        <v>0</v>
      </c>
      <c r="AB1275">
        <f ca="1">(Table1334567[[#This Row],[Call Gex]]+Table1334567[[#This Row],[Put Gex]])</f>
        <v>0</v>
      </c>
      <c r="AC1275">
        <f ca="1">Table1334567[[#This Row],[put delta adj]]+Table1334567[[#This Row],[call delta adj]]</f>
        <v>0</v>
      </c>
      <c r="AD1275">
        <f ca="1">Table1334567[[#This Row],[Put Gex]]*Table1334567[[#This Row],[DeltaP]]*-1</f>
        <v>0</v>
      </c>
      <c r="AE1275">
        <f ca="1">Table1334567[[#This Row],[Call Gex]]*Table1334567[[#This Row],[DeltaC]]</f>
        <v>0</v>
      </c>
      <c r="AF1275">
        <f>IF(Table1334567[[#This Row],[DeltaC]]-ABS(Table1334567[[#This Row],[DeltaP]])="0","0.01",Table1334567[[#This Row],[DeltaC]]-ABS(Table1334567[[#This Row],[DeltaP]]))</f>
        <v>0</v>
      </c>
      <c r="AG127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5" t="e">
        <f ca="1">(EXP(-(AG1275^2)/2)/SQRT(2*PI())*EXP(0*SQRT(Table1334567[[#This Row],[T]]))/$A$4*18%*SQRT(SQRT(Table1334567[[#This Row],[T]])))</f>
        <v>#DIV/0!</v>
      </c>
      <c r="AJ1275" t="e">
        <f ca="1">(EXP(-(AH1275^2)/2)/SQRT(2*PI())*EXP(0*SQRT(Table1334567[[#This Row],[T]]))/$A$4*18%*SQRT(SQRT(Table1334567[[#This Row],[T]])))</f>
        <v>#DIV/0!</v>
      </c>
      <c r="AK1275" t="e">
        <f ca="1">Table1334567[[#This Row],[Call D1]]-Table1334567[[#This Row],[IV Calc C]]*SQRT(Table1334567[[#This Row],[T]])</f>
        <v>#DIV/0!</v>
      </c>
      <c r="AL1275" t="e">
        <f ca="1">Table1334567[[#This Row],[Put D1]]-Table1334567[[#This Row],[IV Calc P]]*SQRT(Table1334567[[#This Row],[T]])</f>
        <v>#DIV/0!</v>
      </c>
      <c r="AM1275" t="e">
        <f ca="1">EXP(-0.5*Table1334567[[#This Row],[Call D1]]^2)/SQRT(2*PI())</f>
        <v>#DIV/0!</v>
      </c>
      <c r="AN1275" t="e">
        <f ca="1">EXP(-0.5*Table1334567[[#This Row],[Put D1]]^2)/SQRT(2*PI())</f>
        <v>#DIV/0!</v>
      </c>
      <c r="AO127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5">
        <f ca="1">((Table1334567[[#This Row],[call vanna]]+Table1334567[[#This Row],[put vanna]])*$A$4)</f>
        <v>0</v>
      </c>
      <c r="AR127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5" s="9" t="str" cm="1">
        <f t="array" ref="AT1275">_xlfn.IFS(     $M$1="SPX","SPXW",     $M$1="RUT","RUTW",  $M$1="NDX","NDXP",   TRUE,$M$1 )</f>
        <v>SPXW</v>
      </c>
      <c r="AU1275" s="2">
        <f t="shared" si="127"/>
        <v>6915</v>
      </c>
      <c r="AV1275" t="str">
        <f t="shared" si="128"/>
        <v>000100</v>
      </c>
      <c r="AY127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5">
        <f>((Table1334567[[#This Row],[High C]]+Table1334567[[#This Row],[Low C]])/2)*Table1334567[[#This Row],[gammac]]*Table1334567[[#This Row],[Volume]]</f>
        <v>0</v>
      </c>
      <c r="BD1275">
        <f>((Table1334567[[#This Row],[High P]]+Table1334567[[#This Row],[Low P]])/2)*Table1334567[[#This Row],[gammap]]*Table1334567[[#This Row],[Volume9]]*-1</f>
        <v>0</v>
      </c>
      <c r="BE1275">
        <f>(Table1334567[[#This Row],[SgammaC]]+Table1334567[[#This Row],[SgammaP]])*$A$4*-100</f>
        <v>0</v>
      </c>
      <c r="BF1275">
        <f>Table1334567[[#This Row],[DEXc]]+Table1334567[[#This Row],[DEXp]]</f>
        <v>0</v>
      </c>
      <c r="BG1275">
        <f>IFERROR(Table1334567[[#This Row],[DeltaC]]*Table1334567[[#This Row],[Open.Int]]*$A$4,0)</f>
        <v>0</v>
      </c>
      <c r="BH1275">
        <f>IFERROR(Table1334567[[#This Row],[DeltaP]]*Table1334567[[#This Row],[Open.Int8]]*$A$4,0)</f>
        <v>0</v>
      </c>
      <c r="BI127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5">
        <f ca="1">Table1334567[[#This Row],[charmc]]+Table1334567[[#This Row],[charmp]]</f>
        <v>0</v>
      </c>
      <c r="BL127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5" s="78">
        <f ca="1">Table1334567[[#This Row],[call helper]]+Table1334567[[#This Row],[put helper]]</f>
        <v>0</v>
      </c>
      <c r="BP1275" t="str">
        <f>RTD("tos.rtd", , "STRIKE", "."&amp;Table1334567[[#This Row],[Ticker]]&amp;Table1334567[[#This Row],[Expiry]]&amp;""&amp;"C"&amp;Table1334567[[#This Row],[Spot]]+Table1334567[[#This Row],[step]])</f>
        <v>N/A</v>
      </c>
    </row>
    <row r="1276" spans="1:68" x14ac:dyDescent="0.25">
      <c r="A1276" s="14">
        <f t="shared" ca="1" si="124"/>
        <v>-126.14810350076104</v>
      </c>
      <c r="C1276" s="17"/>
      <c r="D1276" t="str">
        <f>RTD("tos.rtd", , "OPEN_INT", "."&amp;Table1334567[[#This Row],[Ticker]]&amp;Table1334567[[#This Row],[Expiry]]&amp;""&amp;"C"&amp;Table1334567[[#This Row],[Spot]]+Table1334567[[#This Row],[step]])</f>
        <v>N/A</v>
      </c>
      <c r="E127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6" s="17" cm="1">
        <f t="array" aca="1" ref="H1276" ca="1">IndividualLegIVCore($A$4, Table1334567[[#This Row],[Strike]], 0.0411, Table1334567[[#This Row],[T]], ((Table1334567[[#This Row],[BIDC]]+Table1334567[[#This Row],[ASKC]])/2), TRUE)</f>
        <v>0.01</v>
      </c>
      <c r="I127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6" s="17"/>
      <c r="M1276" s="1">
        <f t="shared" si="125"/>
        <v>0</v>
      </c>
      <c r="N1276" t="b">
        <f t="shared" si="126"/>
        <v>0</v>
      </c>
      <c r="P1276" s="17" cm="1">
        <f t="array" aca="1" ref="P1276" ca="1">IndividualLegIVCore($A$4, Table1334567[[#This Row],[Strike]], 0.0411, Table1334567[[#This Row],[T]], ((Table1334567[[#This Row],[BIDP]]+Table1334567[[#This Row],[ASKP]])/2), FALSE)</f>
        <v>0.01</v>
      </c>
      <c r="Q127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6" s="17"/>
      <c r="T127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6" s="19">
        <f>-26* IF($M$1="NDX", 10, IF(OR($M$1="SPX", $M$1="RUT"), 2, 1))</f>
        <v>-52</v>
      </c>
      <c r="Z1276">
        <f ca="1">IFERROR(Table1334567[[#This Row],[call gamma]]*(Table1334567[[#This Row],[Open.Int]])*$A$4^2,0)</f>
        <v>0</v>
      </c>
      <c r="AA1276">
        <f ca="1">IFERROR(((Table1334567[[#This Row],[Open.Int8]])*Table1334567[[#This Row],[Put gamma]])*-1*$A$4^2,0)</f>
        <v>0</v>
      </c>
      <c r="AB1276">
        <f ca="1">(Table1334567[[#This Row],[Call Gex]]+Table1334567[[#This Row],[Put Gex]])</f>
        <v>0</v>
      </c>
      <c r="AC1276">
        <f ca="1">Table1334567[[#This Row],[put delta adj]]+Table1334567[[#This Row],[call delta adj]]</f>
        <v>0</v>
      </c>
      <c r="AD1276">
        <f ca="1">Table1334567[[#This Row],[Put Gex]]*Table1334567[[#This Row],[DeltaP]]*-1</f>
        <v>0</v>
      </c>
      <c r="AE1276">
        <f ca="1">Table1334567[[#This Row],[Call Gex]]*Table1334567[[#This Row],[DeltaC]]</f>
        <v>0</v>
      </c>
      <c r="AF1276">
        <f>IF(Table1334567[[#This Row],[DeltaC]]-ABS(Table1334567[[#This Row],[DeltaP]])="0","0.01",Table1334567[[#This Row],[DeltaC]]-ABS(Table1334567[[#This Row],[DeltaP]]))</f>
        <v>0</v>
      </c>
      <c r="AG127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6" t="e">
        <f ca="1">(EXP(-(AG1276^2)/2)/SQRT(2*PI())*EXP(0*SQRT(Table1334567[[#This Row],[T]]))/$A$4*18%*SQRT(SQRT(Table1334567[[#This Row],[T]])))</f>
        <v>#DIV/0!</v>
      </c>
      <c r="AJ1276" t="e">
        <f ca="1">(EXP(-(AH1276^2)/2)/SQRT(2*PI())*EXP(0*SQRT(Table1334567[[#This Row],[T]]))/$A$4*18%*SQRT(SQRT(Table1334567[[#This Row],[T]])))</f>
        <v>#DIV/0!</v>
      </c>
      <c r="AK1276" t="e">
        <f ca="1">Table1334567[[#This Row],[Call D1]]-Table1334567[[#This Row],[IV Calc C]]*SQRT(Table1334567[[#This Row],[T]])</f>
        <v>#DIV/0!</v>
      </c>
      <c r="AL1276" t="e">
        <f ca="1">Table1334567[[#This Row],[Put D1]]-Table1334567[[#This Row],[IV Calc P]]*SQRT(Table1334567[[#This Row],[T]])</f>
        <v>#DIV/0!</v>
      </c>
      <c r="AM1276" t="e">
        <f ca="1">EXP(-0.5*Table1334567[[#This Row],[Call D1]]^2)/SQRT(2*PI())</f>
        <v>#DIV/0!</v>
      </c>
      <c r="AN1276" t="e">
        <f ca="1">EXP(-0.5*Table1334567[[#This Row],[Put D1]]^2)/SQRT(2*PI())</f>
        <v>#DIV/0!</v>
      </c>
      <c r="AO127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6">
        <f ca="1">((Table1334567[[#This Row],[call vanna]]+Table1334567[[#This Row],[put vanna]])*$A$4)</f>
        <v>0</v>
      </c>
      <c r="AR127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6" s="9" t="str" cm="1">
        <f t="array" ref="AT1276">_xlfn.IFS(     $M$1="SPX","SPXW",     $M$1="RUT","RUTW",  $M$1="NDX","NDXP",   TRUE,$M$1 )</f>
        <v>SPXW</v>
      </c>
      <c r="AU1276" s="2">
        <f t="shared" si="127"/>
        <v>6915</v>
      </c>
      <c r="AV1276" t="str">
        <f t="shared" si="128"/>
        <v>000100</v>
      </c>
      <c r="AY127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6">
        <f>((Table1334567[[#This Row],[High C]]+Table1334567[[#This Row],[Low C]])/2)*Table1334567[[#This Row],[gammac]]*Table1334567[[#This Row],[Volume]]</f>
        <v>0</v>
      </c>
      <c r="BD1276">
        <f>((Table1334567[[#This Row],[High P]]+Table1334567[[#This Row],[Low P]])/2)*Table1334567[[#This Row],[gammap]]*Table1334567[[#This Row],[Volume9]]*-1</f>
        <v>0</v>
      </c>
      <c r="BE1276">
        <f>(Table1334567[[#This Row],[SgammaC]]+Table1334567[[#This Row],[SgammaP]])*$A$4*-100</f>
        <v>0</v>
      </c>
      <c r="BF1276">
        <f>Table1334567[[#This Row],[DEXc]]+Table1334567[[#This Row],[DEXp]]</f>
        <v>0</v>
      </c>
      <c r="BG1276">
        <f>IFERROR(Table1334567[[#This Row],[DeltaC]]*Table1334567[[#This Row],[Open.Int]]*$A$4,0)</f>
        <v>0</v>
      </c>
      <c r="BH1276">
        <f>IFERROR(Table1334567[[#This Row],[DeltaP]]*Table1334567[[#This Row],[Open.Int8]]*$A$4,0)</f>
        <v>0</v>
      </c>
      <c r="BI127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6">
        <f ca="1">Table1334567[[#This Row],[charmc]]+Table1334567[[#This Row],[charmp]]</f>
        <v>0</v>
      </c>
      <c r="BL127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6" s="78">
        <f ca="1">Table1334567[[#This Row],[call helper]]+Table1334567[[#This Row],[put helper]]</f>
        <v>0</v>
      </c>
      <c r="BP1276" t="str">
        <f>RTD("tos.rtd", , "STRIKE", "."&amp;Table1334567[[#This Row],[Ticker]]&amp;Table1334567[[#This Row],[Expiry]]&amp;""&amp;"C"&amp;Table1334567[[#This Row],[Spot]]+Table1334567[[#This Row],[step]])</f>
        <v>N/A</v>
      </c>
    </row>
    <row r="1277" spans="1:68" x14ac:dyDescent="0.25">
      <c r="A1277" s="14">
        <f t="shared" ca="1" si="124"/>
        <v>-126.14810350076104</v>
      </c>
      <c r="C1277" s="17"/>
      <c r="D1277" t="str">
        <f>RTD("tos.rtd", , "OPEN_INT", "."&amp;Table1334567[[#This Row],[Ticker]]&amp;Table1334567[[#This Row],[Expiry]]&amp;""&amp;"C"&amp;Table1334567[[#This Row],[Spot]]+Table1334567[[#This Row],[step]])</f>
        <v>N/A</v>
      </c>
      <c r="E127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7" s="17" cm="1">
        <f t="array" aca="1" ref="H1277" ca="1">IndividualLegIVCore($A$4, Table1334567[[#This Row],[Strike]], 0.0411, Table1334567[[#This Row],[T]], ((Table1334567[[#This Row],[BIDC]]+Table1334567[[#This Row],[ASKC]])/2), TRUE)</f>
        <v>0.01</v>
      </c>
      <c r="I127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7" s="17"/>
      <c r="M1277" s="1">
        <f t="shared" si="125"/>
        <v>0</v>
      </c>
      <c r="N1277" t="b">
        <f t="shared" si="126"/>
        <v>0</v>
      </c>
      <c r="P1277" s="17" cm="1">
        <f t="array" aca="1" ref="P1277" ca="1">IndividualLegIVCore($A$4, Table1334567[[#This Row],[Strike]], 0.0411, Table1334567[[#This Row],[T]], ((Table1334567[[#This Row],[BIDP]]+Table1334567[[#This Row],[ASKP]])/2), FALSE)</f>
        <v>0.01</v>
      </c>
      <c r="Q127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7" s="17"/>
      <c r="T127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7" s="19">
        <f>-25.5* IF($M$1="NDX", 10, IF(OR($M$1="SPX", $M$1="RUT"), 2, 1))</f>
        <v>-51</v>
      </c>
      <c r="Z1277">
        <f ca="1">IFERROR(Table1334567[[#This Row],[call gamma]]*(Table1334567[[#This Row],[Open.Int]])*$A$4^2,0)</f>
        <v>0</v>
      </c>
      <c r="AA1277">
        <f ca="1">IFERROR(((Table1334567[[#This Row],[Open.Int8]])*Table1334567[[#This Row],[Put gamma]])*-1*$A$4^2,0)</f>
        <v>0</v>
      </c>
      <c r="AB1277">
        <f ca="1">(Table1334567[[#This Row],[Call Gex]]+Table1334567[[#This Row],[Put Gex]])</f>
        <v>0</v>
      </c>
      <c r="AC1277">
        <f ca="1">Table1334567[[#This Row],[put delta adj]]+Table1334567[[#This Row],[call delta adj]]</f>
        <v>0</v>
      </c>
      <c r="AD1277">
        <f ca="1">Table1334567[[#This Row],[Put Gex]]*Table1334567[[#This Row],[DeltaP]]*-1</f>
        <v>0</v>
      </c>
      <c r="AE1277">
        <f ca="1">Table1334567[[#This Row],[Call Gex]]*Table1334567[[#This Row],[DeltaC]]</f>
        <v>0</v>
      </c>
      <c r="AF1277">
        <f>IF(Table1334567[[#This Row],[DeltaC]]-ABS(Table1334567[[#This Row],[DeltaP]])="0","0.01",Table1334567[[#This Row],[DeltaC]]-ABS(Table1334567[[#This Row],[DeltaP]]))</f>
        <v>0</v>
      </c>
      <c r="AG127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7" t="e">
        <f ca="1">(EXP(-(AG1277^2)/2)/SQRT(2*PI())*EXP(0*SQRT(Table1334567[[#This Row],[T]]))/$A$4*18%*SQRT(SQRT(Table1334567[[#This Row],[T]])))</f>
        <v>#DIV/0!</v>
      </c>
      <c r="AJ1277" t="e">
        <f ca="1">(EXP(-(AH1277^2)/2)/SQRT(2*PI())*EXP(0*SQRT(Table1334567[[#This Row],[T]]))/$A$4*18%*SQRT(SQRT(Table1334567[[#This Row],[T]])))</f>
        <v>#DIV/0!</v>
      </c>
      <c r="AK1277" t="e">
        <f ca="1">Table1334567[[#This Row],[Call D1]]-Table1334567[[#This Row],[IV Calc C]]*SQRT(Table1334567[[#This Row],[T]])</f>
        <v>#DIV/0!</v>
      </c>
      <c r="AL1277" t="e">
        <f ca="1">Table1334567[[#This Row],[Put D1]]-Table1334567[[#This Row],[IV Calc P]]*SQRT(Table1334567[[#This Row],[T]])</f>
        <v>#DIV/0!</v>
      </c>
      <c r="AM1277" t="e">
        <f ca="1">EXP(-0.5*Table1334567[[#This Row],[Call D1]]^2)/SQRT(2*PI())</f>
        <v>#DIV/0!</v>
      </c>
      <c r="AN1277" t="e">
        <f ca="1">EXP(-0.5*Table1334567[[#This Row],[Put D1]]^2)/SQRT(2*PI())</f>
        <v>#DIV/0!</v>
      </c>
      <c r="AO127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7">
        <f ca="1">((Table1334567[[#This Row],[call vanna]]+Table1334567[[#This Row],[put vanna]])*$A$4)</f>
        <v>0</v>
      </c>
      <c r="AR127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7" s="9" t="str" cm="1">
        <f t="array" ref="AT1277">_xlfn.IFS(     $M$1="SPX","SPXW",     $M$1="RUT","RUTW",  $M$1="NDX","NDXP",   TRUE,$M$1 )</f>
        <v>SPXW</v>
      </c>
      <c r="AU1277" s="2">
        <f t="shared" si="127"/>
        <v>6915</v>
      </c>
      <c r="AV1277" t="str">
        <f t="shared" si="128"/>
        <v>000100</v>
      </c>
      <c r="AY127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7">
        <f>((Table1334567[[#This Row],[High C]]+Table1334567[[#This Row],[Low C]])/2)*Table1334567[[#This Row],[gammac]]*Table1334567[[#This Row],[Volume]]</f>
        <v>0</v>
      </c>
      <c r="BD1277">
        <f>((Table1334567[[#This Row],[High P]]+Table1334567[[#This Row],[Low P]])/2)*Table1334567[[#This Row],[gammap]]*Table1334567[[#This Row],[Volume9]]*-1</f>
        <v>0</v>
      </c>
      <c r="BE1277">
        <f>(Table1334567[[#This Row],[SgammaC]]+Table1334567[[#This Row],[SgammaP]])*$A$4*-100</f>
        <v>0</v>
      </c>
      <c r="BF1277">
        <f>Table1334567[[#This Row],[DEXc]]+Table1334567[[#This Row],[DEXp]]</f>
        <v>0</v>
      </c>
      <c r="BG1277">
        <f>IFERROR(Table1334567[[#This Row],[DeltaC]]*Table1334567[[#This Row],[Open.Int]]*$A$4,0)</f>
        <v>0</v>
      </c>
      <c r="BH1277">
        <f>IFERROR(Table1334567[[#This Row],[DeltaP]]*Table1334567[[#This Row],[Open.Int8]]*$A$4,0)</f>
        <v>0</v>
      </c>
      <c r="BI127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7">
        <f ca="1">Table1334567[[#This Row],[charmc]]+Table1334567[[#This Row],[charmp]]</f>
        <v>0</v>
      </c>
      <c r="BL127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7" s="78">
        <f ca="1">Table1334567[[#This Row],[call helper]]+Table1334567[[#This Row],[put helper]]</f>
        <v>0</v>
      </c>
      <c r="BP1277" t="str">
        <f>RTD("tos.rtd", , "STRIKE", "."&amp;Table1334567[[#This Row],[Ticker]]&amp;Table1334567[[#This Row],[Expiry]]&amp;""&amp;"C"&amp;Table1334567[[#This Row],[Spot]]+Table1334567[[#This Row],[step]])</f>
        <v>N/A</v>
      </c>
    </row>
    <row r="1278" spans="1:68" x14ac:dyDescent="0.25">
      <c r="A1278" s="14">
        <f t="shared" ca="1" si="124"/>
        <v>-126.14810350076104</v>
      </c>
      <c r="C1278" s="17"/>
      <c r="D1278" t="str">
        <f>RTD("tos.rtd", , "OPEN_INT", "."&amp;Table1334567[[#This Row],[Ticker]]&amp;Table1334567[[#This Row],[Expiry]]&amp;""&amp;"C"&amp;Table1334567[[#This Row],[Spot]]+Table1334567[[#This Row],[step]])</f>
        <v>N/A</v>
      </c>
      <c r="E127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8" s="17" cm="1">
        <f t="array" aca="1" ref="H1278" ca="1">IndividualLegIVCore($A$4, Table1334567[[#This Row],[Strike]], 0.0411, Table1334567[[#This Row],[T]], ((Table1334567[[#This Row],[BIDC]]+Table1334567[[#This Row],[ASKC]])/2), TRUE)</f>
        <v>0.01</v>
      </c>
      <c r="I127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8" s="17"/>
      <c r="M1278" s="1">
        <f t="shared" si="125"/>
        <v>0</v>
      </c>
      <c r="N1278" t="b">
        <f t="shared" si="126"/>
        <v>0</v>
      </c>
      <c r="P1278" s="17" cm="1">
        <f t="array" aca="1" ref="P1278" ca="1">IndividualLegIVCore($A$4, Table1334567[[#This Row],[Strike]], 0.0411, Table1334567[[#This Row],[T]], ((Table1334567[[#This Row],[BIDP]]+Table1334567[[#This Row],[ASKP]])/2), FALSE)</f>
        <v>0.01</v>
      </c>
      <c r="Q127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8" s="17"/>
      <c r="T127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8" s="19">
        <f>-25* IF($M$1="NDX", 10, IF(OR($M$1="SPX", $M$1="RUT"), 2, 1))</f>
        <v>-50</v>
      </c>
      <c r="Z1278">
        <f ca="1">IFERROR(Table1334567[[#This Row],[call gamma]]*(Table1334567[[#This Row],[Open.Int]])*$A$4^2,0)</f>
        <v>0</v>
      </c>
      <c r="AA1278">
        <f ca="1">IFERROR(((Table1334567[[#This Row],[Open.Int8]])*Table1334567[[#This Row],[Put gamma]])*-1*$A$4^2,0)</f>
        <v>0</v>
      </c>
      <c r="AB1278">
        <f ca="1">(Table1334567[[#This Row],[Call Gex]]+Table1334567[[#This Row],[Put Gex]])</f>
        <v>0</v>
      </c>
      <c r="AC1278">
        <f ca="1">Table1334567[[#This Row],[put delta adj]]+Table1334567[[#This Row],[call delta adj]]</f>
        <v>0</v>
      </c>
      <c r="AD1278">
        <f ca="1">Table1334567[[#This Row],[Put Gex]]*Table1334567[[#This Row],[DeltaP]]*-1</f>
        <v>0</v>
      </c>
      <c r="AE1278">
        <f ca="1">Table1334567[[#This Row],[Call Gex]]*Table1334567[[#This Row],[DeltaC]]</f>
        <v>0</v>
      </c>
      <c r="AF1278">
        <f>IF(Table1334567[[#This Row],[DeltaC]]-ABS(Table1334567[[#This Row],[DeltaP]])="0","0.01",Table1334567[[#This Row],[DeltaC]]-ABS(Table1334567[[#This Row],[DeltaP]]))</f>
        <v>0</v>
      </c>
      <c r="AG127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8" t="e">
        <f ca="1">(EXP(-(AG1278^2)/2)/SQRT(2*PI())*EXP(0*SQRT(Table1334567[[#This Row],[T]]))/$A$4*18%*SQRT(SQRT(Table1334567[[#This Row],[T]])))</f>
        <v>#DIV/0!</v>
      </c>
      <c r="AJ1278" t="e">
        <f ca="1">(EXP(-(AH1278^2)/2)/SQRT(2*PI())*EXP(0*SQRT(Table1334567[[#This Row],[T]]))/$A$4*18%*SQRT(SQRT(Table1334567[[#This Row],[T]])))</f>
        <v>#DIV/0!</v>
      </c>
      <c r="AK1278" t="e">
        <f ca="1">Table1334567[[#This Row],[Call D1]]-Table1334567[[#This Row],[IV Calc C]]*SQRT(Table1334567[[#This Row],[T]])</f>
        <v>#DIV/0!</v>
      </c>
      <c r="AL1278" t="e">
        <f ca="1">Table1334567[[#This Row],[Put D1]]-Table1334567[[#This Row],[IV Calc P]]*SQRT(Table1334567[[#This Row],[T]])</f>
        <v>#DIV/0!</v>
      </c>
      <c r="AM1278" t="e">
        <f ca="1">EXP(-0.5*Table1334567[[#This Row],[Call D1]]^2)/SQRT(2*PI())</f>
        <v>#DIV/0!</v>
      </c>
      <c r="AN1278" t="e">
        <f ca="1">EXP(-0.5*Table1334567[[#This Row],[Put D1]]^2)/SQRT(2*PI())</f>
        <v>#DIV/0!</v>
      </c>
      <c r="AO127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8">
        <f ca="1">((Table1334567[[#This Row],[call vanna]]+Table1334567[[#This Row],[put vanna]])*$A$4)</f>
        <v>0</v>
      </c>
      <c r="AR127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8" s="9" t="str" cm="1">
        <f t="array" ref="AT1278">_xlfn.IFS(     $M$1="SPX","SPXW",     $M$1="RUT","RUTW",  $M$1="NDX","NDXP",   TRUE,$M$1 )</f>
        <v>SPXW</v>
      </c>
      <c r="AU1278" s="2">
        <f t="shared" si="127"/>
        <v>6915</v>
      </c>
      <c r="AV1278" t="str">
        <f t="shared" si="128"/>
        <v>000100</v>
      </c>
      <c r="AY127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8">
        <f>((Table1334567[[#This Row],[High C]]+Table1334567[[#This Row],[Low C]])/2)*Table1334567[[#This Row],[gammac]]*Table1334567[[#This Row],[Volume]]</f>
        <v>0</v>
      </c>
      <c r="BD1278">
        <f>((Table1334567[[#This Row],[High P]]+Table1334567[[#This Row],[Low P]])/2)*Table1334567[[#This Row],[gammap]]*Table1334567[[#This Row],[Volume9]]*-1</f>
        <v>0</v>
      </c>
      <c r="BE1278">
        <f>(Table1334567[[#This Row],[SgammaC]]+Table1334567[[#This Row],[SgammaP]])*$A$4*-100</f>
        <v>0</v>
      </c>
      <c r="BF1278">
        <f>Table1334567[[#This Row],[DEXc]]+Table1334567[[#This Row],[DEXp]]</f>
        <v>0</v>
      </c>
      <c r="BG1278">
        <f>IFERROR(Table1334567[[#This Row],[DeltaC]]*Table1334567[[#This Row],[Open.Int]]*$A$4,0)</f>
        <v>0</v>
      </c>
      <c r="BH1278">
        <f>IFERROR(Table1334567[[#This Row],[DeltaP]]*Table1334567[[#This Row],[Open.Int8]]*$A$4,0)</f>
        <v>0</v>
      </c>
      <c r="BI127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8">
        <f ca="1">Table1334567[[#This Row],[charmc]]+Table1334567[[#This Row],[charmp]]</f>
        <v>0</v>
      </c>
      <c r="BL127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8" s="78">
        <f ca="1">Table1334567[[#This Row],[call helper]]+Table1334567[[#This Row],[put helper]]</f>
        <v>0</v>
      </c>
      <c r="BP1278" t="str">
        <f>RTD("tos.rtd", , "STRIKE", "."&amp;Table1334567[[#This Row],[Ticker]]&amp;Table1334567[[#This Row],[Expiry]]&amp;""&amp;"C"&amp;Table1334567[[#This Row],[Spot]]+Table1334567[[#This Row],[step]])</f>
        <v>N/A</v>
      </c>
    </row>
    <row r="1279" spans="1:68" x14ac:dyDescent="0.25">
      <c r="A1279" s="14">
        <f t="shared" ca="1" si="124"/>
        <v>-126.14810350076104</v>
      </c>
      <c r="C1279" s="17"/>
      <c r="D1279" t="str">
        <f>RTD("tos.rtd", , "OPEN_INT", "."&amp;Table1334567[[#This Row],[Ticker]]&amp;Table1334567[[#This Row],[Expiry]]&amp;""&amp;"C"&amp;Table1334567[[#This Row],[Spot]]+Table1334567[[#This Row],[step]])</f>
        <v>N/A</v>
      </c>
      <c r="E127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9" s="17" cm="1">
        <f t="array" aca="1" ref="H1279" ca="1">IndividualLegIVCore($A$4, Table1334567[[#This Row],[Strike]], 0.0411, Table1334567[[#This Row],[T]], ((Table1334567[[#This Row],[BIDC]]+Table1334567[[#This Row],[ASKC]])/2), TRUE)</f>
        <v>0.01</v>
      </c>
      <c r="I127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9" s="17"/>
      <c r="M1279" s="1">
        <f t="shared" si="125"/>
        <v>0</v>
      </c>
      <c r="N1279" t="b">
        <f t="shared" si="126"/>
        <v>0</v>
      </c>
      <c r="P1279" s="17" cm="1">
        <f t="array" aca="1" ref="P1279" ca="1">IndividualLegIVCore($A$4, Table1334567[[#This Row],[Strike]], 0.0411, Table1334567[[#This Row],[T]], ((Table1334567[[#This Row],[BIDP]]+Table1334567[[#This Row],[ASKP]])/2), FALSE)</f>
        <v>0.01</v>
      </c>
      <c r="Q127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9" s="17"/>
      <c r="T127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9" s="19">
        <f>-24.5* IF($M$1="NDX", 10, IF(OR($M$1="SPX", $M$1="RUT"), 2, 1))</f>
        <v>-49</v>
      </c>
      <c r="Z1279">
        <f ca="1">IFERROR(Table1334567[[#This Row],[call gamma]]*(Table1334567[[#This Row],[Open.Int]])*$A$4^2,0)</f>
        <v>0</v>
      </c>
      <c r="AA1279">
        <f ca="1">IFERROR(((Table1334567[[#This Row],[Open.Int8]])*Table1334567[[#This Row],[Put gamma]])*-1*$A$4^2,0)</f>
        <v>0</v>
      </c>
      <c r="AB1279">
        <f ca="1">(Table1334567[[#This Row],[Call Gex]]+Table1334567[[#This Row],[Put Gex]])</f>
        <v>0</v>
      </c>
      <c r="AC1279">
        <f ca="1">Table1334567[[#This Row],[put delta adj]]+Table1334567[[#This Row],[call delta adj]]</f>
        <v>0</v>
      </c>
      <c r="AD1279">
        <f ca="1">Table1334567[[#This Row],[Put Gex]]*Table1334567[[#This Row],[DeltaP]]*-1</f>
        <v>0</v>
      </c>
      <c r="AE1279">
        <f ca="1">Table1334567[[#This Row],[Call Gex]]*Table1334567[[#This Row],[DeltaC]]</f>
        <v>0</v>
      </c>
      <c r="AF1279">
        <f>IF(Table1334567[[#This Row],[DeltaC]]-ABS(Table1334567[[#This Row],[DeltaP]])="0","0.01",Table1334567[[#This Row],[DeltaC]]-ABS(Table1334567[[#This Row],[DeltaP]]))</f>
        <v>0</v>
      </c>
      <c r="AG127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9" t="e">
        <f ca="1">(EXP(-(AG1279^2)/2)/SQRT(2*PI())*EXP(0*SQRT(Table1334567[[#This Row],[T]]))/$A$4*18%*SQRT(SQRT(Table1334567[[#This Row],[T]])))</f>
        <v>#DIV/0!</v>
      </c>
      <c r="AJ1279" t="e">
        <f ca="1">(EXP(-(AH1279^2)/2)/SQRT(2*PI())*EXP(0*SQRT(Table1334567[[#This Row],[T]]))/$A$4*18%*SQRT(SQRT(Table1334567[[#This Row],[T]])))</f>
        <v>#DIV/0!</v>
      </c>
      <c r="AK1279" t="e">
        <f ca="1">Table1334567[[#This Row],[Call D1]]-Table1334567[[#This Row],[IV Calc C]]*SQRT(Table1334567[[#This Row],[T]])</f>
        <v>#DIV/0!</v>
      </c>
      <c r="AL1279" t="e">
        <f ca="1">Table1334567[[#This Row],[Put D1]]-Table1334567[[#This Row],[IV Calc P]]*SQRT(Table1334567[[#This Row],[T]])</f>
        <v>#DIV/0!</v>
      </c>
      <c r="AM1279" t="e">
        <f ca="1">EXP(-0.5*Table1334567[[#This Row],[Call D1]]^2)/SQRT(2*PI())</f>
        <v>#DIV/0!</v>
      </c>
      <c r="AN1279" t="e">
        <f ca="1">EXP(-0.5*Table1334567[[#This Row],[Put D1]]^2)/SQRT(2*PI())</f>
        <v>#DIV/0!</v>
      </c>
      <c r="AO127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9">
        <f ca="1">((Table1334567[[#This Row],[call vanna]]+Table1334567[[#This Row],[put vanna]])*$A$4)</f>
        <v>0</v>
      </c>
      <c r="AR127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9" s="9" t="str" cm="1">
        <f t="array" ref="AT1279">_xlfn.IFS(     $M$1="SPX","SPXW",     $M$1="RUT","RUTW",  $M$1="NDX","NDXP",   TRUE,$M$1 )</f>
        <v>SPXW</v>
      </c>
      <c r="AU1279" s="2">
        <f t="shared" si="127"/>
        <v>6915</v>
      </c>
      <c r="AV1279" t="str">
        <f t="shared" si="128"/>
        <v>000100</v>
      </c>
      <c r="AY127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9">
        <f>((Table1334567[[#This Row],[High C]]+Table1334567[[#This Row],[Low C]])/2)*Table1334567[[#This Row],[gammac]]*Table1334567[[#This Row],[Volume]]</f>
        <v>0</v>
      </c>
      <c r="BD1279">
        <f>((Table1334567[[#This Row],[High P]]+Table1334567[[#This Row],[Low P]])/2)*Table1334567[[#This Row],[gammap]]*Table1334567[[#This Row],[Volume9]]*-1</f>
        <v>0</v>
      </c>
      <c r="BE1279">
        <f>(Table1334567[[#This Row],[SgammaC]]+Table1334567[[#This Row],[SgammaP]])*$A$4*-100</f>
        <v>0</v>
      </c>
      <c r="BF1279">
        <f>Table1334567[[#This Row],[DEXc]]+Table1334567[[#This Row],[DEXp]]</f>
        <v>0</v>
      </c>
      <c r="BG1279">
        <f>IFERROR(Table1334567[[#This Row],[DeltaC]]*Table1334567[[#This Row],[Open.Int]]*$A$4,0)</f>
        <v>0</v>
      </c>
      <c r="BH1279">
        <f>IFERROR(Table1334567[[#This Row],[DeltaP]]*Table1334567[[#This Row],[Open.Int8]]*$A$4,0)</f>
        <v>0</v>
      </c>
      <c r="BI127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9">
        <f ca="1">Table1334567[[#This Row],[charmc]]+Table1334567[[#This Row],[charmp]]</f>
        <v>0</v>
      </c>
      <c r="BL127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9" s="78">
        <f ca="1">Table1334567[[#This Row],[call helper]]+Table1334567[[#This Row],[put helper]]</f>
        <v>0</v>
      </c>
      <c r="BP1279" t="str">
        <f>RTD("tos.rtd", , "STRIKE", "."&amp;Table1334567[[#This Row],[Ticker]]&amp;Table1334567[[#This Row],[Expiry]]&amp;""&amp;"C"&amp;Table1334567[[#This Row],[Spot]]+Table1334567[[#This Row],[step]])</f>
        <v>N/A</v>
      </c>
    </row>
    <row r="1280" spans="1:68" x14ac:dyDescent="0.25">
      <c r="A1280" s="14">
        <f t="shared" ca="1" si="124"/>
        <v>-126.14810350076104</v>
      </c>
      <c r="C1280" s="17"/>
      <c r="D1280" t="str">
        <f>RTD("tos.rtd", , "OPEN_INT", "."&amp;Table1334567[[#This Row],[Ticker]]&amp;Table1334567[[#This Row],[Expiry]]&amp;""&amp;"C"&amp;Table1334567[[#This Row],[Spot]]+Table1334567[[#This Row],[step]])</f>
        <v>N/A</v>
      </c>
      <c r="E128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0" s="17" cm="1">
        <f t="array" aca="1" ref="H1280" ca="1">IndividualLegIVCore($A$4, Table1334567[[#This Row],[Strike]], 0.0411, Table1334567[[#This Row],[T]], ((Table1334567[[#This Row],[BIDC]]+Table1334567[[#This Row],[ASKC]])/2), TRUE)</f>
        <v>0.01</v>
      </c>
      <c r="I128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0" s="17"/>
      <c r="M1280" s="1">
        <f t="shared" si="125"/>
        <v>0</v>
      </c>
      <c r="N1280" t="b">
        <f t="shared" si="126"/>
        <v>0</v>
      </c>
      <c r="P1280" s="17" cm="1">
        <f t="array" aca="1" ref="P1280" ca="1">IndividualLegIVCore($A$4, Table1334567[[#This Row],[Strike]], 0.0411, Table1334567[[#This Row],[T]], ((Table1334567[[#This Row],[BIDP]]+Table1334567[[#This Row],[ASKP]])/2), FALSE)</f>
        <v>0.01</v>
      </c>
      <c r="Q128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0" s="17"/>
      <c r="T128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0" s="19">
        <f>-24* IF($M$1="NDX", 10, IF(OR($M$1="SPX", $M$1="RUT"), 2, 1))</f>
        <v>-48</v>
      </c>
      <c r="Z1280">
        <f ca="1">IFERROR(Table1334567[[#This Row],[call gamma]]*(Table1334567[[#This Row],[Open.Int]])*$A$4^2,0)</f>
        <v>0</v>
      </c>
      <c r="AA1280">
        <f ca="1">IFERROR(((Table1334567[[#This Row],[Open.Int8]])*Table1334567[[#This Row],[Put gamma]])*-1*$A$4^2,0)</f>
        <v>0</v>
      </c>
      <c r="AB1280">
        <f ca="1">(Table1334567[[#This Row],[Call Gex]]+Table1334567[[#This Row],[Put Gex]])</f>
        <v>0</v>
      </c>
      <c r="AC1280">
        <f ca="1">Table1334567[[#This Row],[put delta adj]]+Table1334567[[#This Row],[call delta adj]]</f>
        <v>0</v>
      </c>
      <c r="AD1280">
        <f ca="1">Table1334567[[#This Row],[Put Gex]]*Table1334567[[#This Row],[DeltaP]]*-1</f>
        <v>0</v>
      </c>
      <c r="AE1280">
        <f ca="1">Table1334567[[#This Row],[Call Gex]]*Table1334567[[#This Row],[DeltaC]]</f>
        <v>0</v>
      </c>
      <c r="AF1280">
        <f>IF(Table1334567[[#This Row],[DeltaC]]-ABS(Table1334567[[#This Row],[DeltaP]])="0","0.01",Table1334567[[#This Row],[DeltaC]]-ABS(Table1334567[[#This Row],[DeltaP]]))</f>
        <v>0</v>
      </c>
      <c r="AG128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0" t="e">
        <f ca="1">(EXP(-(AG1280^2)/2)/SQRT(2*PI())*EXP(0*SQRT(Table1334567[[#This Row],[T]]))/$A$4*18%*SQRT(SQRT(Table1334567[[#This Row],[T]])))</f>
        <v>#DIV/0!</v>
      </c>
      <c r="AJ1280" t="e">
        <f ca="1">(EXP(-(AH1280^2)/2)/SQRT(2*PI())*EXP(0*SQRT(Table1334567[[#This Row],[T]]))/$A$4*18%*SQRT(SQRT(Table1334567[[#This Row],[T]])))</f>
        <v>#DIV/0!</v>
      </c>
      <c r="AK1280" t="e">
        <f ca="1">Table1334567[[#This Row],[Call D1]]-Table1334567[[#This Row],[IV Calc C]]*SQRT(Table1334567[[#This Row],[T]])</f>
        <v>#DIV/0!</v>
      </c>
      <c r="AL1280" t="e">
        <f ca="1">Table1334567[[#This Row],[Put D1]]-Table1334567[[#This Row],[IV Calc P]]*SQRT(Table1334567[[#This Row],[T]])</f>
        <v>#DIV/0!</v>
      </c>
      <c r="AM1280" t="e">
        <f ca="1">EXP(-0.5*Table1334567[[#This Row],[Call D1]]^2)/SQRT(2*PI())</f>
        <v>#DIV/0!</v>
      </c>
      <c r="AN1280" t="e">
        <f ca="1">EXP(-0.5*Table1334567[[#This Row],[Put D1]]^2)/SQRT(2*PI())</f>
        <v>#DIV/0!</v>
      </c>
      <c r="AO128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0">
        <f ca="1">((Table1334567[[#This Row],[call vanna]]+Table1334567[[#This Row],[put vanna]])*$A$4)</f>
        <v>0</v>
      </c>
      <c r="AR128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0" s="9" t="str" cm="1">
        <f t="array" ref="AT1280">_xlfn.IFS(     $M$1="SPX","SPXW",     $M$1="RUT","RUTW",  $M$1="NDX","NDXP",   TRUE,$M$1 )</f>
        <v>SPXW</v>
      </c>
      <c r="AU1280" s="2">
        <f t="shared" si="127"/>
        <v>6915</v>
      </c>
      <c r="AV1280" t="str">
        <f t="shared" si="128"/>
        <v>000100</v>
      </c>
      <c r="AY128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0">
        <f>((Table1334567[[#This Row],[High C]]+Table1334567[[#This Row],[Low C]])/2)*Table1334567[[#This Row],[gammac]]*Table1334567[[#This Row],[Volume]]</f>
        <v>0</v>
      </c>
      <c r="BD1280">
        <f>((Table1334567[[#This Row],[High P]]+Table1334567[[#This Row],[Low P]])/2)*Table1334567[[#This Row],[gammap]]*Table1334567[[#This Row],[Volume9]]*-1</f>
        <v>0</v>
      </c>
      <c r="BE1280">
        <f>(Table1334567[[#This Row],[SgammaC]]+Table1334567[[#This Row],[SgammaP]])*$A$4*-100</f>
        <v>0</v>
      </c>
      <c r="BF1280">
        <f>Table1334567[[#This Row],[DEXc]]+Table1334567[[#This Row],[DEXp]]</f>
        <v>0</v>
      </c>
      <c r="BG1280">
        <f>IFERROR(Table1334567[[#This Row],[DeltaC]]*Table1334567[[#This Row],[Open.Int]]*$A$4,0)</f>
        <v>0</v>
      </c>
      <c r="BH1280">
        <f>IFERROR(Table1334567[[#This Row],[DeltaP]]*Table1334567[[#This Row],[Open.Int8]]*$A$4,0)</f>
        <v>0</v>
      </c>
      <c r="BI128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0">
        <f ca="1">Table1334567[[#This Row],[charmc]]+Table1334567[[#This Row],[charmp]]</f>
        <v>0</v>
      </c>
      <c r="BL128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0" s="78">
        <f ca="1">Table1334567[[#This Row],[call helper]]+Table1334567[[#This Row],[put helper]]</f>
        <v>0</v>
      </c>
      <c r="BP1280" t="str">
        <f>RTD("tos.rtd", , "STRIKE", "."&amp;Table1334567[[#This Row],[Ticker]]&amp;Table1334567[[#This Row],[Expiry]]&amp;""&amp;"C"&amp;Table1334567[[#This Row],[Spot]]+Table1334567[[#This Row],[step]])</f>
        <v>N/A</v>
      </c>
    </row>
    <row r="1281" spans="1:68" x14ac:dyDescent="0.25">
      <c r="A1281" s="14">
        <f t="shared" ca="1" si="124"/>
        <v>-126.14810350076104</v>
      </c>
      <c r="C1281" s="17"/>
      <c r="D1281" t="str">
        <f>RTD("tos.rtd", , "OPEN_INT", "."&amp;Table1334567[[#This Row],[Ticker]]&amp;Table1334567[[#This Row],[Expiry]]&amp;""&amp;"C"&amp;Table1334567[[#This Row],[Spot]]+Table1334567[[#This Row],[step]])</f>
        <v>N/A</v>
      </c>
      <c r="E128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1" s="17" cm="1">
        <f t="array" aca="1" ref="H1281" ca="1">IndividualLegIVCore($A$4, Table1334567[[#This Row],[Strike]], 0.0411, Table1334567[[#This Row],[T]], ((Table1334567[[#This Row],[BIDC]]+Table1334567[[#This Row],[ASKC]])/2), TRUE)</f>
        <v>0.01</v>
      </c>
      <c r="I128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1" s="17"/>
      <c r="M1281" s="1">
        <f t="shared" si="125"/>
        <v>0</v>
      </c>
      <c r="N1281" t="b">
        <f t="shared" si="126"/>
        <v>0</v>
      </c>
      <c r="P1281" s="17" cm="1">
        <f t="array" aca="1" ref="P1281" ca="1">IndividualLegIVCore($A$4, Table1334567[[#This Row],[Strike]], 0.0411, Table1334567[[#This Row],[T]], ((Table1334567[[#This Row],[BIDP]]+Table1334567[[#This Row],[ASKP]])/2), FALSE)</f>
        <v>0.01</v>
      </c>
      <c r="Q128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1" s="17"/>
      <c r="T128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1" s="19">
        <f>-23.5* IF($M$1="NDX", 10, IF(OR($M$1="SPX", $M$1="RUT"), 2, 1))</f>
        <v>-47</v>
      </c>
      <c r="Z1281">
        <f ca="1">IFERROR(Table1334567[[#This Row],[call gamma]]*(Table1334567[[#This Row],[Open.Int]])*$A$4^2,0)</f>
        <v>0</v>
      </c>
      <c r="AA1281">
        <f ca="1">IFERROR(((Table1334567[[#This Row],[Open.Int8]])*Table1334567[[#This Row],[Put gamma]])*-1*$A$4^2,0)</f>
        <v>0</v>
      </c>
      <c r="AB1281">
        <f ca="1">(Table1334567[[#This Row],[Call Gex]]+Table1334567[[#This Row],[Put Gex]])</f>
        <v>0</v>
      </c>
      <c r="AC1281">
        <f ca="1">Table1334567[[#This Row],[put delta adj]]+Table1334567[[#This Row],[call delta adj]]</f>
        <v>0</v>
      </c>
      <c r="AD1281">
        <f ca="1">Table1334567[[#This Row],[Put Gex]]*Table1334567[[#This Row],[DeltaP]]*-1</f>
        <v>0</v>
      </c>
      <c r="AE1281">
        <f ca="1">Table1334567[[#This Row],[Call Gex]]*Table1334567[[#This Row],[DeltaC]]</f>
        <v>0</v>
      </c>
      <c r="AF1281">
        <f>IF(Table1334567[[#This Row],[DeltaC]]-ABS(Table1334567[[#This Row],[DeltaP]])="0","0.01",Table1334567[[#This Row],[DeltaC]]-ABS(Table1334567[[#This Row],[DeltaP]]))</f>
        <v>0</v>
      </c>
      <c r="AG128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1" t="e">
        <f ca="1">(EXP(-(AG1281^2)/2)/SQRT(2*PI())*EXP(0*SQRT(Table1334567[[#This Row],[T]]))/$A$4*18%*SQRT(SQRT(Table1334567[[#This Row],[T]])))</f>
        <v>#DIV/0!</v>
      </c>
      <c r="AJ1281" t="e">
        <f ca="1">(EXP(-(AH1281^2)/2)/SQRT(2*PI())*EXP(0*SQRT(Table1334567[[#This Row],[T]]))/$A$4*18%*SQRT(SQRT(Table1334567[[#This Row],[T]])))</f>
        <v>#DIV/0!</v>
      </c>
      <c r="AK1281" t="e">
        <f ca="1">Table1334567[[#This Row],[Call D1]]-Table1334567[[#This Row],[IV Calc C]]*SQRT(Table1334567[[#This Row],[T]])</f>
        <v>#DIV/0!</v>
      </c>
      <c r="AL1281" t="e">
        <f ca="1">Table1334567[[#This Row],[Put D1]]-Table1334567[[#This Row],[IV Calc P]]*SQRT(Table1334567[[#This Row],[T]])</f>
        <v>#DIV/0!</v>
      </c>
      <c r="AM1281" t="e">
        <f ca="1">EXP(-0.5*Table1334567[[#This Row],[Call D1]]^2)/SQRT(2*PI())</f>
        <v>#DIV/0!</v>
      </c>
      <c r="AN1281" t="e">
        <f ca="1">EXP(-0.5*Table1334567[[#This Row],[Put D1]]^2)/SQRT(2*PI())</f>
        <v>#DIV/0!</v>
      </c>
      <c r="AO128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1">
        <f ca="1">((Table1334567[[#This Row],[call vanna]]+Table1334567[[#This Row],[put vanna]])*$A$4)</f>
        <v>0</v>
      </c>
      <c r="AR128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1" s="9" t="str" cm="1">
        <f t="array" ref="AT1281">_xlfn.IFS(     $M$1="SPX","SPXW",     $M$1="RUT","RUTW",  $M$1="NDX","NDXP",   TRUE,$M$1 )</f>
        <v>SPXW</v>
      </c>
      <c r="AU1281" s="2">
        <f t="shared" si="127"/>
        <v>6915</v>
      </c>
      <c r="AV1281" t="str">
        <f t="shared" si="128"/>
        <v>000100</v>
      </c>
      <c r="AY128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1">
        <f>((Table1334567[[#This Row],[High C]]+Table1334567[[#This Row],[Low C]])/2)*Table1334567[[#This Row],[gammac]]*Table1334567[[#This Row],[Volume]]</f>
        <v>0</v>
      </c>
      <c r="BD1281">
        <f>((Table1334567[[#This Row],[High P]]+Table1334567[[#This Row],[Low P]])/2)*Table1334567[[#This Row],[gammap]]*Table1334567[[#This Row],[Volume9]]*-1</f>
        <v>0</v>
      </c>
      <c r="BE1281">
        <f>(Table1334567[[#This Row],[SgammaC]]+Table1334567[[#This Row],[SgammaP]])*$A$4*-100</f>
        <v>0</v>
      </c>
      <c r="BF1281">
        <f>Table1334567[[#This Row],[DEXc]]+Table1334567[[#This Row],[DEXp]]</f>
        <v>0</v>
      </c>
      <c r="BG1281">
        <f>IFERROR(Table1334567[[#This Row],[DeltaC]]*Table1334567[[#This Row],[Open.Int]]*$A$4,0)</f>
        <v>0</v>
      </c>
      <c r="BH1281">
        <f>IFERROR(Table1334567[[#This Row],[DeltaP]]*Table1334567[[#This Row],[Open.Int8]]*$A$4,0)</f>
        <v>0</v>
      </c>
      <c r="BI128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1">
        <f ca="1">Table1334567[[#This Row],[charmc]]+Table1334567[[#This Row],[charmp]]</f>
        <v>0</v>
      </c>
      <c r="BL128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1" s="78">
        <f ca="1">Table1334567[[#This Row],[call helper]]+Table1334567[[#This Row],[put helper]]</f>
        <v>0</v>
      </c>
      <c r="BP1281" t="str">
        <f>RTD("tos.rtd", , "STRIKE", "."&amp;Table1334567[[#This Row],[Ticker]]&amp;Table1334567[[#This Row],[Expiry]]&amp;""&amp;"C"&amp;Table1334567[[#This Row],[Spot]]+Table1334567[[#This Row],[step]])</f>
        <v>N/A</v>
      </c>
    </row>
    <row r="1282" spans="1:68" x14ac:dyDescent="0.25">
      <c r="A1282" s="14">
        <f t="shared" ca="1" si="124"/>
        <v>-126.14810350076104</v>
      </c>
      <c r="C1282" s="17"/>
      <c r="D1282" t="str">
        <f>RTD("tos.rtd", , "OPEN_INT", "."&amp;Table1334567[[#This Row],[Ticker]]&amp;Table1334567[[#This Row],[Expiry]]&amp;""&amp;"C"&amp;Table1334567[[#This Row],[Spot]]+Table1334567[[#This Row],[step]])</f>
        <v>N/A</v>
      </c>
      <c r="E128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2" s="17" cm="1">
        <f t="array" aca="1" ref="H1282" ca="1">IndividualLegIVCore($A$4, Table1334567[[#This Row],[Strike]], 0.0411, Table1334567[[#This Row],[T]], ((Table1334567[[#This Row],[BIDC]]+Table1334567[[#This Row],[ASKC]])/2), TRUE)</f>
        <v>0.01</v>
      </c>
      <c r="I128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2" s="17"/>
      <c r="M1282" s="1">
        <f t="shared" si="125"/>
        <v>0</v>
      </c>
      <c r="N1282" t="b">
        <f t="shared" si="126"/>
        <v>0</v>
      </c>
      <c r="P1282" s="17" cm="1">
        <f t="array" aca="1" ref="P1282" ca="1">IndividualLegIVCore($A$4, Table1334567[[#This Row],[Strike]], 0.0411, Table1334567[[#This Row],[T]], ((Table1334567[[#This Row],[BIDP]]+Table1334567[[#This Row],[ASKP]])/2), FALSE)</f>
        <v>0.01</v>
      </c>
      <c r="Q128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2" s="17"/>
      <c r="T128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2" s="19">
        <f>-23* IF($M$1="NDX", 10, IF(OR($M$1="SPX", $M$1="RUT"), 2, 1))</f>
        <v>-46</v>
      </c>
      <c r="Z1282">
        <f ca="1">IFERROR(Table1334567[[#This Row],[call gamma]]*(Table1334567[[#This Row],[Open.Int]])*$A$4^2,0)</f>
        <v>0</v>
      </c>
      <c r="AA1282">
        <f ca="1">IFERROR(((Table1334567[[#This Row],[Open.Int8]])*Table1334567[[#This Row],[Put gamma]])*-1*$A$4^2,0)</f>
        <v>0</v>
      </c>
      <c r="AB1282">
        <f ca="1">(Table1334567[[#This Row],[Call Gex]]+Table1334567[[#This Row],[Put Gex]])</f>
        <v>0</v>
      </c>
      <c r="AC1282">
        <f ca="1">Table1334567[[#This Row],[put delta adj]]+Table1334567[[#This Row],[call delta adj]]</f>
        <v>0</v>
      </c>
      <c r="AD1282">
        <f ca="1">Table1334567[[#This Row],[Put Gex]]*Table1334567[[#This Row],[DeltaP]]*-1</f>
        <v>0</v>
      </c>
      <c r="AE1282">
        <f ca="1">Table1334567[[#This Row],[Call Gex]]*Table1334567[[#This Row],[DeltaC]]</f>
        <v>0</v>
      </c>
      <c r="AF1282">
        <f>IF(Table1334567[[#This Row],[DeltaC]]-ABS(Table1334567[[#This Row],[DeltaP]])="0","0.01",Table1334567[[#This Row],[DeltaC]]-ABS(Table1334567[[#This Row],[DeltaP]]))</f>
        <v>0</v>
      </c>
      <c r="AG128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2" t="e">
        <f ca="1">(EXP(-(AG1282^2)/2)/SQRT(2*PI())*EXP(0*SQRT(Table1334567[[#This Row],[T]]))/$A$4*18%*SQRT(SQRT(Table1334567[[#This Row],[T]])))</f>
        <v>#DIV/0!</v>
      </c>
      <c r="AJ1282" t="e">
        <f ca="1">(EXP(-(AH1282^2)/2)/SQRT(2*PI())*EXP(0*SQRT(Table1334567[[#This Row],[T]]))/$A$4*18%*SQRT(SQRT(Table1334567[[#This Row],[T]])))</f>
        <v>#DIV/0!</v>
      </c>
      <c r="AK1282" t="e">
        <f ca="1">Table1334567[[#This Row],[Call D1]]-Table1334567[[#This Row],[IV Calc C]]*SQRT(Table1334567[[#This Row],[T]])</f>
        <v>#DIV/0!</v>
      </c>
      <c r="AL1282" t="e">
        <f ca="1">Table1334567[[#This Row],[Put D1]]-Table1334567[[#This Row],[IV Calc P]]*SQRT(Table1334567[[#This Row],[T]])</f>
        <v>#DIV/0!</v>
      </c>
      <c r="AM1282" t="e">
        <f ca="1">EXP(-0.5*Table1334567[[#This Row],[Call D1]]^2)/SQRT(2*PI())</f>
        <v>#DIV/0!</v>
      </c>
      <c r="AN1282" t="e">
        <f ca="1">EXP(-0.5*Table1334567[[#This Row],[Put D1]]^2)/SQRT(2*PI())</f>
        <v>#DIV/0!</v>
      </c>
      <c r="AO128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2">
        <f ca="1">((Table1334567[[#This Row],[call vanna]]+Table1334567[[#This Row],[put vanna]])*$A$4)</f>
        <v>0</v>
      </c>
      <c r="AR128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2" s="9" t="str" cm="1">
        <f t="array" ref="AT1282">_xlfn.IFS(     $M$1="SPX","SPXW",     $M$1="RUT","RUTW",  $M$1="NDX","NDXP",   TRUE,$M$1 )</f>
        <v>SPXW</v>
      </c>
      <c r="AU1282" s="2">
        <f t="shared" si="127"/>
        <v>6915</v>
      </c>
      <c r="AV1282" t="str">
        <f t="shared" si="128"/>
        <v>000100</v>
      </c>
      <c r="AY128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2">
        <f>((Table1334567[[#This Row],[High C]]+Table1334567[[#This Row],[Low C]])/2)*Table1334567[[#This Row],[gammac]]*Table1334567[[#This Row],[Volume]]</f>
        <v>0</v>
      </c>
      <c r="BD1282">
        <f>((Table1334567[[#This Row],[High P]]+Table1334567[[#This Row],[Low P]])/2)*Table1334567[[#This Row],[gammap]]*Table1334567[[#This Row],[Volume9]]*-1</f>
        <v>0</v>
      </c>
      <c r="BE1282">
        <f>(Table1334567[[#This Row],[SgammaC]]+Table1334567[[#This Row],[SgammaP]])*$A$4*-100</f>
        <v>0</v>
      </c>
      <c r="BF1282">
        <f>Table1334567[[#This Row],[DEXc]]+Table1334567[[#This Row],[DEXp]]</f>
        <v>0</v>
      </c>
      <c r="BG1282">
        <f>IFERROR(Table1334567[[#This Row],[DeltaC]]*Table1334567[[#This Row],[Open.Int]]*$A$4,0)</f>
        <v>0</v>
      </c>
      <c r="BH1282">
        <f>IFERROR(Table1334567[[#This Row],[DeltaP]]*Table1334567[[#This Row],[Open.Int8]]*$A$4,0)</f>
        <v>0</v>
      </c>
      <c r="BI128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2">
        <f ca="1">Table1334567[[#This Row],[charmc]]+Table1334567[[#This Row],[charmp]]</f>
        <v>0</v>
      </c>
      <c r="BL128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2" s="78">
        <f ca="1">Table1334567[[#This Row],[call helper]]+Table1334567[[#This Row],[put helper]]</f>
        <v>0</v>
      </c>
      <c r="BP1282" t="str">
        <f>RTD("tos.rtd", , "STRIKE", "."&amp;Table1334567[[#This Row],[Ticker]]&amp;Table1334567[[#This Row],[Expiry]]&amp;""&amp;"C"&amp;Table1334567[[#This Row],[Spot]]+Table1334567[[#This Row],[step]])</f>
        <v>N/A</v>
      </c>
    </row>
    <row r="1283" spans="1:68" x14ac:dyDescent="0.25">
      <c r="A1283" s="14">
        <f t="shared" ca="1" si="124"/>
        <v>-126.14810350076104</v>
      </c>
      <c r="C1283" s="17"/>
      <c r="D1283" t="str">
        <f>RTD("tos.rtd", , "OPEN_INT", "."&amp;Table1334567[[#This Row],[Ticker]]&amp;Table1334567[[#This Row],[Expiry]]&amp;""&amp;"C"&amp;Table1334567[[#This Row],[Spot]]+Table1334567[[#This Row],[step]])</f>
        <v>N/A</v>
      </c>
      <c r="E128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3" s="17" cm="1">
        <f t="array" aca="1" ref="H1283" ca="1">IndividualLegIVCore($A$4, Table1334567[[#This Row],[Strike]], 0.0411, Table1334567[[#This Row],[T]], ((Table1334567[[#This Row],[BIDC]]+Table1334567[[#This Row],[ASKC]])/2), TRUE)</f>
        <v>0.01</v>
      </c>
      <c r="I128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3" s="17"/>
      <c r="M1283" s="1">
        <f t="shared" si="125"/>
        <v>0</v>
      </c>
      <c r="N1283" t="b">
        <f t="shared" si="126"/>
        <v>0</v>
      </c>
      <c r="P1283" s="17" cm="1">
        <f t="array" aca="1" ref="P1283" ca="1">IndividualLegIVCore($A$4, Table1334567[[#This Row],[Strike]], 0.0411, Table1334567[[#This Row],[T]], ((Table1334567[[#This Row],[BIDP]]+Table1334567[[#This Row],[ASKP]])/2), FALSE)</f>
        <v>0.01</v>
      </c>
      <c r="Q128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3" s="17"/>
      <c r="T128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3" s="19">
        <f>-22.5* IF($M$1="NDX", 10, IF(OR($M$1="SPX", $M$1="RUT"), 2, 1))</f>
        <v>-45</v>
      </c>
      <c r="Z1283">
        <f ca="1">IFERROR(Table1334567[[#This Row],[call gamma]]*(Table1334567[[#This Row],[Open.Int]])*$A$4^2,0)</f>
        <v>0</v>
      </c>
      <c r="AA1283">
        <f ca="1">IFERROR(((Table1334567[[#This Row],[Open.Int8]])*Table1334567[[#This Row],[Put gamma]])*-1*$A$4^2,0)</f>
        <v>0</v>
      </c>
      <c r="AB1283">
        <f ca="1">(Table1334567[[#This Row],[Call Gex]]+Table1334567[[#This Row],[Put Gex]])</f>
        <v>0</v>
      </c>
      <c r="AC1283">
        <f ca="1">Table1334567[[#This Row],[put delta adj]]+Table1334567[[#This Row],[call delta adj]]</f>
        <v>0</v>
      </c>
      <c r="AD1283">
        <f ca="1">Table1334567[[#This Row],[Put Gex]]*Table1334567[[#This Row],[DeltaP]]*-1</f>
        <v>0</v>
      </c>
      <c r="AE1283">
        <f ca="1">Table1334567[[#This Row],[Call Gex]]*Table1334567[[#This Row],[DeltaC]]</f>
        <v>0</v>
      </c>
      <c r="AF1283">
        <f>IF(Table1334567[[#This Row],[DeltaC]]-ABS(Table1334567[[#This Row],[DeltaP]])="0","0.01",Table1334567[[#This Row],[DeltaC]]-ABS(Table1334567[[#This Row],[DeltaP]]))</f>
        <v>0</v>
      </c>
      <c r="AG128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3" t="e">
        <f ca="1">(EXP(-(AG1283^2)/2)/SQRT(2*PI())*EXP(0*SQRT(Table1334567[[#This Row],[T]]))/$A$4*18%*SQRT(SQRT(Table1334567[[#This Row],[T]])))</f>
        <v>#DIV/0!</v>
      </c>
      <c r="AJ1283" t="e">
        <f ca="1">(EXP(-(AH1283^2)/2)/SQRT(2*PI())*EXP(0*SQRT(Table1334567[[#This Row],[T]]))/$A$4*18%*SQRT(SQRT(Table1334567[[#This Row],[T]])))</f>
        <v>#DIV/0!</v>
      </c>
      <c r="AK1283" t="e">
        <f ca="1">Table1334567[[#This Row],[Call D1]]-Table1334567[[#This Row],[IV Calc C]]*SQRT(Table1334567[[#This Row],[T]])</f>
        <v>#DIV/0!</v>
      </c>
      <c r="AL1283" t="e">
        <f ca="1">Table1334567[[#This Row],[Put D1]]-Table1334567[[#This Row],[IV Calc P]]*SQRT(Table1334567[[#This Row],[T]])</f>
        <v>#DIV/0!</v>
      </c>
      <c r="AM1283" t="e">
        <f ca="1">EXP(-0.5*Table1334567[[#This Row],[Call D1]]^2)/SQRT(2*PI())</f>
        <v>#DIV/0!</v>
      </c>
      <c r="AN1283" t="e">
        <f ca="1">EXP(-0.5*Table1334567[[#This Row],[Put D1]]^2)/SQRT(2*PI())</f>
        <v>#DIV/0!</v>
      </c>
      <c r="AO128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3">
        <f ca="1">((Table1334567[[#This Row],[call vanna]]+Table1334567[[#This Row],[put vanna]])*$A$4)</f>
        <v>0</v>
      </c>
      <c r="AR128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3" s="9" t="str" cm="1">
        <f t="array" ref="AT1283">_xlfn.IFS(     $M$1="SPX","SPXW",     $M$1="RUT","RUTW",  $M$1="NDX","NDXP",   TRUE,$M$1 )</f>
        <v>SPXW</v>
      </c>
      <c r="AU1283" s="2">
        <f t="shared" si="127"/>
        <v>6915</v>
      </c>
      <c r="AV1283" t="str">
        <f t="shared" si="128"/>
        <v>000100</v>
      </c>
      <c r="AY128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3">
        <f>((Table1334567[[#This Row],[High C]]+Table1334567[[#This Row],[Low C]])/2)*Table1334567[[#This Row],[gammac]]*Table1334567[[#This Row],[Volume]]</f>
        <v>0</v>
      </c>
      <c r="BD1283">
        <f>((Table1334567[[#This Row],[High P]]+Table1334567[[#This Row],[Low P]])/2)*Table1334567[[#This Row],[gammap]]*Table1334567[[#This Row],[Volume9]]*-1</f>
        <v>0</v>
      </c>
      <c r="BE1283">
        <f>(Table1334567[[#This Row],[SgammaC]]+Table1334567[[#This Row],[SgammaP]])*$A$4*-100</f>
        <v>0</v>
      </c>
      <c r="BF1283">
        <f>Table1334567[[#This Row],[DEXc]]+Table1334567[[#This Row],[DEXp]]</f>
        <v>0</v>
      </c>
      <c r="BG1283">
        <f>IFERROR(Table1334567[[#This Row],[DeltaC]]*Table1334567[[#This Row],[Open.Int]]*$A$4,0)</f>
        <v>0</v>
      </c>
      <c r="BH1283">
        <f>IFERROR(Table1334567[[#This Row],[DeltaP]]*Table1334567[[#This Row],[Open.Int8]]*$A$4,0)</f>
        <v>0</v>
      </c>
      <c r="BI128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3">
        <f ca="1">Table1334567[[#This Row],[charmc]]+Table1334567[[#This Row],[charmp]]</f>
        <v>0</v>
      </c>
      <c r="BL128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3" s="78">
        <f ca="1">Table1334567[[#This Row],[call helper]]+Table1334567[[#This Row],[put helper]]</f>
        <v>0</v>
      </c>
      <c r="BP1283" t="str">
        <f>RTD("tos.rtd", , "STRIKE", "."&amp;Table1334567[[#This Row],[Ticker]]&amp;Table1334567[[#This Row],[Expiry]]&amp;""&amp;"C"&amp;Table1334567[[#This Row],[Spot]]+Table1334567[[#This Row],[step]])</f>
        <v>N/A</v>
      </c>
    </row>
    <row r="1284" spans="1:68" x14ac:dyDescent="0.25">
      <c r="A1284" s="14">
        <f t="shared" ca="1" si="124"/>
        <v>-126.14810350076104</v>
      </c>
      <c r="C1284" s="17"/>
      <c r="D1284" t="str">
        <f>RTD("tos.rtd", , "OPEN_INT", "."&amp;Table1334567[[#This Row],[Ticker]]&amp;Table1334567[[#This Row],[Expiry]]&amp;""&amp;"C"&amp;Table1334567[[#This Row],[Spot]]+Table1334567[[#This Row],[step]])</f>
        <v>N/A</v>
      </c>
      <c r="E128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4" s="17" cm="1">
        <f t="array" aca="1" ref="H1284" ca="1">IndividualLegIVCore($A$4, Table1334567[[#This Row],[Strike]], 0.0411, Table1334567[[#This Row],[T]], ((Table1334567[[#This Row],[BIDC]]+Table1334567[[#This Row],[ASKC]])/2), TRUE)</f>
        <v>0.01</v>
      </c>
      <c r="I128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4" s="17"/>
      <c r="M1284" s="1">
        <f t="shared" si="125"/>
        <v>0</v>
      </c>
      <c r="N1284" t="b">
        <f t="shared" si="126"/>
        <v>0</v>
      </c>
      <c r="P1284" s="17" cm="1">
        <f t="array" aca="1" ref="P1284" ca="1">IndividualLegIVCore($A$4, Table1334567[[#This Row],[Strike]], 0.0411, Table1334567[[#This Row],[T]], ((Table1334567[[#This Row],[BIDP]]+Table1334567[[#This Row],[ASKP]])/2), FALSE)</f>
        <v>0.01</v>
      </c>
      <c r="Q128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4" s="17"/>
      <c r="T128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4" s="19">
        <f>-22* IF($M$1="NDX", 10, IF(OR($M$1="SPX", $M$1="RUT"), 2, 1))</f>
        <v>-44</v>
      </c>
      <c r="Z1284">
        <f ca="1">IFERROR(Table1334567[[#This Row],[call gamma]]*(Table1334567[[#This Row],[Open.Int]])*$A$4^2,0)</f>
        <v>0</v>
      </c>
      <c r="AA1284">
        <f ca="1">IFERROR(((Table1334567[[#This Row],[Open.Int8]])*Table1334567[[#This Row],[Put gamma]])*-1*$A$4^2,0)</f>
        <v>0</v>
      </c>
      <c r="AB1284">
        <f ca="1">(Table1334567[[#This Row],[Call Gex]]+Table1334567[[#This Row],[Put Gex]])</f>
        <v>0</v>
      </c>
      <c r="AC1284">
        <f ca="1">Table1334567[[#This Row],[put delta adj]]+Table1334567[[#This Row],[call delta adj]]</f>
        <v>0</v>
      </c>
      <c r="AD1284">
        <f ca="1">Table1334567[[#This Row],[Put Gex]]*Table1334567[[#This Row],[DeltaP]]*-1</f>
        <v>0</v>
      </c>
      <c r="AE1284">
        <f ca="1">Table1334567[[#This Row],[Call Gex]]*Table1334567[[#This Row],[DeltaC]]</f>
        <v>0</v>
      </c>
      <c r="AF1284">
        <f>IF(Table1334567[[#This Row],[DeltaC]]-ABS(Table1334567[[#This Row],[DeltaP]])="0","0.01",Table1334567[[#This Row],[DeltaC]]-ABS(Table1334567[[#This Row],[DeltaP]]))</f>
        <v>0</v>
      </c>
      <c r="AG128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4" t="e">
        <f ca="1">(EXP(-(AG1284^2)/2)/SQRT(2*PI())*EXP(0*SQRT(Table1334567[[#This Row],[T]]))/$A$4*18%*SQRT(SQRT(Table1334567[[#This Row],[T]])))</f>
        <v>#DIV/0!</v>
      </c>
      <c r="AJ1284" t="e">
        <f ca="1">(EXP(-(AH1284^2)/2)/SQRT(2*PI())*EXP(0*SQRT(Table1334567[[#This Row],[T]]))/$A$4*18%*SQRT(SQRT(Table1334567[[#This Row],[T]])))</f>
        <v>#DIV/0!</v>
      </c>
      <c r="AK1284" t="e">
        <f ca="1">Table1334567[[#This Row],[Call D1]]-Table1334567[[#This Row],[IV Calc C]]*SQRT(Table1334567[[#This Row],[T]])</f>
        <v>#DIV/0!</v>
      </c>
      <c r="AL1284" t="e">
        <f ca="1">Table1334567[[#This Row],[Put D1]]-Table1334567[[#This Row],[IV Calc P]]*SQRT(Table1334567[[#This Row],[T]])</f>
        <v>#DIV/0!</v>
      </c>
      <c r="AM1284" t="e">
        <f ca="1">EXP(-0.5*Table1334567[[#This Row],[Call D1]]^2)/SQRT(2*PI())</f>
        <v>#DIV/0!</v>
      </c>
      <c r="AN1284" t="e">
        <f ca="1">EXP(-0.5*Table1334567[[#This Row],[Put D1]]^2)/SQRT(2*PI())</f>
        <v>#DIV/0!</v>
      </c>
      <c r="AO128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4">
        <f ca="1">((Table1334567[[#This Row],[call vanna]]+Table1334567[[#This Row],[put vanna]])*$A$4)</f>
        <v>0</v>
      </c>
      <c r="AR128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4" s="9" t="str" cm="1">
        <f t="array" ref="AT1284">_xlfn.IFS(     $M$1="SPX","SPXW",     $M$1="RUT","RUTW",  $M$1="NDX","NDXP",   TRUE,$M$1 )</f>
        <v>SPXW</v>
      </c>
      <c r="AU1284" s="2">
        <f t="shared" si="127"/>
        <v>6915</v>
      </c>
      <c r="AV1284" t="str">
        <f t="shared" si="128"/>
        <v>000100</v>
      </c>
      <c r="AY128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4">
        <f>((Table1334567[[#This Row],[High C]]+Table1334567[[#This Row],[Low C]])/2)*Table1334567[[#This Row],[gammac]]*Table1334567[[#This Row],[Volume]]</f>
        <v>0</v>
      </c>
      <c r="BD1284">
        <f>((Table1334567[[#This Row],[High P]]+Table1334567[[#This Row],[Low P]])/2)*Table1334567[[#This Row],[gammap]]*Table1334567[[#This Row],[Volume9]]*-1</f>
        <v>0</v>
      </c>
      <c r="BE1284">
        <f>(Table1334567[[#This Row],[SgammaC]]+Table1334567[[#This Row],[SgammaP]])*$A$4*-100</f>
        <v>0</v>
      </c>
      <c r="BF1284">
        <f>Table1334567[[#This Row],[DEXc]]+Table1334567[[#This Row],[DEXp]]</f>
        <v>0</v>
      </c>
      <c r="BG1284">
        <f>IFERROR(Table1334567[[#This Row],[DeltaC]]*Table1334567[[#This Row],[Open.Int]]*$A$4,0)</f>
        <v>0</v>
      </c>
      <c r="BH1284">
        <f>IFERROR(Table1334567[[#This Row],[DeltaP]]*Table1334567[[#This Row],[Open.Int8]]*$A$4,0)</f>
        <v>0</v>
      </c>
      <c r="BI128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4">
        <f ca="1">Table1334567[[#This Row],[charmc]]+Table1334567[[#This Row],[charmp]]</f>
        <v>0</v>
      </c>
      <c r="BL128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4" s="78">
        <f ca="1">Table1334567[[#This Row],[call helper]]+Table1334567[[#This Row],[put helper]]</f>
        <v>0</v>
      </c>
      <c r="BP1284" t="str">
        <f>RTD("tos.rtd", , "STRIKE", "."&amp;Table1334567[[#This Row],[Ticker]]&amp;Table1334567[[#This Row],[Expiry]]&amp;""&amp;"C"&amp;Table1334567[[#This Row],[Spot]]+Table1334567[[#This Row],[step]])</f>
        <v>N/A</v>
      </c>
    </row>
    <row r="1285" spans="1:68" x14ac:dyDescent="0.25">
      <c r="A1285" s="14">
        <f t="shared" ca="1" si="124"/>
        <v>-126.14810350076104</v>
      </c>
      <c r="C1285" s="17"/>
      <c r="D1285" t="str">
        <f>RTD("tos.rtd", , "OPEN_INT", "."&amp;Table1334567[[#This Row],[Ticker]]&amp;Table1334567[[#This Row],[Expiry]]&amp;""&amp;"C"&amp;Table1334567[[#This Row],[Spot]]+Table1334567[[#This Row],[step]])</f>
        <v>N/A</v>
      </c>
      <c r="E128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5" s="17" cm="1">
        <f t="array" aca="1" ref="H1285" ca="1">IndividualLegIVCore($A$4, Table1334567[[#This Row],[Strike]], 0.0411, Table1334567[[#This Row],[T]], ((Table1334567[[#This Row],[BIDC]]+Table1334567[[#This Row],[ASKC]])/2), TRUE)</f>
        <v>0.01</v>
      </c>
      <c r="I128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5" s="17"/>
      <c r="M1285" s="1">
        <f t="shared" si="125"/>
        <v>0</v>
      </c>
      <c r="N1285" t="b">
        <f t="shared" si="126"/>
        <v>0</v>
      </c>
      <c r="P1285" s="17" cm="1">
        <f t="array" aca="1" ref="P1285" ca="1">IndividualLegIVCore($A$4, Table1334567[[#This Row],[Strike]], 0.0411, Table1334567[[#This Row],[T]], ((Table1334567[[#This Row],[BIDP]]+Table1334567[[#This Row],[ASKP]])/2), FALSE)</f>
        <v>0.01</v>
      </c>
      <c r="Q128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5" s="17"/>
      <c r="T128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5" s="19">
        <f>-21.5* IF($M$1="NDX", 10, IF(OR($M$1="SPX", $M$1="RUT"), 2, 1))</f>
        <v>-43</v>
      </c>
      <c r="Z1285">
        <f ca="1">IFERROR(Table1334567[[#This Row],[call gamma]]*(Table1334567[[#This Row],[Open.Int]])*$A$4^2,0)</f>
        <v>0</v>
      </c>
      <c r="AA1285">
        <f ca="1">IFERROR(((Table1334567[[#This Row],[Open.Int8]])*Table1334567[[#This Row],[Put gamma]])*-1*$A$4^2,0)</f>
        <v>0</v>
      </c>
      <c r="AB1285">
        <f ca="1">(Table1334567[[#This Row],[Call Gex]]+Table1334567[[#This Row],[Put Gex]])</f>
        <v>0</v>
      </c>
      <c r="AC1285">
        <f ca="1">Table1334567[[#This Row],[put delta adj]]+Table1334567[[#This Row],[call delta adj]]</f>
        <v>0</v>
      </c>
      <c r="AD1285">
        <f ca="1">Table1334567[[#This Row],[Put Gex]]*Table1334567[[#This Row],[DeltaP]]*-1</f>
        <v>0</v>
      </c>
      <c r="AE1285">
        <f ca="1">Table1334567[[#This Row],[Call Gex]]*Table1334567[[#This Row],[DeltaC]]</f>
        <v>0</v>
      </c>
      <c r="AF1285">
        <f>IF(Table1334567[[#This Row],[DeltaC]]-ABS(Table1334567[[#This Row],[DeltaP]])="0","0.01",Table1334567[[#This Row],[DeltaC]]-ABS(Table1334567[[#This Row],[DeltaP]]))</f>
        <v>0</v>
      </c>
      <c r="AG128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5" t="e">
        <f ca="1">(EXP(-(AG1285^2)/2)/SQRT(2*PI())*EXP(0*SQRT(Table1334567[[#This Row],[T]]))/$A$4*18%*SQRT(SQRT(Table1334567[[#This Row],[T]])))</f>
        <v>#DIV/0!</v>
      </c>
      <c r="AJ1285" t="e">
        <f ca="1">(EXP(-(AH1285^2)/2)/SQRT(2*PI())*EXP(0*SQRT(Table1334567[[#This Row],[T]]))/$A$4*18%*SQRT(SQRT(Table1334567[[#This Row],[T]])))</f>
        <v>#DIV/0!</v>
      </c>
      <c r="AK1285" t="e">
        <f ca="1">Table1334567[[#This Row],[Call D1]]-Table1334567[[#This Row],[IV Calc C]]*SQRT(Table1334567[[#This Row],[T]])</f>
        <v>#DIV/0!</v>
      </c>
      <c r="AL1285" t="e">
        <f ca="1">Table1334567[[#This Row],[Put D1]]-Table1334567[[#This Row],[IV Calc P]]*SQRT(Table1334567[[#This Row],[T]])</f>
        <v>#DIV/0!</v>
      </c>
      <c r="AM1285" t="e">
        <f ca="1">EXP(-0.5*Table1334567[[#This Row],[Call D1]]^2)/SQRT(2*PI())</f>
        <v>#DIV/0!</v>
      </c>
      <c r="AN1285" t="e">
        <f ca="1">EXP(-0.5*Table1334567[[#This Row],[Put D1]]^2)/SQRT(2*PI())</f>
        <v>#DIV/0!</v>
      </c>
      <c r="AO128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5">
        <f ca="1">((Table1334567[[#This Row],[call vanna]]+Table1334567[[#This Row],[put vanna]])*$A$4)</f>
        <v>0</v>
      </c>
      <c r="AR128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5" s="9" t="str" cm="1">
        <f t="array" ref="AT1285">_xlfn.IFS(     $M$1="SPX","SPXW",     $M$1="RUT","RUTW",  $M$1="NDX","NDXP",   TRUE,$M$1 )</f>
        <v>SPXW</v>
      </c>
      <c r="AU1285" s="2">
        <f t="shared" si="127"/>
        <v>6915</v>
      </c>
      <c r="AV1285" t="str">
        <f t="shared" si="128"/>
        <v>000100</v>
      </c>
      <c r="AY128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5">
        <f>((Table1334567[[#This Row],[High C]]+Table1334567[[#This Row],[Low C]])/2)*Table1334567[[#This Row],[gammac]]*Table1334567[[#This Row],[Volume]]</f>
        <v>0</v>
      </c>
      <c r="BD1285">
        <f>((Table1334567[[#This Row],[High P]]+Table1334567[[#This Row],[Low P]])/2)*Table1334567[[#This Row],[gammap]]*Table1334567[[#This Row],[Volume9]]*-1</f>
        <v>0</v>
      </c>
      <c r="BE1285">
        <f>(Table1334567[[#This Row],[SgammaC]]+Table1334567[[#This Row],[SgammaP]])*$A$4*-100</f>
        <v>0</v>
      </c>
      <c r="BF1285">
        <f>Table1334567[[#This Row],[DEXc]]+Table1334567[[#This Row],[DEXp]]</f>
        <v>0</v>
      </c>
      <c r="BG1285">
        <f>IFERROR(Table1334567[[#This Row],[DeltaC]]*Table1334567[[#This Row],[Open.Int]]*$A$4,0)</f>
        <v>0</v>
      </c>
      <c r="BH1285">
        <f>IFERROR(Table1334567[[#This Row],[DeltaP]]*Table1334567[[#This Row],[Open.Int8]]*$A$4,0)</f>
        <v>0</v>
      </c>
      <c r="BI128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5">
        <f ca="1">Table1334567[[#This Row],[charmc]]+Table1334567[[#This Row],[charmp]]</f>
        <v>0</v>
      </c>
      <c r="BL128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5" s="78">
        <f ca="1">Table1334567[[#This Row],[call helper]]+Table1334567[[#This Row],[put helper]]</f>
        <v>0</v>
      </c>
      <c r="BP1285" t="str">
        <f>RTD("tos.rtd", , "STRIKE", "."&amp;Table1334567[[#This Row],[Ticker]]&amp;Table1334567[[#This Row],[Expiry]]&amp;""&amp;"C"&amp;Table1334567[[#This Row],[Spot]]+Table1334567[[#This Row],[step]])</f>
        <v>N/A</v>
      </c>
    </row>
    <row r="1286" spans="1:68" x14ac:dyDescent="0.25">
      <c r="A1286" s="14">
        <f t="shared" ca="1" si="124"/>
        <v>-126.14810350076104</v>
      </c>
      <c r="C1286" s="17"/>
      <c r="D1286" t="str">
        <f>RTD("tos.rtd", , "OPEN_INT", "."&amp;Table1334567[[#This Row],[Ticker]]&amp;Table1334567[[#This Row],[Expiry]]&amp;""&amp;"C"&amp;Table1334567[[#This Row],[Spot]]+Table1334567[[#This Row],[step]])</f>
        <v>N/A</v>
      </c>
      <c r="E128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6" s="17" cm="1">
        <f t="array" aca="1" ref="H1286" ca="1">IndividualLegIVCore($A$4, Table1334567[[#This Row],[Strike]], 0.0411, Table1334567[[#This Row],[T]], ((Table1334567[[#This Row],[BIDC]]+Table1334567[[#This Row],[ASKC]])/2), TRUE)</f>
        <v>0.01</v>
      </c>
      <c r="I128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6" s="17"/>
      <c r="M1286" s="1">
        <f t="shared" si="125"/>
        <v>0</v>
      </c>
      <c r="N1286" t="b">
        <f t="shared" si="126"/>
        <v>0</v>
      </c>
      <c r="P1286" s="17" cm="1">
        <f t="array" aca="1" ref="P1286" ca="1">IndividualLegIVCore($A$4, Table1334567[[#This Row],[Strike]], 0.0411, Table1334567[[#This Row],[T]], ((Table1334567[[#This Row],[BIDP]]+Table1334567[[#This Row],[ASKP]])/2), FALSE)</f>
        <v>0.01</v>
      </c>
      <c r="Q128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6" s="17"/>
      <c r="T128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6" s="19">
        <f>-21* IF($M$1="NDX", 10, IF(OR($M$1="SPX", $M$1="RUT"), 2, 1))</f>
        <v>-42</v>
      </c>
      <c r="Z1286">
        <f ca="1">IFERROR(Table1334567[[#This Row],[call gamma]]*(Table1334567[[#This Row],[Open.Int]])*$A$4^2,0)</f>
        <v>0</v>
      </c>
      <c r="AA1286">
        <f ca="1">IFERROR(((Table1334567[[#This Row],[Open.Int8]])*Table1334567[[#This Row],[Put gamma]])*-1*$A$4^2,0)</f>
        <v>0</v>
      </c>
      <c r="AB1286">
        <f ca="1">(Table1334567[[#This Row],[Call Gex]]+Table1334567[[#This Row],[Put Gex]])</f>
        <v>0</v>
      </c>
      <c r="AC1286">
        <f ca="1">Table1334567[[#This Row],[put delta adj]]+Table1334567[[#This Row],[call delta adj]]</f>
        <v>0</v>
      </c>
      <c r="AD1286">
        <f ca="1">Table1334567[[#This Row],[Put Gex]]*Table1334567[[#This Row],[DeltaP]]*-1</f>
        <v>0</v>
      </c>
      <c r="AE1286">
        <f ca="1">Table1334567[[#This Row],[Call Gex]]*Table1334567[[#This Row],[DeltaC]]</f>
        <v>0</v>
      </c>
      <c r="AF1286">
        <f>IF(Table1334567[[#This Row],[DeltaC]]-ABS(Table1334567[[#This Row],[DeltaP]])="0","0.01",Table1334567[[#This Row],[DeltaC]]-ABS(Table1334567[[#This Row],[DeltaP]]))</f>
        <v>0</v>
      </c>
      <c r="AG128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6" t="e">
        <f ca="1">(EXP(-(AG1286^2)/2)/SQRT(2*PI())*EXP(0*SQRT(Table1334567[[#This Row],[T]]))/$A$4*18%*SQRT(SQRT(Table1334567[[#This Row],[T]])))</f>
        <v>#DIV/0!</v>
      </c>
      <c r="AJ1286" t="e">
        <f ca="1">(EXP(-(AH1286^2)/2)/SQRT(2*PI())*EXP(0*SQRT(Table1334567[[#This Row],[T]]))/$A$4*18%*SQRT(SQRT(Table1334567[[#This Row],[T]])))</f>
        <v>#DIV/0!</v>
      </c>
      <c r="AK1286" t="e">
        <f ca="1">Table1334567[[#This Row],[Call D1]]-Table1334567[[#This Row],[IV Calc C]]*SQRT(Table1334567[[#This Row],[T]])</f>
        <v>#DIV/0!</v>
      </c>
      <c r="AL1286" t="e">
        <f ca="1">Table1334567[[#This Row],[Put D1]]-Table1334567[[#This Row],[IV Calc P]]*SQRT(Table1334567[[#This Row],[T]])</f>
        <v>#DIV/0!</v>
      </c>
      <c r="AM1286" t="e">
        <f ca="1">EXP(-0.5*Table1334567[[#This Row],[Call D1]]^2)/SQRT(2*PI())</f>
        <v>#DIV/0!</v>
      </c>
      <c r="AN1286" t="e">
        <f ca="1">EXP(-0.5*Table1334567[[#This Row],[Put D1]]^2)/SQRT(2*PI())</f>
        <v>#DIV/0!</v>
      </c>
      <c r="AO128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6">
        <f ca="1">((Table1334567[[#This Row],[call vanna]]+Table1334567[[#This Row],[put vanna]])*$A$4)</f>
        <v>0</v>
      </c>
      <c r="AR128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6" s="9" t="str" cm="1">
        <f t="array" ref="AT1286">_xlfn.IFS(     $M$1="SPX","SPXW",     $M$1="RUT","RUTW",  $M$1="NDX","NDXP",   TRUE,$M$1 )</f>
        <v>SPXW</v>
      </c>
      <c r="AU1286" s="2">
        <f t="shared" si="127"/>
        <v>6915</v>
      </c>
      <c r="AV1286" t="str">
        <f t="shared" si="128"/>
        <v>000100</v>
      </c>
      <c r="AY128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6">
        <f>((Table1334567[[#This Row],[High C]]+Table1334567[[#This Row],[Low C]])/2)*Table1334567[[#This Row],[gammac]]*Table1334567[[#This Row],[Volume]]</f>
        <v>0</v>
      </c>
      <c r="BD1286">
        <f>((Table1334567[[#This Row],[High P]]+Table1334567[[#This Row],[Low P]])/2)*Table1334567[[#This Row],[gammap]]*Table1334567[[#This Row],[Volume9]]*-1</f>
        <v>0</v>
      </c>
      <c r="BE1286">
        <f>(Table1334567[[#This Row],[SgammaC]]+Table1334567[[#This Row],[SgammaP]])*$A$4*-100</f>
        <v>0</v>
      </c>
      <c r="BF1286">
        <f>Table1334567[[#This Row],[DEXc]]+Table1334567[[#This Row],[DEXp]]</f>
        <v>0</v>
      </c>
      <c r="BG1286">
        <f>IFERROR(Table1334567[[#This Row],[DeltaC]]*Table1334567[[#This Row],[Open.Int]]*$A$4,0)</f>
        <v>0</v>
      </c>
      <c r="BH1286">
        <f>IFERROR(Table1334567[[#This Row],[DeltaP]]*Table1334567[[#This Row],[Open.Int8]]*$A$4,0)</f>
        <v>0</v>
      </c>
      <c r="BI128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6">
        <f ca="1">Table1334567[[#This Row],[charmc]]+Table1334567[[#This Row],[charmp]]</f>
        <v>0</v>
      </c>
      <c r="BL128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6" s="78">
        <f ca="1">Table1334567[[#This Row],[call helper]]+Table1334567[[#This Row],[put helper]]</f>
        <v>0</v>
      </c>
      <c r="BP1286" t="str">
        <f>RTD("tos.rtd", , "STRIKE", "."&amp;Table1334567[[#This Row],[Ticker]]&amp;Table1334567[[#This Row],[Expiry]]&amp;""&amp;"C"&amp;Table1334567[[#This Row],[Spot]]+Table1334567[[#This Row],[step]])</f>
        <v>N/A</v>
      </c>
    </row>
    <row r="1287" spans="1:68" x14ac:dyDescent="0.25">
      <c r="A1287" s="24">
        <f t="shared" ca="1" si="124"/>
        <v>-126.14810350076104</v>
      </c>
      <c r="B1287" s="13"/>
      <c r="C1287" s="17"/>
      <c r="D1287" t="str">
        <f>RTD("tos.rtd", , "OPEN_INT", "."&amp;Table1334567[[#This Row],[Ticker]]&amp;Table1334567[[#This Row],[Expiry]]&amp;""&amp;"C"&amp;Table1334567[[#This Row],[Spot]]+Table1334567[[#This Row],[step]])</f>
        <v>N/A</v>
      </c>
      <c r="E128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7" s="17" cm="1">
        <f t="array" aca="1" ref="H1287" ca="1">IndividualLegIVCore($A$4, Table1334567[[#This Row],[Strike]], 0.0411, Table1334567[[#This Row],[T]], ((Table1334567[[#This Row],[BIDC]]+Table1334567[[#This Row],[ASKC]])/2), TRUE)</f>
        <v>0.01</v>
      </c>
      <c r="I128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7" s="17"/>
      <c r="M1287" s="1">
        <f t="shared" si="125"/>
        <v>0</v>
      </c>
      <c r="N1287" t="b">
        <f t="shared" si="126"/>
        <v>0</v>
      </c>
      <c r="P1287" s="17" cm="1">
        <f t="array" aca="1" ref="P1287" ca="1">IndividualLegIVCore($A$4, Table1334567[[#This Row],[Strike]], 0.0411, Table1334567[[#This Row],[T]], ((Table1334567[[#This Row],[BIDP]]+Table1334567[[#This Row],[ASKP]])/2), FALSE)</f>
        <v>0.01</v>
      </c>
      <c r="Q128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7" s="17"/>
      <c r="T128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287" s="13"/>
      <c r="Y1287" s="19">
        <f>-20.5* IF($M$1="NDX", 10, IF(OR($M$1="SPX", $M$1="RUT"), 2, 1))</f>
        <v>-41</v>
      </c>
      <c r="Z1287">
        <f ca="1">IFERROR(Table1334567[[#This Row],[call gamma]]*(Table1334567[[#This Row],[Open.Int]])*$A$4^2,0)</f>
        <v>0</v>
      </c>
      <c r="AA1287">
        <f ca="1">IFERROR(((Table1334567[[#This Row],[Open.Int8]])*Table1334567[[#This Row],[Put gamma]])*-1*$A$4^2,0)</f>
        <v>0</v>
      </c>
      <c r="AB1287">
        <f ca="1">(Table1334567[[#This Row],[Call Gex]]+Table1334567[[#This Row],[Put Gex]])</f>
        <v>0</v>
      </c>
      <c r="AC1287">
        <f ca="1">Table1334567[[#This Row],[put delta adj]]+Table1334567[[#This Row],[call delta adj]]</f>
        <v>0</v>
      </c>
      <c r="AD1287">
        <f ca="1">Table1334567[[#This Row],[Put Gex]]*Table1334567[[#This Row],[DeltaP]]*-1</f>
        <v>0</v>
      </c>
      <c r="AE1287">
        <f ca="1">Table1334567[[#This Row],[Call Gex]]*Table1334567[[#This Row],[DeltaC]]</f>
        <v>0</v>
      </c>
      <c r="AF1287">
        <f>IF(Table1334567[[#This Row],[DeltaC]]-ABS(Table1334567[[#This Row],[DeltaP]])="0","0.01",Table1334567[[#This Row],[DeltaC]]-ABS(Table1334567[[#This Row],[DeltaP]]))</f>
        <v>0</v>
      </c>
      <c r="AG128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7" t="e">
        <f ca="1">(EXP(-(AG1287^2)/2)/SQRT(2*PI())*EXP(0*SQRT(Table1334567[[#This Row],[T]]))/$A$4*18%*SQRT(SQRT(Table1334567[[#This Row],[T]])))</f>
        <v>#DIV/0!</v>
      </c>
      <c r="AJ1287" t="e">
        <f ca="1">(EXP(-(AH1287^2)/2)/SQRT(2*PI())*EXP(0*SQRT(Table1334567[[#This Row],[T]]))/$A$4*18%*SQRT(SQRT(Table1334567[[#This Row],[T]])))</f>
        <v>#DIV/0!</v>
      </c>
      <c r="AK1287" t="e">
        <f ca="1">Table1334567[[#This Row],[Call D1]]-Table1334567[[#This Row],[IV Calc C]]*SQRT(Table1334567[[#This Row],[T]])</f>
        <v>#DIV/0!</v>
      </c>
      <c r="AL1287" t="e">
        <f ca="1">Table1334567[[#This Row],[Put D1]]-Table1334567[[#This Row],[IV Calc P]]*SQRT(Table1334567[[#This Row],[T]])</f>
        <v>#DIV/0!</v>
      </c>
      <c r="AM1287" t="e">
        <f ca="1">EXP(-0.5*Table1334567[[#This Row],[Call D1]]^2)/SQRT(2*PI())</f>
        <v>#DIV/0!</v>
      </c>
      <c r="AN1287" t="e">
        <f ca="1">EXP(-0.5*Table1334567[[#This Row],[Put D1]]^2)/SQRT(2*PI())</f>
        <v>#DIV/0!</v>
      </c>
      <c r="AO128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7">
        <f ca="1">((Table1334567[[#This Row],[call vanna]]+Table1334567[[#This Row],[put vanna]])*$A$4)</f>
        <v>0</v>
      </c>
      <c r="AR128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7" s="22" t="str" cm="1">
        <f t="array" ref="AT1287">_xlfn.IFS(     $M$1="SPX","SPXW",     $M$1="RUT","RUTW",  $M$1="NDX","NDXP",   TRUE,$M$1 )</f>
        <v>SPXW</v>
      </c>
      <c r="AU1287" s="2">
        <f t="shared" si="127"/>
        <v>6915</v>
      </c>
      <c r="AV1287" t="str">
        <f t="shared" si="128"/>
        <v>000100</v>
      </c>
      <c r="AY128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7">
        <f>((Table1334567[[#This Row],[High C]]+Table1334567[[#This Row],[Low C]])/2)*Table1334567[[#This Row],[gammac]]*Table1334567[[#This Row],[Volume]]</f>
        <v>0</v>
      </c>
      <c r="BD1287">
        <f>((Table1334567[[#This Row],[High P]]+Table1334567[[#This Row],[Low P]])/2)*Table1334567[[#This Row],[gammap]]*Table1334567[[#This Row],[Volume9]]*-1</f>
        <v>0</v>
      </c>
      <c r="BE1287">
        <f>(Table1334567[[#This Row],[SgammaC]]+Table1334567[[#This Row],[SgammaP]])*$A$4*-100</f>
        <v>0</v>
      </c>
      <c r="BF1287">
        <f>Table1334567[[#This Row],[DEXc]]+Table1334567[[#This Row],[DEXp]]</f>
        <v>0</v>
      </c>
      <c r="BG1287">
        <f>IFERROR(Table1334567[[#This Row],[DeltaC]]*Table1334567[[#This Row],[Open.Int]]*$A$4,0)</f>
        <v>0</v>
      </c>
      <c r="BH1287">
        <f>IFERROR(Table1334567[[#This Row],[DeltaP]]*Table1334567[[#This Row],[Open.Int8]]*$A$4,0)</f>
        <v>0</v>
      </c>
      <c r="BI128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7">
        <f ca="1">Table1334567[[#This Row],[charmc]]+Table1334567[[#This Row],[charmp]]</f>
        <v>0</v>
      </c>
      <c r="BL128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7" s="78">
        <f ca="1">Table1334567[[#This Row],[call helper]]+Table1334567[[#This Row],[put helper]]</f>
        <v>0</v>
      </c>
      <c r="BP1287" t="str">
        <f>RTD("tos.rtd", , "STRIKE", "."&amp;Table1334567[[#This Row],[Ticker]]&amp;Table1334567[[#This Row],[Expiry]]&amp;""&amp;"C"&amp;Table1334567[[#This Row],[Spot]]+Table1334567[[#This Row],[step]])</f>
        <v>N/A</v>
      </c>
    </row>
    <row r="1288" spans="1:68" x14ac:dyDescent="0.25">
      <c r="A1288" s="14">
        <f t="shared" ca="1" si="124"/>
        <v>-126.14810350076104</v>
      </c>
      <c r="C1288" s="17"/>
      <c r="D1288" t="str">
        <f>RTD("tos.rtd", , "OPEN_INT", "."&amp;Table1334567[[#This Row],[Ticker]]&amp;Table1334567[[#This Row],[Expiry]]&amp;""&amp;"C"&amp;Table1334567[[#This Row],[Spot]]+Table1334567[[#This Row],[step]])</f>
        <v>N/A</v>
      </c>
      <c r="E128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8" s="17" cm="1">
        <f t="array" aca="1" ref="H1288" ca="1">IndividualLegIVCore($A$4, Table1334567[[#This Row],[Strike]], 0.0411, Table1334567[[#This Row],[T]], ((Table1334567[[#This Row],[BIDC]]+Table1334567[[#This Row],[ASKC]])/2), TRUE)</f>
        <v>0.01</v>
      </c>
      <c r="I128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8" s="17"/>
      <c r="M1288" s="1">
        <f t="shared" si="125"/>
        <v>0</v>
      </c>
      <c r="N1288" t="b">
        <f t="shared" si="126"/>
        <v>0</v>
      </c>
      <c r="P1288" s="17" cm="1">
        <f t="array" aca="1" ref="P1288" ca="1">IndividualLegIVCore($A$4, Table1334567[[#This Row],[Strike]], 0.0411, Table1334567[[#This Row],[T]], ((Table1334567[[#This Row],[BIDP]]+Table1334567[[#This Row],[ASKP]])/2), FALSE)</f>
        <v>0.01</v>
      </c>
      <c r="Q128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8" s="17"/>
      <c r="T128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8" s="19">
        <f>-20* IF($M$1="NDX", 10, IF(OR($M$1="SPX", $M$1="RUT"), 2, 1))</f>
        <v>-40</v>
      </c>
      <c r="Z1288">
        <f ca="1">IFERROR(Table1334567[[#This Row],[call gamma]]*(Table1334567[[#This Row],[Open.Int]])*$A$4^2,0)</f>
        <v>0</v>
      </c>
      <c r="AA1288">
        <f ca="1">IFERROR(((Table1334567[[#This Row],[Open.Int8]])*Table1334567[[#This Row],[Put gamma]])*-1*$A$4^2,0)</f>
        <v>0</v>
      </c>
      <c r="AB1288">
        <f ca="1">(Table1334567[[#This Row],[Call Gex]]+Table1334567[[#This Row],[Put Gex]])</f>
        <v>0</v>
      </c>
      <c r="AC1288">
        <f ca="1">Table1334567[[#This Row],[put delta adj]]+Table1334567[[#This Row],[call delta adj]]</f>
        <v>0</v>
      </c>
      <c r="AD1288">
        <f ca="1">Table1334567[[#This Row],[Put Gex]]*Table1334567[[#This Row],[DeltaP]]*-1</f>
        <v>0</v>
      </c>
      <c r="AE1288">
        <f ca="1">Table1334567[[#This Row],[Call Gex]]*Table1334567[[#This Row],[DeltaC]]</f>
        <v>0</v>
      </c>
      <c r="AF1288">
        <f>IF(Table1334567[[#This Row],[DeltaC]]-ABS(Table1334567[[#This Row],[DeltaP]])="0","0.01",Table1334567[[#This Row],[DeltaC]]-ABS(Table1334567[[#This Row],[DeltaP]]))</f>
        <v>0</v>
      </c>
      <c r="AG128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8" t="e">
        <f ca="1">(EXP(-(AG1288^2)/2)/SQRT(2*PI())*EXP(0*SQRT(Table1334567[[#This Row],[T]]))/$A$4*18%*SQRT(SQRT(Table1334567[[#This Row],[T]])))</f>
        <v>#DIV/0!</v>
      </c>
      <c r="AJ1288" t="e">
        <f ca="1">(EXP(-(AH1288^2)/2)/SQRT(2*PI())*EXP(0*SQRT(Table1334567[[#This Row],[T]]))/$A$4*18%*SQRT(SQRT(Table1334567[[#This Row],[T]])))</f>
        <v>#DIV/0!</v>
      </c>
      <c r="AK1288" t="e">
        <f ca="1">Table1334567[[#This Row],[Call D1]]-Table1334567[[#This Row],[IV Calc C]]*SQRT(Table1334567[[#This Row],[T]])</f>
        <v>#DIV/0!</v>
      </c>
      <c r="AL1288" t="e">
        <f ca="1">Table1334567[[#This Row],[Put D1]]-Table1334567[[#This Row],[IV Calc P]]*SQRT(Table1334567[[#This Row],[T]])</f>
        <v>#DIV/0!</v>
      </c>
      <c r="AM1288" t="e">
        <f ca="1">EXP(-0.5*Table1334567[[#This Row],[Call D1]]^2)/SQRT(2*PI())</f>
        <v>#DIV/0!</v>
      </c>
      <c r="AN1288" t="e">
        <f ca="1">EXP(-0.5*Table1334567[[#This Row],[Put D1]]^2)/SQRT(2*PI())</f>
        <v>#DIV/0!</v>
      </c>
      <c r="AO128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8">
        <f ca="1">((Table1334567[[#This Row],[call vanna]]+Table1334567[[#This Row],[put vanna]])*$A$4)</f>
        <v>0</v>
      </c>
      <c r="AR128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8" s="9" t="str" cm="1">
        <f t="array" ref="AT1288">_xlfn.IFS(     $M$1="SPX","SPXW",     $M$1="RUT","RUTW",  $M$1="NDX","NDXP",   TRUE,$M$1 )</f>
        <v>SPXW</v>
      </c>
      <c r="AU1288" s="2">
        <f t="shared" si="127"/>
        <v>6915</v>
      </c>
      <c r="AV1288" t="str">
        <f t="shared" si="128"/>
        <v>000100</v>
      </c>
      <c r="AY128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8">
        <f>((Table1334567[[#This Row],[High C]]+Table1334567[[#This Row],[Low C]])/2)*Table1334567[[#This Row],[gammac]]*Table1334567[[#This Row],[Volume]]</f>
        <v>0</v>
      </c>
      <c r="BD1288">
        <f>((Table1334567[[#This Row],[High P]]+Table1334567[[#This Row],[Low P]])/2)*Table1334567[[#This Row],[gammap]]*Table1334567[[#This Row],[Volume9]]*-1</f>
        <v>0</v>
      </c>
      <c r="BE1288">
        <f>(Table1334567[[#This Row],[SgammaC]]+Table1334567[[#This Row],[SgammaP]])*$A$4*-100</f>
        <v>0</v>
      </c>
      <c r="BF1288">
        <f>Table1334567[[#This Row],[DEXc]]+Table1334567[[#This Row],[DEXp]]</f>
        <v>0</v>
      </c>
      <c r="BG1288">
        <f>IFERROR(Table1334567[[#This Row],[DeltaC]]*Table1334567[[#This Row],[Open.Int]]*$A$4,0)</f>
        <v>0</v>
      </c>
      <c r="BH1288">
        <f>IFERROR(Table1334567[[#This Row],[DeltaP]]*Table1334567[[#This Row],[Open.Int8]]*$A$4,0)</f>
        <v>0</v>
      </c>
      <c r="BI128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8">
        <f ca="1">Table1334567[[#This Row],[charmc]]+Table1334567[[#This Row],[charmp]]</f>
        <v>0</v>
      </c>
      <c r="BL128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8" s="78">
        <f ca="1">Table1334567[[#This Row],[call helper]]+Table1334567[[#This Row],[put helper]]</f>
        <v>0</v>
      </c>
      <c r="BP1288" t="str">
        <f>RTD("tos.rtd", , "STRIKE", "."&amp;Table1334567[[#This Row],[Ticker]]&amp;Table1334567[[#This Row],[Expiry]]&amp;""&amp;"C"&amp;Table1334567[[#This Row],[Spot]]+Table1334567[[#This Row],[step]])</f>
        <v>N/A</v>
      </c>
    </row>
    <row r="1289" spans="1:68" x14ac:dyDescent="0.25">
      <c r="A1289" s="14">
        <f t="shared" ca="1" si="124"/>
        <v>-126.14810350076104</v>
      </c>
      <c r="C1289" s="17"/>
      <c r="D1289" t="str">
        <f>RTD("tos.rtd", , "OPEN_INT", "."&amp;Table1334567[[#This Row],[Ticker]]&amp;Table1334567[[#This Row],[Expiry]]&amp;""&amp;"C"&amp;Table1334567[[#This Row],[Spot]]+Table1334567[[#This Row],[step]])</f>
        <v>N/A</v>
      </c>
      <c r="E128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9" s="17" cm="1">
        <f t="array" aca="1" ref="H1289" ca="1">IndividualLegIVCore($A$4, Table1334567[[#This Row],[Strike]], 0.0411, Table1334567[[#This Row],[T]], ((Table1334567[[#This Row],[BIDC]]+Table1334567[[#This Row],[ASKC]])/2), TRUE)</f>
        <v>0.01</v>
      </c>
      <c r="I128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9" s="17"/>
      <c r="M1289" s="1">
        <f t="shared" si="125"/>
        <v>0</v>
      </c>
      <c r="N1289" t="b">
        <f t="shared" si="126"/>
        <v>0</v>
      </c>
      <c r="P1289" s="17" cm="1">
        <f t="array" aca="1" ref="P1289" ca="1">IndividualLegIVCore($A$4, Table1334567[[#This Row],[Strike]], 0.0411, Table1334567[[#This Row],[T]], ((Table1334567[[#This Row],[BIDP]]+Table1334567[[#This Row],[ASKP]])/2), FALSE)</f>
        <v>0.01</v>
      </c>
      <c r="Q128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9" s="17"/>
      <c r="T128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9" s="19">
        <f>-19.5* IF($M$1="NDX", 10, IF(OR($M$1="SPX", $M$1="RUT"), 2, 1))</f>
        <v>-39</v>
      </c>
      <c r="Z1289">
        <f ca="1">IFERROR(Table1334567[[#This Row],[call gamma]]*(Table1334567[[#This Row],[Open.Int]])*$A$4^2,0)</f>
        <v>0</v>
      </c>
      <c r="AA1289">
        <f ca="1">IFERROR(((Table1334567[[#This Row],[Open.Int8]])*Table1334567[[#This Row],[Put gamma]])*-1*$A$4^2,0)</f>
        <v>0</v>
      </c>
      <c r="AB1289">
        <f ca="1">(Table1334567[[#This Row],[Call Gex]]+Table1334567[[#This Row],[Put Gex]])</f>
        <v>0</v>
      </c>
      <c r="AC1289">
        <f ca="1">Table1334567[[#This Row],[put delta adj]]+Table1334567[[#This Row],[call delta adj]]</f>
        <v>0</v>
      </c>
      <c r="AD1289">
        <f ca="1">Table1334567[[#This Row],[Put Gex]]*Table1334567[[#This Row],[DeltaP]]*-1</f>
        <v>0</v>
      </c>
      <c r="AE1289">
        <f ca="1">Table1334567[[#This Row],[Call Gex]]*Table1334567[[#This Row],[DeltaC]]</f>
        <v>0</v>
      </c>
      <c r="AF1289">
        <f>IF(Table1334567[[#This Row],[DeltaC]]-ABS(Table1334567[[#This Row],[DeltaP]])="0","0.01",Table1334567[[#This Row],[DeltaC]]-ABS(Table1334567[[#This Row],[DeltaP]]))</f>
        <v>0</v>
      </c>
      <c r="AG128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9" t="e">
        <f ca="1">(EXP(-(AG1289^2)/2)/SQRT(2*PI())*EXP(0*SQRT(Table1334567[[#This Row],[T]]))/$A$4*18%*SQRT(SQRT(Table1334567[[#This Row],[T]])))</f>
        <v>#DIV/0!</v>
      </c>
      <c r="AJ1289" t="e">
        <f ca="1">(EXP(-(AH1289^2)/2)/SQRT(2*PI())*EXP(0*SQRT(Table1334567[[#This Row],[T]]))/$A$4*18%*SQRT(SQRT(Table1334567[[#This Row],[T]])))</f>
        <v>#DIV/0!</v>
      </c>
      <c r="AK1289" t="e">
        <f ca="1">Table1334567[[#This Row],[Call D1]]-Table1334567[[#This Row],[IV Calc C]]*SQRT(Table1334567[[#This Row],[T]])</f>
        <v>#DIV/0!</v>
      </c>
      <c r="AL1289" t="e">
        <f ca="1">Table1334567[[#This Row],[Put D1]]-Table1334567[[#This Row],[IV Calc P]]*SQRT(Table1334567[[#This Row],[T]])</f>
        <v>#DIV/0!</v>
      </c>
      <c r="AM1289" t="e">
        <f ca="1">EXP(-0.5*Table1334567[[#This Row],[Call D1]]^2)/SQRT(2*PI())</f>
        <v>#DIV/0!</v>
      </c>
      <c r="AN1289" t="e">
        <f ca="1">EXP(-0.5*Table1334567[[#This Row],[Put D1]]^2)/SQRT(2*PI())</f>
        <v>#DIV/0!</v>
      </c>
      <c r="AO128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9">
        <f ca="1">((Table1334567[[#This Row],[call vanna]]+Table1334567[[#This Row],[put vanna]])*$A$4)</f>
        <v>0</v>
      </c>
      <c r="AR128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9" s="9" t="str" cm="1">
        <f t="array" ref="AT1289">_xlfn.IFS(     $M$1="SPX","SPXW",     $M$1="RUT","RUTW",  $M$1="NDX","NDXP",   TRUE,$M$1 )</f>
        <v>SPXW</v>
      </c>
      <c r="AU1289" s="2">
        <f t="shared" si="127"/>
        <v>6915</v>
      </c>
      <c r="AV1289" t="str">
        <f t="shared" si="128"/>
        <v>000100</v>
      </c>
      <c r="AY128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9">
        <f>((Table1334567[[#This Row],[High C]]+Table1334567[[#This Row],[Low C]])/2)*Table1334567[[#This Row],[gammac]]*Table1334567[[#This Row],[Volume]]</f>
        <v>0</v>
      </c>
      <c r="BD1289">
        <f>((Table1334567[[#This Row],[High P]]+Table1334567[[#This Row],[Low P]])/2)*Table1334567[[#This Row],[gammap]]*Table1334567[[#This Row],[Volume9]]*-1</f>
        <v>0</v>
      </c>
      <c r="BE1289">
        <f>(Table1334567[[#This Row],[SgammaC]]+Table1334567[[#This Row],[SgammaP]])*$A$4*-100</f>
        <v>0</v>
      </c>
      <c r="BF1289">
        <f>Table1334567[[#This Row],[DEXc]]+Table1334567[[#This Row],[DEXp]]</f>
        <v>0</v>
      </c>
      <c r="BG1289">
        <f>IFERROR(Table1334567[[#This Row],[DeltaC]]*Table1334567[[#This Row],[Open.Int]]*$A$4,0)</f>
        <v>0</v>
      </c>
      <c r="BH1289">
        <f>IFERROR(Table1334567[[#This Row],[DeltaP]]*Table1334567[[#This Row],[Open.Int8]]*$A$4,0)</f>
        <v>0</v>
      </c>
      <c r="BI128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9">
        <f ca="1">Table1334567[[#This Row],[charmc]]+Table1334567[[#This Row],[charmp]]</f>
        <v>0</v>
      </c>
      <c r="BL128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9" s="78">
        <f ca="1">Table1334567[[#This Row],[call helper]]+Table1334567[[#This Row],[put helper]]</f>
        <v>0</v>
      </c>
      <c r="BP1289" t="str">
        <f>RTD("tos.rtd", , "STRIKE", "."&amp;Table1334567[[#This Row],[Ticker]]&amp;Table1334567[[#This Row],[Expiry]]&amp;""&amp;"C"&amp;Table1334567[[#This Row],[Spot]]+Table1334567[[#This Row],[step]])</f>
        <v>N/A</v>
      </c>
    </row>
    <row r="1290" spans="1:68" x14ac:dyDescent="0.25">
      <c r="A1290" s="14">
        <f t="shared" ca="1" si="124"/>
        <v>-126.14810350076104</v>
      </c>
      <c r="C1290" s="17"/>
      <c r="D1290" t="str">
        <f>RTD("tos.rtd", , "OPEN_INT", "."&amp;Table1334567[[#This Row],[Ticker]]&amp;Table1334567[[#This Row],[Expiry]]&amp;""&amp;"C"&amp;Table1334567[[#This Row],[Spot]]+Table1334567[[#This Row],[step]])</f>
        <v>N/A</v>
      </c>
      <c r="E129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0" s="17" cm="1">
        <f t="array" aca="1" ref="H1290" ca="1">IndividualLegIVCore($A$4, Table1334567[[#This Row],[Strike]], 0.0411, Table1334567[[#This Row],[T]], ((Table1334567[[#This Row],[BIDC]]+Table1334567[[#This Row],[ASKC]])/2), TRUE)</f>
        <v>0.01</v>
      </c>
      <c r="I129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0" s="17"/>
      <c r="M1290" s="1">
        <f t="shared" si="125"/>
        <v>0</v>
      </c>
      <c r="N1290" t="b">
        <f t="shared" si="126"/>
        <v>0</v>
      </c>
      <c r="P1290" s="17" cm="1">
        <f t="array" aca="1" ref="P1290" ca="1">IndividualLegIVCore($A$4, Table1334567[[#This Row],[Strike]], 0.0411, Table1334567[[#This Row],[T]], ((Table1334567[[#This Row],[BIDP]]+Table1334567[[#This Row],[ASKP]])/2), FALSE)</f>
        <v>0.01</v>
      </c>
      <c r="Q129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0" s="17"/>
      <c r="T129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0" s="19">
        <f>-19* IF($M$1="NDX", 10, IF(OR($M$1="SPX", $M$1="RUT"), 2, 1))</f>
        <v>-38</v>
      </c>
      <c r="Z1290">
        <f ca="1">IFERROR(Table1334567[[#This Row],[call gamma]]*(Table1334567[[#This Row],[Open.Int]])*$A$4^2,0)</f>
        <v>0</v>
      </c>
      <c r="AA1290">
        <f ca="1">IFERROR(((Table1334567[[#This Row],[Open.Int8]])*Table1334567[[#This Row],[Put gamma]])*-1*$A$4^2,0)</f>
        <v>0</v>
      </c>
      <c r="AB1290">
        <f ca="1">(Table1334567[[#This Row],[Call Gex]]+Table1334567[[#This Row],[Put Gex]])</f>
        <v>0</v>
      </c>
      <c r="AC1290">
        <f ca="1">Table1334567[[#This Row],[put delta adj]]+Table1334567[[#This Row],[call delta adj]]</f>
        <v>0</v>
      </c>
      <c r="AD1290">
        <f ca="1">Table1334567[[#This Row],[Put Gex]]*Table1334567[[#This Row],[DeltaP]]*-1</f>
        <v>0</v>
      </c>
      <c r="AE1290">
        <f ca="1">Table1334567[[#This Row],[Call Gex]]*Table1334567[[#This Row],[DeltaC]]</f>
        <v>0</v>
      </c>
      <c r="AF1290">
        <f>IF(Table1334567[[#This Row],[DeltaC]]-ABS(Table1334567[[#This Row],[DeltaP]])="0","0.01",Table1334567[[#This Row],[DeltaC]]-ABS(Table1334567[[#This Row],[DeltaP]]))</f>
        <v>0</v>
      </c>
      <c r="AG129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0" t="e">
        <f ca="1">(EXP(-(AG1290^2)/2)/SQRT(2*PI())*EXP(0*SQRT(Table1334567[[#This Row],[T]]))/$A$4*18%*SQRT(SQRT(Table1334567[[#This Row],[T]])))</f>
        <v>#DIV/0!</v>
      </c>
      <c r="AJ1290" t="e">
        <f ca="1">(EXP(-(AH1290^2)/2)/SQRT(2*PI())*EXP(0*SQRT(Table1334567[[#This Row],[T]]))/$A$4*18%*SQRT(SQRT(Table1334567[[#This Row],[T]])))</f>
        <v>#DIV/0!</v>
      </c>
      <c r="AK1290" t="e">
        <f ca="1">Table1334567[[#This Row],[Call D1]]-Table1334567[[#This Row],[IV Calc C]]*SQRT(Table1334567[[#This Row],[T]])</f>
        <v>#DIV/0!</v>
      </c>
      <c r="AL1290" t="e">
        <f ca="1">Table1334567[[#This Row],[Put D1]]-Table1334567[[#This Row],[IV Calc P]]*SQRT(Table1334567[[#This Row],[T]])</f>
        <v>#DIV/0!</v>
      </c>
      <c r="AM1290" t="e">
        <f ca="1">EXP(-0.5*Table1334567[[#This Row],[Call D1]]^2)/SQRT(2*PI())</f>
        <v>#DIV/0!</v>
      </c>
      <c r="AN1290" t="e">
        <f ca="1">EXP(-0.5*Table1334567[[#This Row],[Put D1]]^2)/SQRT(2*PI())</f>
        <v>#DIV/0!</v>
      </c>
      <c r="AO129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0">
        <f ca="1">((Table1334567[[#This Row],[call vanna]]+Table1334567[[#This Row],[put vanna]])*$A$4)</f>
        <v>0</v>
      </c>
      <c r="AR129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0" s="9" t="str" cm="1">
        <f t="array" ref="AT1290">_xlfn.IFS(     $M$1="SPX","SPXW",     $M$1="RUT","RUTW",  $M$1="NDX","NDXP",   TRUE,$M$1 )</f>
        <v>SPXW</v>
      </c>
      <c r="AU1290" s="2">
        <f t="shared" si="127"/>
        <v>6915</v>
      </c>
      <c r="AV1290" t="str">
        <f t="shared" si="128"/>
        <v>000100</v>
      </c>
      <c r="AY129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0">
        <f>((Table1334567[[#This Row],[High C]]+Table1334567[[#This Row],[Low C]])/2)*Table1334567[[#This Row],[gammac]]*Table1334567[[#This Row],[Volume]]</f>
        <v>0</v>
      </c>
      <c r="BD1290">
        <f>((Table1334567[[#This Row],[High P]]+Table1334567[[#This Row],[Low P]])/2)*Table1334567[[#This Row],[gammap]]*Table1334567[[#This Row],[Volume9]]*-1</f>
        <v>0</v>
      </c>
      <c r="BE1290">
        <f>(Table1334567[[#This Row],[SgammaC]]+Table1334567[[#This Row],[SgammaP]])*$A$4*-100</f>
        <v>0</v>
      </c>
      <c r="BF1290">
        <f>Table1334567[[#This Row],[DEXc]]+Table1334567[[#This Row],[DEXp]]</f>
        <v>0</v>
      </c>
      <c r="BG1290">
        <f>IFERROR(Table1334567[[#This Row],[DeltaC]]*Table1334567[[#This Row],[Open.Int]]*$A$4,0)</f>
        <v>0</v>
      </c>
      <c r="BH1290">
        <f>IFERROR(Table1334567[[#This Row],[DeltaP]]*Table1334567[[#This Row],[Open.Int8]]*$A$4,0)</f>
        <v>0</v>
      </c>
      <c r="BI129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0">
        <f ca="1">Table1334567[[#This Row],[charmc]]+Table1334567[[#This Row],[charmp]]</f>
        <v>0</v>
      </c>
      <c r="BL129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0" s="78">
        <f ca="1">Table1334567[[#This Row],[call helper]]+Table1334567[[#This Row],[put helper]]</f>
        <v>0</v>
      </c>
      <c r="BP1290" t="str">
        <f>RTD("tos.rtd", , "STRIKE", "."&amp;Table1334567[[#This Row],[Ticker]]&amp;Table1334567[[#This Row],[Expiry]]&amp;""&amp;"C"&amp;Table1334567[[#This Row],[Spot]]+Table1334567[[#This Row],[step]])</f>
        <v>N/A</v>
      </c>
    </row>
    <row r="1291" spans="1:68" x14ac:dyDescent="0.25">
      <c r="A1291" s="14">
        <f t="shared" ca="1" si="124"/>
        <v>-126.14810350076104</v>
      </c>
      <c r="C1291" s="17"/>
      <c r="D1291" t="str">
        <f>RTD("tos.rtd", , "OPEN_INT", "."&amp;Table1334567[[#This Row],[Ticker]]&amp;Table1334567[[#This Row],[Expiry]]&amp;""&amp;"C"&amp;Table1334567[[#This Row],[Spot]]+Table1334567[[#This Row],[step]])</f>
        <v>N/A</v>
      </c>
      <c r="E129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1" s="17" cm="1">
        <f t="array" aca="1" ref="H1291" ca="1">IndividualLegIVCore($A$4, Table1334567[[#This Row],[Strike]], 0.0411, Table1334567[[#This Row],[T]], ((Table1334567[[#This Row],[BIDC]]+Table1334567[[#This Row],[ASKC]])/2), TRUE)</f>
        <v>0.01</v>
      </c>
      <c r="I129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1" s="17"/>
      <c r="M1291" s="1">
        <f t="shared" si="125"/>
        <v>0</v>
      </c>
      <c r="N1291" t="b">
        <f t="shared" si="126"/>
        <v>0</v>
      </c>
      <c r="P1291" s="17" cm="1">
        <f t="array" aca="1" ref="P1291" ca="1">IndividualLegIVCore($A$4, Table1334567[[#This Row],[Strike]], 0.0411, Table1334567[[#This Row],[T]], ((Table1334567[[#This Row],[BIDP]]+Table1334567[[#This Row],[ASKP]])/2), FALSE)</f>
        <v>0.01</v>
      </c>
      <c r="Q129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1" s="17"/>
      <c r="T129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1" s="19">
        <f>-18.5* IF($M$1="NDX", 10, IF(OR($M$1="SPX", $M$1="RUT"), 2, 1))</f>
        <v>-37</v>
      </c>
      <c r="Z1291">
        <f ca="1">IFERROR(Table1334567[[#This Row],[call gamma]]*(Table1334567[[#This Row],[Open.Int]])*$A$4^2,0)</f>
        <v>0</v>
      </c>
      <c r="AA1291">
        <f ca="1">IFERROR(((Table1334567[[#This Row],[Open.Int8]])*Table1334567[[#This Row],[Put gamma]])*-1*$A$4^2,0)</f>
        <v>0</v>
      </c>
      <c r="AB1291">
        <f ca="1">(Table1334567[[#This Row],[Call Gex]]+Table1334567[[#This Row],[Put Gex]])</f>
        <v>0</v>
      </c>
      <c r="AC1291">
        <f ca="1">Table1334567[[#This Row],[put delta adj]]+Table1334567[[#This Row],[call delta adj]]</f>
        <v>0</v>
      </c>
      <c r="AD1291">
        <f ca="1">Table1334567[[#This Row],[Put Gex]]*Table1334567[[#This Row],[DeltaP]]*-1</f>
        <v>0</v>
      </c>
      <c r="AE1291">
        <f ca="1">Table1334567[[#This Row],[Call Gex]]*Table1334567[[#This Row],[DeltaC]]</f>
        <v>0</v>
      </c>
      <c r="AF1291">
        <f>IF(Table1334567[[#This Row],[DeltaC]]-ABS(Table1334567[[#This Row],[DeltaP]])="0","0.01",Table1334567[[#This Row],[DeltaC]]-ABS(Table1334567[[#This Row],[DeltaP]]))</f>
        <v>0</v>
      </c>
      <c r="AG129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1" t="e">
        <f ca="1">(EXP(-(AG1291^2)/2)/SQRT(2*PI())*EXP(0*SQRT(Table1334567[[#This Row],[T]]))/$A$4*18%*SQRT(SQRT(Table1334567[[#This Row],[T]])))</f>
        <v>#DIV/0!</v>
      </c>
      <c r="AJ1291" t="e">
        <f ca="1">(EXP(-(AH1291^2)/2)/SQRT(2*PI())*EXP(0*SQRT(Table1334567[[#This Row],[T]]))/$A$4*18%*SQRT(SQRT(Table1334567[[#This Row],[T]])))</f>
        <v>#DIV/0!</v>
      </c>
      <c r="AK1291" t="e">
        <f ca="1">Table1334567[[#This Row],[Call D1]]-Table1334567[[#This Row],[IV Calc C]]*SQRT(Table1334567[[#This Row],[T]])</f>
        <v>#DIV/0!</v>
      </c>
      <c r="AL1291" t="e">
        <f ca="1">Table1334567[[#This Row],[Put D1]]-Table1334567[[#This Row],[IV Calc P]]*SQRT(Table1334567[[#This Row],[T]])</f>
        <v>#DIV/0!</v>
      </c>
      <c r="AM1291" t="e">
        <f ca="1">EXP(-0.5*Table1334567[[#This Row],[Call D1]]^2)/SQRT(2*PI())</f>
        <v>#DIV/0!</v>
      </c>
      <c r="AN1291" t="e">
        <f ca="1">EXP(-0.5*Table1334567[[#This Row],[Put D1]]^2)/SQRT(2*PI())</f>
        <v>#DIV/0!</v>
      </c>
      <c r="AO129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1">
        <f ca="1">((Table1334567[[#This Row],[call vanna]]+Table1334567[[#This Row],[put vanna]])*$A$4)</f>
        <v>0</v>
      </c>
      <c r="AR129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1" s="9" t="str" cm="1">
        <f t="array" ref="AT1291">_xlfn.IFS(     $M$1="SPX","SPXW",     $M$1="RUT","RUTW",  $M$1="NDX","NDXP",   TRUE,$M$1 )</f>
        <v>SPXW</v>
      </c>
      <c r="AU1291" s="2">
        <f t="shared" si="127"/>
        <v>6915</v>
      </c>
      <c r="AV1291" t="str">
        <f t="shared" si="128"/>
        <v>000100</v>
      </c>
      <c r="AY129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1">
        <f>((Table1334567[[#This Row],[High C]]+Table1334567[[#This Row],[Low C]])/2)*Table1334567[[#This Row],[gammac]]*Table1334567[[#This Row],[Volume]]</f>
        <v>0</v>
      </c>
      <c r="BD1291">
        <f>((Table1334567[[#This Row],[High P]]+Table1334567[[#This Row],[Low P]])/2)*Table1334567[[#This Row],[gammap]]*Table1334567[[#This Row],[Volume9]]*-1</f>
        <v>0</v>
      </c>
      <c r="BE1291">
        <f>(Table1334567[[#This Row],[SgammaC]]+Table1334567[[#This Row],[SgammaP]])*$A$4*-100</f>
        <v>0</v>
      </c>
      <c r="BF1291">
        <f>Table1334567[[#This Row],[DEXc]]+Table1334567[[#This Row],[DEXp]]</f>
        <v>0</v>
      </c>
      <c r="BG1291">
        <f>IFERROR(Table1334567[[#This Row],[DeltaC]]*Table1334567[[#This Row],[Open.Int]]*$A$4,0)</f>
        <v>0</v>
      </c>
      <c r="BH1291">
        <f>IFERROR(Table1334567[[#This Row],[DeltaP]]*Table1334567[[#This Row],[Open.Int8]]*$A$4,0)</f>
        <v>0</v>
      </c>
      <c r="BI129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1">
        <f ca="1">Table1334567[[#This Row],[charmc]]+Table1334567[[#This Row],[charmp]]</f>
        <v>0</v>
      </c>
      <c r="BL129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1" s="78">
        <f ca="1">Table1334567[[#This Row],[call helper]]+Table1334567[[#This Row],[put helper]]</f>
        <v>0</v>
      </c>
      <c r="BP1291" t="str">
        <f>RTD("tos.rtd", , "STRIKE", "."&amp;Table1334567[[#This Row],[Ticker]]&amp;Table1334567[[#This Row],[Expiry]]&amp;""&amp;"C"&amp;Table1334567[[#This Row],[Spot]]+Table1334567[[#This Row],[step]])</f>
        <v>N/A</v>
      </c>
    </row>
    <row r="1292" spans="1:68" x14ac:dyDescent="0.25">
      <c r="A1292" s="14">
        <f t="shared" ref="A1292:A1355" ca="1" si="129">$U$3</f>
        <v>-126.14810350076104</v>
      </c>
      <c r="C1292" s="17"/>
      <c r="D1292" t="str">
        <f>RTD("tos.rtd", , "OPEN_INT", "."&amp;Table1334567[[#This Row],[Ticker]]&amp;Table1334567[[#This Row],[Expiry]]&amp;""&amp;"C"&amp;Table1334567[[#This Row],[Spot]]+Table1334567[[#This Row],[step]])</f>
        <v>N/A</v>
      </c>
      <c r="E129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2" s="17" cm="1">
        <f t="array" aca="1" ref="H1292" ca="1">IndividualLegIVCore($A$4, Table1334567[[#This Row],[Strike]], 0.0411, Table1334567[[#This Row],[T]], ((Table1334567[[#This Row],[BIDC]]+Table1334567[[#This Row],[ASKC]])/2), TRUE)</f>
        <v>0.01</v>
      </c>
      <c r="I129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2" s="17"/>
      <c r="M1292" s="1">
        <f t="shared" ref="M1292:M1355" si="130">$U$1</f>
        <v>0</v>
      </c>
      <c r="N1292" t="b">
        <f t="shared" ref="N1292:N1355" si="131">IF(ISNUMBER($BP1292), $BP1292, FALSE)</f>
        <v>0</v>
      </c>
      <c r="P1292" s="17" cm="1">
        <f t="array" aca="1" ref="P1292" ca="1">IndividualLegIVCore($A$4, Table1334567[[#This Row],[Strike]], 0.0411, Table1334567[[#This Row],[T]], ((Table1334567[[#This Row],[BIDP]]+Table1334567[[#This Row],[ASKP]])/2), FALSE)</f>
        <v>0.01</v>
      </c>
      <c r="Q129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2" s="17"/>
      <c r="T129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2" s="19">
        <f>-18* IF($M$1="NDX", 10, IF(OR($M$1="SPX", $M$1="RUT"), 2, 1))</f>
        <v>-36</v>
      </c>
      <c r="Z1292">
        <f ca="1">IFERROR(Table1334567[[#This Row],[call gamma]]*(Table1334567[[#This Row],[Open.Int]])*$A$4^2,0)</f>
        <v>0</v>
      </c>
      <c r="AA1292">
        <f ca="1">IFERROR(((Table1334567[[#This Row],[Open.Int8]])*Table1334567[[#This Row],[Put gamma]])*-1*$A$4^2,0)</f>
        <v>0</v>
      </c>
      <c r="AB1292">
        <f ca="1">(Table1334567[[#This Row],[Call Gex]]+Table1334567[[#This Row],[Put Gex]])</f>
        <v>0</v>
      </c>
      <c r="AC1292">
        <f ca="1">Table1334567[[#This Row],[put delta adj]]+Table1334567[[#This Row],[call delta adj]]</f>
        <v>0</v>
      </c>
      <c r="AD1292">
        <f ca="1">Table1334567[[#This Row],[Put Gex]]*Table1334567[[#This Row],[DeltaP]]*-1</f>
        <v>0</v>
      </c>
      <c r="AE1292">
        <f ca="1">Table1334567[[#This Row],[Call Gex]]*Table1334567[[#This Row],[DeltaC]]</f>
        <v>0</v>
      </c>
      <c r="AF1292">
        <f>IF(Table1334567[[#This Row],[DeltaC]]-ABS(Table1334567[[#This Row],[DeltaP]])="0","0.01",Table1334567[[#This Row],[DeltaC]]-ABS(Table1334567[[#This Row],[DeltaP]]))</f>
        <v>0</v>
      </c>
      <c r="AG129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2" t="e">
        <f ca="1">(EXP(-(AG1292^2)/2)/SQRT(2*PI())*EXP(0*SQRT(Table1334567[[#This Row],[T]]))/$A$4*18%*SQRT(SQRT(Table1334567[[#This Row],[T]])))</f>
        <v>#DIV/0!</v>
      </c>
      <c r="AJ1292" t="e">
        <f ca="1">(EXP(-(AH1292^2)/2)/SQRT(2*PI())*EXP(0*SQRT(Table1334567[[#This Row],[T]]))/$A$4*18%*SQRT(SQRT(Table1334567[[#This Row],[T]])))</f>
        <v>#DIV/0!</v>
      </c>
      <c r="AK1292" t="e">
        <f ca="1">Table1334567[[#This Row],[Call D1]]-Table1334567[[#This Row],[IV Calc C]]*SQRT(Table1334567[[#This Row],[T]])</f>
        <v>#DIV/0!</v>
      </c>
      <c r="AL1292" t="e">
        <f ca="1">Table1334567[[#This Row],[Put D1]]-Table1334567[[#This Row],[IV Calc P]]*SQRT(Table1334567[[#This Row],[T]])</f>
        <v>#DIV/0!</v>
      </c>
      <c r="AM1292" t="e">
        <f ca="1">EXP(-0.5*Table1334567[[#This Row],[Call D1]]^2)/SQRT(2*PI())</f>
        <v>#DIV/0!</v>
      </c>
      <c r="AN1292" t="e">
        <f ca="1">EXP(-0.5*Table1334567[[#This Row],[Put D1]]^2)/SQRT(2*PI())</f>
        <v>#DIV/0!</v>
      </c>
      <c r="AO129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2">
        <f ca="1">((Table1334567[[#This Row],[call vanna]]+Table1334567[[#This Row],[put vanna]])*$A$4)</f>
        <v>0</v>
      </c>
      <c r="AR129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2" s="9" t="str" cm="1">
        <f t="array" ref="AT1292">_xlfn.IFS(     $M$1="SPX","SPXW",     $M$1="RUT","RUTW",  $M$1="NDX","NDXP",   TRUE,$M$1 )</f>
        <v>SPXW</v>
      </c>
      <c r="AU1292" s="2">
        <f t="shared" ref="AU1292:AU1355" si="132">$N$1</f>
        <v>6915</v>
      </c>
      <c r="AV1292" t="str">
        <f t="shared" ref="AV1292:AV1355" si="133">$U$2</f>
        <v>000100</v>
      </c>
      <c r="AY129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2">
        <f>((Table1334567[[#This Row],[High C]]+Table1334567[[#This Row],[Low C]])/2)*Table1334567[[#This Row],[gammac]]*Table1334567[[#This Row],[Volume]]</f>
        <v>0</v>
      </c>
      <c r="BD1292">
        <f>((Table1334567[[#This Row],[High P]]+Table1334567[[#This Row],[Low P]])/2)*Table1334567[[#This Row],[gammap]]*Table1334567[[#This Row],[Volume9]]*-1</f>
        <v>0</v>
      </c>
      <c r="BE1292">
        <f>(Table1334567[[#This Row],[SgammaC]]+Table1334567[[#This Row],[SgammaP]])*$A$4*-100</f>
        <v>0</v>
      </c>
      <c r="BF1292">
        <f>Table1334567[[#This Row],[DEXc]]+Table1334567[[#This Row],[DEXp]]</f>
        <v>0</v>
      </c>
      <c r="BG1292">
        <f>IFERROR(Table1334567[[#This Row],[DeltaC]]*Table1334567[[#This Row],[Open.Int]]*$A$4,0)</f>
        <v>0</v>
      </c>
      <c r="BH1292">
        <f>IFERROR(Table1334567[[#This Row],[DeltaP]]*Table1334567[[#This Row],[Open.Int8]]*$A$4,0)</f>
        <v>0</v>
      </c>
      <c r="BI129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2">
        <f ca="1">Table1334567[[#This Row],[charmc]]+Table1334567[[#This Row],[charmp]]</f>
        <v>0</v>
      </c>
      <c r="BL129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2" s="78">
        <f ca="1">Table1334567[[#This Row],[call helper]]+Table1334567[[#This Row],[put helper]]</f>
        <v>0</v>
      </c>
      <c r="BP1292" t="str">
        <f>RTD("tos.rtd", , "STRIKE", "."&amp;Table1334567[[#This Row],[Ticker]]&amp;Table1334567[[#This Row],[Expiry]]&amp;""&amp;"C"&amp;Table1334567[[#This Row],[Spot]]+Table1334567[[#This Row],[step]])</f>
        <v>N/A</v>
      </c>
    </row>
    <row r="1293" spans="1:68" x14ac:dyDescent="0.25">
      <c r="A1293" s="14">
        <f t="shared" ca="1" si="129"/>
        <v>-126.14810350076104</v>
      </c>
      <c r="C1293" s="17"/>
      <c r="D1293" t="str">
        <f>RTD("tos.rtd", , "OPEN_INT", "."&amp;Table1334567[[#This Row],[Ticker]]&amp;Table1334567[[#This Row],[Expiry]]&amp;""&amp;"C"&amp;Table1334567[[#This Row],[Spot]]+Table1334567[[#This Row],[step]])</f>
        <v>N/A</v>
      </c>
      <c r="E129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3" s="17" cm="1">
        <f t="array" aca="1" ref="H1293" ca="1">IndividualLegIVCore($A$4, Table1334567[[#This Row],[Strike]], 0.0411, Table1334567[[#This Row],[T]], ((Table1334567[[#This Row],[BIDC]]+Table1334567[[#This Row],[ASKC]])/2), TRUE)</f>
        <v>0.01</v>
      </c>
      <c r="I129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3" s="17"/>
      <c r="M1293" s="1">
        <f t="shared" si="130"/>
        <v>0</v>
      </c>
      <c r="N1293" t="b">
        <f t="shared" si="131"/>
        <v>0</v>
      </c>
      <c r="P1293" s="17" cm="1">
        <f t="array" aca="1" ref="P1293" ca="1">IndividualLegIVCore($A$4, Table1334567[[#This Row],[Strike]], 0.0411, Table1334567[[#This Row],[T]], ((Table1334567[[#This Row],[BIDP]]+Table1334567[[#This Row],[ASKP]])/2), FALSE)</f>
        <v>0.01</v>
      </c>
      <c r="Q129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3" s="17"/>
      <c r="T129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3" s="19">
        <f>-17.5* IF($M$1="NDX", 10, IF(OR($M$1="SPX", $M$1="RUT"), 2, 1))</f>
        <v>-35</v>
      </c>
      <c r="Z1293">
        <f ca="1">IFERROR(Table1334567[[#This Row],[call gamma]]*(Table1334567[[#This Row],[Open.Int]])*$A$4^2,0)</f>
        <v>0</v>
      </c>
      <c r="AA1293">
        <f ca="1">IFERROR(((Table1334567[[#This Row],[Open.Int8]])*Table1334567[[#This Row],[Put gamma]])*-1*$A$4^2,0)</f>
        <v>0</v>
      </c>
      <c r="AB1293">
        <f ca="1">(Table1334567[[#This Row],[Call Gex]]+Table1334567[[#This Row],[Put Gex]])</f>
        <v>0</v>
      </c>
      <c r="AC1293">
        <f ca="1">Table1334567[[#This Row],[put delta adj]]+Table1334567[[#This Row],[call delta adj]]</f>
        <v>0</v>
      </c>
      <c r="AD1293">
        <f ca="1">Table1334567[[#This Row],[Put Gex]]*Table1334567[[#This Row],[DeltaP]]*-1</f>
        <v>0</v>
      </c>
      <c r="AE1293">
        <f ca="1">Table1334567[[#This Row],[Call Gex]]*Table1334567[[#This Row],[DeltaC]]</f>
        <v>0</v>
      </c>
      <c r="AF1293">
        <f>IF(Table1334567[[#This Row],[DeltaC]]-ABS(Table1334567[[#This Row],[DeltaP]])="0","0.01",Table1334567[[#This Row],[DeltaC]]-ABS(Table1334567[[#This Row],[DeltaP]]))</f>
        <v>0</v>
      </c>
      <c r="AG129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3" t="e">
        <f ca="1">(EXP(-(AG1293^2)/2)/SQRT(2*PI())*EXP(0*SQRT(Table1334567[[#This Row],[T]]))/$A$4*18%*SQRT(SQRT(Table1334567[[#This Row],[T]])))</f>
        <v>#DIV/0!</v>
      </c>
      <c r="AJ1293" t="e">
        <f ca="1">(EXP(-(AH1293^2)/2)/SQRT(2*PI())*EXP(0*SQRT(Table1334567[[#This Row],[T]]))/$A$4*18%*SQRT(SQRT(Table1334567[[#This Row],[T]])))</f>
        <v>#DIV/0!</v>
      </c>
      <c r="AK1293" t="e">
        <f ca="1">Table1334567[[#This Row],[Call D1]]-Table1334567[[#This Row],[IV Calc C]]*SQRT(Table1334567[[#This Row],[T]])</f>
        <v>#DIV/0!</v>
      </c>
      <c r="AL1293" t="e">
        <f ca="1">Table1334567[[#This Row],[Put D1]]-Table1334567[[#This Row],[IV Calc P]]*SQRT(Table1334567[[#This Row],[T]])</f>
        <v>#DIV/0!</v>
      </c>
      <c r="AM1293" t="e">
        <f ca="1">EXP(-0.5*Table1334567[[#This Row],[Call D1]]^2)/SQRT(2*PI())</f>
        <v>#DIV/0!</v>
      </c>
      <c r="AN1293" t="e">
        <f ca="1">EXP(-0.5*Table1334567[[#This Row],[Put D1]]^2)/SQRT(2*PI())</f>
        <v>#DIV/0!</v>
      </c>
      <c r="AO129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3">
        <f ca="1">((Table1334567[[#This Row],[call vanna]]+Table1334567[[#This Row],[put vanna]])*$A$4)</f>
        <v>0</v>
      </c>
      <c r="AR129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3" s="9" t="str" cm="1">
        <f t="array" ref="AT1293">_xlfn.IFS(     $M$1="SPX","SPXW",     $M$1="RUT","RUTW",  $M$1="NDX","NDXP",   TRUE,$M$1 )</f>
        <v>SPXW</v>
      </c>
      <c r="AU1293" s="2">
        <f t="shared" si="132"/>
        <v>6915</v>
      </c>
      <c r="AV1293" t="str">
        <f t="shared" si="133"/>
        <v>000100</v>
      </c>
      <c r="AY129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3">
        <f>((Table1334567[[#This Row],[High C]]+Table1334567[[#This Row],[Low C]])/2)*Table1334567[[#This Row],[gammac]]*Table1334567[[#This Row],[Volume]]</f>
        <v>0</v>
      </c>
      <c r="BD1293">
        <f>((Table1334567[[#This Row],[High P]]+Table1334567[[#This Row],[Low P]])/2)*Table1334567[[#This Row],[gammap]]*Table1334567[[#This Row],[Volume9]]*-1</f>
        <v>0</v>
      </c>
      <c r="BE1293">
        <f>(Table1334567[[#This Row],[SgammaC]]+Table1334567[[#This Row],[SgammaP]])*$A$4*-100</f>
        <v>0</v>
      </c>
      <c r="BF1293">
        <f>Table1334567[[#This Row],[DEXc]]+Table1334567[[#This Row],[DEXp]]</f>
        <v>0</v>
      </c>
      <c r="BG1293">
        <f>IFERROR(Table1334567[[#This Row],[DeltaC]]*Table1334567[[#This Row],[Open.Int]]*$A$4,0)</f>
        <v>0</v>
      </c>
      <c r="BH1293">
        <f>IFERROR(Table1334567[[#This Row],[DeltaP]]*Table1334567[[#This Row],[Open.Int8]]*$A$4,0)</f>
        <v>0</v>
      </c>
      <c r="BI129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3">
        <f ca="1">Table1334567[[#This Row],[charmc]]+Table1334567[[#This Row],[charmp]]</f>
        <v>0</v>
      </c>
      <c r="BL129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3" s="78">
        <f ca="1">Table1334567[[#This Row],[call helper]]+Table1334567[[#This Row],[put helper]]</f>
        <v>0</v>
      </c>
      <c r="BP1293" t="str">
        <f>RTD("tos.rtd", , "STRIKE", "."&amp;Table1334567[[#This Row],[Ticker]]&amp;Table1334567[[#This Row],[Expiry]]&amp;""&amp;"C"&amp;Table1334567[[#This Row],[Spot]]+Table1334567[[#This Row],[step]])</f>
        <v>N/A</v>
      </c>
    </row>
    <row r="1294" spans="1:68" x14ac:dyDescent="0.25">
      <c r="A1294" s="14">
        <f t="shared" ca="1" si="129"/>
        <v>-126.14810350076104</v>
      </c>
      <c r="C1294" s="17"/>
      <c r="D1294" t="str">
        <f>RTD("tos.rtd", , "OPEN_INT", "."&amp;Table1334567[[#This Row],[Ticker]]&amp;Table1334567[[#This Row],[Expiry]]&amp;""&amp;"C"&amp;Table1334567[[#This Row],[Spot]]+Table1334567[[#This Row],[step]])</f>
        <v>N/A</v>
      </c>
      <c r="E129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4" s="17" cm="1">
        <f t="array" aca="1" ref="H1294" ca="1">IndividualLegIVCore($A$4, Table1334567[[#This Row],[Strike]], 0.0411, Table1334567[[#This Row],[T]], ((Table1334567[[#This Row],[BIDC]]+Table1334567[[#This Row],[ASKC]])/2), TRUE)</f>
        <v>0.01</v>
      </c>
      <c r="I129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4" s="17"/>
      <c r="M1294" s="1">
        <f t="shared" si="130"/>
        <v>0</v>
      </c>
      <c r="N1294" t="b">
        <f t="shared" si="131"/>
        <v>0</v>
      </c>
      <c r="P1294" s="17" cm="1">
        <f t="array" aca="1" ref="P1294" ca="1">IndividualLegIVCore($A$4, Table1334567[[#This Row],[Strike]], 0.0411, Table1334567[[#This Row],[T]], ((Table1334567[[#This Row],[BIDP]]+Table1334567[[#This Row],[ASKP]])/2), FALSE)</f>
        <v>0.01</v>
      </c>
      <c r="Q129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4" s="17"/>
      <c r="T129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4" s="19">
        <f>-17* IF($M$1="NDX", 10, IF(OR($M$1="SPX", $M$1="RUT"), 2, 1))</f>
        <v>-34</v>
      </c>
      <c r="Z1294">
        <f ca="1">IFERROR(Table1334567[[#This Row],[call gamma]]*(Table1334567[[#This Row],[Open.Int]])*$A$4^2,0)</f>
        <v>0</v>
      </c>
      <c r="AA1294">
        <f ca="1">IFERROR(((Table1334567[[#This Row],[Open.Int8]])*Table1334567[[#This Row],[Put gamma]])*-1*$A$4^2,0)</f>
        <v>0</v>
      </c>
      <c r="AB1294">
        <f ca="1">(Table1334567[[#This Row],[Call Gex]]+Table1334567[[#This Row],[Put Gex]])</f>
        <v>0</v>
      </c>
      <c r="AC1294">
        <f ca="1">Table1334567[[#This Row],[put delta adj]]+Table1334567[[#This Row],[call delta adj]]</f>
        <v>0</v>
      </c>
      <c r="AD1294">
        <f ca="1">Table1334567[[#This Row],[Put Gex]]*Table1334567[[#This Row],[DeltaP]]*-1</f>
        <v>0</v>
      </c>
      <c r="AE1294">
        <f ca="1">Table1334567[[#This Row],[Call Gex]]*Table1334567[[#This Row],[DeltaC]]</f>
        <v>0</v>
      </c>
      <c r="AF1294">
        <f>IF(Table1334567[[#This Row],[DeltaC]]-ABS(Table1334567[[#This Row],[DeltaP]])="0","0.01",Table1334567[[#This Row],[DeltaC]]-ABS(Table1334567[[#This Row],[DeltaP]]))</f>
        <v>0</v>
      </c>
      <c r="AG129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4" t="e">
        <f ca="1">(EXP(-(AG1294^2)/2)/SQRT(2*PI())*EXP(0*SQRT(Table1334567[[#This Row],[T]]))/$A$4*18%*SQRT(SQRT(Table1334567[[#This Row],[T]])))</f>
        <v>#DIV/0!</v>
      </c>
      <c r="AJ1294" t="e">
        <f ca="1">(EXP(-(AH1294^2)/2)/SQRT(2*PI())*EXP(0*SQRT(Table1334567[[#This Row],[T]]))/$A$4*18%*SQRT(SQRT(Table1334567[[#This Row],[T]])))</f>
        <v>#DIV/0!</v>
      </c>
      <c r="AK1294" t="e">
        <f ca="1">Table1334567[[#This Row],[Call D1]]-Table1334567[[#This Row],[IV Calc C]]*SQRT(Table1334567[[#This Row],[T]])</f>
        <v>#DIV/0!</v>
      </c>
      <c r="AL1294" t="e">
        <f ca="1">Table1334567[[#This Row],[Put D1]]-Table1334567[[#This Row],[IV Calc P]]*SQRT(Table1334567[[#This Row],[T]])</f>
        <v>#DIV/0!</v>
      </c>
      <c r="AM1294" t="e">
        <f ca="1">EXP(-0.5*Table1334567[[#This Row],[Call D1]]^2)/SQRT(2*PI())</f>
        <v>#DIV/0!</v>
      </c>
      <c r="AN1294" t="e">
        <f ca="1">EXP(-0.5*Table1334567[[#This Row],[Put D1]]^2)/SQRT(2*PI())</f>
        <v>#DIV/0!</v>
      </c>
      <c r="AO129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4">
        <f ca="1">((Table1334567[[#This Row],[call vanna]]+Table1334567[[#This Row],[put vanna]])*$A$4)</f>
        <v>0</v>
      </c>
      <c r="AR129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4" s="9" t="str" cm="1">
        <f t="array" ref="AT1294">_xlfn.IFS(     $M$1="SPX","SPXW",     $M$1="RUT","RUTW",  $M$1="NDX","NDXP",   TRUE,$M$1 )</f>
        <v>SPXW</v>
      </c>
      <c r="AU1294" s="2">
        <f t="shared" si="132"/>
        <v>6915</v>
      </c>
      <c r="AV1294" t="str">
        <f t="shared" si="133"/>
        <v>000100</v>
      </c>
      <c r="AY129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4">
        <f>((Table1334567[[#This Row],[High C]]+Table1334567[[#This Row],[Low C]])/2)*Table1334567[[#This Row],[gammac]]*Table1334567[[#This Row],[Volume]]</f>
        <v>0</v>
      </c>
      <c r="BD1294">
        <f>((Table1334567[[#This Row],[High P]]+Table1334567[[#This Row],[Low P]])/2)*Table1334567[[#This Row],[gammap]]*Table1334567[[#This Row],[Volume9]]*-1</f>
        <v>0</v>
      </c>
      <c r="BE1294">
        <f>(Table1334567[[#This Row],[SgammaC]]+Table1334567[[#This Row],[SgammaP]])*$A$4*-100</f>
        <v>0</v>
      </c>
      <c r="BF1294">
        <f>Table1334567[[#This Row],[DEXc]]+Table1334567[[#This Row],[DEXp]]</f>
        <v>0</v>
      </c>
      <c r="BG1294">
        <f>IFERROR(Table1334567[[#This Row],[DeltaC]]*Table1334567[[#This Row],[Open.Int]]*$A$4,0)</f>
        <v>0</v>
      </c>
      <c r="BH1294">
        <f>IFERROR(Table1334567[[#This Row],[DeltaP]]*Table1334567[[#This Row],[Open.Int8]]*$A$4,0)</f>
        <v>0</v>
      </c>
      <c r="BI129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4">
        <f ca="1">Table1334567[[#This Row],[charmc]]+Table1334567[[#This Row],[charmp]]</f>
        <v>0</v>
      </c>
      <c r="BL129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4" s="78">
        <f ca="1">Table1334567[[#This Row],[call helper]]+Table1334567[[#This Row],[put helper]]</f>
        <v>0</v>
      </c>
      <c r="BP1294" t="str">
        <f>RTD("tos.rtd", , "STRIKE", "."&amp;Table1334567[[#This Row],[Ticker]]&amp;Table1334567[[#This Row],[Expiry]]&amp;""&amp;"C"&amp;Table1334567[[#This Row],[Spot]]+Table1334567[[#This Row],[step]])</f>
        <v>N/A</v>
      </c>
    </row>
    <row r="1295" spans="1:68" x14ac:dyDescent="0.25">
      <c r="A1295" s="14">
        <f t="shared" ca="1" si="129"/>
        <v>-126.14810350076104</v>
      </c>
      <c r="C1295" s="17"/>
      <c r="D1295" t="str">
        <f>RTD("tos.rtd", , "OPEN_INT", "."&amp;Table1334567[[#This Row],[Ticker]]&amp;Table1334567[[#This Row],[Expiry]]&amp;""&amp;"C"&amp;Table1334567[[#This Row],[Spot]]+Table1334567[[#This Row],[step]])</f>
        <v>N/A</v>
      </c>
      <c r="E129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5" s="17" cm="1">
        <f t="array" aca="1" ref="H1295" ca="1">IndividualLegIVCore($A$4, Table1334567[[#This Row],[Strike]], 0.0411, Table1334567[[#This Row],[T]], ((Table1334567[[#This Row],[BIDC]]+Table1334567[[#This Row],[ASKC]])/2), TRUE)</f>
        <v>0.01</v>
      </c>
      <c r="I129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5" s="17"/>
      <c r="M1295" s="1">
        <f t="shared" si="130"/>
        <v>0</v>
      </c>
      <c r="N1295" t="b">
        <f t="shared" si="131"/>
        <v>0</v>
      </c>
      <c r="P1295" s="17" cm="1">
        <f t="array" aca="1" ref="P1295" ca="1">IndividualLegIVCore($A$4, Table1334567[[#This Row],[Strike]], 0.0411, Table1334567[[#This Row],[T]], ((Table1334567[[#This Row],[BIDP]]+Table1334567[[#This Row],[ASKP]])/2), FALSE)</f>
        <v>0.01</v>
      </c>
      <c r="Q129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5" s="17"/>
      <c r="T129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5" s="19">
        <f>-16.5* IF($M$1="NDX", 10, IF(OR($M$1="SPX", $M$1="RUT"), 2, 1))</f>
        <v>-33</v>
      </c>
      <c r="Z1295">
        <f ca="1">IFERROR(Table1334567[[#This Row],[call gamma]]*(Table1334567[[#This Row],[Open.Int]])*$A$4^2,0)</f>
        <v>0</v>
      </c>
      <c r="AA1295">
        <f ca="1">IFERROR(((Table1334567[[#This Row],[Open.Int8]])*Table1334567[[#This Row],[Put gamma]])*-1*$A$4^2,0)</f>
        <v>0</v>
      </c>
      <c r="AB1295">
        <f ca="1">(Table1334567[[#This Row],[Call Gex]]+Table1334567[[#This Row],[Put Gex]])</f>
        <v>0</v>
      </c>
      <c r="AC1295">
        <f ca="1">Table1334567[[#This Row],[put delta adj]]+Table1334567[[#This Row],[call delta adj]]</f>
        <v>0</v>
      </c>
      <c r="AD1295">
        <f ca="1">Table1334567[[#This Row],[Put Gex]]*Table1334567[[#This Row],[DeltaP]]*-1</f>
        <v>0</v>
      </c>
      <c r="AE1295">
        <f ca="1">Table1334567[[#This Row],[Call Gex]]*Table1334567[[#This Row],[DeltaC]]</f>
        <v>0</v>
      </c>
      <c r="AF1295">
        <f>IF(Table1334567[[#This Row],[DeltaC]]-ABS(Table1334567[[#This Row],[DeltaP]])="0","0.01",Table1334567[[#This Row],[DeltaC]]-ABS(Table1334567[[#This Row],[DeltaP]]))</f>
        <v>0</v>
      </c>
      <c r="AG129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5" t="e">
        <f ca="1">(EXP(-(AG1295^2)/2)/SQRT(2*PI())*EXP(0*SQRT(Table1334567[[#This Row],[T]]))/$A$4*18%*SQRT(SQRT(Table1334567[[#This Row],[T]])))</f>
        <v>#DIV/0!</v>
      </c>
      <c r="AJ1295" t="e">
        <f ca="1">(EXP(-(AH1295^2)/2)/SQRT(2*PI())*EXP(0*SQRT(Table1334567[[#This Row],[T]]))/$A$4*18%*SQRT(SQRT(Table1334567[[#This Row],[T]])))</f>
        <v>#DIV/0!</v>
      </c>
      <c r="AK1295" t="e">
        <f ca="1">Table1334567[[#This Row],[Call D1]]-Table1334567[[#This Row],[IV Calc C]]*SQRT(Table1334567[[#This Row],[T]])</f>
        <v>#DIV/0!</v>
      </c>
      <c r="AL1295" t="e">
        <f ca="1">Table1334567[[#This Row],[Put D1]]-Table1334567[[#This Row],[IV Calc P]]*SQRT(Table1334567[[#This Row],[T]])</f>
        <v>#DIV/0!</v>
      </c>
      <c r="AM1295" t="e">
        <f ca="1">EXP(-0.5*Table1334567[[#This Row],[Call D1]]^2)/SQRT(2*PI())</f>
        <v>#DIV/0!</v>
      </c>
      <c r="AN1295" t="e">
        <f ca="1">EXP(-0.5*Table1334567[[#This Row],[Put D1]]^2)/SQRT(2*PI())</f>
        <v>#DIV/0!</v>
      </c>
      <c r="AO129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5">
        <f ca="1">((Table1334567[[#This Row],[call vanna]]+Table1334567[[#This Row],[put vanna]])*$A$4)</f>
        <v>0</v>
      </c>
      <c r="AR129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5" s="9" t="str" cm="1">
        <f t="array" ref="AT1295">_xlfn.IFS(     $M$1="SPX","SPXW",     $M$1="RUT","RUTW",  $M$1="NDX","NDXP",   TRUE,$M$1 )</f>
        <v>SPXW</v>
      </c>
      <c r="AU1295" s="2">
        <f t="shared" si="132"/>
        <v>6915</v>
      </c>
      <c r="AV1295" t="str">
        <f t="shared" si="133"/>
        <v>000100</v>
      </c>
      <c r="AY129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5">
        <f>((Table1334567[[#This Row],[High C]]+Table1334567[[#This Row],[Low C]])/2)*Table1334567[[#This Row],[gammac]]*Table1334567[[#This Row],[Volume]]</f>
        <v>0</v>
      </c>
      <c r="BD1295">
        <f>((Table1334567[[#This Row],[High P]]+Table1334567[[#This Row],[Low P]])/2)*Table1334567[[#This Row],[gammap]]*Table1334567[[#This Row],[Volume9]]*-1</f>
        <v>0</v>
      </c>
      <c r="BE1295">
        <f>(Table1334567[[#This Row],[SgammaC]]+Table1334567[[#This Row],[SgammaP]])*$A$4*-100</f>
        <v>0</v>
      </c>
      <c r="BF1295">
        <f>Table1334567[[#This Row],[DEXc]]+Table1334567[[#This Row],[DEXp]]</f>
        <v>0</v>
      </c>
      <c r="BG1295">
        <f>IFERROR(Table1334567[[#This Row],[DeltaC]]*Table1334567[[#This Row],[Open.Int]]*$A$4,0)</f>
        <v>0</v>
      </c>
      <c r="BH1295">
        <f>IFERROR(Table1334567[[#This Row],[DeltaP]]*Table1334567[[#This Row],[Open.Int8]]*$A$4,0)</f>
        <v>0</v>
      </c>
      <c r="BI129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5">
        <f ca="1">Table1334567[[#This Row],[charmc]]+Table1334567[[#This Row],[charmp]]</f>
        <v>0</v>
      </c>
      <c r="BL129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5" s="78">
        <f ca="1">Table1334567[[#This Row],[call helper]]+Table1334567[[#This Row],[put helper]]</f>
        <v>0</v>
      </c>
      <c r="BP1295" t="str">
        <f>RTD("tos.rtd", , "STRIKE", "."&amp;Table1334567[[#This Row],[Ticker]]&amp;Table1334567[[#This Row],[Expiry]]&amp;""&amp;"C"&amp;Table1334567[[#This Row],[Spot]]+Table1334567[[#This Row],[step]])</f>
        <v>N/A</v>
      </c>
    </row>
    <row r="1296" spans="1:68" x14ac:dyDescent="0.25">
      <c r="A1296" s="14">
        <f t="shared" ca="1" si="129"/>
        <v>-126.14810350076104</v>
      </c>
      <c r="C1296" s="17"/>
      <c r="D1296" t="str">
        <f>RTD("tos.rtd", , "OPEN_INT", "."&amp;Table1334567[[#This Row],[Ticker]]&amp;Table1334567[[#This Row],[Expiry]]&amp;""&amp;"C"&amp;Table1334567[[#This Row],[Spot]]+Table1334567[[#This Row],[step]])</f>
        <v>N/A</v>
      </c>
      <c r="E129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6" s="17" cm="1">
        <f t="array" aca="1" ref="H1296" ca="1">IndividualLegIVCore($A$4, Table1334567[[#This Row],[Strike]], 0.0411, Table1334567[[#This Row],[T]], ((Table1334567[[#This Row],[BIDC]]+Table1334567[[#This Row],[ASKC]])/2), TRUE)</f>
        <v>0.01</v>
      </c>
      <c r="I129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6" s="17"/>
      <c r="M1296" s="1">
        <f t="shared" si="130"/>
        <v>0</v>
      </c>
      <c r="N1296" t="b">
        <f t="shared" si="131"/>
        <v>0</v>
      </c>
      <c r="P1296" s="17" cm="1">
        <f t="array" aca="1" ref="P1296" ca="1">IndividualLegIVCore($A$4, Table1334567[[#This Row],[Strike]], 0.0411, Table1334567[[#This Row],[T]], ((Table1334567[[#This Row],[BIDP]]+Table1334567[[#This Row],[ASKP]])/2), FALSE)</f>
        <v>0.01</v>
      </c>
      <c r="Q129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6" s="17"/>
      <c r="T129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6" s="19">
        <f>-16* IF($M$1="NDX", 10, IF(OR($M$1="SPX", $M$1="RUT"), 2, 1))</f>
        <v>-32</v>
      </c>
      <c r="Z1296">
        <f ca="1">IFERROR(Table1334567[[#This Row],[call gamma]]*(Table1334567[[#This Row],[Open.Int]])*$A$4^2,0)</f>
        <v>0</v>
      </c>
      <c r="AA1296">
        <f ca="1">IFERROR(((Table1334567[[#This Row],[Open.Int8]])*Table1334567[[#This Row],[Put gamma]])*-1*$A$4^2,0)</f>
        <v>0</v>
      </c>
      <c r="AB1296">
        <f ca="1">(Table1334567[[#This Row],[Call Gex]]+Table1334567[[#This Row],[Put Gex]])</f>
        <v>0</v>
      </c>
      <c r="AC1296">
        <f ca="1">Table1334567[[#This Row],[put delta adj]]+Table1334567[[#This Row],[call delta adj]]</f>
        <v>0</v>
      </c>
      <c r="AD1296">
        <f ca="1">Table1334567[[#This Row],[Put Gex]]*Table1334567[[#This Row],[DeltaP]]*-1</f>
        <v>0</v>
      </c>
      <c r="AE1296">
        <f ca="1">Table1334567[[#This Row],[Call Gex]]*Table1334567[[#This Row],[DeltaC]]</f>
        <v>0</v>
      </c>
      <c r="AF1296">
        <f>IF(Table1334567[[#This Row],[DeltaC]]-ABS(Table1334567[[#This Row],[DeltaP]])="0","0.01",Table1334567[[#This Row],[DeltaC]]-ABS(Table1334567[[#This Row],[DeltaP]]))</f>
        <v>0</v>
      </c>
      <c r="AG129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6" t="e">
        <f ca="1">(EXP(-(AG1296^2)/2)/SQRT(2*PI())*EXP(0*SQRT(Table1334567[[#This Row],[T]]))/$A$4*18%*SQRT(SQRT(Table1334567[[#This Row],[T]])))</f>
        <v>#DIV/0!</v>
      </c>
      <c r="AJ1296" t="e">
        <f ca="1">(EXP(-(AH1296^2)/2)/SQRT(2*PI())*EXP(0*SQRT(Table1334567[[#This Row],[T]]))/$A$4*18%*SQRT(SQRT(Table1334567[[#This Row],[T]])))</f>
        <v>#DIV/0!</v>
      </c>
      <c r="AK1296" t="e">
        <f ca="1">Table1334567[[#This Row],[Call D1]]-Table1334567[[#This Row],[IV Calc C]]*SQRT(Table1334567[[#This Row],[T]])</f>
        <v>#DIV/0!</v>
      </c>
      <c r="AL1296" t="e">
        <f ca="1">Table1334567[[#This Row],[Put D1]]-Table1334567[[#This Row],[IV Calc P]]*SQRT(Table1334567[[#This Row],[T]])</f>
        <v>#DIV/0!</v>
      </c>
      <c r="AM1296" t="e">
        <f ca="1">EXP(-0.5*Table1334567[[#This Row],[Call D1]]^2)/SQRT(2*PI())</f>
        <v>#DIV/0!</v>
      </c>
      <c r="AN1296" t="e">
        <f ca="1">EXP(-0.5*Table1334567[[#This Row],[Put D1]]^2)/SQRT(2*PI())</f>
        <v>#DIV/0!</v>
      </c>
      <c r="AO129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6">
        <f ca="1">((Table1334567[[#This Row],[call vanna]]+Table1334567[[#This Row],[put vanna]])*$A$4)</f>
        <v>0</v>
      </c>
      <c r="AR129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6" s="9" t="str" cm="1">
        <f t="array" ref="AT1296">_xlfn.IFS(     $M$1="SPX","SPXW",     $M$1="RUT","RUTW",  $M$1="NDX","NDXP",   TRUE,$M$1 )</f>
        <v>SPXW</v>
      </c>
      <c r="AU1296" s="2">
        <f t="shared" si="132"/>
        <v>6915</v>
      </c>
      <c r="AV1296" t="str">
        <f t="shared" si="133"/>
        <v>000100</v>
      </c>
      <c r="AY129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6">
        <f>((Table1334567[[#This Row],[High C]]+Table1334567[[#This Row],[Low C]])/2)*Table1334567[[#This Row],[gammac]]*Table1334567[[#This Row],[Volume]]</f>
        <v>0</v>
      </c>
      <c r="BD1296">
        <f>((Table1334567[[#This Row],[High P]]+Table1334567[[#This Row],[Low P]])/2)*Table1334567[[#This Row],[gammap]]*Table1334567[[#This Row],[Volume9]]*-1</f>
        <v>0</v>
      </c>
      <c r="BE1296">
        <f>(Table1334567[[#This Row],[SgammaC]]+Table1334567[[#This Row],[SgammaP]])*$A$4*-100</f>
        <v>0</v>
      </c>
      <c r="BF1296">
        <f>Table1334567[[#This Row],[DEXc]]+Table1334567[[#This Row],[DEXp]]</f>
        <v>0</v>
      </c>
      <c r="BG1296">
        <f>IFERROR(Table1334567[[#This Row],[DeltaC]]*Table1334567[[#This Row],[Open.Int]]*$A$4,0)</f>
        <v>0</v>
      </c>
      <c r="BH1296">
        <f>IFERROR(Table1334567[[#This Row],[DeltaP]]*Table1334567[[#This Row],[Open.Int8]]*$A$4,0)</f>
        <v>0</v>
      </c>
      <c r="BI129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6">
        <f ca="1">Table1334567[[#This Row],[charmc]]+Table1334567[[#This Row],[charmp]]</f>
        <v>0</v>
      </c>
      <c r="BL129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6" s="78">
        <f ca="1">Table1334567[[#This Row],[call helper]]+Table1334567[[#This Row],[put helper]]</f>
        <v>0</v>
      </c>
      <c r="BP1296" t="str">
        <f>RTD("tos.rtd", , "STRIKE", "."&amp;Table1334567[[#This Row],[Ticker]]&amp;Table1334567[[#This Row],[Expiry]]&amp;""&amp;"C"&amp;Table1334567[[#This Row],[Spot]]+Table1334567[[#This Row],[step]])</f>
        <v>N/A</v>
      </c>
    </row>
    <row r="1297" spans="1:68" x14ac:dyDescent="0.25">
      <c r="A1297" s="14">
        <f t="shared" ca="1" si="129"/>
        <v>-126.14810350076104</v>
      </c>
      <c r="C1297" s="17"/>
      <c r="D1297" t="str">
        <f>RTD("tos.rtd", , "OPEN_INT", "."&amp;Table1334567[[#This Row],[Ticker]]&amp;Table1334567[[#This Row],[Expiry]]&amp;""&amp;"C"&amp;Table1334567[[#This Row],[Spot]]+Table1334567[[#This Row],[step]])</f>
        <v>N/A</v>
      </c>
      <c r="E129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7" s="17" cm="1">
        <f t="array" aca="1" ref="H1297" ca="1">IndividualLegIVCore($A$4, Table1334567[[#This Row],[Strike]], 0.0411, Table1334567[[#This Row],[T]], ((Table1334567[[#This Row],[BIDC]]+Table1334567[[#This Row],[ASKC]])/2), TRUE)</f>
        <v>0.01</v>
      </c>
      <c r="I129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7" s="17"/>
      <c r="M1297" s="1">
        <f t="shared" si="130"/>
        <v>0</v>
      </c>
      <c r="N1297" t="b">
        <f t="shared" si="131"/>
        <v>0</v>
      </c>
      <c r="P1297" s="17" cm="1">
        <f t="array" aca="1" ref="P1297" ca="1">IndividualLegIVCore($A$4, Table1334567[[#This Row],[Strike]], 0.0411, Table1334567[[#This Row],[T]], ((Table1334567[[#This Row],[BIDP]]+Table1334567[[#This Row],[ASKP]])/2), FALSE)</f>
        <v>0.01</v>
      </c>
      <c r="Q129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7" s="17"/>
      <c r="T129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7" s="21">
        <f>-15.5* IF($M$1="NDX", 10, IF(OR($M$1="SPX", $M$1="RUT"), 2, 1))</f>
        <v>-31</v>
      </c>
      <c r="Z1297">
        <f ca="1">IFERROR(Table1334567[[#This Row],[call gamma]]*(Table1334567[[#This Row],[Open.Int]])*$A$4^2,0)</f>
        <v>0</v>
      </c>
      <c r="AA1297">
        <f ca="1">IFERROR(((Table1334567[[#This Row],[Open.Int8]])*Table1334567[[#This Row],[Put gamma]])*-1*$A$4^2,0)</f>
        <v>0</v>
      </c>
      <c r="AB1297">
        <f ca="1">(Table1334567[[#This Row],[Call Gex]]+Table1334567[[#This Row],[Put Gex]])</f>
        <v>0</v>
      </c>
      <c r="AC1297">
        <f ca="1">Table1334567[[#This Row],[put delta adj]]+Table1334567[[#This Row],[call delta adj]]</f>
        <v>0</v>
      </c>
      <c r="AD1297">
        <f ca="1">Table1334567[[#This Row],[Put Gex]]*Table1334567[[#This Row],[DeltaP]]*-1</f>
        <v>0</v>
      </c>
      <c r="AE1297">
        <f ca="1">Table1334567[[#This Row],[Call Gex]]*Table1334567[[#This Row],[DeltaC]]</f>
        <v>0</v>
      </c>
      <c r="AF1297">
        <f>IF(Table1334567[[#This Row],[DeltaC]]-ABS(Table1334567[[#This Row],[DeltaP]])="0","0.01",Table1334567[[#This Row],[DeltaC]]-ABS(Table1334567[[#This Row],[DeltaP]]))</f>
        <v>0</v>
      </c>
      <c r="AG129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7" t="e">
        <f ca="1">(EXP(-(AG1297^2)/2)/SQRT(2*PI())*EXP(0*SQRT(Table1334567[[#This Row],[T]]))/$A$4*18%*SQRT(SQRT(Table1334567[[#This Row],[T]])))</f>
        <v>#DIV/0!</v>
      </c>
      <c r="AJ1297" t="e">
        <f ca="1">(EXP(-(AH1297^2)/2)/SQRT(2*PI())*EXP(0*SQRT(Table1334567[[#This Row],[T]]))/$A$4*18%*SQRT(SQRT(Table1334567[[#This Row],[T]])))</f>
        <v>#DIV/0!</v>
      </c>
      <c r="AK1297" t="e">
        <f ca="1">Table1334567[[#This Row],[Call D1]]-Table1334567[[#This Row],[IV Calc C]]*SQRT(Table1334567[[#This Row],[T]])</f>
        <v>#DIV/0!</v>
      </c>
      <c r="AL1297" t="e">
        <f ca="1">Table1334567[[#This Row],[Put D1]]-Table1334567[[#This Row],[IV Calc P]]*SQRT(Table1334567[[#This Row],[T]])</f>
        <v>#DIV/0!</v>
      </c>
      <c r="AM1297" t="e">
        <f ca="1">EXP(-0.5*Table1334567[[#This Row],[Call D1]]^2)/SQRT(2*PI())</f>
        <v>#DIV/0!</v>
      </c>
      <c r="AN1297" t="e">
        <f ca="1">EXP(-0.5*Table1334567[[#This Row],[Put D1]]^2)/SQRT(2*PI())</f>
        <v>#DIV/0!</v>
      </c>
      <c r="AO129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7">
        <f ca="1">((Table1334567[[#This Row],[call vanna]]+Table1334567[[#This Row],[put vanna]])*$A$4)</f>
        <v>0</v>
      </c>
      <c r="AR129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7" s="9" t="str" cm="1">
        <f t="array" ref="AT1297">_xlfn.IFS(     $M$1="SPX","SPXW",     $M$1="RUT","RUTW",  $M$1="NDX","NDXP",   TRUE,$M$1 )</f>
        <v>SPXW</v>
      </c>
      <c r="AU1297" s="2">
        <f t="shared" si="132"/>
        <v>6915</v>
      </c>
      <c r="AV1297" t="str">
        <f t="shared" si="133"/>
        <v>000100</v>
      </c>
      <c r="AY129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7">
        <f>((Table1334567[[#This Row],[High C]]+Table1334567[[#This Row],[Low C]])/2)*Table1334567[[#This Row],[gammac]]*Table1334567[[#This Row],[Volume]]</f>
        <v>0</v>
      </c>
      <c r="BD1297">
        <f>((Table1334567[[#This Row],[High P]]+Table1334567[[#This Row],[Low P]])/2)*Table1334567[[#This Row],[gammap]]*Table1334567[[#This Row],[Volume9]]*-1</f>
        <v>0</v>
      </c>
      <c r="BE1297">
        <f>(Table1334567[[#This Row],[SgammaC]]+Table1334567[[#This Row],[SgammaP]])*$A$4*-100</f>
        <v>0</v>
      </c>
      <c r="BF1297">
        <f>Table1334567[[#This Row],[DEXc]]+Table1334567[[#This Row],[DEXp]]</f>
        <v>0</v>
      </c>
      <c r="BG1297">
        <f>IFERROR(Table1334567[[#This Row],[DeltaC]]*Table1334567[[#This Row],[Open.Int]]*$A$4,0)</f>
        <v>0</v>
      </c>
      <c r="BH1297">
        <f>IFERROR(Table1334567[[#This Row],[DeltaP]]*Table1334567[[#This Row],[Open.Int8]]*$A$4,0)</f>
        <v>0</v>
      </c>
      <c r="BI129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7">
        <f ca="1">Table1334567[[#This Row],[charmc]]+Table1334567[[#This Row],[charmp]]</f>
        <v>0</v>
      </c>
      <c r="BL129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7" s="78">
        <f ca="1">Table1334567[[#This Row],[call helper]]+Table1334567[[#This Row],[put helper]]</f>
        <v>0</v>
      </c>
      <c r="BP1297" t="str">
        <f>RTD("tos.rtd", , "STRIKE", "."&amp;Table1334567[[#This Row],[Ticker]]&amp;Table1334567[[#This Row],[Expiry]]&amp;""&amp;"C"&amp;Table1334567[[#This Row],[Spot]]+Table1334567[[#This Row],[step]])</f>
        <v>N/A</v>
      </c>
    </row>
    <row r="1298" spans="1:68" x14ac:dyDescent="0.25">
      <c r="A1298" s="14">
        <f t="shared" ca="1" si="129"/>
        <v>-126.14810350076104</v>
      </c>
      <c r="C1298" s="17"/>
      <c r="D1298" t="str">
        <f>RTD("tos.rtd", , "OPEN_INT", "."&amp;Table1334567[[#This Row],[Ticker]]&amp;Table1334567[[#This Row],[Expiry]]&amp;""&amp;"C"&amp;Table1334567[[#This Row],[Spot]]+Table1334567[[#This Row],[step]])</f>
        <v>N/A</v>
      </c>
      <c r="E129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8" s="17" cm="1">
        <f t="array" aca="1" ref="H1298" ca="1">IndividualLegIVCore($A$4, Table1334567[[#This Row],[Strike]], 0.0411, Table1334567[[#This Row],[T]], ((Table1334567[[#This Row],[BIDC]]+Table1334567[[#This Row],[ASKC]])/2), TRUE)</f>
        <v>0.01</v>
      </c>
      <c r="I129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8" s="17"/>
      <c r="M1298" s="1">
        <f t="shared" si="130"/>
        <v>0</v>
      </c>
      <c r="N1298" t="b">
        <f t="shared" si="131"/>
        <v>0</v>
      </c>
      <c r="P1298" s="17" cm="1">
        <f t="array" aca="1" ref="P1298" ca="1">IndividualLegIVCore($A$4, Table1334567[[#This Row],[Strike]], 0.0411, Table1334567[[#This Row],[T]], ((Table1334567[[#This Row],[BIDP]]+Table1334567[[#This Row],[ASKP]])/2), FALSE)</f>
        <v>0.01</v>
      </c>
      <c r="Q129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8" s="17"/>
      <c r="T129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8" s="19">
        <f>-15* IF($M$1="NDX", 10, IF(OR($M$1="SPX", $M$1="RUT"), 2, 1))</f>
        <v>-30</v>
      </c>
      <c r="Z1298">
        <f ca="1">IFERROR(Table1334567[[#This Row],[call gamma]]*(Table1334567[[#This Row],[Open.Int]])*$A$4^2,0)</f>
        <v>0</v>
      </c>
      <c r="AA1298">
        <f ca="1">IFERROR(((Table1334567[[#This Row],[Open.Int8]])*Table1334567[[#This Row],[Put gamma]])*-1*$A$4^2,0)</f>
        <v>0</v>
      </c>
      <c r="AB1298">
        <f ca="1">(Table1334567[[#This Row],[Call Gex]]+Table1334567[[#This Row],[Put Gex]])</f>
        <v>0</v>
      </c>
      <c r="AC1298">
        <f ca="1">Table1334567[[#This Row],[put delta adj]]+Table1334567[[#This Row],[call delta adj]]</f>
        <v>0</v>
      </c>
      <c r="AD1298">
        <f ca="1">Table1334567[[#This Row],[Put Gex]]*Table1334567[[#This Row],[DeltaP]]*-1</f>
        <v>0</v>
      </c>
      <c r="AE1298">
        <f ca="1">Table1334567[[#This Row],[Call Gex]]*Table1334567[[#This Row],[DeltaC]]</f>
        <v>0</v>
      </c>
      <c r="AF1298">
        <f>IF(Table1334567[[#This Row],[DeltaC]]-ABS(Table1334567[[#This Row],[DeltaP]])="0","0.01",Table1334567[[#This Row],[DeltaC]]-ABS(Table1334567[[#This Row],[DeltaP]]))</f>
        <v>0</v>
      </c>
      <c r="AG129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8" t="e">
        <f ca="1">(EXP(-(AG1298^2)/2)/SQRT(2*PI())*EXP(0*SQRT(Table1334567[[#This Row],[T]]))/$A$4*18%*SQRT(SQRT(Table1334567[[#This Row],[T]])))</f>
        <v>#DIV/0!</v>
      </c>
      <c r="AJ1298" t="e">
        <f ca="1">(EXP(-(AH1298^2)/2)/SQRT(2*PI())*EXP(0*SQRT(Table1334567[[#This Row],[T]]))/$A$4*18%*SQRT(SQRT(Table1334567[[#This Row],[T]])))</f>
        <v>#DIV/0!</v>
      </c>
      <c r="AK1298" t="e">
        <f ca="1">Table1334567[[#This Row],[Call D1]]-Table1334567[[#This Row],[IV Calc C]]*SQRT(Table1334567[[#This Row],[T]])</f>
        <v>#DIV/0!</v>
      </c>
      <c r="AL1298" t="e">
        <f ca="1">Table1334567[[#This Row],[Put D1]]-Table1334567[[#This Row],[IV Calc P]]*SQRT(Table1334567[[#This Row],[T]])</f>
        <v>#DIV/0!</v>
      </c>
      <c r="AM1298" t="e">
        <f ca="1">EXP(-0.5*Table1334567[[#This Row],[Call D1]]^2)/SQRT(2*PI())</f>
        <v>#DIV/0!</v>
      </c>
      <c r="AN1298" t="e">
        <f ca="1">EXP(-0.5*Table1334567[[#This Row],[Put D1]]^2)/SQRT(2*PI())</f>
        <v>#DIV/0!</v>
      </c>
      <c r="AO129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8">
        <f ca="1">((Table1334567[[#This Row],[call vanna]]+Table1334567[[#This Row],[put vanna]])*$A$4)</f>
        <v>0</v>
      </c>
      <c r="AR129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8" s="9" t="str" cm="1">
        <f t="array" ref="AT1298">_xlfn.IFS(     $M$1="SPX","SPXW",     $M$1="RUT","RUTW",  $M$1="NDX","NDXP",   TRUE,$M$1 )</f>
        <v>SPXW</v>
      </c>
      <c r="AU1298" s="2">
        <f t="shared" si="132"/>
        <v>6915</v>
      </c>
      <c r="AV1298" t="str">
        <f t="shared" si="133"/>
        <v>000100</v>
      </c>
      <c r="AY129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8">
        <f>((Table1334567[[#This Row],[High C]]+Table1334567[[#This Row],[Low C]])/2)*Table1334567[[#This Row],[gammac]]*Table1334567[[#This Row],[Volume]]</f>
        <v>0</v>
      </c>
      <c r="BD1298">
        <f>((Table1334567[[#This Row],[High P]]+Table1334567[[#This Row],[Low P]])/2)*Table1334567[[#This Row],[gammap]]*Table1334567[[#This Row],[Volume9]]*-1</f>
        <v>0</v>
      </c>
      <c r="BE1298">
        <f>(Table1334567[[#This Row],[SgammaC]]+Table1334567[[#This Row],[SgammaP]])*$A$4*-100</f>
        <v>0</v>
      </c>
      <c r="BF1298">
        <f>Table1334567[[#This Row],[DEXc]]+Table1334567[[#This Row],[DEXp]]</f>
        <v>0</v>
      </c>
      <c r="BG1298">
        <f>IFERROR(Table1334567[[#This Row],[DeltaC]]*Table1334567[[#This Row],[Open.Int]]*$A$4,0)</f>
        <v>0</v>
      </c>
      <c r="BH1298">
        <f>IFERROR(Table1334567[[#This Row],[DeltaP]]*Table1334567[[#This Row],[Open.Int8]]*$A$4,0)</f>
        <v>0</v>
      </c>
      <c r="BI129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8">
        <f ca="1">Table1334567[[#This Row],[charmc]]+Table1334567[[#This Row],[charmp]]</f>
        <v>0</v>
      </c>
      <c r="BL129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8" s="78">
        <f ca="1">Table1334567[[#This Row],[call helper]]+Table1334567[[#This Row],[put helper]]</f>
        <v>0</v>
      </c>
      <c r="BP1298" t="str">
        <f>RTD("tos.rtd", , "STRIKE", "."&amp;Table1334567[[#This Row],[Ticker]]&amp;Table1334567[[#This Row],[Expiry]]&amp;""&amp;"C"&amp;Table1334567[[#This Row],[Spot]]+Table1334567[[#This Row],[step]])</f>
        <v>N/A</v>
      </c>
    </row>
    <row r="1299" spans="1:68" x14ac:dyDescent="0.25">
      <c r="A1299" s="24">
        <f t="shared" ca="1" si="129"/>
        <v>-126.14810350076104</v>
      </c>
      <c r="B1299" s="13"/>
      <c r="C1299" s="17"/>
      <c r="D1299" t="str">
        <f>RTD("tos.rtd", , "OPEN_INT", "."&amp;Table1334567[[#This Row],[Ticker]]&amp;Table1334567[[#This Row],[Expiry]]&amp;""&amp;"C"&amp;Table1334567[[#This Row],[Spot]]+Table1334567[[#This Row],[step]])</f>
        <v>N/A</v>
      </c>
      <c r="E129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9" s="17" cm="1">
        <f t="array" aca="1" ref="H1299" ca="1">IndividualLegIVCore($A$4, Table1334567[[#This Row],[Strike]], 0.0411, Table1334567[[#This Row],[T]], ((Table1334567[[#This Row],[BIDC]]+Table1334567[[#This Row],[ASKC]])/2), TRUE)</f>
        <v>0.01</v>
      </c>
      <c r="I129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9" s="17"/>
      <c r="M1299" s="1">
        <f t="shared" si="130"/>
        <v>0</v>
      </c>
      <c r="N1299" t="b">
        <f t="shared" si="131"/>
        <v>0</v>
      </c>
      <c r="P1299" s="17" cm="1">
        <f t="array" aca="1" ref="P1299" ca="1">IndividualLegIVCore($A$4, Table1334567[[#This Row],[Strike]], 0.0411, Table1334567[[#This Row],[T]], ((Table1334567[[#This Row],[BIDP]]+Table1334567[[#This Row],[ASKP]])/2), FALSE)</f>
        <v>0.01</v>
      </c>
      <c r="Q129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9" s="17"/>
      <c r="T129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299" s="13"/>
      <c r="Y1299" s="19">
        <f>-14.5* IF($M$1="NDX", 10, IF(OR($M$1="SPX", $M$1="RUT"), 2, 1))</f>
        <v>-29</v>
      </c>
      <c r="Z1299">
        <f ca="1">IFERROR(Table1334567[[#This Row],[call gamma]]*(Table1334567[[#This Row],[Open.Int]])*$A$4^2,0)</f>
        <v>0</v>
      </c>
      <c r="AA1299">
        <f ca="1">IFERROR(((Table1334567[[#This Row],[Open.Int8]])*Table1334567[[#This Row],[Put gamma]])*-1*$A$4^2,0)</f>
        <v>0</v>
      </c>
      <c r="AB1299">
        <f ca="1">(Table1334567[[#This Row],[Call Gex]]+Table1334567[[#This Row],[Put Gex]])</f>
        <v>0</v>
      </c>
      <c r="AC1299">
        <f ca="1">Table1334567[[#This Row],[put delta adj]]+Table1334567[[#This Row],[call delta adj]]</f>
        <v>0</v>
      </c>
      <c r="AD1299">
        <f ca="1">Table1334567[[#This Row],[Put Gex]]*Table1334567[[#This Row],[DeltaP]]*-1</f>
        <v>0</v>
      </c>
      <c r="AE1299">
        <f ca="1">Table1334567[[#This Row],[Call Gex]]*Table1334567[[#This Row],[DeltaC]]</f>
        <v>0</v>
      </c>
      <c r="AF1299">
        <f>IF(Table1334567[[#This Row],[DeltaC]]-ABS(Table1334567[[#This Row],[DeltaP]])="0","0.01",Table1334567[[#This Row],[DeltaC]]-ABS(Table1334567[[#This Row],[DeltaP]]))</f>
        <v>0</v>
      </c>
      <c r="AG129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9" t="e">
        <f ca="1">(EXP(-(AG1299^2)/2)/SQRT(2*PI())*EXP(0*SQRT(Table1334567[[#This Row],[T]]))/$A$4*18%*SQRT(SQRT(Table1334567[[#This Row],[T]])))</f>
        <v>#DIV/0!</v>
      </c>
      <c r="AJ1299" t="e">
        <f ca="1">(EXP(-(AH1299^2)/2)/SQRT(2*PI())*EXP(0*SQRT(Table1334567[[#This Row],[T]]))/$A$4*18%*SQRT(SQRT(Table1334567[[#This Row],[T]])))</f>
        <v>#DIV/0!</v>
      </c>
      <c r="AK1299" t="e">
        <f ca="1">Table1334567[[#This Row],[Call D1]]-Table1334567[[#This Row],[IV Calc C]]*SQRT(Table1334567[[#This Row],[T]])</f>
        <v>#DIV/0!</v>
      </c>
      <c r="AL1299" t="e">
        <f ca="1">Table1334567[[#This Row],[Put D1]]-Table1334567[[#This Row],[IV Calc P]]*SQRT(Table1334567[[#This Row],[T]])</f>
        <v>#DIV/0!</v>
      </c>
      <c r="AM1299" t="e">
        <f ca="1">EXP(-0.5*Table1334567[[#This Row],[Call D1]]^2)/SQRT(2*PI())</f>
        <v>#DIV/0!</v>
      </c>
      <c r="AN1299" t="e">
        <f ca="1">EXP(-0.5*Table1334567[[#This Row],[Put D1]]^2)/SQRT(2*PI())</f>
        <v>#DIV/0!</v>
      </c>
      <c r="AO129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9">
        <f ca="1">((Table1334567[[#This Row],[call vanna]]+Table1334567[[#This Row],[put vanna]])*$A$4)</f>
        <v>0</v>
      </c>
      <c r="AR129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9" s="22" t="str" cm="1">
        <f t="array" ref="AT1299">_xlfn.IFS(     $M$1="SPX","SPXW",     $M$1="RUT","RUTW",  $M$1="NDX","NDXP",   TRUE,$M$1 )</f>
        <v>SPXW</v>
      </c>
      <c r="AU1299" s="2">
        <f t="shared" si="132"/>
        <v>6915</v>
      </c>
      <c r="AV1299" t="str">
        <f t="shared" si="133"/>
        <v>000100</v>
      </c>
      <c r="AY129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9">
        <f>((Table1334567[[#This Row],[High C]]+Table1334567[[#This Row],[Low C]])/2)*Table1334567[[#This Row],[gammac]]*Table1334567[[#This Row],[Volume]]</f>
        <v>0</v>
      </c>
      <c r="BD1299">
        <f>((Table1334567[[#This Row],[High P]]+Table1334567[[#This Row],[Low P]])/2)*Table1334567[[#This Row],[gammap]]*Table1334567[[#This Row],[Volume9]]*-1</f>
        <v>0</v>
      </c>
      <c r="BE1299">
        <f>(Table1334567[[#This Row],[SgammaC]]+Table1334567[[#This Row],[SgammaP]])*$A$4*-100</f>
        <v>0</v>
      </c>
      <c r="BF1299">
        <f>Table1334567[[#This Row],[DEXc]]+Table1334567[[#This Row],[DEXp]]</f>
        <v>0</v>
      </c>
      <c r="BG1299">
        <f>IFERROR(Table1334567[[#This Row],[DeltaC]]*Table1334567[[#This Row],[Open.Int]]*$A$4,0)</f>
        <v>0</v>
      </c>
      <c r="BH1299">
        <f>IFERROR(Table1334567[[#This Row],[DeltaP]]*Table1334567[[#This Row],[Open.Int8]]*$A$4,0)</f>
        <v>0</v>
      </c>
      <c r="BI129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9">
        <f ca="1">Table1334567[[#This Row],[charmc]]+Table1334567[[#This Row],[charmp]]</f>
        <v>0</v>
      </c>
      <c r="BL129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9" s="78">
        <f ca="1">Table1334567[[#This Row],[call helper]]+Table1334567[[#This Row],[put helper]]</f>
        <v>0</v>
      </c>
      <c r="BP1299" t="str">
        <f>RTD("tos.rtd", , "STRIKE", "."&amp;Table1334567[[#This Row],[Ticker]]&amp;Table1334567[[#This Row],[Expiry]]&amp;""&amp;"C"&amp;Table1334567[[#This Row],[Spot]]+Table1334567[[#This Row],[step]])</f>
        <v>N/A</v>
      </c>
    </row>
    <row r="1300" spans="1:68" x14ac:dyDescent="0.25">
      <c r="A1300" s="14">
        <f t="shared" ca="1" si="129"/>
        <v>-126.14810350076104</v>
      </c>
      <c r="C1300" s="17"/>
      <c r="D1300" t="str">
        <f>RTD("tos.rtd", , "OPEN_INT", "."&amp;Table1334567[[#This Row],[Ticker]]&amp;Table1334567[[#This Row],[Expiry]]&amp;""&amp;"C"&amp;Table1334567[[#This Row],[Spot]]+Table1334567[[#This Row],[step]])</f>
        <v>N/A</v>
      </c>
      <c r="E130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0" s="17" cm="1">
        <f t="array" aca="1" ref="H1300" ca="1">IndividualLegIVCore($A$4, Table1334567[[#This Row],[Strike]], 0.0411, Table1334567[[#This Row],[T]], ((Table1334567[[#This Row],[BIDC]]+Table1334567[[#This Row],[ASKC]])/2), TRUE)</f>
        <v>0.01</v>
      </c>
      <c r="I130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0" s="17"/>
      <c r="M1300" s="1">
        <f t="shared" si="130"/>
        <v>0</v>
      </c>
      <c r="N1300" t="b">
        <f t="shared" si="131"/>
        <v>0</v>
      </c>
      <c r="P1300" s="17" cm="1">
        <f t="array" aca="1" ref="P1300" ca="1">IndividualLegIVCore($A$4, Table1334567[[#This Row],[Strike]], 0.0411, Table1334567[[#This Row],[T]], ((Table1334567[[#This Row],[BIDP]]+Table1334567[[#This Row],[ASKP]])/2), FALSE)</f>
        <v>0.01</v>
      </c>
      <c r="Q130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0" s="17"/>
      <c r="T130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0" s="19">
        <f>-14* IF($M$1="NDX", 10, IF(OR($M$1="SPX", $M$1="RUT"), 2, 1))</f>
        <v>-28</v>
      </c>
      <c r="Z1300">
        <f ca="1">IFERROR(Table1334567[[#This Row],[call gamma]]*(Table1334567[[#This Row],[Open.Int]])*$A$4^2,0)</f>
        <v>0</v>
      </c>
      <c r="AA1300">
        <f ca="1">IFERROR(((Table1334567[[#This Row],[Open.Int8]])*Table1334567[[#This Row],[Put gamma]])*-1*$A$4^2,0)</f>
        <v>0</v>
      </c>
      <c r="AB1300">
        <f ca="1">(Table1334567[[#This Row],[Call Gex]]+Table1334567[[#This Row],[Put Gex]])</f>
        <v>0</v>
      </c>
      <c r="AC1300">
        <f ca="1">Table1334567[[#This Row],[put delta adj]]+Table1334567[[#This Row],[call delta adj]]</f>
        <v>0</v>
      </c>
      <c r="AD1300">
        <f ca="1">Table1334567[[#This Row],[Put Gex]]*Table1334567[[#This Row],[DeltaP]]*-1</f>
        <v>0</v>
      </c>
      <c r="AE1300">
        <f ca="1">Table1334567[[#This Row],[Call Gex]]*Table1334567[[#This Row],[DeltaC]]</f>
        <v>0</v>
      </c>
      <c r="AF1300">
        <f>IF(Table1334567[[#This Row],[DeltaC]]-ABS(Table1334567[[#This Row],[DeltaP]])="0","0.01",Table1334567[[#This Row],[DeltaC]]-ABS(Table1334567[[#This Row],[DeltaP]]))</f>
        <v>0</v>
      </c>
      <c r="AG130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0" t="e">
        <f ca="1">(EXP(-(AG1300^2)/2)/SQRT(2*PI())*EXP(0*SQRT(Table1334567[[#This Row],[T]]))/$A$4*18%*SQRT(SQRT(Table1334567[[#This Row],[T]])))</f>
        <v>#DIV/0!</v>
      </c>
      <c r="AJ1300" t="e">
        <f ca="1">(EXP(-(AH1300^2)/2)/SQRT(2*PI())*EXP(0*SQRT(Table1334567[[#This Row],[T]]))/$A$4*18%*SQRT(SQRT(Table1334567[[#This Row],[T]])))</f>
        <v>#DIV/0!</v>
      </c>
      <c r="AK1300" t="e">
        <f ca="1">Table1334567[[#This Row],[Call D1]]-Table1334567[[#This Row],[IV Calc C]]*SQRT(Table1334567[[#This Row],[T]])</f>
        <v>#DIV/0!</v>
      </c>
      <c r="AL1300" t="e">
        <f ca="1">Table1334567[[#This Row],[Put D1]]-Table1334567[[#This Row],[IV Calc P]]*SQRT(Table1334567[[#This Row],[T]])</f>
        <v>#DIV/0!</v>
      </c>
      <c r="AM1300" t="e">
        <f ca="1">EXP(-0.5*Table1334567[[#This Row],[Call D1]]^2)/SQRT(2*PI())</f>
        <v>#DIV/0!</v>
      </c>
      <c r="AN1300" t="e">
        <f ca="1">EXP(-0.5*Table1334567[[#This Row],[Put D1]]^2)/SQRT(2*PI())</f>
        <v>#DIV/0!</v>
      </c>
      <c r="AO130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0">
        <f ca="1">((Table1334567[[#This Row],[call vanna]]+Table1334567[[#This Row],[put vanna]])*$A$4)</f>
        <v>0</v>
      </c>
      <c r="AR130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0" s="9" t="str" cm="1">
        <f t="array" ref="AT1300">_xlfn.IFS(     $M$1="SPX","SPXW",     $M$1="RUT","RUTW",  $M$1="NDX","NDXP",   TRUE,$M$1 )</f>
        <v>SPXW</v>
      </c>
      <c r="AU1300" s="2">
        <f t="shared" si="132"/>
        <v>6915</v>
      </c>
      <c r="AV1300" t="str">
        <f t="shared" si="133"/>
        <v>000100</v>
      </c>
      <c r="AY130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0">
        <f>((Table1334567[[#This Row],[High C]]+Table1334567[[#This Row],[Low C]])/2)*Table1334567[[#This Row],[gammac]]*Table1334567[[#This Row],[Volume]]</f>
        <v>0</v>
      </c>
      <c r="BD1300">
        <f>((Table1334567[[#This Row],[High P]]+Table1334567[[#This Row],[Low P]])/2)*Table1334567[[#This Row],[gammap]]*Table1334567[[#This Row],[Volume9]]*-1</f>
        <v>0</v>
      </c>
      <c r="BE1300">
        <f>(Table1334567[[#This Row],[SgammaC]]+Table1334567[[#This Row],[SgammaP]])*$A$4*-100</f>
        <v>0</v>
      </c>
      <c r="BF1300">
        <f>Table1334567[[#This Row],[DEXc]]+Table1334567[[#This Row],[DEXp]]</f>
        <v>0</v>
      </c>
      <c r="BG1300">
        <f>IFERROR(Table1334567[[#This Row],[DeltaC]]*Table1334567[[#This Row],[Open.Int]]*$A$4,0)</f>
        <v>0</v>
      </c>
      <c r="BH1300">
        <f>IFERROR(Table1334567[[#This Row],[DeltaP]]*Table1334567[[#This Row],[Open.Int8]]*$A$4,0)</f>
        <v>0</v>
      </c>
      <c r="BI130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0">
        <f ca="1">Table1334567[[#This Row],[charmc]]+Table1334567[[#This Row],[charmp]]</f>
        <v>0</v>
      </c>
      <c r="BL130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0" s="78">
        <f ca="1">Table1334567[[#This Row],[call helper]]+Table1334567[[#This Row],[put helper]]</f>
        <v>0</v>
      </c>
      <c r="BP1300" t="str">
        <f>RTD("tos.rtd", , "STRIKE", "."&amp;Table1334567[[#This Row],[Ticker]]&amp;Table1334567[[#This Row],[Expiry]]&amp;""&amp;"C"&amp;Table1334567[[#This Row],[Spot]]+Table1334567[[#This Row],[step]])</f>
        <v>N/A</v>
      </c>
    </row>
    <row r="1301" spans="1:68" x14ac:dyDescent="0.25">
      <c r="A1301" s="14">
        <f t="shared" ca="1" si="129"/>
        <v>-126.14810350076104</v>
      </c>
      <c r="C1301" s="17"/>
      <c r="D1301" t="str">
        <f>RTD("tos.rtd", , "OPEN_INT", "."&amp;Table1334567[[#This Row],[Ticker]]&amp;Table1334567[[#This Row],[Expiry]]&amp;""&amp;"C"&amp;Table1334567[[#This Row],[Spot]]+Table1334567[[#This Row],[step]])</f>
        <v>N/A</v>
      </c>
      <c r="E130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1" s="17" cm="1">
        <f t="array" aca="1" ref="H1301" ca="1">IndividualLegIVCore($A$4, Table1334567[[#This Row],[Strike]], 0.0411, Table1334567[[#This Row],[T]], ((Table1334567[[#This Row],[BIDC]]+Table1334567[[#This Row],[ASKC]])/2), TRUE)</f>
        <v>0.01</v>
      </c>
      <c r="I130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1" s="17"/>
      <c r="M1301" s="1">
        <f t="shared" si="130"/>
        <v>0</v>
      </c>
      <c r="N1301" t="b">
        <f t="shared" si="131"/>
        <v>0</v>
      </c>
      <c r="P1301" s="17" cm="1">
        <f t="array" aca="1" ref="P1301" ca="1">IndividualLegIVCore($A$4, Table1334567[[#This Row],[Strike]], 0.0411, Table1334567[[#This Row],[T]], ((Table1334567[[#This Row],[BIDP]]+Table1334567[[#This Row],[ASKP]])/2), FALSE)</f>
        <v>0.01</v>
      </c>
      <c r="Q130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1" s="17"/>
      <c r="T130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1" s="19">
        <f>-13.5* IF($M$1="NDX", 10, IF(OR($M$1="SPX", $M$1="RUT"), 2, 1))</f>
        <v>-27</v>
      </c>
      <c r="Z1301">
        <f ca="1">IFERROR(Table1334567[[#This Row],[call gamma]]*(Table1334567[[#This Row],[Open.Int]])*$A$4^2,0)</f>
        <v>0</v>
      </c>
      <c r="AA1301">
        <f ca="1">IFERROR(((Table1334567[[#This Row],[Open.Int8]])*Table1334567[[#This Row],[Put gamma]])*-1*$A$4^2,0)</f>
        <v>0</v>
      </c>
      <c r="AB1301">
        <f ca="1">(Table1334567[[#This Row],[Call Gex]]+Table1334567[[#This Row],[Put Gex]])</f>
        <v>0</v>
      </c>
      <c r="AC1301">
        <f ca="1">Table1334567[[#This Row],[put delta adj]]+Table1334567[[#This Row],[call delta adj]]</f>
        <v>0</v>
      </c>
      <c r="AD1301">
        <f ca="1">Table1334567[[#This Row],[Put Gex]]*Table1334567[[#This Row],[DeltaP]]*-1</f>
        <v>0</v>
      </c>
      <c r="AE1301">
        <f ca="1">Table1334567[[#This Row],[Call Gex]]*Table1334567[[#This Row],[DeltaC]]</f>
        <v>0</v>
      </c>
      <c r="AF1301">
        <f>IF(Table1334567[[#This Row],[DeltaC]]-ABS(Table1334567[[#This Row],[DeltaP]])="0","0.01",Table1334567[[#This Row],[DeltaC]]-ABS(Table1334567[[#This Row],[DeltaP]]))</f>
        <v>0</v>
      </c>
      <c r="AG130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1" t="e">
        <f ca="1">(EXP(-(AG1301^2)/2)/SQRT(2*PI())*EXP(0*SQRT(Table1334567[[#This Row],[T]]))/$A$4*18%*SQRT(SQRT(Table1334567[[#This Row],[T]])))</f>
        <v>#DIV/0!</v>
      </c>
      <c r="AJ1301" t="e">
        <f ca="1">(EXP(-(AH1301^2)/2)/SQRT(2*PI())*EXP(0*SQRT(Table1334567[[#This Row],[T]]))/$A$4*18%*SQRT(SQRT(Table1334567[[#This Row],[T]])))</f>
        <v>#DIV/0!</v>
      </c>
      <c r="AK1301" t="e">
        <f ca="1">Table1334567[[#This Row],[Call D1]]-Table1334567[[#This Row],[IV Calc C]]*SQRT(Table1334567[[#This Row],[T]])</f>
        <v>#DIV/0!</v>
      </c>
      <c r="AL1301" t="e">
        <f ca="1">Table1334567[[#This Row],[Put D1]]-Table1334567[[#This Row],[IV Calc P]]*SQRT(Table1334567[[#This Row],[T]])</f>
        <v>#DIV/0!</v>
      </c>
      <c r="AM1301" t="e">
        <f ca="1">EXP(-0.5*Table1334567[[#This Row],[Call D1]]^2)/SQRT(2*PI())</f>
        <v>#DIV/0!</v>
      </c>
      <c r="AN1301" t="e">
        <f ca="1">EXP(-0.5*Table1334567[[#This Row],[Put D1]]^2)/SQRT(2*PI())</f>
        <v>#DIV/0!</v>
      </c>
      <c r="AO130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1">
        <f ca="1">((Table1334567[[#This Row],[call vanna]]+Table1334567[[#This Row],[put vanna]])*$A$4)</f>
        <v>0</v>
      </c>
      <c r="AR130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1" s="9" t="str" cm="1">
        <f t="array" ref="AT1301">_xlfn.IFS(     $M$1="SPX","SPXW",     $M$1="RUT","RUTW",  $M$1="NDX","NDXP",   TRUE,$M$1 )</f>
        <v>SPXW</v>
      </c>
      <c r="AU1301" s="2">
        <f t="shared" si="132"/>
        <v>6915</v>
      </c>
      <c r="AV1301" t="str">
        <f t="shared" si="133"/>
        <v>000100</v>
      </c>
      <c r="AY130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1">
        <f>((Table1334567[[#This Row],[High C]]+Table1334567[[#This Row],[Low C]])/2)*Table1334567[[#This Row],[gammac]]*Table1334567[[#This Row],[Volume]]</f>
        <v>0</v>
      </c>
      <c r="BD1301">
        <f>((Table1334567[[#This Row],[High P]]+Table1334567[[#This Row],[Low P]])/2)*Table1334567[[#This Row],[gammap]]*Table1334567[[#This Row],[Volume9]]*-1</f>
        <v>0</v>
      </c>
      <c r="BE1301">
        <f>(Table1334567[[#This Row],[SgammaC]]+Table1334567[[#This Row],[SgammaP]])*$A$4*-100</f>
        <v>0</v>
      </c>
      <c r="BF1301">
        <f>Table1334567[[#This Row],[DEXc]]+Table1334567[[#This Row],[DEXp]]</f>
        <v>0</v>
      </c>
      <c r="BG1301">
        <f>IFERROR(Table1334567[[#This Row],[DeltaC]]*Table1334567[[#This Row],[Open.Int]]*$A$4,0)</f>
        <v>0</v>
      </c>
      <c r="BH1301">
        <f>IFERROR(Table1334567[[#This Row],[DeltaP]]*Table1334567[[#This Row],[Open.Int8]]*$A$4,0)</f>
        <v>0</v>
      </c>
      <c r="BI130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1">
        <f ca="1">Table1334567[[#This Row],[charmc]]+Table1334567[[#This Row],[charmp]]</f>
        <v>0</v>
      </c>
      <c r="BL130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1" s="78">
        <f ca="1">Table1334567[[#This Row],[call helper]]+Table1334567[[#This Row],[put helper]]</f>
        <v>0</v>
      </c>
      <c r="BP1301" t="str">
        <f>RTD("tos.rtd", , "STRIKE", "."&amp;Table1334567[[#This Row],[Ticker]]&amp;Table1334567[[#This Row],[Expiry]]&amp;""&amp;"C"&amp;Table1334567[[#This Row],[Spot]]+Table1334567[[#This Row],[step]])</f>
        <v>N/A</v>
      </c>
    </row>
    <row r="1302" spans="1:68" x14ac:dyDescent="0.25">
      <c r="A1302" s="14">
        <f t="shared" ca="1" si="129"/>
        <v>-126.14810350076104</v>
      </c>
      <c r="C1302" s="17"/>
      <c r="D1302" t="str">
        <f>RTD("tos.rtd", , "OPEN_INT", "."&amp;Table1334567[[#This Row],[Ticker]]&amp;Table1334567[[#This Row],[Expiry]]&amp;""&amp;"C"&amp;Table1334567[[#This Row],[Spot]]+Table1334567[[#This Row],[step]])</f>
        <v>N/A</v>
      </c>
      <c r="E130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2" s="17" cm="1">
        <f t="array" aca="1" ref="H1302" ca="1">IndividualLegIVCore($A$4, Table1334567[[#This Row],[Strike]], 0.0411, Table1334567[[#This Row],[T]], ((Table1334567[[#This Row],[BIDC]]+Table1334567[[#This Row],[ASKC]])/2), TRUE)</f>
        <v>0.01</v>
      </c>
      <c r="I130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2" s="17"/>
      <c r="M1302" s="1">
        <f t="shared" si="130"/>
        <v>0</v>
      </c>
      <c r="N1302" t="b">
        <f t="shared" si="131"/>
        <v>0</v>
      </c>
      <c r="P1302" s="17" cm="1">
        <f t="array" aca="1" ref="P1302" ca="1">IndividualLegIVCore($A$4, Table1334567[[#This Row],[Strike]], 0.0411, Table1334567[[#This Row],[T]], ((Table1334567[[#This Row],[BIDP]]+Table1334567[[#This Row],[ASKP]])/2), FALSE)</f>
        <v>0.01</v>
      </c>
      <c r="Q130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2" s="17"/>
      <c r="T130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2" s="19">
        <f>-13* IF($M$1="NDX", 10, IF(OR($M$1="SPX", $M$1="RUT"), 2, 1))</f>
        <v>-26</v>
      </c>
      <c r="Z1302">
        <f ca="1">IFERROR(Table1334567[[#This Row],[call gamma]]*(Table1334567[[#This Row],[Open.Int]])*$A$4^2,0)</f>
        <v>0</v>
      </c>
      <c r="AA1302">
        <f ca="1">IFERROR(((Table1334567[[#This Row],[Open.Int8]])*Table1334567[[#This Row],[Put gamma]])*-1*$A$4^2,0)</f>
        <v>0</v>
      </c>
      <c r="AB1302">
        <f ca="1">(Table1334567[[#This Row],[Call Gex]]+Table1334567[[#This Row],[Put Gex]])</f>
        <v>0</v>
      </c>
      <c r="AC1302">
        <f ca="1">Table1334567[[#This Row],[put delta adj]]+Table1334567[[#This Row],[call delta adj]]</f>
        <v>0</v>
      </c>
      <c r="AD1302">
        <f ca="1">Table1334567[[#This Row],[Put Gex]]*Table1334567[[#This Row],[DeltaP]]*-1</f>
        <v>0</v>
      </c>
      <c r="AE1302">
        <f ca="1">Table1334567[[#This Row],[Call Gex]]*Table1334567[[#This Row],[DeltaC]]</f>
        <v>0</v>
      </c>
      <c r="AF1302">
        <f>IF(Table1334567[[#This Row],[DeltaC]]-ABS(Table1334567[[#This Row],[DeltaP]])="0","0.01",Table1334567[[#This Row],[DeltaC]]-ABS(Table1334567[[#This Row],[DeltaP]]))</f>
        <v>0</v>
      </c>
      <c r="AG130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2" t="e">
        <f ca="1">(EXP(-(AG1302^2)/2)/SQRT(2*PI())*EXP(0*SQRT(Table1334567[[#This Row],[T]]))/$A$4*18%*SQRT(SQRT(Table1334567[[#This Row],[T]])))</f>
        <v>#DIV/0!</v>
      </c>
      <c r="AJ1302" t="e">
        <f ca="1">(EXP(-(AH1302^2)/2)/SQRT(2*PI())*EXP(0*SQRT(Table1334567[[#This Row],[T]]))/$A$4*18%*SQRT(SQRT(Table1334567[[#This Row],[T]])))</f>
        <v>#DIV/0!</v>
      </c>
      <c r="AK1302" t="e">
        <f ca="1">Table1334567[[#This Row],[Call D1]]-Table1334567[[#This Row],[IV Calc C]]*SQRT(Table1334567[[#This Row],[T]])</f>
        <v>#DIV/0!</v>
      </c>
      <c r="AL1302" t="e">
        <f ca="1">Table1334567[[#This Row],[Put D1]]-Table1334567[[#This Row],[IV Calc P]]*SQRT(Table1334567[[#This Row],[T]])</f>
        <v>#DIV/0!</v>
      </c>
      <c r="AM1302" t="e">
        <f ca="1">EXP(-0.5*Table1334567[[#This Row],[Call D1]]^2)/SQRT(2*PI())</f>
        <v>#DIV/0!</v>
      </c>
      <c r="AN1302" t="e">
        <f ca="1">EXP(-0.5*Table1334567[[#This Row],[Put D1]]^2)/SQRT(2*PI())</f>
        <v>#DIV/0!</v>
      </c>
      <c r="AO130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2">
        <f ca="1">((Table1334567[[#This Row],[call vanna]]+Table1334567[[#This Row],[put vanna]])*$A$4)</f>
        <v>0</v>
      </c>
      <c r="AR130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2" s="9" t="str" cm="1">
        <f t="array" ref="AT1302">_xlfn.IFS(     $M$1="SPX","SPXW",     $M$1="RUT","RUTW",  $M$1="NDX","NDXP",   TRUE,$M$1 )</f>
        <v>SPXW</v>
      </c>
      <c r="AU1302" s="2">
        <f t="shared" si="132"/>
        <v>6915</v>
      </c>
      <c r="AV1302" t="str">
        <f t="shared" si="133"/>
        <v>000100</v>
      </c>
      <c r="AY130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2">
        <f>((Table1334567[[#This Row],[High C]]+Table1334567[[#This Row],[Low C]])/2)*Table1334567[[#This Row],[gammac]]*Table1334567[[#This Row],[Volume]]</f>
        <v>0</v>
      </c>
      <c r="BD1302">
        <f>((Table1334567[[#This Row],[High P]]+Table1334567[[#This Row],[Low P]])/2)*Table1334567[[#This Row],[gammap]]*Table1334567[[#This Row],[Volume9]]*-1</f>
        <v>0</v>
      </c>
      <c r="BE1302">
        <f>(Table1334567[[#This Row],[SgammaC]]+Table1334567[[#This Row],[SgammaP]])*$A$4*-100</f>
        <v>0</v>
      </c>
      <c r="BF1302">
        <f>Table1334567[[#This Row],[DEXc]]+Table1334567[[#This Row],[DEXp]]</f>
        <v>0</v>
      </c>
      <c r="BG1302">
        <f>IFERROR(Table1334567[[#This Row],[DeltaC]]*Table1334567[[#This Row],[Open.Int]]*$A$4,0)</f>
        <v>0</v>
      </c>
      <c r="BH1302">
        <f>IFERROR(Table1334567[[#This Row],[DeltaP]]*Table1334567[[#This Row],[Open.Int8]]*$A$4,0)</f>
        <v>0</v>
      </c>
      <c r="BI130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2">
        <f ca="1">Table1334567[[#This Row],[charmc]]+Table1334567[[#This Row],[charmp]]</f>
        <v>0</v>
      </c>
      <c r="BL130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2" s="78">
        <f ca="1">Table1334567[[#This Row],[call helper]]+Table1334567[[#This Row],[put helper]]</f>
        <v>0</v>
      </c>
      <c r="BP1302" t="str">
        <f>RTD("tos.rtd", , "STRIKE", "."&amp;Table1334567[[#This Row],[Ticker]]&amp;Table1334567[[#This Row],[Expiry]]&amp;""&amp;"C"&amp;Table1334567[[#This Row],[Spot]]+Table1334567[[#This Row],[step]])</f>
        <v>N/A</v>
      </c>
    </row>
    <row r="1303" spans="1:68" x14ac:dyDescent="0.25">
      <c r="A1303" s="14">
        <f t="shared" ca="1" si="129"/>
        <v>-126.14810350076104</v>
      </c>
      <c r="C1303" s="17"/>
      <c r="D1303" t="str">
        <f>RTD("tos.rtd", , "OPEN_INT", "."&amp;Table1334567[[#This Row],[Ticker]]&amp;Table1334567[[#This Row],[Expiry]]&amp;""&amp;"C"&amp;Table1334567[[#This Row],[Spot]]+Table1334567[[#This Row],[step]])</f>
        <v>N/A</v>
      </c>
      <c r="E130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3" s="17" cm="1">
        <f t="array" aca="1" ref="H1303" ca="1">IndividualLegIVCore($A$4, Table1334567[[#This Row],[Strike]], 0.0411, Table1334567[[#This Row],[T]], ((Table1334567[[#This Row],[BIDC]]+Table1334567[[#This Row],[ASKC]])/2), TRUE)</f>
        <v>0.01</v>
      </c>
      <c r="I130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3" s="17"/>
      <c r="M1303" s="1">
        <f t="shared" si="130"/>
        <v>0</v>
      </c>
      <c r="N1303" t="b">
        <f t="shared" si="131"/>
        <v>0</v>
      </c>
      <c r="P1303" s="17" cm="1">
        <f t="array" aca="1" ref="P1303" ca="1">IndividualLegIVCore($A$4, Table1334567[[#This Row],[Strike]], 0.0411, Table1334567[[#This Row],[T]], ((Table1334567[[#This Row],[BIDP]]+Table1334567[[#This Row],[ASKP]])/2), FALSE)</f>
        <v>0.01</v>
      </c>
      <c r="Q130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3" s="17"/>
      <c r="T130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3" s="19">
        <f>-12.5* IF($M$1="NDX", 10, IF(OR($M$1="SPX", $M$1="RUT"), 2, 1))</f>
        <v>-25</v>
      </c>
      <c r="Z1303">
        <f ca="1">IFERROR(Table1334567[[#This Row],[call gamma]]*(Table1334567[[#This Row],[Open.Int]])*$A$4^2,0)</f>
        <v>0</v>
      </c>
      <c r="AA1303">
        <f ca="1">IFERROR(((Table1334567[[#This Row],[Open.Int8]])*Table1334567[[#This Row],[Put gamma]])*-1*$A$4^2,0)</f>
        <v>0</v>
      </c>
      <c r="AB1303">
        <f ca="1">(Table1334567[[#This Row],[Call Gex]]+Table1334567[[#This Row],[Put Gex]])</f>
        <v>0</v>
      </c>
      <c r="AC1303">
        <f ca="1">Table1334567[[#This Row],[put delta adj]]+Table1334567[[#This Row],[call delta adj]]</f>
        <v>0</v>
      </c>
      <c r="AD1303">
        <f ca="1">Table1334567[[#This Row],[Put Gex]]*Table1334567[[#This Row],[DeltaP]]*-1</f>
        <v>0</v>
      </c>
      <c r="AE1303">
        <f ca="1">Table1334567[[#This Row],[Call Gex]]*Table1334567[[#This Row],[DeltaC]]</f>
        <v>0</v>
      </c>
      <c r="AF1303">
        <f>IF(Table1334567[[#This Row],[DeltaC]]-ABS(Table1334567[[#This Row],[DeltaP]])="0","0.01",Table1334567[[#This Row],[DeltaC]]-ABS(Table1334567[[#This Row],[DeltaP]]))</f>
        <v>0</v>
      </c>
      <c r="AG130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3" t="e">
        <f ca="1">(EXP(-(AG1303^2)/2)/SQRT(2*PI())*EXP(0*SQRT(Table1334567[[#This Row],[T]]))/$A$4*18%*SQRT(SQRT(Table1334567[[#This Row],[T]])))</f>
        <v>#DIV/0!</v>
      </c>
      <c r="AJ1303" t="e">
        <f ca="1">(EXP(-(AH1303^2)/2)/SQRT(2*PI())*EXP(0*SQRT(Table1334567[[#This Row],[T]]))/$A$4*18%*SQRT(SQRT(Table1334567[[#This Row],[T]])))</f>
        <v>#DIV/0!</v>
      </c>
      <c r="AK1303" t="e">
        <f ca="1">Table1334567[[#This Row],[Call D1]]-Table1334567[[#This Row],[IV Calc C]]*SQRT(Table1334567[[#This Row],[T]])</f>
        <v>#DIV/0!</v>
      </c>
      <c r="AL1303" t="e">
        <f ca="1">Table1334567[[#This Row],[Put D1]]-Table1334567[[#This Row],[IV Calc P]]*SQRT(Table1334567[[#This Row],[T]])</f>
        <v>#DIV/0!</v>
      </c>
      <c r="AM1303" t="e">
        <f ca="1">EXP(-0.5*Table1334567[[#This Row],[Call D1]]^2)/SQRT(2*PI())</f>
        <v>#DIV/0!</v>
      </c>
      <c r="AN1303" t="e">
        <f ca="1">EXP(-0.5*Table1334567[[#This Row],[Put D1]]^2)/SQRT(2*PI())</f>
        <v>#DIV/0!</v>
      </c>
      <c r="AO130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3">
        <f ca="1">((Table1334567[[#This Row],[call vanna]]+Table1334567[[#This Row],[put vanna]])*$A$4)</f>
        <v>0</v>
      </c>
      <c r="AR130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3" s="9" t="str" cm="1">
        <f t="array" ref="AT1303">_xlfn.IFS(     $M$1="SPX","SPXW",     $M$1="RUT","RUTW",  $M$1="NDX","NDXP",   TRUE,$M$1 )</f>
        <v>SPXW</v>
      </c>
      <c r="AU1303" s="2">
        <f t="shared" si="132"/>
        <v>6915</v>
      </c>
      <c r="AV1303" t="str">
        <f t="shared" si="133"/>
        <v>000100</v>
      </c>
      <c r="AY130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3">
        <f>((Table1334567[[#This Row],[High C]]+Table1334567[[#This Row],[Low C]])/2)*Table1334567[[#This Row],[gammac]]*Table1334567[[#This Row],[Volume]]</f>
        <v>0</v>
      </c>
      <c r="BD1303">
        <f>((Table1334567[[#This Row],[High P]]+Table1334567[[#This Row],[Low P]])/2)*Table1334567[[#This Row],[gammap]]*Table1334567[[#This Row],[Volume9]]*-1</f>
        <v>0</v>
      </c>
      <c r="BE1303">
        <f>(Table1334567[[#This Row],[SgammaC]]+Table1334567[[#This Row],[SgammaP]])*$A$4*-100</f>
        <v>0</v>
      </c>
      <c r="BF1303">
        <f>Table1334567[[#This Row],[DEXc]]+Table1334567[[#This Row],[DEXp]]</f>
        <v>0</v>
      </c>
      <c r="BG1303">
        <f>IFERROR(Table1334567[[#This Row],[DeltaC]]*Table1334567[[#This Row],[Open.Int]]*$A$4,0)</f>
        <v>0</v>
      </c>
      <c r="BH1303">
        <f>IFERROR(Table1334567[[#This Row],[DeltaP]]*Table1334567[[#This Row],[Open.Int8]]*$A$4,0)</f>
        <v>0</v>
      </c>
      <c r="BI130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3">
        <f ca="1">Table1334567[[#This Row],[charmc]]+Table1334567[[#This Row],[charmp]]</f>
        <v>0</v>
      </c>
      <c r="BL130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3" s="78">
        <f ca="1">Table1334567[[#This Row],[call helper]]+Table1334567[[#This Row],[put helper]]</f>
        <v>0</v>
      </c>
      <c r="BP1303" t="str">
        <f>RTD("tos.rtd", , "STRIKE", "."&amp;Table1334567[[#This Row],[Ticker]]&amp;Table1334567[[#This Row],[Expiry]]&amp;""&amp;"C"&amp;Table1334567[[#This Row],[Spot]]+Table1334567[[#This Row],[step]])</f>
        <v>N/A</v>
      </c>
    </row>
    <row r="1304" spans="1:68" x14ac:dyDescent="0.25">
      <c r="A1304" s="14">
        <f t="shared" ca="1" si="129"/>
        <v>-126.14810350076104</v>
      </c>
      <c r="C1304" s="17"/>
      <c r="D1304" t="str">
        <f>RTD("tos.rtd", , "OPEN_INT", "."&amp;Table1334567[[#This Row],[Ticker]]&amp;Table1334567[[#This Row],[Expiry]]&amp;""&amp;"C"&amp;Table1334567[[#This Row],[Spot]]+Table1334567[[#This Row],[step]])</f>
        <v>N/A</v>
      </c>
      <c r="E130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4" s="17" cm="1">
        <f t="array" aca="1" ref="H1304" ca="1">IndividualLegIVCore($A$4, Table1334567[[#This Row],[Strike]], 0.0411, Table1334567[[#This Row],[T]], ((Table1334567[[#This Row],[BIDC]]+Table1334567[[#This Row],[ASKC]])/2), TRUE)</f>
        <v>0.01</v>
      </c>
      <c r="I130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4" s="17"/>
      <c r="M1304" s="1">
        <f t="shared" si="130"/>
        <v>0</v>
      </c>
      <c r="N1304" t="b">
        <f t="shared" si="131"/>
        <v>0</v>
      </c>
      <c r="P1304" s="17" cm="1">
        <f t="array" aca="1" ref="P1304" ca="1">IndividualLegIVCore($A$4, Table1334567[[#This Row],[Strike]], 0.0411, Table1334567[[#This Row],[T]], ((Table1334567[[#This Row],[BIDP]]+Table1334567[[#This Row],[ASKP]])/2), FALSE)</f>
        <v>0.01</v>
      </c>
      <c r="Q130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4" s="17"/>
      <c r="T130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4" s="19">
        <f>-12* IF($M$1="NDX", 10, IF(OR($M$1="SPX", $M$1="RUT"), 2, 1))</f>
        <v>-24</v>
      </c>
      <c r="Z1304">
        <f ca="1">IFERROR(Table1334567[[#This Row],[call gamma]]*(Table1334567[[#This Row],[Open.Int]])*$A$4^2,0)</f>
        <v>0</v>
      </c>
      <c r="AA1304">
        <f ca="1">IFERROR(((Table1334567[[#This Row],[Open.Int8]])*Table1334567[[#This Row],[Put gamma]])*-1*$A$4^2,0)</f>
        <v>0</v>
      </c>
      <c r="AB1304">
        <f ca="1">(Table1334567[[#This Row],[Call Gex]]+Table1334567[[#This Row],[Put Gex]])</f>
        <v>0</v>
      </c>
      <c r="AC1304">
        <f ca="1">Table1334567[[#This Row],[put delta adj]]+Table1334567[[#This Row],[call delta adj]]</f>
        <v>0</v>
      </c>
      <c r="AD1304">
        <f ca="1">Table1334567[[#This Row],[Put Gex]]*Table1334567[[#This Row],[DeltaP]]*-1</f>
        <v>0</v>
      </c>
      <c r="AE1304">
        <f ca="1">Table1334567[[#This Row],[Call Gex]]*Table1334567[[#This Row],[DeltaC]]</f>
        <v>0</v>
      </c>
      <c r="AF1304">
        <f>IF(Table1334567[[#This Row],[DeltaC]]-ABS(Table1334567[[#This Row],[DeltaP]])="0","0.01",Table1334567[[#This Row],[DeltaC]]-ABS(Table1334567[[#This Row],[DeltaP]]))</f>
        <v>0</v>
      </c>
      <c r="AG130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4" t="e">
        <f ca="1">(EXP(-(AG1304^2)/2)/SQRT(2*PI())*EXP(0*SQRT(Table1334567[[#This Row],[T]]))/$A$4*18%*SQRT(SQRT(Table1334567[[#This Row],[T]])))</f>
        <v>#DIV/0!</v>
      </c>
      <c r="AJ1304" t="e">
        <f ca="1">(EXP(-(AH1304^2)/2)/SQRT(2*PI())*EXP(0*SQRT(Table1334567[[#This Row],[T]]))/$A$4*18%*SQRT(SQRT(Table1334567[[#This Row],[T]])))</f>
        <v>#DIV/0!</v>
      </c>
      <c r="AK1304" t="e">
        <f ca="1">Table1334567[[#This Row],[Call D1]]-Table1334567[[#This Row],[IV Calc C]]*SQRT(Table1334567[[#This Row],[T]])</f>
        <v>#DIV/0!</v>
      </c>
      <c r="AL1304" t="e">
        <f ca="1">Table1334567[[#This Row],[Put D1]]-Table1334567[[#This Row],[IV Calc P]]*SQRT(Table1334567[[#This Row],[T]])</f>
        <v>#DIV/0!</v>
      </c>
      <c r="AM1304" t="e">
        <f ca="1">EXP(-0.5*Table1334567[[#This Row],[Call D1]]^2)/SQRT(2*PI())</f>
        <v>#DIV/0!</v>
      </c>
      <c r="AN1304" t="e">
        <f ca="1">EXP(-0.5*Table1334567[[#This Row],[Put D1]]^2)/SQRT(2*PI())</f>
        <v>#DIV/0!</v>
      </c>
      <c r="AO130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4">
        <f ca="1">((Table1334567[[#This Row],[call vanna]]+Table1334567[[#This Row],[put vanna]])*$A$4)</f>
        <v>0</v>
      </c>
      <c r="AR130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4" s="9" t="str" cm="1">
        <f t="array" ref="AT1304">_xlfn.IFS(     $M$1="SPX","SPXW",     $M$1="RUT","RUTW",  $M$1="NDX","NDXP",   TRUE,$M$1 )</f>
        <v>SPXW</v>
      </c>
      <c r="AU1304" s="2">
        <f t="shared" si="132"/>
        <v>6915</v>
      </c>
      <c r="AV1304" t="str">
        <f t="shared" si="133"/>
        <v>000100</v>
      </c>
      <c r="AY130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4">
        <f>((Table1334567[[#This Row],[High C]]+Table1334567[[#This Row],[Low C]])/2)*Table1334567[[#This Row],[gammac]]*Table1334567[[#This Row],[Volume]]</f>
        <v>0</v>
      </c>
      <c r="BD1304">
        <f>((Table1334567[[#This Row],[High P]]+Table1334567[[#This Row],[Low P]])/2)*Table1334567[[#This Row],[gammap]]*Table1334567[[#This Row],[Volume9]]*-1</f>
        <v>0</v>
      </c>
      <c r="BE1304">
        <f>(Table1334567[[#This Row],[SgammaC]]+Table1334567[[#This Row],[SgammaP]])*$A$4*-100</f>
        <v>0</v>
      </c>
      <c r="BF1304">
        <f>Table1334567[[#This Row],[DEXc]]+Table1334567[[#This Row],[DEXp]]</f>
        <v>0</v>
      </c>
      <c r="BG1304">
        <f>IFERROR(Table1334567[[#This Row],[DeltaC]]*Table1334567[[#This Row],[Open.Int]]*$A$4,0)</f>
        <v>0</v>
      </c>
      <c r="BH1304">
        <f>IFERROR(Table1334567[[#This Row],[DeltaP]]*Table1334567[[#This Row],[Open.Int8]]*$A$4,0)</f>
        <v>0</v>
      </c>
      <c r="BI130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4">
        <f ca="1">Table1334567[[#This Row],[charmc]]+Table1334567[[#This Row],[charmp]]</f>
        <v>0</v>
      </c>
      <c r="BL130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4" s="78">
        <f ca="1">Table1334567[[#This Row],[call helper]]+Table1334567[[#This Row],[put helper]]</f>
        <v>0</v>
      </c>
      <c r="BP1304" t="str">
        <f>RTD("tos.rtd", , "STRIKE", "."&amp;Table1334567[[#This Row],[Ticker]]&amp;Table1334567[[#This Row],[Expiry]]&amp;""&amp;"C"&amp;Table1334567[[#This Row],[Spot]]+Table1334567[[#This Row],[step]])</f>
        <v>N/A</v>
      </c>
    </row>
    <row r="1305" spans="1:68" x14ac:dyDescent="0.25">
      <c r="A1305" s="14">
        <f t="shared" ca="1" si="129"/>
        <v>-126.14810350076104</v>
      </c>
      <c r="C1305" s="17"/>
      <c r="D1305" t="str">
        <f>RTD("tos.rtd", , "OPEN_INT", "."&amp;Table1334567[[#This Row],[Ticker]]&amp;Table1334567[[#This Row],[Expiry]]&amp;""&amp;"C"&amp;Table1334567[[#This Row],[Spot]]+Table1334567[[#This Row],[step]])</f>
        <v>N/A</v>
      </c>
      <c r="E130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5" s="17" cm="1">
        <f t="array" aca="1" ref="H1305" ca="1">IndividualLegIVCore($A$4, Table1334567[[#This Row],[Strike]], 0.0411, Table1334567[[#This Row],[T]], ((Table1334567[[#This Row],[BIDC]]+Table1334567[[#This Row],[ASKC]])/2), TRUE)</f>
        <v>0.01</v>
      </c>
      <c r="I130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5" s="17"/>
      <c r="M1305" s="1">
        <f t="shared" si="130"/>
        <v>0</v>
      </c>
      <c r="N1305" t="b">
        <f t="shared" si="131"/>
        <v>0</v>
      </c>
      <c r="P1305" s="17" cm="1">
        <f t="array" aca="1" ref="P1305" ca="1">IndividualLegIVCore($A$4, Table1334567[[#This Row],[Strike]], 0.0411, Table1334567[[#This Row],[T]], ((Table1334567[[#This Row],[BIDP]]+Table1334567[[#This Row],[ASKP]])/2), FALSE)</f>
        <v>0.01</v>
      </c>
      <c r="Q130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5" s="17"/>
      <c r="T130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5" s="19">
        <f>-11.5* IF($M$1="NDX", 10, IF(OR($M$1="SPX", $M$1="RUT"), 2, 1))</f>
        <v>-23</v>
      </c>
      <c r="Z1305">
        <f ca="1">IFERROR(Table1334567[[#This Row],[call gamma]]*(Table1334567[[#This Row],[Open.Int]])*$A$4^2,0)</f>
        <v>0</v>
      </c>
      <c r="AA1305">
        <f ca="1">IFERROR(((Table1334567[[#This Row],[Open.Int8]])*Table1334567[[#This Row],[Put gamma]])*-1*$A$4^2,0)</f>
        <v>0</v>
      </c>
      <c r="AB1305">
        <f ca="1">(Table1334567[[#This Row],[Call Gex]]+Table1334567[[#This Row],[Put Gex]])</f>
        <v>0</v>
      </c>
      <c r="AC1305">
        <f ca="1">Table1334567[[#This Row],[put delta adj]]+Table1334567[[#This Row],[call delta adj]]</f>
        <v>0</v>
      </c>
      <c r="AD1305">
        <f ca="1">Table1334567[[#This Row],[Put Gex]]*Table1334567[[#This Row],[DeltaP]]*-1</f>
        <v>0</v>
      </c>
      <c r="AE1305">
        <f ca="1">Table1334567[[#This Row],[Call Gex]]*Table1334567[[#This Row],[DeltaC]]</f>
        <v>0</v>
      </c>
      <c r="AF1305">
        <f>IF(Table1334567[[#This Row],[DeltaC]]-ABS(Table1334567[[#This Row],[DeltaP]])="0","0.01",Table1334567[[#This Row],[DeltaC]]-ABS(Table1334567[[#This Row],[DeltaP]]))</f>
        <v>0</v>
      </c>
      <c r="AG130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5" t="e">
        <f ca="1">(EXP(-(AG1305^2)/2)/SQRT(2*PI())*EXP(0*SQRT(Table1334567[[#This Row],[T]]))/$A$4*18%*SQRT(SQRT(Table1334567[[#This Row],[T]])))</f>
        <v>#DIV/0!</v>
      </c>
      <c r="AJ1305" t="e">
        <f ca="1">(EXP(-(AH1305^2)/2)/SQRT(2*PI())*EXP(0*SQRT(Table1334567[[#This Row],[T]]))/$A$4*18%*SQRT(SQRT(Table1334567[[#This Row],[T]])))</f>
        <v>#DIV/0!</v>
      </c>
      <c r="AK1305" t="e">
        <f ca="1">Table1334567[[#This Row],[Call D1]]-Table1334567[[#This Row],[IV Calc C]]*SQRT(Table1334567[[#This Row],[T]])</f>
        <v>#DIV/0!</v>
      </c>
      <c r="AL1305" t="e">
        <f ca="1">Table1334567[[#This Row],[Put D1]]-Table1334567[[#This Row],[IV Calc P]]*SQRT(Table1334567[[#This Row],[T]])</f>
        <v>#DIV/0!</v>
      </c>
      <c r="AM1305" t="e">
        <f ca="1">EXP(-0.5*Table1334567[[#This Row],[Call D1]]^2)/SQRT(2*PI())</f>
        <v>#DIV/0!</v>
      </c>
      <c r="AN1305" t="e">
        <f ca="1">EXP(-0.5*Table1334567[[#This Row],[Put D1]]^2)/SQRT(2*PI())</f>
        <v>#DIV/0!</v>
      </c>
      <c r="AO130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5">
        <f ca="1">((Table1334567[[#This Row],[call vanna]]+Table1334567[[#This Row],[put vanna]])*$A$4)</f>
        <v>0</v>
      </c>
      <c r="AR130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5" s="9" t="str" cm="1">
        <f t="array" ref="AT1305">_xlfn.IFS(     $M$1="SPX","SPXW",     $M$1="RUT","RUTW",  $M$1="NDX","NDXP",   TRUE,$M$1 )</f>
        <v>SPXW</v>
      </c>
      <c r="AU1305" s="2">
        <f t="shared" si="132"/>
        <v>6915</v>
      </c>
      <c r="AV1305" t="str">
        <f t="shared" si="133"/>
        <v>000100</v>
      </c>
      <c r="AY130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5">
        <f>((Table1334567[[#This Row],[High C]]+Table1334567[[#This Row],[Low C]])/2)*Table1334567[[#This Row],[gammac]]*Table1334567[[#This Row],[Volume]]</f>
        <v>0</v>
      </c>
      <c r="BD1305">
        <f>((Table1334567[[#This Row],[High P]]+Table1334567[[#This Row],[Low P]])/2)*Table1334567[[#This Row],[gammap]]*Table1334567[[#This Row],[Volume9]]*-1</f>
        <v>0</v>
      </c>
      <c r="BE1305">
        <f>(Table1334567[[#This Row],[SgammaC]]+Table1334567[[#This Row],[SgammaP]])*$A$4*-100</f>
        <v>0</v>
      </c>
      <c r="BF1305">
        <f>Table1334567[[#This Row],[DEXc]]+Table1334567[[#This Row],[DEXp]]</f>
        <v>0</v>
      </c>
      <c r="BG1305">
        <f>IFERROR(Table1334567[[#This Row],[DeltaC]]*Table1334567[[#This Row],[Open.Int]]*$A$4,0)</f>
        <v>0</v>
      </c>
      <c r="BH1305">
        <f>IFERROR(Table1334567[[#This Row],[DeltaP]]*Table1334567[[#This Row],[Open.Int8]]*$A$4,0)</f>
        <v>0</v>
      </c>
      <c r="BI130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5">
        <f ca="1">Table1334567[[#This Row],[charmc]]+Table1334567[[#This Row],[charmp]]</f>
        <v>0</v>
      </c>
      <c r="BL130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5" s="78">
        <f ca="1">Table1334567[[#This Row],[call helper]]+Table1334567[[#This Row],[put helper]]</f>
        <v>0</v>
      </c>
      <c r="BP1305" t="str">
        <f>RTD("tos.rtd", , "STRIKE", "."&amp;Table1334567[[#This Row],[Ticker]]&amp;Table1334567[[#This Row],[Expiry]]&amp;""&amp;"C"&amp;Table1334567[[#This Row],[Spot]]+Table1334567[[#This Row],[step]])</f>
        <v>N/A</v>
      </c>
    </row>
    <row r="1306" spans="1:68" x14ac:dyDescent="0.25">
      <c r="A1306" s="14">
        <f t="shared" ca="1" si="129"/>
        <v>-126.14810350076104</v>
      </c>
      <c r="C1306" s="17"/>
      <c r="D1306" t="str">
        <f>RTD("tos.rtd", , "OPEN_INT", "."&amp;Table1334567[[#This Row],[Ticker]]&amp;Table1334567[[#This Row],[Expiry]]&amp;""&amp;"C"&amp;Table1334567[[#This Row],[Spot]]+Table1334567[[#This Row],[step]])</f>
        <v>N/A</v>
      </c>
      <c r="E130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6" s="17" cm="1">
        <f t="array" aca="1" ref="H1306" ca="1">IndividualLegIVCore($A$4, Table1334567[[#This Row],[Strike]], 0.0411, Table1334567[[#This Row],[T]], ((Table1334567[[#This Row],[BIDC]]+Table1334567[[#This Row],[ASKC]])/2), TRUE)</f>
        <v>0.01</v>
      </c>
      <c r="I130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6" s="17"/>
      <c r="M1306" s="1">
        <f t="shared" si="130"/>
        <v>0</v>
      </c>
      <c r="N1306" t="b">
        <f t="shared" si="131"/>
        <v>0</v>
      </c>
      <c r="P1306" s="17" cm="1">
        <f t="array" aca="1" ref="P1306" ca="1">IndividualLegIVCore($A$4, Table1334567[[#This Row],[Strike]], 0.0411, Table1334567[[#This Row],[T]], ((Table1334567[[#This Row],[BIDP]]+Table1334567[[#This Row],[ASKP]])/2), FALSE)</f>
        <v>0.01</v>
      </c>
      <c r="Q130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6" s="17"/>
      <c r="T130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6" s="19">
        <f>-11* IF($M$1="NDX", 10, IF(OR($M$1="SPX", $M$1="RUT"), 2, 1))</f>
        <v>-22</v>
      </c>
      <c r="Z1306">
        <f ca="1">IFERROR(Table1334567[[#This Row],[call gamma]]*(Table1334567[[#This Row],[Open.Int]])*$A$4^2,0)</f>
        <v>0</v>
      </c>
      <c r="AA1306">
        <f ca="1">IFERROR(((Table1334567[[#This Row],[Open.Int8]])*Table1334567[[#This Row],[Put gamma]])*-1*$A$4^2,0)</f>
        <v>0</v>
      </c>
      <c r="AB1306">
        <f ca="1">(Table1334567[[#This Row],[Call Gex]]+Table1334567[[#This Row],[Put Gex]])</f>
        <v>0</v>
      </c>
      <c r="AC1306">
        <f ca="1">Table1334567[[#This Row],[put delta adj]]+Table1334567[[#This Row],[call delta adj]]</f>
        <v>0</v>
      </c>
      <c r="AD1306">
        <f ca="1">Table1334567[[#This Row],[Put Gex]]*Table1334567[[#This Row],[DeltaP]]*-1</f>
        <v>0</v>
      </c>
      <c r="AE1306">
        <f ca="1">Table1334567[[#This Row],[Call Gex]]*Table1334567[[#This Row],[DeltaC]]</f>
        <v>0</v>
      </c>
      <c r="AF1306">
        <f>IF(Table1334567[[#This Row],[DeltaC]]-ABS(Table1334567[[#This Row],[DeltaP]])="0","0.01",Table1334567[[#This Row],[DeltaC]]-ABS(Table1334567[[#This Row],[DeltaP]]))</f>
        <v>0</v>
      </c>
      <c r="AG130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6" t="e">
        <f ca="1">(EXP(-(AG1306^2)/2)/SQRT(2*PI())*EXP(0*SQRT(Table1334567[[#This Row],[T]]))/$A$4*18%*SQRT(SQRT(Table1334567[[#This Row],[T]])))</f>
        <v>#DIV/0!</v>
      </c>
      <c r="AJ1306" t="e">
        <f ca="1">(EXP(-(AH1306^2)/2)/SQRT(2*PI())*EXP(0*SQRT(Table1334567[[#This Row],[T]]))/$A$4*18%*SQRT(SQRT(Table1334567[[#This Row],[T]])))</f>
        <v>#DIV/0!</v>
      </c>
      <c r="AK1306" t="e">
        <f ca="1">Table1334567[[#This Row],[Call D1]]-Table1334567[[#This Row],[IV Calc C]]*SQRT(Table1334567[[#This Row],[T]])</f>
        <v>#DIV/0!</v>
      </c>
      <c r="AL1306" t="e">
        <f ca="1">Table1334567[[#This Row],[Put D1]]-Table1334567[[#This Row],[IV Calc P]]*SQRT(Table1334567[[#This Row],[T]])</f>
        <v>#DIV/0!</v>
      </c>
      <c r="AM1306" t="e">
        <f ca="1">EXP(-0.5*Table1334567[[#This Row],[Call D1]]^2)/SQRT(2*PI())</f>
        <v>#DIV/0!</v>
      </c>
      <c r="AN1306" t="e">
        <f ca="1">EXP(-0.5*Table1334567[[#This Row],[Put D1]]^2)/SQRT(2*PI())</f>
        <v>#DIV/0!</v>
      </c>
      <c r="AO130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6">
        <f ca="1">((Table1334567[[#This Row],[call vanna]]+Table1334567[[#This Row],[put vanna]])*$A$4)</f>
        <v>0</v>
      </c>
      <c r="AR130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6" s="9" t="str" cm="1">
        <f t="array" ref="AT1306">_xlfn.IFS(     $M$1="SPX","SPXW",     $M$1="RUT","RUTW",  $M$1="NDX","NDXP",   TRUE,$M$1 )</f>
        <v>SPXW</v>
      </c>
      <c r="AU1306" s="2">
        <f t="shared" si="132"/>
        <v>6915</v>
      </c>
      <c r="AV1306" t="str">
        <f t="shared" si="133"/>
        <v>000100</v>
      </c>
      <c r="AY130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6">
        <f>((Table1334567[[#This Row],[High C]]+Table1334567[[#This Row],[Low C]])/2)*Table1334567[[#This Row],[gammac]]*Table1334567[[#This Row],[Volume]]</f>
        <v>0</v>
      </c>
      <c r="BD1306">
        <f>((Table1334567[[#This Row],[High P]]+Table1334567[[#This Row],[Low P]])/2)*Table1334567[[#This Row],[gammap]]*Table1334567[[#This Row],[Volume9]]*-1</f>
        <v>0</v>
      </c>
      <c r="BE1306">
        <f>(Table1334567[[#This Row],[SgammaC]]+Table1334567[[#This Row],[SgammaP]])*$A$4*-100</f>
        <v>0</v>
      </c>
      <c r="BF1306">
        <f>Table1334567[[#This Row],[DEXc]]+Table1334567[[#This Row],[DEXp]]</f>
        <v>0</v>
      </c>
      <c r="BG1306">
        <f>IFERROR(Table1334567[[#This Row],[DeltaC]]*Table1334567[[#This Row],[Open.Int]]*$A$4,0)</f>
        <v>0</v>
      </c>
      <c r="BH1306">
        <f>IFERROR(Table1334567[[#This Row],[DeltaP]]*Table1334567[[#This Row],[Open.Int8]]*$A$4,0)</f>
        <v>0</v>
      </c>
      <c r="BI130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6">
        <f ca="1">Table1334567[[#This Row],[charmc]]+Table1334567[[#This Row],[charmp]]</f>
        <v>0</v>
      </c>
      <c r="BL130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6" s="78">
        <f ca="1">Table1334567[[#This Row],[call helper]]+Table1334567[[#This Row],[put helper]]</f>
        <v>0</v>
      </c>
      <c r="BP1306" t="str">
        <f>RTD("tos.rtd", , "STRIKE", "."&amp;Table1334567[[#This Row],[Ticker]]&amp;Table1334567[[#This Row],[Expiry]]&amp;""&amp;"C"&amp;Table1334567[[#This Row],[Spot]]+Table1334567[[#This Row],[step]])</f>
        <v>N/A</v>
      </c>
    </row>
    <row r="1307" spans="1:68" x14ac:dyDescent="0.25">
      <c r="A1307" s="14">
        <f t="shared" ca="1" si="129"/>
        <v>-126.14810350076104</v>
      </c>
      <c r="C1307" s="17"/>
      <c r="D1307" t="str">
        <f>RTD("tos.rtd", , "OPEN_INT", "."&amp;Table1334567[[#This Row],[Ticker]]&amp;Table1334567[[#This Row],[Expiry]]&amp;""&amp;"C"&amp;Table1334567[[#This Row],[Spot]]+Table1334567[[#This Row],[step]])</f>
        <v>N/A</v>
      </c>
      <c r="E130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7" s="17" cm="1">
        <f t="array" aca="1" ref="H1307" ca="1">IndividualLegIVCore($A$4, Table1334567[[#This Row],[Strike]], 0.0411, Table1334567[[#This Row],[T]], ((Table1334567[[#This Row],[BIDC]]+Table1334567[[#This Row],[ASKC]])/2), TRUE)</f>
        <v>0.01</v>
      </c>
      <c r="I130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7" s="17"/>
      <c r="M1307" s="1">
        <f t="shared" si="130"/>
        <v>0</v>
      </c>
      <c r="N1307" t="b">
        <f t="shared" si="131"/>
        <v>0</v>
      </c>
      <c r="P1307" s="17" cm="1">
        <f t="array" aca="1" ref="P1307" ca="1">IndividualLegIVCore($A$4, Table1334567[[#This Row],[Strike]], 0.0411, Table1334567[[#This Row],[T]], ((Table1334567[[#This Row],[BIDP]]+Table1334567[[#This Row],[ASKP]])/2), FALSE)</f>
        <v>0.01</v>
      </c>
      <c r="Q130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7" s="17"/>
      <c r="T130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7" s="19">
        <f>-10.5* IF($M$1="NDX", 10, IF(OR($M$1="SPX", $M$1="RUT"), 2, 1))</f>
        <v>-21</v>
      </c>
      <c r="Z1307">
        <f ca="1">IFERROR(Table1334567[[#This Row],[call gamma]]*(Table1334567[[#This Row],[Open.Int]])*$A$4^2,0)</f>
        <v>0</v>
      </c>
      <c r="AA1307">
        <f ca="1">IFERROR(((Table1334567[[#This Row],[Open.Int8]])*Table1334567[[#This Row],[Put gamma]])*-1*$A$4^2,0)</f>
        <v>0</v>
      </c>
      <c r="AB1307">
        <f ca="1">(Table1334567[[#This Row],[Call Gex]]+Table1334567[[#This Row],[Put Gex]])</f>
        <v>0</v>
      </c>
      <c r="AC1307">
        <f ca="1">Table1334567[[#This Row],[put delta adj]]+Table1334567[[#This Row],[call delta adj]]</f>
        <v>0</v>
      </c>
      <c r="AD1307">
        <f ca="1">Table1334567[[#This Row],[Put Gex]]*Table1334567[[#This Row],[DeltaP]]*-1</f>
        <v>0</v>
      </c>
      <c r="AE1307">
        <f ca="1">Table1334567[[#This Row],[Call Gex]]*Table1334567[[#This Row],[DeltaC]]</f>
        <v>0</v>
      </c>
      <c r="AF1307">
        <f>IF(Table1334567[[#This Row],[DeltaC]]-ABS(Table1334567[[#This Row],[DeltaP]])="0","0.01",Table1334567[[#This Row],[DeltaC]]-ABS(Table1334567[[#This Row],[DeltaP]]))</f>
        <v>0</v>
      </c>
      <c r="AG130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7" t="e">
        <f ca="1">(EXP(-(AG1307^2)/2)/SQRT(2*PI())*EXP(0*SQRT(Table1334567[[#This Row],[T]]))/$A$4*18%*SQRT(SQRT(Table1334567[[#This Row],[T]])))</f>
        <v>#DIV/0!</v>
      </c>
      <c r="AJ1307" t="e">
        <f ca="1">(EXP(-(AH1307^2)/2)/SQRT(2*PI())*EXP(0*SQRT(Table1334567[[#This Row],[T]]))/$A$4*18%*SQRT(SQRT(Table1334567[[#This Row],[T]])))</f>
        <v>#DIV/0!</v>
      </c>
      <c r="AK1307" t="e">
        <f ca="1">Table1334567[[#This Row],[Call D1]]-Table1334567[[#This Row],[IV Calc C]]*SQRT(Table1334567[[#This Row],[T]])</f>
        <v>#DIV/0!</v>
      </c>
      <c r="AL1307" t="e">
        <f ca="1">Table1334567[[#This Row],[Put D1]]-Table1334567[[#This Row],[IV Calc P]]*SQRT(Table1334567[[#This Row],[T]])</f>
        <v>#DIV/0!</v>
      </c>
      <c r="AM1307" t="e">
        <f ca="1">EXP(-0.5*Table1334567[[#This Row],[Call D1]]^2)/SQRT(2*PI())</f>
        <v>#DIV/0!</v>
      </c>
      <c r="AN1307" t="e">
        <f ca="1">EXP(-0.5*Table1334567[[#This Row],[Put D1]]^2)/SQRT(2*PI())</f>
        <v>#DIV/0!</v>
      </c>
      <c r="AO130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7">
        <f ca="1">((Table1334567[[#This Row],[call vanna]]+Table1334567[[#This Row],[put vanna]])*$A$4)</f>
        <v>0</v>
      </c>
      <c r="AR130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7" s="9" t="str" cm="1">
        <f t="array" ref="AT1307">_xlfn.IFS(     $M$1="SPX","SPXW",     $M$1="RUT","RUTW",  $M$1="NDX","NDXP",   TRUE,$M$1 )</f>
        <v>SPXW</v>
      </c>
      <c r="AU1307" s="2">
        <f t="shared" si="132"/>
        <v>6915</v>
      </c>
      <c r="AV1307" t="str">
        <f t="shared" si="133"/>
        <v>000100</v>
      </c>
      <c r="AY130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7">
        <f>((Table1334567[[#This Row],[High C]]+Table1334567[[#This Row],[Low C]])/2)*Table1334567[[#This Row],[gammac]]*Table1334567[[#This Row],[Volume]]</f>
        <v>0</v>
      </c>
      <c r="BD1307">
        <f>((Table1334567[[#This Row],[High P]]+Table1334567[[#This Row],[Low P]])/2)*Table1334567[[#This Row],[gammap]]*Table1334567[[#This Row],[Volume9]]*-1</f>
        <v>0</v>
      </c>
      <c r="BE1307">
        <f>(Table1334567[[#This Row],[SgammaC]]+Table1334567[[#This Row],[SgammaP]])*$A$4*-100</f>
        <v>0</v>
      </c>
      <c r="BF1307">
        <f>Table1334567[[#This Row],[DEXc]]+Table1334567[[#This Row],[DEXp]]</f>
        <v>0</v>
      </c>
      <c r="BG1307">
        <f>IFERROR(Table1334567[[#This Row],[DeltaC]]*Table1334567[[#This Row],[Open.Int]]*$A$4,0)</f>
        <v>0</v>
      </c>
      <c r="BH1307">
        <f>IFERROR(Table1334567[[#This Row],[DeltaP]]*Table1334567[[#This Row],[Open.Int8]]*$A$4,0)</f>
        <v>0</v>
      </c>
      <c r="BI130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7">
        <f ca="1">Table1334567[[#This Row],[charmc]]+Table1334567[[#This Row],[charmp]]</f>
        <v>0</v>
      </c>
      <c r="BL130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7" s="78">
        <f ca="1">Table1334567[[#This Row],[call helper]]+Table1334567[[#This Row],[put helper]]</f>
        <v>0</v>
      </c>
      <c r="BP1307" t="str">
        <f>RTD("tos.rtd", , "STRIKE", "."&amp;Table1334567[[#This Row],[Ticker]]&amp;Table1334567[[#This Row],[Expiry]]&amp;""&amp;"C"&amp;Table1334567[[#This Row],[Spot]]+Table1334567[[#This Row],[step]])</f>
        <v>N/A</v>
      </c>
    </row>
    <row r="1308" spans="1:68" x14ac:dyDescent="0.25">
      <c r="A1308" s="14">
        <f t="shared" ca="1" si="129"/>
        <v>-126.14810350076104</v>
      </c>
      <c r="C1308" s="17"/>
      <c r="D1308" t="str">
        <f>RTD("tos.rtd", , "OPEN_INT", "."&amp;Table1334567[[#This Row],[Ticker]]&amp;Table1334567[[#This Row],[Expiry]]&amp;""&amp;"C"&amp;Table1334567[[#This Row],[Spot]]+Table1334567[[#This Row],[step]])</f>
        <v>N/A</v>
      </c>
      <c r="E130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8" s="17" cm="1">
        <f t="array" aca="1" ref="H1308" ca="1">IndividualLegIVCore($A$4, Table1334567[[#This Row],[Strike]], 0.0411, Table1334567[[#This Row],[T]], ((Table1334567[[#This Row],[BIDC]]+Table1334567[[#This Row],[ASKC]])/2), TRUE)</f>
        <v>0.01</v>
      </c>
      <c r="I130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8" s="17"/>
      <c r="M1308" s="1">
        <f t="shared" si="130"/>
        <v>0</v>
      </c>
      <c r="N1308" t="b">
        <f t="shared" si="131"/>
        <v>0</v>
      </c>
      <c r="P1308" s="17" cm="1">
        <f t="array" aca="1" ref="P1308" ca="1">IndividualLegIVCore($A$4, Table1334567[[#This Row],[Strike]], 0.0411, Table1334567[[#This Row],[T]], ((Table1334567[[#This Row],[BIDP]]+Table1334567[[#This Row],[ASKP]])/2), FALSE)</f>
        <v>0.01</v>
      </c>
      <c r="Q130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8" s="17"/>
      <c r="T130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8" s="19">
        <f>-10* IF($M$1="NDX", 10, IF(OR($M$1="SPX", $M$1="RUT"), 2, 1))</f>
        <v>-20</v>
      </c>
      <c r="Z1308">
        <f ca="1">IFERROR(Table1334567[[#This Row],[call gamma]]*(Table1334567[[#This Row],[Open.Int]])*$A$4^2,0)</f>
        <v>0</v>
      </c>
      <c r="AA1308">
        <f ca="1">IFERROR(((Table1334567[[#This Row],[Open.Int8]])*Table1334567[[#This Row],[Put gamma]])*-1*$A$4^2,0)</f>
        <v>0</v>
      </c>
      <c r="AB1308">
        <f ca="1">(Table1334567[[#This Row],[Call Gex]]+Table1334567[[#This Row],[Put Gex]])</f>
        <v>0</v>
      </c>
      <c r="AC1308">
        <f ca="1">Table1334567[[#This Row],[put delta adj]]+Table1334567[[#This Row],[call delta adj]]</f>
        <v>0</v>
      </c>
      <c r="AD1308">
        <f ca="1">Table1334567[[#This Row],[Put Gex]]*Table1334567[[#This Row],[DeltaP]]*-1</f>
        <v>0</v>
      </c>
      <c r="AE1308">
        <f ca="1">Table1334567[[#This Row],[Call Gex]]*Table1334567[[#This Row],[DeltaC]]</f>
        <v>0</v>
      </c>
      <c r="AF1308">
        <f>IF(Table1334567[[#This Row],[DeltaC]]-ABS(Table1334567[[#This Row],[DeltaP]])="0","0.01",Table1334567[[#This Row],[DeltaC]]-ABS(Table1334567[[#This Row],[DeltaP]]))</f>
        <v>0</v>
      </c>
      <c r="AG130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8" t="e">
        <f ca="1">(EXP(-(AG1308^2)/2)/SQRT(2*PI())*EXP(0*SQRT(Table1334567[[#This Row],[T]]))/$A$4*18%*SQRT(SQRT(Table1334567[[#This Row],[T]])))</f>
        <v>#DIV/0!</v>
      </c>
      <c r="AJ1308" t="e">
        <f ca="1">(EXP(-(AH1308^2)/2)/SQRT(2*PI())*EXP(0*SQRT(Table1334567[[#This Row],[T]]))/$A$4*18%*SQRT(SQRT(Table1334567[[#This Row],[T]])))</f>
        <v>#DIV/0!</v>
      </c>
      <c r="AK1308" t="e">
        <f ca="1">Table1334567[[#This Row],[Call D1]]-Table1334567[[#This Row],[IV Calc C]]*SQRT(Table1334567[[#This Row],[T]])</f>
        <v>#DIV/0!</v>
      </c>
      <c r="AL1308" t="e">
        <f ca="1">Table1334567[[#This Row],[Put D1]]-Table1334567[[#This Row],[IV Calc P]]*SQRT(Table1334567[[#This Row],[T]])</f>
        <v>#DIV/0!</v>
      </c>
      <c r="AM1308" t="e">
        <f ca="1">EXP(-0.5*Table1334567[[#This Row],[Call D1]]^2)/SQRT(2*PI())</f>
        <v>#DIV/0!</v>
      </c>
      <c r="AN1308" t="e">
        <f ca="1">EXP(-0.5*Table1334567[[#This Row],[Put D1]]^2)/SQRT(2*PI())</f>
        <v>#DIV/0!</v>
      </c>
      <c r="AO130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8">
        <f ca="1">((Table1334567[[#This Row],[call vanna]]+Table1334567[[#This Row],[put vanna]])*$A$4)</f>
        <v>0</v>
      </c>
      <c r="AR130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8" s="9" t="str" cm="1">
        <f t="array" ref="AT1308">_xlfn.IFS(     $M$1="SPX","SPXW",     $M$1="RUT","RUTW",  $M$1="NDX","NDXP",   TRUE,$M$1 )</f>
        <v>SPXW</v>
      </c>
      <c r="AU1308" s="2">
        <f t="shared" si="132"/>
        <v>6915</v>
      </c>
      <c r="AV1308" t="str">
        <f t="shared" si="133"/>
        <v>000100</v>
      </c>
      <c r="AY130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8">
        <f>((Table1334567[[#This Row],[High C]]+Table1334567[[#This Row],[Low C]])/2)*Table1334567[[#This Row],[gammac]]*Table1334567[[#This Row],[Volume]]</f>
        <v>0</v>
      </c>
      <c r="BD1308">
        <f>((Table1334567[[#This Row],[High P]]+Table1334567[[#This Row],[Low P]])/2)*Table1334567[[#This Row],[gammap]]*Table1334567[[#This Row],[Volume9]]*-1</f>
        <v>0</v>
      </c>
      <c r="BE1308">
        <f>(Table1334567[[#This Row],[SgammaC]]+Table1334567[[#This Row],[SgammaP]])*$A$4*-100</f>
        <v>0</v>
      </c>
      <c r="BF1308">
        <f>Table1334567[[#This Row],[DEXc]]+Table1334567[[#This Row],[DEXp]]</f>
        <v>0</v>
      </c>
      <c r="BG1308">
        <f>IFERROR(Table1334567[[#This Row],[DeltaC]]*Table1334567[[#This Row],[Open.Int]]*$A$4,0)</f>
        <v>0</v>
      </c>
      <c r="BH1308">
        <f>IFERROR(Table1334567[[#This Row],[DeltaP]]*Table1334567[[#This Row],[Open.Int8]]*$A$4,0)</f>
        <v>0</v>
      </c>
      <c r="BI130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8">
        <f ca="1">Table1334567[[#This Row],[charmc]]+Table1334567[[#This Row],[charmp]]</f>
        <v>0</v>
      </c>
      <c r="BL130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8" s="78">
        <f ca="1">Table1334567[[#This Row],[call helper]]+Table1334567[[#This Row],[put helper]]</f>
        <v>0</v>
      </c>
      <c r="BP1308" t="str">
        <f>RTD("tos.rtd", , "STRIKE", "."&amp;Table1334567[[#This Row],[Ticker]]&amp;Table1334567[[#This Row],[Expiry]]&amp;""&amp;"C"&amp;Table1334567[[#This Row],[Spot]]+Table1334567[[#This Row],[step]])</f>
        <v>N/A</v>
      </c>
    </row>
    <row r="1309" spans="1:68" x14ac:dyDescent="0.25">
      <c r="A1309" s="14">
        <f t="shared" ca="1" si="129"/>
        <v>-126.14810350076104</v>
      </c>
      <c r="C1309" s="17"/>
      <c r="D1309" t="str">
        <f>RTD("tos.rtd", , "OPEN_INT", "."&amp;Table1334567[[#This Row],[Ticker]]&amp;Table1334567[[#This Row],[Expiry]]&amp;""&amp;"C"&amp;Table1334567[[#This Row],[Spot]]+Table1334567[[#This Row],[step]])</f>
        <v>N/A</v>
      </c>
      <c r="E130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9" s="17" cm="1">
        <f t="array" aca="1" ref="H1309" ca="1">IndividualLegIVCore($A$4, Table1334567[[#This Row],[Strike]], 0.0411, Table1334567[[#This Row],[T]], ((Table1334567[[#This Row],[BIDC]]+Table1334567[[#This Row],[ASKC]])/2), TRUE)</f>
        <v>0.01</v>
      </c>
      <c r="I130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9" s="17"/>
      <c r="M1309" s="1">
        <f t="shared" si="130"/>
        <v>0</v>
      </c>
      <c r="N1309" t="b">
        <f t="shared" si="131"/>
        <v>0</v>
      </c>
      <c r="P1309" s="17" cm="1">
        <f t="array" aca="1" ref="P1309" ca="1">IndividualLegIVCore($A$4, Table1334567[[#This Row],[Strike]], 0.0411, Table1334567[[#This Row],[T]], ((Table1334567[[#This Row],[BIDP]]+Table1334567[[#This Row],[ASKP]])/2), FALSE)</f>
        <v>0.01</v>
      </c>
      <c r="Q130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9" s="17"/>
      <c r="T130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9" s="21">
        <f>-9.5* IF($M$1="NDX", 10, IF(OR($M$1="SPX", $M$1="RUT"), 2, 1))</f>
        <v>-19</v>
      </c>
      <c r="Z1309">
        <f ca="1">IFERROR(Table1334567[[#This Row],[call gamma]]*(Table1334567[[#This Row],[Open.Int]])*$A$4^2,0)</f>
        <v>0</v>
      </c>
      <c r="AA1309">
        <f ca="1">IFERROR(((Table1334567[[#This Row],[Open.Int8]])*Table1334567[[#This Row],[Put gamma]])*-1*$A$4^2,0)</f>
        <v>0</v>
      </c>
      <c r="AB1309">
        <f ca="1">(Table1334567[[#This Row],[Call Gex]]+Table1334567[[#This Row],[Put Gex]])</f>
        <v>0</v>
      </c>
      <c r="AC1309">
        <f ca="1">Table1334567[[#This Row],[put delta adj]]+Table1334567[[#This Row],[call delta adj]]</f>
        <v>0</v>
      </c>
      <c r="AD1309">
        <f ca="1">Table1334567[[#This Row],[Put Gex]]*Table1334567[[#This Row],[DeltaP]]*-1</f>
        <v>0</v>
      </c>
      <c r="AE1309">
        <f ca="1">Table1334567[[#This Row],[Call Gex]]*Table1334567[[#This Row],[DeltaC]]</f>
        <v>0</v>
      </c>
      <c r="AF1309">
        <f>IF(Table1334567[[#This Row],[DeltaC]]-ABS(Table1334567[[#This Row],[DeltaP]])="0","0.01",Table1334567[[#This Row],[DeltaC]]-ABS(Table1334567[[#This Row],[DeltaP]]))</f>
        <v>0</v>
      </c>
      <c r="AG130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9" t="e">
        <f ca="1">(EXP(-(AG1309^2)/2)/SQRT(2*PI())*EXP(0*SQRT(Table1334567[[#This Row],[T]]))/$A$4*18%*SQRT(SQRT(Table1334567[[#This Row],[T]])))</f>
        <v>#DIV/0!</v>
      </c>
      <c r="AJ1309" t="e">
        <f ca="1">(EXP(-(AH1309^2)/2)/SQRT(2*PI())*EXP(0*SQRT(Table1334567[[#This Row],[T]]))/$A$4*18%*SQRT(SQRT(Table1334567[[#This Row],[T]])))</f>
        <v>#DIV/0!</v>
      </c>
      <c r="AK1309" t="e">
        <f ca="1">Table1334567[[#This Row],[Call D1]]-Table1334567[[#This Row],[IV Calc C]]*SQRT(Table1334567[[#This Row],[T]])</f>
        <v>#DIV/0!</v>
      </c>
      <c r="AL1309" t="e">
        <f ca="1">Table1334567[[#This Row],[Put D1]]-Table1334567[[#This Row],[IV Calc P]]*SQRT(Table1334567[[#This Row],[T]])</f>
        <v>#DIV/0!</v>
      </c>
      <c r="AM1309" t="e">
        <f ca="1">EXP(-0.5*Table1334567[[#This Row],[Call D1]]^2)/SQRT(2*PI())</f>
        <v>#DIV/0!</v>
      </c>
      <c r="AN1309" t="e">
        <f ca="1">EXP(-0.5*Table1334567[[#This Row],[Put D1]]^2)/SQRT(2*PI())</f>
        <v>#DIV/0!</v>
      </c>
      <c r="AO130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9">
        <f ca="1">((Table1334567[[#This Row],[call vanna]]+Table1334567[[#This Row],[put vanna]])*$A$4)</f>
        <v>0</v>
      </c>
      <c r="AR130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9" s="9" t="str" cm="1">
        <f t="array" ref="AT1309">_xlfn.IFS(     $M$1="SPX","SPXW",     $M$1="RUT","RUTW",  $M$1="NDX","NDXP",   TRUE,$M$1 )</f>
        <v>SPXW</v>
      </c>
      <c r="AU1309" s="2">
        <f t="shared" si="132"/>
        <v>6915</v>
      </c>
      <c r="AV1309" t="str">
        <f t="shared" si="133"/>
        <v>000100</v>
      </c>
      <c r="AY130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9">
        <f>((Table1334567[[#This Row],[High C]]+Table1334567[[#This Row],[Low C]])/2)*Table1334567[[#This Row],[gammac]]*Table1334567[[#This Row],[Volume]]</f>
        <v>0</v>
      </c>
      <c r="BD1309">
        <f>((Table1334567[[#This Row],[High P]]+Table1334567[[#This Row],[Low P]])/2)*Table1334567[[#This Row],[gammap]]*Table1334567[[#This Row],[Volume9]]*-1</f>
        <v>0</v>
      </c>
      <c r="BE1309">
        <f>(Table1334567[[#This Row],[SgammaC]]+Table1334567[[#This Row],[SgammaP]])*$A$4*-100</f>
        <v>0</v>
      </c>
      <c r="BF1309">
        <f>Table1334567[[#This Row],[DEXc]]+Table1334567[[#This Row],[DEXp]]</f>
        <v>0</v>
      </c>
      <c r="BG1309">
        <f>IFERROR(Table1334567[[#This Row],[DeltaC]]*Table1334567[[#This Row],[Open.Int]]*$A$4,0)</f>
        <v>0</v>
      </c>
      <c r="BH1309">
        <f>IFERROR(Table1334567[[#This Row],[DeltaP]]*Table1334567[[#This Row],[Open.Int8]]*$A$4,0)</f>
        <v>0</v>
      </c>
      <c r="BI130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9">
        <f ca="1">Table1334567[[#This Row],[charmc]]+Table1334567[[#This Row],[charmp]]</f>
        <v>0</v>
      </c>
      <c r="BL130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9" s="78">
        <f ca="1">Table1334567[[#This Row],[call helper]]+Table1334567[[#This Row],[put helper]]</f>
        <v>0</v>
      </c>
      <c r="BP1309" t="str">
        <f>RTD("tos.rtd", , "STRIKE", "."&amp;Table1334567[[#This Row],[Ticker]]&amp;Table1334567[[#This Row],[Expiry]]&amp;""&amp;"C"&amp;Table1334567[[#This Row],[Spot]]+Table1334567[[#This Row],[step]])</f>
        <v>N/A</v>
      </c>
    </row>
    <row r="1310" spans="1:68" x14ac:dyDescent="0.25">
      <c r="A1310" s="14">
        <f t="shared" ca="1" si="129"/>
        <v>-126.14810350076104</v>
      </c>
      <c r="C1310" s="17"/>
      <c r="D1310" t="str">
        <f>RTD("tos.rtd", , "OPEN_INT", "."&amp;Table1334567[[#This Row],[Ticker]]&amp;Table1334567[[#This Row],[Expiry]]&amp;""&amp;"C"&amp;Table1334567[[#This Row],[Spot]]+Table1334567[[#This Row],[step]])</f>
        <v>N/A</v>
      </c>
      <c r="E131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0" s="17" cm="1">
        <f t="array" aca="1" ref="H1310" ca="1">IndividualLegIVCore($A$4, Table1334567[[#This Row],[Strike]], 0.0411, Table1334567[[#This Row],[T]], ((Table1334567[[#This Row],[BIDC]]+Table1334567[[#This Row],[ASKC]])/2), TRUE)</f>
        <v>0.01</v>
      </c>
      <c r="I131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0" s="17"/>
      <c r="M1310" s="1">
        <f t="shared" si="130"/>
        <v>0</v>
      </c>
      <c r="N1310" t="b">
        <f t="shared" si="131"/>
        <v>0</v>
      </c>
      <c r="P1310" s="17" cm="1">
        <f t="array" aca="1" ref="P1310" ca="1">IndividualLegIVCore($A$4, Table1334567[[#This Row],[Strike]], 0.0411, Table1334567[[#This Row],[T]], ((Table1334567[[#This Row],[BIDP]]+Table1334567[[#This Row],[ASKP]])/2), FALSE)</f>
        <v>0.01</v>
      </c>
      <c r="Q131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0" s="17"/>
      <c r="T131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0" s="19">
        <f>-9* IF($M$1="NDX", 10, IF(OR($M$1="SPX", $M$1="RUT"), 2, 1))</f>
        <v>-18</v>
      </c>
      <c r="Z1310">
        <f ca="1">IFERROR(Table1334567[[#This Row],[call gamma]]*(Table1334567[[#This Row],[Open.Int]])*$A$4^2,0)</f>
        <v>0</v>
      </c>
      <c r="AA1310">
        <f ca="1">IFERROR(((Table1334567[[#This Row],[Open.Int8]])*Table1334567[[#This Row],[Put gamma]])*-1*$A$4^2,0)</f>
        <v>0</v>
      </c>
      <c r="AB1310">
        <f ca="1">(Table1334567[[#This Row],[Call Gex]]+Table1334567[[#This Row],[Put Gex]])</f>
        <v>0</v>
      </c>
      <c r="AC1310">
        <f ca="1">Table1334567[[#This Row],[put delta adj]]+Table1334567[[#This Row],[call delta adj]]</f>
        <v>0</v>
      </c>
      <c r="AD1310">
        <f ca="1">Table1334567[[#This Row],[Put Gex]]*Table1334567[[#This Row],[DeltaP]]*-1</f>
        <v>0</v>
      </c>
      <c r="AE1310">
        <f ca="1">Table1334567[[#This Row],[Call Gex]]*Table1334567[[#This Row],[DeltaC]]</f>
        <v>0</v>
      </c>
      <c r="AF1310">
        <f>IF(Table1334567[[#This Row],[DeltaC]]-ABS(Table1334567[[#This Row],[DeltaP]])="0","0.01",Table1334567[[#This Row],[DeltaC]]-ABS(Table1334567[[#This Row],[DeltaP]]))</f>
        <v>0</v>
      </c>
      <c r="AG131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0" t="e">
        <f ca="1">(EXP(-(AG1310^2)/2)/SQRT(2*PI())*EXP(0*SQRT(Table1334567[[#This Row],[T]]))/$A$4*18%*SQRT(SQRT(Table1334567[[#This Row],[T]])))</f>
        <v>#DIV/0!</v>
      </c>
      <c r="AJ1310" t="e">
        <f ca="1">(EXP(-(AH1310^2)/2)/SQRT(2*PI())*EXP(0*SQRT(Table1334567[[#This Row],[T]]))/$A$4*18%*SQRT(SQRT(Table1334567[[#This Row],[T]])))</f>
        <v>#DIV/0!</v>
      </c>
      <c r="AK1310" t="e">
        <f ca="1">Table1334567[[#This Row],[Call D1]]-Table1334567[[#This Row],[IV Calc C]]*SQRT(Table1334567[[#This Row],[T]])</f>
        <v>#DIV/0!</v>
      </c>
      <c r="AL1310" t="e">
        <f ca="1">Table1334567[[#This Row],[Put D1]]-Table1334567[[#This Row],[IV Calc P]]*SQRT(Table1334567[[#This Row],[T]])</f>
        <v>#DIV/0!</v>
      </c>
      <c r="AM1310" t="e">
        <f ca="1">EXP(-0.5*Table1334567[[#This Row],[Call D1]]^2)/SQRT(2*PI())</f>
        <v>#DIV/0!</v>
      </c>
      <c r="AN1310" t="e">
        <f ca="1">EXP(-0.5*Table1334567[[#This Row],[Put D1]]^2)/SQRT(2*PI())</f>
        <v>#DIV/0!</v>
      </c>
      <c r="AO131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0">
        <f ca="1">((Table1334567[[#This Row],[call vanna]]+Table1334567[[#This Row],[put vanna]])*$A$4)</f>
        <v>0</v>
      </c>
      <c r="AR131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0" s="9" t="str" cm="1">
        <f t="array" ref="AT1310">_xlfn.IFS(     $M$1="SPX","SPXW",     $M$1="RUT","RUTW",  $M$1="NDX","NDXP",   TRUE,$M$1 )</f>
        <v>SPXW</v>
      </c>
      <c r="AU1310" s="2">
        <f t="shared" si="132"/>
        <v>6915</v>
      </c>
      <c r="AV1310" t="str">
        <f t="shared" si="133"/>
        <v>000100</v>
      </c>
      <c r="AY131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0">
        <f>((Table1334567[[#This Row],[High C]]+Table1334567[[#This Row],[Low C]])/2)*Table1334567[[#This Row],[gammac]]*Table1334567[[#This Row],[Volume]]</f>
        <v>0</v>
      </c>
      <c r="BD1310">
        <f>((Table1334567[[#This Row],[High P]]+Table1334567[[#This Row],[Low P]])/2)*Table1334567[[#This Row],[gammap]]*Table1334567[[#This Row],[Volume9]]*-1</f>
        <v>0</v>
      </c>
      <c r="BE1310">
        <f>(Table1334567[[#This Row],[SgammaC]]+Table1334567[[#This Row],[SgammaP]])*$A$4*-100</f>
        <v>0</v>
      </c>
      <c r="BF1310">
        <f>Table1334567[[#This Row],[DEXc]]+Table1334567[[#This Row],[DEXp]]</f>
        <v>0</v>
      </c>
      <c r="BG1310">
        <f>IFERROR(Table1334567[[#This Row],[DeltaC]]*Table1334567[[#This Row],[Open.Int]]*$A$4,0)</f>
        <v>0</v>
      </c>
      <c r="BH1310">
        <f>IFERROR(Table1334567[[#This Row],[DeltaP]]*Table1334567[[#This Row],[Open.Int8]]*$A$4,0)</f>
        <v>0</v>
      </c>
      <c r="BI131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0">
        <f ca="1">Table1334567[[#This Row],[charmc]]+Table1334567[[#This Row],[charmp]]</f>
        <v>0</v>
      </c>
      <c r="BL131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0" s="78">
        <f ca="1">Table1334567[[#This Row],[call helper]]+Table1334567[[#This Row],[put helper]]</f>
        <v>0</v>
      </c>
      <c r="BP1310" t="str">
        <f>RTD("tos.rtd", , "STRIKE", "."&amp;Table1334567[[#This Row],[Ticker]]&amp;Table1334567[[#This Row],[Expiry]]&amp;""&amp;"C"&amp;Table1334567[[#This Row],[Spot]]+Table1334567[[#This Row],[step]])</f>
        <v>N/A</v>
      </c>
    </row>
    <row r="1311" spans="1:68" x14ac:dyDescent="0.25">
      <c r="A1311" s="14">
        <f t="shared" ca="1" si="129"/>
        <v>-126.14810350076104</v>
      </c>
      <c r="C1311" s="17"/>
      <c r="D1311" t="str">
        <f>RTD("tos.rtd", , "OPEN_INT", "."&amp;Table1334567[[#This Row],[Ticker]]&amp;Table1334567[[#This Row],[Expiry]]&amp;""&amp;"C"&amp;Table1334567[[#This Row],[Spot]]+Table1334567[[#This Row],[step]])</f>
        <v>N/A</v>
      </c>
      <c r="E131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1" s="17" cm="1">
        <f t="array" aca="1" ref="H1311" ca="1">IndividualLegIVCore($A$4, Table1334567[[#This Row],[Strike]], 0.0411, Table1334567[[#This Row],[T]], ((Table1334567[[#This Row],[BIDC]]+Table1334567[[#This Row],[ASKC]])/2), TRUE)</f>
        <v>0.01</v>
      </c>
      <c r="I131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1" s="17"/>
      <c r="M1311" s="1">
        <f t="shared" si="130"/>
        <v>0</v>
      </c>
      <c r="N1311" t="b">
        <f t="shared" si="131"/>
        <v>0</v>
      </c>
      <c r="P1311" s="17" cm="1">
        <f t="array" aca="1" ref="P1311" ca="1">IndividualLegIVCore($A$4, Table1334567[[#This Row],[Strike]], 0.0411, Table1334567[[#This Row],[T]], ((Table1334567[[#This Row],[BIDP]]+Table1334567[[#This Row],[ASKP]])/2), FALSE)</f>
        <v>0.01</v>
      </c>
      <c r="Q131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1" s="17"/>
      <c r="T131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1" s="19">
        <f>-8.5* IF($M$1="NDX", 10, IF(OR($M$1="SPX", $M$1="RUT"), 2, 1))</f>
        <v>-17</v>
      </c>
      <c r="Z1311">
        <f ca="1">IFERROR(Table1334567[[#This Row],[call gamma]]*(Table1334567[[#This Row],[Open.Int]])*$A$4^2,0)</f>
        <v>0</v>
      </c>
      <c r="AA1311">
        <f ca="1">IFERROR(((Table1334567[[#This Row],[Open.Int8]])*Table1334567[[#This Row],[Put gamma]])*-1*$A$4^2,0)</f>
        <v>0</v>
      </c>
      <c r="AB1311">
        <f ca="1">(Table1334567[[#This Row],[Call Gex]]+Table1334567[[#This Row],[Put Gex]])</f>
        <v>0</v>
      </c>
      <c r="AC1311">
        <f ca="1">Table1334567[[#This Row],[put delta adj]]+Table1334567[[#This Row],[call delta adj]]</f>
        <v>0</v>
      </c>
      <c r="AD1311">
        <f ca="1">Table1334567[[#This Row],[Put Gex]]*Table1334567[[#This Row],[DeltaP]]*-1</f>
        <v>0</v>
      </c>
      <c r="AE1311">
        <f ca="1">Table1334567[[#This Row],[Call Gex]]*Table1334567[[#This Row],[DeltaC]]</f>
        <v>0</v>
      </c>
      <c r="AF1311">
        <f>IF(Table1334567[[#This Row],[DeltaC]]-ABS(Table1334567[[#This Row],[DeltaP]])="0","0.01",Table1334567[[#This Row],[DeltaC]]-ABS(Table1334567[[#This Row],[DeltaP]]))</f>
        <v>0</v>
      </c>
      <c r="AG131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1" t="e">
        <f ca="1">(EXP(-(AG1311^2)/2)/SQRT(2*PI())*EXP(0*SQRT(Table1334567[[#This Row],[T]]))/$A$4*18%*SQRT(SQRT(Table1334567[[#This Row],[T]])))</f>
        <v>#DIV/0!</v>
      </c>
      <c r="AJ1311" t="e">
        <f ca="1">(EXP(-(AH1311^2)/2)/SQRT(2*PI())*EXP(0*SQRT(Table1334567[[#This Row],[T]]))/$A$4*18%*SQRT(SQRT(Table1334567[[#This Row],[T]])))</f>
        <v>#DIV/0!</v>
      </c>
      <c r="AK1311" t="e">
        <f ca="1">Table1334567[[#This Row],[Call D1]]-Table1334567[[#This Row],[IV Calc C]]*SQRT(Table1334567[[#This Row],[T]])</f>
        <v>#DIV/0!</v>
      </c>
      <c r="AL1311" t="e">
        <f ca="1">Table1334567[[#This Row],[Put D1]]-Table1334567[[#This Row],[IV Calc P]]*SQRT(Table1334567[[#This Row],[T]])</f>
        <v>#DIV/0!</v>
      </c>
      <c r="AM1311" t="e">
        <f ca="1">EXP(-0.5*Table1334567[[#This Row],[Call D1]]^2)/SQRT(2*PI())</f>
        <v>#DIV/0!</v>
      </c>
      <c r="AN1311" t="e">
        <f ca="1">EXP(-0.5*Table1334567[[#This Row],[Put D1]]^2)/SQRT(2*PI())</f>
        <v>#DIV/0!</v>
      </c>
      <c r="AO131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1">
        <f ca="1">((Table1334567[[#This Row],[call vanna]]+Table1334567[[#This Row],[put vanna]])*$A$4)</f>
        <v>0</v>
      </c>
      <c r="AR131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1" s="9" t="str" cm="1">
        <f t="array" ref="AT1311">_xlfn.IFS(     $M$1="SPX","SPXW",     $M$1="RUT","RUTW",  $M$1="NDX","NDXP",   TRUE,$M$1 )</f>
        <v>SPXW</v>
      </c>
      <c r="AU1311" s="2">
        <f t="shared" si="132"/>
        <v>6915</v>
      </c>
      <c r="AV1311" t="str">
        <f t="shared" si="133"/>
        <v>000100</v>
      </c>
      <c r="AY131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1">
        <f>((Table1334567[[#This Row],[High C]]+Table1334567[[#This Row],[Low C]])/2)*Table1334567[[#This Row],[gammac]]*Table1334567[[#This Row],[Volume]]</f>
        <v>0</v>
      </c>
      <c r="BD1311">
        <f>((Table1334567[[#This Row],[High P]]+Table1334567[[#This Row],[Low P]])/2)*Table1334567[[#This Row],[gammap]]*Table1334567[[#This Row],[Volume9]]*-1</f>
        <v>0</v>
      </c>
      <c r="BE1311">
        <f>(Table1334567[[#This Row],[SgammaC]]+Table1334567[[#This Row],[SgammaP]])*$A$4*-100</f>
        <v>0</v>
      </c>
      <c r="BF1311">
        <f>Table1334567[[#This Row],[DEXc]]+Table1334567[[#This Row],[DEXp]]</f>
        <v>0</v>
      </c>
      <c r="BG1311">
        <f>IFERROR(Table1334567[[#This Row],[DeltaC]]*Table1334567[[#This Row],[Open.Int]]*$A$4,0)</f>
        <v>0</v>
      </c>
      <c r="BH1311">
        <f>IFERROR(Table1334567[[#This Row],[DeltaP]]*Table1334567[[#This Row],[Open.Int8]]*$A$4,0)</f>
        <v>0</v>
      </c>
      <c r="BI131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1">
        <f ca="1">Table1334567[[#This Row],[charmc]]+Table1334567[[#This Row],[charmp]]</f>
        <v>0</v>
      </c>
      <c r="BL131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1" s="78">
        <f ca="1">Table1334567[[#This Row],[call helper]]+Table1334567[[#This Row],[put helper]]</f>
        <v>0</v>
      </c>
      <c r="BP1311" t="str">
        <f>RTD("tos.rtd", , "STRIKE", "."&amp;Table1334567[[#This Row],[Ticker]]&amp;Table1334567[[#This Row],[Expiry]]&amp;""&amp;"C"&amp;Table1334567[[#This Row],[Spot]]+Table1334567[[#This Row],[step]])</f>
        <v>N/A</v>
      </c>
    </row>
    <row r="1312" spans="1:68" x14ac:dyDescent="0.25">
      <c r="A1312" s="14">
        <f t="shared" ca="1" si="129"/>
        <v>-126.14810350076104</v>
      </c>
      <c r="C1312" s="17"/>
      <c r="D1312" t="str">
        <f>RTD("tos.rtd", , "OPEN_INT", "."&amp;Table1334567[[#This Row],[Ticker]]&amp;Table1334567[[#This Row],[Expiry]]&amp;""&amp;"C"&amp;Table1334567[[#This Row],[Spot]]+Table1334567[[#This Row],[step]])</f>
        <v>N/A</v>
      </c>
      <c r="E131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2" s="17" cm="1">
        <f t="array" aca="1" ref="H1312" ca="1">IndividualLegIVCore($A$4, Table1334567[[#This Row],[Strike]], 0.0411, Table1334567[[#This Row],[T]], ((Table1334567[[#This Row],[BIDC]]+Table1334567[[#This Row],[ASKC]])/2), TRUE)</f>
        <v>0.01</v>
      </c>
      <c r="I131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2" s="17"/>
      <c r="M1312" s="1">
        <f t="shared" si="130"/>
        <v>0</v>
      </c>
      <c r="N1312" t="b">
        <f t="shared" si="131"/>
        <v>0</v>
      </c>
      <c r="P1312" s="17" cm="1">
        <f t="array" aca="1" ref="P1312" ca="1">IndividualLegIVCore($A$4, Table1334567[[#This Row],[Strike]], 0.0411, Table1334567[[#This Row],[T]], ((Table1334567[[#This Row],[BIDP]]+Table1334567[[#This Row],[ASKP]])/2), FALSE)</f>
        <v>0.01</v>
      </c>
      <c r="Q131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2" s="17"/>
      <c r="T131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2" s="19">
        <f>-8* IF($M$1="NDX", 10, IF(OR($M$1="SPX", $M$1="RUT"), 2, 1))</f>
        <v>-16</v>
      </c>
      <c r="Z1312">
        <f ca="1">IFERROR(Table1334567[[#This Row],[call gamma]]*(Table1334567[[#This Row],[Open.Int]])*$A$4^2,0)</f>
        <v>0</v>
      </c>
      <c r="AA1312">
        <f ca="1">IFERROR(((Table1334567[[#This Row],[Open.Int8]])*Table1334567[[#This Row],[Put gamma]])*-1*$A$4^2,0)</f>
        <v>0</v>
      </c>
      <c r="AB1312">
        <f ca="1">(Table1334567[[#This Row],[Call Gex]]+Table1334567[[#This Row],[Put Gex]])</f>
        <v>0</v>
      </c>
      <c r="AC1312">
        <f ca="1">Table1334567[[#This Row],[put delta adj]]+Table1334567[[#This Row],[call delta adj]]</f>
        <v>0</v>
      </c>
      <c r="AD1312">
        <f ca="1">Table1334567[[#This Row],[Put Gex]]*Table1334567[[#This Row],[DeltaP]]*-1</f>
        <v>0</v>
      </c>
      <c r="AE1312">
        <f ca="1">Table1334567[[#This Row],[Call Gex]]*Table1334567[[#This Row],[DeltaC]]</f>
        <v>0</v>
      </c>
      <c r="AF1312">
        <f>IF(Table1334567[[#This Row],[DeltaC]]-ABS(Table1334567[[#This Row],[DeltaP]])="0","0.01",Table1334567[[#This Row],[DeltaC]]-ABS(Table1334567[[#This Row],[DeltaP]]))</f>
        <v>0</v>
      </c>
      <c r="AG131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2" t="e">
        <f ca="1">(EXP(-(AG1312^2)/2)/SQRT(2*PI())*EXP(0*SQRT(Table1334567[[#This Row],[T]]))/$A$4*18%*SQRT(SQRT(Table1334567[[#This Row],[T]])))</f>
        <v>#DIV/0!</v>
      </c>
      <c r="AJ1312" t="e">
        <f ca="1">(EXP(-(AH1312^2)/2)/SQRT(2*PI())*EXP(0*SQRT(Table1334567[[#This Row],[T]]))/$A$4*18%*SQRT(SQRT(Table1334567[[#This Row],[T]])))</f>
        <v>#DIV/0!</v>
      </c>
      <c r="AK1312" t="e">
        <f ca="1">Table1334567[[#This Row],[Call D1]]-Table1334567[[#This Row],[IV Calc C]]*SQRT(Table1334567[[#This Row],[T]])</f>
        <v>#DIV/0!</v>
      </c>
      <c r="AL1312" t="e">
        <f ca="1">Table1334567[[#This Row],[Put D1]]-Table1334567[[#This Row],[IV Calc P]]*SQRT(Table1334567[[#This Row],[T]])</f>
        <v>#DIV/0!</v>
      </c>
      <c r="AM1312" t="e">
        <f ca="1">EXP(-0.5*Table1334567[[#This Row],[Call D1]]^2)/SQRT(2*PI())</f>
        <v>#DIV/0!</v>
      </c>
      <c r="AN1312" t="e">
        <f ca="1">EXP(-0.5*Table1334567[[#This Row],[Put D1]]^2)/SQRT(2*PI())</f>
        <v>#DIV/0!</v>
      </c>
      <c r="AO131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2">
        <f ca="1">((Table1334567[[#This Row],[call vanna]]+Table1334567[[#This Row],[put vanna]])*$A$4)</f>
        <v>0</v>
      </c>
      <c r="AR131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2" s="9" t="str" cm="1">
        <f t="array" ref="AT1312">_xlfn.IFS(     $M$1="SPX","SPXW",     $M$1="RUT","RUTW",  $M$1="NDX","NDXP",   TRUE,$M$1 )</f>
        <v>SPXW</v>
      </c>
      <c r="AU1312" s="2">
        <f t="shared" si="132"/>
        <v>6915</v>
      </c>
      <c r="AV1312" t="str">
        <f t="shared" si="133"/>
        <v>000100</v>
      </c>
      <c r="AY131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2">
        <f>((Table1334567[[#This Row],[High C]]+Table1334567[[#This Row],[Low C]])/2)*Table1334567[[#This Row],[gammac]]*Table1334567[[#This Row],[Volume]]</f>
        <v>0</v>
      </c>
      <c r="BD1312">
        <f>((Table1334567[[#This Row],[High P]]+Table1334567[[#This Row],[Low P]])/2)*Table1334567[[#This Row],[gammap]]*Table1334567[[#This Row],[Volume9]]*-1</f>
        <v>0</v>
      </c>
      <c r="BE1312">
        <f>(Table1334567[[#This Row],[SgammaC]]+Table1334567[[#This Row],[SgammaP]])*$A$4*-100</f>
        <v>0</v>
      </c>
      <c r="BF1312">
        <f>Table1334567[[#This Row],[DEXc]]+Table1334567[[#This Row],[DEXp]]</f>
        <v>0</v>
      </c>
      <c r="BG1312">
        <f>IFERROR(Table1334567[[#This Row],[DeltaC]]*Table1334567[[#This Row],[Open.Int]]*$A$4,0)</f>
        <v>0</v>
      </c>
      <c r="BH1312">
        <f>IFERROR(Table1334567[[#This Row],[DeltaP]]*Table1334567[[#This Row],[Open.Int8]]*$A$4,0)</f>
        <v>0</v>
      </c>
      <c r="BI131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2">
        <f ca="1">Table1334567[[#This Row],[charmc]]+Table1334567[[#This Row],[charmp]]</f>
        <v>0</v>
      </c>
      <c r="BL131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2" s="78">
        <f ca="1">Table1334567[[#This Row],[call helper]]+Table1334567[[#This Row],[put helper]]</f>
        <v>0</v>
      </c>
      <c r="BP1312" t="str">
        <f>RTD("tos.rtd", , "STRIKE", "."&amp;Table1334567[[#This Row],[Ticker]]&amp;Table1334567[[#This Row],[Expiry]]&amp;""&amp;"C"&amp;Table1334567[[#This Row],[Spot]]+Table1334567[[#This Row],[step]])</f>
        <v>N/A</v>
      </c>
    </row>
    <row r="1313" spans="1:68" x14ac:dyDescent="0.25">
      <c r="A1313" s="14">
        <f t="shared" ca="1" si="129"/>
        <v>-126.14810350076104</v>
      </c>
      <c r="C1313" s="17"/>
      <c r="D1313" t="str">
        <f>RTD("tos.rtd", , "OPEN_INT", "."&amp;Table1334567[[#This Row],[Ticker]]&amp;Table1334567[[#This Row],[Expiry]]&amp;""&amp;"C"&amp;Table1334567[[#This Row],[Spot]]+Table1334567[[#This Row],[step]])</f>
        <v>N/A</v>
      </c>
      <c r="E131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3" s="17" cm="1">
        <f t="array" aca="1" ref="H1313" ca="1">IndividualLegIVCore($A$4, Table1334567[[#This Row],[Strike]], 0.0411, Table1334567[[#This Row],[T]], ((Table1334567[[#This Row],[BIDC]]+Table1334567[[#This Row],[ASKC]])/2), TRUE)</f>
        <v>0.01</v>
      </c>
      <c r="I131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3" s="17"/>
      <c r="M1313" s="1">
        <f t="shared" si="130"/>
        <v>0</v>
      </c>
      <c r="N1313" t="b">
        <f t="shared" si="131"/>
        <v>0</v>
      </c>
      <c r="P1313" s="17" cm="1">
        <f t="array" aca="1" ref="P1313" ca="1">IndividualLegIVCore($A$4, Table1334567[[#This Row],[Strike]], 0.0411, Table1334567[[#This Row],[T]], ((Table1334567[[#This Row],[BIDP]]+Table1334567[[#This Row],[ASKP]])/2), FALSE)</f>
        <v>0.01</v>
      </c>
      <c r="Q131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3" s="17"/>
      <c r="T131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3" s="19">
        <f>-7.5* IF($M$1="NDX", 10, IF(OR($M$1="SPX", $M$1="RUT"), 2, 1))</f>
        <v>-15</v>
      </c>
      <c r="Z1313">
        <f ca="1">IFERROR(Table1334567[[#This Row],[call gamma]]*(Table1334567[[#This Row],[Open.Int]])*$A$4^2,0)</f>
        <v>0</v>
      </c>
      <c r="AA1313">
        <f ca="1">IFERROR(((Table1334567[[#This Row],[Open.Int8]])*Table1334567[[#This Row],[Put gamma]])*-1*$A$4^2,0)</f>
        <v>0</v>
      </c>
      <c r="AB1313">
        <f ca="1">(Table1334567[[#This Row],[Call Gex]]+Table1334567[[#This Row],[Put Gex]])</f>
        <v>0</v>
      </c>
      <c r="AC1313">
        <f ca="1">Table1334567[[#This Row],[put delta adj]]+Table1334567[[#This Row],[call delta adj]]</f>
        <v>0</v>
      </c>
      <c r="AD1313">
        <f ca="1">Table1334567[[#This Row],[Put Gex]]*Table1334567[[#This Row],[DeltaP]]*-1</f>
        <v>0</v>
      </c>
      <c r="AE1313">
        <f ca="1">Table1334567[[#This Row],[Call Gex]]*Table1334567[[#This Row],[DeltaC]]</f>
        <v>0</v>
      </c>
      <c r="AF1313">
        <f>IF(Table1334567[[#This Row],[DeltaC]]-ABS(Table1334567[[#This Row],[DeltaP]])="0","0.01",Table1334567[[#This Row],[DeltaC]]-ABS(Table1334567[[#This Row],[DeltaP]]))</f>
        <v>0</v>
      </c>
      <c r="AG131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3" t="e">
        <f ca="1">(EXP(-(AG1313^2)/2)/SQRT(2*PI())*EXP(0*SQRT(Table1334567[[#This Row],[T]]))/$A$4*18%*SQRT(SQRT(Table1334567[[#This Row],[T]])))</f>
        <v>#DIV/0!</v>
      </c>
      <c r="AJ1313" t="e">
        <f ca="1">(EXP(-(AH1313^2)/2)/SQRT(2*PI())*EXP(0*SQRT(Table1334567[[#This Row],[T]]))/$A$4*18%*SQRT(SQRT(Table1334567[[#This Row],[T]])))</f>
        <v>#DIV/0!</v>
      </c>
      <c r="AK1313" t="e">
        <f ca="1">Table1334567[[#This Row],[Call D1]]-Table1334567[[#This Row],[IV Calc C]]*SQRT(Table1334567[[#This Row],[T]])</f>
        <v>#DIV/0!</v>
      </c>
      <c r="AL1313" t="e">
        <f ca="1">Table1334567[[#This Row],[Put D1]]-Table1334567[[#This Row],[IV Calc P]]*SQRT(Table1334567[[#This Row],[T]])</f>
        <v>#DIV/0!</v>
      </c>
      <c r="AM1313" t="e">
        <f ca="1">EXP(-0.5*Table1334567[[#This Row],[Call D1]]^2)/SQRT(2*PI())</f>
        <v>#DIV/0!</v>
      </c>
      <c r="AN1313" t="e">
        <f ca="1">EXP(-0.5*Table1334567[[#This Row],[Put D1]]^2)/SQRT(2*PI())</f>
        <v>#DIV/0!</v>
      </c>
      <c r="AO131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3">
        <f ca="1">((Table1334567[[#This Row],[call vanna]]+Table1334567[[#This Row],[put vanna]])*$A$4)</f>
        <v>0</v>
      </c>
      <c r="AR131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3" s="9" t="str" cm="1">
        <f t="array" ref="AT1313">_xlfn.IFS(     $M$1="SPX","SPXW",     $M$1="RUT","RUTW",  $M$1="NDX","NDXP",   TRUE,$M$1 )</f>
        <v>SPXW</v>
      </c>
      <c r="AU1313" s="2">
        <f t="shared" si="132"/>
        <v>6915</v>
      </c>
      <c r="AV1313" t="str">
        <f t="shared" si="133"/>
        <v>000100</v>
      </c>
      <c r="AY131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3">
        <f>((Table1334567[[#This Row],[High C]]+Table1334567[[#This Row],[Low C]])/2)*Table1334567[[#This Row],[gammac]]*Table1334567[[#This Row],[Volume]]</f>
        <v>0</v>
      </c>
      <c r="BD1313">
        <f>((Table1334567[[#This Row],[High P]]+Table1334567[[#This Row],[Low P]])/2)*Table1334567[[#This Row],[gammap]]*Table1334567[[#This Row],[Volume9]]*-1</f>
        <v>0</v>
      </c>
      <c r="BE1313">
        <f>(Table1334567[[#This Row],[SgammaC]]+Table1334567[[#This Row],[SgammaP]])*$A$4*-100</f>
        <v>0</v>
      </c>
      <c r="BF1313">
        <f>Table1334567[[#This Row],[DEXc]]+Table1334567[[#This Row],[DEXp]]</f>
        <v>0</v>
      </c>
      <c r="BG1313">
        <f>IFERROR(Table1334567[[#This Row],[DeltaC]]*Table1334567[[#This Row],[Open.Int]]*$A$4,0)</f>
        <v>0</v>
      </c>
      <c r="BH1313">
        <f>IFERROR(Table1334567[[#This Row],[DeltaP]]*Table1334567[[#This Row],[Open.Int8]]*$A$4,0)</f>
        <v>0</v>
      </c>
      <c r="BI131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3">
        <f ca="1">Table1334567[[#This Row],[charmc]]+Table1334567[[#This Row],[charmp]]</f>
        <v>0</v>
      </c>
      <c r="BL131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3" s="78">
        <f ca="1">Table1334567[[#This Row],[call helper]]+Table1334567[[#This Row],[put helper]]</f>
        <v>0</v>
      </c>
      <c r="BP1313" t="str">
        <f>RTD("tos.rtd", , "STRIKE", "."&amp;Table1334567[[#This Row],[Ticker]]&amp;Table1334567[[#This Row],[Expiry]]&amp;""&amp;"C"&amp;Table1334567[[#This Row],[Spot]]+Table1334567[[#This Row],[step]])</f>
        <v>N/A</v>
      </c>
    </row>
    <row r="1314" spans="1:68" x14ac:dyDescent="0.25">
      <c r="A1314" s="14">
        <f t="shared" ca="1" si="129"/>
        <v>-126.14810350076104</v>
      </c>
      <c r="C1314" s="17"/>
      <c r="D1314" t="str">
        <f>RTD("tos.rtd", , "OPEN_INT", "."&amp;Table1334567[[#This Row],[Ticker]]&amp;Table1334567[[#This Row],[Expiry]]&amp;""&amp;"C"&amp;Table1334567[[#This Row],[Spot]]+Table1334567[[#This Row],[step]])</f>
        <v>N/A</v>
      </c>
      <c r="E131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4" s="17" cm="1">
        <f t="array" aca="1" ref="H1314" ca="1">IndividualLegIVCore($A$4, Table1334567[[#This Row],[Strike]], 0.0411, Table1334567[[#This Row],[T]], ((Table1334567[[#This Row],[BIDC]]+Table1334567[[#This Row],[ASKC]])/2), TRUE)</f>
        <v>0.01</v>
      </c>
      <c r="I131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4" s="17"/>
      <c r="M1314" s="1">
        <f t="shared" si="130"/>
        <v>0</v>
      </c>
      <c r="N1314" t="b">
        <f t="shared" si="131"/>
        <v>0</v>
      </c>
      <c r="P1314" s="17" cm="1">
        <f t="array" aca="1" ref="P1314" ca="1">IndividualLegIVCore($A$4, Table1334567[[#This Row],[Strike]], 0.0411, Table1334567[[#This Row],[T]], ((Table1334567[[#This Row],[BIDP]]+Table1334567[[#This Row],[ASKP]])/2), FALSE)</f>
        <v>0.01</v>
      </c>
      <c r="Q131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4" s="17"/>
      <c r="T131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4" s="19">
        <f>-7* IF($M$1="NDX", 10, IF(OR($M$1="SPX", $M$1="RUT"), 2, 1))</f>
        <v>-14</v>
      </c>
      <c r="Z1314">
        <f ca="1">IFERROR(Table1334567[[#This Row],[call gamma]]*(Table1334567[[#This Row],[Open.Int]])*$A$4^2,0)</f>
        <v>0</v>
      </c>
      <c r="AA1314">
        <f ca="1">IFERROR(((Table1334567[[#This Row],[Open.Int8]])*Table1334567[[#This Row],[Put gamma]])*-1*$A$4^2,0)</f>
        <v>0</v>
      </c>
      <c r="AB1314">
        <f ca="1">(Table1334567[[#This Row],[Call Gex]]+Table1334567[[#This Row],[Put Gex]])</f>
        <v>0</v>
      </c>
      <c r="AC1314">
        <f ca="1">Table1334567[[#This Row],[put delta adj]]+Table1334567[[#This Row],[call delta adj]]</f>
        <v>0</v>
      </c>
      <c r="AD1314">
        <f ca="1">Table1334567[[#This Row],[Put Gex]]*Table1334567[[#This Row],[DeltaP]]*-1</f>
        <v>0</v>
      </c>
      <c r="AE1314">
        <f ca="1">Table1334567[[#This Row],[Call Gex]]*Table1334567[[#This Row],[DeltaC]]</f>
        <v>0</v>
      </c>
      <c r="AF1314">
        <f>IF(Table1334567[[#This Row],[DeltaC]]-ABS(Table1334567[[#This Row],[DeltaP]])="0","0.01",Table1334567[[#This Row],[DeltaC]]-ABS(Table1334567[[#This Row],[DeltaP]]))</f>
        <v>0</v>
      </c>
      <c r="AG131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4" t="e">
        <f ca="1">(EXP(-(AG1314^2)/2)/SQRT(2*PI())*EXP(0*SQRT(Table1334567[[#This Row],[T]]))/$A$4*18%*SQRT(SQRT(Table1334567[[#This Row],[T]])))</f>
        <v>#DIV/0!</v>
      </c>
      <c r="AJ1314" t="e">
        <f ca="1">(EXP(-(AH1314^2)/2)/SQRT(2*PI())*EXP(0*SQRT(Table1334567[[#This Row],[T]]))/$A$4*18%*SQRT(SQRT(Table1334567[[#This Row],[T]])))</f>
        <v>#DIV/0!</v>
      </c>
      <c r="AK1314" t="e">
        <f ca="1">Table1334567[[#This Row],[Call D1]]-Table1334567[[#This Row],[IV Calc C]]*SQRT(Table1334567[[#This Row],[T]])</f>
        <v>#DIV/0!</v>
      </c>
      <c r="AL1314" t="e">
        <f ca="1">Table1334567[[#This Row],[Put D1]]-Table1334567[[#This Row],[IV Calc P]]*SQRT(Table1334567[[#This Row],[T]])</f>
        <v>#DIV/0!</v>
      </c>
      <c r="AM1314" t="e">
        <f ca="1">EXP(-0.5*Table1334567[[#This Row],[Call D1]]^2)/SQRT(2*PI())</f>
        <v>#DIV/0!</v>
      </c>
      <c r="AN1314" t="e">
        <f ca="1">EXP(-0.5*Table1334567[[#This Row],[Put D1]]^2)/SQRT(2*PI())</f>
        <v>#DIV/0!</v>
      </c>
      <c r="AO131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4">
        <f ca="1">((Table1334567[[#This Row],[call vanna]]+Table1334567[[#This Row],[put vanna]])*$A$4)</f>
        <v>0</v>
      </c>
      <c r="AR131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4" s="9" t="str" cm="1">
        <f t="array" ref="AT1314">_xlfn.IFS(     $M$1="SPX","SPXW",     $M$1="RUT","RUTW",  $M$1="NDX","NDXP",   TRUE,$M$1 )</f>
        <v>SPXW</v>
      </c>
      <c r="AU1314" s="2">
        <f t="shared" si="132"/>
        <v>6915</v>
      </c>
      <c r="AV1314" t="str">
        <f t="shared" si="133"/>
        <v>000100</v>
      </c>
      <c r="AY131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4">
        <f>((Table1334567[[#This Row],[High C]]+Table1334567[[#This Row],[Low C]])/2)*Table1334567[[#This Row],[gammac]]*Table1334567[[#This Row],[Volume]]</f>
        <v>0</v>
      </c>
      <c r="BD1314">
        <f>((Table1334567[[#This Row],[High P]]+Table1334567[[#This Row],[Low P]])/2)*Table1334567[[#This Row],[gammap]]*Table1334567[[#This Row],[Volume9]]*-1</f>
        <v>0</v>
      </c>
      <c r="BE1314">
        <f>(Table1334567[[#This Row],[SgammaC]]+Table1334567[[#This Row],[SgammaP]])*$A$4*-100</f>
        <v>0</v>
      </c>
      <c r="BF1314">
        <f>Table1334567[[#This Row],[DEXc]]+Table1334567[[#This Row],[DEXp]]</f>
        <v>0</v>
      </c>
      <c r="BG1314">
        <f>IFERROR(Table1334567[[#This Row],[DeltaC]]*Table1334567[[#This Row],[Open.Int]]*$A$4,0)</f>
        <v>0</v>
      </c>
      <c r="BH1314">
        <f>IFERROR(Table1334567[[#This Row],[DeltaP]]*Table1334567[[#This Row],[Open.Int8]]*$A$4,0)</f>
        <v>0</v>
      </c>
      <c r="BI131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4">
        <f ca="1">Table1334567[[#This Row],[charmc]]+Table1334567[[#This Row],[charmp]]</f>
        <v>0</v>
      </c>
      <c r="BL131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4" s="78">
        <f ca="1">Table1334567[[#This Row],[call helper]]+Table1334567[[#This Row],[put helper]]</f>
        <v>0</v>
      </c>
      <c r="BP1314" t="str">
        <f>RTD("tos.rtd", , "STRIKE", "."&amp;Table1334567[[#This Row],[Ticker]]&amp;Table1334567[[#This Row],[Expiry]]&amp;""&amp;"C"&amp;Table1334567[[#This Row],[Spot]]+Table1334567[[#This Row],[step]])</f>
        <v>N/A</v>
      </c>
    </row>
    <row r="1315" spans="1:68" x14ac:dyDescent="0.25">
      <c r="A1315" s="14">
        <f t="shared" ca="1" si="129"/>
        <v>-126.14810350076104</v>
      </c>
      <c r="C1315" s="17"/>
      <c r="D1315" t="str">
        <f>RTD("tos.rtd", , "OPEN_INT", "."&amp;Table1334567[[#This Row],[Ticker]]&amp;Table1334567[[#This Row],[Expiry]]&amp;""&amp;"C"&amp;Table1334567[[#This Row],[Spot]]+Table1334567[[#This Row],[step]])</f>
        <v>N/A</v>
      </c>
      <c r="E131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5" s="17" cm="1">
        <f t="array" aca="1" ref="H1315" ca="1">IndividualLegIVCore($A$4, Table1334567[[#This Row],[Strike]], 0.0411, Table1334567[[#This Row],[T]], ((Table1334567[[#This Row],[BIDC]]+Table1334567[[#This Row],[ASKC]])/2), TRUE)</f>
        <v>0.01</v>
      </c>
      <c r="I131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5" s="17"/>
      <c r="M1315" s="1">
        <f t="shared" si="130"/>
        <v>0</v>
      </c>
      <c r="N1315" t="b">
        <f t="shared" si="131"/>
        <v>0</v>
      </c>
      <c r="P1315" s="17" cm="1">
        <f t="array" aca="1" ref="P1315" ca="1">IndividualLegIVCore($A$4, Table1334567[[#This Row],[Strike]], 0.0411, Table1334567[[#This Row],[T]], ((Table1334567[[#This Row],[BIDP]]+Table1334567[[#This Row],[ASKP]])/2), FALSE)</f>
        <v>0.01</v>
      </c>
      <c r="Q131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5" s="17"/>
      <c r="T131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5" s="19">
        <f>-6.5* IF($M$1="NDX", 10, IF(OR($M$1="SPX", $M$1="RUT"), 2, 1))</f>
        <v>-13</v>
      </c>
      <c r="Z1315">
        <f ca="1">IFERROR(Table1334567[[#This Row],[call gamma]]*(Table1334567[[#This Row],[Open.Int]])*$A$4^2,0)</f>
        <v>0</v>
      </c>
      <c r="AA1315">
        <f ca="1">IFERROR(((Table1334567[[#This Row],[Open.Int8]])*Table1334567[[#This Row],[Put gamma]])*-1*$A$4^2,0)</f>
        <v>0</v>
      </c>
      <c r="AB1315">
        <f ca="1">(Table1334567[[#This Row],[Call Gex]]+Table1334567[[#This Row],[Put Gex]])</f>
        <v>0</v>
      </c>
      <c r="AC1315">
        <f ca="1">Table1334567[[#This Row],[put delta adj]]+Table1334567[[#This Row],[call delta adj]]</f>
        <v>0</v>
      </c>
      <c r="AD1315">
        <f ca="1">Table1334567[[#This Row],[Put Gex]]*Table1334567[[#This Row],[DeltaP]]*-1</f>
        <v>0</v>
      </c>
      <c r="AE1315">
        <f ca="1">Table1334567[[#This Row],[Call Gex]]*Table1334567[[#This Row],[DeltaC]]</f>
        <v>0</v>
      </c>
      <c r="AF1315">
        <f>IF(Table1334567[[#This Row],[DeltaC]]-ABS(Table1334567[[#This Row],[DeltaP]])="0","0.01",Table1334567[[#This Row],[DeltaC]]-ABS(Table1334567[[#This Row],[DeltaP]]))</f>
        <v>0</v>
      </c>
      <c r="AG131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5" t="e">
        <f ca="1">(EXP(-(AG1315^2)/2)/SQRT(2*PI())*EXP(0*SQRT(Table1334567[[#This Row],[T]]))/$A$4*18%*SQRT(SQRT(Table1334567[[#This Row],[T]])))</f>
        <v>#DIV/0!</v>
      </c>
      <c r="AJ1315" t="e">
        <f ca="1">(EXP(-(AH1315^2)/2)/SQRT(2*PI())*EXP(0*SQRT(Table1334567[[#This Row],[T]]))/$A$4*18%*SQRT(SQRT(Table1334567[[#This Row],[T]])))</f>
        <v>#DIV/0!</v>
      </c>
      <c r="AK1315" t="e">
        <f ca="1">Table1334567[[#This Row],[Call D1]]-Table1334567[[#This Row],[IV Calc C]]*SQRT(Table1334567[[#This Row],[T]])</f>
        <v>#DIV/0!</v>
      </c>
      <c r="AL1315" t="e">
        <f ca="1">Table1334567[[#This Row],[Put D1]]-Table1334567[[#This Row],[IV Calc P]]*SQRT(Table1334567[[#This Row],[T]])</f>
        <v>#DIV/0!</v>
      </c>
      <c r="AM1315" t="e">
        <f ca="1">EXP(-0.5*Table1334567[[#This Row],[Call D1]]^2)/SQRT(2*PI())</f>
        <v>#DIV/0!</v>
      </c>
      <c r="AN1315" t="e">
        <f ca="1">EXP(-0.5*Table1334567[[#This Row],[Put D1]]^2)/SQRT(2*PI())</f>
        <v>#DIV/0!</v>
      </c>
      <c r="AO131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5">
        <f ca="1">((Table1334567[[#This Row],[call vanna]]+Table1334567[[#This Row],[put vanna]])*$A$4)</f>
        <v>0</v>
      </c>
      <c r="AR131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5" s="9" t="str" cm="1">
        <f t="array" ref="AT1315">_xlfn.IFS(     $M$1="SPX","SPXW",     $M$1="RUT","RUTW",  $M$1="NDX","NDXP",   TRUE,$M$1 )</f>
        <v>SPXW</v>
      </c>
      <c r="AU1315" s="2">
        <f t="shared" si="132"/>
        <v>6915</v>
      </c>
      <c r="AV1315" t="str">
        <f t="shared" si="133"/>
        <v>000100</v>
      </c>
      <c r="AY131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5">
        <f>((Table1334567[[#This Row],[High C]]+Table1334567[[#This Row],[Low C]])/2)*Table1334567[[#This Row],[gammac]]*Table1334567[[#This Row],[Volume]]</f>
        <v>0</v>
      </c>
      <c r="BD1315">
        <f>((Table1334567[[#This Row],[High P]]+Table1334567[[#This Row],[Low P]])/2)*Table1334567[[#This Row],[gammap]]*Table1334567[[#This Row],[Volume9]]*-1</f>
        <v>0</v>
      </c>
      <c r="BE1315">
        <f>(Table1334567[[#This Row],[SgammaC]]+Table1334567[[#This Row],[SgammaP]])*$A$4*-100</f>
        <v>0</v>
      </c>
      <c r="BF1315">
        <f>Table1334567[[#This Row],[DEXc]]+Table1334567[[#This Row],[DEXp]]</f>
        <v>0</v>
      </c>
      <c r="BG1315">
        <f>IFERROR(Table1334567[[#This Row],[DeltaC]]*Table1334567[[#This Row],[Open.Int]]*$A$4,0)</f>
        <v>0</v>
      </c>
      <c r="BH1315">
        <f>IFERROR(Table1334567[[#This Row],[DeltaP]]*Table1334567[[#This Row],[Open.Int8]]*$A$4,0)</f>
        <v>0</v>
      </c>
      <c r="BI131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5">
        <f ca="1">Table1334567[[#This Row],[charmc]]+Table1334567[[#This Row],[charmp]]</f>
        <v>0</v>
      </c>
      <c r="BL131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5" s="78">
        <f ca="1">Table1334567[[#This Row],[call helper]]+Table1334567[[#This Row],[put helper]]</f>
        <v>0</v>
      </c>
      <c r="BP1315" t="str">
        <f>RTD("tos.rtd", , "STRIKE", "."&amp;Table1334567[[#This Row],[Ticker]]&amp;Table1334567[[#This Row],[Expiry]]&amp;""&amp;"C"&amp;Table1334567[[#This Row],[Spot]]+Table1334567[[#This Row],[step]])</f>
        <v>N/A</v>
      </c>
    </row>
    <row r="1316" spans="1:68" x14ac:dyDescent="0.25">
      <c r="A1316" s="14">
        <f t="shared" ca="1" si="129"/>
        <v>-126.14810350076104</v>
      </c>
      <c r="C1316" s="17"/>
      <c r="D1316" t="str">
        <f>RTD("tos.rtd", , "OPEN_INT", "."&amp;Table1334567[[#This Row],[Ticker]]&amp;Table1334567[[#This Row],[Expiry]]&amp;""&amp;"C"&amp;Table1334567[[#This Row],[Spot]]+Table1334567[[#This Row],[step]])</f>
        <v>N/A</v>
      </c>
      <c r="E131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6" s="17" cm="1">
        <f t="array" aca="1" ref="H1316" ca="1">IndividualLegIVCore($A$4, Table1334567[[#This Row],[Strike]], 0.0411, Table1334567[[#This Row],[T]], ((Table1334567[[#This Row],[BIDC]]+Table1334567[[#This Row],[ASKC]])/2), TRUE)</f>
        <v>0.01</v>
      </c>
      <c r="I131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6" s="17"/>
      <c r="M1316" s="1">
        <f t="shared" si="130"/>
        <v>0</v>
      </c>
      <c r="N1316" t="b">
        <f t="shared" si="131"/>
        <v>0</v>
      </c>
      <c r="P1316" s="17" cm="1">
        <f t="array" aca="1" ref="P1316" ca="1">IndividualLegIVCore($A$4, Table1334567[[#This Row],[Strike]], 0.0411, Table1334567[[#This Row],[T]], ((Table1334567[[#This Row],[BIDP]]+Table1334567[[#This Row],[ASKP]])/2), FALSE)</f>
        <v>0.01</v>
      </c>
      <c r="Q131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6" s="17"/>
      <c r="T131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6" s="19">
        <f>-6* IF($M$1="NDX", 10, IF(OR($M$1="SPX", $M$1="RUT"), 2, 1))</f>
        <v>-12</v>
      </c>
      <c r="Z1316">
        <f ca="1">IFERROR(Table1334567[[#This Row],[call gamma]]*(Table1334567[[#This Row],[Open.Int]])*$A$4^2,0)</f>
        <v>0</v>
      </c>
      <c r="AA1316">
        <f ca="1">IFERROR(((Table1334567[[#This Row],[Open.Int8]])*Table1334567[[#This Row],[Put gamma]])*-1*$A$4^2,0)</f>
        <v>0</v>
      </c>
      <c r="AB1316">
        <f ca="1">(Table1334567[[#This Row],[Call Gex]]+Table1334567[[#This Row],[Put Gex]])</f>
        <v>0</v>
      </c>
      <c r="AC1316">
        <f ca="1">Table1334567[[#This Row],[put delta adj]]+Table1334567[[#This Row],[call delta adj]]</f>
        <v>0</v>
      </c>
      <c r="AD1316">
        <f ca="1">Table1334567[[#This Row],[Put Gex]]*Table1334567[[#This Row],[DeltaP]]*-1</f>
        <v>0</v>
      </c>
      <c r="AE1316">
        <f ca="1">Table1334567[[#This Row],[Call Gex]]*Table1334567[[#This Row],[DeltaC]]</f>
        <v>0</v>
      </c>
      <c r="AF1316">
        <f>IF(Table1334567[[#This Row],[DeltaC]]-ABS(Table1334567[[#This Row],[DeltaP]])="0","0.01",Table1334567[[#This Row],[DeltaC]]-ABS(Table1334567[[#This Row],[DeltaP]]))</f>
        <v>0</v>
      </c>
      <c r="AG131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6" t="e">
        <f ca="1">(EXP(-(AG1316^2)/2)/SQRT(2*PI())*EXP(0*SQRT(Table1334567[[#This Row],[T]]))/$A$4*18%*SQRT(SQRT(Table1334567[[#This Row],[T]])))</f>
        <v>#DIV/0!</v>
      </c>
      <c r="AJ1316" t="e">
        <f ca="1">(EXP(-(AH1316^2)/2)/SQRT(2*PI())*EXP(0*SQRT(Table1334567[[#This Row],[T]]))/$A$4*18%*SQRT(SQRT(Table1334567[[#This Row],[T]])))</f>
        <v>#DIV/0!</v>
      </c>
      <c r="AK1316" t="e">
        <f ca="1">Table1334567[[#This Row],[Call D1]]-Table1334567[[#This Row],[IV Calc C]]*SQRT(Table1334567[[#This Row],[T]])</f>
        <v>#DIV/0!</v>
      </c>
      <c r="AL1316" t="e">
        <f ca="1">Table1334567[[#This Row],[Put D1]]-Table1334567[[#This Row],[IV Calc P]]*SQRT(Table1334567[[#This Row],[T]])</f>
        <v>#DIV/0!</v>
      </c>
      <c r="AM1316" t="e">
        <f ca="1">EXP(-0.5*Table1334567[[#This Row],[Call D1]]^2)/SQRT(2*PI())</f>
        <v>#DIV/0!</v>
      </c>
      <c r="AN1316" t="e">
        <f ca="1">EXP(-0.5*Table1334567[[#This Row],[Put D1]]^2)/SQRT(2*PI())</f>
        <v>#DIV/0!</v>
      </c>
      <c r="AO131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6">
        <f ca="1">((Table1334567[[#This Row],[call vanna]]+Table1334567[[#This Row],[put vanna]])*$A$4)</f>
        <v>0</v>
      </c>
      <c r="AR131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6" s="9" t="str" cm="1">
        <f t="array" ref="AT1316">_xlfn.IFS(     $M$1="SPX","SPXW",     $M$1="RUT","RUTW",  $M$1="NDX","NDXP",   TRUE,$M$1 )</f>
        <v>SPXW</v>
      </c>
      <c r="AU1316" s="2">
        <f t="shared" si="132"/>
        <v>6915</v>
      </c>
      <c r="AV1316" t="str">
        <f t="shared" si="133"/>
        <v>000100</v>
      </c>
      <c r="AY131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6">
        <f>((Table1334567[[#This Row],[High C]]+Table1334567[[#This Row],[Low C]])/2)*Table1334567[[#This Row],[gammac]]*Table1334567[[#This Row],[Volume]]</f>
        <v>0</v>
      </c>
      <c r="BD1316">
        <f>((Table1334567[[#This Row],[High P]]+Table1334567[[#This Row],[Low P]])/2)*Table1334567[[#This Row],[gammap]]*Table1334567[[#This Row],[Volume9]]*-1</f>
        <v>0</v>
      </c>
      <c r="BE1316">
        <f>(Table1334567[[#This Row],[SgammaC]]+Table1334567[[#This Row],[SgammaP]])*$A$4*-100</f>
        <v>0</v>
      </c>
      <c r="BF1316">
        <f>Table1334567[[#This Row],[DEXc]]+Table1334567[[#This Row],[DEXp]]</f>
        <v>0</v>
      </c>
      <c r="BG1316">
        <f>IFERROR(Table1334567[[#This Row],[DeltaC]]*Table1334567[[#This Row],[Open.Int]]*$A$4,0)</f>
        <v>0</v>
      </c>
      <c r="BH1316">
        <f>IFERROR(Table1334567[[#This Row],[DeltaP]]*Table1334567[[#This Row],[Open.Int8]]*$A$4,0)</f>
        <v>0</v>
      </c>
      <c r="BI131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6">
        <f ca="1">Table1334567[[#This Row],[charmc]]+Table1334567[[#This Row],[charmp]]</f>
        <v>0</v>
      </c>
      <c r="BL131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6" s="78">
        <f ca="1">Table1334567[[#This Row],[call helper]]+Table1334567[[#This Row],[put helper]]</f>
        <v>0</v>
      </c>
      <c r="BP1316" t="str">
        <f>RTD("tos.rtd", , "STRIKE", "."&amp;Table1334567[[#This Row],[Ticker]]&amp;Table1334567[[#This Row],[Expiry]]&amp;""&amp;"C"&amp;Table1334567[[#This Row],[Spot]]+Table1334567[[#This Row],[step]])</f>
        <v>N/A</v>
      </c>
    </row>
    <row r="1317" spans="1:68" x14ac:dyDescent="0.25">
      <c r="A1317" s="14">
        <f t="shared" ca="1" si="129"/>
        <v>-126.14810350076104</v>
      </c>
      <c r="C1317" s="17"/>
      <c r="D1317" t="str">
        <f>RTD("tos.rtd", , "OPEN_INT", "."&amp;Table1334567[[#This Row],[Ticker]]&amp;Table1334567[[#This Row],[Expiry]]&amp;""&amp;"C"&amp;Table1334567[[#This Row],[Spot]]+Table1334567[[#This Row],[step]])</f>
        <v>N/A</v>
      </c>
      <c r="E131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7" s="17" cm="1">
        <f t="array" aca="1" ref="H1317" ca="1">IndividualLegIVCore($A$4, Table1334567[[#This Row],[Strike]], 0.0411, Table1334567[[#This Row],[T]], ((Table1334567[[#This Row],[BIDC]]+Table1334567[[#This Row],[ASKC]])/2), TRUE)</f>
        <v>0.01</v>
      </c>
      <c r="I131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7" s="17"/>
      <c r="M1317" s="1">
        <f t="shared" si="130"/>
        <v>0</v>
      </c>
      <c r="N1317" t="b">
        <f t="shared" si="131"/>
        <v>0</v>
      </c>
      <c r="P1317" s="17" cm="1">
        <f t="array" aca="1" ref="P1317" ca="1">IndividualLegIVCore($A$4, Table1334567[[#This Row],[Strike]], 0.0411, Table1334567[[#This Row],[T]], ((Table1334567[[#This Row],[BIDP]]+Table1334567[[#This Row],[ASKP]])/2), FALSE)</f>
        <v>0.01</v>
      </c>
      <c r="Q131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7" s="17"/>
      <c r="T131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7" s="19">
        <f>-5.5* IF($M$1="NDX", 10, IF(OR($M$1="SPX", $M$1="RUT"), 2, 1))</f>
        <v>-11</v>
      </c>
      <c r="Z1317">
        <f ca="1">IFERROR(Table1334567[[#This Row],[call gamma]]*(Table1334567[[#This Row],[Open.Int]])*$A$4^2,0)</f>
        <v>0</v>
      </c>
      <c r="AA1317">
        <f ca="1">IFERROR(((Table1334567[[#This Row],[Open.Int8]])*Table1334567[[#This Row],[Put gamma]])*-1*$A$4^2,0)</f>
        <v>0</v>
      </c>
      <c r="AB1317">
        <f ca="1">(Table1334567[[#This Row],[Call Gex]]+Table1334567[[#This Row],[Put Gex]])</f>
        <v>0</v>
      </c>
      <c r="AC1317">
        <f ca="1">Table1334567[[#This Row],[put delta adj]]+Table1334567[[#This Row],[call delta adj]]</f>
        <v>0</v>
      </c>
      <c r="AD1317">
        <f ca="1">Table1334567[[#This Row],[Put Gex]]*Table1334567[[#This Row],[DeltaP]]*-1</f>
        <v>0</v>
      </c>
      <c r="AE1317">
        <f ca="1">Table1334567[[#This Row],[Call Gex]]*Table1334567[[#This Row],[DeltaC]]</f>
        <v>0</v>
      </c>
      <c r="AF1317">
        <f>IF(Table1334567[[#This Row],[DeltaC]]-ABS(Table1334567[[#This Row],[DeltaP]])="0","0.01",Table1334567[[#This Row],[DeltaC]]-ABS(Table1334567[[#This Row],[DeltaP]]))</f>
        <v>0</v>
      </c>
      <c r="AG131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7" t="e">
        <f ca="1">(EXP(-(AG1317^2)/2)/SQRT(2*PI())*EXP(0*SQRT(Table1334567[[#This Row],[T]]))/$A$4*18%*SQRT(SQRT(Table1334567[[#This Row],[T]])))</f>
        <v>#DIV/0!</v>
      </c>
      <c r="AJ1317" t="e">
        <f ca="1">(EXP(-(AH1317^2)/2)/SQRT(2*PI())*EXP(0*SQRT(Table1334567[[#This Row],[T]]))/$A$4*18%*SQRT(SQRT(Table1334567[[#This Row],[T]])))</f>
        <v>#DIV/0!</v>
      </c>
      <c r="AK1317" t="e">
        <f ca="1">Table1334567[[#This Row],[Call D1]]-Table1334567[[#This Row],[IV Calc C]]*SQRT(Table1334567[[#This Row],[T]])</f>
        <v>#DIV/0!</v>
      </c>
      <c r="AL1317" t="e">
        <f ca="1">Table1334567[[#This Row],[Put D1]]-Table1334567[[#This Row],[IV Calc P]]*SQRT(Table1334567[[#This Row],[T]])</f>
        <v>#DIV/0!</v>
      </c>
      <c r="AM1317" t="e">
        <f ca="1">EXP(-0.5*Table1334567[[#This Row],[Call D1]]^2)/SQRT(2*PI())</f>
        <v>#DIV/0!</v>
      </c>
      <c r="AN1317" t="e">
        <f ca="1">EXP(-0.5*Table1334567[[#This Row],[Put D1]]^2)/SQRT(2*PI())</f>
        <v>#DIV/0!</v>
      </c>
      <c r="AO131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7">
        <f ca="1">((Table1334567[[#This Row],[call vanna]]+Table1334567[[#This Row],[put vanna]])*$A$4)</f>
        <v>0</v>
      </c>
      <c r="AR131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7" s="9" t="str" cm="1">
        <f t="array" ref="AT1317">_xlfn.IFS(     $M$1="SPX","SPXW",     $M$1="RUT","RUTW",  $M$1="NDX","NDXP",   TRUE,$M$1 )</f>
        <v>SPXW</v>
      </c>
      <c r="AU1317" s="2">
        <f t="shared" si="132"/>
        <v>6915</v>
      </c>
      <c r="AV1317" t="str">
        <f t="shared" si="133"/>
        <v>000100</v>
      </c>
      <c r="AY131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7">
        <f>((Table1334567[[#This Row],[High C]]+Table1334567[[#This Row],[Low C]])/2)*Table1334567[[#This Row],[gammac]]*Table1334567[[#This Row],[Volume]]</f>
        <v>0</v>
      </c>
      <c r="BD1317">
        <f>((Table1334567[[#This Row],[High P]]+Table1334567[[#This Row],[Low P]])/2)*Table1334567[[#This Row],[gammap]]*Table1334567[[#This Row],[Volume9]]*-1</f>
        <v>0</v>
      </c>
      <c r="BE1317">
        <f>(Table1334567[[#This Row],[SgammaC]]+Table1334567[[#This Row],[SgammaP]])*$A$4*-100</f>
        <v>0</v>
      </c>
      <c r="BF1317">
        <f>Table1334567[[#This Row],[DEXc]]+Table1334567[[#This Row],[DEXp]]</f>
        <v>0</v>
      </c>
      <c r="BG1317">
        <f>IFERROR(Table1334567[[#This Row],[DeltaC]]*Table1334567[[#This Row],[Open.Int]]*$A$4,0)</f>
        <v>0</v>
      </c>
      <c r="BH1317">
        <f>IFERROR(Table1334567[[#This Row],[DeltaP]]*Table1334567[[#This Row],[Open.Int8]]*$A$4,0)</f>
        <v>0</v>
      </c>
      <c r="BI131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7">
        <f ca="1">Table1334567[[#This Row],[charmc]]+Table1334567[[#This Row],[charmp]]</f>
        <v>0</v>
      </c>
      <c r="BL131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7" s="78">
        <f ca="1">Table1334567[[#This Row],[call helper]]+Table1334567[[#This Row],[put helper]]</f>
        <v>0</v>
      </c>
      <c r="BP1317" t="str">
        <f>RTD("tos.rtd", , "STRIKE", "."&amp;Table1334567[[#This Row],[Ticker]]&amp;Table1334567[[#This Row],[Expiry]]&amp;""&amp;"C"&amp;Table1334567[[#This Row],[Spot]]+Table1334567[[#This Row],[step]])</f>
        <v>N/A</v>
      </c>
    </row>
    <row r="1318" spans="1:68" x14ac:dyDescent="0.25">
      <c r="A1318" s="14">
        <f t="shared" ca="1" si="129"/>
        <v>-126.14810350076104</v>
      </c>
      <c r="C1318" s="17"/>
      <c r="D1318" t="str">
        <f>RTD("tos.rtd", , "OPEN_INT", "."&amp;Table1334567[[#This Row],[Ticker]]&amp;Table1334567[[#This Row],[Expiry]]&amp;""&amp;"C"&amp;Table1334567[[#This Row],[Spot]]+Table1334567[[#This Row],[step]])</f>
        <v>N/A</v>
      </c>
      <c r="E131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8" s="17" cm="1">
        <f t="array" aca="1" ref="H1318" ca="1">IndividualLegIVCore($A$4, Table1334567[[#This Row],[Strike]], 0.0411, Table1334567[[#This Row],[T]], ((Table1334567[[#This Row],[BIDC]]+Table1334567[[#This Row],[ASKC]])/2), TRUE)</f>
        <v>0.01</v>
      </c>
      <c r="I131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8" s="17"/>
      <c r="M1318" s="1">
        <f t="shared" si="130"/>
        <v>0</v>
      </c>
      <c r="N1318" t="b">
        <f t="shared" si="131"/>
        <v>0</v>
      </c>
      <c r="P1318" s="17" cm="1">
        <f t="array" aca="1" ref="P1318" ca="1">IndividualLegIVCore($A$4, Table1334567[[#This Row],[Strike]], 0.0411, Table1334567[[#This Row],[T]], ((Table1334567[[#This Row],[BIDP]]+Table1334567[[#This Row],[ASKP]])/2), FALSE)</f>
        <v>0.01</v>
      </c>
      <c r="Q131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8" s="17"/>
      <c r="T131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8" s="19">
        <f>-5* IF($M$1="NDX", 10, IF(OR($M$1="SPX", $M$1="RUT"), 2, 1))</f>
        <v>-10</v>
      </c>
      <c r="Z1318">
        <f ca="1">IFERROR(Table1334567[[#This Row],[call gamma]]*(Table1334567[[#This Row],[Open.Int]])*$A$4^2,0)</f>
        <v>0</v>
      </c>
      <c r="AA1318">
        <f ca="1">IFERROR(((Table1334567[[#This Row],[Open.Int8]])*Table1334567[[#This Row],[Put gamma]])*-1*$A$4^2,0)</f>
        <v>0</v>
      </c>
      <c r="AB1318">
        <f ca="1">(Table1334567[[#This Row],[Call Gex]]+Table1334567[[#This Row],[Put Gex]])</f>
        <v>0</v>
      </c>
      <c r="AC1318">
        <f ca="1">Table1334567[[#This Row],[put delta adj]]+Table1334567[[#This Row],[call delta adj]]</f>
        <v>0</v>
      </c>
      <c r="AD1318">
        <f ca="1">Table1334567[[#This Row],[Put Gex]]*Table1334567[[#This Row],[DeltaP]]*-1</f>
        <v>0</v>
      </c>
      <c r="AE1318">
        <f ca="1">Table1334567[[#This Row],[Call Gex]]*Table1334567[[#This Row],[DeltaC]]</f>
        <v>0</v>
      </c>
      <c r="AF1318">
        <f>IF(Table1334567[[#This Row],[DeltaC]]-ABS(Table1334567[[#This Row],[DeltaP]])="0","0.01",Table1334567[[#This Row],[DeltaC]]-ABS(Table1334567[[#This Row],[DeltaP]]))</f>
        <v>0</v>
      </c>
      <c r="AG131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8" t="e">
        <f ca="1">(EXP(-(AG1318^2)/2)/SQRT(2*PI())*EXP(0*SQRT(Table1334567[[#This Row],[T]]))/$A$4*18%*SQRT(SQRT(Table1334567[[#This Row],[T]])))</f>
        <v>#DIV/0!</v>
      </c>
      <c r="AJ1318" t="e">
        <f ca="1">(EXP(-(AH1318^2)/2)/SQRT(2*PI())*EXP(0*SQRT(Table1334567[[#This Row],[T]]))/$A$4*18%*SQRT(SQRT(Table1334567[[#This Row],[T]])))</f>
        <v>#DIV/0!</v>
      </c>
      <c r="AK1318" t="e">
        <f ca="1">Table1334567[[#This Row],[Call D1]]-Table1334567[[#This Row],[IV Calc C]]*SQRT(Table1334567[[#This Row],[T]])</f>
        <v>#DIV/0!</v>
      </c>
      <c r="AL1318" t="e">
        <f ca="1">Table1334567[[#This Row],[Put D1]]-Table1334567[[#This Row],[IV Calc P]]*SQRT(Table1334567[[#This Row],[T]])</f>
        <v>#DIV/0!</v>
      </c>
      <c r="AM1318" t="e">
        <f ca="1">EXP(-0.5*Table1334567[[#This Row],[Call D1]]^2)/SQRT(2*PI())</f>
        <v>#DIV/0!</v>
      </c>
      <c r="AN1318" t="e">
        <f ca="1">EXP(-0.5*Table1334567[[#This Row],[Put D1]]^2)/SQRT(2*PI())</f>
        <v>#DIV/0!</v>
      </c>
      <c r="AO131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8">
        <f ca="1">((Table1334567[[#This Row],[call vanna]]+Table1334567[[#This Row],[put vanna]])*$A$4)</f>
        <v>0</v>
      </c>
      <c r="AR131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8" s="9" t="str" cm="1">
        <f t="array" ref="AT1318">_xlfn.IFS(     $M$1="SPX","SPXW",     $M$1="RUT","RUTW",  $M$1="NDX","NDXP",   TRUE,$M$1 )</f>
        <v>SPXW</v>
      </c>
      <c r="AU1318" s="2">
        <f t="shared" si="132"/>
        <v>6915</v>
      </c>
      <c r="AV1318" t="str">
        <f t="shared" si="133"/>
        <v>000100</v>
      </c>
      <c r="AY131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8">
        <f>((Table1334567[[#This Row],[High C]]+Table1334567[[#This Row],[Low C]])/2)*Table1334567[[#This Row],[gammac]]*Table1334567[[#This Row],[Volume]]</f>
        <v>0</v>
      </c>
      <c r="BD1318">
        <f>((Table1334567[[#This Row],[High P]]+Table1334567[[#This Row],[Low P]])/2)*Table1334567[[#This Row],[gammap]]*Table1334567[[#This Row],[Volume9]]*-1</f>
        <v>0</v>
      </c>
      <c r="BE1318">
        <f>(Table1334567[[#This Row],[SgammaC]]+Table1334567[[#This Row],[SgammaP]])*$A$4*-100</f>
        <v>0</v>
      </c>
      <c r="BF1318">
        <f>Table1334567[[#This Row],[DEXc]]+Table1334567[[#This Row],[DEXp]]</f>
        <v>0</v>
      </c>
      <c r="BG1318">
        <f>IFERROR(Table1334567[[#This Row],[DeltaC]]*Table1334567[[#This Row],[Open.Int]]*$A$4,0)</f>
        <v>0</v>
      </c>
      <c r="BH1318">
        <f>IFERROR(Table1334567[[#This Row],[DeltaP]]*Table1334567[[#This Row],[Open.Int8]]*$A$4,0)</f>
        <v>0</v>
      </c>
      <c r="BI131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8">
        <f ca="1">Table1334567[[#This Row],[charmc]]+Table1334567[[#This Row],[charmp]]</f>
        <v>0</v>
      </c>
      <c r="BL131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8" s="78">
        <f ca="1">Table1334567[[#This Row],[call helper]]+Table1334567[[#This Row],[put helper]]</f>
        <v>0</v>
      </c>
      <c r="BP1318" t="str">
        <f>RTD("tos.rtd", , "STRIKE", "."&amp;Table1334567[[#This Row],[Ticker]]&amp;Table1334567[[#This Row],[Expiry]]&amp;""&amp;"C"&amp;Table1334567[[#This Row],[Spot]]+Table1334567[[#This Row],[step]])</f>
        <v>N/A</v>
      </c>
    </row>
    <row r="1319" spans="1:68" x14ac:dyDescent="0.25">
      <c r="A1319" s="14">
        <f t="shared" ca="1" si="129"/>
        <v>-126.14810350076104</v>
      </c>
      <c r="C1319" s="17"/>
      <c r="D1319" t="str">
        <f>RTD("tos.rtd", , "OPEN_INT", "."&amp;Table1334567[[#This Row],[Ticker]]&amp;Table1334567[[#This Row],[Expiry]]&amp;""&amp;"C"&amp;Table1334567[[#This Row],[Spot]]+Table1334567[[#This Row],[step]])</f>
        <v>N/A</v>
      </c>
      <c r="E131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9" s="17" cm="1">
        <f t="array" aca="1" ref="H1319" ca="1">IndividualLegIVCore($A$4, Table1334567[[#This Row],[Strike]], 0.0411, Table1334567[[#This Row],[T]], ((Table1334567[[#This Row],[BIDC]]+Table1334567[[#This Row],[ASKC]])/2), TRUE)</f>
        <v>0.01</v>
      </c>
      <c r="I131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9" s="17"/>
      <c r="M1319" s="1">
        <f t="shared" si="130"/>
        <v>0</v>
      </c>
      <c r="N1319" t="b">
        <f t="shared" si="131"/>
        <v>0</v>
      </c>
      <c r="P1319" s="17" cm="1">
        <f t="array" aca="1" ref="P1319" ca="1">IndividualLegIVCore($A$4, Table1334567[[#This Row],[Strike]], 0.0411, Table1334567[[#This Row],[T]], ((Table1334567[[#This Row],[BIDP]]+Table1334567[[#This Row],[ASKP]])/2), FALSE)</f>
        <v>0.01</v>
      </c>
      <c r="Q131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9" s="17"/>
      <c r="T131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9" s="19">
        <f>-4.5* IF($M$1="NDX", 10, IF(OR($M$1="SPX", $M$1="RUT"), 2, 1))</f>
        <v>-9</v>
      </c>
      <c r="Z1319">
        <f ca="1">IFERROR(Table1334567[[#This Row],[call gamma]]*(Table1334567[[#This Row],[Open.Int]])*$A$4^2,0)</f>
        <v>0</v>
      </c>
      <c r="AA1319">
        <f ca="1">IFERROR(((Table1334567[[#This Row],[Open.Int8]])*Table1334567[[#This Row],[Put gamma]])*-1*$A$4^2,0)</f>
        <v>0</v>
      </c>
      <c r="AB1319">
        <f ca="1">(Table1334567[[#This Row],[Call Gex]]+Table1334567[[#This Row],[Put Gex]])</f>
        <v>0</v>
      </c>
      <c r="AC1319">
        <f ca="1">Table1334567[[#This Row],[put delta adj]]+Table1334567[[#This Row],[call delta adj]]</f>
        <v>0</v>
      </c>
      <c r="AD1319">
        <f ca="1">Table1334567[[#This Row],[Put Gex]]*Table1334567[[#This Row],[DeltaP]]*-1</f>
        <v>0</v>
      </c>
      <c r="AE1319">
        <f ca="1">Table1334567[[#This Row],[Call Gex]]*Table1334567[[#This Row],[DeltaC]]</f>
        <v>0</v>
      </c>
      <c r="AF1319">
        <f>IF(Table1334567[[#This Row],[DeltaC]]-ABS(Table1334567[[#This Row],[DeltaP]])="0","0.01",Table1334567[[#This Row],[DeltaC]]-ABS(Table1334567[[#This Row],[DeltaP]]))</f>
        <v>0</v>
      </c>
      <c r="AG131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9" t="e">
        <f ca="1">(EXP(-(AG1319^2)/2)/SQRT(2*PI())*EXP(0*SQRT(Table1334567[[#This Row],[T]]))/$A$4*18%*SQRT(SQRT(Table1334567[[#This Row],[T]])))</f>
        <v>#DIV/0!</v>
      </c>
      <c r="AJ1319" t="e">
        <f ca="1">(EXP(-(AH1319^2)/2)/SQRT(2*PI())*EXP(0*SQRT(Table1334567[[#This Row],[T]]))/$A$4*18%*SQRT(SQRT(Table1334567[[#This Row],[T]])))</f>
        <v>#DIV/0!</v>
      </c>
      <c r="AK1319" t="e">
        <f ca="1">Table1334567[[#This Row],[Call D1]]-Table1334567[[#This Row],[IV Calc C]]*SQRT(Table1334567[[#This Row],[T]])</f>
        <v>#DIV/0!</v>
      </c>
      <c r="AL1319" t="e">
        <f ca="1">Table1334567[[#This Row],[Put D1]]-Table1334567[[#This Row],[IV Calc P]]*SQRT(Table1334567[[#This Row],[T]])</f>
        <v>#DIV/0!</v>
      </c>
      <c r="AM1319" t="e">
        <f ca="1">EXP(-0.5*Table1334567[[#This Row],[Call D1]]^2)/SQRT(2*PI())</f>
        <v>#DIV/0!</v>
      </c>
      <c r="AN1319" t="e">
        <f ca="1">EXP(-0.5*Table1334567[[#This Row],[Put D1]]^2)/SQRT(2*PI())</f>
        <v>#DIV/0!</v>
      </c>
      <c r="AO131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9">
        <f ca="1">((Table1334567[[#This Row],[call vanna]]+Table1334567[[#This Row],[put vanna]])*$A$4)</f>
        <v>0</v>
      </c>
      <c r="AR131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9" s="9" t="str" cm="1">
        <f t="array" ref="AT1319">_xlfn.IFS(     $M$1="SPX","SPXW",     $M$1="RUT","RUTW",  $M$1="NDX","NDXP",   TRUE,$M$1 )</f>
        <v>SPXW</v>
      </c>
      <c r="AU1319" s="2">
        <f t="shared" si="132"/>
        <v>6915</v>
      </c>
      <c r="AV1319" t="str">
        <f t="shared" si="133"/>
        <v>000100</v>
      </c>
      <c r="AY131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9">
        <f>((Table1334567[[#This Row],[High C]]+Table1334567[[#This Row],[Low C]])/2)*Table1334567[[#This Row],[gammac]]*Table1334567[[#This Row],[Volume]]</f>
        <v>0</v>
      </c>
      <c r="BD1319">
        <f>((Table1334567[[#This Row],[High P]]+Table1334567[[#This Row],[Low P]])/2)*Table1334567[[#This Row],[gammap]]*Table1334567[[#This Row],[Volume9]]*-1</f>
        <v>0</v>
      </c>
      <c r="BE1319">
        <f>(Table1334567[[#This Row],[SgammaC]]+Table1334567[[#This Row],[SgammaP]])*$A$4*-100</f>
        <v>0</v>
      </c>
      <c r="BF1319">
        <f>Table1334567[[#This Row],[DEXc]]+Table1334567[[#This Row],[DEXp]]</f>
        <v>0</v>
      </c>
      <c r="BG1319">
        <f>IFERROR(Table1334567[[#This Row],[DeltaC]]*Table1334567[[#This Row],[Open.Int]]*$A$4,0)</f>
        <v>0</v>
      </c>
      <c r="BH1319">
        <f>IFERROR(Table1334567[[#This Row],[DeltaP]]*Table1334567[[#This Row],[Open.Int8]]*$A$4,0)</f>
        <v>0</v>
      </c>
      <c r="BI131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9">
        <f ca="1">Table1334567[[#This Row],[charmc]]+Table1334567[[#This Row],[charmp]]</f>
        <v>0</v>
      </c>
      <c r="BL131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9" s="78">
        <f ca="1">Table1334567[[#This Row],[call helper]]+Table1334567[[#This Row],[put helper]]</f>
        <v>0</v>
      </c>
      <c r="BP1319" t="str">
        <f>RTD("tos.rtd", , "STRIKE", "."&amp;Table1334567[[#This Row],[Ticker]]&amp;Table1334567[[#This Row],[Expiry]]&amp;""&amp;"C"&amp;Table1334567[[#This Row],[Spot]]+Table1334567[[#This Row],[step]])</f>
        <v>N/A</v>
      </c>
    </row>
    <row r="1320" spans="1:68" x14ac:dyDescent="0.25">
      <c r="A1320" s="14">
        <f t="shared" ca="1" si="129"/>
        <v>-126.14810350076104</v>
      </c>
      <c r="C1320" s="17"/>
      <c r="D1320" t="str">
        <f>RTD("tos.rtd", , "OPEN_INT", "."&amp;Table1334567[[#This Row],[Ticker]]&amp;Table1334567[[#This Row],[Expiry]]&amp;""&amp;"C"&amp;Table1334567[[#This Row],[Spot]]+Table1334567[[#This Row],[step]])</f>
        <v>N/A</v>
      </c>
      <c r="E132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0" s="17" cm="1">
        <f t="array" aca="1" ref="H1320" ca="1">IndividualLegIVCore($A$4, Table1334567[[#This Row],[Strike]], 0.0411, Table1334567[[#This Row],[T]], ((Table1334567[[#This Row],[BIDC]]+Table1334567[[#This Row],[ASKC]])/2), TRUE)</f>
        <v>0.01</v>
      </c>
      <c r="I132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0" s="17"/>
      <c r="M1320" s="1">
        <f t="shared" si="130"/>
        <v>0</v>
      </c>
      <c r="N1320" t="b">
        <f t="shared" si="131"/>
        <v>0</v>
      </c>
      <c r="P1320" s="17" cm="1">
        <f t="array" aca="1" ref="P1320" ca="1">IndividualLegIVCore($A$4, Table1334567[[#This Row],[Strike]], 0.0411, Table1334567[[#This Row],[T]], ((Table1334567[[#This Row],[BIDP]]+Table1334567[[#This Row],[ASKP]])/2), FALSE)</f>
        <v>0.01</v>
      </c>
      <c r="Q132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0" s="17"/>
      <c r="T132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0" s="19">
        <f>-4* IF($M$1="NDX", 10, IF(OR($M$1="SPX", $M$1="RUT"), 2, 1))</f>
        <v>-8</v>
      </c>
      <c r="Z1320">
        <f ca="1">IFERROR(Table1334567[[#This Row],[call gamma]]*(Table1334567[[#This Row],[Open.Int]])*$A$4^2,0)</f>
        <v>0</v>
      </c>
      <c r="AA1320">
        <f ca="1">IFERROR(((Table1334567[[#This Row],[Open.Int8]])*Table1334567[[#This Row],[Put gamma]])*-1*$A$4^2,0)</f>
        <v>0</v>
      </c>
      <c r="AB1320">
        <f ca="1">(Table1334567[[#This Row],[Call Gex]]+Table1334567[[#This Row],[Put Gex]])</f>
        <v>0</v>
      </c>
      <c r="AC1320">
        <f ca="1">Table1334567[[#This Row],[put delta adj]]+Table1334567[[#This Row],[call delta adj]]</f>
        <v>0</v>
      </c>
      <c r="AD1320">
        <f ca="1">Table1334567[[#This Row],[Put Gex]]*Table1334567[[#This Row],[DeltaP]]*-1</f>
        <v>0</v>
      </c>
      <c r="AE1320">
        <f ca="1">Table1334567[[#This Row],[Call Gex]]*Table1334567[[#This Row],[DeltaC]]</f>
        <v>0</v>
      </c>
      <c r="AF1320">
        <f>IF(Table1334567[[#This Row],[DeltaC]]-ABS(Table1334567[[#This Row],[DeltaP]])="0","0.01",Table1334567[[#This Row],[DeltaC]]-ABS(Table1334567[[#This Row],[DeltaP]]))</f>
        <v>0</v>
      </c>
      <c r="AG132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0" t="e">
        <f ca="1">(EXP(-(AG1320^2)/2)/SQRT(2*PI())*EXP(0*SQRT(Table1334567[[#This Row],[T]]))/$A$4*18%*SQRT(SQRT(Table1334567[[#This Row],[T]])))</f>
        <v>#DIV/0!</v>
      </c>
      <c r="AJ1320" t="e">
        <f ca="1">(EXP(-(AH1320^2)/2)/SQRT(2*PI())*EXP(0*SQRT(Table1334567[[#This Row],[T]]))/$A$4*18%*SQRT(SQRT(Table1334567[[#This Row],[T]])))</f>
        <v>#DIV/0!</v>
      </c>
      <c r="AK1320" t="e">
        <f ca="1">Table1334567[[#This Row],[Call D1]]-Table1334567[[#This Row],[IV Calc C]]*SQRT(Table1334567[[#This Row],[T]])</f>
        <v>#DIV/0!</v>
      </c>
      <c r="AL1320" t="e">
        <f ca="1">Table1334567[[#This Row],[Put D1]]-Table1334567[[#This Row],[IV Calc P]]*SQRT(Table1334567[[#This Row],[T]])</f>
        <v>#DIV/0!</v>
      </c>
      <c r="AM1320" t="e">
        <f ca="1">EXP(-0.5*Table1334567[[#This Row],[Call D1]]^2)/SQRT(2*PI())</f>
        <v>#DIV/0!</v>
      </c>
      <c r="AN1320" t="e">
        <f ca="1">EXP(-0.5*Table1334567[[#This Row],[Put D1]]^2)/SQRT(2*PI())</f>
        <v>#DIV/0!</v>
      </c>
      <c r="AO132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0">
        <f ca="1">((Table1334567[[#This Row],[call vanna]]+Table1334567[[#This Row],[put vanna]])*$A$4)</f>
        <v>0</v>
      </c>
      <c r="AR132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0" s="9" t="str" cm="1">
        <f t="array" ref="AT1320">_xlfn.IFS(     $M$1="SPX","SPXW",     $M$1="RUT","RUTW",  $M$1="NDX","NDXP",   TRUE,$M$1 )</f>
        <v>SPXW</v>
      </c>
      <c r="AU1320" s="2">
        <f t="shared" si="132"/>
        <v>6915</v>
      </c>
      <c r="AV1320" t="str">
        <f t="shared" si="133"/>
        <v>000100</v>
      </c>
      <c r="AY132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0">
        <f>((Table1334567[[#This Row],[High C]]+Table1334567[[#This Row],[Low C]])/2)*Table1334567[[#This Row],[gammac]]*Table1334567[[#This Row],[Volume]]</f>
        <v>0</v>
      </c>
      <c r="BD1320">
        <f>((Table1334567[[#This Row],[High P]]+Table1334567[[#This Row],[Low P]])/2)*Table1334567[[#This Row],[gammap]]*Table1334567[[#This Row],[Volume9]]*-1</f>
        <v>0</v>
      </c>
      <c r="BE1320">
        <f>(Table1334567[[#This Row],[SgammaC]]+Table1334567[[#This Row],[SgammaP]])*$A$4*-100</f>
        <v>0</v>
      </c>
      <c r="BF1320">
        <f>Table1334567[[#This Row],[DEXc]]+Table1334567[[#This Row],[DEXp]]</f>
        <v>0</v>
      </c>
      <c r="BG1320">
        <f>IFERROR(Table1334567[[#This Row],[DeltaC]]*Table1334567[[#This Row],[Open.Int]]*$A$4,0)</f>
        <v>0</v>
      </c>
      <c r="BH1320">
        <f>IFERROR(Table1334567[[#This Row],[DeltaP]]*Table1334567[[#This Row],[Open.Int8]]*$A$4,0)</f>
        <v>0</v>
      </c>
      <c r="BI132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0">
        <f ca="1">Table1334567[[#This Row],[charmc]]+Table1334567[[#This Row],[charmp]]</f>
        <v>0</v>
      </c>
      <c r="BL132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0" s="78">
        <f ca="1">Table1334567[[#This Row],[call helper]]+Table1334567[[#This Row],[put helper]]</f>
        <v>0</v>
      </c>
      <c r="BP1320" t="str">
        <f>RTD("tos.rtd", , "STRIKE", "."&amp;Table1334567[[#This Row],[Ticker]]&amp;Table1334567[[#This Row],[Expiry]]&amp;""&amp;"C"&amp;Table1334567[[#This Row],[Spot]]+Table1334567[[#This Row],[step]])</f>
        <v>N/A</v>
      </c>
    </row>
    <row r="1321" spans="1:68" x14ac:dyDescent="0.25">
      <c r="A1321" s="14">
        <f t="shared" ca="1" si="129"/>
        <v>-126.14810350076104</v>
      </c>
      <c r="C1321" s="17"/>
      <c r="D1321" t="str">
        <f>RTD("tos.rtd", , "OPEN_INT", "."&amp;Table1334567[[#This Row],[Ticker]]&amp;Table1334567[[#This Row],[Expiry]]&amp;""&amp;"C"&amp;Table1334567[[#This Row],[Spot]]+Table1334567[[#This Row],[step]])</f>
        <v>N/A</v>
      </c>
      <c r="E132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1" s="17" cm="1">
        <f t="array" aca="1" ref="H1321" ca="1">IndividualLegIVCore($A$4, Table1334567[[#This Row],[Strike]], 0.0411, Table1334567[[#This Row],[T]], ((Table1334567[[#This Row],[BIDC]]+Table1334567[[#This Row],[ASKC]])/2), TRUE)</f>
        <v>0.01</v>
      </c>
      <c r="I132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1" s="17"/>
      <c r="M1321" s="1">
        <f t="shared" si="130"/>
        <v>0</v>
      </c>
      <c r="N1321" t="b">
        <f t="shared" si="131"/>
        <v>0</v>
      </c>
      <c r="P1321" s="17" cm="1">
        <f t="array" aca="1" ref="P1321" ca="1">IndividualLegIVCore($A$4, Table1334567[[#This Row],[Strike]], 0.0411, Table1334567[[#This Row],[T]], ((Table1334567[[#This Row],[BIDP]]+Table1334567[[#This Row],[ASKP]])/2), FALSE)</f>
        <v>0.01</v>
      </c>
      <c r="Q132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1" s="17"/>
      <c r="T132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1" s="19">
        <f>-3.5* IF($M$1="NDX", 10, IF(OR($M$1="SPX", $M$1="RUT"), 2, 1))</f>
        <v>-7</v>
      </c>
      <c r="Z1321">
        <f ca="1">IFERROR(Table1334567[[#This Row],[call gamma]]*(Table1334567[[#This Row],[Open.Int]])*$A$4^2,0)</f>
        <v>0</v>
      </c>
      <c r="AA1321">
        <f ca="1">IFERROR(((Table1334567[[#This Row],[Open.Int8]])*Table1334567[[#This Row],[Put gamma]])*-1*$A$4^2,0)</f>
        <v>0</v>
      </c>
      <c r="AB1321">
        <f ca="1">(Table1334567[[#This Row],[Call Gex]]+Table1334567[[#This Row],[Put Gex]])</f>
        <v>0</v>
      </c>
      <c r="AC1321">
        <f ca="1">Table1334567[[#This Row],[put delta adj]]+Table1334567[[#This Row],[call delta adj]]</f>
        <v>0</v>
      </c>
      <c r="AD1321">
        <f ca="1">Table1334567[[#This Row],[Put Gex]]*Table1334567[[#This Row],[DeltaP]]*-1</f>
        <v>0</v>
      </c>
      <c r="AE1321">
        <f ca="1">Table1334567[[#This Row],[Call Gex]]*Table1334567[[#This Row],[DeltaC]]</f>
        <v>0</v>
      </c>
      <c r="AF1321">
        <f>IF(Table1334567[[#This Row],[DeltaC]]-ABS(Table1334567[[#This Row],[DeltaP]])="0","0.01",Table1334567[[#This Row],[DeltaC]]-ABS(Table1334567[[#This Row],[DeltaP]]))</f>
        <v>0</v>
      </c>
      <c r="AG132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1" t="e">
        <f ca="1">(EXP(-(AG1321^2)/2)/SQRT(2*PI())*EXP(0*SQRT(Table1334567[[#This Row],[T]]))/$A$4*18%*SQRT(SQRT(Table1334567[[#This Row],[T]])))</f>
        <v>#DIV/0!</v>
      </c>
      <c r="AJ1321" t="e">
        <f ca="1">(EXP(-(AH1321^2)/2)/SQRT(2*PI())*EXP(0*SQRT(Table1334567[[#This Row],[T]]))/$A$4*18%*SQRT(SQRT(Table1334567[[#This Row],[T]])))</f>
        <v>#DIV/0!</v>
      </c>
      <c r="AK1321" t="e">
        <f ca="1">Table1334567[[#This Row],[Call D1]]-Table1334567[[#This Row],[IV Calc C]]*SQRT(Table1334567[[#This Row],[T]])</f>
        <v>#DIV/0!</v>
      </c>
      <c r="AL1321" t="e">
        <f ca="1">Table1334567[[#This Row],[Put D1]]-Table1334567[[#This Row],[IV Calc P]]*SQRT(Table1334567[[#This Row],[T]])</f>
        <v>#DIV/0!</v>
      </c>
      <c r="AM1321" t="e">
        <f ca="1">EXP(-0.5*Table1334567[[#This Row],[Call D1]]^2)/SQRT(2*PI())</f>
        <v>#DIV/0!</v>
      </c>
      <c r="AN1321" t="e">
        <f ca="1">EXP(-0.5*Table1334567[[#This Row],[Put D1]]^2)/SQRT(2*PI())</f>
        <v>#DIV/0!</v>
      </c>
      <c r="AO132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1">
        <f ca="1">((Table1334567[[#This Row],[call vanna]]+Table1334567[[#This Row],[put vanna]])*$A$4)</f>
        <v>0</v>
      </c>
      <c r="AR132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1" s="9" t="str" cm="1">
        <f t="array" ref="AT1321">_xlfn.IFS(     $M$1="SPX","SPXW",     $M$1="RUT","RUTW",  $M$1="NDX","NDXP",   TRUE,$M$1 )</f>
        <v>SPXW</v>
      </c>
      <c r="AU1321" s="2">
        <f t="shared" si="132"/>
        <v>6915</v>
      </c>
      <c r="AV1321" t="str">
        <f t="shared" si="133"/>
        <v>000100</v>
      </c>
      <c r="AY132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1">
        <f>((Table1334567[[#This Row],[High C]]+Table1334567[[#This Row],[Low C]])/2)*Table1334567[[#This Row],[gammac]]*Table1334567[[#This Row],[Volume]]</f>
        <v>0</v>
      </c>
      <c r="BD1321">
        <f>((Table1334567[[#This Row],[High P]]+Table1334567[[#This Row],[Low P]])/2)*Table1334567[[#This Row],[gammap]]*Table1334567[[#This Row],[Volume9]]*-1</f>
        <v>0</v>
      </c>
      <c r="BE1321">
        <f>(Table1334567[[#This Row],[SgammaC]]+Table1334567[[#This Row],[SgammaP]])*$A$4*-100</f>
        <v>0</v>
      </c>
      <c r="BF1321">
        <f>Table1334567[[#This Row],[DEXc]]+Table1334567[[#This Row],[DEXp]]</f>
        <v>0</v>
      </c>
      <c r="BG1321">
        <f>IFERROR(Table1334567[[#This Row],[DeltaC]]*Table1334567[[#This Row],[Open.Int]]*$A$4,0)</f>
        <v>0</v>
      </c>
      <c r="BH1321">
        <f>IFERROR(Table1334567[[#This Row],[DeltaP]]*Table1334567[[#This Row],[Open.Int8]]*$A$4,0)</f>
        <v>0</v>
      </c>
      <c r="BI132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1">
        <f ca="1">Table1334567[[#This Row],[charmc]]+Table1334567[[#This Row],[charmp]]</f>
        <v>0</v>
      </c>
      <c r="BL132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1" s="78">
        <f ca="1">Table1334567[[#This Row],[call helper]]+Table1334567[[#This Row],[put helper]]</f>
        <v>0</v>
      </c>
      <c r="BP1321" t="str">
        <f>RTD("tos.rtd", , "STRIKE", "."&amp;Table1334567[[#This Row],[Ticker]]&amp;Table1334567[[#This Row],[Expiry]]&amp;""&amp;"C"&amp;Table1334567[[#This Row],[Spot]]+Table1334567[[#This Row],[step]])</f>
        <v>N/A</v>
      </c>
    </row>
    <row r="1322" spans="1:68" x14ac:dyDescent="0.25">
      <c r="A1322" s="14">
        <f t="shared" ca="1" si="129"/>
        <v>-126.14810350076104</v>
      </c>
      <c r="C1322" s="17"/>
      <c r="D1322" t="str">
        <f>RTD("tos.rtd", , "OPEN_INT", "."&amp;Table1334567[[#This Row],[Ticker]]&amp;Table1334567[[#This Row],[Expiry]]&amp;""&amp;"C"&amp;Table1334567[[#This Row],[Spot]]+Table1334567[[#This Row],[step]])</f>
        <v>N/A</v>
      </c>
      <c r="E132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2" s="17" cm="1">
        <f t="array" aca="1" ref="H1322" ca="1">IndividualLegIVCore($A$4, Table1334567[[#This Row],[Strike]], 0.0411, Table1334567[[#This Row],[T]], ((Table1334567[[#This Row],[BIDC]]+Table1334567[[#This Row],[ASKC]])/2), TRUE)</f>
        <v>0.01</v>
      </c>
      <c r="I132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2" s="17"/>
      <c r="M1322" s="1">
        <f t="shared" si="130"/>
        <v>0</v>
      </c>
      <c r="N1322" t="b">
        <f t="shared" si="131"/>
        <v>0</v>
      </c>
      <c r="P1322" s="17" cm="1">
        <f t="array" aca="1" ref="P1322" ca="1">IndividualLegIVCore($A$4, Table1334567[[#This Row],[Strike]], 0.0411, Table1334567[[#This Row],[T]], ((Table1334567[[#This Row],[BIDP]]+Table1334567[[#This Row],[ASKP]])/2), FALSE)</f>
        <v>0.01</v>
      </c>
      <c r="Q132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2" s="17"/>
      <c r="T132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2" s="19">
        <f>-3* IF($M$1="NDX", 10, IF(OR($M$1="SPX", $M$1="RUT"), 2, 1))</f>
        <v>-6</v>
      </c>
      <c r="Z1322">
        <f ca="1">IFERROR(Table1334567[[#This Row],[call gamma]]*(Table1334567[[#This Row],[Open.Int]])*$A$4^2,0)</f>
        <v>0</v>
      </c>
      <c r="AA1322">
        <f ca="1">IFERROR(((Table1334567[[#This Row],[Open.Int8]])*Table1334567[[#This Row],[Put gamma]])*-1*$A$4^2,0)</f>
        <v>0</v>
      </c>
      <c r="AB1322">
        <f ca="1">(Table1334567[[#This Row],[Call Gex]]+Table1334567[[#This Row],[Put Gex]])</f>
        <v>0</v>
      </c>
      <c r="AC1322">
        <f ca="1">Table1334567[[#This Row],[put delta adj]]+Table1334567[[#This Row],[call delta adj]]</f>
        <v>0</v>
      </c>
      <c r="AD1322">
        <f ca="1">Table1334567[[#This Row],[Put Gex]]*Table1334567[[#This Row],[DeltaP]]*-1</f>
        <v>0</v>
      </c>
      <c r="AE1322">
        <f ca="1">Table1334567[[#This Row],[Call Gex]]*Table1334567[[#This Row],[DeltaC]]</f>
        <v>0</v>
      </c>
      <c r="AF1322">
        <f>IF(Table1334567[[#This Row],[DeltaC]]-ABS(Table1334567[[#This Row],[DeltaP]])="0","0.01",Table1334567[[#This Row],[DeltaC]]-ABS(Table1334567[[#This Row],[DeltaP]]))</f>
        <v>0</v>
      </c>
      <c r="AG132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2" t="e">
        <f ca="1">(EXP(-(AG1322^2)/2)/SQRT(2*PI())*EXP(0*SQRT(Table1334567[[#This Row],[T]]))/$A$4*18%*SQRT(SQRT(Table1334567[[#This Row],[T]])))</f>
        <v>#DIV/0!</v>
      </c>
      <c r="AJ1322" t="e">
        <f ca="1">(EXP(-(AH1322^2)/2)/SQRT(2*PI())*EXP(0*SQRT(Table1334567[[#This Row],[T]]))/$A$4*18%*SQRT(SQRT(Table1334567[[#This Row],[T]])))</f>
        <v>#DIV/0!</v>
      </c>
      <c r="AK1322" t="e">
        <f ca="1">Table1334567[[#This Row],[Call D1]]-Table1334567[[#This Row],[IV Calc C]]*SQRT(Table1334567[[#This Row],[T]])</f>
        <v>#DIV/0!</v>
      </c>
      <c r="AL1322" t="e">
        <f ca="1">Table1334567[[#This Row],[Put D1]]-Table1334567[[#This Row],[IV Calc P]]*SQRT(Table1334567[[#This Row],[T]])</f>
        <v>#DIV/0!</v>
      </c>
      <c r="AM1322" t="e">
        <f ca="1">EXP(-0.5*Table1334567[[#This Row],[Call D1]]^2)/SQRT(2*PI())</f>
        <v>#DIV/0!</v>
      </c>
      <c r="AN1322" t="e">
        <f ca="1">EXP(-0.5*Table1334567[[#This Row],[Put D1]]^2)/SQRT(2*PI())</f>
        <v>#DIV/0!</v>
      </c>
      <c r="AO132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2">
        <f ca="1">((Table1334567[[#This Row],[call vanna]]+Table1334567[[#This Row],[put vanna]])*$A$4)</f>
        <v>0</v>
      </c>
      <c r="AR132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2" s="9" t="str" cm="1">
        <f t="array" ref="AT1322">_xlfn.IFS(     $M$1="SPX","SPXW",     $M$1="RUT","RUTW",  $M$1="NDX","NDXP",   TRUE,$M$1 )</f>
        <v>SPXW</v>
      </c>
      <c r="AU1322" s="2">
        <f t="shared" si="132"/>
        <v>6915</v>
      </c>
      <c r="AV1322" t="str">
        <f t="shared" si="133"/>
        <v>000100</v>
      </c>
      <c r="AY132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2">
        <f>((Table1334567[[#This Row],[High C]]+Table1334567[[#This Row],[Low C]])/2)*Table1334567[[#This Row],[gammac]]*Table1334567[[#This Row],[Volume]]</f>
        <v>0</v>
      </c>
      <c r="BD1322">
        <f>((Table1334567[[#This Row],[High P]]+Table1334567[[#This Row],[Low P]])/2)*Table1334567[[#This Row],[gammap]]*Table1334567[[#This Row],[Volume9]]*-1</f>
        <v>0</v>
      </c>
      <c r="BE1322">
        <f>(Table1334567[[#This Row],[SgammaC]]+Table1334567[[#This Row],[SgammaP]])*$A$4*-100</f>
        <v>0</v>
      </c>
      <c r="BF1322">
        <f>Table1334567[[#This Row],[DEXc]]+Table1334567[[#This Row],[DEXp]]</f>
        <v>0</v>
      </c>
      <c r="BG1322">
        <f>IFERROR(Table1334567[[#This Row],[DeltaC]]*Table1334567[[#This Row],[Open.Int]]*$A$4,0)</f>
        <v>0</v>
      </c>
      <c r="BH1322">
        <f>IFERROR(Table1334567[[#This Row],[DeltaP]]*Table1334567[[#This Row],[Open.Int8]]*$A$4,0)</f>
        <v>0</v>
      </c>
      <c r="BI132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2">
        <f ca="1">Table1334567[[#This Row],[charmc]]+Table1334567[[#This Row],[charmp]]</f>
        <v>0</v>
      </c>
      <c r="BL132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2" s="78">
        <f ca="1">Table1334567[[#This Row],[call helper]]+Table1334567[[#This Row],[put helper]]</f>
        <v>0</v>
      </c>
      <c r="BP1322" t="str">
        <f>RTD("tos.rtd", , "STRIKE", "."&amp;Table1334567[[#This Row],[Ticker]]&amp;Table1334567[[#This Row],[Expiry]]&amp;""&amp;"C"&amp;Table1334567[[#This Row],[Spot]]+Table1334567[[#This Row],[step]])</f>
        <v>N/A</v>
      </c>
    </row>
    <row r="1323" spans="1:68" x14ac:dyDescent="0.25">
      <c r="A1323" s="14">
        <f t="shared" ca="1" si="129"/>
        <v>-126.14810350076104</v>
      </c>
      <c r="C1323" s="17"/>
      <c r="D1323" t="str">
        <f>RTD("tos.rtd", , "OPEN_INT", "."&amp;Table1334567[[#This Row],[Ticker]]&amp;Table1334567[[#This Row],[Expiry]]&amp;""&amp;"C"&amp;Table1334567[[#This Row],[Spot]]+Table1334567[[#This Row],[step]])</f>
        <v>N/A</v>
      </c>
      <c r="E132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3" s="17" cm="1">
        <f t="array" aca="1" ref="H1323" ca="1">IndividualLegIVCore($A$4, Table1334567[[#This Row],[Strike]], 0.0411, Table1334567[[#This Row],[T]], ((Table1334567[[#This Row],[BIDC]]+Table1334567[[#This Row],[ASKC]])/2), TRUE)</f>
        <v>0.01</v>
      </c>
      <c r="I132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3" s="17"/>
      <c r="M1323" s="1">
        <f t="shared" si="130"/>
        <v>0</v>
      </c>
      <c r="N1323" t="b">
        <f t="shared" si="131"/>
        <v>0</v>
      </c>
      <c r="P1323" s="17" cm="1">
        <f t="array" aca="1" ref="P1323" ca="1">IndividualLegIVCore($A$4, Table1334567[[#This Row],[Strike]], 0.0411, Table1334567[[#This Row],[T]], ((Table1334567[[#This Row],[BIDP]]+Table1334567[[#This Row],[ASKP]])/2), FALSE)</f>
        <v>0.01</v>
      </c>
      <c r="Q132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3" s="17"/>
      <c r="T132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3" s="19">
        <f>-2.5* IF($M$1="NDX", 10, IF(OR($M$1="SPX", $M$1="RUT"), 2, 1))</f>
        <v>-5</v>
      </c>
      <c r="Z1323">
        <f ca="1">IFERROR(Table1334567[[#This Row],[call gamma]]*(Table1334567[[#This Row],[Open.Int]])*$A$4^2,0)</f>
        <v>0</v>
      </c>
      <c r="AA1323">
        <f ca="1">IFERROR(((Table1334567[[#This Row],[Open.Int8]])*Table1334567[[#This Row],[Put gamma]])*-1*$A$4^2,0)</f>
        <v>0</v>
      </c>
      <c r="AB1323">
        <f ca="1">(Table1334567[[#This Row],[Call Gex]]+Table1334567[[#This Row],[Put Gex]])</f>
        <v>0</v>
      </c>
      <c r="AC1323">
        <f ca="1">Table1334567[[#This Row],[put delta adj]]+Table1334567[[#This Row],[call delta adj]]</f>
        <v>0</v>
      </c>
      <c r="AD1323">
        <f ca="1">Table1334567[[#This Row],[Put Gex]]*Table1334567[[#This Row],[DeltaP]]*-1</f>
        <v>0</v>
      </c>
      <c r="AE1323">
        <f ca="1">Table1334567[[#This Row],[Call Gex]]*Table1334567[[#This Row],[DeltaC]]</f>
        <v>0</v>
      </c>
      <c r="AF1323">
        <f>IF(Table1334567[[#This Row],[DeltaC]]-ABS(Table1334567[[#This Row],[DeltaP]])="0","0.01",Table1334567[[#This Row],[DeltaC]]-ABS(Table1334567[[#This Row],[DeltaP]]))</f>
        <v>0</v>
      </c>
      <c r="AG132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3" t="e">
        <f ca="1">(EXP(-(AG1323^2)/2)/SQRT(2*PI())*EXP(0*SQRT(Table1334567[[#This Row],[T]]))/$A$4*18%*SQRT(SQRT(Table1334567[[#This Row],[T]])))</f>
        <v>#DIV/0!</v>
      </c>
      <c r="AJ1323" t="e">
        <f ca="1">(EXP(-(AH1323^2)/2)/SQRT(2*PI())*EXP(0*SQRT(Table1334567[[#This Row],[T]]))/$A$4*18%*SQRT(SQRT(Table1334567[[#This Row],[T]])))</f>
        <v>#DIV/0!</v>
      </c>
      <c r="AK1323" t="e">
        <f ca="1">Table1334567[[#This Row],[Call D1]]-Table1334567[[#This Row],[IV Calc C]]*SQRT(Table1334567[[#This Row],[T]])</f>
        <v>#DIV/0!</v>
      </c>
      <c r="AL1323" t="e">
        <f ca="1">Table1334567[[#This Row],[Put D1]]-Table1334567[[#This Row],[IV Calc P]]*SQRT(Table1334567[[#This Row],[T]])</f>
        <v>#DIV/0!</v>
      </c>
      <c r="AM1323" t="e">
        <f ca="1">EXP(-0.5*Table1334567[[#This Row],[Call D1]]^2)/SQRT(2*PI())</f>
        <v>#DIV/0!</v>
      </c>
      <c r="AN1323" t="e">
        <f ca="1">EXP(-0.5*Table1334567[[#This Row],[Put D1]]^2)/SQRT(2*PI())</f>
        <v>#DIV/0!</v>
      </c>
      <c r="AO132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3">
        <f ca="1">((Table1334567[[#This Row],[call vanna]]+Table1334567[[#This Row],[put vanna]])*$A$4)</f>
        <v>0</v>
      </c>
      <c r="AR132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3" s="9" t="str" cm="1">
        <f t="array" ref="AT1323">_xlfn.IFS(     $M$1="SPX","SPXW",     $M$1="RUT","RUTW",  $M$1="NDX","NDXP",   TRUE,$M$1 )</f>
        <v>SPXW</v>
      </c>
      <c r="AU1323" s="2">
        <f t="shared" si="132"/>
        <v>6915</v>
      </c>
      <c r="AV1323" t="str">
        <f t="shared" si="133"/>
        <v>000100</v>
      </c>
      <c r="AY132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3">
        <f>((Table1334567[[#This Row],[High C]]+Table1334567[[#This Row],[Low C]])/2)*Table1334567[[#This Row],[gammac]]*Table1334567[[#This Row],[Volume]]</f>
        <v>0</v>
      </c>
      <c r="BD1323">
        <f>((Table1334567[[#This Row],[High P]]+Table1334567[[#This Row],[Low P]])/2)*Table1334567[[#This Row],[gammap]]*Table1334567[[#This Row],[Volume9]]*-1</f>
        <v>0</v>
      </c>
      <c r="BE1323">
        <f>(Table1334567[[#This Row],[SgammaC]]+Table1334567[[#This Row],[SgammaP]])*$A$4*-100</f>
        <v>0</v>
      </c>
      <c r="BF1323">
        <f>Table1334567[[#This Row],[DEXc]]+Table1334567[[#This Row],[DEXp]]</f>
        <v>0</v>
      </c>
      <c r="BG1323">
        <f>IFERROR(Table1334567[[#This Row],[DeltaC]]*Table1334567[[#This Row],[Open.Int]]*$A$4,0)</f>
        <v>0</v>
      </c>
      <c r="BH1323">
        <f>IFERROR(Table1334567[[#This Row],[DeltaP]]*Table1334567[[#This Row],[Open.Int8]]*$A$4,0)</f>
        <v>0</v>
      </c>
      <c r="BI132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3">
        <f ca="1">Table1334567[[#This Row],[charmc]]+Table1334567[[#This Row],[charmp]]</f>
        <v>0</v>
      </c>
      <c r="BL132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3" s="78">
        <f ca="1">Table1334567[[#This Row],[call helper]]+Table1334567[[#This Row],[put helper]]</f>
        <v>0</v>
      </c>
      <c r="BP1323" t="str">
        <f>RTD("tos.rtd", , "STRIKE", "."&amp;Table1334567[[#This Row],[Ticker]]&amp;Table1334567[[#This Row],[Expiry]]&amp;""&amp;"C"&amp;Table1334567[[#This Row],[Spot]]+Table1334567[[#This Row],[step]])</f>
        <v>N/A</v>
      </c>
    </row>
    <row r="1324" spans="1:68" x14ac:dyDescent="0.25">
      <c r="A1324" s="14">
        <f t="shared" ca="1" si="129"/>
        <v>-126.14810350076104</v>
      </c>
      <c r="C1324" s="17"/>
      <c r="D1324" t="str">
        <f>RTD("tos.rtd", , "OPEN_INT", "."&amp;Table1334567[[#This Row],[Ticker]]&amp;Table1334567[[#This Row],[Expiry]]&amp;""&amp;"C"&amp;Table1334567[[#This Row],[Spot]]+Table1334567[[#This Row],[step]])</f>
        <v>N/A</v>
      </c>
      <c r="E132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4" s="17" cm="1">
        <f t="array" aca="1" ref="H1324" ca="1">IndividualLegIVCore($A$4, Table1334567[[#This Row],[Strike]], 0.0411, Table1334567[[#This Row],[T]], ((Table1334567[[#This Row],[BIDC]]+Table1334567[[#This Row],[ASKC]])/2), TRUE)</f>
        <v>0.01</v>
      </c>
      <c r="I132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4" s="17"/>
      <c r="M1324" s="1">
        <f t="shared" si="130"/>
        <v>0</v>
      </c>
      <c r="N1324" t="b">
        <f t="shared" si="131"/>
        <v>0</v>
      </c>
      <c r="P1324" s="17" cm="1">
        <f t="array" aca="1" ref="P1324" ca="1">IndividualLegIVCore($A$4, Table1334567[[#This Row],[Strike]], 0.0411, Table1334567[[#This Row],[T]], ((Table1334567[[#This Row],[BIDP]]+Table1334567[[#This Row],[ASKP]])/2), FALSE)</f>
        <v>0.01</v>
      </c>
      <c r="Q132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4" s="17"/>
      <c r="T132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4" s="19">
        <f>-2* IF($M$1="NDX", 10, IF(OR($M$1="SPX", $M$1="RUT"), 2, 1))</f>
        <v>-4</v>
      </c>
      <c r="Z1324">
        <f ca="1">IFERROR(Table1334567[[#This Row],[call gamma]]*(Table1334567[[#This Row],[Open.Int]])*$A$4^2,0)</f>
        <v>0</v>
      </c>
      <c r="AA1324">
        <f ca="1">IFERROR(((Table1334567[[#This Row],[Open.Int8]])*Table1334567[[#This Row],[Put gamma]])*-1*$A$4^2,0)</f>
        <v>0</v>
      </c>
      <c r="AB1324">
        <f ca="1">(Table1334567[[#This Row],[Call Gex]]+Table1334567[[#This Row],[Put Gex]])</f>
        <v>0</v>
      </c>
      <c r="AC1324">
        <f ca="1">Table1334567[[#This Row],[put delta adj]]+Table1334567[[#This Row],[call delta adj]]</f>
        <v>0</v>
      </c>
      <c r="AD1324">
        <f ca="1">Table1334567[[#This Row],[Put Gex]]*Table1334567[[#This Row],[DeltaP]]*-1</f>
        <v>0</v>
      </c>
      <c r="AE1324">
        <f ca="1">Table1334567[[#This Row],[Call Gex]]*Table1334567[[#This Row],[DeltaC]]</f>
        <v>0</v>
      </c>
      <c r="AF1324">
        <f>IF(Table1334567[[#This Row],[DeltaC]]-ABS(Table1334567[[#This Row],[DeltaP]])="0","0.01",Table1334567[[#This Row],[DeltaC]]-ABS(Table1334567[[#This Row],[DeltaP]]))</f>
        <v>0</v>
      </c>
      <c r="AG132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4" t="e">
        <f ca="1">(EXP(-(AG1324^2)/2)/SQRT(2*PI())*EXP(0*SQRT(Table1334567[[#This Row],[T]]))/$A$4*18%*SQRT(SQRT(Table1334567[[#This Row],[T]])))</f>
        <v>#DIV/0!</v>
      </c>
      <c r="AJ1324" t="e">
        <f ca="1">(EXP(-(AH1324^2)/2)/SQRT(2*PI())*EXP(0*SQRT(Table1334567[[#This Row],[T]]))/$A$4*18%*SQRT(SQRT(Table1334567[[#This Row],[T]])))</f>
        <v>#DIV/0!</v>
      </c>
      <c r="AK1324" t="e">
        <f ca="1">Table1334567[[#This Row],[Call D1]]-Table1334567[[#This Row],[IV Calc C]]*SQRT(Table1334567[[#This Row],[T]])</f>
        <v>#DIV/0!</v>
      </c>
      <c r="AL1324" t="e">
        <f ca="1">Table1334567[[#This Row],[Put D1]]-Table1334567[[#This Row],[IV Calc P]]*SQRT(Table1334567[[#This Row],[T]])</f>
        <v>#DIV/0!</v>
      </c>
      <c r="AM1324" t="e">
        <f ca="1">EXP(-0.5*Table1334567[[#This Row],[Call D1]]^2)/SQRT(2*PI())</f>
        <v>#DIV/0!</v>
      </c>
      <c r="AN1324" t="e">
        <f ca="1">EXP(-0.5*Table1334567[[#This Row],[Put D1]]^2)/SQRT(2*PI())</f>
        <v>#DIV/0!</v>
      </c>
      <c r="AO132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4">
        <f ca="1">((Table1334567[[#This Row],[call vanna]]+Table1334567[[#This Row],[put vanna]])*$A$4)</f>
        <v>0</v>
      </c>
      <c r="AR132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4" s="9" t="str" cm="1">
        <f t="array" ref="AT1324">_xlfn.IFS(     $M$1="SPX","SPXW",     $M$1="RUT","RUTW",  $M$1="NDX","NDXP",   TRUE,$M$1 )</f>
        <v>SPXW</v>
      </c>
      <c r="AU1324" s="2">
        <f t="shared" si="132"/>
        <v>6915</v>
      </c>
      <c r="AV1324" t="str">
        <f t="shared" si="133"/>
        <v>000100</v>
      </c>
      <c r="AY132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4">
        <f>((Table1334567[[#This Row],[High C]]+Table1334567[[#This Row],[Low C]])/2)*Table1334567[[#This Row],[gammac]]*Table1334567[[#This Row],[Volume]]</f>
        <v>0</v>
      </c>
      <c r="BD1324">
        <f>((Table1334567[[#This Row],[High P]]+Table1334567[[#This Row],[Low P]])/2)*Table1334567[[#This Row],[gammap]]*Table1334567[[#This Row],[Volume9]]*-1</f>
        <v>0</v>
      </c>
      <c r="BE1324">
        <f>(Table1334567[[#This Row],[SgammaC]]+Table1334567[[#This Row],[SgammaP]])*$A$4*-100</f>
        <v>0</v>
      </c>
      <c r="BF1324">
        <f>Table1334567[[#This Row],[DEXc]]+Table1334567[[#This Row],[DEXp]]</f>
        <v>0</v>
      </c>
      <c r="BG1324">
        <f>IFERROR(Table1334567[[#This Row],[DeltaC]]*Table1334567[[#This Row],[Open.Int]]*$A$4,0)</f>
        <v>0</v>
      </c>
      <c r="BH1324">
        <f>IFERROR(Table1334567[[#This Row],[DeltaP]]*Table1334567[[#This Row],[Open.Int8]]*$A$4,0)</f>
        <v>0</v>
      </c>
      <c r="BI132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4">
        <f ca="1">Table1334567[[#This Row],[charmc]]+Table1334567[[#This Row],[charmp]]</f>
        <v>0</v>
      </c>
      <c r="BL132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4" s="78">
        <f ca="1">Table1334567[[#This Row],[call helper]]+Table1334567[[#This Row],[put helper]]</f>
        <v>0</v>
      </c>
      <c r="BP1324" t="str">
        <f>RTD("tos.rtd", , "STRIKE", "."&amp;Table1334567[[#This Row],[Ticker]]&amp;Table1334567[[#This Row],[Expiry]]&amp;""&amp;"C"&amp;Table1334567[[#This Row],[Spot]]+Table1334567[[#This Row],[step]])</f>
        <v>N/A</v>
      </c>
    </row>
    <row r="1325" spans="1:68" x14ac:dyDescent="0.25">
      <c r="A1325" s="14">
        <f t="shared" ca="1" si="129"/>
        <v>-126.14810350076104</v>
      </c>
      <c r="C1325" s="17"/>
      <c r="D1325" t="str">
        <f>RTD("tos.rtd", , "OPEN_INT", "."&amp;Table1334567[[#This Row],[Ticker]]&amp;Table1334567[[#This Row],[Expiry]]&amp;""&amp;"C"&amp;Table1334567[[#This Row],[Spot]]+Table1334567[[#This Row],[step]])</f>
        <v>N/A</v>
      </c>
      <c r="E132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5" s="17" cm="1">
        <f t="array" aca="1" ref="H1325" ca="1">IndividualLegIVCore($A$4, Table1334567[[#This Row],[Strike]], 0.0411, Table1334567[[#This Row],[T]], ((Table1334567[[#This Row],[BIDC]]+Table1334567[[#This Row],[ASKC]])/2), TRUE)</f>
        <v>0.01</v>
      </c>
      <c r="I132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5" s="17"/>
      <c r="M1325" s="1">
        <f t="shared" si="130"/>
        <v>0</v>
      </c>
      <c r="N1325" t="b">
        <f t="shared" si="131"/>
        <v>0</v>
      </c>
      <c r="P1325" s="17" cm="1">
        <f t="array" aca="1" ref="P1325" ca="1">IndividualLegIVCore($A$4, Table1334567[[#This Row],[Strike]], 0.0411, Table1334567[[#This Row],[T]], ((Table1334567[[#This Row],[BIDP]]+Table1334567[[#This Row],[ASKP]])/2), FALSE)</f>
        <v>0.01</v>
      </c>
      <c r="Q132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5" s="17"/>
      <c r="T132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5" s="19">
        <f>-1.5* IF($M$1="NDX", 10, IF(OR($M$1="SPX", $M$1="RUT"), 2, 1))</f>
        <v>-3</v>
      </c>
      <c r="Z1325">
        <f ca="1">IFERROR(Table1334567[[#This Row],[call gamma]]*(Table1334567[[#This Row],[Open.Int]])*$A$4^2,0)</f>
        <v>0</v>
      </c>
      <c r="AA1325">
        <f ca="1">IFERROR(((Table1334567[[#This Row],[Open.Int8]])*Table1334567[[#This Row],[Put gamma]])*-1*$A$4^2,0)</f>
        <v>0</v>
      </c>
      <c r="AB1325">
        <f ca="1">(Table1334567[[#This Row],[Call Gex]]+Table1334567[[#This Row],[Put Gex]])</f>
        <v>0</v>
      </c>
      <c r="AC1325">
        <f ca="1">Table1334567[[#This Row],[put delta adj]]+Table1334567[[#This Row],[call delta adj]]</f>
        <v>0</v>
      </c>
      <c r="AD1325">
        <f ca="1">Table1334567[[#This Row],[Put Gex]]*Table1334567[[#This Row],[DeltaP]]*-1</f>
        <v>0</v>
      </c>
      <c r="AE1325">
        <f ca="1">Table1334567[[#This Row],[Call Gex]]*Table1334567[[#This Row],[DeltaC]]</f>
        <v>0</v>
      </c>
      <c r="AF1325">
        <f>IF(Table1334567[[#This Row],[DeltaC]]-ABS(Table1334567[[#This Row],[DeltaP]])="0","0.01",Table1334567[[#This Row],[DeltaC]]-ABS(Table1334567[[#This Row],[DeltaP]]))</f>
        <v>0</v>
      </c>
      <c r="AG132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5" t="e">
        <f ca="1">(EXP(-(AG1325^2)/2)/SQRT(2*PI())*EXP(0*SQRT(Table1334567[[#This Row],[T]]))/$A$4*18%*SQRT(SQRT(Table1334567[[#This Row],[T]])))</f>
        <v>#DIV/0!</v>
      </c>
      <c r="AJ1325" t="e">
        <f ca="1">(EXP(-(AH1325^2)/2)/SQRT(2*PI())*EXP(0*SQRT(Table1334567[[#This Row],[T]]))/$A$4*18%*SQRT(SQRT(Table1334567[[#This Row],[T]])))</f>
        <v>#DIV/0!</v>
      </c>
      <c r="AK1325" t="e">
        <f ca="1">Table1334567[[#This Row],[Call D1]]-Table1334567[[#This Row],[IV Calc C]]*SQRT(Table1334567[[#This Row],[T]])</f>
        <v>#DIV/0!</v>
      </c>
      <c r="AL1325" t="e">
        <f ca="1">Table1334567[[#This Row],[Put D1]]-Table1334567[[#This Row],[IV Calc P]]*SQRT(Table1334567[[#This Row],[T]])</f>
        <v>#DIV/0!</v>
      </c>
      <c r="AM1325" t="e">
        <f ca="1">EXP(-0.5*Table1334567[[#This Row],[Call D1]]^2)/SQRT(2*PI())</f>
        <v>#DIV/0!</v>
      </c>
      <c r="AN1325" t="e">
        <f ca="1">EXP(-0.5*Table1334567[[#This Row],[Put D1]]^2)/SQRT(2*PI())</f>
        <v>#DIV/0!</v>
      </c>
      <c r="AO132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5">
        <f ca="1">((Table1334567[[#This Row],[call vanna]]+Table1334567[[#This Row],[put vanna]])*$A$4)</f>
        <v>0</v>
      </c>
      <c r="AR132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5" s="9" t="str" cm="1">
        <f t="array" ref="AT1325">_xlfn.IFS(     $M$1="SPX","SPXW",     $M$1="RUT","RUTW",  $M$1="NDX","NDXP",   TRUE,$M$1 )</f>
        <v>SPXW</v>
      </c>
      <c r="AU1325" s="2">
        <f t="shared" si="132"/>
        <v>6915</v>
      </c>
      <c r="AV1325" t="str">
        <f t="shared" si="133"/>
        <v>000100</v>
      </c>
      <c r="AY132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5">
        <f>((Table1334567[[#This Row],[High C]]+Table1334567[[#This Row],[Low C]])/2)*Table1334567[[#This Row],[gammac]]*Table1334567[[#This Row],[Volume]]</f>
        <v>0</v>
      </c>
      <c r="BD1325">
        <f>((Table1334567[[#This Row],[High P]]+Table1334567[[#This Row],[Low P]])/2)*Table1334567[[#This Row],[gammap]]*Table1334567[[#This Row],[Volume9]]*-1</f>
        <v>0</v>
      </c>
      <c r="BE1325">
        <f>(Table1334567[[#This Row],[SgammaC]]+Table1334567[[#This Row],[SgammaP]])*$A$4*-100</f>
        <v>0</v>
      </c>
      <c r="BF1325">
        <f>Table1334567[[#This Row],[DEXc]]+Table1334567[[#This Row],[DEXp]]</f>
        <v>0</v>
      </c>
      <c r="BG1325">
        <f>IFERROR(Table1334567[[#This Row],[DeltaC]]*Table1334567[[#This Row],[Open.Int]]*$A$4,0)</f>
        <v>0</v>
      </c>
      <c r="BH1325">
        <f>IFERROR(Table1334567[[#This Row],[DeltaP]]*Table1334567[[#This Row],[Open.Int8]]*$A$4,0)</f>
        <v>0</v>
      </c>
      <c r="BI132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5">
        <f ca="1">Table1334567[[#This Row],[charmc]]+Table1334567[[#This Row],[charmp]]</f>
        <v>0</v>
      </c>
      <c r="BL132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5" s="78">
        <f ca="1">Table1334567[[#This Row],[call helper]]+Table1334567[[#This Row],[put helper]]</f>
        <v>0</v>
      </c>
      <c r="BP1325" t="str">
        <f>RTD("tos.rtd", , "STRIKE", "."&amp;Table1334567[[#This Row],[Ticker]]&amp;Table1334567[[#This Row],[Expiry]]&amp;""&amp;"C"&amp;Table1334567[[#This Row],[Spot]]+Table1334567[[#This Row],[step]])</f>
        <v>N/A</v>
      </c>
    </row>
    <row r="1326" spans="1:68" x14ac:dyDescent="0.25">
      <c r="A1326" s="14">
        <f t="shared" ca="1" si="129"/>
        <v>-126.14810350076104</v>
      </c>
      <c r="C1326" s="17"/>
      <c r="D1326" t="str">
        <f>RTD("tos.rtd", , "OPEN_INT", "."&amp;Table1334567[[#This Row],[Ticker]]&amp;Table1334567[[#This Row],[Expiry]]&amp;""&amp;"C"&amp;Table1334567[[#This Row],[Spot]]+Table1334567[[#This Row],[step]])</f>
        <v>N/A</v>
      </c>
      <c r="E132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6" s="17" cm="1">
        <f t="array" aca="1" ref="H1326" ca="1">IndividualLegIVCore($A$4, Table1334567[[#This Row],[Strike]], 0.0411, Table1334567[[#This Row],[T]], ((Table1334567[[#This Row],[BIDC]]+Table1334567[[#This Row],[ASKC]])/2), TRUE)</f>
        <v>0.01</v>
      </c>
      <c r="I132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6" s="17"/>
      <c r="M1326" s="1">
        <f t="shared" si="130"/>
        <v>0</v>
      </c>
      <c r="N1326" t="b">
        <f t="shared" si="131"/>
        <v>0</v>
      </c>
      <c r="P1326" s="17" cm="1">
        <f t="array" aca="1" ref="P1326" ca="1">IndividualLegIVCore($A$4, Table1334567[[#This Row],[Strike]], 0.0411, Table1334567[[#This Row],[T]], ((Table1334567[[#This Row],[BIDP]]+Table1334567[[#This Row],[ASKP]])/2), FALSE)</f>
        <v>0.01</v>
      </c>
      <c r="Q132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6" s="17"/>
      <c r="T132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6" s="19">
        <f>-1* IF($M$1="NDX", 10, IF(OR($M$1="SPX", $M$1="RUT"), 2, 1))</f>
        <v>-2</v>
      </c>
      <c r="Z1326">
        <f ca="1">IFERROR(Table1334567[[#This Row],[call gamma]]*(Table1334567[[#This Row],[Open.Int]])*$A$4^2,0)</f>
        <v>0</v>
      </c>
      <c r="AA1326">
        <f ca="1">IFERROR(((Table1334567[[#This Row],[Open.Int8]])*Table1334567[[#This Row],[Put gamma]])*-1*$A$4^2,0)</f>
        <v>0</v>
      </c>
      <c r="AB1326">
        <f ca="1">(Table1334567[[#This Row],[Call Gex]]+Table1334567[[#This Row],[Put Gex]])</f>
        <v>0</v>
      </c>
      <c r="AC1326">
        <f ca="1">Table1334567[[#This Row],[put delta adj]]+Table1334567[[#This Row],[call delta adj]]</f>
        <v>0</v>
      </c>
      <c r="AD1326">
        <f ca="1">Table1334567[[#This Row],[Put Gex]]*Table1334567[[#This Row],[DeltaP]]*-1</f>
        <v>0</v>
      </c>
      <c r="AE1326">
        <f ca="1">Table1334567[[#This Row],[Call Gex]]*Table1334567[[#This Row],[DeltaC]]</f>
        <v>0</v>
      </c>
      <c r="AF1326">
        <f>IF(Table1334567[[#This Row],[DeltaC]]-ABS(Table1334567[[#This Row],[DeltaP]])="0","0.01",Table1334567[[#This Row],[DeltaC]]-ABS(Table1334567[[#This Row],[DeltaP]]))</f>
        <v>0</v>
      </c>
      <c r="AG132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6" t="e">
        <f ca="1">(EXP(-(AG1326^2)/2)/SQRT(2*PI())*EXP(0*SQRT(Table1334567[[#This Row],[T]]))/$A$4*18%*SQRT(SQRT(Table1334567[[#This Row],[T]])))</f>
        <v>#DIV/0!</v>
      </c>
      <c r="AJ1326" t="e">
        <f ca="1">(EXP(-(AH1326^2)/2)/SQRT(2*PI())*EXP(0*SQRT(Table1334567[[#This Row],[T]]))/$A$4*18%*SQRT(SQRT(Table1334567[[#This Row],[T]])))</f>
        <v>#DIV/0!</v>
      </c>
      <c r="AK1326" t="e">
        <f ca="1">Table1334567[[#This Row],[Call D1]]-Table1334567[[#This Row],[IV Calc C]]*SQRT(Table1334567[[#This Row],[T]])</f>
        <v>#DIV/0!</v>
      </c>
      <c r="AL1326" t="e">
        <f ca="1">Table1334567[[#This Row],[Put D1]]-Table1334567[[#This Row],[IV Calc P]]*SQRT(Table1334567[[#This Row],[T]])</f>
        <v>#DIV/0!</v>
      </c>
      <c r="AM1326" t="e">
        <f ca="1">EXP(-0.5*Table1334567[[#This Row],[Call D1]]^2)/SQRT(2*PI())</f>
        <v>#DIV/0!</v>
      </c>
      <c r="AN1326" t="e">
        <f ca="1">EXP(-0.5*Table1334567[[#This Row],[Put D1]]^2)/SQRT(2*PI())</f>
        <v>#DIV/0!</v>
      </c>
      <c r="AO132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6">
        <f ca="1">((Table1334567[[#This Row],[call vanna]]+Table1334567[[#This Row],[put vanna]])*$A$4)</f>
        <v>0</v>
      </c>
      <c r="AR132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6" s="9" t="str" cm="1">
        <f t="array" ref="AT1326">_xlfn.IFS(     $M$1="SPX","SPXW",     $M$1="RUT","RUTW",  $M$1="NDX","NDXP",   TRUE,$M$1 )</f>
        <v>SPXW</v>
      </c>
      <c r="AU1326" s="2">
        <f t="shared" si="132"/>
        <v>6915</v>
      </c>
      <c r="AV1326" t="str">
        <f t="shared" si="133"/>
        <v>000100</v>
      </c>
      <c r="AY132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6">
        <f>((Table1334567[[#This Row],[High C]]+Table1334567[[#This Row],[Low C]])/2)*Table1334567[[#This Row],[gammac]]*Table1334567[[#This Row],[Volume]]</f>
        <v>0</v>
      </c>
      <c r="BD1326">
        <f>((Table1334567[[#This Row],[High P]]+Table1334567[[#This Row],[Low P]])/2)*Table1334567[[#This Row],[gammap]]*Table1334567[[#This Row],[Volume9]]*-1</f>
        <v>0</v>
      </c>
      <c r="BE1326">
        <f>(Table1334567[[#This Row],[SgammaC]]+Table1334567[[#This Row],[SgammaP]])*$A$4*-100</f>
        <v>0</v>
      </c>
      <c r="BF1326">
        <f>Table1334567[[#This Row],[DEXc]]+Table1334567[[#This Row],[DEXp]]</f>
        <v>0</v>
      </c>
      <c r="BG1326">
        <f>IFERROR(Table1334567[[#This Row],[DeltaC]]*Table1334567[[#This Row],[Open.Int]]*$A$4,0)</f>
        <v>0</v>
      </c>
      <c r="BH1326">
        <f>IFERROR(Table1334567[[#This Row],[DeltaP]]*Table1334567[[#This Row],[Open.Int8]]*$A$4,0)</f>
        <v>0</v>
      </c>
      <c r="BI132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6">
        <f ca="1">Table1334567[[#This Row],[charmc]]+Table1334567[[#This Row],[charmp]]</f>
        <v>0</v>
      </c>
      <c r="BL132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6" s="78">
        <f ca="1">Table1334567[[#This Row],[call helper]]+Table1334567[[#This Row],[put helper]]</f>
        <v>0</v>
      </c>
      <c r="BP1326" t="str">
        <f>RTD("tos.rtd", , "STRIKE", "."&amp;Table1334567[[#This Row],[Ticker]]&amp;Table1334567[[#This Row],[Expiry]]&amp;""&amp;"C"&amp;Table1334567[[#This Row],[Spot]]+Table1334567[[#This Row],[step]])</f>
        <v>N/A</v>
      </c>
    </row>
    <row r="1327" spans="1:68" ht="15.75" thickBot="1" x14ac:dyDescent="0.3">
      <c r="A1327" s="14">
        <f t="shared" ca="1" si="129"/>
        <v>-126.14810350076104</v>
      </c>
      <c r="C1327" s="17"/>
      <c r="D1327" t="str">
        <f>RTD("tos.rtd", , "OPEN_INT", "."&amp;Table1334567[[#This Row],[Ticker]]&amp;Table1334567[[#This Row],[Expiry]]&amp;""&amp;"C"&amp;Table1334567[[#This Row],[Spot]]+Table1334567[[#This Row],[step]])</f>
        <v>N/A</v>
      </c>
      <c r="E132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7" s="17" cm="1">
        <f t="array" aca="1" ref="H1327" ca="1">IndividualLegIVCore($A$4, Table1334567[[#This Row],[Strike]], 0.0411, Table1334567[[#This Row],[T]], ((Table1334567[[#This Row],[BIDC]]+Table1334567[[#This Row],[ASKC]])/2), TRUE)</f>
        <v>0.01</v>
      </c>
      <c r="I132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7" s="17"/>
      <c r="M1327" s="1">
        <f t="shared" si="130"/>
        <v>0</v>
      </c>
      <c r="N1327" t="b">
        <f t="shared" si="131"/>
        <v>0</v>
      </c>
      <c r="P1327" s="17" cm="1">
        <f t="array" aca="1" ref="P1327" ca="1">IndividualLegIVCore($A$4, Table1334567[[#This Row],[Strike]], 0.0411, Table1334567[[#This Row],[T]], ((Table1334567[[#This Row],[BIDP]]+Table1334567[[#This Row],[ASKP]])/2), FALSE)</f>
        <v>0.01</v>
      </c>
      <c r="Q132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7" s="17"/>
      <c r="T132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7" s="19">
        <f>-0.5* IF($M$1="NDX", 10, IF(OR($M$1="SPX", $M$1="RUT"), 2, 1))</f>
        <v>-1</v>
      </c>
      <c r="Z1327">
        <f ca="1">IFERROR(Table1334567[[#This Row],[call gamma]]*(Table1334567[[#This Row],[Open.Int]])*$A$4^2,0)</f>
        <v>0</v>
      </c>
      <c r="AA1327">
        <f ca="1">IFERROR(((Table1334567[[#This Row],[Open.Int8]])*Table1334567[[#This Row],[Put gamma]])*-1*$A$4^2,0)</f>
        <v>0</v>
      </c>
      <c r="AB1327">
        <f ca="1">(Table1334567[[#This Row],[Call Gex]]+Table1334567[[#This Row],[Put Gex]])</f>
        <v>0</v>
      </c>
      <c r="AC1327">
        <f ca="1">Table1334567[[#This Row],[put delta adj]]+Table1334567[[#This Row],[call delta adj]]</f>
        <v>0</v>
      </c>
      <c r="AD1327">
        <f ca="1">Table1334567[[#This Row],[Put Gex]]*Table1334567[[#This Row],[DeltaP]]*-1</f>
        <v>0</v>
      </c>
      <c r="AE1327">
        <f ca="1">Table1334567[[#This Row],[Call Gex]]*Table1334567[[#This Row],[DeltaC]]</f>
        <v>0</v>
      </c>
      <c r="AF1327">
        <f>IF(Table1334567[[#This Row],[DeltaC]]-ABS(Table1334567[[#This Row],[DeltaP]])="0","0.01",Table1334567[[#This Row],[DeltaC]]-ABS(Table1334567[[#This Row],[DeltaP]]))</f>
        <v>0</v>
      </c>
      <c r="AG132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7" t="e">
        <f ca="1">(EXP(-(AG1327^2)/2)/SQRT(2*PI())*EXP(0*SQRT(Table1334567[[#This Row],[T]]))/$A$4*18%*SQRT(SQRT(Table1334567[[#This Row],[T]])))</f>
        <v>#DIV/0!</v>
      </c>
      <c r="AJ1327" t="e">
        <f ca="1">(EXP(-(AH1327^2)/2)/SQRT(2*PI())*EXP(0*SQRT(Table1334567[[#This Row],[T]]))/$A$4*18%*SQRT(SQRT(Table1334567[[#This Row],[T]])))</f>
        <v>#DIV/0!</v>
      </c>
      <c r="AK1327" t="e">
        <f ca="1">Table1334567[[#This Row],[Call D1]]-Table1334567[[#This Row],[IV Calc C]]*SQRT(Table1334567[[#This Row],[T]])</f>
        <v>#DIV/0!</v>
      </c>
      <c r="AL1327" t="e">
        <f ca="1">Table1334567[[#This Row],[Put D1]]-Table1334567[[#This Row],[IV Calc P]]*SQRT(Table1334567[[#This Row],[T]])</f>
        <v>#DIV/0!</v>
      </c>
      <c r="AM1327" t="e">
        <f ca="1">EXP(-0.5*Table1334567[[#This Row],[Call D1]]^2)/SQRT(2*PI())</f>
        <v>#DIV/0!</v>
      </c>
      <c r="AN1327" t="e">
        <f ca="1">EXP(-0.5*Table1334567[[#This Row],[Put D1]]^2)/SQRT(2*PI())</f>
        <v>#DIV/0!</v>
      </c>
      <c r="AO132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7">
        <f ca="1">((Table1334567[[#This Row],[call vanna]]+Table1334567[[#This Row],[put vanna]])*$A$4)</f>
        <v>0</v>
      </c>
      <c r="AR132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7" s="9" t="str" cm="1">
        <f t="array" ref="AT1327">_xlfn.IFS(     $M$1="SPX","SPXW",     $M$1="RUT","RUTW",  $M$1="NDX","NDXP",   TRUE,$M$1 )</f>
        <v>SPXW</v>
      </c>
      <c r="AU1327" s="2">
        <f t="shared" si="132"/>
        <v>6915</v>
      </c>
      <c r="AV1327" t="str">
        <f t="shared" si="133"/>
        <v>000100</v>
      </c>
      <c r="AY132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7">
        <f>((Table1334567[[#This Row],[High C]]+Table1334567[[#This Row],[Low C]])/2)*Table1334567[[#This Row],[gammac]]*Table1334567[[#This Row],[Volume]]</f>
        <v>0</v>
      </c>
      <c r="BD1327">
        <f>((Table1334567[[#This Row],[High P]]+Table1334567[[#This Row],[Low P]])/2)*Table1334567[[#This Row],[gammap]]*Table1334567[[#This Row],[Volume9]]*-1</f>
        <v>0</v>
      </c>
      <c r="BE1327">
        <f>(Table1334567[[#This Row],[SgammaC]]+Table1334567[[#This Row],[SgammaP]])*$A$4*-100</f>
        <v>0</v>
      </c>
      <c r="BF1327">
        <f>Table1334567[[#This Row],[DEXc]]+Table1334567[[#This Row],[DEXp]]</f>
        <v>0</v>
      </c>
      <c r="BG1327">
        <f>IFERROR(Table1334567[[#This Row],[DeltaC]]*Table1334567[[#This Row],[Open.Int]]*$A$4,0)</f>
        <v>0</v>
      </c>
      <c r="BH1327">
        <f>IFERROR(Table1334567[[#This Row],[DeltaP]]*Table1334567[[#This Row],[Open.Int8]]*$A$4,0)</f>
        <v>0</v>
      </c>
      <c r="BI132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7">
        <f ca="1">Table1334567[[#This Row],[charmc]]+Table1334567[[#This Row],[charmp]]</f>
        <v>0</v>
      </c>
      <c r="BL132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7" s="78">
        <f ca="1">Table1334567[[#This Row],[call helper]]+Table1334567[[#This Row],[put helper]]</f>
        <v>0</v>
      </c>
      <c r="BP1327" t="str">
        <f>RTD("tos.rtd", , "STRIKE", "."&amp;Table1334567[[#This Row],[Ticker]]&amp;Table1334567[[#This Row],[Expiry]]&amp;""&amp;"C"&amp;Table1334567[[#This Row],[Spot]]+Table1334567[[#This Row],[step]])</f>
        <v>N/A</v>
      </c>
    </row>
    <row r="1328" spans="1:68" ht="15.75" thickBot="1" x14ac:dyDescent="0.3">
      <c r="A1328" s="14">
        <f t="shared" ca="1" si="129"/>
        <v>-126.14810350076104</v>
      </c>
      <c r="C1328" s="17"/>
      <c r="D1328" t="str">
        <f>RTD("tos.rtd", , "OPEN_INT", "."&amp;Table1334567[[#This Row],[Ticker]]&amp;Table1334567[[#This Row],[Expiry]]&amp;""&amp;"C"&amp;Table1334567[[#This Row],[Spot]]+Table1334567[[#This Row],[step]])</f>
        <v>N/A</v>
      </c>
      <c r="E13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8" s="17" cm="1">
        <f t="array" aca="1" ref="H1328" ca="1">IndividualLegIVCore($A$4, Table1334567[[#This Row],[Strike]], 0.0411, Table1334567[[#This Row],[T]], ((Table1334567[[#This Row],[BIDC]]+Table1334567[[#This Row],[ASKC]])/2), TRUE)</f>
        <v>0.01</v>
      </c>
      <c r="I13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8" s="17"/>
      <c r="M1328" s="1">
        <f t="shared" si="130"/>
        <v>0</v>
      </c>
      <c r="N1328" t="b">
        <f t="shared" si="131"/>
        <v>0</v>
      </c>
      <c r="P1328" s="17" cm="1">
        <f t="array" aca="1" ref="P1328" ca="1">IndividualLegIVCore($A$4, Table1334567[[#This Row],[Strike]], 0.0411, Table1334567[[#This Row],[T]], ((Table1334567[[#This Row],[BIDP]]+Table1334567[[#This Row],[ASKP]])/2), FALSE)</f>
        <v>0.01</v>
      </c>
      <c r="Q13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8" s="17"/>
      <c r="T13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8" s="55">
        <v>0</v>
      </c>
      <c r="Z1328">
        <f ca="1">IFERROR(Table1334567[[#This Row],[call gamma]]*(Table1334567[[#This Row],[Open.Int]])*$A$4^2,0)</f>
        <v>0</v>
      </c>
      <c r="AA1328">
        <f ca="1">IFERROR(((Table1334567[[#This Row],[Open.Int8]])*Table1334567[[#This Row],[Put gamma]])*-1*$A$4^2,0)</f>
        <v>0</v>
      </c>
      <c r="AB1328">
        <f ca="1">(Table1334567[[#This Row],[Call Gex]]+Table1334567[[#This Row],[Put Gex]])</f>
        <v>0</v>
      </c>
      <c r="AC1328">
        <f ca="1">Table1334567[[#This Row],[put delta adj]]+Table1334567[[#This Row],[call delta adj]]</f>
        <v>0</v>
      </c>
      <c r="AD1328">
        <f ca="1">Table1334567[[#This Row],[Put Gex]]*Table1334567[[#This Row],[DeltaP]]*-1</f>
        <v>0</v>
      </c>
      <c r="AE1328">
        <f ca="1">Table1334567[[#This Row],[Call Gex]]*Table1334567[[#This Row],[DeltaC]]</f>
        <v>0</v>
      </c>
      <c r="AF1328">
        <f>IF(Table1334567[[#This Row],[DeltaC]]-ABS(Table1334567[[#This Row],[DeltaP]])="0","0.01",Table1334567[[#This Row],[DeltaC]]-ABS(Table1334567[[#This Row],[DeltaP]]))</f>
        <v>0</v>
      </c>
      <c r="AG13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8" t="e">
        <f ca="1">(EXP(-(AG1328^2)/2)/SQRT(2*PI())*EXP(0*SQRT(Table1334567[[#This Row],[T]]))/$A$4*18%*SQRT(SQRT(Table1334567[[#This Row],[T]])))</f>
        <v>#DIV/0!</v>
      </c>
      <c r="AJ1328" t="e">
        <f ca="1">(EXP(-(AH1328^2)/2)/SQRT(2*PI())*EXP(0*SQRT(Table1334567[[#This Row],[T]]))/$A$4*18%*SQRT(SQRT(Table1334567[[#This Row],[T]])))</f>
        <v>#DIV/0!</v>
      </c>
      <c r="AK1328" t="e">
        <f ca="1">Table1334567[[#This Row],[Call D1]]-Table1334567[[#This Row],[IV Calc C]]*SQRT(Table1334567[[#This Row],[T]])</f>
        <v>#DIV/0!</v>
      </c>
      <c r="AL1328" t="e">
        <f ca="1">Table1334567[[#This Row],[Put D1]]-Table1334567[[#This Row],[IV Calc P]]*SQRT(Table1334567[[#This Row],[T]])</f>
        <v>#DIV/0!</v>
      </c>
      <c r="AM1328" t="e">
        <f ca="1">EXP(-0.5*Table1334567[[#This Row],[Call D1]]^2)/SQRT(2*PI())</f>
        <v>#DIV/0!</v>
      </c>
      <c r="AN1328" t="e">
        <f ca="1">EXP(-0.5*Table1334567[[#This Row],[Put D1]]^2)/SQRT(2*PI())</f>
        <v>#DIV/0!</v>
      </c>
      <c r="AO13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8">
        <f ca="1">((Table1334567[[#This Row],[call vanna]]+Table1334567[[#This Row],[put vanna]])*$A$4)</f>
        <v>0</v>
      </c>
      <c r="AR13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8" s="9" t="str" cm="1">
        <f t="array" ref="AT1328">_xlfn.IFS(     $M$1="SPX","SPXW",     $M$1="RUT","RUTW",  $M$1="NDX","NDXP",   TRUE,$M$1 )</f>
        <v>SPXW</v>
      </c>
      <c r="AU1328" s="2">
        <f t="shared" si="132"/>
        <v>6915</v>
      </c>
      <c r="AV1328" t="str">
        <f t="shared" si="133"/>
        <v>000100</v>
      </c>
      <c r="AY13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8">
        <f>((Table1334567[[#This Row],[High C]]+Table1334567[[#This Row],[Low C]])/2)*Table1334567[[#This Row],[gammac]]*Table1334567[[#This Row],[Volume]]</f>
        <v>0</v>
      </c>
      <c r="BD1328">
        <f>((Table1334567[[#This Row],[High P]]+Table1334567[[#This Row],[Low P]])/2)*Table1334567[[#This Row],[gammap]]*Table1334567[[#This Row],[Volume9]]*-1</f>
        <v>0</v>
      </c>
      <c r="BE1328">
        <f>(Table1334567[[#This Row],[SgammaC]]+Table1334567[[#This Row],[SgammaP]])*$A$4*-100</f>
        <v>0</v>
      </c>
      <c r="BF1328">
        <f>Table1334567[[#This Row],[DEXc]]+Table1334567[[#This Row],[DEXp]]</f>
        <v>0</v>
      </c>
      <c r="BG1328">
        <f>IFERROR(Table1334567[[#This Row],[DeltaC]]*Table1334567[[#This Row],[Open.Int]]*$A$4,0)</f>
        <v>0</v>
      </c>
      <c r="BH1328">
        <f>IFERROR(Table1334567[[#This Row],[DeltaP]]*Table1334567[[#This Row],[Open.Int8]]*$A$4,0)</f>
        <v>0</v>
      </c>
      <c r="BI132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8">
        <f ca="1">Table1334567[[#This Row],[charmc]]+Table1334567[[#This Row],[charmp]]</f>
        <v>0</v>
      </c>
      <c r="BL132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8" s="78">
        <f ca="1">Table1334567[[#This Row],[call helper]]+Table1334567[[#This Row],[put helper]]</f>
        <v>0</v>
      </c>
      <c r="BP1328" t="str">
        <f>RTD("tos.rtd", , "STRIKE", "."&amp;Table1334567[[#This Row],[Ticker]]&amp;Table1334567[[#This Row],[Expiry]]&amp;""&amp;"C"&amp;Table1334567[[#This Row],[Spot]]+Table1334567[[#This Row],[step]])</f>
        <v>N/A</v>
      </c>
    </row>
    <row r="1329" spans="1:68" x14ac:dyDescent="0.25">
      <c r="A1329" s="14">
        <f t="shared" ca="1" si="129"/>
        <v>-126.14810350076104</v>
      </c>
      <c r="C1329" s="17"/>
      <c r="D1329" t="str">
        <f>RTD("tos.rtd", , "OPEN_INT", "."&amp;Table1334567[[#This Row],[Ticker]]&amp;Table1334567[[#This Row],[Expiry]]&amp;""&amp;"C"&amp;Table1334567[[#This Row],[Spot]]+Table1334567[[#This Row],[step]])</f>
        <v>N/A</v>
      </c>
      <c r="E132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9" s="17" cm="1">
        <f t="array" aca="1" ref="H1329" ca="1">IndividualLegIVCore($A$4, Table1334567[[#This Row],[Strike]], 0.0411, Table1334567[[#This Row],[T]], ((Table1334567[[#This Row],[BIDC]]+Table1334567[[#This Row],[ASKC]])/2), TRUE)</f>
        <v>0.01</v>
      </c>
      <c r="I132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9" s="17"/>
      <c r="M1329" s="1">
        <f t="shared" si="130"/>
        <v>0</v>
      </c>
      <c r="N1329" t="b">
        <f t="shared" si="131"/>
        <v>0</v>
      </c>
      <c r="P1329" s="17" cm="1">
        <f t="array" aca="1" ref="P1329" ca="1">IndividualLegIVCore($A$4, Table1334567[[#This Row],[Strike]], 0.0411, Table1334567[[#This Row],[T]], ((Table1334567[[#This Row],[BIDP]]+Table1334567[[#This Row],[ASKP]])/2), FALSE)</f>
        <v>0.01</v>
      </c>
      <c r="Q132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9" s="17"/>
      <c r="T132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9">
        <f>0.5* IF($M$1="NDX", 10, IF(OR($M$1="SPX", $M$1="RUT"), 2, 1))</f>
        <v>1</v>
      </c>
      <c r="Z1329">
        <f ca="1">IFERROR(Table1334567[[#This Row],[call gamma]]*(Table1334567[[#This Row],[Open.Int]])*$A$4^2,0)</f>
        <v>0</v>
      </c>
      <c r="AA1329">
        <f ca="1">IFERROR(((Table1334567[[#This Row],[Open.Int8]])*Table1334567[[#This Row],[Put gamma]])*-1*$A$4^2,0)</f>
        <v>0</v>
      </c>
      <c r="AB1329">
        <f ca="1">(Table1334567[[#This Row],[Call Gex]]+Table1334567[[#This Row],[Put Gex]])</f>
        <v>0</v>
      </c>
      <c r="AC1329">
        <f ca="1">Table1334567[[#This Row],[put delta adj]]+Table1334567[[#This Row],[call delta adj]]</f>
        <v>0</v>
      </c>
      <c r="AD1329">
        <f ca="1">Table1334567[[#This Row],[Put Gex]]*Table1334567[[#This Row],[DeltaP]]*-1</f>
        <v>0</v>
      </c>
      <c r="AE1329">
        <f ca="1">Table1334567[[#This Row],[Call Gex]]*Table1334567[[#This Row],[DeltaC]]</f>
        <v>0</v>
      </c>
      <c r="AF1329">
        <f>IF(Table1334567[[#This Row],[DeltaC]]-ABS(Table1334567[[#This Row],[DeltaP]])="0","0.01",Table1334567[[#This Row],[DeltaC]]-ABS(Table1334567[[#This Row],[DeltaP]]))</f>
        <v>0</v>
      </c>
      <c r="AG132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9" t="e">
        <f ca="1">(EXP(-(AG1329^2)/2)/SQRT(2*PI())*EXP(0*SQRT(Table1334567[[#This Row],[T]]))/$A$4*18%*SQRT(SQRT(Table1334567[[#This Row],[T]])))</f>
        <v>#DIV/0!</v>
      </c>
      <c r="AJ1329" t="e">
        <f ca="1">(EXP(-(AH1329^2)/2)/SQRT(2*PI())*EXP(0*SQRT(Table1334567[[#This Row],[T]]))/$A$4*18%*SQRT(SQRT(Table1334567[[#This Row],[T]])))</f>
        <v>#DIV/0!</v>
      </c>
      <c r="AK1329" t="e">
        <f ca="1">Table1334567[[#This Row],[Call D1]]-Table1334567[[#This Row],[IV Calc C]]*SQRT(Table1334567[[#This Row],[T]])</f>
        <v>#DIV/0!</v>
      </c>
      <c r="AL1329" t="e">
        <f ca="1">Table1334567[[#This Row],[Put D1]]-Table1334567[[#This Row],[IV Calc P]]*SQRT(Table1334567[[#This Row],[T]])</f>
        <v>#DIV/0!</v>
      </c>
      <c r="AM1329" t="e">
        <f ca="1">EXP(-0.5*Table1334567[[#This Row],[Call D1]]^2)/SQRT(2*PI())</f>
        <v>#DIV/0!</v>
      </c>
      <c r="AN1329" t="e">
        <f ca="1">EXP(-0.5*Table1334567[[#This Row],[Put D1]]^2)/SQRT(2*PI())</f>
        <v>#DIV/0!</v>
      </c>
      <c r="AO132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9">
        <f ca="1">((Table1334567[[#This Row],[call vanna]]+Table1334567[[#This Row],[put vanna]])*$A$4)</f>
        <v>0</v>
      </c>
      <c r="AR132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9" s="9" t="str" cm="1">
        <f t="array" ref="AT1329">_xlfn.IFS(     $M$1="SPX","SPXW",     $M$1="RUT","RUTW",  $M$1="NDX","NDXP",   TRUE,$M$1 )</f>
        <v>SPXW</v>
      </c>
      <c r="AU1329" s="2">
        <f t="shared" si="132"/>
        <v>6915</v>
      </c>
      <c r="AV1329" t="str">
        <f t="shared" si="133"/>
        <v>000100</v>
      </c>
      <c r="AY132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9">
        <f>((Table1334567[[#This Row],[High C]]+Table1334567[[#This Row],[Low C]])/2)*Table1334567[[#This Row],[gammac]]*Table1334567[[#This Row],[Volume]]</f>
        <v>0</v>
      </c>
      <c r="BD1329">
        <f>((Table1334567[[#This Row],[High P]]+Table1334567[[#This Row],[Low P]])/2)*Table1334567[[#This Row],[gammap]]*Table1334567[[#This Row],[Volume9]]*-1</f>
        <v>0</v>
      </c>
      <c r="BE1329">
        <f>(Table1334567[[#This Row],[SgammaC]]+Table1334567[[#This Row],[SgammaP]])*$A$4*-100</f>
        <v>0</v>
      </c>
      <c r="BF1329">
        <f>Table1334567[[#This Row],[DEXc]]+Table1334567[[#This Row],[DEXp]]</f>
        <v>0</v>
      </c>
      <c r="BG1329">
        <f>IFERROR(Table1334567[[#This Row],[DeltaC]]*Table1334567[[#This Row],[Open.Int]]*$A$4,0)</f>
        <v>0</v>
      </c>
      <c r="BH1329">
        <f>IFERROR(Table1334567[[#This Row],[DeltaP]]*Table1334567[[#This Row],[Open.Int8]]*$A$4,0)</f>
        <v>0</v>
      </c>
      <c r="BI132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9">
        <f ca="1">Table1334567[[#This Row],[charmc]]+Table1334567[[#This Row],[charmp]]</f>
        <v>0</v>
      </c>
      <c r="BL132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9" s="78">
        <f ca="1">Table1334567[[#This Row],[call helper]]+Table1334567[[#This Row],[put helper]]</f>
        <v>0</v>
      </c>
      <c r="BP1329" t="str">
        <f>RTD("tos.rtd", , "STRIKE", "."&amp;Table1334567[[#This Row],[Ticker]]&amp;Table1334567[[#This Row],[Expiry]]&amp;""&amp;"C"&amp;Table1334567[[#This Row],[Spot]]+Table1334567[[#This Row],[step]])</f>
        <v>N/A</v>
      </c>
    </row>
    <row r="1330" spans="1:68" x14ac:dyDescent="0.25">
      <c r="A1330" s="14">
        <f t="shared" ca="1" si="129"/>
        <v>-126.14810350076104</v>
      </c>
      <c r="C1330" s="17"/>
      <c r="D1330" t="str">
        <f>RTD("tos.rtd", , "OPEN_INT", "."&amp;Table1334567[[#This Row],[Ticker]]&amp;Table1334567[[#This Row],[Expiry]]&amp;""&amp;"C"&amp;Table1334567[[#This Row],[Spot]]+Table1334567[[#This Row],[step]])</f>
        <v>N/A</v>
      </c>
      <c r="E133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0" s="17" cm="1">
        <f t="array" aca="1" ref="H1330" ca="1">IndividualLegIVCore($A$4, Table1334567[[#This Row],[Strike]], 0.0411, Table1334567[[#This Row],[T]], ((Table1334567[[#This Row],[BIDC]]+Table1334567[[#This Row],[ASKC]])/2), TRUE)</f>
        <v>0.01</v>
      </c>
      <c r="I133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0" s="17"/>
      <c r="M1330" s="1">
        <f t="shared" si="130"/>
        <v>0</v>
      </c>
      <c r="N1330" t="b">
        <f t="shared" si="131"/>
        <v>0</v>
      </c>
      <c r="P1330" s="17" cm="1">
        <f t="array" aca="1" ref="P1330" ca="1">IndividualLegIVCore($A$4, Table1334567[[#This Row],[Strike]], 0.0411, Table1334567[[#This Row],[T]], ((Table1334567[[#This Row],[BIDP]]+Table1334567[[#This Row],[ASKP]])/2), FALSE)</f>
        <v>0.01</v>
      </c>
      <c r="Q133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0" s="17"/>
      <c r="T133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0" s="19">
        <f>1* IF($M$1="NDX", 10, IF(OR($M$1="SPX", $M$1="RUT"), 2, 1))</f>
        <v>2</v>
      </c>
      <c r="Z1330">
        <f ca="1">IFERROR(Table1334567[[#This Row],[call gamma]]*(Table1334567[[#This Row],[Open.Int]])*$A$4^2,0)</f>
        <v>0</v>
      </c>
      <c r="AA1330">
        <f ca="1">IFERROR(((Table1334567[[#This Row],[Open.Int8]])*Table1334567[[#This Row],[Put gamma]])*-1*$A$4^2,0)</f>
        <v>0</v>
      </c>
      <c r="AB1330">
        <f ca="1">(Table1334567[[#This Row],[Call Gex]]+Table1334567[[#This Row],[Put Gex]])</f>
        <v>0</v>
      </c>
      <c r="AC1330">
        <f ca="1">Table1334567[[#This Row],[put delta adj]]+Table1334567[[#This Row],[call delta adj]]</f>
        <v>0</v>
      </c>
      <c r="AD1330">
        <f ca="1">Table1334567[[#This Row],[Put Gex]]*Table1334567[[#This Row],[DeltaP]]*-1</f>
        <v>0</v>
      </c>
      <c r="AE1330">
        <f ca="1">Table1334567[[#This Row],[Call Gex]]*Table1334567[[#This Row],[DeltaC]]</f>
        <v>0</v>
      </c>
      <c r="AF1330">
        <f>IF(Table1334567[[#This Row],[DeltaC]]-ABS(Table1334567[[#This Row],[DeltaP]])="0","0.01",Table1334567[[#This Row],[DeltaC]]-ABS(Table1334567[[#This Row],[DeltaP]]))</f>
        <v>0</v>
      </c>
      <c r="AG133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0" t="e">
        <f ca="1">(EXP(-(AG1330^2)/2)/SQRT(2*PI())*EXP(0*SQRT(Table1334567[[#This Row],[T]]))/$A$4*18%*SQRT(SQRT(Table1334567[[#This Row],[T]])))</f>
        <v>#DIV/0!</v>
      </c>
      <c r="AJ1330" t="e">
        <f ca="1">(EXP(-(AH1330^2)/2)/SQRT(2*PI())*EXP(0*SQRT(Table1334567[[#This Row],[T]]))/$A$4*18%*SQRT(SQRT(Table1334567[[#This Row],[T]])))</f>
        <v>#DIV/0!</v>
      </c>
      <c r="AK1330" t="e">
        <f ca="1">Table1334567[[#This Row],[Call D1]]-Table1334567[[#This Row],[IV Calc C]]*SQRT(Table1334567[[#This Row],[T]])</f>
        <v>#DIV/0!</v>
      </c>
      <c r="AL1330" t="e">
        <f ca="1">Table1334567[[#This Row],[Put D1]]-Table1334567[[#This Row],[IV Calc P]]*SQRT(Table1334567[[#This Row],[T]])</f>
        <v>#DIV/0!</v>
      </c>
      <c r="AM1330" t="e">
        <f ca="1">EXP(-0.5*Table1334567[[#This Row],[Call D1]]^2)/SQRT(2*PI())</f>
        <v>#DIV/0!</v>
      </c>
      <c r="AN1330" t="e">
        <f ca="1">EXP(-0.5*Table1334567[[#This Row],[Put D1]]^2)/SQRT(2*PI())</f>
        <v>#DIV/0!</v>
      </c>
      <c r="AO133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0">
        <f ca="1">((Table1334567[[#This Row],[call vanna]]+Table1334567[[#This Row],[put vanna]])*$A$4)</f>
        <v>0</v>
      </c>
      <c r="AR133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0" s="9" t="str" cm="1">
        <f t="array" ref="AT1330">_xlfn.IFS(     $M$1="SPX","SPXW",     $M$1="RUT","RUTW",  $M$1="NDX","NDXP",   TRUE,$M$1 )</f>
        <v>SPXW</v>
      </c>
      <c r="AU1330" s="2">
        <f t="shared" si="132"/>
        <v>6915</v>
      </c>
      <c r="AV1330" t="str">
        <f t="shared" si="133"/>
        <v>000100</v>
      </c>
      <c r="AY133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0">
        <f>((Table1334567[[#This Row],[High C]]+Table1334567[[#This Row],[Low C]])/2)*Table1334567[[#This Row],[gammac]]*Table1334567[[#This Row],[Volume]]</f>
        <v>0</v>
      </c>
      <c r="BD1330">
        <f>((Table1334567[[#This Row],[High P]]+Table1334567[[#This Row],[Low P]])/2)*Table1334567[[#This Row],[gammap]]*Table1334567[[#This Row],[Volume9]]*-1</f>
        <v>0</v>
      </c>
      <c r="BE1330">
        <f>(Table1334567[[#This Row],[SgammaC]]+Table1334567[[#This Row],[SgammaP]])*$A$4*-100</f>
        <v>0</v>
      </c>
      <c r="BF1330">
        <f>Table1334567[[#This Row],[DEXc]]+Table1334567[[#This Row],[DEXp]]</f>
        <v>0</v>
      </c>
      <c r="BG1330">
        <f>IFERROR(Table1334567[[#This Row],[DeltaC]]*Table1334567[[#This Row],[Open.Int]]*$A$4,0)</f>
        <v>0</v>
      </c>
      <c r="BH1330">
        <f>IFERROR(Table1334567[[#This Row],[DeltaP]]*Table1334567[[#This Row],[Open.Int8]]*$A$4,0)</f>
        <v>0</v>
      </c>
      <c r="BI133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0">
        <f ca="1">Table1334567[[#This Row],[charmc]]+Table1334567[[#This Row],[charmp]]</f>
        <v>0</v>
      </c>
      <c r="BL133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0" s="78">
        <f ca="1">Table1334567[[#This Row],[call helper]]+Table1334567[[#This Row],[put helper]]</f>
        <v>0</v>
      </c>
      <c r="BP1330" t="str">
        <f>RTD("tos.rtd", , "STRIKE", "."&amp;Table1334567[[#This Row],[Ticker]]&amp;Table1334567[[#This Row],[Expiry]]&amp;""&amp;"C"&amp;Table1334567[[#This Row],[Spot]]+Table1334567[[#This Row],[step]])</f>
        <v>N/A</v>
      </c>
    </row>
    <row r="1331" spans="1:68" x14ac:dyDescent="0.25">
      <c r="A1331" s="14">
        <f t="shared" ca="1" si="129"/>
        <v>-126.14810350076104</v>
      </c>
      <c r="C1331" s="17"/>
      <c r="D1331" t="str">
        <f>RTD("tos.rtd", , "OPEN_INT", "."&amp;Table1334567[[#This Row],[Ticker]]&amp;Table1334567[[#This Row],[Expiry]]&amp;""&amp;"C"&amp;Table1334567[[#This Row],[Spot]]+Table1334567[[#This Row],[step]])</f>
        <v>N/A</v>
      </c>
      <c r="E133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1" s="17" cm="1">
        <f t="array" aca="1" ref="H1331" ca="1">IndividualLegIVCore($A$4, Table1334567[[#This Row],[Strike]], 0.0411, Table1334567[[#This Row],[T]], ((Table1334567[[#This Row],[BIDC]]+Table1334567[[#This Row],[ASKC]])/2), TRUE)</f>
        <v>0.01</v>
      </c>
      <c r="I133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1" s="17"/>
      <c r="M1331" s="1">
        <f t="shared" si="130"/>
        <v>0</v>
      </c>
      <c r="N1331" t="b">
        <f t="shared" si="131"/>
        <v>0</v>
      </c>
      <c r="P1331" s="17" cm="1">
        <f t="array" aca="1" ref="P1331" ca="1">IndividualLegIVCore($A$4, Table1334567[[#This Row],[Strike]], 0.0411, Table1334567[[#This Row],[T]], ((Table1334567[[#This Row],[BIDP]]+Table1334567[[#This Row],[ASKP]])/2), FALSE)</f>
        <v>0.01</v>
      </c>
      <c r="Q133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1" s="17"/>
      <c r="T133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1" s="19">
        <f>1.5* IF($M$1="NDX", 10, IF(OR($M$1="SPX", $M$1="RUT"), 2, 1))</f>
        <v>3</v>
      </c>
      <c r="Z1331">
        <f ca="1">IFERROR(Table1334567[[#This Row],[call gamma]]*(Table1334567[[#This Row],[Open.Int]])*$A$4^2,0)</f>
        <v>0</v>
      </c>
      <c r="AA1331">
        <f ca="1">IFERROR(((Table1334567[[#This Row],[Open.Int8]])*Table1334567[[#This Row],[Put gamma]])*-1*$A$4^2,0)</f>
        <v>0</v>
      </c>
      <c r="AB1331">
        <f ca="1">(Table1334567[[#This Row],[Call Gex]]+Table1334567[[#This Row],[Put Gex]])</f>
        <v>0</v>
      </c>
      <c r="AC1331">
        <f ca="1">Table1334567[[#This Row],[put delta adj]]+Table1334567[[#This Row],[call delta adj]]</f>
        <v>0</v>
      </c>
      <c r="AD1331">
        <f ca="1">Table1334567[[#This Row],[Put Gex]]*Table1334567[[#This Row],[DeltaP]]*-1</f>
        <v>0</v>
      </c>
      <c r="AE1331">
        <f ca="1">Table1334567[[#This Row],[Call Gex]]*Table1334567[[#This Row],[DeltaC]]</f>
        <v>0</v>
      </c>
      <c r="AF1331">
        <f>IF(Table1334567[[#This Row],[DeltaC]]-ABS(Table1334567[[#This Row],[DeltaP]])="0","0.01",Table1334567[[#This Row],[DeltaC]]-ABS(Table1334567[[#This Row],[DeltaP]]))</f>
        <v>0</v>
      </c>
      <c r="AG133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1" t="e">
        <f ca="1">(EXP(-(AG1331^2)/2)/SQRT(2*PI())*EXP(0*SQRT(Table1334567[[#This Row],[T]]))/$A$4*18%*SQRT(SQRT(Table1334567[[#This Row],[T]])))</f>
        <v>#DIV/0!</v>
      </c>
      <c r="AJ1331" t="e">
        <f ca="1">(EXP(-(AH1331^2)/2)/SQRT(2*PI())*EXP(0*SQRT(Table1334567[[#This Row],[T]]))/$A$4*18%*SQRT(SQRT(Table1334567[[#This Row],[T]])))</f>
        <v>#DIV/0!</v>
      </c>
      <c r="AK1331" t="e">
        <f ca="1">Table1334567[[#This Row],[Call D1]]-Table1334567[[#This Row],[IV Calc C]]*SQRT(Table1334567[[#This Row],[T]])</f>
        <v>#DIV/0!</v>
      </c>
      <c r="AL1331" t="e">
        <f ca="1">Table1334567[[#This Row],[Put D1]]-Table1334567[[#This Row],[IV Calc P]]*SQRT(Table1334567[[#This Row],[T]])</f>
        <v>#DIV/0!</v>
      </c>
      <c r="AM1331" t="e">
        <f ca="1">EXP(-0.5*Table1334567[[#This Row],[Call D1]]^2)/SQRT(2*PI())</f>
        <v>#DIV/0!</v>
      </c>
      <c r="AN1331" t="e">
        <f ca="1">EXP(-0.5*Table1334567[[#This Row],[Put D1]]^2)/SQRT(2*PI())</f>
        <v>#DIV/0!</v>
      </c>
      <c r="AO133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1">
        <f ca="1">((Table1334567[[#This Row],[call vanna]]+Table1334567[[#This Row],[put vanna]])*$A$4)</f>
        <v>0</v>
      </c>
      <c r="AR133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1" s="9" t="str" cm="1">
        <f t="array" ref="AT1331">_xlfn.IFS(     $M$1="SPX","SPXW",     $M$1="RUT","RUTW",  $M$1="NDX","NDXP",   TRUE,$M$1 )</f>
        <v>SPXW</v>
      </c>
      <c r="AU1331" s="2">
        <f t="shared" si="132"/>
        <v>6915</v>
      </c>
      <c r="AV1331" t="str">
        <f t="shared" si="133"/>
        <v>000100</v>
      </c>
      <c r="AY133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1">
        <f>((Table1334567[[#This Row],[High C]]+Table1334567[[#This Row],[Low C]])/2)*Table1334567[[#This Row],[gammac]]*Table1334567[[#This Row],[Volume]]</f>
        <v>0</v>
      </c>
      <c r="BD1331">
        <f>((Table1334567[[#This Row],[High P]]+Table1334567[[#This Row],[Low P]])/2)*Table1334567[[#This Row],[gammap]]*Table1334567[[#This Row],[Volume9]]*-1</f>
        <v>0</v>
      </c>
      <c r="BE1331">
        <f>(Table1334567[[#This Row],[SgammaC]]+Table1334567[[#This Row],[SgammaP]])*$A$4*-100</f>
        <v>0</v>
      </c>
      <c r="BF1331">
        <f>Table1334567[[#This Row],[DEXc]]+Table1334567[[#This Row],[DEXp]]</f>
        <v>0</v>
      </c>
      <c r="BG1331">
        <f>IFERROR(Table1334567[[#This Row],[DeltaC]]*Table1334567[[#This Row],[Open.Int]]*$A$4,0)</f>
        <v>0</v>
      </c>
      <c r="BH1331">
        <f>IFERROR(Table1334567[[#This Row],[DeltaP]]*Table1334567[[#This Row],[Open.Int8]]*$A$4,0)</f>
        <v>0</v>
      </c>
      <c r="BI133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1">
        <f ca="1">Table1334567[[#This Row],[charmc]]+Table1334567[[#This Row],[charmp]]</f>
        <v>0</v>
      </c>
      <c r="BL133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1" s="78">
        <f ca="1">Table1334567[[#This Row],[call helper]]+Table1334567[[#This Row],[put helper]]</f>
        <v>0</v>
      </c>
      <c r="BP1331" t="str">
        <f>RTD("tos.rtd", , "STRIKE", "."&amp;Table1334567[[#This Row],[Ticker]]&amp;Table1334567[[#This Row],[Expiry]]&amp;""&amp;"C"&amp;Table1334567[[#This Row],[Spot]]+Table1334567[[#This Row],[step]])</f>
        <v>N/A</v>
      </c>
    </row>
    <row r="1332" spans="1:68" x14ac:dyDescent="0.25">
      <c r="A1332" s="14">
        <f t="shared" ca="1" si="129"/>
        <v>-126.14810350076104</v>
      </c>
      <c r="C1332" s="17"/>
      <c r="D1332" t="str">
        <f>RTD("tos.rtd", , "OPEN_INT", "."&amp;Table1334567[[#This Row],[Ticker]]&amp;Table1334567[[#This Row],[Expiry]]&amp;""&amp;"C"&amp;Table1334567[[#This Row],[Spot]]+Table1334567[[#This Row],[step]])</f>
        <v>N/A</v>
      </c>
      <c r="E133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2" s="17" cm="1">
        <f t="array" aca="1" ref="H1332" ca="1">IndividualLegIVCore($A$4, Table1334567[[#This Row],[Strike]], 0.0411, Table1334567[[#This Row],[T]], ((Table1334567[[#This Row],[BIDC]]+Table1334567[[#This Row],[ASKC]])/2), TRUE)</f>
        <v>0.01</v>
      </c>
      <c r="I133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2" s="17"/>
      <c r="M1332" s="1">
        <f t="shared" si="130"/>
        <v>0</v>
      </c>
      <c r="N1332" t="b">
        <f t="shared" si="131"/>
        <v>0</v>
      </c>
      <c r="P1332" s="17" cm="1">
        <f t="array" aca="1" ref="P1332" ca="1">IndividualLegIVCore($A$4, Table1334567[[#This Row],[Strike]], 0.0411, Table1334567[[#This Row],[T]], ((Table1334567[[#This Row],[BIDP]]+Table1334567[[#This Row],[ASKP]])/2), FALSE)</f>
        <v>0.01</v>
      </c>
      <c r="Q133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2" s="17"/>
      <c r="T133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2" s="19">
        <f>2 * IF($M$1="NDX", 10, IF(OR($M$1="SPX", $M$1="RUT"), 2, 1))</f>
        <v>4</v>
      </c>
      <c r="Z1332">
        <f ca="1">IFERROR(Table1334567[[#This Row],[call gamma]]*(Table1334567[[#This Row],[Open.Int]])*$A$4^2,0)</f>
        <v>0</v>
      </c>
      <c r="AA1332">
        <f ca="1">IFERROR(((Table1334567[[#This Row],[Open.Int8]])*Table1334567[[#This Row],[Put gamma]])*-1*$A$4^2,0)</f>
        <v>0</v>
      </c>
      <c r="AB1332">
        <f ca="1">(Table1334567[[#This Row],[Call Gex]]+Table1334567[[#This Row],[Put Gex]])</f>
        <v>0</v>
      </c>
      <c r="AC1332">
        <f ca="1">Table1334567[[#This Row],[put delta adj]]+Table1334567[[#This Row],[call delta adj]]</f>
        <v>0</v>
      </c>
      <c r="AD1332">
        <f ca="1">Table1334567[[#This Row],[Put Gex]]*Table1334567[[#This Row],[DeltaP]]*-1</f>
        <v>0</v>
      </c>
      <c r="AE1332">
        <f ca="1">Table1334567[[#This Row],[Call Gex]]*Table1334567[[#This Row],[DeltaC]]</f>
        <v>0</v>
      </c>
      <c r="AF1332">
        <f>IF(Table1334567[[#This Row],[DeltaC]]-ABS(Table1334567[[#This Row],[DeltaP]])="0","0.01",Table1334567[[#This Row],[DeltaC]]-ABS(Table1334567[[#This Row],[DeltaP]]))</f>
        <v>0</v>
      </c>
      <c r="AG133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2" t="e">
        <f ca="1">(EXP(-(AG1332^2)/2)/SQRT(2*PI())*EXP(0*SQRT(Table1334567[[#This Row],[T]]))/$A$4*18%*SQRT(SQRT(Table1334567[[#This Row],[T]])))</f>
        <v>#DIV/0!</v>
      </c>
      <c r="AJ1332" t="e">
        <f ca="1">(EXP(-(AH1332^2)/2)/SQRT(2*PI())*EXP(0*SQRT(Table1334567[[#This Row],[T]]))/$A$4*18%*SQRT(SQRT(Table1334567[[#This Row],[T]])))</f>
        <v>#DIV/0!</v>
      </c>
      <c r="AK1332" t="e">
        <f ca="1">Table1334567[[#This Row],[Call D1]]-Table1334567[[#This Row],[IV Calc C]]*SQRT(Table1334567[[#This Row],[T]])</f>
        <v>#DIV/0!</v>
      </c>
      <c r="AL1332" t="e">
        <f ca="1">Table1334567[[#This Row],[Put D1]]-Table1334567[[#This Row],[IV Calc P]]*SQRT(Table1334567[[#This Row],[T]])</f>
        <v>#DIV/0!</v>
      </c>
      <c r="AM1332" t="e">
        <f ca="1">EXP(-0.5*Table1334567[[#This Row],[Call D1]]^2)/SQRT(2*PI())</f>
        <v>#DIV/0!</v>
      </c>
      <c r="AN1332" t="e">
        <f ca="1">EXP(-0.5*Table1334567[[#This Row],[Put D1]]^2)/SQRT(2*PI())</f>
        <v>#DIV/0!</v>
      </c>
      <c r="AO133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2">
        <f ca="1">((Table1334567[[#This Row],[call vanna]]+Table1334567[[#This Row],[put vanna]])*$A$4)</f>
        <v>0</v>
      </c>
      <c r="AR133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2" s="9" t="str" cm="1">
        <f t="array" ref="AT1332">_xlfn.IFS(     $M$1="SPX","SPXW",     $M$1="RUT","RUTW",  $M$1="NDX","NDXP",   TRUE,$M$1 )</f>
        <v>SPXW</v>
      </c>
      <c r="AU1332" s="2">
        <f t="shared" si="132"/>
        <v>6915</v>
      </c>
      <c r="AV1332" t="str">
        <f t="shared" si="133"/>
        <v>000100</v>
      </c>
      <c r="AY133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2">
        <f>((Table1334567[[#This Row],[High C]]+Table1334567[[#This Row],[Low C]])/2)*Table1334567[[#This Row],[gammac]]*Table1334567[[#This Row],[Volume]]</f>
        <v>0</v>
      </c>
      <c r="BD1332">
        <f>((Table1334567[[#This Row],[High P]]+Table1334567[[#This Row],[Low P]])/2)*Table1334567[[#This Row],[gammap]]*Table1334567[[#This Row],[Volume9]]*-1</f>
        <v>0</v>
      </c>
      <c r="BE1332">
        <f>(Table1334567[[#This Row],[SgammaC]]+Table1334567[[#This Row],[SgammaP]])*$A$4*-100</f>
        <v>0</v>
      </c>
      <c r="BF1332">
        <f>Table1334567[[#This Row],[DEXc]]+Table1334567[[#This Row],[DEXp]]</f>
        <v>0</v>
      </c>
      <c r="BG1332">
        <f>IFERROR(Table1334567[[#This Row],[DeltaC]]*Table1334567[[#This Row],[Open.Int]]*$A$4,0)</f>
        <v>0</v>
      </c>
      <c r="BH1332">
        <f>IFERROR(Table1334567[[#This Row],[DeltaP]]*Table1334567[[#This Row],[Open.Int8]]*$A$4,0)</f>
        <v>0</v>
      </c>
      <c r="BI133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2">
        <f ca="1">Table1334567[[#This Row],[charmc]]+Table1334567[[#This Row],[charmp]]</f>
        <v>0</v>
      </c>
      <c r="BL133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2" s="78">
        <f ca="1">Table1334567[[#This Row],[call helper]]+Table1334567[[#This Row],[put helper]]</f>
        <v>0</v>
      </c>
      <c r="BP1332" t="str">
        <f>RTD("tos.rtd", , "STRIKE", "."&amp;Table1334567[[#This Row],[Ticker]]&amp;Table1334567[[#This Row],[Expiry]]&amp;""&amp;"C"&amp;Table1334567[[#This Row],[Spot]]+Table1334567[[#This Row],[step]])</f>
        <v>N/A</v>
      </c>
    </row>
    <row r="1333" spans="1:68" x14ac:dyDescent="0.25">
      <c r="A1333" s="14">
        <f t="shared" ca="1" si="129"/>
        <v>-126.14810350076104</v>
      </c>
      <c r="C1333" s="17"/>
      <c r="D1333" t="str">
        <f>RTD("tos.rtd", , "OPEN_INT", "."&amp;Table1334567[[#This Row],[Ticker]]&amp;Table1334567[[#This Row],[Expiry]]&amp;""&amp;"C"&amp;Table1334567[[#This Row],[Spot]]+Table1334567[[#This Row],[step]])</f>
        <v>N/A</v>
      </c>
      <c r="E133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3" s="17" cm="1">
        <f t="array" aca="1" ref="H1333" ca="1">IndividualLegIVCore($A$4, Table1334567[[#This Row],[Strike]], 0.0411, Table1334567[[#This Row],[T]], ((Table1334567[[#This Row],[BIDC]]+Table1334567[[#This Row],[ASKC]])/2), TRUE)</f>
        <v>0.01</v>
      </c>
      <c r="I133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3" s="17"/>
      <c r="M1333" s="1">
        <f t="shared" si="130"/>
        <v>0</v>
      </c>
      <c r="N1333" t="b">
        <f t="shared" si="131"/>
        <v>0</v>
      </c>
      <c r="P1333" s="17" cm="1">
        <f t="array" aca="1" ref="P1333" ca="1">IndividualLegIVCore($A$4, Table1334567[[#This Row],[Strike]], 0.0411, Table1334567[[#This Row],[T]], ((Table1334567[[#This Row],[BIDP]]+Table1334567[[#This Row],[ASKP]])/2), FALSE)</f>
        <v>0.01</v>
      </c>
      <c r="Q133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3" s="17"/>
      <c r="T133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3" s="19">
        <f>2.5* IF($M$1="NDX", 10, IF(OR($M$1="SPX", $M$1="RUT"), 2, 1))</f>
        <v>5</v>
      </c>
      <c r="Z1333">
        <f ca="1">IFERROR(Table1334567[[#This Row],[call gamma]]*(Table1334567[[#This Row],[Open.Int]])*$A$4^2,0)</f>
        <v>0</v>
      </c>
      <c r="AA1333">
        <f ca="1">IFERROR(((Table1334567[[#This Row],[Open.Int8]])*Table1334567[[#This Row],[Put gamma]])*-1*$A$4^2,0)</f>
        <v>0</v>
      </c>
      <c r="AB1333">
        <f ca="1">(Table1334567[[#This Row],[Call Gex]]+Table1334567[[#This Row],[Put Gex]])</f>
        <v>0</v>
      </c>
      <c r="AC1333">
        <f ca="1">Table1334567[[#This Row],[put delta adj]]+Table1334567[[#This Row],[call delta adj]]</f>
        <v>0</v>
      </c>
      <c r="AD1333">
        <f ca="1">Table1334567[[#This Row],[Put Gex]]*Table1334567[[#This Row],[DeltaP]]*-1</f>
        <v>0</v>
      </c>
      <c r="AE1333">
        <f ca="1">Table1334567[[#This Row],[Call Gex]]*Table1334567[[#This Row],[DeltaC]]</f>
        <v>0</v>
      </c>
      <c r="AF1333">
        <f>IF(Table1334567[[#This Row],[DeltaC]]-ABS(Table1334567[[#This Row],[DeltaP]])="0","0.01",Table1334567[[#This Row],[DeltaC]]-ABS(Table1334567[[#This Row],[DeltaP]]))</f>
        <v>0</v>
      </c>
      <c r="AG133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3" t="e">
        <f ca="1">(EXP(-(AG1333^2)/2)/SQRT(2*PI())*EXP(0*SQRT(Table1334567[[#This Row],[T]]))/$A$4*18%*SQRT(SQRT(Table1334567[[#This Row],[T]])))</f>
        <v>#DIV/0!</v>
      </c>
      <c r="AJ1333" t="e">
        <f ca="1">(EXP(-(AH1333^2)/2)/SQRT(2*PI())*EXP(0*SQRT(Table1334567[[#This Row],[T]]))/$A$4*18%*SQRT(SQRT(Table1334567[[#This Row],[T]])))</f>
        <v>#DIV/0!</v>
      </c>
      <c r="AK1333" t="e">
        <f ca="1">Table1334567[[#This Row],[Call D1]]-Table1334567[[#This Row],[IV Calc C]]*SQRT(Table1334567[[#This Row],[T]])</f>
        <v>#DIV/0!</v>
      </c>
      <c r="AL1333" t="e">
        <f ca="1">Table1334567[[#This Row],[Put D1]]-Table1334567[[#This Row],[IV Calc P]]*SQRT(Table1334567[[#This Row],[T]])</f>
        <v>#DIV/0!</v>
      </c>
      <c r="AM1333" t="e">
        <f ca="1">EXP(-0.5*Table1334567[[#This Row],[Call D1]]^2)/SQRT(2*PI())</f>
        <v>#DIV/0!</v>
      </c>
      <c r="AN1333" t="e">
        <f ca="1">EXP(-0.5*Table1334567[[#This Row],[Put D1]]^2)/SQRT(2*PI())</f>
        <v>#DIV/0!</v>
      </c>
      <c r="AO133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3">
        <f ca="1">((Table1334567[[#This Row],[call vanna]]+Table1334567[[#This Row],[put vanna]])*$A$4)</f>
        <v>0</v>
      </c>
      <c r="AR133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3" s="9" t="str" cm="1">
        <f t="array" ref="AT1333">_xlfn.IFS(     $M$1="SPX","SPXW",     $M$1="RUT","RUTW",  $M$1="NDX","NDXP",   TRUE,$M$1 )</f>
        <v>SPXW</v>
      </c>
      <c r="AU1333" s="2">
        <f t="shared" si="132"/>
        <v>6915</v>
      </c>
      <c r="AV1333" t="str">
        <f t="shared" si="133"/>
        <v>000100</v>
      </c>
      <c r="AY133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3">
        <f>((Table1334567[[#This Row],[High C]]+Table1334567[[#This Row],[Low C]])/2)*Table1334567[[#This Row],[gammac]]*Table1334567[[#This Row],[Volume]]</f>
        <v>0</v>
      </c>
      <c r="BD1333">
        <f>((Table1334567[[#This Row],[High P]]+Table1334567[[#This Row],[Low P]])/2)*Table1334567[[#This Row],[gammap]]*Table1334567[[#This Row],[Volume9]]*-1</f>
        <v>0</v>
      </c>
      <c r="BE1333">
        <f>(Table1334567[[#This Row],[SgammaC]]+Table1334567[[#This Row],[SgammaP]])*$A$4*-100</f>
        <v>0</v>
      </c>
      <c r="BF1333">
        <f>Table1334567[[#This Row],[DEXc]]+Table1334567[[#This Row],[DEXp]]</f>
        <v>0</v>
      </c>
      <c r="BG1333">
        <f>IFERROR(Table1334567[[#This Row],[DeltaC]]*Table1334567[[#This Row],[Open.Int]]*$A$4,0)</f>
        <v>0</v>
      </c>
      <c r="BH1333">
        <f>IFERROR(Table1334567[[#This Row],[DeltaP]]*Table1334567[[#This Row],[Open.Int8]]*$A$4,0)</f>
        <v>0</v>
      </c>
      <c r="BI133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3">
        <f ca="1">Table1334567[[#This Row],[charmc]]+Table1334567[[#This Row],[charmp]]</f>
        <v>0</v>
      </c>
      <c r="BL133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3" s="78">
        <f ca="1">Table1334567[[#This Row],[call helper]]+Table1334567[[#This Row],[put helper]]</f>
        <v>0</v>
      </c>
      <c r="BP1333" t="str">
        <f>RTD("tos.rtd", , "STRIKE", "."&amp;Table1334567[[#This Row],[Ticker]]&amp;Table1334567[[#This Row],[Expiry]]&amp;""&amp;"C"&amp;Table1334567[[#This Row],[Spot]]+Table1334567[[#This Row],[step]])</f>
        <v>N/A</v>
      </c>
    </row>
    <row r="1334" spans="1:68" x14ac:dyDescent="0.25">
      <c r="A1334" s="14">
        <f t="shared" ca="1" si="129"/>
        <v>-126.14810350076104</v>
      </c>
      <c r="C1334" s="17"/>
      <c r="D1334" t="str">
        <f>RTD("tos.rtd", , "OPEN_INT", "."&amp;Table1334567[[#This Row],[Ticker]]&amp;Table1334567[[#This Row],[Expiry]]&amp;""&amp;"C"&amp;Table1334567[[#This Row],[Spot]]+Table1334567[[#This Row],[step]])</f>
        <v>N/A</v>
      </c>
      <c r="E133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4" s="17" cm="1">
        <f t="array" aca="1" ref="H1334" ca="1">IndividualLegIVCore($A$4, Table1334567[[#This Row],[Strike]], 0.0411, Table1334567[[#This Row],[T]], ((Table1334567[[#This Row],[BIDC]]+Table1334567[[#This Row],[ASKC]])/2), TRUE)</f>
        <v>0.01</v>
      </c>
      <c r="I133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4" s="17"/>
      <c r="M1334" s="1">
        <f t="shared" si="130"/>
        <v>0</v>
      </c>
      <c r="N1334" t="b">
        <f t="shared" si="131"/>
        <v>0</v>
      </c>
      <c r="P1334" s="17" cm="1">
        <f t="array" aca="1" ref="P1334" ca="1">IndividualLegIVCore($A$4, Table1334567[[#This Row],[Strike]], 0.0411, Table1334567[[#This Row],[T]], ((Table1334567[[#This Row],[BIDP]]+Table1334567[[#This Row],[ASKP]])/2), FALSE)</f>
        <v>0.01</v>
      </c>
      <c r="Q133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4" s="17"/>
      <c r="T133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4" s="19">
        <f>3* IF($M$1="NDX", 10, IF(OR($M$1="SPX", $M$1="RUT"), 2, 1))</f>
        <v>6</v>
      </c>
      <c r="Z1334">
        <f ca="1">IFERROR(Table1334567[[#This Row],[call gamma]]*(Table1334567[[#This Row],[Open.Int]])*$A$4^2,0)</f>
        <v>0</v>
      </c>
      <c r="AA1334">
        <f ca="1">IFERROR(((Table1334567[[#This Row],[Open.Int8]])*Table1334567[[#This Row],[Put gamma]])*-1*$A$4^2,0)</f>
        <v>0</v>
      </c>
      <c r="AB1334">
        <f ca="1">(Table1334567[[#This Row],[Call Gex]]+Table1334567[[#This Row],[Put Gex]])</f>
        <v>0</v>
      </c>
      <c r="AC1334">
        <f ca="1">Table1334567[[#This Row],[put delta adj]]+Table1334567[[#This Row],[call delta adj]]</f>
        <v>0</v>
      </c>
      <c r="AD1334">
        <f ca="1">Table1334567[[#This Row],[Put Gex]]*Table1334567[[#This Row],[DeltaP]]*-1</f>
        <v>0</v>
      </c>
      <c r="AE1334">
        <f ca="1">Table1334567[[#This Row],[Call Gex]]*Table1334567[[#This Row],[DeltaC]]</f>
        <v>0</v>
      </c>
      <c r="AF1334">
        <f>IF(Table1334567[[#This Row],[DeltaC]]-ABS(Table1334567[[#This Row],[DeltaP]])="0","0.01",Table1334567[[#This Row],[DeltaC]]-ABS(Table1334567[[#This Row],[DeltaP]]))</f>
        <v>0</v>
      </c>
      <c r="AG133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4" t="e">
        <f ca="1">(EXP(-(AG1334^2)/2)/SQRT(2*PI())*EXP(0*SQRT(Table1334567[[#This Row],[T]]))/$A$4*18%*SQRT(SQRT(Table1334567[[#This Row],[T]])))</f>
        <v>#DIV/0!</v>
      </c>
      <c r="AJ1334" t="e">
        <f ca="1">(EXP(-(AH1334^2)/2)/SQRT(2*PI())*EXP(0*SQRT(Table1334567[[#This Row],[T]]))/$A$4*18%*SQRT(SQRT(Table1334567[[#This Row],[T]])))</f>
        <v>#DIV/0!</v>
      </c>
      <c r="AK1334" t="e">
        <f ca="1">Table1334567[[#This Row],[Call D1]]-Table1334567[[#This Row],[IV Calc C]]*SQRT(Table1334567[[#This Row],[T]])</f>
        <v>#DIV/0!</v>
      </c>
      <c r="AL1334" t="e">
        <f ca="1">Table1334567[[#This Row],[Put D1]]-Table1334567[[#This Row],[IV Calc P]]*SQRT(Table1334567[[#This Row],[T]])</f>
        <v>#DIV/0!</v>
      </c>
      <c r="AM1334" t="e">
        <f ca="1">EXP(-0.5*Table1334567[[#This Row],[Call D1]]^2)/SQRT(2*PI())</f>
        <v>#DIV/0!</v>
      </c>
      <c r="AN1334" t="e">
        <f ca="1">EXP(-0.5*Table1334567[[#This Row],[Put D1]]^2)/SQRT(2*PI())</f>
        <v>#DIV/0!</v>
      </c>
      <c r="AO133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4">
        <f ca="1">((Table1334567[[#This Row],[call vanna]]+Table1334567[[#This Row],[put vanna]])*$A$4)</f>
        <v>0</v>
      </c>
      <c r="AR133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4" s="9" t="str" cm="1">
        <f t="array" ref="AT1334">_xlfn.IFS(     $M$1="SPX","SPXW",     $M$1="RUT","RUTW",  $M$1="NDX","NDXP",   TRUE,$M$1 )</f>
        <v>SPXW</v>
      </c>
      <c r="AU1334" s="2">
        <f t="shared" si="132"/>
        <v>6915</v>
      </c>
      <c r="AV1334" t="str">
        <f t="shared" si="133"/>
        <v>000100</v>
      </c>
      <c r="AY133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4">
        <f>((Table1334567[[#This Row],[High C]]+Table1334567[[#This Row],[Low C]])/2)*Table1334567[[#This Row],[gammac]]*Table1334567[[#This Row],[Volume]]</f>
        <v>0</v>
      </c>
      <c r="BD1334">
        <f>((Table1334567[[#This Row],[High P]]+Table1334567[[#This Row],[Low P]])/2)*Table1334567[[#This Row],[gammap]]*Table1334567[[#This Row],[Volume9]]*-1</f>
        <v>0</v>
      </c>
      <c r="BE1334">
        <f>(Table1334567[[#This Row],[SgammaC]]+Table1334567[[#This Row],[SgammaP]])*$A$4*-100</f>
        <v>0</v>
      </c>
      <c r="BF1334">
        <f>Table1334567[[#This Row],[DEXc]]+Table1334567[[#This Row],[DEXp]]</f>
        <v>0</v>
      </c>
      <c r="BG1334">
        <f>IFERROR(Table1334567[[#This Row],[DeltaC]]*Table1334567[[#This Row],[Open.Int]]*$A$4,0)</f>
        <v>0</v>
      </c>
      <c r="BH1334">
        <f>IFERROR(Table1334567[[#This Row],[DeltaP]]*Table1334567[[#This Row],[Open.Int8]]*$A$4,0)</f>
        <v>0</v>
      </c>
      <c r="BI133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4">
        <f ca="1">Table1334567[[#This Row],[charmc]]+Table1334567[[#This Row],[charmp]]</f>
        <v>0</v>
      </c>
      <c r="BL133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4" s="78">
        <f ca="1">Table1334567[[#This Row],[call helper]]+Table1334567[[#This Row],[put helper]]</f>
        <v>0</v>
      </c>
      <c r="BP1334" t="str">
        <f>RTD("tos.rtd", , "STRIKE", "."&amp;Table1334567[[#This Row],[Ticker]]&amp;Table1334567[[#This Row],[Expiry]]&amp;""&amp;"C"&amp;Table1334567[[#This Row],[Spot]]+Table1334567[[#This Row],[step]])</f>
        <v>N/A</v>
      </c>
    </row>
    <row r="1335" spans="1:68" x14ac:dyDescent="0.25">
      <c r="A1335" s="14">
        <f t="shared" ca="1" si="129"/>
        <v>-126.14810350076104</v>
      </c>
      <c r="C1335" s="17"/>
      <c r="D1335" t="str">
        <f>RTD("tos.rtd", , "OPEN_INT", "."&amp;Table1334567[[#This Row],[Ticker]]&amp;Table1334567[[#This Row],[Expiry]]&amp;""&amp;"C"&amp;Table1334567[[#This Row],[Spot]]+Table1334567[[#This Row],[step]])</f>
        <v>N/A</v>
      </c>
      <c r="E133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5" s="17" cm="1">
        <f t="array" aca="1" ref="H1335" ca="1">IndividualLegIVCore($A$4, Table1334567[[#This Row],[Strike]], 0.0411, Table1334567[[#This Row],[T]], ((Table1334567[[#This Row],[BIDC]]+Table1334567[[#This Row],[ASKC]])/2), TRUE)</f>
        <v>0.01</v>
      </c>
      <c r="I133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5" s="17"/>
      <c r="M1335" s="1">
        <f t="shared" si="130"/>
        <v>0</v>
      </c>
      <c r="N1335" t="b">
        <f t="shared" si="131"/>
        <v>0</v>
      </c>
      <c r="P1335" s="17" cm="1">
        <f t="array" aca="1" ref="P1335" ca="1">IndividualLegIVCore($A$4, Table1334567[[#This Row],[Strike]], 0.0411, Table1334567[[#This Row],[T]], ((Table1334567[[#This Row],[BIDP]]+Table1334567[[#This Row],[ASKP]])/2), FALSE)</f>
        <v>0.01</v>
      </c>
      <c r="Q133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5" s="17"/>
      <c r="T133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5" s="19">
        <f>3.5* IF($M$1="NDX", 10, IF(OR($M$1="SPX", $M$1="RUT"), 2, 1))</f>
        <v>7</v>
      </c>
      <c r="Z1335">
        <f ca="1">IFERROR(Table1334567[[#This Row],[call gamma]]*(Table1334567[[#This Row],[Open.Int]])*$A$4^2,0)</f>
        <v>0</v>
      </c>
      <c r="AA1335">
        <f ca="1">IFERROR(((Table1334567[[#This Row],[Open.Int8]])*Table1334567[[#This Row],[Put gamma]])*-1*$A$4^2,0)</f>
        <v>0</v>
      </c>
      <c r="AB1335">
        <f ca="1">(Table1334567[[#This Row],[Call Gex]]+Table1334567[[#This Row],[Put Gex]])</f>
        <v>0</v>
      </c>
      <c r="AC1335">
        <f ca="1">Table1334567[[#This Row],[put delta adj]]+Table1334567[[#This Row],[call delta adj]]</f>
        <v>0</v>
      </c>
      <c r="AD1335">
        <f ca="1">Table1334567[[#This Row],[Put Gex]]*Table1334567[[#This Row],[DeltaP]]*-1</f>
        <v>0</v>
      </c>
      <c r="AE1335">
        <f ca="1">Table1334567[[#This Row],[Call Gex]]*Table1334567[[#This Row],[DeltaC]]</f>
        <v>0</v>
      </c>
      <c r="AF1335">
        <f>IF(Table1334567[[#This Row],[DeltaC]]-ABS(Table1334567[[#This Row],[DeltaP]])="0","0.01",Table1334567[[#This Row],[DeltaC]]-ABS(Table1334567[[#This Row],[DeltaP]]))</f>
        <v>0</v>
      </c>
      <c r="AG133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5" t="e">
        <f ca="1">(EXP(-(AG1335^2)/2)/SQRT(2*PI())*EXP(0*SQRT(Table1334567[[#This Row],[T]]))/$A$4*18%*SQRT(SQRT(Table1334567[[#This Row],[T]])))</f>
        <v>#DIV/0!</v>
      </c>
      <c r="AJ1335" t="e">
        <f ca="1">(EXP(-(AH1335^2)/2)/SQRT(2*PI())*EXP(0*SQRT(Table1334567[[#This Row],[T]]))/$A$4*18%*SQRT(SQRT(Table1334567[[#This Row],[T]])))</f>
        <v>#DIV/0!</v>
      </c>
      <c r="AK1335" t="e">
        <f ca="1">Table1334567[[#This Row],[Call D1]]-Table1334567[[#This Row],[IV Calc C]]*SQRT(Table1334567[[#This Row],[T]])</f>
        <v>#DIV/0!</v>
      </c>
      <c r="AL1335" t="e">
        <f ca="1">Table1334567[[#This Row],[Put D1]]-Table1334567[[#This Row],[IV Calc P]]*SQRT(Table1334567[[#This Row],[T]])</f>
        <v>#DIV/0!</v>
      </c>
      <c r="AM1335" t="e">
        <f ca="1">EXP(-0.5*Table1334567[[#This Row],[Call D1]]^2)/SQRT(2*PI())</f>
        <v>#DIV/0!</v>
      </c>
      <c r="AN1335" t="e">
        <f ca="1">EXP(-0.5*Table1334567[[#This Row],[Put D1]]^2)/SQRT(2*PI())</f>
        <v>#DIV/0!</v>
      </c>
      <c r="AO133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5">
        <f ca="1">((Table1334567[[#This Row],[call vanna]]+Table1334567[[#This Row],[put vanna]])*$A$4)</f>
        <v>0</v>
      </c>
      <c r="AR133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5" s="9" t="str" cm="1">
        <f t="array" ref="AT1335">_xlfn.IFS(     $M$1="SPX","SPXW",     $M$1="RUT","RUTW",  $M$1="NDX","NDXP",   TRUE,$M$1 )</f>
        <v>SPXW</v>
      </c>
      <c r="AU1335" s="2">
        <f t="shared" si="132"/>
        <v>6915</v>
      </c>
      <c r="AV1335" t="str">
        <f t="shared" si="133"/>
        <v>000100</v>
      </c>
      <c r="AY133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5">
        <f>((Table1334567[[#This Row],[High C]]+Table1334567[[#This Row],[Low C]])/2)*Table1334567[[#This Row],[gammac]]*Table1334567[[#This Row],[Volume]]</f>
        <v>0</v>
      </c>
      <c r="BD1335">
        <f>((Table1334567[[#This Row],[High P]]+Table1334567[[#This Row],[Low P]])/2)*Table1334567[[#This Row],[gammap]]*Table1334567[[#This Row],[Volume9]]*-1</f>
        <v>0</v>
      </c>
      <c r="BE1335">
        <f>(Table1334567[[#This Row],[SgammaC]]+Table1334567[[#This Row],[SgammaP]])*$A$4*-100</f>
        <v>0</v>
      </c>
      <c r="BF1335">
        <f>Table1334567[[#This Row],[DEXc]]+Table1334567[[#This Row],[DEXp]]</f>
        <v>0</v>
      </c>
      <c r="BG1335">
        <f>IFERROR(Table1334567[[#This Row],[DeltaC]]*Table1334567[[#This Row],[Open.Int]]*$A$4,0)</f>
        <v>0</v>
      </c>
      <c r="BH1335">
        <f>IFERROR(Table1334567[[#This Row],[DeltaP]]*Table1334567[[#This Row],[Open.Int8]]*$A$4,0)</f>
        <v>0</v>
      </c>
      <c r="BI133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5">
        <f ca="1">Table1334567[[#This Row],[charmc]]+Table1334567[[#This Row],[charmp]]</f>
        <v>0</v>
      </c>
      <c r="BL133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5" s="78">
        <f ca="1">Table1334567[[#This Row],[call helper]]+Table1334567[[#This Row],[put helper]]</f>
        <v>0</v>
      </c>
      <c r="BP1335" t="str">
        <f>RTD("tos.rtd", , "STRIKE", "."&amp;Table1334567[[#This Row],[Ticker]]&amp;Table1334567[[#This Row],[Expiry]]&amp;""&amp;"C"&amp;Table1334567[[#This Row],[Spot]]+Table1334567[[#This Row],[step]])</f>
        <v>N/A</v>
      </c>
    </row>
    <row r="1336" spans="1:68" x14ac:dyDescent="0.25">
      <c r="A1336" s="14">
        <f t="shared" ca="1" si="129"/>
        <v>-126.14810350076104</v>
      </c>
      <c r="C1336" s="17"/>
      <c r="D1336" t="str">
        <f>RTD("tos.rtd", , "OPEN_INT", "."&amp;Table1334567[[#This Row],[Ticker]]&amp;Table1334567[[#This Row],[Expiry]]&amp;""&amp;"C"&amp;Table1334567[[#This Row],[Spot]]+Table1334567[[#This Row],[step]])</f>
        <v>N/A</v>
      </c>
      <c r="E133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6" s="17" cm="1">
        <f t="array" aca="1" ref="H1336" ca="1">IndividualLegIVCore($A$4, Table1334567[[#This Row],[Strike]], 0.0411, Table1334567[[#This Row],[T]], ((Table1334567[[#This Row],[BIDC]]+Table1334567[[#This Row],[ASKC]])/2), TRUE)</f>
        <v>0.01</v>
      </c>
      <c r="I133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6" s="17"/>
      <c r="M1336" s="1">
        <f t="shared" si="130"/>
        <v>0</v>
      </c>
      <c r="N1336" t="b">
        <f t="shared" si="131"/>
        <v>0</v>
      </c>
      <c r="P1336" s="17" cm="1">
        <f t="array" aca="1" ref="P1336" ca="1">IndividualLegIVCore($A$4, Table1334567[[#This Row],[Strike]], 0.0411, Table1334567[[#This Row],[T]], ((Table1334567[[#This Row],[BIDP]]+Table1334567[[#This Row],[ASKP]])/2), FALSE)</f>
        <v>0.01</v>
      </c>
      <c r="Q133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6" s="17"/>
      <c r="T133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6" s="19">
        <f>4* IF($M$1="NDX", 10, IF(OR($M$1="SPX", $M$1="RUT"), 2, 1))</f>
        <v>8</v>
      </c>
      <c r="Z1336">
        <f ca="1">IFERROR(Table1334567[[#This Row],[call gamma]]*(Table1334567[[#This Row],[Open.Int]])*$A$4^2,0)</f>
        <v>0</v>
      </c>
      <c r="AA1336">
        <f ca="1">IFERROR(((Table1334567[[#This Row],[Open.Int8]])*Table1334567[[#This Row],[Put gamma]])*-1*$A$4^2,0)</f>
        <v>0</v>
      </c>
      <c r="AB1336">
        <f ca="1">(Table1334567[[#This Row],[Call Gex]]+Table1334567[[#This Row],[Put Gex]])</f>
        <v>0</v>
      </c>
      <c r="AC1336">
        <f ca="1">Table1334567[[#This Row],[put delta adj]]+Table1334567[[#This Row],[call delta adj]]</f>
        <v>0</v>
      </c>
      <c r="AD1336">
        <f ca="1">Table1334567[[#This Row],[Put Gex]]*Table1334567[[#This Row],[DeltaP]]*-1</f>
        <v>0</v>
      </c>
      <c r="AE1336">
        <f ca="1">Table1334567[[#This Row],[Call Gex]]*Table1334567[[#This Row],[DeltaC]]</f>
        <v>0</v>
      </c>
      <c r="AF1336">
        <f>IF(Table1334567[[#This Row],[DeltaC]]-ABS(Table1334567[[#This Row],[DeltaP]])="0","0.01",Table1334567[[#This Row],[DeltaC]]-ABS(Table1334567[[#This Row],[DeltaP]]))</f>
        <v>0</v>
      </c>
      <c r="AG133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6" t="e">
        <f ca="1">(EXP(-(AG1336^2)/2)/SQRT(2*PI())*EXP(0*SQRT(Table1334567[[#This Row],[T]]))/$A$4*18%*SQRT(SQRT(Table1334567[[#This Row],[T]])))</f>
        <v>#DIV/0!</v>
      </c>
      <c r="AJ1336" t="e">
        <f ca="1">(EXP(-(AH1336^2)/2)/SQRT(2*PI())*EXP(0*SQRT(Table1334567[[#This Row],[T]]))/$A$4*18%*SQRT(SQRT(Table1334567[[#This Row],[T]])))</f>
        <v>#DIV/0!</v>
      </c>
      <c r="AK1336" t="e">
        <f ca="1">Table1334567[[#This Row],[Call D1]]-Table1334567[[#This Row],[IV Calc C]]*SQRT(Table1334567[[#This Row],[T]])</f>
        <v>#DIV/0!</v>
      </c>
      <c r="AL1336" t="e">
        <f ca="1">Table1334567[[#This Row],[Put D1]]-Table1334567[[#This Row],[IV Calc P]]*SQRT(Table1334567[[#This Row],[T]])</f>
        <v>#DIV/0!</v>
      </c>
      <c r="AM1336" t="e">
        <f ca="1">EXP(-0.5*Table1334567[[#This Row],[Call D1]]^2)/SQRT(2*PI())</f>
        <v>#DIV/0!</v>
      </c>
      <c r="AN1336" t="e">
        <f ca="1">EXP(-0.5*Table1334567[[#This Row],[Put D1]]^2)/SQRT(2*PI())</f>
        <v>#DIV/0!</v>
      </c>
      <c r="AO133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6">
        <f ca="1">((Table1334567[[#This Row],[call vanna]]+Table1334567[[#This Row],[put vanna]])*$A$4)</f>
        <v>0</v>
      </c>
      <c r="AR133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6" s="9" t="str" cm="1">
        <f t="array" ref="AT1336">_xlfn.IFS(     $M$1="SPX","SPXW",     $M$1="RUT","RUTW",  $M$1="NDX","NDXP",   TRUE,$M$1 )</f>
        <v>SPXW</v>
      </c>
      <c r="AU1336" s="2">
        <f t="shared" si="132"/>
        <v>6915</v>
      </c>
      <c r="AV1336" t="str">
        <f t="shared" si="133"/>
        <v>000100</v>
      </c>
      <c r="AY133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6">
        <f>((Table1334567[[#This Row],[High C]]+Table1334567[[#This Row],[Low C]])/2)*Table1334567[[#This Row],[gammac]]*Table1334567[[#This Row],[Volume]]</f>
        <v>0</v>
      </c>
      <c r="BD1336">
        <f>((Table1334567[[#This Row],[High P]]+Table1334567[[#This Row],[Low P]])/2)*Table1334567[[#This Row],[gammap]]*Table1334567[[#This Row],[Volume9]]*-1</f>
        <v>0</v>
      </c>
      <c r="BE1336">
        <f>(Table1334567[[#This Row],[SgammaC]]+Table1334567[[#This Row],[SgammaP]])*$A$4*-100</f>
        <v>0</v>
      </c>
      <c r="BF1336">
        <f>Table1334567[[#This Row],[DEXc]]+Table1334567[[#This Row],[DEXp]]</f>
        <v>0</v>
      </c>
      <c r="BG1336">
        <f>IFERROR(Table1334567[[#This Row],[DeltaC]]*Table1334567[[#This Row],[Open.Int]]*$A$4,0)</f>
        <v>0</v>
      </c>
      <c r="BH1336">
        <f>IFERROR(Table1334567[[#This Row],[DeltaP]]*Table1334567[[#This Row],[Open.Int8]]*$A$4,0)</f>
        <v>0</v>
      </c>
      <c r="BI133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6">
        <f ca="1">Table1334567[[#This Row],[charmc]]+Table1334567[[#This Row],[charmp]]</f>
        <v>0</v>
      </c>
      <c r="BL133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6" s="78">
        <f ca="1">Table1334567[[#This Row],[call helper]]+Table1334567[[#This Row],[put helper]]</f>
        <v>0</v>
      </c>
      <c r="BP1336" t="str">
        <f>RTD("tos.rtd", , "STRIKE", "."&amp;Table1334567[[#This Row],[Ticker]]&amp;Table1334567[[#This Row],[Expiry]]&amp;""&amp;"C"&amp;Table1334567[[#This Row],[Spot]]+Table1334567[[#This Row],[step]])</f>
        <v>N/A</v>
      </c>
    </row>
    <row r="1337" spans="1:68" x14ac:dyDescent="0.25">
      <c r="A1337" s="14">
        <f t="shared" ca="1" si="129"/>
        <v>-126.14810350076104</v>
      </c>
      <c r="C1337" s="17"/>
      <c r="D1337" t="str">
        <f>RTD("tos.rtd", , "OPEN_INT", "."&amp;Table1334567[[#This Row],[Ticker]]&amp;Table1334567[[#This Row],[Expiry]]&amp;""&amp;"C"&amp;Table1334567[[#This Row],[Spot]]+Table1334567[[#This Row],[step]])</f>
        <v>N/A</v>
      </c>
      <c r="E133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7" s="17" cm="1">
        <f t="array" aca="1" ref="H1337" ca="1">IndividualLegIVCore($A$4, Table1334567[[#This Row],[Strike]], 0.0411, Table1334567[[#This Row],[T]], ((Table1334567[[#This Row],[BIDC]]+Table1334567[[#This Row],[ASKC]])/2), TRUE)</f>
        <v>0.01</v>
      </c>
      <c r="I133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7" s="17"/>
      <c r="M1337" s="1">
        <f t="shared" si="130"/>
        <v>0</v>
      </c>
      <c r="N1337" t="b">
        <f t="shared" si="131"/>
        <v>0</v>
      </c>
      <c r="P1337" s="17" cm="1">
        <f t="array" aca="1" ref="P1337" ca="1">IndividualLegIVCore($A$4, Table1334567[[#This Row],[Strike]], 0.0411, Table1334567[[#This Row],[T]], ((Table1334567[[#This Row],[BIDP]]+Table1334567[[#This Row],[ASKP]])/2), FALSE)</f>
        <v>0.01</v>
      </c>
      <c r="Q133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7" s="17"/>
      <c r="T133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7" s="19">
        <f>4.5* IF($M$1="NDX", 10, IF(OR($M$1="SPX", $M$1="RUT"), 2, 1))</f>
        <v>9</v>
      </c>
      <c r="Z1337">
        <f ca="1">IFERROR(Table1334567[[#This Row],[call gamma]]*(Table1334567[[#This Row],[Open.Int]])*$A$4^2,0)</f>
        <v>0</v>
      </c>
      <c r="AA1337">
        <f ca="1">IFERROR(((Table1334567[[#This Row],[Open.Int8]])*Table1334567[[#This Row],[Put gamma]])*-1*$A$4^2,0)</f>
        <v>0</v>
      </c>
      <c r="AB1337">
        <f ca="1">(Table1334567[[#This Row],[Call Gex]]+Table1334567[[#This Row],[Put Gex]])</f>
        <v>0</v>
      </c>
      <c r="AC1337">
        <f ca="1">Table1334567[[#This Row],[put delta adj]]+Table1334567[[#This Row],[call delta adj]]</f>
        <v>0</v>
      </c>
      <c r="AD1337">
        <f ca="1">Table1334567[[#This Row],[Put Gex]]*Table1334567[[#This Row],[DeltaP]]*-1</f>
        <v>0</v>
      </c>
      <c r="AE1337">
        <f ca="1">Table1334567[[#This Row],[Call Gex]]*Table1334567[[#This Row],[DeltaC]]</f>
        <v>0</v>
      </c>
      <c r="AF1337">
        <f>IF(Table1334567[[#This Row],[DeltaC]]-ABS(Table1334567[[#This Row],[DeltaP]])="0","0.01",Table1334567[[#This Row],[DeltaC]]-ABS(Table1334567[[#This Row],[DeltaP]]))</f>
        <v>0</v>
      </c>
      <c r="AG133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7" t="e">
        <f ca="1">(EXP(-(AG1337^2)/2)/SQRT(2*PI())*EXP(0*SQRT(Table1334567[[#This Row],[T]]))/$A$4*18%*SQRT(SQRT(Table1334567[[#This Row],[T]])))</f>
        <v>#DIV/0!</v>
      </c>
      <c r="AJ1337" t="e">
        <f ca="1">(EXP(-(AH1337^2)/2)/SQRT(2*PI())*EXP(0*SQRT(Table1334567[[#This Row],[T]]))/$A$4*18%*SQRT(SQRT(Table1334567[[#This Row],[T]])))</f>
        <v>#DIV/0!</v>
      </c>
      <c r="AK1337" t="e">
        <f ca="1">Table1334567[[#This Row],[Call D1]]-Table1334567[[#This Row],[IV Calc C]]*SQRT(Table1334567[[#This Row],[T]])</f>
        <v>#DIV/0!</v>
      </c>
      <c r="AL1337" t="e">
        <f ca="1">Table1334567[[#This Row],[Put D1]]-Table1334567[[#This Row],[IV Calc P]]*SQRT(Table1334567[[#This Row],[T]])</f>
        <v>#DIV/0!</v>
      </c>
      <c r="AM1337" t="e">
        <f ca="1">EXP(-0.5*Table1334567[[#This Row],[Call D1]]^2)/SQRT(2*PI())</f>
        <v>#DIV/0!</v>
      </c>
      <c r="AN1337" t="e">
        <f ca="1">EXP(-0.5*Table1334567[[#This Row],[Put D1]]^2)/SQRT(2*PI())</f>
        <v>#DIV/0!</v>
      </c>
      <c r="AO133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7">
        <f ca="1">((Table1334567[[#This Row],[call vanna]]+Table1334567[[#This Row],[put vanna]])*$A$4)</f>
        <v>0</v>
      </c>
      <c r="AR133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7" s="9" t="str" cm="1">
        <f t="array" ref="AT1337">_xlfn.IFS(     $M$1="SPX","SPXW",     $M$1="RUT","RUTW",  $M$1="NDX","NDXP",   TRUE,$M$1 )</f>
        <v>SPXW</v>
      </c>
      <c r="AU1337" s="2">
        <f t="shared" si="132"/>
        <v>6915</v>
      </c>
      <c r="AV1337" t="str">
        <f t="shared" si="133"/>
        <v>000100</v>
      </c>
      <c r="AY133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7">
        <f>((Table1334567[[#This Row],[High C]]+Table1334567[[#This Row],[Low C]])/2)*Table1334567[[#This Row],[gammac]]*Table1334567[[#This Row],[Volume]]</f>
        <v>0</v>
      </c>
      <c r="BD1337">
        <f>((Table1334567[[#This Row],[High P]]+Table1334567[[#This Row],[Low P]])/2)*Table1334567[[#This Row],[gammap]]*Table1334567[[#This Row],[Volume9]]*-1</f>
        <v>0</v>
      </c>
      <c r="BE1337">
        <f>(Table1334567[[#This Row],[SgammaC]]+Table1334567[[#This Row],[SgammaP]])*$A$4*-100</f>
        <v>0</v>
      </c>
      <c r="BF1337">
        <f>Table1334567[[#This Row],[DEXc]]+Table1334567[[#This Row],[DEXp]]</f>
        <v>0</v>
      </c>
      <c r="BG1337">
        <f>IFERROR(Table1334567[[#This Row],[DeltaC]]*Table1334567[[#This Row],[Open.Int]]*$A$4,0)</f>
        <v>0</v>
      </c>
      <c r="BH1337">
        <f>IFERROR(Table1334567[[#This Row],[DeltaP]]*Table1334567[[#This Row],[Open.Int8]]*$A$4,0)</f>
        <v>0</v>
      </c>
      <c r="BI133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7">
        <f ca="1">Table1334567[[#This Row],[charmc]]+Table1334567[[#This Row],[charmp]]</f>
        <v>0</v>
      </c>
      <c r="BL133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7" s="78">
        <f ca="1">Table1334567[[#This Row],[call helper]]+Table1334567[[#This Row],[put helper]]</f>
        <v>0</v>
      </c>
      <c r="BP1337" t="str">
        <f>RTD("tos.rtd", , "STRIKE", "."&amp;Table1334567[[#This Row],[Ticker]]&amp;Table1334567[[#This Row],[Expiry]]&amp;""&amp;"C"&amp;Table1334567[[#This Row],[Spot]]+Table1334567[[#This Row],[step]])</f>
        <v>N/A</v>
      </c>
    </row>
    <row r="1338" spans="1:68" x14ac:dyDescent="0.25">
      <c r="A1338" s="14">
        <f t="shared" ca="1" si="129"/>
        <v>-126.14810350076104</v>
      </c>
      <c r="C1338" s="17"/>
      <c r="D1338" t="str">
        <f>RTD("tos.rtd", , "OPEN_INT", "."&amp;Table1334567[[#This Row],[Ticker]]&amp;Table1334567[[#This Row],[Expiry]]&amp;""&amp;"C"&amp;Table1334567[[#This Row],[Spot]]+Table1334567[[#This Row],[step]])</f>
        <v>N/A</v>
      </c>
      <c r="E133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8" s="17" cm="1">
        <f t="array" aca="1" ref="H1338" ca="1">IndividualLegIVCore($A$4, Table1334567[[#This Row],[Strike]], 0.0411, Table1334567[[#This Row],[T]], ((Table1334567[[#This Row],[BIDC]]+Table1334567[[#This Row],[ASKC]])/2), TRUE)</f>
        <v>0.01</v>
      </c>
      <c r="I133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8" s="17"/>
      <c r="M1338" s="1">
        <f t="shared" si="130"/>
        <v>0</v>
      </c>
      <c r="N1338" t="b">
        <f t="shared" si="131"/>
        <v>0</v>
      </c>
      <c r="P1338" s="17" cm="1">
        <f t="array" aca="1" ref="P1338" ca="1">IndividualLegIVCore($A$4, Table1334567[[#This Row],[Strike]], 0.0411, Table1334567[[#This Row],[T]], ((Table1334567[[#This Row],[BIDP]]+Table1334567[[#This Row],[ASKP]])/2), FALSE)</f>
        <v>0.01</v>
      </c>
      <c r="Q133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8" s="17"/>
      <c r="T133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8" s="19">
        <f>5* IF($M$1="NDX", 10, IF(OR($M$1="SPX", $M$1="RUT"), 2, 1))</f>
        <v>10</v>
      </c>
      <c r="Z1338">
        <f ca="1">IFERROR(Table1334567[[#This Row],[call gamma]]*(Table1334567[[#This Row],[Open.Int]])*$A$4^2,0)</f>
        <v>0</v>
      </c>
      <c r="AA1338">
        <f ca="1">IFERROR(((Table1334567[[#This Row],[Open.Int8]])*Table1334567[[#This Row],[Put gamma]])*-1*$A$4^2,0)</f>
        <v>0</v>
      </c>
      <c r="AB1338">
        <f ca="1">(Table1334567[[#This Row],[Call Gex]]+Table1334567[[#This Row],[Put Gex]])</f>
        <v>0</v>
      </c>
      <c r="AC1338">
        <f ca="1">Table1334567[[#This Row],[put delta adj]]+Table1334567[[#This Row],[call delta adj]]</f>
        <v>0</v>
      </c>
      <c r="AD1338">
        <f ca="1">Table1334567[[#This Row],[Put Gex]]*Table1334567[[#This Row],[DeltaP]]*-1</f>
        <v>0</v>
      </c>
      <c r="AE1338">
        <f ca="1">Table1334567[[#This Row],[Call Gex]]*Table1334567[[#This Row],[DeltaC]]</f>
        <v>0</v>
      </c>
      <c r="AF1338">
        <f>IF(Table1334567[[#This Row],[DeltaC]]-ABS(Table1334567[[#This Row],[DeltaP]])="0","0.01",Table1334567[[#This Row],[DeltaC]]-ABS(Table1334567[[#This Row],[DeltaP]]))</f>
        <v>0</v>
      </c>
      <c r="AG133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8" t="e">
        <f ca="1">(EXP(-(AG1338^2)/2)/SQRT(2*PI())*EXP(0*SQRT(Table1334567[[#This Row],[T]]))/$A$4*18%*SQRT(SQRT(Table1334567[[#This Row],[T]])))</f>
        <v>#DIV/0!</v>
      </c>
      <c r="AJ1338" t="e">
        <f ca="1">(EXP(-(AH1338^2)/2)/SQRT(2*PI())*EXP(0*SQRT(Table1334567[[#This Row],[T]]))/$A$4*18%*SQRT(SQRT(Table1334567[[#This Row],[T]])))</f>
        <v>#DIV/0!</v>
      </c>
      <c r="AK1338" t="e">
        <f ca="1">Table1334567[[#This Row],[Call D1]]-Table1334567[[#This Row],[IV Calc C]]*SQRT(Table1334567[[#This Row],[T]])</f>
        <v>#DIV/0!</v>
      </c>
      <c r="AL1338" t="e">
        <f ca="1">Table1334567[[#This Row],[Put D1]]-Table1334567[[#This Row],[IV Calc P]]*SQRT(Table1334567[[#This Row],[T]])</f>
        <v>#DIV/0!</v>
      </c>
      <c r="AM1338" t="e">
        <f ca="1">EXP(-0.5*Table1334567[[#This Row],[Call D1]]^2)/SQRT(2*PI())</f>
        <v>#DIV/0!</v>
      </c>
      <c r="AN1338" t="e">
        <f ca="1">EXP(-0.5*Table1334567[[#This Row],[Put D1]]^2)/SQRT(2*PI())</f>
        <v>#DIV/0!</v>
      </c>
      <c r="AO133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8">
        <f ca="1">((Table1334567[[#This Row],[call vanna]]+Table1334567[[#This Row],[put vanna]])*$A$4)</f>
        <v>0</v>
      </c>
      <c r="AR133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8" s="9" t="str" cm="1">
        <f t="array" ref="AT1338">_xlfn.IFS(     $M$1="SPX","SPXW",     $M$1="RUT","RUTW",  $M$1="NDX","NDXP",   TRUE,$M$1 )</f>
        <v>SPXW</v>
      </c>
      <c r="AU1338" s="2">
        <f t="shared" si="132"/>
        <v>6915</v>
      </c>
      <c r="AV1338" t="str">
        <f t="shared" si="133"/>
        <v>000100</v>
      </c>
      <c r="AY133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8">
        <f>((Table1334567[[#This Row],[High C]]+Table1334567[[#This Row],[Low C]])/2)*Table1334567[[#This Row],[gammac]]*Table1334567[[#This Row],[Volume]]</f>
        <v>0</v>
      </c>
      <c r="BD1338">
        <f>((Table1334567[[#This Row],[High P]]+Table1334567[[#This Row],[Low P]])/2)*Table1334567[[#This Row],[gammap]]*Table1334567[[#This Row],[Volume9]]*-1</f>
        <v>0</v>
      </c>
      <c r="BE1338">
        <f>(Table1334567[[#This Row],[SgammaC]]+Table1334567[[#This Row],[SgammaP]])*$A$4*-100</f>
        <v>0</v>
      </c>
      <c r="BF1338">
        <f>Table1334567[[#This Row],[DEXc]]+Table1334567[[#This Row],[DEXp]]</f>
        <v>0</v>
      </c>
      <c r="BG1338">
        <f>IFERROR(Table1334567[[#This Row],[DeltaC]]*Table1334567[[#This Row],[Open.Int]]*$A$4,0)</f>
        <v>0</v>
      </c>
      <c r="BH1338">
        <f>IFERROR(Table1334567[[#This Row],[DeltaP]]*Table1334567[[#This Row],[Open.Int8]]*$A$4,0)</f>
        <v>0</v>
      </c>
      <c r="BI133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8">
        <f ca="1">Table1334567[[#This Row],[charmc]]+Table1334567[[#This Row],[charmp]]</f>
        <v>0</v>
      </c>
      <c r="BL133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8" s="78">
        <f ca="1">Table1334567[[#This Row],[call helper]]+Table1334567[[#This Row],[put helper]]</f>
        <v>0</v>
      </c>
      <c r="BP1338" t="str">
        <f>RTD("tos.rtd", , "STRIKE", "."&amp;Table1334567[[#This Row],[Ticker]]&amp;Table1334567[[#This Row],[Expiry]]&amp;""&amp;"C"&amp;Table1334567[[#This Row],[Spot]]+Table1334567[[#This Row],[step]])</f>
        <v>N/A</v>
      </c>
    </row>
    <row r="1339" spans="1:68" x14ac:dyDescent="0.25">
      <c r="A1339" s="14">
        <f t="shared" ca="1" si="129"/>
        <v>-126.14810350076104</v>
      </c>
      <c r="C1339" s="17"/>
      <c r="D1339" t="str">
        <f>RTD("tos.rtd", , "OPEN_INT", "."&amp;Table1334567[[#This Row],[Ticker]]&amp;Table1334567[[#This Row],[Expiry]]&amp;""&amp;"C"&amp;Table1334567[[#This Row],[Spot]]+Table1334567[[#This Row],[step]])</f>
        <v>N/A</v>
      </c>
      <c r="E133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9" s="17" cm="1">
        <f t="array" aca="1" ref="H1339" ca="1">IndividualLegIVCore($A$4, Table1334567[[#This Row],[Strike]], 0.0411, Table1334567[[#This Row],[T]], ((Table1334567[[#This Row],[BIDC]]+Table1334567[[#This Row],[ASKC]])/2), TRUE)</f>
        <v>0.01</v>
      </c>
      <c r="I133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9" s="17"/>
      <c r="M1339" s="1">
        <f t="shared" si="130"/>
        <v>0</v>
      </c>
      <c r="N1339" t="b">
        <f t="shared" si="131"/>
        <v>0</v>
      </c>
      <c r="P1339" s="17" cm="1">
        <f t="array" aca="1" ref="P1339" ca="1">IndividualLegIVCore($A$4, Table1334567[[#This Row],[Strike]], 0.0411, Table1334567[[#This Row],[T]], ((Table1334567[[#This Row],[BIDP]]+Table1334567[[#This Row],[ASKP]])/2), FALSE)</f>
        <v>0.01</v>
      </c>
      <c r="Q133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9" s="17"/>
      <c r="T133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9" s="19">
        <f>5.5* IF($M$1="NDX", 10, IF(OR($M$1="SPX", $M$1="RUT"), 2, 1))</f>
        <v>11</v>
      </c>
      <c r="Z1339">
        <f ca="1">IFERROR(Table1334567[[#This Row],[call gamma]]*(Table1334567[[#This Row],[Open.Int]])*$A$4^2,0)</f>
        <v>0</v>
      </c>
      <c r="AA1339">
        <f ca="1">IFERROR(((Table1334567[[#This Row],[Open.Int8]])*Table1334567[[#This Row],[Put gamma]])*-1*$A$4^2,0)</f>
        <v>0</v>
      </c>
      <c r="AB1339">
        <f ca="1">(Table1334567[[#This Row],[Call Gex]]+Table1334567[[#This Row],[Put Gex]])</f>
        <v>0</v>
      </c>
      <c r="AC1339">
        <f ca="1">Table1334567[[#This Row],[put delta adj]]+Table1334567[[#This Row],[call delta adj]]</f>
        <v>0</v>
      </c>
      <c r="AD1339">
        <f ca="1">Table1334567[[#This Row],[Put Gex]]*Table1334567[[#This Row],[DeltaP]]*-1</f>
        <v>0</v>
      </c>
      <c r="AE1339">
        <f ca="1">Table1334567[[#This Row],[Call Gex]]*Table1334567[[#This Row],[DeltaC]]</f>
        <v>0</v>
      </c>
      <c r="AF1339">
        <f>IF(Table1334567[[#This Row],[DeltaC]]-ABS(Table1334567[[#This Row],[DeltaP]])="0","0.01",Table1334567[[#This Row],[DeltaC]]-ABS(Table1334567[[#This Row],[DeltaP]]))</f>
        <v>0</v>
      </c>
      <c r="AG133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9" t="e">
        <f ca="1">(EXP(-(AG1339^2)/2)/SQRT(2*PI())*EXP(0*SQRT(Table1334567[[#This Row],[T]]))/$A$4*18%*SQRT(SQRT(Table1334567[[#This Row],[T]])))</f>
        <v>#DIV/0!</v>
      </c>
      <c r="AJ1339" t="e">
        <f ca="1">(EXP(-(AH1339^2)/2)/SQRT(2*PI())*EXP(0*SQRT(Table1334567[[#This Row],[T]]))/$A$4*18%*SQRT(SQRT(Table1334567[[#This Row],[T]])))</f>
        <v>#DIV/0!</v>
      </c>
      <c r="AK1339" t="e">
        <f ca="1">Table1334567[[#This Row],[Call D1]]-Table1334567[[#This Row],[IV Calc C]]*SQRT(Table1334567[[#This Row],[T]])</f>
        <v>#DIV/0!</v>
      </c>
      <c r="AL1339" t="e">
        <f ca="1">Table1334567[[#This Row],[Put D1]]-Table1334567[[#This Row],[IV Calc P]]*SQRT(Table1334567[[#This Row],[T]])</f>
        <v>#DIV/0!</v>
      </c>
      <c r="AM1339" t="e">
        <f ca="1">EXP(-0.5*Table1334567[[#This Row],[Call D1]]^2)/SQRT(2*PI())</f>
        <v>#DIV/0!</v>
      </c>
      <c r="AN1339" t="e">
        <f ca="1">EXP(-0.5*Table1334567[[#This Row],[Put D1]]^2)/SQRT(2*PI())</f>
        <v>#DIV/0!</v>
      </c>
      <c r="AO133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9">
        <f ca="1">((Table1334567[[#This Row],[call vanna]]+Table1334567[[#This Row],[put vanna]])*$A$4)</f>
        <v>0</v>
      </c>
      <c r="AR133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9" s="9" t="str" cm="1">
        <f t="array" ref="AT1339">_xlfn.IFS(     $M$1="SPX","SPXW",     $M$1="RUT","RUTW",  $M$1="NDX","NDXP",   TRUE,$M$1 )</f>
        <v>SPXW</v>
      </c>
      <c r="AU1339" s="2">
        <f t="shared" si="132"/>
        <v>6915</v>
      </c>
      <c r="AV1339" t="str">
        <f t="shared" si="133"/>
        <v>000100</v>
      </c>
      <c r="AY133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9">
        <f>((Table1334567[[#This Row],[High C]]+Table1334567[[#This Row],[Low C]])/2)*Table1334567[[#This Row],[gammac]]*Table1334567[[#This Row],[Volume]]</f>
        <v>0</v>
      </c>
      <c r="BD1339">
        <f>((Table1334567[[#This Row],[High P]]+Table1334567[[#This Row],[Low P]])/2)*Table1334567[[#This Row],[gammap]]*Table1334567[[#This Row],[Volume9]]*-1</f>
        <v>0</v>
      </c>
      <c r="BE1339">
        <f>(Table1334567[[#This Row],[SgammaC]]+Table1334567[[#This Row],[SgammaP]])*$A$4*-100</f>
        <v>0</v>
      </c>
      <c r="BF1339">
        <f>Table1334567[[#This Row],[DEXc]]+Table1334567[[#This Row],[DEXp]]</f>
        <v>0</v>
      </c>
      <c r="BG1339">
        <f>IFERROR(Table1334567[[#This Row],[DeltaC]]*Table1334567[[#This Row],[Open.Int]]*$A$4,0)</f>
        <v>0</v>
      </c>
      <c r="BH1339">
        <f>IFERROR(Table1334567[[#This Row],[DeltaP]]*Table1334567[[#This Row],[Open.Int8]]*$A$4,0)</f>
        <v>0</v>
      </c>
      <c r="BI133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9">
        <f ca="1">Table1334567[[#This Row],[charmc]]+Table1334567[[#This Row],[charmp]]</f>
        <v>0</v>
      </c>
      <c r="BL133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9" s="78">
        <f ca="1">Table1334567[[#This Row],[call helper]]+Table1334567[[#This Row],[put helper]]</f>
        <v>0</v>
      </c>
      <c r="BP1339" t="str">
        <f>RTD("tos.rtd", , "STRIKE", "."&amp;Table1334567[[#This Row],[Ticker]]&amp;Table1334567[[#This Row],[Expiry]]&amp;""&amp;"C"&amp;Table1334567[[#This Row],[Spot]]+Table1334567[[#This Row],[step]])</f>
        <v>N/A</v>
      </c>
    </row>
    <row r="1340" spans="1:68" x14ac:dyDescent="0.25">
      <c r="A1340" s="14">
        <f t="shared" ca="1" si="129"/>
        <v>-126.14810350076104</v>
      </c>
      <c r="C1340" s="17"/>
      <c r="D1340" t="str">
        <f>RTD("tos.rtd", , "OPEN_INT", "."&amp;Table1334567[[#This Row],[Ticker]]&amp;Table1334567[[#This Row],[Expiry]]&amp;""&amp;"C"&amp;Table1334567[[#This Row],[Spot]]+Table1334567[[#This Row],[step]])</f>
        <v>N/A</v>
      </c>
      <c r="E134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0" s="17" cm="1">
        <f t="array" aca="1" ref="H1340" ca="1">IndividualLegIVCore($A$4, Table1334567[[#This Row],[Strike]], 0.0411, Table1334567[[#This Row],[T]], ((Table1334567[[#This Row],[BIDC]]+Table1334567[[#This Row],[ASKC]])/2), TRUE)</f>
        <v>0.01</v>
      </c>
      <c r="I134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0" s="17"/>
      <c r="M1340" s="1">
        <f t="shared" si="130"/>
        <v>0</v>
      </c>
      <c r="N1340" t="b">
        <f t="shared" si="131"/>
        <v>0</v>
      </c>
      <c r="P1340" s="17" cm="1">
        <f t="array" aca="1" ref="P1340" ca="1">IndividualLegIVCore($A$4, Table1334567[[#This Row],[Strike]], 0.0411, Table1334567[[#This Row],[T]], ((Table1334567[[#This Row],[BIDP]]+Table1334567[[#This Row],[ASKP]])/2), FALSE)</f>
        <v>0.01</v>
      </c>
      <c r="Q134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0" s="17"/>
      <c r="T134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0" s="19">
        <f>6* IF($M$1="NDX", 10, IF(OR($M$1="SPX", $M$1="RUT"), 2, 1))</f>
        <v>12</v>
      </c>
      <c r="Z1340">
        <f ca="1">IFERROR(Table1334567[[#This Row],[call gamma]]*(Table1334567[[#This Row],[Open.Int]])*$A$4^2,0)</f>
        <v>0</v>
      </c>
      <c r="AA1340">
        <f ca="1">IFERROR(((Table1334567[[#This Row],[Open.Int8]])*Table1334567[[#This Row],[Put gamma]])*-1*$A$4^2,0)</f>
        <v>0</v>
      </c>
      <c r="AB1340">
        <f ca="1">(Table1334567[[#This Row],[Call Gex]]+Table1334567[[#This Row],[Put Gex]])</f>
        <v>0</v>
      </c>
      <c r="AC1340">
        <f ca="1">Table1334567[[#This Row],[put delta adj]]+Table1334567[[#This Row],[call delta adj]]</f>
        <v>0</v>
      </c>
      <c r="AD1340">
        <f ca="1">Table1334567[[#This Row],[Put Gex]]*Table1334567[[#This Row],[DeltaP]]*-1</f>
        <v>0</v>
      </c>
      <c r="AE1340">
        <f ca="1">Table1334567[[#This Row],[Call Gex]]*Table1334567[[#This Row],[DeltaC]]</f>
        <v>0</v>
      </c>
      <c r="AF1340">
        <f>IF(Table1334567[[#This Row],[DeltaC]]-ABS(Table1334567[[#This Row],[DeltaP]])="0","0.01",Table1334567[[#This Row],[DeltaC]]-ABS(Table1334567[[#This Row],[DeltaP]]))</f>
        <v>0</v>
      </c>
      <c r="AG134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0" t="e">
        <f ca="1">(EXP(-(AG1340^2)/2)/SQRT(2*PI())*EXP(0*SQRT(Table1334567[[#This Row],[T]]))/$A$4*18%*SQRT(SQRT(Table1334567[[#This Row],[T]])))</f>
        <v>#DIV/0!</v>
      </c>
      <c r="AJ1340" t="e">
        <f ca="1">(EXP(-(AH1340^2)/2)/SQRT(2*PI())*EXP(0*SQRT(Table1334567[[#This Row],[T]]))/$A$4*18%*SQRT(SQRT(Table1334567[[#This Row],[T]])))</f>
        <v>#DIV/0!</v>
      </c>
      <c r="AK1340" t="e">
        <f ca="1">Table1334567[[#This Row],[Call D1]]-Table1334567[[#This Row],[IV Calc C]]*SQRT(Table1334567[[#This Row],[T]])</f>
        <v>#DIV/0!</v>
      </c>
      <c r="AL1340" t="e">
        <f ca="1">Table1334567[[#This Row],[Put D1]]-Table1334567[[#This Row],[IV Calc P]]*SQRT(Table1334567[[#This Row],[T]])</f>
        <v>#DIV/0!</v>
      </c>
      <c r="AM1340" t="e">
        <f ca="1">EXP(-0.5*Table1334567[[#This Row],[Call D1]]^2)/SQRT(2*PI())</f>
        <v>#DIV/0!</v>
      </c>
      <c r="AN1340" t="e">
        <f ca="1">EXP(-0.5*Table1334567[[#This Row],[Put D1]]^2)/SQRT(2*PI())</f>
        <v>#DIV/0!</v>
      </c>
      <c r="AO134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0">
        <f ca="1">((Table1334567[[#This Row],[call vanna]]+Table1334567[[#This Row],[put vanna]])*$A$4)</f>
        <v>0</v>
      </c>
      <c r="AR134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0" s="9" t="str" cm="1">
        <f t="array" ref="AT1340">_xlfn.IFS(     $M$1="SPX","SPXW",     $M$1="RUT","RUTW",  $M$1="NDX","NDXP",   TRUE,$M$1 )</f>
        <v>SPXW</v>
      </c>
      <c r="AU1340" s="2">
        <f t="shared" si="132"/>
        <v>6915</v>
      </c>
      <c r="AV1340" t="str">
        <f t="shared" si="133"/>
        <v>000100</v>
      </c>
      <c r="AY134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0">
        <f>((Table1334567[[#This Row],[High C]]+Table1334567[[#This Row],[Low C]])/2)*Table1334567[[#This Row],[gammac]]*Table1334567[[#This Row],[Volume]]</f>
        <v>0</v>
      </c>
      <c r="BD1340">
        <f>((Table1334567[[#This Row],[High P]]+Table1334567[[#This Row],[Low P]])/2)*Table1334567[[#This Row],[gammap]]*Table1334567[[#This Row],[Volume9]]*-1</f>
        <v>0</v>
      </c>
      <c r="BE1340">
        <f>(Table1334567[[#This Row],[SgammaC]]+Table1334567[[#This Row],[SgammaP]])*$A$4*-100</f>
        <v>0</v>
      </c>
      <c r="BF1340">
        <f>Table1334567[[#This Row],[DEXc]]+Table1334567[[#This Row],[DEXp]]</f>
        <v>0</v>
      </c>
      <c r="BG1340">
        <f>IFERROR(Table1334567[[#This Row],[DeltaC]]*Table1334567[[#This Row],[Open.Int]]*$A$4,0)</f>
        <v>0</v>
      </c>
      <c r="BH1340">
        <f>IFERROR(Table1334567[[#This Row],[DeltaP]]*Table1334567[[#This Row],[Open.Int8]]*$A$4,0)</f>
        <v>0</v>
      </c>
      <c r="BI134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0">
        <f ca="1">Table1334567[[#This Row],[charmc]]+Table1334567[[#This Row],[charmp]]</f>
        <v>0</v>
      </c>
      <c r="BL134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0" s="78">
        <f ca="1">Table1334567[[#This Row],[call helper]]+Table1334567[[#This Row],[put helper]]</f>
        <v>0</v>
      </c>
      <c r="BP1340" t="str">
        <f>RTD("tos.rtd", , "STRIKE", "."&amp;Table1334567[[#This Row],[Ticker]]&amp;Table1334567[[#This Row],[Expiry]]&amp;""&amp;"C"&amp;Table1334567[[#This Row],[Spot]]+Table1334567[[#This Row],[step]])</f>
        <v>N/A</v>
      </c>
    </row>
    <row r="1341" spans="1:68" x14ac:dyDescent="0.25">
      <c r="A1341" s="14">
        <f t="shared" ca="1" si="129"/>
        <v>-126.14810350076104</v>
      </c>
      <c r="C1341" s="17"/>
      <c r="D1341" t="str">
        <f>RTD("tos.rtd", , "OPEN_INT", "."&amp;Table1334567[[#This Row],[Ticker]]&amp;Table1334567[[#This Row],[Expiry]]&amp;""&amp;"C"&amp;Table1334567[[#This Row],[Spot]]+Table1334567[[#This Row],[step]])</f>
        <v>N/A</v>
      </c>
      <c r="E134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1" s="17" cm="1">
        <f t="array" aca="1" ref="H1341" ca="1">IndividualLegIVCore($A$4, Table1334567[[#This Row],[Strike]], 0.0411, Table1334567[[#This Row],[T]], ((Table1334567[[#This Row],[BIDC]]+Table1334567[[#This Row],[ASKC]])/2), TRUE)</f>
        <v>0.01</v>
      </c>
      <c r="I134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1" s="17"/>
      <c r="M1341" s="1">
        <f t="shared" si="130"/>
        <v>0</v>
      </c>
      <c r="N1341" t="b">
        <f t="shared" si="131"/>
        <v>0</v>
      </c>
      <c r="P1341" s="17" cm="1">
        <f t="array" aca="1" ref="P1341" ca="1">IndividualLegIVCore($A$4, Table1334567[[#This Row],[Strike]], 0.0411, Table1334567[[#This Row],[T]], ((Table1334567[[#This Row],[BIDP]]+Table1334567[[#This Row],[ASKP]])/2), FALSE)</f>
        <v>0.01</v>
      </c>
      <c r="Q134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1" s="17"/>
      <c r="T134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1" s="19">
        <f>6.5* IF($M$1="NDX", 10, IF(OR($M$1="SPX", $M$1="RUT"), 2, 1))</f>
        <v>13</v>
      </c>
      <c r="Z1341">
        <f ca="1">IFERROR(Table1334567[[#This Row],[call gamma]]*(Table1334567[[#This Row],[Open.Int]])*$A$4^2,0)</f>
        <v>0</v>
      </c>
      <c r="AA1341">
        <f ca="1">IFERROR(((Table1334567[[#This Row],[Open.Int8]])*Table1334567[[#This Row],[Put gamma]])*-1*$A$4^2,0)</f>
        <v>0</v>
      </c>
      <c r="AB1341">
        <f ca="1">(Table1334567[[#This Row],[Call Gex]]+Table1334567[[#This Row],[Put Gex]])</f>
        <v>0</v>
      </c>
      <c r="AC1341">
        <f ca="1">Table1334567[[#This Row],[put delta adj]]+Table1334567[[#This Row],[call delta adj]]</f>
        <v>0</v>
      </c>
      <c r="AD1341">
        <f ca="1">Table1334567[[#This Row],[Put Gex]]*Table1334567[[#This Row],[DeltaP]]*-1</f>
        <v>0</v>
      </c>
      <c r="AE1341">
        <f ca="1">Table1334567[[#This Row],[Call Gex]]*Table1334567[[#This Row],[DeltaC]]</f>
        <v>0</v>
      </c>
      <c r="AF1341">
        <f>IF(Table1334567[[#This Row],[DeltaC]]-ABS(Table1334567[[#This Row],[DeltaP]])="0","0.01",Table1334567[[#This Row],[DeltaC]]-ABS(Table1334567[[#This Row],[DeltaP]]))</f>
        <v>0</v>
      </c>
      <c r="AG134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1" t="e">
        <f ca="1">(EXP(-(AG1341^2)/2)/SQRT(2*PI())*EXP(0*SQRT(Table1334567[[#This Row],[T]]))/$A$4*18%*SQRT(SQRT(Table1334567[[#This Row],[T]])))</f>
        <v>#DIV/0!</v>
      </c>
      <c r="AJ1341" t="e">
        <f ca="1">(EXP(-(AH1341^2)/2)/SQRT(2*PI())*EXP(0*SQRT(Table1334567[[#This Row],[T]]))/$A$4*18%*SQRT(SQRT(Table1334567[[#This Row],[T]])))</f>
        <v>#DIV/0!</v>
      </c>
      <c r="AK1341" t="e">
        <f ca="1">Table1334567[[#This Row],[Call D1]]-Table1334567[[#This Row],[IV Calc C]]*SQRT(Table1334567[[#This Row],[T]])</f>
        <v>#DIV/0!</v>
      </c>
      <c r="AL1341" t="e">
        <f ca="1">Table1334567[[#This Row],[Put D1]]-Table1334567[[#This Row],[IV Calc P]]*SQRT(Table1334567[[#This Row],[T]])</f>
        <v>#DIV/0!</v>
      </c>
      <c r="AM1341" t="e">
        <f ca="1">EXP(-0.5*Table1334567[[#This Row],[Call D1]]^2)/SQRT(2*PI())</f>
        <v>#DIV/0!</v>
      </c>
      <c r="AN1341" t="e">
        <f ca="1">EXP(-0.5*Table1334567[[#This Row],[Put D1]]^2)/SQRT(2*PI())</f>
        <v>#DIV/0!</v>
      </c>
      <c r="AO134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1">
        <f ca="1">((Table1334567[[#This Row],[call vanna]]+Table1334567[[#This Row],[put vanna]])*$A$4)</f>
        <v>0</v>
      </c>
      <c r="AR134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1" s="9" t="str" cm="1">
        <f t="array" ref="AT1341">_xlfn.IFS(     $M$1="SPX","SPXW",     $M$1="RUT","RUTW",  $M$1="NDX","NDXP",   TRUE,$M$1 )</f>
        <v>SPXW</v>
      </c>
      <c r="AU1341" s="2">
        <f t="shared" si="132"/>
        <v>6915</v>
      </c>
      <c r="AV1341" t="str">
        <f t="shared" si="133"/>
        <v>000100</v>
      </c>
      <c r="AY134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1">
        <f>((Table1334567[[#This Row],[High C]]+Table1334567[[#This Row],[Low C]])/2)*Table1334567[[#This Row],[gammac]]*Table1334567[[#This Row],[Volume]]</f>
        <v>0</v>
      </c>
      <c r="BD1341">
        <f>((Table1334567[[#This Row],[High P]]+Table1334567[[#This Row],[Low P]])/2)*Table1334567[[#This Row],[gammap]]*Table1334567[[#This Row],[Volume9]]*-1</f>
        <v>0</v>
      </c>
      <c r="BE1341">
        <f>(Table1334567[[#This Row],[SgammaC]]+Table1334567[[#This Row],[SgammaP]])*$A$4*-100</f>
        <v>0</v>
      </c>
      <c r="BF1341">
        <f>Table1334567[[#This Row],[DEXc]]+Table1334567[[#This Row],[DEXp]]</f>
        <v>0</v>
      </c>
      <c r="BG1341">
        <f>IFERROR(Table1334567[[#This Row],[DeltaC]]*Table1334567[[#This Row],[Open.Int]]*$A$4,0)</f>
        <v>0</v>
      </c>
      <c r="BH1341">
        <f>IFERROR(Table1334567[[#This Row],[DeltaP]]*Table1334567[[#This Row],[Open.Int8]]*$A$4,0)</f>
        <v>0</v>
      </c>
      <c r="BI134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1">
        <f ca="1">Table1334567[[#This Row],[charmc]]+Table1334567[[#This Row],[charmp]]</f>
        <v>0</v>
      </c>
      <c r="BL134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1" s="78">
        <f ca="1">Table1334567[[#This Row],[call helper]]+Table1334567[[#This Row],[put helper]]</f>
        <v>0</v>
      </c>
      <c r="BP1341" t="str">
        <f>RTD("tos.rtd", , "STRIKE", "."&amp;Table1334567[[#This Row],[Ticker]]&amp;Table1334567[[#This Row],[Expiry]]&amp;""&amp;"C"&amp;Table1334567[[#This Row],[Spot]]+Table1334567[[#This Row],[step]])</f>
        <v>N/A</v>
      </c>
    </row>
    <row r="1342" spans="1:68" x14ac:dyDescent="0.25">
      <c r="A1342" s="14">
        <f t="shared" ca="1" si="129"/>
        <v>-126.14810350076104</v>
      </c>
      <c r="C1342" s="17"/>
      <c r="D1342" t="str">
        <f>RTD("tos.rtd", , "OPEN_INT", "."&amp;Table1334567[[#This Row],[Ticker]]&amp;Table1334567[[#This Row],[Expiry]]&amp;""&amp;"C"&amp;Table1334567[[#This Row],[Spot]]+Table1334567[[#This Row],[step]])</f>
        <v>N/A</v>
      </c>
      <c r="E134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2" s="17" cm="1">
        <f t="array" aca="1" ref="H1342" ca="1">IndividualLegIVCore($A$4, Table1334567[[#This Row],[Strike]], 0.0411, Table1334567[[#This Row],[T]], ((Table1334567[[#This Row],[BIDC]]+Table1334567[[#This Row],[ASKC]])/2), TRUE)</f>
        <v>0.01</v>
      </c>
      <c r="I134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2" s="17"/>
      <c r="M1342" s="1">
        <f t="shared" si="130"/>
        <v>0</v>
      </c>
      <c r="N1342" t="b">
        <f t="shared" si="131"/>
        <v>0</v>
      </c>
      <c r="P1342" s="17" cm="1">
        <f t="array" aca="1" ref="P1342" ca="1">IndividualLegIVCore($A$4, Table1334567[[#This Row],[Strike]], 0.0411, Table1334567[[#This Row],[T]], ((Table1334567[[#This Row],[BIDP]]+Table1334567[[#This Row],[ASKP]])/2), FALSE)</f>
        <v>0.01</v>
      </c>
      <c r="Q134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2" s="17"/>
      <c r="T134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2" s="19">
        <f>7* IF($M$1="NDX", 10, IF(OR($M$1="SPX", $M$1="RUT"), 2, 1))</f>
        <v>14</v>
      </c>
      <c r="Z1342">
        <f ca="1">IFERROR(Table1334567[[#This Row],[call gamma]]*(Table1334567[[#This Row],[Open.Int]])*$A$4^2,0)</f>
        <v>0</v>
      </c>
      <c r="AA1342">
        <f ca="1">IFERROR(((Table1334567[[#This Row],[Open.Int8]])*Table1334567[[#This Row],[Put gamma]])*-1*$A$4^2,0)</f>
        <v>0</v>
      </c>
      <c r="AB1342">
        <f ca="1">(Table1334567[[#This Row],[Call Gex]]+Table1334567[[#This Row],[Put Gex]])</f>
        <v>0</v>
      </c>
      <c r="AC1342">
        <f ca="1">Table1334567[[#This Row],[put delta adj]]+Table1334567[[#This Row],[call delta adj]]</f>
        <v>0</v>
      </c>
      <c r="AD1342">
        <f ca="1">Table1334567[[#This Row],[Put Gex]]*Table1334567[[#This Row],[DeltaP]]*-1</f>
        <v>0</v>
      </c>
      <c r="AE1342">
        <f ca="1">Table1334567[[#This Row],[Call Gex]]*Table1334567[[#This Row],[DeltaC]]</f>
        <v>0</v>
      </c>
      <c r="AF1342">
        <f>IF(Table1334567[[#This Row],[DeltaC]]-ABS(Table1334567[[#This Row],[DeltaP]])="0","0.01",Table1334567[[#This Row],[DeltaC]]-ABS(Table1334567[[#This Row],[DeltaP]]))</f>
        <v>0</v>
      </c>
      <c r="AG134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2" t="e">
        <f ca="1">(EXP(-(AG1342^2)/2)/SQRT(2*PI())*EXP(0*SQRT(Table1334567[[#This Row],[T]]))/$A$4*18%*SQRT(SQRT(Table1334567[[#This Row],[T]])))</f>
        <v>#DIV/0!</v>
      </c>
      <c r="AJ1342" t="e">
        <f ca="1">(EXP(-(AH1342^2)/2)/SQRT(2*PI())*EXP(0*SQRT(Table1334567[[#This Row],[T]]))/$A$4*18%*SQRT(SQRT(Table1334567[[#This Row],[T]])))</f>
        <v>#DIV/0!</v>
      </c>
      <c r="AK1342" t="e">
        <f ca="1">Table1334567[[#This Row],[Call D1]]-Table1334567[[#This Row],[IV Calc C]]*SQRT(Table1334567[[#This Row],[T]])</f>
        <v>#DIV/0!</v>
      </c>
      <c r="AL1342" t="e">
        <f ca="1">Table1334567[[#This Row],[Put D1]]-Table1334567[[#This Row],[IV Calc P]]*SQRT(Table1334567[[#This Row],[T]])</f>
        <v>#DIV/0!</v>
      </c>
      <c r="AM1342" t="e">
        <f ca="1">EXP(-0.5*Table1334567[[#This Row],[Call D1]]^2)/SQRT(2*PI())</f>
        <v>#DIV/0!</v>
      </c>
      <c r="AN1342" t="e">
        <f ca="1">EXP(-0.5*Table1334567[[#This Row],[Put D1]]^2)/SQRT(2*PI())</f>
        <v>#DIV/0!</v>
      </c>
      <c r="AO134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2">
        <f ca="1">((Table1334567[[#This Row],[call vanna]]+Table1334567[[#This Row],[put vanna]])*$A$4)</f>
        <v>0</v>
      </c>
      <c r="AR134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2" s="9" t="str" cm="1">
        <f t="array" ref="AT1342">_xlfn.IFS(     $M$1="SPX","SPXW",     $M$1="RUT","RUTW",  $M$1="NDX","NDXP",   TRUE,$M$1 )</f>
        <v>SPXW</v>
      </c>
      <c r="AU1342" s="2">
        <f t="shared" si="132"/>
        <v>6915</v>
      </c>
      <c r="AV1342" t="str">
        <f t="shared" si="133"/>
        <v>000100</v>
      </c>
      <c r="AY134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2">
        <f>((Table1334567[[#This Row],[High C]]+Table1334567[[#This Row],[Low C]])/2)*Table1334567[[#This Row],[gammac]]*Table1334567[[#This Row],[Volume]]</f>
        <v>0</v>
      </c>
      <c r="BD1342">
        <f>((Table1334567[[#This Row],[High P]]+Table1334567[[#This Row],[Low P]])/2)*Table1334567[[#This Row],[gammap]]*Table1334567[[#This Row],[Volume9]]*-1</f>
        <v>0</v>
      </c>
      <c r="BE1342">
        <f>(Table1334567[[#This Row],[SgammaC]]+Table1334567[[#This Row],[SgammaP]])*$A$4*-100</f>
        <v>0</v>
      </c>
      <c r="BF1342">
        <f>Table1334567[[#This Row],[DEXc]]+Table1334567[[#This Row],[DEXp]]</f>
        <v>0</v>
      </c>
      <c r="BG1342">
        <f>IFERROR(Table1334567[[#This Row],[DeltaC]]*Table1334567[[#This Row],[Open.Int]]*$A$4,0)</f>
        <v>0</v>
      </c>
      <c r="BH1342">
        <f>IFERROR(Table1334567[[#This Row],[DeltaP]]*Table1334567[[#This Row],[Open.Int8]]*$A$4,0)</f>
        <v>0</v>
      </c>
      <c r="BI134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2">
        <f ca="1">Table1334567[[#This Row],[charmc]]+Table1334567[[#This Row],[charmp]]</f>
        <v>0</v>
      </c>
      <c r="BL134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2" s="78">
        <f ca="1">Table1334567[[#This Row],[call helper]]+Table1334567[[#This Row],[put helper]]</f>
        <v>0</v>
      </c>
      <c r="BP1342" t="str">
        <f>RTD("tos.rtd", , "STRIKE", "."&amp;Table1334567[[#This Row],[Ticker]]&amp;Table1334567[[#This Row],[Expiry]]&amp;""&amp;"C"&amp;Table1334567[[#This Row],[Spot]]+Table1334567[[#This Row],[step]])</f>
        <v>N/A</v>
      </c>
    </row>
    <row r="1343" spans="1:68" x14ac:dyDescent="0.25">
      <c r="A1343" s="14">
        <f t="shared" ca="1" si="129"/>
        <v>-126.14810350076104</v>
      </c>
      <c r="C1343" s="17"/>
      <c r="D1343" t="str">
        <f>RTD("tos.rtd", , "OPEN_INT", "."&amp;Table1334567[[#This Row],[Ticker]]&amp;Table1334567[[#This Row],[Expiry]]&amp;""&amp;"C"&amp;Table1334567[[#This Row],[Spot]]+Table1334567[[#This Row],[step]])</f>
        <v>N/A</v>
      </c>
      <c r="E134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3" s="17" cm="1">
        <f t="array" aca="1" ref="H1343" ca="1">IndividualLegIVCore($A$4, Table1334567[[#This Row],[Strike]], 0.0411, Table1334567[[#This Row],[T]], ((Table1334567[[#This Row],[BIDC]]+Table1334567[[#This Row],[ASKC]])/2), TRUE)</f>
        <v>0.01</v>
      </c>
      <c r="I134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3" s="17"/>
      <c r="M1343" s="1">
        <f t="shared" si="130"/>
        <v>0</v>
      </c>
      <c r="N1343" t="b">
        <f t="shared" si="131"/>
        <v>0</v>
      </c>
      <c r="P1343" s="17" cm="1">
        <f t="array" aca="1" ref="P1343" ca="1">IndividualLegIVCore($A$4, Table1334567[[#This Row],[Strike]], 0.0411, Table1334567[[#This Row],[T]], ((Table1334567[[#This Row],[BIDP]]+Table1334567[[#This Row],[ASKP]])/2), FALSE)</f>
        <v>0.01</v>
      </c>
      <c r="Q134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3" s="17"/>
      <c r="T134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3" s="19">
        <f>7.5* IF($M$1="NDX", 10, IF(OR($M$1="SPX", $M$1="RUT"), 2, 1))</f>
        <v>15</v>
      </c>
      <c r="Z1343">
        <f ca="1">IFERROR(Table1334567[[#This Row],[call gamma]]*(Table1334567[[#This Row],[Open.Int]])*$A$4^2,0)</f>
        <v>0</v>
      </c>
      <c r="AA1343">
        <f ca="1">IFERROR(((Table1334567[[#This Row],[Open.Int8]])*Table1334567[[#This Row],[Put gamma]])*-1*$A$4^2,0)</f>
        <v>0</v>
      </c>
      <c r="AB1343">
        <f ca="1">(Table1334567[[#This Row],[Call Gex]]+Table1334567[[#This Row],[Put Gex]])</f>
        <v>0</v>
      </c>
      <c r="AC1343">
        <f ca="1">Table1334567[[#This Row],[put delta adj]]+Table1334567[[#This Row],[call delta adj]]</f>
        <v>0</v>
      </c>
      <c r="AD1343">
        <f ca="1">Table1334567[[#This Row],[Put Gex]]*Table1334567[[#This Row],[DeltaP]]*-1</f>
        <v>0</v>
      </c>
      <c r="AE1343">
        <f ca="1">Table1334567[[#This Row],[Call Gex]]*Table1334567[[#This Row],[DeltaC]]</f>
        <v>0</v>
      </c>
      <c r="AF1343">
        <f>IF(Table1334567[[#This Row],[DeltaC]]-ABS(Table1334567[[#This Row],[DeltaP]])="0","0.01",Table1334567[[#This Row],[DeltaC]]-ABS(Table1334567[[#This Row],[DeltaP]]))</f>
        <v>0</v>
      </c>
      <c r="AG134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3" t="e">
        <f ca="1">(EXP(-(AG1343^2)/2)/SQRT(2*PI())*EXP(0*SQRT(Table1334567[[#This Row],[T]]))/$A$4*18%*SQRT(SQRT(Table1334567[[#This Row],[T]])))</f>
        <v>#DIV/0!</v>
      </c>
      <c r="AJ1343" t="e">
        <f ca="1">(EXP(-(AH1343^2)/2)/SQRT(2*PI())*EXP(0*SQRT(Table1334567[[#This Row],[T]]))/$A$4*18%*SQRT(SQRT(Table1334567[[#This Row],[T]])))</f>
        <v>#DIV/0!</v>
      </c>
      <c r="AK1343" t="e">
        <f ca="1">Table1334567[[#This Row],[Call D1]]-Table1334567[[#This Row],[IV Calc C]]*SQRT(Table1334567[[#This Row],[T]])</f>
        <v>#DIV/0!</v>
      </c>
      <c r="AL1343" t="e">
        <f ca="1">Table1334567[[#This Row],[Put D1]]-Table1334567[[#This Row],[IV Calc P]]*SQRT(Table1334567[[#This Row],[T]])</f>
        <v>#DIV/0!</v>
      </c>
      <c r="AM1343" t="e">
        <f ca="1">EXP(-0.5*Table1334567[[#This Row],[Call D1]]^2)/SQRT(2*PI())</f>
        <v>#DIV/0!</v>
      </c>
      <c r="AN1343" t="e">
        <f ca="1">EXP(-0.5*Table1334567[[#This Row],[Put D1]]^2)/SQRT(2*PI())</f>
        <v>#DIV/0!</v>
      </c>
      <c r="AO134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3">
        <f ca="1">((Table1334567[[#This Row],[call vanna]]+Table1334567[[#This Row],[put vanna]])*$A$4)</f>
        <v>0</v>
      </c>
      <c r="AR134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3" s="9" t="str" cm="1">
        <f t="array" ref="AT1343">_xlfn.IFS(     $M$1="SPX","SPXW",     $M$1="RUT","RUTW",  $M$1="NDX","NDXP",   TRUE,$M$1 )</f>
        <v>SPXW</v>
      </c>
      <c r="AU1343" s="2">
        <f t="shared" si="132"/>
        <v>6915</v>
      </c>
      <c r="AV1343" t="str">
        <f t="shared" si="133"/>
        <v>000100</v>
      </c>
      <c r="AY134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3">
        <f>((Table1334567[[#This Row],[High C]]+Table1334567[[#This Row],[Low C]])/2)*Table1334567[[#This Row],[gammac]]*Table1334567[[#This Row],[Volume]]</f>
        <v>0</v>
      </c>
      <c r="BD1343">
        <f>((Table1334567[[#This Row],[High P]]+Table1334567[[#This Row],[Low P]])/2)*Table1334567[[#This Row],[gammap]]*Table1334567[[#This Row],[Volume9]]*-1</f>
        <v>0</v>
      </c>
      <c r="BE1343">
        <f>(Table1334567[[#This Row],[SgammaC]]+Table1334567[[#This Row],[SgammaP]])*$A$4*-100</f>
        <v>0</v>
      </c>
      <c r="BF1343">
        <f>Table1334567[[#This Row],[DEXc]]+Table1334567[[#This Row],[DEXp]]</f>
        <v>0</v>
      </c>
      <c r="BG1343">
        <f>IFERROR(Table1334567[[#This Row],[DeltaC]]*Table1334567[[#This Row],[Open.Int]]*$A$4,0)</f>
        <v>0</v>
      </c>
      <c r="BH1343">
        <f>IFERROR(Table1334567[[#This Row],[DeltaP]]*Table1334567[[#This Row],[Open.Int8]]*$A$4,0)</f>
        <v>0</v>
      </c>
      <c r="BI134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3">
        <f ca="1">Table1334567[[#This Row],[charmc]]+Table1334567[[#This Row],[charmp]]</f>
        <v>0</v>
      </c>
      <c r="BL134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3" s="78">
        <f ca="1">Table1334567[[#This Row],[call helper]]+Table1334567[[#This Row],[put helper]]</f>
        <v>0</v>
      </c>
      <c r="BP1343" t="str">
        <f>RTD("tos.rtd", , "STRIKE", "."&amp;Table1334567[[#This Row],[Ticker]]&amp;Table1334567[[#This Row],[Expiry]]&amp;""&amp;"C"&amp;Table1334567[[#This Row],[Spot]]+Table1334567[[#This Row],[step]])</f>
        <v>N/A</v>
      </c>
    </row>
    <row r="1344" spans="1:68" x14ac:dyDescent="0.25">
      <c r="A1344" s="14">
        <f t="shared" ca="1" si="129"/>
        <v>-126.14810350076104</v>
      </c>
      <c r="C1344" s="17"/>
      <c r="D1344" t="str">
        <f>RTD("tos.rtd", , "OPEN_INT", "."&amp;Table1334567[[#This Row],[Ticker]]&amp;Table1334567[[#This Row],[Expiry]]&amp;""&amp;"C"&amp;Table1334567[[#This Row],[Spot]]+Table1334567[[#This Row],[step]])</f>
        <v>N/A</v>
      </c>
      <c r="E134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4" s="17" cm="1">
        <f t="array" aca="1" ref="H1344" ca="1">IndividualLegIVCore($A$4, Table1334567[[#This Row],[Strike]], 0.0411, Table1334567[[#This Row],[T]], ((Table1334567[[#This Row],[BIDC]]+Table1334567[[#This Row],[ASKC]])/2), TRUE)</f>
        <v>0.01</v>
      </c>
      <c r="I134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4" s="17"/>
      <c r="M1344" s="1">
        <f t="shared" si="130"/>
        <v>0</v>
      </c>
      <c r="N1344" t="b">
        <f t="shared" si="131"/>
        <v>0</v>
      </c>
      <c r="P1344" s="17" cm="1">
        <f t="array" aca="1" ref="P1344" ca="1">IndividualLegIVCore($A$4, Table1334567[[#This Row],[Strike]], 0.0411, Table1334567[[#This Row],[T]], ((Table1334567[[#This Row],[BIDP]]+Table1334567[[#This Row],[ASKP]])/2), FALSE)</f>
        <v>0.01</v>
      </c>
      <c r="Q134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4" s="17"/>
      <c r="T134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4" s="19">
        <f>8* IF($M$1="NDX", 10, IF(OR($M$1="SPX", $M$1="RUT"), 2, 1))</f>
        <v>16</v>
      </c>
      <c r="Z1344">
        <f ca="1">IFERROR(Table1334567[[#This Row],[call gamma]]*(Table1334567[[#This Row],[Open.Int]])*$A$4^2,0)</f>
        <v>0</v>
      </c>
      <c r="AA1344">
        <f ca="1">IFERROR(((Table1334567[[#This Row],[Open.Int8]])*Table1334567[[#This Row],[Put gamma]])*-1*$A$4^2,0)</f>
        <v>0</v>
      </c>
      <c r="AB1344">
        <f ca="1">(Table1334567[[#This Row],[Call Gex]]+Table1334567[[#This Row],[Put Gex]])</f>
        <v>0</v>
      </c>
      <c r="AC1344">
        <f ca="1">Table1334567[[#This Row],[put delta adj]]+Table1334567[[#This Row],[call delta adj]]</f>
        <v>0</v>
      </c>
      <c r="AD1344">
        <f ca="1">Table1334567[[#This Row],[Put Gex]]*Table1334567[[#This Row],[DeltaP]]*-1</f>
        <v>0</v>
      </c>
      <c r="AE1344">
        <f ca="1">Table1334567[[#This Row],[Call Gex]]*Table1334567[[#This Row],[DeltaC]]</f>
        <v>0</v>
      </c>
      <c r="AF1344">
        <f>IF(Table1334567[[#This Row],[DeltaC]]-ABS(Table1334567[[#This Row],[DeltaP]])="0","0.01",Table1334567[[#This Row],[DeltaC]]-ABS(Table1334567[[#This Row],[DeltaP]]))</f>
        <v>0</v>
      </c>
      <c r="AG134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4" t="e">
        <f ca="1">(EXP(-(AG1344^2)/2)/SQRT(2*PI())*EXP(0*SQRT(Table1334567[[#This Row],[T]]))/$A$4*18%*SQRT(SQRT(Table1334567[[#This Row],[T]])))</f>
        <v>#DIV/0!</v>
      </c>
      <c r="AJ1344" t="e">
        <f ca="1">(EXP(-(AH1344^2)/2)/SQRT(2*PI())*EXP(0*SQRT(Table1334567[[#This Row],[T]]))/$A$4*18%*SQRT(SQRT(Table1334567[[#This Row],[T]])))</f>
        <v>#DIV/0!</v>
      </c>
      <c r="AK1344" t="e">
        <f ca="1">Table1334567[[#This Row],[Call D1]]-Table1334567[[#This Row],[IV Calc C]]*SQRT(Table1334567[[#This Row],[T]])</f>
        <v>#DIV/0!</v>
      </c>
      <c r="AL1344" t="e">
        <f ca="1">Table1334567[[#This Row],[Put D1]]-Table1334567[[#This Row],[IV Calc P]]*SQRT(Table1334567[[#This Row],[T]])</f>
        <v>#DIV/0!</v>
      </c>
      <c r="AM1344" t="e">
        <f ca="1">EXP(-0.5*Table1334567[[#This Row],[Call D1]]^2)/SQRT(2*PI())</f>
        <v>#DIV/0!</v>
      </c>
      <c r="AN1344" t="e">
        <f ca="1">EXP(-0.5*Table1334567[[#This Row],[Put D1]]^2)/SQRT(2*PI())</f>
        <v>#DIV/0!</v>
      </c>
      <c r="AO134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4">
        <f ca="1">((Table1334567[[#This Row],[call vanna]]+Table1334567[[#This Row],[put vanna]])*$A$4)</f>
        <v>0</v>
      </c>
      <c r="AR134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4" s="9" t="str" cm="1">
        <f t="array" ref="AT1344">_xlfn.IFS(     $M$1="SPX","SPXW",     $M$1="RUT","RUTW",  $M$1="NDX","NDXP",   TRUE,$M$1 )</f>
        <v>SPXW</v>
      </c>
      <c r="AU1344" s="2">
        <f t="shared" si="132"/>
        <v>6915</v>
      </c>
      <c r="AV1344" t="str">
        <f t="shared" si="133"/>
        <v>000100</v>
      </c>
      <c r="AY134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4">
        <f>((Table1334567[[#This Row],[High C]]+Table1334567[[#This Row],[Low C]])/2)*Table1334567[[#This Row],[gammac]]*Table1334567[[#This Row],[Volume]]</f>
        <v>0</v>
      </c>
      <c r="BD1344">
        <f>((Table1334567[[#This Row],[High P]]+Table1334567[[#This Row],[Low P]])/2)*Table1334567[[#This Row],[gammap]]*Table1334567[[#This Row],[Volume9]]*-1</f>
        <v>0</v>
      </c>
      <c r="BE1344">
        <f>(Table1334567[[#This Row],[SgammaC]]+Table1334567[[#This Row],[SgammaP]])*$A$4*-100</f>
        <v>0</v>
      </c>
      <c r="BF1344">
        <f>Table1334567[[#This Row],[DEXc]]+Table1334567[[#This Row],[DEXp]]</f>
        <v>0</v>
      </c>
      <c r="BG1344">
        <f>IFERROR(Table1334567[[#This Row],[DeltaC]]*Table1334567[[#This Row],[Open.Int]]*$A$4,0)</f>
        <v>0</v>
      </c>
      <c r="BH1344">
        <f>IFERROR(Table1334567[[#This Row],[DeltaP]]*Table1334567[[#This Row],[Open.Int8]]*$A$4,0)</f>
        <v>0</v>
      </c>
      <c r="BI134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4">
        <f ca="1">Table1334567[[#This Row],[charmc]]+Table1334567[[#This Row],[charmp]]</f>
        <v>0</v>
      </c>
      <c r="BL134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4" s="78">
        <f ca="1">Table1334567[[#This Row],[call helper]]+Table1334567[[#This Row],[put helper]]</f>
        <v>0</v>
      </c>
      <c r="BP1344" t="str">
        <f>RTD("tos.rtd", , "STRIKE", "."&amp;Table1334567[[#This Row],[Ticker]]&amp;Table1334567[[#This Row],[Expiry]]&amp;""&amp;"C"&amp;Table1334567[[#This Row],[Spot]]+Table1334567[[#This Row],[step]])</f>
        <v>N/A</v>
      </c>
    </row>
    <row r="1345" spans="1:68" x14ac:dyDescent="0.25">
      <c r="A1345" s="14">
        <f t="shared" ca="1" si="129"/>
        <v>-126.14810350076104</v>
      </c>
      <c r="C1345" s="17"/>
      <c r="D1345" t="str">
        <f>RTD("tos.rtd", , "OPEN_INT", "."&amp;Table1334567[[#This Row],[Ticker]]&amp;Table1334567[[#This Row],[Expiry]]&amp;""&amp;"C"&amp;Table1334567[[#This Row],[Spot]]+Table1334567[[#This Row],[step]])</f>
        <v>N/A</v>
      </c>
      <c r="E134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5" s="17" cm="1">
        <f t="array" aca="1" ref="H1345" ca="1">IndividualLegIVCore($A$4, Table1334567[[#This Row],[Strike]], 0.0411, Table1334567[[#This Row],[T]], ((Table1334567[[#This Row],[BIDC]]+Table1334567[[#This Row],[ASKC]])/2), TRUE)</f>
        <v>0.01</v>
      </c>
      <c r="I134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5" s="17"/>
      <c r="M1345" s="1">
        <f t="shared" si="130"/>
        <v>0</v>
      </c>
      <c r="N1345" t="b">
        <f t="shared" si="131"/>
        <v>0</v>
      </c>
      <c r="P1345" s="17" cm="1">
        <f t="array" aca="1" ref="P1345" ca="1">IndividualLegIVCore($A$4, Table1334567[[#This Row],[Strike]], 0.0411, Table1334567[[#This Row],[T]], ((Table1334567[[#This Row],[BIDP]]+Table1334567[[#This Row],[ASKP]])/2), FALSE)</f>
        <v>0.01</v>
      </c>
      <c r="Q134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5" s="17"/>
      <c r="T134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5" s="19">
        <f>8.5* IF($M$1="NDX", 10, IF(OR($M$1="SPX", $M$1="RUT"), 2, 1))</f>
        <v>17</v>
      </c>
      <c r="Z1345">
        <f ca="1">IFERROR(Table1334567[[#This Row],[call gamma]]*(Table1334567[[#This Row],[Open.Int]])*$A$4^2,0)</f>
        <v>0</v>
      </c>
      <c r="AA1345">
        <f ca="1">IFERROR(((Table1334567[[#This Row],[Open.Int8]])*Table1334567[[#This Row],[Put gamma]])*-1*$A$4^2,0)</f>
        <v>0</v>
      </c>
      <c r="AB1345">
        <f ca="1">(Table1334567[[#This Row],[Call Gex]]+Table1334567[[#This Row],[Put Gex]])</f>
        <v>0</v>
      </c>
      <c r="AC1345">
        <f ca="1">Table1334567[[#This Row],[put delta adj]]+Table1334567[[#This Row],[call delta adj]]</f>
        <v>0</v>
      </c>
      <c r="AD1345">
        <f ca="1">Table1334567[[#This Row],[Put Gex]]*Table1334567[[#This Row],[DeltaP]]*-1</f>
        <v>0</v>
      </c>
      <c r="AE1345">
        <f ca="1">Table1334567[[#This Row],[Call Gex]]*Table1334567[[#This Row],[DeltaC]]</f>
        <v>0</v>
      </c>
      <c r="AF1345">
        <f>IF(Table1334567[[#This Row],[DeltaC]]-ABS(Table1334567[[#This Row],[DeltaP]])="0","0.01",Table1334567[[#This Row],[DeltaC]]-ABS(Table1334567[[#This Row],[DeltaP]]))</f>
        <v>0</v>
      </c>
      <c r="AG134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5" t="e">
        <f ca="1">(EXP(-(AG1345^2)/2)/SQRT(2*PI())*EXP(0*SQRT(Table1334567[[#This Row],[T]]))/$A$4*18%*SQRT(SQRT(Table1334567[[#This Row],[T]])))</f>
        <v>#DIV/0!</v>
      </c>
      <c r="AJ1345" t="e">
        <f ca="1">(EXP(-(AH1345^2)/2)/SQRT(2*PI())*EXP(0*SQRT(Table1334567[[#This Row],[T]]))/$A$4*18%*SQRT(SQRT(Table1334567[[#This Row],[T]])))</f>
        <v>#DIV/0!</v>
      </c>
      <c r="AK1345" t="e">
        <f ca="1">Table1334567[[#This Row],[Call D1]]-Table1334567[[#This Row],[IV Calc C]]*SQRT(Table1334567[[#This Row],[T]])</f>
        <v>#DIV/0!</v>
      </c>
      <c r="AL1345" t="e">
        <f ca="1">Table1334567[[#This Row],[Put D1]]-Table1334567[[#This Row],[IV Calc P]]*SQRT(Table1334567[[#This Row],[T]])</f>
        <v>#DIV/0!</v>
      </c>
      <c r="AM1345" t="e">
        <f ca="1">EXP(-0.5*Table1334567[[#This Row],[Call D1]]^2)/SQRT(2*PI())</f>
        <v>#DIV/0!</v>
      </c>
      <c r="AN1345" t="e">
        <f ca="1">EXP(-0.5*Table1334567[[#This Row],[Put D1]]^2)/SQRT(2*PI())</f>
        <v>#DIV/0!</v>
      </c>
      <c r="AO134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5">
        <f ca="1">((Table1334567[[#This Row],[call vanna]]+Table1334567[[#This Row],[put vanna]])*$A$4)</f>
        <v>0</v>
      </c>
      <c r="AR134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5" s="9" t="str" cm="1">
        <f t="array" ref="AT1345">_xlfn.IFS(     $M$1="SPX","SPXW",     $M$1="RUT","RUTW",  $M$1="NDX","NDXP",   TRUE,$M$1 )</f>
        <v>SPXW</v>
      </c>
      <c r="AU1345" s="2">
        <f t="shared" si="132"/>
        <v>6915</v>
      </c>
      <c r="AV1345" t="str">
        <f t="shared" si="133"/>
        <v>000100</v>
      </c>
      <c r="AY134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5">
        <f>((Table1334567[[#This Row],[High C]]+Table1334567[[#This Row],[Low C]])/2)*Table1334567[[#This Row],[gammac]]*Table1334567[[#This Row],[Volume]]</f>
        <v>0</v>
      </c>
      <c r="BD1345">
        <f>((Table1334567[[#This Row],[High P]]+Table1334567[[#This Row],[Low P]])/2)*Table1334567[[#This Row],[gammap]]*Table1334567[[#This Row],[Volume9]]*-1</f>
        <v>0</v>
      </c>
      <c r="BE1345">
        <f>(Table1334567[[#This Row],[SgammaC]]+Table1334567[[#This Row],[SgammaP]])*$A$4*-100</f>
        <v>0</v>
      </c>
      <c r="BF1345">
        <f>Table1334567[[#This Row],[DEXc]]+Table1334567[[#This Row],[DEXp]]</f>
        <v>0</v>
      </c>
      <c r="BG1345">
        <f>IFERROR(Table1334567[[#This Row],[DeltaC]]*Table1334567[[#This Row],[Open.Int]]*$A$4,0)</f>
        <v>0</v>
      </c>
      <c r="BH1345">
        <f>IFERROR(Table1334567[[#This Row],[DeltaP]]*Table1334567[[#This Row],[Open.Int8]]*$A$4,0)</f>
        <v>0</v>
      </c>
      <c r="BI134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5">
        <f ca="1">Table1334567[[#This Row],[charmc]]+Table1334567[[#This Row],[charmp]]</f>
        <v>0</v>
      </c>
      <c r="BL134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5" s="78">
        <f ca="1">Table1334567[[#This Row],[call helper]]+Table1334567[[#This Row],[put helper]]</f>
        <v>0</v>
      </c>
      <c r="BP1345" t="str">
        <f>RTD("tos.rtd", , "STRIKE", "."&amp;Table1334567[[#This Row],[Ticker]]&amp;Table1334567[[#This Row],[Expiry]]&amp;""&amp;"C"&amp;Table1334567[[#This Row],[Spot]]+Table1334567[[#This Row],[step]])</f>
        <v>N/A</v>
      </c>
    </row>
    <row r="1346" spans="1:68" x14ac:dyDescent="0.25">
      <c r="A1346" s="14">
        <f t="shared" ca="1" si="129"/>
        <v>-126.14810350076104</v>
      </c>
      <c r="C1346" s="17"/>
      <c r="D1346" t="str">
        <f>RTD("tos.rtd", , "OPEN_INT", "."&amp;Table1334567[[#This Row],[Ticker]]&amp;Table1334567[[#This Row],[Expiry]]&amp;""&amp;"C"&amp;Table1334567[[#This Row],[Spot]]+Table1334567[[#This Row],[step]])</f>
        <v>N/A</v>
      </c>
      <c r="E134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6" s="17" cm="1">
        <f t="array" aca="1" ref="H1346" ca="1">IndividualLegIVCore($A$4, Table1334567[[#This Row],[Strike]], 0.0411, Table1334567[[#This Row],[T]], ((Table1334567[[#This Row],[BIDC]]+Table1334567[[#This Row],[ASKC]])/2), TRUE)</f>
        <v>0.01</v>
      </c>
      <c r="I134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6" s="17"/>
      <c r="M1346" s="1">
        <f t="shared" si="130"/>
        <v>0</v>
      </c>
      <c r="N1346" t="b">
        <f t="shared" si="131"/>
        <v>0</v>
      </c>
      <c r="P1346" s="17" cm="1">
        <f t="array" aca="1" ref="P1346" ca="1">IndividualLegIVCore($A$4, Table1334567[[#This Row],[Strike]], 0.0411, Table1334567[[#This Row],[T]], ((Table1334567[[#This Row],[BIDP]]+Table1334567[[#This Row],[ASKP]])/2), FALSE)</f>
        <v>0.01</v>
      </c>
      <c r="Q134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6" s="17"/>
      <c r="T134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6" s="19">
        <f>9* IF($M$1="NDX", 10, IF(OR($M$1="SPX", $M$1="RUT"), 2, 1))</f>
        <v>18</v>
      </c>
      <c r="Z1346">
        <f ca="1">IFERROR(Table1334567[[#This Row],[call gamma]]*(Table1334567[[#This Row],[Open.Int]])*$A$4^2,0)</f>
        <v>0</v>
      </c>
      <c r="AA1346">
        <f ca="1">IFERROR(((Table1334567[[#This Row],[Open.Int8]])*Table1334567[[#This Row],[Put gamma]])*-1*$A$4^2,0)</f>
        <v>0</v>
      </c>
      <c r="AB1346">
        <f ca="1">(Table1334567[[#This Row],[Call Gex]]+Table1334567[[#This Row],[Put Gex]])</f>
        <v>0</v>
      </c>
      <c r="AC1346">
        <f ca="1">Table1334567[[#This Row],[put delta adj]]+Table1334567[[#This Row],[call delta adj]]</f>
        <v>0</v>
      </c>
      <c r="AD1346">
        <f ca="1">Table1334567[[#This Row],[Put Gex]]*Table1334567[[#This Row],[DeltaP]]*-1</f>
        <v>0</v>
      </c>
      <c r="AE1346">
        <f ca="1">Table1334567[[#This Row],[Call Gex]]*Table1334567[[#This Row],[DeltaC]]</f>
        <v>0</v>
      </c>
      <c r="AF1346">
        <f>IF(Table1334567[[#This Row],[DeltaC]]-ABS(Table1334567[[#This Row],[DeltaP]])="0","0.01",Table1334567[[#This Row],[DeltaC]]-ABS(Table1334567[[#This Row],[DeltaP]]))</f>
        <v>0</v>
      </c>
      <c r="AG134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6" t="e">
        <f ca="1">(EXP(-(AG1346^2)/2)/SQRT(2*PI())*EXP(0*SQRT(Table1334567[[#This Row],[T]]))/$A$4*18%*SQRT(SQRT(Table1334567[[#This Row],[T]])))</f>
        <v>#DIV/0!</v>
      </c>
      <c r="AJ1346" t="e">
        <f ca="1">(EXP(-(AH1346^2)/2)/SQRT(2*PI())*EXP(0*SQRT(Table1334567[[#This Row],[T]]))/$A$4*18%*SQRT(SQRT(Table1334567[[#This Row],[T]])))</f>
        <v>#DIV/0!</v>
      </c>
      <c r="AK1346" t="e">
        <f ca="1">Table1334567[[#This Row],[Call D1]]-Table1334567[[#This Row],[IV Calc C]]*SQRT(Table1334567[[#This Row],[T]])</f>
        <v>#DIV/0!</v>
      </c>
      <c r="AL1346" t="e">
        <f ca="1">Table1334567[[#This Row],[Put D1]]-Table1334567[[#This Row],[IV Calc P]]*SQRT(Table1334567[[#This Row],[T]])</f>
        <v>#DIV/0!</v>
      </c>
      <c r="AM1346" t="e">
        <f ca="1">EXP(-0.5*Table1334567[[#This Row],[Call D1]]^2)/SQRT(2*PI())</f>
        <v>#DIV/0!</v>
      </c>
      <c r="AN1346" t="e">
        <f ca="1">EXP(-0.5*Table1334567[[#This Row],[Put D1]]^2)/SQRT(2*PI())</f>
        <v>#DIV/0!</v>
      </c>
      <c r="AO134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6">
        <f ca="1">((Table1334567[[#This Row],[call vanna]]+Table1334567[[#This Row],[put vanna]])*$A$4)</f>
        <v>0</v>
      </c>
      <c r="AR134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6" s="9" t="str" cm="1">
        <f t="array" ref="AT1346">_xlfn.IFS(     $M$1="SPX","SPXW",     $M$1="RUT","RUTW",  $M$1="NDX","NDXP",   TRUE,$M$1 )</f>
        <v>SPXW</v>
      </c>
      <c r="AU1346" s="2">
        <f t="shared" si="132"/>
        <v>6915</v>
      </c>
      <c r="AV1346" t="str">
        <f t="shared" si="133"/>
        <v>000100</v>
      </c>
      <c r="AY134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6">
        <f>((Table1334567[[#This Row],[High C]]+Table1334567[[#This Row],[Low C]])/2)*Table1334567[[#This Row],[gammac]]*Table1334567[[#This Row],[Volume]]</f>
        <v>0</v>
      </c>
      <c r="BD1346">
        <f>((Table1334567[[#This Row],[High P]]+Table1334567[[#This Row],[Low P]])/2)*Table1334567[[#This Row],[gammap]]*Table1334567[[#This Row],[Volume9]]*-1</f>
        <v>0</v>
      </c>
      <c r="BE1346">
        <f>(Table1334567[[#This Row],[SgammaC]]+Table1334567[[#This Row],[SgammaP]])*$A$4*-100</f>
        <v>0</v>
      </c>
      <c r="BF1346">
        <f>Table1334567[[#This Row],[DEXc]]+Table1334567[[#This Row],[DEXp]]</f>
        <v>0</v>
      </c>
      <c r="BG1346">
        <f>IFERROR(Table1334567[[#This Row],[DeltaC]]*Table1334567[[#This Row],[Open.Int]]*$A$4,0)</f>
        <v>0</v>
      </c>
      <c r="BH1346">
        <f>IFERROR(Table1334567[[#This Row],[DeltaP]]*Table1334567[[#This Row],[Open.Int8]]*$A$4,0)</f>
        <v>0</v>
      </c>
      <c r="BI134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6">
        <f ca="1">Table1334567[[#This Row],[charmc]]+Table1334567[[#This Row],[charmp]]</f>
        <v>0</v>
      </c>
      <c r="BL134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6" s="78">
        <f ca="1">Table1334567[[#This Row],[call helper]]+Table1334567[[#This Row],[put helper]]</f>
        <v>0</v>
      </c>
      <c r="BP1346" t="str">
        <f>RTD("tos.rtd", , "STRIKE", "."&amp;Table1334567[[#This Row],[Ticker]]&amp;Table1334567[[#This Row],[Expiry]]&amp;""&amp;"C"&amp;Table1334567[[#This Row],[Spot]]+Table1334567[[#This Row],[step]])</f>
        <v>N/A</v>
      </c>
    </row>
    <row r="1347" spans="1:68" x14ac:dyDescent="0.25">
      <c r="A1347" s="14">
        <f t="shared" ca="1" si="129"/>
        <v>-126.14810350076104</v>
      </c>
      <c r="C1347" s="17"/>
      <c r="D1347" t="str">
        <f>RTD("tos.rtd", , "OPEN_INT", "."&amp;Table1334567[[#This Row],[Ticker]]&amp;Table1334567[[#This Row],[Expiry]]&amp;""&amp;"C"&amp;Table1334567[[#This Row],[Spot]]+Table1334567[[#This Row],[step]])</f>
        <v>N/A</v>
      </c>
      <c r="E134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7" s="17" cm="1">
        <f t="array" aca="1" ref="H1347" ca="1">IndividualLegIVCore($A$4, Table1334567[[#This Row],[Strike]], 0.0411, Table1334567[[#This Row],[T]], ((Table1334567[[#This Row],[BIDC]]+Table1334567[[#This Row],[ASKC]])/2), TRUE)</f>
        <v>0.01</v>
      </c>
      <c r="I134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7" s="17"/>
      <c r="M1347" s="1">
        <f t="shared" si="130"/>
        <v>0</v>
      </c>
      <c r="N1347" t="b">
        <f t="shared" si="131"/>
        <v>0</v>
      </c>
      <c r="P1347" s="17" cm="1">
        <f t="array" aca="1" ref="P1347" ca="1">IndividualLegIVCore($A$4, Table1334567[[#This Row],[Strike]], 0.0411, Table1334567[[#This Row],[T]], ((Table1334567[[#This Row],[BIDP]]+Table1334567[[#This Row],[ASKP]])/2), FALSE)</f>
        <v>0.01</v>
      </c>
      <c r="Q134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7" s="17"/>
      <c r="T134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7" s="19">
        <f>9.5* IF($M$1="NDX", 10, IF(OR($M$1="SPX", $M$1="RUT"), 2, 1))</f>
        <v>19</v>
      </c>
      <c r="Z1347">
        <f ca="1">IFERROR(Table1334567[[#This Row],[call gamma]]*(Table1334567[[#This Row],[Open.Int]])*$A$4^2,0)</f>
        <v>0</v>
      </c>
      <c r="AA1347">
        <f ca="1">IFERROR(((Table1334567[[#This Row],[Open.Int8]])*Table1334567[[#This Row],[Put gamma]])*-1*$A$4^2,0)</f>
        <v>0</v>
      </c>
      <c r="AB1347">
        <f ca="1">(Table1334567[[#This Row],[Call Gex]]+Table1334567[[#This Row],[Put Gex]])</f>
        <v>0</v>
      </c>
      <c r="AC1347">
        <f ca="1">Table1334567[[#This Row],[put delta adj]]+Table1334567[[#This Row],[call delta adj]]</f>
        <v>0</v>
      </c>
      <c r="AD1347">
        <f ca="1">Table1334567[[#This Row],[Put Gex]]*Table1334567[[#This Row],[DeltaP]]*-1</f>
        <v>0</v>
      </c>
      <c r="AE1347">
        <f ca="1">Table1334567[[#This Row],[Call Gex]]*Table1334567[[#This Row],[DeltaC]]</f>
        <v>0</v>
      </c>
      <c r="AF1347">
        <f>IF(Table1334567[[#This Row],[DeltaC]]-ABS(Table1334567[[#This Row],[DeltaP]])="0","0.01",Table1334567[[#This Row],[DeltaC]]-ABS(Table1334567[[#This Row],[DeltaP]]))</f>
        <v>0</v>
      </c>
      <c r="AG134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7" t="e">
        <f ca="1">(EXP(-(AG1347^2)/2)/SQRT(2*PI())*EXP(0*SQRT(Table1334567[[#This Row],[T]]))/$A$4*18%*SQRT(SQRT(Table1334567[[#This Row],[T]])))</f>
        <v>#DIV/0!</v>
      </c>
      <c r="AJ1347" t="e">
        <f ca="1">(EXP(-(AH1347^2)/2)/SQRT(2*PI())*EXP(0*SQRT(Table1334567[[#This Row],[T]]))/$A$4*18%*SQRT(SQRT(Table1334567[[#This Row],[T]])))</f>
        <v>#DIV/0!</v>
      </c>
      <c r="AK1347" t="e">
        <f ca="1">Table1334567[[#This Row],[Call D1]]-Table1334567[[#This Row],[IV Calc C]]*SQRT(Table1334567[[#This Row],[T]])</f>
        <v>#DIV/0!</v>
      </c>
      <c r="AL1347" t="e">
        <f ca="1">Table1334567[[#This Row],[Put D1]]-Table1334567[[#This Row],[IV Calc P]]*SQRT(Table1334567[[#This Row],[T]])</f>
        <v>#DIV/0!</v>
      </c>
      <c r="AM1347" t="e">
        <f ca="1">EXP(-0.5*Table1334567[[#This Row],[Call D1]]^2)/SQRT(2*PI())</f>
        <v>#DIV/0!</v>
      </c>
      <c r="AN1347" t="e">
        <f ca="1">EXP(-0.5*Table1334567[[#This Row],[Put D1]]^2)/SQRT(2*PI())</f>
        <v>#DIV/0!</v>
      </c>
      <c r="AO134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7">
        <f ca="1">((Table1334567[[#This Row],[call vanna]]+Table1334567[[#This Row],[put vanna]])*$A$4)</f>
        <v>0</v>
      </c>
      <c r="AR134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7" s="9" t="str" cm="1">
        <f t="array" ref="AT1347">_xlfn.IFS(     $M$1="SPX","SPXW",     $M$1="RUT","RUTW",  $M$1="NDX","NDXP",   TRUE,$M$1 )</f>
        <v>SPXW</v>
      </c>
      <c r="AU1347" s="2">
        <f t="shared" si="132"/>
        <v>6915</v>
      </c>
      <c r="AV1347" t="str">
        <f t="shared" si="133"/>
        <v>000100</v>
      </c>
      <c r="AY134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7">
        <f>((Table1334567[[#This Row],[High C]]+Table1334567[[#This Row],[Low C]])/2)*Table1334567[[#This Row],[gammac]]*Table1334567[[#This Row],[Volume]]</f>
        <v>0</v>
      </c>
      <c r="BD1347">
        <f>((Table1334567[[#This Row],[High P]]+Table1334567[[#This Row],[Low P]])/2)*Table1334567[[#This Row],[gammap]]*Table1334567[[#This Row],[Volume9]]*-1</f>
        <v>0</v>
      </c>
      <c r="BE1347">
        <f>(Table1334567[[#This Row],[SgammaC]]+Table1334567[[#This Row],[SgammaP]])*$A$4*-100</f>
        <v>0</v>
      </c>
      <c r="BF1347">
        <f>Table1334567[[#This Row],[DEXc]]+Table1334567[[#This Row],[DEXp]]</f>
        <v>0</v>
      </c>
      <c r="BG1347">
        <f>IFERROR(Table1334567[[#This Row],[DeltaC]]*Table1334567[[#This Row],[Open.Int]]*$A$4,0)</f>
        <v>0</v>
      </c>
      <c r="BH1347">
        <f>IFERROR(Table1334567[[#This Row],[DeltaP]]*Table1334567[[#This Row],[Open.Int8]]*$A$4,0)</f>
        <v>0</v>
      </c>
      <c r="BI134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7">
        <f ca="1">Table1334567[[#This Row],[charmc]]+Table1334567[[#This Row],[charmp]]</f>
        <v>0</v>
      </c>
      <c r="BL134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7" s="78">
        <f ca="1">Table1334567[[#This Row],[call helper]]+Table1334567[[#This Row],[put helper]]</f>
        <v>0</v>
      </c>
      <c r="BP1347" t="str">
        <f>RTD("tos.rtd", , "STRIKE", "."&amp;Table1334567[[#This Row],[Ticker]]&amp;Table1334567[[#This Row],[Expiry]]&amp;""&amp;"C"&amp;Table1334567[[#This Row],[Spot]]+Table1334567[[#This Row],[step]])</f>
        <v>N/A</v>
      </c>
    </row>
    <row r="1348" spans="1:68" x14ac:dyDescent="0.25">
      <c r="A1348" s="14">
        <f t="shared" ca="1" si="129"/>
        <v>-126.14810350076104</v>
      </c>
      <c r="C1348" s="17"/>
      <c r="D1348" t="str">
        <f>RTD("tos.rtd", , "OPEN_INT", "."&amp;Table1334567[[#This Row],[Ticker]]&amp;Table1334567[[#This Row],[Expiry]]&amp;""&amp;"C"&amp;Table1334567[[#This Row],[Spot]]+Table1334567[[#This Row],[step]])</f>
        <v>N/A</v>
      </c>
      <c r="E134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8" s="17" cm="1">
        <f t="array" aca="1" ref="H1348" ca="1">IndividualLegIVCore($A$4, Table1334567[[#This Row],[Strike]], 0.0411, Table1334567[[#This Row],[T]], ((Table1334567[[#This Row],[BIDC]]+Table1334567[[#This Row],[ASKC]])/2), TRUE)</f>
        <v>0.01</v>
      </c>
      <c r="I134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8" s="17"/>
      <c r="M1348" s="1">
        <f t="shared" si="130"/>
        <v>0</v>
      </c>
      <c r="N1348" t="b">
        <f t="shared" si="131"/>
        <v>0</v>
      </c>
      <c r="P1348" s="17" cm="1">
        <f t="array" aca="1" ref="P1348" ca="1">IndividualLegIVCore($A$4, Table1334567[[#This Row],[Strike]], 0.0411, Table1334567[[#This Row],[T]], ((Table1334567[[#This Row],[BIDP]]+Table1334567[[#This Row],[ASKP]])/2), FALSE)</f>
        <v>0.01</v>
      </c>
      <c r="Q134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8" s="17"/>
      <c r="T134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8" s="19">
        <f>10* IF($M$1="NDX", 10, IF(OR($M$1="SPX", $M$1="RUT"), 2, 1))</f>
        <v>20</v>
      </c>
      <c r="Z1348">
        <f ca="1">IFERROR(Table1334567[[#This Row],[call gamma]]*(Table1334567[[#This Row],[Open.Int]])*$A$4^2,0)</f>
        <v>0</v>
      </c>
      <c r="AA1348">
        <f ca="1">IFERROR(((Table1334567[[#This Row],[Open.Int8]])*Table1334567[[#This Row],[Put gamma]])*-1*$A$4^2,0)</f>
        <v>0</v>
      </c>
      <c r="AB1348">
        <f ca="1">(Table1334567[[#This Row],[Call Gex]]+Table1334567[[#This Row],[Put Gex]])</f>
        <v>0</v>
      </c>
      <c r="AC1348">
        <f ca="1">Table1334567[[#This Row],[put delta adj]]+Table1334567[[#This Row],[call delta adj]]</f>
        <v>0</v>
      </c>
      <c r="AD1348">
        <f ca="1">Table1334567[[#This Row],[Put Gex]]*Table1334567[[#This Row],[DeltaP]]*-1</f>
        <v>0</v>
      </c>
      <c r="AE1348">
        <f ca="1">Table1334567[[#This Row],[Call Gex]]*Table1334567[[#This Row],[DeltaC]]</f>
        <v>0</v>
      </c>
      <c r="AF1348">
        <f>IF(Table1334567[[#This Row],[DeltaC]]-ABS(Table1334567[[#This Row],[DeltaP]])="0","0.01",Table1334567[[#This Row],[DeltaC]]-ABS(Table1334567[[#This Row],[DeltaP]]))</f>
        <v>0</v>
      </c>
      <c r="AG134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8" t="e">
        <f ca="1">(EXP(-(AG1348^2)/2)/SQRT(2*PI())*EXP(0*SQRT(Table1334567[[#This Row],[T]]))/$A$4*18%*SQRT(SQRT(Table1334567[[#This Row],[T]])))</f>
        <v>#DIV/0!</v>
      </c>
      <c r="AJ1348" t="e">
        <f ca="1">(EXP(-(AH1348^2)/2)/SQRT(2*PI())*EXP(0*SQRT(Table1334567[[#This Row],[T]]))/$A$4*18%*SQRT(SQRT(Table1334567[[#This Row],[T]])))</f>
        <v>#DIV/0!</v>
      </c>
      <c r="AK1348" t="e">
        <f ca="1">Table1334567[[#This Row],[Call D1]]-Table1334567[[#This Row],[IV Calc C]]*SQRT(Table1334567[[#This Row],[T]])</f>
        <v>#DIV/0!</v>
      </c>
      <c r="AL1348" t="e">
        <f ca="1">Table1334567[[#This Row],[Put D1]]-Table1334567[[#This Row],[IV Calc P]]*SQRT(Table1334567[[#This Row],[T]])</f>
        <v>#DIV/0!</v>
      </c>
      <c r="AM1348" t="e">
        <f ca="1">EXP(-0.5*Table1334567[[#This Row],[Call D1]]^2)/SQRT(2*PI())</f>
        <v>#DIV/0!</v>
      </c>
      <c r="AN1348" t="e">
        <f ca="1">EXP(-0.5*Table1334567[[#This Row],[Put D1]]^2)/SQRT(2*PI())</f>
        <v>#DIV/0!</v>
      </c>
      <c r="AO134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8">
        <f ca="1">((Table1334567[[#This Row],[call vanna]]+Table1334567[[#This Row],[put vanna]])*$A$4)</f>
        <v>0</v>
      </c>
      <c r="AR134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8" s="9" t="str" cm="1">
        <f t="array" ref="AT1348">_xlfn.IFS(     $M$1="SPX","SPXW",     $M$1="RUT","RUTW",  $M$1="NDX","NDXP",   TRUE,$M$1 )</f>
        <v>SPXW</v>
      </c>
      <c r="AU1348" s="2">
        <f t="shared" si="132"/>
        <v>6915</v>
      </c>
      <c r="AV1348" t="str">
        <f t="shared" si="133"/>
        <v>000100</v>
      </c>
      <c r="AY134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8">
        <f>((Table1334567[[#This Row],[High C]]+Table1334567[[#This Row],[Low C]])/2)*Table1334567[[#This Row],[gammac]]*Table1334567[[#This Row],[Volume]]</f>
        <v>0</v>
      </c>
      <c r="BD1348">
        <f>((Table1334567[[#This Row],[High P]]+Table1334567[[#This Row],[Low P]])/2)*Table1334567[[#This Row],[gammap]]*Table1334567[[#This Row],[Volume9]]*-1</f>
        <v>0</v>
      </c>
      <c r="BE1348">
        <f>(Table1334567[[#This Row],[SgammaC]]+Table1334567[[#This Row],[SgammaP]])*$A$4*-100</f>
        <v>0</v>
      </c>
      <c r="BF1348">
        <f>Table1334567[[#This Row],[DEXc]]+Table1334567[[#This Row],[DEXp]]</f>
        <v>0</v>
      </c>
      <c r="BG1348">
        <f>IFERROR(Table1334567[[#This Row],[DeltaC]]*Table1334567[[#This Row],[Open.Int]]*$A$4,0)</f>
        <v>0</v>
      </c>
      <c r="BH1348">
        <f>IFERROR(Table1334567[[#This Row],[DeltaP]]*Table1334567[[#This Row],[Open.Int8]]*$A$4,0)</f>
        <v>0</v>
      </c>
      <c r="BI134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8">
        <f ca="1">Table1334567[[#This Row],[charmc]]+Table1334567[[#This Row],[charmp]]</f>
        <v>0</v>
      </c>
      <c r="BL134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8" s="78">
        <f ca="1">Table1334567[[#This Row],[call helper]]+Table1334567[[#This Row],[put helper]]</f>
        <v>0</v>
      </c>
      <c r="BP1348" t="str">
        <f>RTD("tos.rtd", , "STRIKE", "."&amp;Table1334567[[#This Row],[Ticker]]&amp;Table1334567[[#This Row],[Expiry]]&amp;""&amp;"C"&amp;Table1334567[[#This Row],[Spot]]+Table1334567[[#This Row],[step]])</f>
        <v>N/A</v>
      </c>
    </row>
    <row r="1349" spans="1:68" x14ac:dyDescent="0.25">
      <c r="A1349" s="14">
        <f t="shared" ca="1" si="129"/>
        <v>-126.14810350076104</v>
      </c>
      <c r="C1349" s="17"/>
      <c r="D1349" t="str">
        <f>RTD("tos.rtd", , "OPEN_INT", "."&amp;Table1334567[[#This Row],[Ticker]]&amp;Table1334567[[#This Row],[Expiry]]&amp;""&amp;"C"&amp;Table1334567[[#This Row],[Spot]]+Table1334567[[#This Row],[step]])</f>
        <v>N/A</v>
      </c>
      <c r="E134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9" s="17" cm="1">
        <f t="array" aca="1" ref="H1349" ca="1">IndividualLegIVCore($A$4, Table1334567[[#This Row],[Strike]], 0.0411, Table1334567[[#This Row],[T]], ((Table1334567[[#This Row],[BIDC]]+Table1334567[[#This Row],[ASKC]])/2), TRUE)</f>
        <v>0.01</v>
      </c>
      <c r="I134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9" s="17"/>
      <c r="M1349" s="1">
        <f t="shared" si="130"/>
        <v>0</v>
      </c>
      <c r="N1349" t="b">
        <f t="shared" si="131"/>
        <v>0</v>
      </c>
      <c r="P1349" s="17" cm="1">
        <f t="array" aca="1" ref="P1349" ca="1">IndividualLegIVCore($A$4, Table1334567[[#This Row],[Strike]], 0.0411, Table1334567[[#This Row],[T]], ((Table1334567[[#This Row],[BIDP]]+Table1334567[[#This Row],[ASKP]])/2), FALSE)</f>
        <v>0.01</v>
      </c>
      <c r="Q134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9" s="17"/>
      <c r="T134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9" s="19">
        <f>10.5* IF($M$1="NDX", 10, IF(OR($M$1="SPX", $M$1="RUT"), 2, 1))</f>
        <v>21</v>
      </c>
      <c r="Z1349">
        <f ca="1">IFERROR(Table1334567[[#This Row],[call gamma]]*(Table1334567[[#This Row],[Open.Int]])*$A$4^2,0)</f>
        <v>0</v>
      </c>
      <c r="AA1349">
        <f ca="1">IFERROR(((Table1334567[[#This Row],[Open.Int8]])*Table1334567[[#This Row],[Put gamma]])*-1*$A$4^2,0)</f>
        <v>0</v>
      </c>
      <c r="AB1349">
        <f ca="1">(Table1334567[[#This Row],[Call Gex]]+Table1334567[[#This Row],[Put Gex]])</f>
        <v>0</v>
      </c>
      <c r="AC1349">
        <f ca="1">Table1334567[[#This Row],[put delta adj]]+Table1334567[[#This Row],[call delta adj]]</f>
        <v>0</v>
      </c>
      <c r="AD1349">
        <f ca="1">Table1334567[[#This Row],[Put Gex]]*Table1334567[[#This Row],[DeltaP]]*-1</f>
        <v>0</v>
      </c>
      <c r="AE1349">
        <f ca="1">Table1334567[[#This Row],[Call Gex]]*Table1334567[[#This Row],[DeltaC]]</f>
        <v>0</v>
      </c>
      <c r="AF1349">
        <f>IF(Table1334567[[#This Row],[DeltaC]]-ABS(Table1334567[[#This Row],[DeltaP]])="0","0.01",Table1334567[[#This Row],[DeltaC]]-ABS(Table1334567[[#This Row],[DeltaP]]))</f>
        <v>0</v>
      </c>
      <c r="AG134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9" t="e">
        <f ca="1">(EXP(-(AG1349^2)/2)/SQRT(2*PI())*EXP(0*SQRT(Table1334567[[#This Row],[T]]))/$A$4*18%*SQRT(SQRT(Table1334567[[#This Row],[T]])))</f>
        <v>#DIV/0!</v>
      </c>
      <c r="AJ1349" t="e">
        <f ca="1">(EXP(-(AH1349^2)/2)/SQRT(2*PI())*EXP(0*SQRT(Table1334567[[#This Row],[T]]))/$A$4*18%*SQRT(SQRT(Table1334567[[#This Row],[T]])))</f>
        <v>#DIV/0!</v>
      </c>
      <c r="AK1349" t="e">
        <f ca="1">Table1334567[[#This Row],[Call D1]]-Table1334567[[#This Row],[IV Calc C]]*SQRT(Table1334567[[#This Row],[T]])</f>
        <v>#DIV/0!</v>
      </c>
      <c r="AL1349" t="e">
        <f ca="1">Table1334567[[#This Row],[Put D1]]-Table1334567[[#This Row],[IV Calc P]]*SQRT(Table1334567[[#This Row],[T]])</f>
        <v>#DIV/0!</v>
      </c>
      <c r="AM1349" t="e">
        <f ca="1">EXP(-0.5*Table1334567[[#This Row],[Call D1]]^2)/SQRT(2*PI())</f>
        <v>#DIV/0!</v>
      </c>
      <c r="AN1349" t="e">
        <f ca="1">EXP(-0.5*Table1334567[[#This Row],[Put D1]]^2)/SQRT(2*PI())</f>
        <v>#DIV/0!</v>
      </c>
      <c r="AO134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9">
        <f ca="1">((Table1334567[[#This Row],[call vanna]]+Table1334567[[#This Row],[put vanna]])*$A$4)</f>
        <v>0</v>
      </c>
      <c r="AR134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9" s="9" t="str" cm="1">
        <f t="array" ref="AT1349">_xlfn.IFS(     $M$1="SPX","SPXW",     $M$1="RUT","RUTW",  $M$1="NDX","NDXP",   TRUE,$M$1 )</f>
        <v>SPXW</v>
      </c>
      <c r="AU1349" s="2">
        <f t="shared" si="132"/>
        <v>6915</v>
      </c>
      <c r="AV1349" t="str">
        <f t="shared" si="133"/>
        <v>000100</v>
      </c>
      <c r="AY134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9">
        <f>((Table1334567[[#This Row],[High C]]+Table1334567[[#This Row],[Low C]])/2)*Table1334567[[#This Row],[gammac]]*Table1334567[[#This Row],[Volume]]</f>
        <v>0</v>
      </c>
      <c r="BD1349">
        <f>((Table1334567[[#This Row],[High P]]+Table1334567[[#This Row],[Low P]])/2)*Table1334567[[#This Row],[gammap]]*Table1334567[[#This Row],[Volume9]]*-1</f>
        <v>0</v>
      </c>
      <c r="BE1349">
        <f>(Table1334567[[#This Row],[SgammaC]]+Table1334567[[#This Row],[SgammaP]])*$A$4*-100</f>
        <v>0</v>
      </c>
      <c r="BF1349">
        <f>Table1334567[[#This Row],[DEXc]]+Table1334567[[#This Row],[DEXp]]</f>
        <v>0</v>
      </c>
      <c r="BG1349">
        <f>IFERROR(Table1334567[[#This Row],[DeltaC]]*Table1334567[[#This Row],[Open.Int]]*$A$4,0)</f>
        <v>0</v>
      </c>
      <c r="BH1349">
        <f>IFERROR(Table1334567[[#This Row],[DeltaP]]*Table1334567[[#This Row],[Open.Int8]]*$A$4,0)</f>
        <v>0</v>
      </c>
      <c r="BI134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9">
        <f ca="1">Table1334567[[#This Row],[charmc]]+Table1334567[[#This Row],[charmp]]</f>
        <v>0</v>
      </c>
      <c r="BL134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9" s="78">
        <f ca="1">Table1334567[[#This Row],[call helper]]+Table1334567[[#This Row],[put helper]]</f>
        <v>0</v>
      </c>
      <c r="BP1349" t="str">
        <f>RTD("tos.rtd", , "STRIKE", "."&amp;Table1334567[[#This Row],[Ticker]]&amp;Table1334567[[#This Row],[Expiry]]&amp;""&amp;"C"&amp;Table1334567[[#This Row],[Spot]]+Table1334567[[#This Row],[step]])</f>
        <v>N/A</v>
      </c>
    </row>
    <row r="1350" spans="1:68" x14ac:dyDescent="0.25">
      <c r="A1350" s="14">
        <f t="shared" ca="1" si="129"/>
        <v>-126.14810350076104</v>
      </c>
      <c r="C1350" s="17"/>
      <c r="D1350" t="str">
        <f>RTD("tos.rtd", , "OPEN_INT", "."&amp;Table1334567[[#This Row],[Ticker]]&amp;Table1334567[[#This Row],[Expiry]]&amp;""&amp;"C"&amp;Table1334567[[#This Row],[Spot]]+Table1334567[[#This Row],[step]])</f>
        <v>N/A</v>
      </c>
      <c r="E135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0" s="17" cm="1">
        <f t="array" aca="1" ref="H1350" ca="1">IndividualLegIVCore($A$4, Table1334567[[#This Row],[Strike]], 0.0411, Table1334567[[#This Row],[T]], ((Table1334567[[#This Row],[BIDC]]+Table1334567[[#This Row],[ASKC]])/2), TRUE)</f>
        <v>0.01</v>
      </c>
      <c r="I135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0" s="17"/>
      <c r="M1350" s="1">
        <f t="shared" si="130"/>
        <v>0</v>
      </c>
      <c r="N1350" t="b">
        <f t="shared" si="131"/>
        <v>0</v>
      </c>
      <c r="P1350" s="17" cm="1">
        <f t="array" aca="1" ref="P1350" ca="1">IndividualLegIVCore($A$4, Table1334567[[#This Row],[Strike]], 0.0411, Table1334567[[#This Row],[T]], ((Table1334567[[#This Row],[BIDP]]+Table1334567[[#This Row],[ASKP]])/2), FALSE)</f>
        <v>0.01</v>
      </c>
      <c r="Q135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0" s="17"/>
      <c r="T135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0" s="19">
        <f>11* IF($M$1="NDX", 10, IF(OR($M$1="SPX", $M$1="RUT"), 2, 1))</f>
        <v>22</v>
      </c>
      <c r="Z1350">
        <f ca="1">IFERROR(Table1334567[[#This Row],[call gamma]]*(Table1334567[[#This Row],[Open.Int]])*$A$4^2,0)</f>
        <v>0</v>
      </c>
      <c r="AA1350">
        <f ca="1">IFERROR(((Table1334567[[#This Row],[Open.Int8]])*Table1334567[[#This Row],[Put gamma]])*-1*$A$4^2,0)</f>
        <v>0</v>
      </c>
      <c r="AB1350">
        <f ca="1">(Table1334567[[#This Row],[Call Gex]]+Table1334567[[#This Row],[Put Gex]])</f>
        <v>0</v>
      </c>
      <c r="AC1350">
        <f ca="1">Table1334567[[#This Row],[put delta adj]]+Table1334567[[#This Row],[call delta adj]]</f>
        <v>0</v>
      </c>
      <c r="AD1350">
        <f ca="1">Table1334567[[#This Row],[Put Gex]]*Table1334567[[#This Row],[DeltaP]]*-1</f>
        <v>0</v>
      </c>
      <c r="AE1350">
        <f ca="1">Table1334567[[#This Row],[Call Gex]]*Table1334567[[#This Row],[DeltaC]]</f>
        <v>0</v>
      </c>
      <c r="AF1350">
        <f>IF(Table1334567[[#This Row],[DeltaC]]-ABS(Table1334567[[#This Row],[DeltaP]])="0","0.01",Table1334567[[#This Row],[DeltaC]]-ABS(Table1334567[[#This Row],[DeltaP]]))</f>
        <v>0</v>
      </c>
      <c r="AG135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0" t="e">
        <f ca="1">(EXP(-(AG1350^2)/2)/SQRT(2*PI())*EXP(0*SQRT(Table1334567[[#This Row],[T]]))/$A$4*18%*SQRT(SQRT(Table1334567[[#This Row],[T]])))</f>
        <v>#DIV/0!</v>
      </c>
      <c r="AJ1350" t="e">
        <f ca="1">(EXP(-(AH1350^2)/2)/SQRT(2*PI())*EXP(0*SQRT(Table1334567[[#This Row],[T]]))/$A$4*18%*SQRT(SQRT(Table1334567[[#This Row],[T]])))</f>
        <v>#DIV/0!</v>
      </c>
      <c r="AK1350" t="e">
        <f ca="1">Table1334567[[#This Row],[Call D1]]-Table1334567[[#This Row],[IV Calc C]]*SQRT(Table1334567[[#This Row],[T]])</f>
        <v>#DIV/0!</v>
      </c>
      <c r="AL1350" t="e">
        <f ca="1">Table1334567[[#This Row],[Put D1]]-Table1334567[[#This Row],[IV Calc P]]*SQRT(Table1334567[[#This Row],[T]])</f>
        <v>#DIV/0!</v>
      </c>
      <c r="AM1350" t="e">
        <f ca="1">EXP(-0.5*Table1334567[[#This Row],[Call D1]]^2)/SQRT(2*PI())</f>
        <v>#DIV/0!</v>
      </c>
      <c r="AN1350" t="e">
        <f ca="1">EXP(-0.5*Table1334567[[#This Row],[Put D1]]^2)/SQRT(2*PI())</f>
        <v>#DIV/0!</v>
      </c>
      <c r="AO135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0">
        <f ca="1">((Table1334567[[#This Row],[call vanna]]+Table1334567[[#This Row],[put vanna]])*$A$4)</f>
        <v>0</v>
      </c>
      <c r="AR135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0" s="9" t="str" cm="1">
        <f t="array" ref="AT1350">_xlfn.IFS(     $M$1="SPX","SPXW",     $M$1="RUT","RUTW",  $M$1="NDX","NDXP",   TRUE,$M$1 )</f>
        <v>SPXW</v>
      </c>
      <c r="AU1350" s="2">
        <f t="shared" si="132"/>
        <v>6915</v>
      </c>
      <c r="AV1350" t="str">
        <f t="shared" si="133"/>
        <v>000100</v>
      </c>
      <c r="AY135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0">
        <f>((Table1334567[[#This Row],[High C]]+Table1334567[[#This Row],[Low C]])/2)*Table1334567[[#This Row],[gammac]]*Table1334567[[#This Row],[Volume]]</f>
        <v>0</v>
      </c>
      <c r="BD1350">
        <f>((Table1334567[[#This Row],[High P]]+Table1334567[[#This Row],[Low P]])/2)*Table1334567[[#This Row],[gammap]]*Table1334567[[#This Row],[Volume9]]*-1</f>
        <v>0</v>
      </c>
      <c r="BE1350">
        <f>(Table1334567[[#This Row],[SgammaC]]+Table1334567[[#This Row],[SgammaP]])*$A$4*-100</f>
        <v>0</v>
      </c>
      <c r="BF1350">
        <f>Table1334567[[#This Row],[DEXc]]+Table1334567[[#This Row],[DEXp]]</f>
        <v>0</v>
      </c>
      <c r="BG1350">
        <f>IFERROR(Table1334567[[#This Row],[DeltaC]]*Table1334567[[#This Row],[Open.Int]]*$A$4,0)</f>
        <v>0</v>
      </c>
      <c r="BH1350">
        <f>IFERROR(Table1334567[[#This Row],[DeltaP]]*Table1334567[[#This Row],[Open.Int8]]*$A$4,0)</f>
        <v>0</v>
      </c>
      <c r="BI135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0">
        <f ca="1">Table1334567[[#This Row],[charmc]]+Table1334567[[#This Row],[charmp]]</f>
        <v>0</v>
      </c>
      <c r="BL135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0" s="78">
        <f ca="1">Table1334567[[#This Row],[call helper]]+Table1334567[[#This Row],[put helper]]</f>
        <v>0</v>
      </c>
      <c r="BP1350" t="str">
        <f>RTD("tos.rtd", , "STRIKE", "."&amp;Table1334567[[#This Row],[Ticker]]&amp;Table1334567[[#This Row],[Expiry]]&amp;""&amp;"C"&amp;Table1334567[[#This Row],[Spot]]+Table1334567[[#This Row],[step]])</f>
        <v>N/A</v>
      </c>
    </row>
    <row r="1351" spans="1:68" x14ac:dyDescent="0.25">
      <c r="A1351" s="14">
        <f t="shared" ca="1" si="129"/>
        <v>-126.14810350076104</v>
      </c>
      <c r="C1351" s="17"/>
      <c r="D1351" t="str">
        <f>RTD("tos.rtd", , "OPEN_INT", "."&amp;Table1334567[[#This Row],[Ticker]]&amp;Table1334567[[#This Row],[Expiry]]&amp;""&amp;"C"&amp;Table1334567[[#This Row],[Spot]]+Table1334567[[#This Row],[step]])</f>
        <v>N/A</v>
      </c>
      <c r="E135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1" s="17" cm="1">
        <f t="array" aca="1" ref="H1351" ca="1">IndividualLegIVCore($A$4, Table1334567[[#This Row],[Strike]], 0.0411, Table1334567[[#This Row],[T]], ((Table1334567[[#This Row],[BIDC]]+Table1334567[[#This Row],[ASKC]])/2), TRUE)</f>
        <v>0.01</v>
      </c>
      <c r="I135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1" s="17"/>
      <c r="M1351" s="1">
        <f t="shared" si="130"/>
        <v>0</v>
      </c>
      <c r="N1351" t="b">
        <f t="shared" si="131"/>
        <v>0</v>
      </c>
      <c r="P1351" s="17" cm="1">
        <f t="array" aca="1" ref="P1351" ca="1">IndividualLegIVCore($A$4, Table1334567[[#This Row],[Strike]], 0.0411, Table1334567[[#This Row],[T]], ((Table1334567[[#This Row],[BIDP]]+Table1334567[[#This Row],[ASKP]])/2), FALSE)</f>
        <v>0.01</v>
      </c>
      <c r="Q135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1" s="17"/>
      <c r="T135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1" s="19">
        <f>11.5* IF($M$1="NDX", 10, IF(OR($M$1="SPX", $M$1="RUT"), 2, 1))</f>
        <v>23</v>
      </c>
      <c r="Z1351">
        <f ca="1">IFERROR(Table1334567[[#This Row],[call gamma]]*(Table1334567[[#This Row],[Open.Int]])*$A$4^2,0)</f>
        <v>0</v>
      </c>
      <c r="AA1351">
        <f ca="1">IFERROR(((Table1334567[[#This Row],[Open.Int8]])*Table1334567[[#This Row],[Put gamma]])*-1*$A$4^2,0)</f>
        <v>0</v>
      </c>
      <c r="AB1351">
        <f ca="1">(Table1334567[[#This Row],[Call Gex]]+Table1334567[[#This Row],[Put Gex]])</f>
        <v>0</v>
      </c>
      <c r="AC1351">
        <f ca="1">Table1334567[[#This Row],[put delta adj]]+Table1334567[[#This Row],[call delta adj]]</f>
        <v>0</v>
      </c>
      <c r="AD1351">
        <f ca="1">Table1334567[[#This Row],[Put Gex]]*Table1334567[[#This Row],[DeltaP]]*-1</f>
        <v>0</v>
      </c>
      <c r="AE1351">
        <f ca="1">Table1334567[[#This Row],[Call Gex]]*Table1334567[[#This Row],[DeltaC]]</f>
        <v>0</v>
      </c>
      <c r="AF1351">
        <f>IF(Table1334567[[#This Row],[DeltaC]]-ABS(Table1334567[[#This Row],[DeltaP]])="0","0.01",Table1334567[[#This Row],[DeltaC]]-ABS(Table1334567[[#This Row],[DeltaP]]))</f>
        <v>0</v>
      </c>
      <c r="AG135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1" t="e">
        <f ca="1">(EXP(-(AG1351^2)/2)/SQRT(2*PI())*EXP(0*SQRT(Table1334567[[#This Row],[T]]))/$A$4*18%*SQRT(SQRT(Table1334567[[#This Row],[T]])))</f>
        <v>#DIV/0!</v>
      </c>
      <c r="AJ1351" t="e">
        <f ca="1">(EXP(-(AH1351^2)/2)/SQRT(2*PI())*EXP(0*SQRT(Table1334567[[#This Row],[T]]))/$A$4*18%*SQRT(SQRT(Table1334567[[#This Row],[T]])))</f>
        <v>#DIV/0!</v>
      </c>
      <c r="AK1351" t="e">
        <f ca="1">Table1334567[[#This Row],[Call D1]]-Table1334567[[#This Row],[IV Calc C]]*SQRT(Table1334567[[#This Row],[T]])</f>
        <v>#DIV/0!</v>
      </c>
      <c r="AL1351" t="e">
        <f ca="1">Table1334567[[#This Row],[Put D1]]-Table1334567[[#This Row],[IV Calc P]]*SQRT(Table1334567[[#This Row],[T]])</f>
        <v>#DIV/0!</v>
      </c>
      <c r="AM1351" t="e">
        <f ca="1">EXP(-0.5*Table1334567[[#This Row],[Call D1]]^2)/SQRT(2*PI())</f>
        <v>#DIV/0!</v>
      </c>
      <c r="AN1351" t="e">
        <f ca="1">EXP(-0.5*Table1334567[[#This Row],[Put D1]]^2)/SQRT(2*PI())</f>
        <v>#DIV/0!</v>
      </c>
      <c r="AO135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1">
        <f ca="1">((Table1334567[[#This Row],[call vanna]]+Table1334567[[#This Row],[put vanna]])*$A$4)</f>
        <v>0</v>
      </c>
      <c r="AR135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1" s="9" t="str" cm="1">
        <f t="array" ref="AT1351">_xlfn.IFS(     $M$1="SPX","SPXW",     $M$1="RUT","RUTW",  $M$1="NDX","NDXP",   TRUE,$M$1 )</f>
        <v>SPXW</v>
      </c>
      <c r="AU1351" s="2">
        <f t="shared" si="132"/>
        <v>6915</v>
      </c>
      <c r="AV1351" t="str">
        <f t="shared" si="133"/>
        <v>000100</v>
      </c>
      <c r="AY135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1">
        <f>((Table1334567[[#This Row],[High C]]+Table1334567[[#This Row],[Low C]])/2)*Table1334567[[#This Row],[gammac]]*Table1334567[[#This Row],[Volume]]</f>
        <v>0</v>
      </c>
      <c r="BD1351">
        <f>((Table1334567[[#This Row],[High P]]+Table1334567[[#This Row],[Low P]])/2)*Table1334567[[#This Row],[gammap]]*Table1334567[[#This Row],[Volume9]]*-1</f>
        <v>0</v>
      </c>
      <c r="BE1351">
        <f>(Table1334567[[#This Row],[SgammaC]]+Table1334567[[#This Row],[SgammaP]])*$A$4*-100</f>
        <v>0</v>
      </c>
      <c r="BF1351">
        <f>Table1334567[[#This Row],[DEXc]]+Table1334567[[#This Row],[DEXp]]</f>
        <v>0</v>
      </c>
      <c r="BG1351">
        <f>IFERROR(Table1334567[[#This Row],[DeltaC]]*Table1334567[[#This Row],[Open.Int]]*$A$4,0)</f>
        <v>0</v>
      </c>
      <c r="BH1351">
        <f>IFERROR(Table1334567[[#This Row],[DeltaP]]*Table1334567[[#This Row],[Open.Int8]]*$A$4,0)</f>
        <v>0</v>
      </c>
      <c r="BI135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1">
        <f ca="1">Table1334567[[#This Row],[charmc]]+Table1334567[[#This Row],[charmp]]</f>
        <v>0</v>
      </c>
      <c r="BL135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1" s="78">
        <f ca="1">Table1334567[[#This Row],[call helper]]+Table1334567[[#This Row],[put helper]]</f>
        <v>0</v>
      </c>
      <c r="BP1351" t="str">
        <f>RTD("tos.rtd", , "STRIKE", "."&amp;Table1334567[[#This Row],[Ticker]]&amp;Table1334567[[#This Row],[Expiry]]&amp;""&amp;"C"&amp;Table1334567[[#This Row],[Spot]]+Table1334567[[#This Row],[step]])</f>
        <v>N/A</v>
      </c>
    </row>
    <row r="1352" spans="1:68" x14ac:dyDescent="0.25">
      <c r="A1352" s="14">
        <f t="shared" ca="1" si="129"/>
        <v>-126.14810350076104</v>
      </c>
      <c r="C1352" s="17"/>
      <c r="D1352" t="str">
        <f>RTD("tos.rtd", , "OPEN_INT", "."&amp;Table1334567[[#This Row],[Ticker]]&amp;Table1334567[[#This Row],[Expiry]]&amp;""&amp;"C"&amp;Table1334567[[#This Row],[Spot]]+Table1334567[[#This Row],[step]])</f>
        <v>N/A</v>
      </c>
      <c r="E135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2" s="17" cm="1">
        <f t="array" aca="1" ref="H1352" ca="1">IndividualLegIVCore($A$4, Table1334567[[#This Row],[Strike]], 0.0411, Table1334567[[#This Row],[T]], ((Table1334567[[#This Row],[BIDC]]+Table1334567[[#This Row],[ASKC]])/2), TRUE)</f>
        <v>0.01</v>
      </c>
      <c r="I135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2" s="17"/>
      <c r="M1352" s="1">
        <f t="shared" si="130"/>
        <v>0</v>
      </c>
      <c r="N1352" t="b">
        <f t="shared" si="131"/>
        <v>0</v>
      </c>
      <c r="P1352" s="17" cm="1">
        <f t="array" aca="1" ref="P1352" ca="1">IndividualLegIVCore($A$4, Table1334567[[#This Row],[Strike]], 0.0411, Table1334567[[#This Row],[T]], ((Table1334567[[#This Row],[BIDP]]+Table1334567[[#This Row],[ASKP]])/2), FALSE)</f>
        <v>0.01</v>
      </c>
      <c r="Q135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2" s="17"/>
      <c r="T135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2" s="19">
        <f>12* IF($M$1="NDX", 10, IF(OR($M$1="SPX", $M$1="RUT"), 2, 1))</f>
        <v>24</v>
      </c>
      <c r="Z1352">
        <f ca="1">IFERROR(Table1334567[[#This Row],[call gamma]]*(Table1334567[[#This Row],[Open.Int]])*$A$4^2,0)</f>
        <v>0</v>
      </c>
      <c r="AA1352">
        <f ca="1">IFERROR(((Table1334567[[#This Row],[Open.Int8]])*Table1334567[[#This Row],[Put gamma]])*-1*$A$4^2,0)</f>
        <v>0</v>
      </c>
      <c r="AB1352">
        <f ca="1">(Table1334567[[#This Row],[Call Gex]]+Table1334567[[#This Row],[Put Gex]])</f>
        <v>0</v>
      </c>
      <c r="AC1352">
        <f ca="1">Table1334567[[#This Row],[put delta adj]]+Table1334567[[#This Row],[call delta adj]]</f>
        <v>0</v>
      </c>
      <c r="AD1352">
        <f ca="1">Table1334567[[#This Row],[Put Gex]]*Table1334567[[#This Row],[DeltaP]]*-1</f>
        <v>0</v>
      </c>
      <c r="AE1352">
        <f ca="1">Table1334567[[#This Row],[Call Gex]]*Table1334567[[#This Row],[DeltaC]]</f>
        <v>0</v>
      </c>
      <c r="AF1352">
        <f>IF(Table1334567[[#This Row],[DeltaC]]-ABS(Table1334567[[#This Row],[DeltaP]])="0","0.01",Table1334567[[#This Row],[DeltaC]]-ABS(Table1334567[[#This Row],[DeltaP]]))</f>
        <v>0</v>
      </c>
      <c r="AG135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2" t="e">
        <f ca="1">(EXP(-(AG1352^2)/2)/SQRT(2*PI())*EXP(0*SQRT(Table1334567[[#This Row],[T]]))/$A$4*18%*SQRT(SQRT(Table1334567[[#This Row],[T]])))</f>
        <v>#DIV/0!</v>
      </c>
      <c r="AJ1352" t="e">
        <f ca="1">(EXP(-(AH1352^2)/2)/SQRT(2*PI())*EXP(0*SQRT(Table1334567[[#This Row],[T]]))/$A$4*18%*SQRT(SQRT(Table1334567[[#This Row],[T]])))</f>
        <v>#DIV/0!</v>
      </c>
      <c r="AK1352" t="e">
        <f ca="1">Table1334567[[#This Row],[Call D1]]-Table1334567[[#This Row],[IV Calc C]]*SQRT(Table1334567[[#This Row],[T]])</f>
        <v>#DIV/0!</v>
      </c>
      <c r="AL1352" t="e">
        <f ca="1">Table1334567[[#This Row],[Put D1]]-Table1334567[[#This Row],[IV Calc P]]*SQRT(Table1334567[[#This Row],[T]])</f>
        <v>#DIV/0!</v>
      </c>
      <c r="AM1352" t="e">
        <f ca="1">EXP(-0.5*Table1334567[[#This Row],[Call D1]]^2)/SQRT(2*PI())</f>
        <v>#DIV/0!</v>
      </c>
      <c r="AN1352" t="e">
        <f ca="1">EXP(-0.5*Table1334567[[#This Row],[Put D1]]^2)/SQRT(2*PI())</f>
        <v>#DIV/0!</v>
      </c>
      <c r="AO135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2">
        <f ca="1">((Table1334567[[#This Row],[call vanna]]+Table1334567[[#This Row],[put vanna]])*$A$4)</f>
        <v>0</v>
      </c>
      <c r="AR135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2" s="9" t="str" cm="1">
        <f t="array" ref="AT1352">_xlfn.IFS(     $M$1="SPX","SPXW",     $M$1="RUT","RUTW",  $M$1="NDX","NDXP",   TRUE,$M$1 )</f>
        <v>SPXW</v>
      </c>
      <c r="AU1352" s="2">
        <f t="shared" si="132"/>
        <v>6915</v>
      </c>
      <c r="AV1352" t="str">
        <f t="shared" si="133"/>
        <v>000100</v>
      </c>
      <c r="AY135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2">
        <f>((Table1334567[[#This Row],[High C]]+Table1334567[[#This Row],[Low C]])/2)*Table1334567[[#This Row],[gammac]]*Table1334567[[#This Row],[Volume]]</f>
        <v>0</v>
      </c>
      <c r="BD1352">
        <f>((Table1334567[[#This Row],[High P]]+Table1334567[[#This Row],[Low P]])/2)*Table1334567[[#This Row],[gammap]]*Table1334567[[#This Row],[Volume9]]*-1</f>
        <v>0</v>
      </c>
      <c r="BE1352">
        <f>(Table1334567[[#This Row],[SgammaC]]+Table1334567[[#This Row],[SgammaP]])*$A$4*-100</f>
        <v>0</v>
      </c>
      <c r="BF1352">
        <f>Table1334567[[#This Row],[DEXc]]+Table1334567[[#This Row],[DEXp]]</f>
        <v>0</v>
      </c>
      <c r="BG1352">
        <f>IFERROR(Table1334567[[#This Row],[DeltaC]]*Table1334567[[#This Row],[Open.Int]]*$A$4,0)</f>
        <v>0</v>
      </c>
      <c r="BH1352">
        <f>IFERROR(Table1334567[[#This Row],[DeltaP]]*Table1334567[[#This Row],[Open.Int8]]*$A$4,0)</f>
        <v>0</v>
      </c>
      <c r="BI135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2">
        <f ca="1">Table1334567[[#This Row],[charmc]]+Table1334567[[#This Row],[charmp]]</f>
        <v>0</v>
      </c>
      <c r="BL135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2" s="78">
        <f ca="1">Table1334567[[#This Row],[call helper]]+Table1334567[[#This Row],[put helper]]</f>
        <v>0</v>
      </c>
      <c r="BP1352" t="str">
        <f>RTD("tos.rtd", , "STRIKE", "."&amp;Table1334567[[#This Row],[Ticker]]&amp;Table1334567[[#This Row],[Expiry]]&amp;""&amp;"C"&amp;Table1334567[[#This Row],[Spot]]+Table1334567[[#This Row],[step]])</f>
        <v>N/A</v>
      </c>
    </row>
    <row r="1353" spans="1:68" x14ac:dyDescent="0.25">
      <c r="A1353" s="14">
        <f t="shared" ca="1" si="129"/>
        <v>-126.14810350076104</v>
      </c>
      <c r="C1353" s="17"/>
      <c r="D1353" t="str">
        <f>RTD("tos.rtd", , "OPEN_INT", "."&amp;Table1334567[[#This Row],[Ticker]]&amp;Table1334567[[#This Row],[Expiry]]&amp;""&amp;"C"&amp;Table1334567[[#This Row],[Spot]]+Table1334567[[#This Row],[step]])</f>
        <v>N/A</v>
      </c>
      <c r="E135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3" s="17" cm="1">
        <f t="array" aca="1" ref="H1353" ca="1">IndividualLegIVCore($A$4, Table1334567[[#This Row],[Strike]], 0.0411, Table1334567[[#This Row],[T]], ((Table1334567[[#This Row],[BIDC]]+Table1334567[[#This Row],[ASKC]])/2), TRUE)</f>
        <v>0.01</v>
      </c>
      <c r="I135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3" s="17"/>
      <c r="M1353" s="1">
        <f t="shared" si="130"/>
        <v>0</v>
      </c>
      <c r="N1353" t="b">
        <f t="shared" si="131"/>
        <v>0</v>
      </c>
      <c r="P1353" s="17" cm="1">
        <f t="array" aca="1" ref="P1353" ca="1">IndividualLegIVCore($A$4, Table1334567[[#This Row],[Strike]], 0.0411, Table1334567[[#This Row],[T]], ((Table1334567[[#This Row],[BIDP]]+Table1334567[[#This Row],[ASKP]])/2), FALSE)</f>
        <v>0.01</v>
      </c>
      <c r="Q135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3" s="17"/>
      <c r="T135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3" s="19">
        <f>12.5* IF($M$1="NDX", 10, IF(OR($M$1="SPX", $M$1="RUT"), 2, 1))</f>
        <v>25</v>
      </c>
      <c r="Z1353">
        <f ca="1">IFERROR(Table1334567[[#This Row],[call gamma]]*(Table1334567[[#This Row],[Open.Int]])*$A$4^2,0)</f>
        <v>0</v>
      </c>
      <c r="AA1353">
        <f ca="1">IFERROR(((Table1334567[[#This Row],[Open.Int8]])*Table1334567[[#This Row],[Put gamma]])*-1*$A$4^2,0)</f>
        <v>0</v>
      </c>
      <c r="AB1353">
        <f ca="1">(Table1334567[[#This Row],[Call Gex]]+Table1334567[[#This Row],[Put Gex]])</f>
        <v>0</v>
      </c>
      <c r="AC1353">
        <f ca="1">Table1334567[[#This Row],[put delta adj]]+Table1334567[[#This Row],[call delta adj]]</f>
        <v>0</v>
      </c>
      <c r="AD1353">
        <f ca="1">Table1334567[[#This Row],[Put Gex]]*Table1334567[[#This Row],[DeltaP]]*-1</f>
        <v>0</v>
      </c>
      <c r="AE1353">
        <f ca="1">Table1334567[[#This Row],[Call Gex]]*Table1334567[[#This Row],[DeltaC]]</f>
        <v>0</v>
      </c>
      <c r="AF1353">
        <f>IF(Table1334567[[#This Row],[DeltaC]]-ABS(Table1334567[[#This Row],[DeltaP]])="0","0.01",Table1334567[[#This Row],[DeltaC]]-ABS(Table1334567[[#This Row],[DeltaP]]))</f>
        <v>0</v>
      </c>
      <c r="AG135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3" t="e">
        <f ca="1">(EXP(-(AG1353^2)/2)/SQRT(2*PI())*EXP(0*SQRT(Table1334567[[#This Row],[T]]))/$A$4*18%*SQRT(SQRT(Table1334567[[#This Row],[T]])))</f>
        <v>#DIV/0!</v>
      </c>
      <c r="AJ1353" t="e">
        <f ca="1">(EXP(-(AH1353^2)/2)/SQRT(2*PI())*EXP(0*SQRT(Table1334567[[#This Row],[T]]))/$A$4*18%*SQRT(SQRT(Table1334567[[#This Row],[T]])))</f>
        <v>#DIV/0!</v>
      </c>
      <c r="AK1353" t="e">
        <f ca="1">Table1334567[[#This Row],[Call D1]]-Table1334567[[#This Row],[IV Calc C]]*SQRT(Table1334567[[#This Row],[T]])</f>
        <v>#DIV/0!</v>
      </c>
      <c r="AL1353" t="e">
        <f ca="1">Table1334567[[#This Row],[Put D1]]-Table1334567[[#This Row],[IV Calc P]]*SQRT(Table1334567[[#This Row],[T]])</f>
        <v>#DIV/0!</v>
      </c>
      <c r="AM1353" t="e">
        <f ca="1">EXP(-0.5*Table1334567[[#This Row],[Call D1]]^2)/SQRT(2*PI())</f>
        <v>#DIV/0!</v>
      </c>
      <c r="AN1353" t="e">
        <f ca="1">EXP(-0.5*Table1334567[[#This Row],[Put D1]]^2)/SQRT(2*PI())</f>
        <v>#DIV/0!</v>
      </c>
      <c r="AO135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3">
        <f ca="1">((Table1334567[[#This Row],[call vanna]]+Table1334567[[#This Row],[put vanna]])*$A$4)</f>
        <v>0</v>
      </c>
      <c r="AR135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3" s="9" t="str" cm="1">
        <f t="array" ref="AT1353">_xlfn.IFS(     $M$1="SPX","SPXW",     $M$1="RUT","RUTW",  $M$1="NDX","NDXP",   TRUE,$M$1 )</f>
        <v>SPXW</v>
      </c>
      <c r="AU1353" s="2">
        <f t="shared" si="132"/>
        <v>6915</v>
      </c>
      <c r="AV1353" t="str">
        <f t="shared" si="133"/>
        <v>000100</v>
      </c>
      <c r="AY135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3">
        <f>((Table1334567[[#This Row],[High C]]+Table1334567[[#This Row],[Low C]])/2)*Table1334567[[#This Row],[gammac]]*Table1334567[[#This Row],[Volume]]</f>
        <v>0</v>
      </c>
      <c r="BD1353">
        <f>((Table1334567[[#This Row],[High P]]+Table1334567[[#This Row],[Low P]])/2)*Table1334567[[#This Row],[gammap]]*Table1334567[[#This Row],[Volume9]]*-1</f>
        <v>0</v>
      </c>
      <c r="BE1353">
        <f>(Table1334567[[#This Row],[SgammaC]]+Table1334567[[#This Row],[SgammaP]])*$A$4*-100</f>
        <v>0</v>
      </c>
      <c r="BF1353">
        <f>Table1334567[[#This Row],[DEXc]]+Table1334567[[#This Row],[DEXp]]</f>
        <v>0</v>
      </c>
      <c r="BG1353">
        <f>IFERROR(Table1334567[[#This Row],[DeltaC]]*Table1334567[[#This Row],[Open.Int]]*$A$4,0)</f>
        <v>0</v>
      </c>
      <c r="BH1353">
        <f>IFERROR(Table1334567[[#This Row],[DeltaP]]*Table1334567[[#This Row],[Open.Int8]]*$A$4,0)</f>
        <v>0</v>
      </c>
      <c r="BI135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3">
        <f ca="1">Table1334567[[#This Row],[charmc]]+Table1334567[[#This Row],[charmp]]</f>
        <v>0</v>
      </c>
      <c r="BL135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3" s="78">
        <f ca="1">Table1334567[[#This Row],[call helper]]+Table1334567[[#This Row],[put helper]]</f>
        <v>0</v>
      </c>
      <c r="BP1353" t="str">
        <f>RTD("tos.rtd", , "STRIKE", "."&amp;Table1334567[[#This Row],[Ticker]]&amp;Table1334567[[#This Row],[Expiry]]&amp;""&amp;"C"&amp;Table1334567[[#This Row],[Spot]]+Table1334567[[#This Row],[step]])</f>
        <v>N/A</v>
      </c>
    </row>
    <row r="1354" spans="1:68" x14ac:dyDescent="0.25">
      <c r="A1354" s="14">
        <f t="shared" ca="1" si="129"/>
        <v>-126.14810350076104</v>
      </c>
      <c r="C1354" s="17"/>
      <c r="D1354" t="str">
        <f>RTD("tos.rtd", , "OPEN_INT", "."&amp;Table1334567[[#This Row],[Ticker]]&amp;Table1334567[[#This Row],[Expiry]]&amp;""&amp;"C"&amp;Table1334567[[#This Row],[Spot]]+Table1334567[[#This Row],[step]])</f>
        <v>N/A</v>
      </c>
      <c r="E135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4" s="17" cm="1">
        <f t="array" aca="1" ref="H1354" ca="1">IndividualLegIVCore($A$4, Table1334567[[#This Row],[Strike]], 0.0411, Table1334567[[#This Row],[T]], ((Table1334567[[#This Row],[BIDC]]+Table1334567[[#This Row],[ASKC]])/2), TRUE)</f>
        <v>0.01</v>
      </c>
      <c r="I135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4" s="17"/>
      <c r="M1354" s="1">
        <f t="shared" si="130"/>
        <v>0</v>
      </c>
      <c r="N1354" t="b">
        <f t="shared" si="131"/>
        <v>0</v>
      </c>
      <c r="P1354" s="17" cm="1">
        <f t="array" aca="1" ref="P1354" ca="1">IndividualLegIVCore($A$4, Table1334567[[#This Row],[Strike]], 0.0411, Table1334567[[#This Row],[T]], ((Table1334567[[#This Row],[BIDP]]+Table1334567[[#This Row],[ASKP]])/2), FALSE)</f>
        <v>0.01</v>
      </c>
      <c r="Q135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4" s="17"/>
      <c r="T135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4" s="19">
        <f>13* IF($M$1="NDX", 10, IF(OR($M$1="SPX", $M$1="RUT"), 2, 1))</f>
        <v>26</v>
      </c>
      <c r="Z1354">
        <f ca="1">IFERROR(Table1334567[[#This Row],[call gamma]]*(Table1334567[[#This Row],[Open.Int]])*$A$4^2,0)</f>
        <v>0</v>
      </c>
      <c r="AA1354">
        <f ca="1">IFERROR(((Table1334567[[#This Row],[Open.Int8]])*Table1334567[[#This Row],[Put gamma]])*-1*$A$4^2,0)</f>
        <v>0</v>
      </c>
      <c r="AB1354">
        <f ca="1">(Table1334567[[#This Row],[Call Gex]]+Table1334567[[#This Row],[Put Gex]])</f>
        <v>0</v>
      </c>
      <c r="AC1354">
        <f ca="1">Table1334567[[#This Row],[put delta adj]]+Table1334567[[#This Row],[call delta adj]]</f>
        <v>0</v>
      </c>
      <c r="AD1354">
        <f ca="1">Table1334567[[#This Row],[Put Gex]]*Table1334567[[#This Row],[DeltaP]]*-1</f>
        <v>0</v>
      </c>
      <c r="AE1354">
        <f ca="1">Table1334567[[#This Row],[Call Gex]]*Table1334567[[#This Row],[DeltaC]]</f>
        <v>0</v>
      </c>
      <c r="AF1354">
        <f>IF(Table1334567[[#This Row],[DeltaC]]-ABS(Table1334567[[#This Row],[DeltaP]])="0","0.01",Table1334567[[#This Row],[DeltaC]]-ABS(Table1334567[[#This Row],[DeltaP]]))</f>
        <v>0</v>
      </c>
      <c r="AG135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4" t="e">
        <f ca="1">(EXP(-(AG1354^2)/2)/SQRT(2*PI())*EXP(0*SQRT(Table1334567[[#This Row],[T]]))/$A$4*18%*SQRT(SQRT(Table1334567[[#This Row],[T]])))</f>
        <v>#DIV/0!</v>
      </c>
      <c r="AJ1354" t="e">
        <f ca="1">(EXP(-(AH1354^2)/2)/SQRT(2*PI())*EXP(0*SQRT(Table1334567[[#This Row],[T]]))/$A$4*18%*SQRT(SQRT(Table1334567[[#This Row],[T]])))</f>
        <v>#DIV/0!</v>
      </c>
      <c r="AK1354" t="e">
        <f ca="1">Table1334567[[#This Row],[Call D1]]-Table1334567[[#This Row],[IV Calc C]]*SQRT(Table1334567[[#This Row],[T]])</f>
        <v>#DIV/0!</v>
      </c>
      <c r="AL1354" t="e">
        <f ca="1">Table1334567[[#This Row],[Put D1]]-Table1334567[[#This Row],[IV Calc P]]*SQRT(Table1334567[[#This Row],[T]])</f>
        <v>#DIV/0!</v>
      </c>
      <c r="AM1354" t="e">
        <f ca="1">EXP(-0.5*Table1334567[[#This Row],[Call D1]]^2)/SQRT(2*PI())</f>
        <v>#DIV/0!</v>
      </c>
      <c r="AN1354" t="e">
        <f ca="1">EXP(-0.5*Table1334567[[#This Row],[Put D1]]^2)/SQRT(2*PI())</f>
        <v>#DIV/0!</v>
      </c>
      <c r="AO135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4">
        <f ca="1">((Table1334567[[#This Row],[call vanna]]+Table1334567[[#This Row],[put vanna]])*$A$4)</f>
        <v>0</v>
      </c>
      <c r="AR135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4" s="9" t="str" cm="1">
        <f t="array" ref="AT1354">_xlfn.IFS(     $M$1="SPX","SPXW",     $M$1="RUT","RUTW",  $M$1="NDX","NDXP",   TRUE,$M$1 )</f>
        <v>SPXW</v>
      </c>
      <c r="AU1354" s="2">
        <f t="shared" si="132"/>
        <v>6915</v>
      </c>
      <c r="AV1354" t="str">
        <f t="shared" si="133"/>
        <v>000100</v>
      </c>
      <c r="AY135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4">
        <f>((Table1334567[[#This Row],[High C]]+Table1334567[[#This Row],[Low C]])/2)*Table1334567[[#This Row],[gammac]]*Table1334567[[#This Row],[Volume]]</f>
        <v>0</v>
      </c>
      <c r="BD1354">
        <f>((Table1334567[[#This Row],[High P]]+Table1334567[[#This Row],[Low P]])/2)*Table1334567[[#This Row],[gammap]]*Table1334567[[#This Row],[Volume9]]*-1</f>
        <v>0</v>
      </c>
      <c r="BE1354">
        <f>(Table1334567[[#This Row],[SgammaC]]+Table1334567[[#This Row],[SgammaP]])*$A$4*-100</f>
        <v>0</v>
      </c>
      <c r="BF1354">
        <f>Table1334567[[#This Row],[DEXc]]+Table1334567[[#This Row],[DEXp]]</f>
        <v>0</v>
      </c>
      <c r="BG1354">
        <f>IFERROR(Table1334567[[#This Row],[DeltaC]]*Table1334567[[#This Row],[Open.Int]]*$A$4,0)</f>
        <v>0</v>
      </c>
      <c r="BH1354">
        <f>IFERROR(Table1334567[[#This Row],[DeltaP]]*Table1334567[[#This Row],[Open.Int8]]*$A$4,0)</f>
        <v>0</v>
      </c>
      <c r="BI135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4">
        <f ca="1">Table1334567[[#This Row],[charmc]]+Table1334567[[#This Row],[charmp]]</f>
        <v>0</v>
      </c>
      <c r="BL135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4" s="78">
        <f ca="1">Table1334567[[#This Row],[call helper]]+Table1334567[[#This Row],[put helper]]</f>
        <v>0</v>
      </c>
      <c r="BP1354" t="str">
        <f>RTD("tos.rtd", , "STRIKE", "."&amp;Table1334567[[#This Row],[Ticker]]&amp;Table1334567[[#This Row],[Expiry]]&amp;""&amp;"C"&amp;Table1334567[[#This Row],[Spot]]+Table1334567[[#This Row],[step]])</f>
        <v>N/A</v>
      </c>
    </row>
    <row r="1355" spans="1:68" x14ac:dyDescent="0.25">
      <c r="A1355" s="14">
        <f t="shared" ca="1" si="129"/>
        <v>-126.14810350076104</v>
      </c>
      <c r="C1355" s="17"/>
      <c r="D1355" t="str">
        <f>RTD("tos.rtd", , "OPEN_INT", "."&amp;Table1334567[[#This Row],[Ticker]]&amp;Table1334567[[#This Row],[Expiry]]&amp;""&amp;"C"&amp;Table1334567[[#This Row],[Spot]]+Table1334567[[#This Row],[step]])</f>
        <v>N/A</v>
      </c>
      <c r="E135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5" s="17" cm="1">
        <f t="array" aca="1" ref="H1355" ca="1">IndividualLegIVCore($A$4, Table1334567[[#This Row],[Strike]], 0.0411, Table1334567[[#This Row],[T]], ((Table1334567[[#This Row],[BIDC]]+Table1334567[[#This Row],[ASKC]])/2), TRUE)</f>
        <v>0.01</v>
      </c>
      <c r="I135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5" s="17"/>
      <c r="M1355" s="1">
        <f t="shared" si="130"/>
        <v>0</v>
      </c>
      <c r="N1355" t="b">
        <f t="shared" si="131"/>
        <v>0</v>
      </c>
      <c r="P1355" s="17" cm="1">
        <f t="array" aca="1" ref="P1355" ca="1">IndividualLegIVCore($A$4, Table1334567[[#This Row],[Strike]], 0.0411, Table1334567[[#This Row],[T]], ((Table1334567[[#This Row],[BIDP]]+Table1334567[[#This Row],[ASKP]])/2), FALSE)</f>
        <v>0.01</v>
      </c>
      <c r="Q135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5" s="17"/>
      <c r="T135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5" s="19">
        <f>13.5* IF($M$1="NDX", 10, IF(OR($M$1="SPX", $M$1="RUT"), 2, 1))</f>
        <v>27</v>
      </c>
      <c r="Z1355">
        <f ca="1">IFERROR(Table1334567[[#This Row],[call gamma]]*(Table1334567[[#This Row],[Open.Int]])*$A$4^2,0)</f>
        <v>0</v>
      </c>
      <c r="AA1355">
        <f ca="1">IFERROR(((Table1334567[[#This Row],[Open.Int8]])*Table1334567[[#This Row],[Put gamma]])*-1*$A$4^2,0)</f>
        <v>0</v>
      </c>
      <c r="AB1355">
        <f ca="1">(Table1334567[[#This Row],[Call Gex]]+Table1334567[[#This Row],[Put Gex]])</f>
        <v>0</v>
      </c>
      <c r="AC1355">
        <f ca="1">Table1334567[[#This Row],[put delta adj]]+Table1334567[[#This Row],[call delta adj]]</f>
        <v>0</v>
      </c>
      <c r="AD1355">
        <f ca="1">Table1334567[[#This Row],[Put Gex]]*Table1334567[[#This Row],[DeltaP]]*-1</f>
        <v>0</v>
      </c>
      <c r="AE1355">
        <f ca="1">Table1334567[[#This Row],[Call Gex]]*Table1334567[[#This Row],[DeltaC]]</f>
        <v>0</v>
      </c>
      <c r="AF1355">
        <f>IF(Table1334567[[#This Row],[DeltaC]]-ABS(Table1334567[[#This Row],[DeltaP]])="0","0.01",Table1334567[[#This Row],[DeltaC]]-ABS(Table1334567[[#This Row],[DeltaP]]))</f>
        <v>0</v>
      </c>
      <c r="AG135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5" t="e">
        <f ca="1">(EXP(-(AG1355^2)/2)/SQRT(2*PI())*EXP(0*SQRT(Table1334567[[#This Row],[T]]))/$A$4*18%*SQRT(SQRT(Table1334567[[#This Row],[T]])))</f>
        <v>#DIV/0!</v>
      </c>
      <c r="AJ1355" t="e">
        <f ca="1">(EXP(-(AH1355^2)/2)/SQRT(2*PI())*EXP(0*SQRT(Table1334567[[#This Row],[T]]))/$A$4*18%*SQRT(SQRT(Table1334567[[#This Row],[T]])))</f>
        <v>#DIV/0!</v>
      </c>
      <c r="AK1355" t="e">
        <f ca="1">Table1334567[[#This Row],[Call D1]]-Table1334567[[#This Row],[IV Calc C]]*SQRT(Table1334567[[#This Row],[T]])</f>
        <v>#DIV/0!</v>
      </c>
      <c r="AL1355" t="e">
        <f ca="1">Table1334567[[#This Row],[Put D1]]-Table1334567[[#This Row],[IV Calc P]]*SQRT(Table1334567[[#This Row],[T]])</f>
        <v>#DIV/0!</v>
      </c>
      <c r="AM1355" t="e">
        <f ca="1">EXP(-0.5*Table1334567[[#This Row],[Call D1]]^2)/SQRT(2*PI())</f>
        <v>#DIV/0!</v>
      </c>
      <c r="AN1355" t="e">
        <f ca="1">EXP(-0.5*Table1334567[[#This Row],[Put D1]]^2)/SQRT(2*PI())</f>
        <v>#DIV/0!</v>
      </c>
      <c r="AO135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5">
        <f ca="1">((Table1334567[[#This Row],[call vanna]]+Table1334567[[#This Row],[put vanna]])*$A$4)</f>
        <v>0</v>
      </c>
      <c r="AR135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5" s="9" t="str" cm="1">
        <f t="array" ref="AT1355">_xlfn.IFS(     $M$1="SPX","SPXW",     $M$1="RUT","RUTW",  $M$1="NDX","NDXP",   TRUE,$M$1 )</f>
        <v>SPXW</v>
      </c>
      <c r="AU1355" s="2">
        <f t="shared" si="132"/>
        <v>6915</v>
      </c>
      <c r="AV1355" t="str">
        <f t="shared" si="133"/>
        <v>000100</v>
      </c>
      <c r="AY135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5">
        <f>((Table1334567[[#This Row],[High C]]+Table1334567[[#This Row],[Low C]])/2)*Table1334567[[#This Row],[gammac]]*Table1334567[[#This Row],[Volume]]</f>
        <v>0</v>
      </c>
      <c r="BD1355">
        <f>((Table1334567[[#This Row],[High P]]+Table1334567[[#This Row],[Low P]])/2)*Table1334567[[#This Row],[gammap]]*Table1334567[[#This Row],[Volume9]]*-1</f>
        <v>0</v>
      </c>
      <c r="BE1355">
        <f>(Table1334567[[#This Row],[SgammaC]]+Table1334567[[#This Row],[SgammaP]])*$A$4*-100</f>
        <v>0</v>
      </c>
      <c r="BF1355">
        <f>Table1334567[[#This Row],[DEXc]]+Table1334567[[#This Row],[DEXp]]</f>
        <v>0</v>
      </c>
      <c r="BG1355">
        <f>IFERROR(Table1334567[[#This Row],[DeltaC]]*Table1334567[[#This Row],[Open.Int]]*$A$4,0)</f>
        <v>0</v>
      </c>
      <c r="BH1355">
        <f>IFERROR(Table1334567[[#This Row],[DeltaP]]*Table1334567[[#This Row],[Open.Int8]]*$A$4,0)</f>
        <v>0</v>
      </c>
      <c r="BI135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5">
        <f ca="1">Table1334567[[#This Row],[charmc]]+Table1334567[[#This Row],[charmp]]</f>
        <v>0</v>
      </c>
      <c r="BL135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5" s="78">
        <f ca="1">Table1334567[[#This Row],[call helper]]+Table1334567[[#This Row],[put helper]]</f>
        <v>0</v>
      </c>
      <c r="BP1355" t="str">
        <f>RTD("tos.rtd", , "STRIKE", "."&amp;Table1334567[[#This Row],[Ticker]]&amp;Table1334567[[#This Row],[Expiry]]&amp;""&amp;"C"&amp;Table1334567[[#This Row],[Spot]]+Table1334567[[#This Row],[step]])</f>
        <v>N/A</v>
      </c>
    </row>
    <row r="1356" spans="1:68" x14ac:dyDescent="0.25">
      <c r="A1356" s="14">
        <f t="shared" ref="A1356:A1419" ca="1" si="134">$U$3</f>
        <v>-126.14810350076104</v>
      </c>
      <c r="C1356" s="17"/>
      <c r="D1356" t="str">
        <f>RTD("tos.rtd", , "OPEN_INT", "."&amp;Table1334567[[#This Row],[Ticker]]&amp;Table1334567[[#This Row],[Expiry]]&amp;""&amp;"C"&amp;Table1334567[[#This Row],[Spot]]+Table1334567[[#This Row],[step]])</f>
        <v>N/A</v>
      </c>
      <c r="E135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6" s="17" cm="1">
        <f t="array" aca="1" ref="H1356" ca="1">IndividualLegIVCore($A$4, Table1334567[[#This Row],[Strike]], 0.0411, Table1334567[[#This Row],[T]], ((Table1334567[[#This Row],[BIDC]]+Table1334567[[#This Row],[ASKC]])/2), TRUE)</f>
        <v>0.01</v>
      </c>
      <c r="I135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6" s="17"/>
      <c r="M1356" s="1">
        <f t="shared" ref="M1356:M1419" si="135">$U$1</f>
        <v>0</v>
      </c>
      <c r="N1356" t="b">
        <f t="shared" ref="N1356:N1419" si="136">IF(ISNUMBER($BP1356), $BP1356, FALSE)</f>
        <v>0</v>
      </c>
      <c r="P1356" s="17" cm="1">
        <f t="array" aca="1" ref="P1356" ca="1">IndividualLegIVCore($A$4, Table1334567[[#This Row],[Strike]], 0.0411, Table1334567[[#This Row],[T]], ((Table1334567[[#This Row],[BIDP]]+Table1334567[[#This Row],[ASKP]])/2), FALSE)</f>
        <v>0.01</v>
      </c>
      <c r="Q135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6" s="17"/>
      <c r="T135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6" s="19">
        <f>14* IF($M$1="NDX", 10, IF(OR($M$1="SPX", $M$1="RUT"), 2, 1))</f>
        <v>28</v>
      </c>
      <c r="Z1356">
        <f ca="1">IFERROR(Table1334567[[#This Row],[call gamma]]*(Table1334567[[#This Row],[Open.Int]])*$A$4^2,0)</f>
        <v>0</v>
      </c>
      <c r="AA1356">
        <f ca="1">IFERROR(((Table1334567[[#This Row],[Open.Int8]])*Table1334567[[#This Row],[Put gamma]])*-1*$A$4^2,0)</f>
        <v>0</v>
      </c>
      <c r="AB1356">
        <f ca="1">(Table1334567[[#This Row],[Call Gex]]+Table1334567[[#This Row],[Put Gex]])</f>
        <v>0</v>
      </c>
      <c r="AC1356">
        <f ca="1">Table1334567[[#This Row],[put delta adj]]+Table1334567[[#This Row],[call delta adj]]</f>
        <v>0</v>
      </c>
      <c r="AD1356">
        <f ca="1">Table1334567[[#This Row],[Put Gex]]*Table1334567[[#This Row],[DeltaP]]*-1</f>
        <v>0</v>
      </c>
      <c r="AE1356">
        <f ca="1">Table1334567[[#This Row],[Call Gex]]*Table1334567[[#This Row],[DeltaC]]</f>
        <v>0</v>
      </c>
      <c r="AF1356">
        <f>IF(Table1334567[[#This Row],[DeltaC]]-ABS(Table1334567[[#This Row],[DeltaP]])="0","0.01",Table1334567[[#This Row],[DeltaC]]-ABS(Table1334567[[#This Row],[DeltaP]]))</f>
        <v>0</v>
      </c>
      <c r="AG135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6" t="e">
        <f ca="1">(EXP(-(AG1356^2)/2)/SQRT(2*PI())*EXP(0*SQRT(Table1334567[[#This Row],[T]]))/$A$4*18%*SQRT(SQRT(Table1334567[[#This Row],[T]])))</f>
        <v>#DIV/0!</v>
      </c>
      <c r="AJ1356" t="e">
        <f ca="1">(EXP(-(AH1356^2)/2)/SQRT(2*PI())*EXP(0*SQRT(Table1334567[[#This Row],[T]]))/$A$4*18%*SQRT(SQRT(Table1334567[[#This Row],[T]])))</f>
        <v>#DIV/0!</v>
      </c>
      <c r="AK1356" t="e">
        <f ca="1">Table1334567[[#This Row],[Call D1]]-Table1334567[[#This Row],[IV Calc C]]*SQRT(Table1334567[[#This Row],[T]])</f>
        <v>#DIV/0!</v>
      </c>
      <c r="AL1356" t="e">
        <f ca="1">Table1334567[[#This Row],[Put D1]]-Table1334567[[#This Row],[IV Calc P]]*SQRT(Table1334567[[#This Row],[T]])</f>
        <v>#DIV/0!</v>
      </c>
      <c r="AM1356" t="e">
        <f ca="1">EXP(-0.5*Table1334567[[#This Row],[Call D1]]^2)/SQRT(2*PI())</f>
        <v>#DIV/0!</v>
      </c>
      <c r="AN1356" t="e">
        <f ca="1">EXP(-0.5*Table1334567[[#This Row],[Put D1]]^2)/SQRT(2*PI())</f>
        <v>#DIV/0!</v>
      </c>
      <c r="AO135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6">
        <f ca="1">((Table1334567[[#This Row],[call vanna]]+Table1334567[[#This Row],[put vanna]])*$A$4)</f>
        <v>0</v>
      </c>
      <c r="AR135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6" s="9" t="str" cm="1">
        <f t="array" ref="AT1356">_xlfn.IFS(     $M$1="SPX","SPXW",     $M$1="RUT","RUTW",  $M$1="NDX","NDXP",   TRUE,$M$1 )</f>
        <v>SPXW</v>
      </c>
      <c r="AU1356" s="2">
        <f t="shared" ref="AU1356:AU1419" si="137">$N$1</f>
        <v>6915</v>
      </c>
      <c r="AV1356" t="str">
        <f t="shared" ref="AV1356:AV1419" si="138">$U$2</f>
        <v>000100</v>
      </c>
      <c r="AY135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6">
        <f>((Table1334567[[#This Row],[High C]]+Table1334567[[#This Row],[Low C]])/2)*Table1334567[[#This Row],[gammac]]*Table1334567[[#This Row],[Volume]]</f>
        <v>0</v>
      </c>
      <c r="BD1356">
        <f>((Table1334567[[#This Row],[High P]]+Table1334567[[#This Row],[Low P]])/2)*Table1334567[[#This Row],[gammap]]*Table1334567[[#This Row],[Volume9]]*-1</f>
        <v>0</v>
      </c>
      <c r="BE1356">
        <f>(Table1334567[[#This Row],[SgammaC]]+Table1334567[[#This Row],[SgammaP]])*$A$4*-100</f>
        <v>0</v>
      </c>
      <c r="BF1356">
        <f>Table1334567[[#This Row],[DEXc]]+Table1334567[[#This Row],[DEXp]]</f>
        <v>0</v>
      </c>
      <c r="BG1356">
        <f>IFERROR(Table1334567[[#This Row],[DeltaC]]*Table1334567[[#This Row],[Open.Int]]*$A$4,0)</f>
        <v>0</v>
      </c>
      <c r="BH1356">
        <f>IFERROR(Table1334567[[#This Row],[DeltaP]]*Table1334567[[#This Row],[Open.Int8]]*$A$4,0)</f>
        <v>0</v>
      </c>
      <c r="BI135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6">
        <f ca="1">Table1334567[[#This Row],[charmc]]+Table1334567[[#This Row],[charmp]]</f>
        <v>0</v>
      </c>
      <c r="BL135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6" s="78">
        <f ca="1">Table1334567[[#This Row],[call helper]]+Table1334567[[#This Row],[put helper]]</f>
        <v>0</v>
      </c>
      <c r="BP1356" t="str">
        <f>RTD("tos.rtd", , "STRIKE", "."&amp;Table1334567[[#This Row],[Ticker]]&amp;Table1334567[[#This Row],[Expiry]]&amp;""&amp;"C"&amp;Table1334567[[#This Row],[Spot]]+Table1334567[[#This Row],[step]])</f>
        <v>N/A</v>
      </c>
    </row>
    <row r="1357" spans="1:68" x14ac:dyDescent="0.25">
      <c r="A1357" s="14">
        <f t="shared" ca="1" si="134"/>
        <v>-126.14810350076104</v>
      </c>
      <c r="C1357" s="17"/>
      <c r="D1357" t="str">
        <f>RTD("tos.rtd", , "OPEN_INT", "."&amp;Table1334567[[#This Row],[Ticker]]&amp;Table1334567[[#This Row],[Expiry]]&amp;""&amp;"C"&amp;Table1334567[[#This Row],[Spot]]+Table1334567[[#This Row],[step]])</f>
        <v>N/A</v>
      </c>
      <c r="E135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7" s="17" cm="1">
        <f t="array" aca="1" ref="H1357" ca="1">IndividualLegIVCore($A$4, Table1334567[[#This Row],[Strike]], 0.0411, Table1334567[[#This Row],[T]], ((Table1334567[[#This Row],[BIDC]]+Table1334567[[#This Row],[ASKC]])/2), TRUE)</f>
        <v>0.01</v>
      </c>
      <c r="I135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7" s="17"/>
      <c r="M1357" s="1">
        <f t="shared" si="135"/>
        <v>0</v>
      </c>
      <c r="N1357" t="b">
        <f t="shared" si="136"/>
        <v>0</v>
      </c>
      <c r="P1357" s="17" cm="1">
        <f t="array" aca="1" ref="P1357" ca="1">IndividualLegIVCore($A$4, Table1334567[[#This Row],[Strike]], 0.0411, Table1334567[[#This Row],[T]], ((Table1334567[[#This Row],[BIDP]]+Table1334567[[#This Row],[ASKP]])/2), FALSE)</f>
        <v>0.01</v>
      </c>
      <c r="Q135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7" s="17"/>
      <c r="T135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7" s="19">
        <f>14.5* IF($M$1="NDX", 10, IF(OR($M$1="SPX", $M$1="RUT"), 2, 1))</f>
        <v>29</v>
      </c>
      <c r="Z1357">
        <f ca="1">IFERROR(Table1334567[[#This Row],[call gamma]]*(Table1334567[[#This Row],[Open.Int]])*$A$4^2,0)</f>
        <v>0</v>
      </c>
      <c r="AA1357">
        <f ca="1">IFERROR(((Table1334567[[#This Row],[Open.Int8]])*Table1334567[[#This Row],[Put gamma]])*-1*$A$4^2,0)</f>
        <v>0</v>
      </c>
      <c r="AB1357">
        <f ca="1">(Table1334567[[#This Row],[Call Gex]]+Table1334567[[#This Row],[Put Gex]])</f>
        <v>0</v>
      </c>
      <c r="AC1357">
        <f ca="1">Table1334567[[#This Row],[put delta adj]]+Table1334567[[#This Row],[call delta adj]]</f>
        <v>0</v>
      </c>
      <c r="AD1357">
        <f ca="1">Table1334567[[#This Row],[Put Gex]]*Table1334567[[#This Row],[DeltaP]]*-1</f>
        <v>0</v>
      </c>
      <c r="AE1357">
        <f ca="1">Table1334567[[#This Row],[Call Gex]]*Table1334567[[#This Row],[DeltaC]]</f>
        <v>0</v>
      </c>
      <c r="AF1357">
        <f>IF(Table1334567[[#This Row],[DeltaC]]-ABS(Table1334567[[#This Row],[DeltaP]])="0","0.01",Table1334567[[#This Row],[DeltaC]]-ABS(Table1334567[[#This Row],[DeltaP]]))</f>
        <v>0</v>
      </c>
      <c r="AG135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7" t="e">
        <f ca="1">(EXP(-(AG1357^2)/2)/SQRT(2*PI())*EXP(0*SQRT(Table1334567[[#This Row],[T]]))/$A$4*18%*SQRT(SQRT(Table1334567[[#This Row],[T]])))</f>
        <v>#DIV/0!</v>
      </c>
      <c r="AJ1357" t="e">
        <f ca="1">(EXP(-(AH1357^2)/2)/SQRT(2*PI())*EXP(0*SQRT(Table1334567[[#This Row],[T]]))/$A$4*18%*SQRT(SQRT(Table1334567[[#This Row],[T]])))</f>
        <v>#DIV/0!</v>
      </c>
      <c r="AK1357" t="e">
        <f ca="1">Table1334567[[#This Row],[Call D1]]-Table1334567[[#This Row],[IV Calc C]]*SQRT(Table1334567[[#This Row],[T]])</f>
        <v>#DIV/0!</v>
      </c>
      <c r="AL1357" t="e">
        <f ca="1">Table1334567[[#This Row],[Put D1]]-Table1334567[[#This Row],[IV Calc P]]*SQRT(Table1334567[[#This Row],[T]])</f>
        <v>#DIV/0!</v>
      </c>
      <c r="AM1357" t="e">
        <f ca="1">EXP(-0.5*Table1334567[[#This Row],[Call D1]]^2)/SQRT(2*PI())</f>
        <v>#DIV/0!</v>
      </c>
      <c r="AN1357" t="e">
        <f ca="1">EXP(-0.5*Table1334567[[#This Row],[Put D1]]^2)/SQRT(2*PI())</f>
        <v>#DIV/0!</v>
      </c>
      <c r="AO135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7">
        <f ca="1">((Table1334567[[#This Row],[call vanna]]+Table1334567[[#This Row],[put vanna]])*$A$4)</f>
        <v>0</v>
      </c>
      <c r="AR135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7" s="9" t="str" cm="1">
        <f t="array" ref="AT1357">_xlfn.IFS(     $M$1="SPX","SPXW",     $M$1="RUT","RUTW",  $M$1="NDX","NDXP",   TRUE,$M$1 )</f>
        <v>SPXW</v>
      </c>
      <c r="AU1357" s="2">
        <f t="shared" si="137"/>
        <v>6915</v>
      </c>
      <c r="AV1357" t="str">
        <f t="shared" si="138"/>
        <v>000100</v>
      </c>
      <c r="AY135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7">
        <f>((Table1334567[[#This Row],[High C]]+Table1334567[[#This Row],[Low C]])/2)*Table1334567[[#This Row],[gammac]]*Table1334567[[#This Row],[Volume]]</f>
        <v>0</v>
      </c>
      <c r="BD1357">
        <f>((Table1334567[[#This Row],[High P]]+Table1334567[[#This Row],[Low P]])/2)*Table1334567[[#This Row],[gammap]]*Table1334567[[#This Row],[Volume9]]*-1</f>
        <v>0</v>
      </c>
      <c r="BE1357">
        <f>(Table1334567[[#This Row],[SgammaC]]+Table1334567[[#This Row],[SgammaP]])*$A$4*-100</f>
        <v>0</v>
      </c>
      <c r="BF1357">
        <f>Table1334567[[#This Row],[DEXc]]+Table1334567[[#This Row],[DEXp]]</f>
        <v>0</v>
      </c>
      <c r="BG1357">
        <f>IFERROR(Table1334567[[#This Row],[DeltaC]]*Table1334567[[#This Row],[Open.Int]]*$A$4,0)</f>
        <v>0</v>
      </c>
      <c r="BH1357">
        <f>IFERROR(Table1334567[[#This Row],[DeltaP]]*Table1334567[[#This Row],[Open.Int8]]*$A$4,0)</f>
        <v>0</v>
      </c>
      <c r="BI135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7">
        <f ca="1">Table1334567[[#This Row],[charmc]]+Table1334567[[#This Row],[charmp]]</f>
        <v>0</v>
      </c>
      <c r="BL135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7" s="78">
        <f ca="1">Table1334567[[#This Row],[call helper]]+Table1334567[[#This Row],[put helper]]</f>
        <v>0</v>
      </c>
      <c r="BP1357" t="str">
        <f>RTD("tos.rtd", , "STRIKE", "."&amp;Table1334567[[#This Row],[Ticker]]&amp;Table1334567[[#This Row],[Expiry]]&amp;""&amp;"C"&amp;Table1334567[[#This Row],[Spot]]+Table1334567[[#This Row],[step]])</f>
        <v>N/A</v>
      </c>
    </row>
    <row r="1358" spans="1:68" x14ac:dyDescent="0.25">
      <c r="A1358" s="14">
        <f t="shared" ca="1" si="134"/>
        <v>-126.14810350076104</v>
      </c>
      <c r="C1358" s="17"/>
      <c r="D1358" t="str">
        <f>RTD("tos.rtd", , "OPEN_INT", "."&amp;Table1334567[[#This Row],[Ticker]]&amp;Table1334567[[#This Row],[Expiry]]&amp;""&amp;"C"&amp;Table1334567[[#This Row],[Spot]]+Table1334567[[#This Row],[step]])</f>
        <v>N/A</v>
      </c>
      <c r="E135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8" s="17" cm="1">
        <f t="array" aca="1" ref="H1358" ca="1">IndividualLegIVCore($A$4, Table1334567[[#This Row],[Strike]], 0.0411, Table1334567[[#This Row],[T]], ((Table1334567[[#This Row],[BIDC]]+Table1334567[[#This Row],[ASKC]])/2), TRUE)</f>
        <v>0.01</v>
      </c>
      <c r="I135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8" s="17"/>
      <c r="M1358" s="1">
        <f t="shared" si="135"/>
        <v>0</v>
      </c>
      <c r="N1358" t="b">
        <f t="shared" si="136"/>
        <v>0</v>
      </c>
      <c r="P1358" s="17" cm="1">
        <f t="array" aca="1" ref="P1358" ca="1">IndividualLegIVCore($A$4, Table1334567[[#This Row],[Strike]], 0.0411, Table1334567[[#This Row],[T]], ((Table1334567[[#This Row],[BIDP]]+Table1334567[[#This Row],[ASKP]])/2), FALSE)</f>
        <v>0.01</v>
      </c>
      <c r="Q135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8" s="17"/>
      <c r="T135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8" s="19">
        <f>15* IF($M$1="NDX", 10, IF(OR($M$1="SPX", $M$1="RUT"), 2, 1))</f>
        <v>30</v>
      </c>
      <c r="Z1358">
        <f ca="1">IFERROR(Table1334567[[#This Row],[call gamma]]*(Table1334567[[#This Row],[Open.Int]])*$A$4^2,0)</f>
        <v>0</v>
      </c>
      <c r="AA1358">
        <f ca="1">IFERROR(((Table1334567[[#This Row],[Open.Int8]])*Table1334567[[#This Row],[Put gamma]])*-1*$A$4^2,0)</f>
        <v>0</v>
      </c>
      <c r="AB1358">
        <f ca="1">(Table1334567[[#This Row],[Call Gex]]+Table1334567[[#This Row],[Put Gex]])</f>
        <v>0</v>
      </c>
      <c r="AC1358">
        <f ca="1">Table1334567[[#This Row],[put delta adj]]+Table1334567[[#This Row],[call delta adj]]</f>
        <v>0</v>
      </c>
      <c r="AD1358">
        <f ca="1">Table1334567[[#This Row],[Put Gex]]*Table1334567[[#This Row],[DeltaP]]*-1</f>
        <v>0</v>
      </c>
      <c r="AE1358">
        <f ca="1">Table1334567[[#This Row],[Call Gex]]*Table1334567[[#This Row],[DeltaC]]</f>
        <v>0</v>
      </c>
      <c r="AF1358">
        <f>IF(Table1334567[[#This Row],[DeltaC]]-ABS(Table1334567[[#This Row],[DeltaP]])="0","0.01",Table1334567[[#This Row],[DeltaC]]-ABS(Table1334567[[#This Row],[DeltaP]]))</f>
        <v>0</v>
      </c>
      <c r="AG135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8" t="e">
        <f ca="1">(EXP(-(AG1358^2)/2)/SQRT(2*PI())*EXP(0*SQRT(Table1334567[[#This Row],[T]]))/$A$4*18%*SQRT(SQRT(Table1334567[[#This Row],[T]])))</f>
        <v>#DIV/0!</v>
      </c>
      <c r="AJ1358" t="e">
        <f ca="1">(EXP(-(AH1358^2)/2)/SQRT(2*PI())*EXP(0*SQRT(Table1334567[[#This Row],[T]]))/$A$4*18%*SQRT(SQRT(Table1334567[[#This Row],[T]])))</f>
        <v>#DIV/0!</v>
      </c>
      <c r="AK1358" t="e">
        <f ca="1">Table1334567[[#This Row],[Call D1]]-Table1334567[[#This Row],[IV Calc C]]*SQRT(Table1334567[[#This Row],[T]])</f>
        <v>#DIV/0!</v>
      </c>
      <c r="AL1358" t="e">
        <f ca="1">Table1334567[[#This Row],[Put D1]]-Table1334567[[#This Row],[IV Calc P]]*SQRT(Table1334567[[#This Row],[T]])</f>
        <v>#DIV/0!</v>
      </c>
      <c r="AM1358" t="e">
        <f ca="1">EXP(-0.5*Table1334567[[#This Row],[Call D1]]^2)/SQRT(2*PI())</f>
        <v>#DIV/0!</v>
      </c>
      <c r="AN1358" t="e">
        <f ca="1">EXP(-0.5*Table1334567[[#This Row],[Put D1]]^2)/SQRT(2*PI())</f>
        <v>#DIV/0!</v>
      </c>
      <c r="AO135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8">
        <f ca="1">((Table1334567[[#This Row],[call vanna]]+Table1334567[[#This Row],[put vanna]])*$A$4)</f>
        <v>0</v>
      </c>
      <c r="AR135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8" s="9" t="str" cm="1">
        <f t="array" ref="AT1358">_xlfn.IFS(     $M$1="SPX","SPXW",     $M$1="RUT","RUTW",  $M$1="NDX","NDXP",   TRUE,$M$1 )</f>
        <v>SPXW</v>
      </c>
      <c r="AU1358" s="2">
        <f t="shared" si="137"/>
        <v>6915</v>
      </c>
      <c r="AV1358" t="str">
        <f t="shared" si="138"/>
        <v>000100</v>
      </c>
      <c r="AY135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8">
        <f>((Table1334567[[#This Row],[High C]]+Table1334567[[#This Row],[Low C]])/2)*Table1334567[[#This Row],[gammac]]*Table1334567[[#This Row],[Volume]]</f>
        <v>0</v>
      </c>
      <c r="BD1358">
        <f>((Table1334567[[#This Row],[High P]]+Table1334567[[#This Row],[Low P]])/2)*Table1334567[[#This Row],[gammap]]*Table1334567[[#This Row],[Volume9]]*-1</f>
        <v>0</v>
      </c>
      <c r="BE1358">
        <f>(Table1334567[[#This Row],[SgammaC]]+Table1334567[[#This Row],[SgammaP]])*$A$4*-100</f>
        <v>0</v>
      </c>
      <c r="BF1358">
        <f>Table1334567[[#This Row],[DEXc]]+Table1334567[[#This Row],[DEXp]]</f>
        <v>0</v>
      </c>
      <c r="BG1358">
        <f>IFERROR(Table1334567[[#This Row],[DeltaC]]*Table1334567[[#This Row],[Open.Int]]*$A$4,0)</f>
        <v>0</v>
      </c>
      <c r="BH1358">
        <f>IFERROR(Table1334567[[#This Row],[DeltaP]]*Table1334567[[#This Row],[Open.Int8]]*$A$4,0)</f>
        <v>0</v>
      </c>
      <c r="BI135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8">
        <f ca="1">Table1334567[[#This Row],[charmc]]+Table1334567[[#This Row],[charmp]]</f>
        <v>0</v>
      </c>
      <c r="BL135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8" s="78">
        <f ca="1">Table1334567[[#This Row],[call helper]]+Table1334567[[#This Row],[put helper]]</f>
        <v>0</v>
      </c>
      <c r="BP1358" t="str">
        <f>RTD("tos.rtd", , "STRIKE", "."&amp;Table1334567[[#This Row],[Ticker]]&amp;Table1334567[[#This Row],[Expiry]]&amp;""&amp;"C"&amp;Table1334567[[#This Row],[Spot]]+Table1334567[[#This Row],[step]])</f>
        <v>N/A</v>
      </c>
    </row>
    <row r="1359" spans="1:68" x14ac:dyDescent="0.25">
      <c r="A1359" s="14">
        <f t="shared" ca="1" si="134"/>
        <v>-126.14810350076104</v>
      </c>
      <c r="C1359" s="17"/>
      <c r="D1359" t="str">
        <f>RTD("tos.rtd", , "OPEN_INT", "."&amp;Table1334567[[#This Row],[Ticker]]&amp;Table1334567[[#This Row],[Expiry]]&amp;""&amp;"C"&amp;Table1334567[[#This Row],[Spot]]+Table1334567[[#This Row],[step]])</f>
        <v>N/A</v>
      </c>
      <c r="E135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9" s="17" cm="1">
        <f t="array" aca="1" ref="H1359" ca="1">IndividualLegIVCore($A$4, Table1334567[[#This Row],[Strike]], 0.0411, Table1334567[[#This Row],[T]], ((Table1334567[[#This Row],[BIDC]]+Table1334567[[#This Row],[ASKC]])/2), TRUE)</f>
        <v>0.01</v>
      </c>
      <c r="I135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9" s="17"/>
      <c r="M1359" s="1">
        <f t="shared" si="135"/>
        <v>0</v>
      </c>
      <c r="N1359" t="b">
        <f t="shared" si="136"/>
        <v>0</v>
      </c>
      <c r="P1359" s="17" cm="1">
        <f t="array" aca="1" ref="P1359" ca="1">IndividualLegIVCore($A$4, Table1334567[[#This Row],[Strike]], 0.0411, Table1334567[[#This Row],[T]], ((Table1334567[[#This Row],[BIDP]]+Table1334567[[#This Row],[ASKP]])/2), FALSE)</f>
        <v>0.01</v>
      </c>
      <c r="Q135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9" s="17"/>
      <c r="T135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9" s="19">
        <f>15.5* IF($M$1="NDX", 10, IF(OR($M$1="SPX", $M$1="RUT"), 2, 1))</f>
        <v>31</v>
      </c>
      <c r="Z1359">
        <f ca="1">IFERROR(Table1334567[[#This Row],[call gamma]]*(Table1334567[[#This Row],[Open.Int]])*$A$4^2,0)</f>
        <v>0</v>
      </c>
      <c r="AA1359">
        <f ca="1">IFERROR(((Table1334567[[#This Row],[Open.Int8]])*Table1334567[[#This Row],[Put gamma]])*-1*$A$4^2,0)</f>
        <v>0</v>
      </c>
      <c r="AB1359">
        <f ca="1">(Table1334567[[#This Row],[Call Gex]]+Table1334567[[#This Row],[Put Gex]])</f>
        <v>0</v>
      </c>
      <c r="AC1359">
        <f ca="1">Table1334567[[#This Row],[put delta adj]]+Table1334567[[#This Row],[call delta adj]]</f>
        <v>0</v>
      </c>
      <c r="AD1359">
        <f ca="1">Table1334567[[#This Row],[Put Gex]]*Table1334567[[#This Row],[DeltaP]]*-1</f>
        <v>0</v>
      </c>
      <c r="AE1359">
        <f ca="1">Table1334567[[#This Row],[Call Gex]]*Table1334567[[#This Row],[DeltaC]]</f>
        <v>0</v>
      </c>
      <c r="AF1359">
        <f>IF(Table1334567[[#This Row],[DeltaC]]-ABS(Table1334567[[#This Row],[DeltaP]])="0","0.01",Table1334567[[#This Row],[DeltaC]]-ABS(Table1334567[[#This Row],[DeltaP]]))</f>
        <v>0</v>
      </c>
      <c r="AG135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9" t="e">
        <f ca="1">(EXP(-(AG1359^2)/2)/SQRT(2*PI())*EXP(0*SQRT(Table1334567[[#This Row],[T]]))/$A$4*18%*SQRT(SQRT(Table1334567[[#This Row],[T]])))</f>
        <v>#DIV/0!</v>
      </c>
      <c r="AJ1359" t="e">
        <f ca="1">(EXP(-(AH1359^2)/2)/SQRT(2*PI())*EXP(0*SQRT(Table1334567[[#This Row],[T]]))/$A$4*18%*SQRT(SQRT(Table1334567[[#This Row],[T]])))</f>
        <v>#DIV/0!</v>
      </c>
      <c r="AK1359" t="e">
        <f ca="1">Table1334567[[#This Row],[Call D1]]-Table1334567[[#This Row],[IV Calc C]]*SQRT(Table1334567[[#This Row],[T]])</f>
        <v>#DIV/0!</v>
      </c>
      <c r="AL1359" t="e">
        <f ca="1">Table1334567[[#This Row],[Put D1]]-Table1334567[[#This Row],[IV Calc P]]*SQRT(Table1334567[[#This Row],[T]])</f>
        <v>#DIV/0!</v>
      </c>
      <c r="AM1359" t="e">
        <f ca="1">EXP(-0.5*Table1334567[[#This Row],[Call D1]]^2)/SQRT(2*PI())</f>
        <v>#DIV/0!</v>
      </c>
      <c r="AN1359" t="e">
        <f ca="1">EXP(-0.5*Table1334567[[#This Row],[Put D1]]^2)/SQRT(2*PI())</f>
        <v>#DIV/0!</v>
      </c>
      <c r="AO135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9">
        <f ca="1">((Table1334567[[#This Row],[call vanna]]+Table1334567[[#This Row],[put vanna]])*$A$4)</f>
        <v>0</v>
      </c>
      <c r="AR135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9" s="9" t="str" cm="1">
        <f t="array" ref="AT1359">_xlfn.IFS(     $M$1="SPX","SPXW",     $M$1="RUT","RUTW",  $M$1="NDX","NDXP",   TRUE,$M$1 )</f>
        <v>SPXW</v>
      </c>
      <c r="AU1359" s="2">
        <f t="shared" si="137"/>
        <v>6915</v>
      </c>
      <c r="AV1359" t="str">
        <f t="shared" si="138"/>
        <v>000100</v>
      </c>
      <c r="AY135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9">
        <f>((Table1334567[[#This Row],[High C]]+Table1334567[[#This Row],[Low C]])/2)*Table1334567[[#This Row],[gammac]]*Table1334567[[#This Row],[Volume]]</f>
        <v>0</v>
      </c>
      <c r="BD1359">
        <f>((Table1334567[[#This Row],[High P]]+Table1334567[[#This Row],[Low P]])/2)*Table1334567[[#This Row],[gammap]]*Table1334567[[#This Row],[Volume9]]*-1</f>
        <v>0</v>
      </c>
      <c r="BE1359">
        <f>(Table1334567[[#This Row],[SgammaC]]+Table1334567[[#This Row],[SgammaP]])*$A$4*-100</f>
        <v>0</v>
      </c>
      <c r="BF1359">
        <f>Table1334567[[#This Row],[DEXc]]+Table1334567[[#This Row],[DEXp]]</f>
        <v>0</v>
      </c>
      <c r="BG1359">
        <f>IFERROR(Table1334567[[#This Row],[DeltaC]]*Table1334567[[#This Row],[Open.Int]]*$A$4,0)</f>
        <v>0</v>
      </c>
      <c r="BH1359">
        <f>IFERROR(Table1334567[[#This Row],[DeltaP]]*Table1334567[[#This Row],[Open.Int8]]*$A$4,0)</f>
        <v>0</v>
      </c>
      <c r="BI135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9">
        <f ca="1">Table1334567[[#This Row],[charmc]]+Table1334567[[#This Row],[charmp]]</f>
        <v>0</v>
      </c>
      <c r="BL135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9" s="78">
        <f ca="1">Table1334567[[#This Row],[call helper]]+Table1334567[[#This Row],[put helper]]</f>
        <v>0</v>
      </c>
      <c r="BP1359" t="str">
        <f>RTD("tos.rtd", , "STRIKE", "."&amp;Table1334567[[#This Row],[Ticker]]&amp;Table1334567[[#This Row],[Expiry]]&amp;""&amp;"C"&amp;Table1334567[[#This Row],[Spot]]+Table1334567[[#This Row],[step]])</f>
        <v>N/A</v>
      </c>
    </row>
    <row r="1360" spans="1:68" x14ac:dyDescent="0.25">
      <c r="A1360" s="14">
        <f t="shared" ca="1" si="134"/>
        <v>-126.14810350076104</v>
      </c>
      <c r="C1360" s="17"/>
      <c r="D1360" t="str">
        <f>RTD("tos.rtd", , "OPEN_INT", "."&amp;Table1334567[[#This Row],[Ticker]]&amp;Table1334567[[#This Row],[Expiry]]&amp;""&amp;"C"&amp;Table1334567[[#This Row],[Spot]]+Table1334567[[#This Row],[step]])</f>
        <v>N/A</v>
      </c>
      <c r="E136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0" s="17" cm="1">
        <f t="array" aca="1" ref="H1360" ca="1">IndividualLegIVCore($A$4, Table1334567[[#This Row],[Strike]], 0.0411, Table1334567[[#This Row],[T]], ((Table1334567[[#This Row],[BIDC]]+Table1334567[[#This Row],[ASKC]])/2), TRUE)</f>
        <v>0.01</v>
      </c>
      <c r="I136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0" s="17"/>
      <c r="M1360" s="1">
        <f t="shared" si="135"/>
        <v>0</v>
      </c>
      <c r="N1360" t="b">
        <f t="shared" si="136"/>
        <v>0</v>
      </c>
      <c r="P1360" s="17" cm="1">
        <f t="array" aca="1" ref="P1360" ca="1">IndividualLegIVCore($A$4, Table1334567[[#This Row],[Strike]], 0.0411, Table1334567[[#This Row],[T]], ((Table1334567[[#This Row],[BIDP]]+Table1334567[[#This Row],[ASKP]])/2), FALSE)</f>
        <v>0.01</v>
      </c>
      <c r="Q136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0" s="17"/>
      <c r="T136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0" s="19">
        <f>16* IF($M$1="NDX", 10, IF(OR($M$1="SPX", $M$1="RUT"), 2, 1))</f>
        <v>32</v>
      </c>
      <c r="Z1360">
        <f ca="1">IFERROR(Table1334567[[#This Row],[call gamma]]*(Table1334567[[#This Row],[Open.Int]])*$A$4^2,0)</f>
        <v>0</v>
      </c>
      <c r="AA1360">
        <f ca="1">IFERROR(((Table1334567[[#This Row],[Open.Int8]])*Table1334567[[#This Row],[Put gamma]])*-1*$A$4^2,0)</f>
        <v>0</v>
      </c>
      <c r="AB1360">
        <f ca="1">(Table1334567[[#This Row],[Call Gex]]+Table1334567[[#This Row],[Put Gex]])</f>
        <v>0</v>
      </c>
      <c r="AC1360">
        <f ca="1">Table1334567[[#This Row],[put delta adj]]+Table1334567[[#This Row],[call delta adj]]</f>
        <v>0</v>
      </c>
      <c r="AD1360">
        <f ca="1">Table1334567[[#This Row],[Put Gex]]*Table1334567[[#This Row],[DeltaP]]*-1</f>
        <v>0</v>
      </c>
      <c r="AE1360">
        <f ca="1">Table1334567[[#This Row],[Call Gex]]*Table1334567[[#This Row],[DeltaC]]</f>
        <v>0</v>
      </c>
      <c r="AF1360">
        <f>IF(Table1334567[[#This Row],[DeltaC]]-ABS(Table1334567[[#This Row],[DeltaP]])="0","0.01",Table1334567[[#This Row],[DeltaC]]-ABS(Table1334567[[#This Row],[DeltaP]]))</f>
        <v>0</v>
      </c>
      <c r="AG136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0" t="e">
        <f ca="1">(EXP(-(AG1360^2)/2)/SQRT(2*PI())*EXP(0*SQRT(Table1334567[[#This Row],[T]]))/$A$4*18%*SQRT(SQRT(Table1334567[[#This Row],[T]])))</f>
        <v>#DIV/0!</v>
      </c>
      <c r="AJ1360" t="e">
        <f ca="1">(EXP(-(AH1360^2)/2)/SQRT(2*PI())*EXP(0*SQRT(Table1334567[[#This Row],[T]]))/$A$4*18%*SQRT(SQRT(Table1334567[[#This Row],[T]])))</f>
        <v>#DIV/0!</v>
      </c>
      <c r="AK1360" t="e">
        <f ca="1">Table1334567[[#This Row],[Call D1]]-Table1334567[[#This Row],[IV Calc C]]*SQRT(Table1334567[[#This Row],[T]])</f>
        <v>#DIV/0!</v>
      </c>
      <c r="AL1360" t="e">
        <f ca="1">Table1334567[[#This Row],[Put D1]]-Table1334567[[#This Row],[IV Calc P]]*SQRT(Table1334567[[#This Row],[T]])</f>
        <v>#DIV/0!</v>
      </c>
      <c r="AM1360" t="e">
        <f ca="1">EXP(-0.5*Table1334567[[#This Row],[Call D1]]^2)/SQRT(2*PI())</f>
        <v>#DIV/0!</v>
      </c>
      <c r="AN1360" t="e">
        <f ca="1">EXP(-0.5*Table1334567[[#This Row],[Put D1]]^2)/SQRT(2*PI())</f>
        <v>#DIV/0!</v>
      </c>
      <c r="AO136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0">
        <f ca="1">((Table1334567[[#This Row],[call vanna]]+Table1334567[[#This Row],[put vanna]])*$A$4)</f>
        <v>0</v>
      </c>
      <c r="AR136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0" s="9" t="str" cm="1">
        <f t="array" ref="AT1360">_xlfn.IFS(     $M$1="SPX","SPXW",     $M$1="RUT","RUTW",  $M$1="NDX","NDXP",   TRUE,$M$1 )</f>
        <v>SPXW</v>
      </c>
      <c r="AU1360" s="2">
        <f t="shared" si="137"/>
        <v>6915</v>
      </c>
      <c r="AV1360" t="str">
        <f t="shared" si="138"/>
        <v>000100</v>
      </c>
      <c r="AY136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0">
        <f>((Table1334567[[#This Row],[High C]]+Table1334567[[#This Row],[Low C]])/2)*Table1334567[[#This Row],[gammac]]*Table1334567[[#This Row],[Volume]]</f>
        <v>0</v>
      </c>
      <c r="BD1360">
        <f>((Table1334567[[#This Row],[High P]]+Table1334567[[#This Row],[Low P]])/2)*Table1334567[[#This Row],[gammap]]*Table1334567[[#This Row],[Volume9]]*-1</f>
        <v>0</v>
      </c>
      <c r="BE1360">
        <f>(Table1334567[[#This Row],[SgammaC]]+Table1334567[[#This Row],[SgammaP]])*$A$4*-100</f>
        <v>0</v>
      </c>
      <c r="BF1360">
        <f>Table1334567[[#This Row],[DEXc]]+Table1334567[[#This Row],[DEXp]]</f>
        <v>0</v>
      </c>
      <c r="BG1360">
        <f>IFERROR(Table1334567[[#This Row],[DeltaC]]*Table1334567[[#This Row],[Open.Int]]*$A$4,0)</f>
        <v>0</v>
      </c>
      <c r="BH1360">
        <f>IFERROR(Table1334567[[#This Row],[DeltaP]]*Table1334567[[#This Row],[Open.Int8]]*$A$4,0)</f>
        <v>0</v>
      </c>
      <c r="BI136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0">
        <f ca="1">Table1334567[[#This Row],[charmc]]+Table1334567[[#This Row],[charmp]]</f>
        <v>0</v>
      </c>
      <c r="BL136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0" s="78">
        <f ca="1">Table1334567[[#This Row],[call helper]]+Table1334567[[#This Row],[put helper]]</f>
        <v>0</v>
      </c>
      <c r="BP1360" t="str">
        <f>RTD("tos.rtd", , "STRIKE", "."&amp;Table1334567[[#This Row],[Ticker]]&amp;Table1334567[[#This Row],[Expiry]]&amp;""&amp;"C"&amp;Table1334567[[#This Row],[Spot]]+Table1334567[[#This Row],[step]])</f>
        <v>N/A</v>
      </c>
    </row>
    <row r="1361" spans="1:68" x14ac:dyDescent="0.25">
      <c r="A1361" s="14">
        <f t="shared" ca="1" si="134"/>
        <v>-126.14810350076104</v>
      </c>
      <c r="C1361" s="17"/>
      <c r="D1361" t="str">
        <f>RTD("tos.rtd", , "OPEN_INT", "."&amp;Table1334567[[#This Row],[Ticker]]&amp;Table1334567[[#This Row],[Expiry]]&amp;""&amp;"C"&amp;Table1334567[[#This Row],[Spot]]+Table1334567[[#This Row],[step]])</f>
        <v>N/A</v>
      </c>
      <c r="E136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1" s="17" cm="1">
        <f t="array" aca="1" ref="H1361" ca="1">IndividualLegIVCore($A$4, Table1334567[[#This Row],[Strike]], 0.0411, Table1334567[[#This Row],[T]], ((Table1334567[[#This Row],[BIDC]]+Table1334567[[#This Row],[ASKC]])/2), TRUE)</f>
        <v>0.01</v>
      </c>
      <c r="I136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1" s="17"/>
      <c r="M1361" s="1">
        <f t="shared" si="135"/>
        <v>0</v>
      </c>
      <c r="N1361" t="b">
        <f t="shared" si="136"/>
        <v>0</v>
      </c>
      <c r="P1361" s="17" cm="1">
        <f t="array" aca="1" ref="P1361" ca="1">IndividualLegIVCore($A$4, Table1334567[[#This Row],[Strike]], 0.0411, Table1334567[[#This Row],[T]], ((Table1334567[[#This Row],[BIDP]]+Table1334567[[#This Row],[ASKP]])/2), FALSE)</f>
        <v>0.01</v>
      </c>
      <c r="Q136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1" s="17"/>
      <c r="T136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1" s="19">
        <f>16.5* IF($M$1="NDX", 10, IF(OR($M$1="SPX", $M$1="RUT"), 2, 1))</f>
        <v>33</v>
      </c>
      <c r="Z1361">
        <f ca="1">IFERROR(Table1334567[[#This Row],[call gamma]]*(Table1334567[[#This Row],[Open.Int]])*$A$4^2,0)</f>
        <v>0</v>
      </c>
      <c r="AA1361">
        <f ca="1">IFERROR(((Table1334567[[#This Row],[Open.Int8]])*Table1334567[[#This Row],[Put gamma]])*-1*$A$4^2,0)</f>
        <v>0</v>
      </c>
      <c r="AB1361">
        <f ca="1">(Table1334567[[#This Row],[Call Gex]]+Table1334567[[#This Row],[Put Gex]])</f>
        <v>0</v>
      </c>
      <c r="AC1361">
        <f ca="1">Table1334567[[#This Row],[put delta adj]]+Table1334567[[#This Row],[call delta adj]]</f>
        <v>0</v>
      </c>
      <c r="AD1361">
        <f ca="1">Table1334567[[#This Row],[Put Gex]]*Table1334567[[#This Row],[DeltaP]]*-1</f>
        <v>0</v>
      </c>
      <c r="AE1361">
        <f ca="1">Table1334567[[#This Row],[Call Gex]]*Table1334567[[#This Row],[DeltaC]]</f>
        <v>0</v>
      </c>
      <c r="AF1361">
        <f>IF(Table1334567[[#This Row],[DeltaC]]-ABS(Table1334567[[#This Row],[DeltaP]])="0","0.01",Table1334567[[#This Row],[DeltaC]]-ABS(Table1334567[[#This Row],[DeltaP]]))</f>
        <v>0</v>
      </c>
      <c r="AG136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1" t="e">
        <f ca="1">(EXP(-(AG1361^2)/2)/SQRT(2*PI())*EXP(0*SQRT(Table1334567[[#This Row],[T]]))/$A$4*18%*SQRT(SQRT(Table1334567[[#This Row],[T]])))</f>
        <v>#DIV/0!</v>
      </c>
      <c r="AJ1361" t="e">
        <f ca="1">(EXP(-(AH1361^2)/2)/SQRT(2*PI())*EXP(0*SQRT(Table1334567[[#This Row],[T]]))/$A$4*18%*SQRT(SQRT(Table1334567[[#This Row],[T]])))</f>
        <v>#DIV/0!</v>
      </c>
      <c r="AK1361" t="e">
        <f ca="1">Table1334567[[#This Row],[Call D1]]-Table1334567[[#This Row],[IV Calc C]]*SQRT(Table1334567[[#This Row],[T]])</f>
        <v>#DIV/0!</v>
      </c>
      <c r="AL1361" t="e">
        <f ca="1">Table1334567[[#This Row],[Put D1]]-Table1334567[[#This Row],[IV Calc P]]*SQRT(Table1334567[[#This Row],[T]])</f>
        <v>#DIV/0!</v>
      </c>
      <c r="AM1361" t="e">
        <f ca="1">EXP(-0.5*Table1334567[[#This Row],[Call D1]]^2)/SQRT(2*PI())</f>
        <v>#DIV/0!</v>
      </c>
      <c r="AN1361" t="e">
        <f ca="1">EXP(-0.5*Table1334567[[#This Row],[Put D1]]^2)/SQRT(2*PI())</f>
        <v>#DIV/0!</v>
      </c>
      <c r="AO136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1">
        <f ca="1">((Table1334567[[#This Row],[call vanna]]+Table1334567[[#This Row],[put vanna]])*$A$4)</f>
        <v>0</v>
      </c>
      <c r="AR136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1" s="9" t="str" cm="1">
        <f t="array" ref="AT1361">_xlfn.IFS(     $M$1="SPX","SPXW",     $M$1="RUT","RUTW",  $M$1="NDX","NDXP",   TRUE,$M$1 )</f>
        <v>SPXW</v>
      </c>
      <c r="AU1361" s="2">
        <f t="shared" si="137"/>
        <v>6915</v>
      </c>
      <c r="AV1361" t="str">
        <f t="shared" si="138"/>
        <v>000100</v>
      </c>
      <c r="AY136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1">
        <f>((Table1334567[[#This Row],[High C]]+Table1334567[[#This Row],[Low C]])/2)*Table1334567[[#This Row],[gammac]]*Table1334567[[#This Row],[Volume]]</f>
        <v>0</v>
      </c>
      <c r="BD1361">
        <f>((Table1334567[[#This Row],[High P]]+Table1334567[[#This Row],[Low P]])/2)*Table1334567[[#This Row],[gammap]]*Table1334567[[#This Row],[Volume9]]*-1</f>
        <v>0</v>
      </c>
      <c r="BE1361">
        <f>(Table1334567[[#This Row],[SgammaC]]+Table1334567[[#This Row],[SgammaP]])*$A$4*-100</f>
        <v>0</v>
      </c>
      <c r="BF1361">
        <f>Table1334567[[#This Row],[DEXc]]+Table1334567[[#This Row],[DEXp]]</f>
        <v>0</v>
      </c>
      <c r="BG1361">
        <f>IFERROR(Table1334567[[#This Row],[DeltaC]]*Table1334567[[#This Row],[Open.Int]]*$A$4,0)</f>
        <v>0</v>
      </c>
      <c r="BH1361">
        <f>IFERROR(Table1334567[[#This Row],[DeltaP]]*Table1334567[[#This Row],[Open.Int8]]*$A$4,0)</f>
        <v>0</v>
      </c>
      <c r="BI136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1">
        <f ca="1">Table1334567[[#This Row],[charmc]]+Table1334567[[#This Row],[charmp]]</f>
        <v>0</v>
      </c>
      <c r="BL136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1" s="78">
        <f ca="1">Table1334567[[#This Row],[call helper]]+Table1334567[[#This Row],[put helper]]</f>
        <v>0</v>
      </c>
      <c r="BP1361" t="str">
        <f>RTD("tos.rtd", , "STRIKE", "."&amp;Table1334567[[#This Row],[Ticker]]&amp;Table1334567[[#This Row],[Expiry]]&amp;""&amp;"C"&amp;Table1334567[[#This Row],[Spot]]+Table1334567[[#This Row],[step]])</f>
        <v>N/A</v>
      </c>
    </row>
    <row r="1362" spans="1:68" x14ac:dyDescent="0.25">
      <c r="A1362" s="14">
        <f t="shared" ca="1" si="134"/>
        <v>-126.14810350076104</v>
      </c>
      <c r="C1362" s="17"/>
      <c r="D1362" t="str">
        <f>RTD("tos.rtd", , "OPEN_INT", "."&amp;Table1334567[[#This Row],[Ticker]]&amp;Table1334567[[#This Row],[Expiry]]&amp;""&amp;"C"&amp;Table1334567[[#This Row],[Spot]]+Table1334567[[#This Row],[step]])</f>
        <v>N/A</v>
      </c>
      <c r="E136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2" s="17" cm="1">
        <f t="array" aca="1" ref="H1362" ca="1">IndividualLegIVCore($A$4, Table1334567[[#This Row],[Strike]], 0.0411, Table1334567[[#This Row],[T]], ((Table1334567[[#This Row],[BIDC]]+Table1334567[[#This Row],[ASKC]])/2), TRUE)</f>
        <v>0.01</v>
      </c>
      <c r="I136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2" s="17"/>
      <c r="M1362" s="1">
        <f t="shared" si="135"/>
        <v>0</v>
      </c>
      <c r="N1362" t="b">
        <f t="shared" si="136"/>
        <v>0</v>
      </c>
      <c r="P1362" s="17" cm="1">
        <f t="array" aca="1" ref="P1362" ca="1">IndividualLegIVCore($A$4, Table1334567[[#This Row],[Strike]], 0.0411, Table1334567[[#This Row],[T]], ((Table1334567[[#This Row],[BIDP]]+Table1334567[[#This Row],[ASKP]])/2), FALSE)</f>
        <v>0.01</v>
      </c>
      <c r="Q136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2" s="17"/>
      <c r="T136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2" s="19">
        <f>17* IF($M$1="NDX", 10, IF(OR($M$1="SPX", $M$1="RUT"), 2, 1))</f>
        <v>34</v>
      </c>
      <c r="Z1362">
        <f ca="1">IFERROR(Table1334567[[#This Row],[call gamma]]*(Table1334567[[#This Row],[Open.Int]])*$A$4^2,0)</f>
        <v>0</v>
      </c>
      <c r="AA1362">
        <f ca="1">IFERROR(((Table1334567[[#This Row],[Open.Int8]])*Table1334567[[#This Row],[Put gamma]])*-1*$A$4^2,0)</f>
        <v>0</v>
      </c>
      <c r="AB1362">
        <f ca="1">(Table1334567[[#This Row],[Call Gex]]+Table1334567[[#This Row],[Put Gex]])</f>
        <v>0</v>
      </c>
      <c r="AC1362">
        <f ca="1">Table1334567[[#This Row],[put delta adj]]+Table1334567[[#This Row],[call delta adj]]</f>
        <v>0</v>
      </c>
      <c r="AD1362">
        <f ca="1">Table1334567[[#This Row],[Put Gex]]*Table1334567[[#This Row],[DeltaP]]*-1</f>
        <v>0</v>
      </c>
      <c r="AE1362">
        <f ca="1">Table1334567[[#This Row],[Call Gex]]*Table1334567[[#This Row],[DeltaC]]</f>
        <v>0</v>
      </c>
      <c r="AF1362">
        <f>IF(Table1334567[[#This Row],[DeltaC]]-ABS(Table1334567[[#This Row],[DeltaP]])="0","0.01",Table1334567[[#This Row],[DeltaC]]-ABS(Table1334567[[#This Row],[DeltaP]]))</f>
        <v>0</v>
      </c>
      <c r="AG136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2" t="e">
        <f ca="1">(EXP(-(AG1362^2)/2)/SQRT(2*PI())*EXP(0*SQRT(Table1334567[[#This Row],[T]]))/$A$4*18%*SQRT(SQRT(Table1334567[[#This Row],[T]])))</f>
        <v>#DIV/0!</v>
      </c>
      <c r="AJ1362" t="e">
        <f ca="1">(EXP(-(AH1362^2)/2)/SQRT(2*PI())*EXP(0*SQRT(Table1334567[[#This Row],[T]]))/$A$4*18%*SQRT(SQRT(Table1334567[[#This Row],[T]])))</f>
        <v>#DIV/0!</v>
      </c>
      <c r="AK1362" t="e">
        <f ca="1">Table1334567[[#This Row],[Call D1]]-Table1334567[[#This Row],[IV Calc C]]*SQRT(Table1334567[[#This Row],[T]])</f>
        <v>#DIV/0!</v>
      </c>
      <c r="AL1362" t="e">
        <f ca="1">Table1334567[[#This Row],[Put D1]]-Table1334567[[#This Row],[IV Calc P]]*SQRT(Table1334567[[#This Row],[T]])</f>
        <v>#DIV/0!</v>
      </c>
      <c r="AM1362" t="e">
        <f ca="1">EXP(-0.5*Table1334567[[#This Row],[Call D1]]^2)/SQRT(2*PI())</f>
        <v>#DIV/0!</v>
      </c>
      <c r="AN1362" t="e">
        <f ca="1">EXP(-0.5*Table1334567[[#This Row],[Put D1]]^2)/SQRT(2*PI())</f>
        <v>#DIV/0!</v>
      </c>
      <c r="AO136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2">
        <f ca="1">((Table1334567[[#This Row],[call vanna]]+Table1334567[[#This Row],[put vanna]])*$A$4)</f>
        <v>0</v>
      </c>
      <c r="AR136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2" s="9" t="str" cm="1">
        <f t="array" ref="AT1362">_xlfn.IFS(     $M$1="SPX","SPXW",     $M$1="RUT","RUTW",  $M$1="NDX","NDXP",   TRUE,$M$1 )</f>
        <v>SPXW</v>
      </c>
      <c r="AU1362" s="2">
        <f t="shared" si="137"/>
        <v>6915</v>
      </c>
      <c r="AV1362" t="str">
        <f t="shared" si="138"/>
        <v>000100</v>
      </c>
      <c r="AY136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2">
        <f>((Table1334567[[#This Row],[High C]]+Table1334567[[#This Row],[Low C]])/2)*Table1334567[[#This Row],[gammac]]*Table1334567[[#This Row],[Volume]]</f>
        <v>0</v>
      </c>
      <c r="BD1362">
        <f>((Table1334567[[#This Row],[High P]]+Table1334567[[#This Row],[Low P]])/2)*Table1334567[[#This Row],[gammap]]*Table1334567[[#This Row],[Volume9]]*-1</f>
        <v>0</v>
      </c>
      <c r="BE1362">
        <f>(Table1334567[[#This Row],[SgammaC]]+Table1334567[[#This Row],[SgammaP]])*$A$4*-100</f>
        <v>0</v>
      </c>
      <c r="BF1362">
        <f>Table1334567[[#This Row],[DEXc]]+Table1334567[[#This Row],[DEXp]]</f>
        <v>0</v>
      </c>
      <c r="BG1362">
        <f>IFERROR(Table1334567[[#This Row],[DeltaC]]*Table1334567[[#This Row],[Open.Int]]*$A$4,0)</f>
        <v>0</v>
      </c>
      <c r="BH1362">
        <f>IFERROR(Table1334567[[#This Row],[DeltaP]]*Table1334567[[#This Row],[Open.Int8]]*$A$4,0)</f>
        <v>0</v>
      </c>
      <c r="BI136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2">
        <f ca="1">Table1334567[[#This Row],[charmc]]+Table1334567[[#This Row],[charmp]]</f>
        <v>0</v>
      </c>
      <c r="BL136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2" s="78">
        <f ca="1">Table1334567[[#This Row],[call helper]]+Table1334567[[#This Row],[put helper]]</f>
        <v>0</v>
      </c>
      <c r="BP1362" t="str">
        <f>RTD("tos.rtd", , "STRIKE", "."&amp;Table1334567[[#This Row],[Ticker]]&amp;Table1334567[[#This Row],[Expiry]]&amp;""&amp;"C"&amp;Table1334567[[#This Row],[Spot]]+Table1334567[[#This Row],[step]])</f>
        <v>N/A</v>
      </c>
    </row>
    <row r="1363" spans="1:68" x14ac:dyDescent="0.25">
      <c r="A1363" s="14">
        <f t="shared" ca="1" si="134"/>
        <v>-126.14810350076104</v>
      </c>
      <c r="C1363" s="17"/>
      <c r="D1363" t="str">
        <f>RTD("tos.rtd", , "OPEN_INT", "."&amp;Table1334567[[#This Row],[Ticker]]&amp;Table1334567[[#This Row],[Expiry]]&amp;""&amp;"C"&amp;Table1334567[[#This Row],[Spot]]+Table1334567[[#This Row],[step]])</f>
        <v>N/A</v>
      </c>
      <c r="E136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3" s="17" cm="1">
        <f t="array" aca="1" ref="H1363" ca="1">IndividualLegIVCore($A$4, Table1334567[[#This Row],[Strike]], 0.0411, Table1334567[[#This Row],[T]], ((Table1334567[[#This Row],[BIDC]]+Table1334567[[#This Row],[ASKC]])/2), TRUE)</f>
        <v>0.01</v>
      </c>
      <c r="I136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3" s="17"/>
      <c r="M1363" s="1">
        <f t="shared" si="135"/>
        <v>0</v>
      </c>
      <c r="N1363" t="b">
        <f t="shared" si="136"/>
        <v>0</v>
      </c>
      <c r="P1363" s="17" cm="1">
        <f t="array" aca="1" ref="P1363" ca="1">IndividualLegIVCore($A$4, Table1334567[[#This Row],[Strike]], 0.0411, Table1334567[[#This Row],[T]], ((Table1334567[[#This Row],[BIDP]]+Table1334567[[#This Row],[ASKP]])/2), FALSE)</f>
        <v>0.01</v>
      </c>
      <c r="Q136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3" s="17"/>
      <c r="T136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3" s="19">
        <f>17.5* IF($M$1="NDX", 10, IF(OR($M$1="SPX", $M$1="RUT"), 2, 1))</f>
        <v>35</v>
      </c>
      <c r="Z1363">
        <f ca="1">IFERROR(Table1334567[[#This Row],[call gamma]]*(Table1334567[[#This Row],[Open.Int]])*$A$4^2,0)</f>
        <v>0</v>
      </c>
      <c r="AA1363">
        <f ca="1">IFERROR(((Table1334567[[#This Row],[Open.Int8]])*Table1334567[[#This Row],[Put gamma]])*-1*$A$4^2,0)</f>
        <v>0</v>
      </c>
      <c r="AB1363">
        <f ca="1">(Table1334567[[#This Row],[Call Gex]]+Table1334567[[#This Row],[Put Gex]])</f>
        <v>0</v>
      </c>
      <c r="AC1363">
        <f ca="1">Table1334567[[#This Row],[put delta adj]]+Table1334567[[#This Row],[call delta adj]]</f>
        <v>0</v>
      </c>
      <c r="AD1363">
        <f ca="1">Table1334567[[#This Row],[Put Gex]]*Table1334567[[#This Row],[DeltaP]]*-1</f>
        <v>0</v>
      </c>
      <c r="AE1363">
        <f ca="1">Table1334567[[#This Row],[Call Gex]]*Table1334567[[#This Row],[DeltaC]]</f>
        <v>0</v>
      </c>
      <c r="AF1363">
        <f>IF(Table1334567[[#This Row],[DeltaC]]-ABS(Table1334567[[#This Row],[DeltaP]])="0","0.01",Table1334567[[#This Row],[DeltaC]]-ABS(Table1334567[[#This Row],[DeltaP]]))</f>
        <v>0</v>
      </c>
      <c r="AG136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3" t="e">
        <f ca="1">(EXP(-(AG1363^2)/2)/SQRT(2*PI())*EXP(0*SQRT(Table1334567[[#This Row],[T]]))/$A$4*18%*SQRT(SQRT(Table1334567[[#This Row],[T]])))</f>
        <v>#DIV/0!</v>
      </c>
      <c r="AJ1363" t="e">
        <f ca="1">(EXP(-(AH1363^2)/2)/SQRT(2*PI())*EXP(0*SQRT(Table1334567[[#This Row],[T]]))/$A$4*18%*SQRT(SQRT(Table1334567[[#This Row],[T]])))</f>
        <v>#DIV/0!</v>
      </c>
      <c r="AK1363" t="e">
        <f ca="1">Table1334567[[#This Row],[Call D1]]-Table1334567[[#This Row],[IV Calc C]]*SQRT(Table1334567[[#This Row],[T]])</f>
        <v>#DIV/0!</v>
      </c>
      <c r="AL1363" t="e">
        <f ca="1">Table1334567[[#This Row],[Put D1]]-Table1334567[[#This Row],[IV Calc P]]*SQRT(Table1334567[[#This Row],[T]])</f>
        <v>#DIV/0!</v>
      </c>
      <c r="AM1363" t="e">
        <f ca="1">EXP(-0.5*Table1334567[[#This Row],[Call D1]]^2)/SQRT(2*PI())</f>
        <v>#DIV/0!</v>
      </c>
      <c r="AN1363" t="e">
        <f ca="1">EXP(-0.5*Table1334567[[#This Row],[Put D1]]^2)/SQRT(2*PI())</f>
        <v>#DIV/0!</v>
      </c>
      <c r="AO136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3">
        <f ca="1">((Table1334567[[#This Row],[call vanna]]+Table1334567[[#This Row],[put vanna]])*$A$4)</f>
        <v>0</v>
      </c>
      <c r="AR136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3" s="9" t="str" cm="1">
        <f t="array" ref="AT1363">_xlfn.IFS(     $M$1="SPX","SPXW",     $M$1="RUT","RUTW",  $M$1="NDX","NDXP",   TRUE,$M$1 )</f>
        <v>SPXW</v>
      </c>
      <c r="AU1363" s="2">
        <f t="shared" si="137"/>
        <v>6915</v>
      </c>
      <c r="AV1363" t="str">
        <f t="shared" si="138"/>
        <v>000100</v>
      </c>
      <c r="AY136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3">
        <f>((Table1334567[[#This Row],[High C]]+Table1334567[[#This Row],[Low C]])/2)*Table1334567[[#This Row],[gammac]]*Table1334567[[#This Row],[Volume]]</f>
        <v>0</v>
      </c>
      <c r="BD1363">
        <f>((Table1334567[[#This Row],[High P]]+Table1334567[[#This Row],[Low P]])/2)*Table1334567[[#This Row],[gammap]]*Table1334567[[#This Row],[Volume9]]*-1</f>
        <v>0</v>
      </c>
      <c r="BE1363">
        <f>(Table1334567[[#This Row],[SgammaC]]+Table1334567[[#This Row],[SgammaP]])*$A$4*-100</f>
        <v>0</v>
      </c>
      <c r="BF1363">
        <f>Table1334567[[#This Row],[DEXc]]+Table1334567[[#This Row],[DEXp]]</f>
        <v>0</v>
      </c>
      <c r="BG1363">
        <f>IFERROR(Table1334567[[#This Row],[DeltaC]]*Table1334567[[#This Row],[Open.Int]]*$A$4,0)</f>
        <v>0</v>
      </c>
      <c r="BH1363">
        <f>IFERROR(Table1334567[[#This Row],[DeltaP]]*Table1334567[[#This Row],[Open.Int8]]*$A$4,0)</f>
        <v>0</v>
      </c>
      <c r="BI136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3">
        <f ca="1">Table1334567[[#This Row],[charmc]]+Table1334567[[#This Row],[charmp]]</f>
        <v>0</v>
      </c>
      <c r="BL136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3" s="78">
        <f ca="1">Table1334567[[#This Row],[call helper]]+Table1334567[[#This Row],[put helper]]</f>
        <v>0</v>
      </c>
      <c r="BP1363" t="str">
        <f>RTD("tos.rtd", , "STRIKE", "."&amp;Table1334567[[#This Row],[Ticker]]&amp;Table1334567[[#This Row],[Expiry]]&amp;""&amp;"C"&amp;Table1334567[[#This Row],[Spot]]+Table1334567[[#This Row],[step]])</f>
        <v>N/A</v>
      </c>
    </row>
    <row r="1364" spans="1:68" x14ac:dyDescent="0.25">
      <c r="A1364" s="14">
        <f t="shared" ca="1" si="134"/>
        <v>-126.14810350076104</v>
      </c>
      <c r="C1364" s="17"/>
      <c r="D1364" t="str">
        <f>RTD("tos.rtd", , "OPEN_INT", "."&amp;Table1334567[[#This Row],[Ticker]]&amp;Table1334567[[#This Row],[Expiry]]&amp;""&amp;"C"&amp;Table1334567[[#This Row],[Spot]]+Table1334567[[#This Row],[step]])</f>
        <v>N/A</v>
      </c>
      <c r="E136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4" s="17" cm="1">
        <f t="array" aca="1" ref="H1364" ca="1">IndividualLegIVCore($A$4, Table1334567[[#This Row],[Strike]], 0.0411, Table1334567[[#This Row],[T]], ((Table1334567[[#This Row],[BIDC]]+Table1334567[[#This Row],[ASKC]])/2), TRUE)</f>
        <v>0.01</v>
      </c>
      <c r="I136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4" s="17"/>
      <c r="M1364" s="1">
        <f t="shared" si="135"/>
        <v>0</v>
      </c>
      <c r="N1364" t="b">
        <f t="shared" si="136"/>
        <v>0</v>
      </c>
      <c r="P1364" s="17" cm="1">
        <f t="array" aca="1" ref="P1364" ca="1">IndividualLegIVCore($A$4, Table1334567[[#This Row],[Strike]], 0.0411, Table1334567[[#This Row],[T]], ((Table1334567[[#This Row],[BIDP]]+Table1334567[[#This Row],[ASKP]])/2), FALSE)</f>
        <v>0.01</v>
      </c>
      <c r="Q136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4" s="17"/>
      <c r="T136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4" s="19">
        <f>18* IF($M$1="NDX", 10, IF(OR($M$1="SPX", $M$1="RUT"), 2, 1))</f>
        <v>36</v>
      </c>
      <c r="Z1364">
        <f ca="1">IFERROR(Table1334567[[#This Row],[call gamma]]*(Table1334567[[#This Row],[Open.Int]])*$A$4^2,0)</f>
        <v>0</v>
      </c>
      <c r="AA1364">
        <f ca="1">IFERROR(((Table1334567[[#This Row],[Open.Int8]])*Table1334567[[#This Row],[Put gamma]])*-1*$A$4^2,0)</f>
        <v>0</v>
      </c>
      <c r="AB1364">
        <f ca="1">(Table1334567[[#This Row],[Call Gex]]+Table1334567[[#This Row],[Put Gex]])</f>
        <v>0</v>
      </c>
      <c r="AC1364">
        <f ca="1">Table1334567[[#This Row],[put delta adj]]+Table1334567[[#This Row],[call delta adj]]</f>
        <v>0</v>
      </c>
      <c r="AD1364">
        <f ca="1">Table1334567[[#This Row],[Put Gex]]*Table1334567[[#This Row],[DeltaP]]*-1</f>
        <v>0</v>
      </c>
      <c r="AE1364">
        <f ca="1">Table1334567[[#This Row],[Call Gex]]*Table1334567[[#This Row],[DeltaC]]</f>
        <v>0</v>
      </c>
      <c r="AF1364">
        <f>IF(Table1334567[[#This Row],[DeltaC]]-ABS(Table1334567[[#This Row],[DeltaP]])="0","0.01",Table1334567[[#This Row],[DeltaC]]-ABS(Table1334567[[#This Row],[DeltaP]]))</f>
        <v>0</v>
      </c>
      <c r="AG136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4" t="e">
        <f ca="1">(EXP(-(AG1364^2)/2)/SQRT(2*PI())*EXP(0*SQRT(Table1334567[[#This Row],[T]]))/$A$4*18%*SQRT(SQRT(Table1334567[[#This Row],[T]])))</f>
        <v>#DIV/0!</v>
      </c>
      <c r="AJ1364" t="e">
        <f ca="1">(EXP(-(AH1364^2)/2)/SQRT(2*PI())*EXP(0*SQRT(Table1334567[[#This Row],[T]]))/$A$4*18%*SQRT(SQRT(Table1334567[[#This Row],[T]])))</f>
        <v>#DIV/0!</v>
      </c>
      <c r="AK1364" t="e">
        <f ca="1">Table1334567[[#This Row],[Call D1]]-Table1334567[[#This Row],[IV Calc C]]*SQRT(Table1334567[[#This Row],[T]])</f>
        <v>#DIV/0!</v>
      </c>
      <c r="AL1364" t="e">
        <f ca="1">Table1334567[[#This Row],[Put D1]]-Table1334567[[#This Row],[IV Calc P]]*SQRT(Table1334567[[#This Row],[T]])</f>
        <v>#DIV/0!</v>
      </c>
      <c r="AM1364" t="e">
        <f ca="1">EXP(-0.5*Table1334567[[#This Row],[Call D1]]^2)/SQRT(2*PI())</f>
        <v>#DIV/0!</v>
      </c>
      <c r="AN1364" t="e">
        <f ca="1">EXP(-0.5*Table1334567[[#This Row],[Put D1]]^2)/SQRT(2*PI())</f>
        <v>#DIV/0!</v>
      </c>
      <c r="AO136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4">
        <f ca="1">((Table1334567[[#This Row],[call vanna]]+Table1334567[[#This Row],[put vanna]])*$A$4)</f>
        <v>0</v>
      </c>
      <c r="AR136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4" s="9" t="str" cm="1">
        <f t="array" ref="AT1364">_xlfn.IFS(     $M$1="SPX","SPXW",     $M$1="RUT","RUTW",  $M$1="NDX","NDXP",   TRUE,$M$1 )</f>
        <v>SPXW</v>
      </c>
      <c r="AU1364" s="2">
        <f t="shared" si="137"/>
        <v>6915</v>
      </c>
      <c r="AV1364" t="str">
        <f t="shared" si="138"/>
        <v>000100</v>
      </c>
      <c r="AY136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4">
        <f>((Table1334567[[#This Row],[High C]]+Table1334567[[#This Row],[Low C]])/2)*Table1334567[[#This Row],[gammac]]*Table1334567[[#This Row],[Volume]]</f>
        <v>0</v>
      </c>
      <c r="BD1364">
        <f>((Table1334567[[#This Row],[High P]]+Table1334567[[#This Row],[Low P]])/2)*Table1334567[[#This Row],[gammap]]*Table1334567[[#This Row],[Volume9]]*-1</f>
        <v>0</v>
      </c>
      <c r="BE1364">
        <f>(Table1334567[[#This Row],[SgammaC]]+Table1334567[[#This Row],[SgammaP]])*$A$4*-100</f>
        <v>0</v>
      </c>
      <c r="BF1364">
        <f>Table1334567[[#This Row],[DEXc]]+Table1334567[[#This Row],[DEXp]]</f>
        <v>0</v>
      </c>
      <c r="BG1364">
        <f>IFERROR(Table1334567[[#This Row],[DeltaC]]*Table1334567[[#This Row],[Open.Int]]*$A$4,0)</f>
        <v>0</v>
      </c>
      <c r="BH1364">
        <f>IFERROR(Table1334567[[#This Row],[DeltaP]]*Table1334567[[#This Row],[Open.Int8]]*$A$4,0)</f>
        <v>0</v>
      </c>
      <c r="BI136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4">
        <f ca="1">Table1334567[[#This Row],[charmc]]+Table1334567[[#This Row],[charmp]]</f>
        <v>0</v>
      </c>
      <c r="BL136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4" s="78">
        <f ca="1">Table1334567[[#This Row],[call helper]]+Table1334567[[#This Row],[put helper]]</f>
        <v>0</v>
      </c>
      <c r="BP1364" t="str">
        <f>RTD("tos.rtd", , "STRIKE", "."&amp;Table1334567[[#This Row],[Ticker]]&amp;Table1334567[[#This Row],[Expiry]]&amp;""&amp;"C"&amp;Table1334567[[#This Row],[Spot]]+Table1334567[[#This Row],[step]])</f>
        <v>N/A</v>
      </c>
    </row>
    <row r="1365" spans="1:68" x14ac:dyDescent="0.25">
      <c r="A1365" s="14">
        <f t="shared" ca="1" si="134"/>
        <v>-126.14810350076104</v>
      </c>
      <c r="C1365" s="17"/>
      <c r="D1365" t="str">
        <f>RTD("tos.rtd", , "OPEN_INT", "."&amp;Table1334567[[#This Row],[Ticker]]&amp;Table1334567[[#This Row],[Expiry]]&amp;""&amp;"C"&amp;Table1334567[[#This Row],[Spot]]+Table1334567[[#This Row],[step]])</f>
        <v>N/A</v>
      </c>
      <c r="E136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5" s="17" cm="1">
        <f t="array" aca="1" ref="H1365" ca="1">IndividualLegIVCore($A$4, Table1334567[[#This Row],[Strike]], 0.0411, Table1334567[[#This Row],[T]], ((Table1334567[[#This Row],[BIDC]]+Table1334567[[#This Row],[ASKC]])/2), TRUE)</f>
        <v>0.01</v>
      </c>
      <c r="I136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5" s="17"/>
      <c r="M1365" s="1">
        <f t="shared" si="135"/>
        <v>0</v>
      </c>
      <c r="N1365" t="b">
        <f t="shared" si="136"/>
        <v>0</v>
      </c>
      <c r="P1365" s="17" cm="1">
        <f t="array" aca="1" ref="P1365" ca="1">IndividualLegIVCore($A$4, Table1334567[[#This Row],[Strike]], 0.0411, Table1334567[[#This Row],[T]], ((Table1334567[[#This Row],[BIDP]]+Table1334567[[#This Row],[ASKP]])/2), FALSE)</f>
        <v>0.01</v>
      </c>
      <c r="Q136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5" s="17"/>
      <c r="T136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5" s="19">
        <f>18.5* IF($M$1="NDX", 10, IF(OR($M$1="SPX", $M$1="RUT"), 2, 1))</f>
        <v>37</v>
      </c>
      <c r="Z1365">
        <f ca="1">IFERROR(Table1334567[[#This Row],[call gamma]]*(Table1334567[[#This Row],[Open.Int]])*$A$4^2,0)</f>
        <v>0</v>
      </c>
      <c r="AA1365">
        <f ca="1">IFERROR(((Table1334567[[#This Row],[Open.Int8]])*Table1334567[[#This Row],[Put gamma]])*-1*$A$4^2,0)</f>
        <v>0</v>
      </c>
      <c r="AB1365">
        <f ca="1">(Table1334567[[#This Row],[Call Gex]]+Table1334567[[#This Row],[Put Gex]])</f>
        <v>0</v>
      </c>
      <c r="AC1365">
        <f ca="1">Table1334567[[#This Row],[put delta adj]]+Table1334567[[#This Row],[call delta adj]]</f>
        <v>0</v>
      </c>
      <c r="AD1365">
        <f ca="1">Table1334567[[#This Row],[Put Gex]]*Table1334567[[#This Row],[DeltaP]]*-1</f>
        <v>0</v>
      </c>
      <c r="AE1365">
        <f ca="1">Table1334567[[#This Row],[Call Gex]]*Table1334567[[#This Row],[DeltaC]]</f>
        <v>0</v>
      </c>
      <c r="AF1365">
        <f>IF(Table1334567[[#This Row],[DeltaC]]-ABS(Table1334567[[#This Row],[DeltaP]])="0","0.01",Table1334567[[#This Row],[DeltaC]]-ABS(Table1334567[[#This Row],[DeltaP]]))</f>
        <v>0</v>
      </c>
      <c r="AG136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5" t="e">
        <f ca="1">(EXP(-(AG1365^2)/2)/SQRT(2*PI())*EXP(0*SQRT(Table1334567[[#This Row],[T]]))/$A$4*18%*SQRT(SQRT(Table1334567[[#This Row],[T]])))</f>
        <v>#DIV/0!</v>
      </c>
      <c r="AJ1365" t="e">
        <f ca="1">(EXP(-(AH1365^2)/2)/SQRT(2*PI())*EXP(0*SQRT(Table1334567[[#This Row],[T]]))/$A$4*18%*SQRT(SQRT(Table1334567[[#This Row],[T]])))</f>
        <v>#DIV/0!</v>
      </c>
      <c r="AK1365" t="e">
        <f ca="1">Table1334567[[#This Row],[Call D1]]-Table1334567[[#This Row],[IV Calc C]]*SQRT(Table1334567[[#This Row],[T]])</f>
        <v>#DIV/0!</v>
      </c>
      <c r="AL1365" t="e">
        <f ca="1">Table1334567[[#This Row],[Put D1]]-Table1334567[[#This Row],[IV Calc P]]*SQRT(Table1334567[[#This Row],[T]])</f>
        <v>#DIV/0!</v>
      </c>
      <c r="AM1365" t="e">
        <f ca="1">EXP(-0.5*Table1334567[[#This Row],[Call D1]]^2)/SQRT(2*PI())</f>
        <v>#DIV/0!</v>
      </c>
      <c r="AN1365" t="e">
        <f ca="1">EXP(-0.5*Table1334567[[#This Row],[Put D1]]^2)/SQRT(2*PI())</f>
        <v>#DIV/0!</v>
      </c>
      <c r="AO136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5">
        <f ca="1">((Table1334567[[#This Row],[call vanna]]+Table1334567[[#This Row],[put vanna]])*$A$4)</f>
        <v>0</v>
      </c>
      <c r="AR136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5" s="9" t="str" cm="1">
        <f t="array" ref="AT1365">_xlfn.IFS(     $M$1="SPX","SPXW",     $M$1="RUT","RUTW",  $M$1="NDX","NDXP",   TRUE,$M$1 )</f>
        <v>SPXW</v>
      </c>
      <c r="AU1365" s="2">
        <f t="shared" si="137"/>
        <v>6915</v>
      </c>
      <c r="AV1365" t="str">
        <f t="shared" si="138"/>
        <v>000100</v>
      </c>
      <c r="AY136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5">
        <f>((Table1334567[[#This Row],[High C]]+Table1334567[[#This Row],[Low C]])/2)*Table1334567[[#This Row],[gammac]]*Table1334567[[#This Row],[Volume]]</f>
        <v>0</v>
      </c>
      <c r="BD1365">
        <f>((Table1334567[[#This Row],[High P]]+Table1334567[[#This Row],[Low P]])/2)*Table1334567[[#This Row],[gammap]]*Table1334567[[#This Row],[Volume9]]*-1</f>
        <v>0</v>
      </c>
      <c r="BE1365">
        <f>(Table1334567[[#This Row],[SgammaC]]+Table1334567[[#This Row],[SgammaP]])*$A$4*-100</f>
        <v>0</v>
      </c>
      <c r="BF1365">
        <f>Table1334567[[#This Row],[DEXc]]+Table1334567[[#This Row],[DEXp]]</f>
        <v>0</v>
      </c>
      <c r="BG1365">
        <f>IFERROR(Table1334567[[#This Row],[DeltaC]]*Table1334567[[#This Row],[Open.Int]]*$A$4,0)</f>
        <v>0</v>
      </c>
      <c r="BH1365">
        <f>IFERROR(Table1334567[[#This Row],[DeltaP]]*Table1334567[[#This Row],[Open.Int8]]*$A$4,0)</f>
        <v>0</v>
      </c>
      <c r="BI136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5">
        <f ca="1">Table1334567[[#This Row],[charmc]]+Table1334567[[#This Row],[charmp]]</f>
        <v>0</v>
      </c>
      <c r="BL136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5" s="78">
        <f ca="1">Table1334567[[#This Row],[call helper]]+Table1334567[[#This Row],[put helper]]</f>
        <v>0</v>
      </c>
      <c r="BP1365" t="str">
        <f>RTD("tos.rtd", , "STRIKE", "."&amp;Table1334567[[#This Row],[Ticker]]&amp;Table1334567[[#This Row],[Expiry]]&amp;""&amp;"C"&amp;Table1334567[[#This Row],[Spot]]+Table1334567[[#This Row],[step]])</f>
        <v>N/A</v>
      </c>
    </row>
    <row r="1366" spans="1:68" x14ac:dyDescent="0.25">
      <c r="A1366" s="14">
        <f t="shared" ca="1" si="134"/>
        <v>-126.14810350076104</v>
      </c>
      <c r="C1366" s="17"/>
      <c r="D1366" t="str">
        <f>RTD("tos.rtd", , "OPEN_INT", "."&amp;Table1334567[[#This Row],[Ticker]]&amp;Table1334567[[#This Row],[Expiry]]&amp;""&amp;"C"&amp;Table1334567[[#This Row],[Spot]]+Table1334567[[#This Row],[step]])</f>
        <v>N/A</v>
      </c>
      <c r="E136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6" s="17" cm="1">
        <f t="array" aca="1" ref="H1366" ca="1">IndividualLegIVCore($A$4, Table1334567[[#This Row],[Strike]], 0.0411, Table1334567[[#This Row],[T]], ((Table1334567[[#This Row],[BIDC]]+Table1334567[[#This Row],[ASKC]])/2), TRUE)</f>
        <v>0.01</v>
      </c>
      <c r="I136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6" s="17"/>
      <c r="M1366" s="1">
        <f t="shared" si="135"/>
        <v>0</v>
      </c>
      <c r="N1366" t="b">
        <f t="shared" si="136"/>
        <v>0</v>
      </c>
      <c r="P1366" s="17" cm="1">
        <f t="array" aca="1" ref="P1366" ca="1">IndividualLegIVCore($A$4, Table1334567[[#This Row],[Strike]], 0.0411, Table1334567[[#This Row],[T]], ((Table1334567[[#This Row],[BIDP]]+Table1334567[[#This Row],[ASKP]])/2), FALSE)</f>
        <v>0.01</v>
      </c>
      <c r="Q136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6" s="17"/>
      <c r="T136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6" s="19">
        <f>19* IF($M$1="NDX", 10, IF(OR($M$1="SPX", $M$1="RUT"), 2, 1))</f>
        <v>38</v>
      </c>
      <c r="Z1366">
        <f ca="1">IFERROR(Table1334567[[#This Row],[call gamma]]*(Table1334567[[#This Row],[Open.Int]])*$A$4^2,0)</f>
        <v>0</v>
      </c>
      <c r="AA1366">
        <f ca="1">IFERROR(((Table1334567[[#This Row],[Open.Int8]])*Table1334567[[#This Row],[Put gamma]])*-1*$A$4^2,0)</f>
        <v>0</v>
      </c>
      <c r="AB1366">
        <f ca="1">(Table1334567[[#This Row],[Call Gex]]+Table1334567[[#This Row],[Put Gex]])</f>
        <v>0</v>
      </c>
      <c r="AC1366">
        <f ca="1">Table1334567[[#This Row],[put delta adj]]+Table1334567[[#This Row],[call delta adj]]</f>
        <v>0</v>
      </c>
      <c r="AD1366">
        <f ca="1">Table1334567[[#This Row],[Put Gex]]*Table1334567[[#This Row],[DeltaP]]*-1</f>
        <v>0</v>
      </c>
      <c r="AE1366">
        <f ca="1">Table1334567[[#This Row],[Call Gex]]*Table1334567[[#This Row],[DeltaC]]</f>
        <v>0</v>
      </c>
      <c r="AF1366">
        <f>IF(Table1334567[[#This Row],[DeltaC]]-ABS(Table1334567[[#This Row],[DeltaP]])="0","0.01",Table1334567[[#This Row],[DeltaC]]-ABS(Table1334567[[#This Row],[DeltaP]]))</f>
        <v>0</v>
      </c>
      <c r="AG136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6" t="e">
        <f ca="1">(EXP(-(AG1366^2)/2)/SQRT(2*PI())*EXP(0*SQRT(Table1334567[[#This Row],[T]]))/$A$4*18%*SQRT(SQRT(Table1334567[[#This Row],[T]])))</f>
        <v>#DIV/0!</v>
      </c>
      <c r="AJ1366" t="e">
        <f ca="1">(EXP(-(AH1366^2)/2)/SQRT(2*PI())*EXP(0*SQRT(Table1334567[[#This Row],[T]]))/$A$4*18%*SQRT(SQRT(Table1334567[[#This Row],[T]])))</f>
        <v>#DIV/0!</v>
      </c>
      <c r="AK1366" t="e">
        <f ca="1">Table1334567[[#This Row],[Call D1]]-Table1334567[[#This Row],[IV Calc C]]*SQRT(Table1334567[[#This Row],[T]])</f>
        <v>#DIV/0!</v>
      </c>
      <c r="AL1366" t="e">
        <f ca="1">Table1334567[[#This Row],[Put D1]]-Table1334567[[#This Row],[IV Calc P]]*SQRT(Table1334567[[#This Row],[T]])</f>
        <v>#DIV/0!</v>
      </c>
      <c r="AM1366" t="e">
        <f ca="1">EXP(-0.5*Table1334567[[#This Row],[Call D1]]^2)/SQRT(2*PI())</f>
        <v>#DIV/0!</v>
      </c>
      <c r="AN1366" t="e">
        <f ca="1">EXP(-0.5*Table1334567[[#This Row],[Put D1]]^2)/SQRT(2*PI())</f>
        <v>#DIV/0!</v>
      </c>
      <c r="AO136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6">
        <f ca="1">((Table1334567[[#This Row],[call vanna]]+Table1334567[[#This Row],[put vanna]])*$A$4)</f>
        <v>0</v>
      </c>
      <c r="AR136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6" s="9" t="str" cm="1">
        <f t="array" ref="AT1366">_xlfn.IFS(     $M$1="SPX","SPXW",     $M$1="RUT","RUTW",  $M$1="NDX","NDXP",   TRUE,$M$1 )</f>
        <v>SPXW</v>
      </c>
      <c r="AU1366" s="2">
        <f t="shared" si="137"/>
        <v>6915</v>
      </c>
      <c r="AV1366" t="str">
        <f t="shared" si="138"/>
        <v>000100</v>
      </c>
      <c r="AY136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6">
        <f>((Table1334567[[#This Row],[High C]]+Table1334567[[#This Row],[Low C]])/2)*Table1334567[[#This Row],[gammac]]*Table1334567[[#This Row],[Volume]]</f>
        <v>0</v>
      </c>
      <c r="BD1366">
        <f>((Table1334567[[#This Row],[High P]]+Table1334567[[#This Row],[Low P]])/2)*Table1334567[[#This Row],[gammap]]*Table1334567[[#This Row],[Volume9]]*-1</f>
        <v>0</v>
      </c>
      <c r="BE1366">
        <f>(Table1334567[[#This Row],[SgammaC]]+Table1334567[[#This Row],[SgammaP]])*$A$4*-100</f>
        <v>0</v>
      </c>
      <c r="BF1366">
        <f>Table1334567[[#This Row],[DEXc]]+Table1334567[[#This Row],[DEXp]]</f>
        <v>0</v>
      </c>
      <c r="BG1366">
        <f>IFERROR(Table1334567[[#This Row],[DeltaC]]*Table1334567[[#This Row],[Open.Int]]*$A$4,0)</f>
        <v>0</v>
      </c>
      <c r="BH1366">
        <f>IFERROR(Table1334567[[#This Row],[DeltaP]]*Table1334567[[#This Row],[Open.Int8]]*$A$4,0)</f>
        <v>0</v>
      </c>
      <c r="BI136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6">
        <f ca="1">Table1334567[[#This Row],[charmc]]+Table1334567[[#This Row],[charmp]]</f>
        <v>0</v>
      </c>
      <c r="BL136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6" s="78">
        <f ca="1">Table1334567[[#This Row],[call helper]]+Table1334567[[#This Row],[put helper]]</f>
        <v>0</v>
      </c>
      <c r="BP1366" t="str">
        <f>RTD("tos.rtd", , "STRIKE", "."&amp;Table1334567[[#This Row],[Ticker]]&amp;Table1334567[[#This Row],[Expiry]]&amp;""&amp;"C"&amp;Table1334567[[#This Row],[Spot]]+Table1334567[[#This Row],[step]])</f>
        <v>N/A</v>
      </c>
    </row>
    <row r="1367" spans="1:68" x14ac:dyDescent="0.25">
      <c r="A1367" s="14">
        <f t="shared" ca="1" si="134"/>
        <v>-126.14810350076104</v>
      </c>
      <c r="C1367" s="17"/>
      <c r="D1367" t="str">
        <f>RTD("tos.rtd", , "OPEN_INT", "."&amp;Table1334567[[#This Row],[Ticker]]&amp;Table1334567[[#This Row],[Expiry]]&amp;""&amp;"C"&amp;Table1334567[[#This Row],[Spot]]+Table1334567[[#This Row],[step]])</f>
        <v>N/A</v>
      </c>
      <c r="E136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7" s="17" cm="1">
        <f t="array" aca="1" ref="H1367" ca="1">IndividualLegIVCore($A$4, Table1334567[[#This Row],[Strike]], 0.0411, Table1334567[[#This Row],[T]], ((Table1334567[[#This Row],[BIDC]]+Table1334567[[#This Row],[ASKC]])/2), TRUE)</f>
        <v>0.01</v>
      </c>
      <c r="I136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7" s="17"/>
      <c r="M1367" s="1">
        <f t="shared" si="135"/>
        <v>0</v>
      </c>
      <c r="N1367" t="b">
        <f t="shared" si="136"/>
        <v>0</v>
      </c>
      <c r="P1367" s="17" cm="1">
        <f t="array" aca="1" ref="P1367" ca="1">IndividualLegIVCore($A$4, Table1334567[[#This Row],[Strike]], 0.0411, Table1334567[[#This Row],[T]], ((Table1334567[[#This Row],[BIDP]]+Table1334567[[#This Row],[ASKP]])/2), FALSE)</f>
        <v>0.01</v>
      </c>
      <c r="Q136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7" s="17"/>
      <c r="T136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7" s="19">
        <f>19.5* IF($M$1="NDX", 10, IF(OR($M$1="SPX", $M$1="RUT"), 2, 1))</f>
        <v>39</v>
      </c>
      <c r="Z1367">
        <f ca="1">IFERROR(Table1334567[[#This Row],[call gamma]]*(Table1334567[[#This Row],[Open.Int]])*$A$4^2,0)</f>
        <v>0</v>
      </c>
      <c r="AA1367">
        <f ca="1">IFERROR(((Table1334567[[#This Row],[Open.Int8]])*Table1334567[[#This Row],[Put gamma]])*-1*$A$4^2,0)</f>
        <v>0</v>
      </c>
      <c r="AB1367">
        <f ca="1">(Table1334567[[#This Row],[Call Gex]]+Table1334567[[#This Row],[Put Gex]])</f>
        <v>0</v>
      </c>
      <c r="AC1367">
        <f ca="1">Table1334567[[#This Row],[put delta adj]]+Table1334567[[#This Row],[call delta adj]]</f>
        <v>0</v>
      </c>
      <c r="AD1367">
        <f ca="1">Table1334567[[#This Row],[Put Gex]]*Table1334567[[#This Row],[DeltaP]]*-1</f>
        <v>0</v>
      </c>
      <c r="AE1367">
        <f ca="1">Table1334567[[#This Row],[Call Gex]]*Table1334567[[#This Row],[DeltaC]]</f>
        <v>0</v>
      </c>
      <c r="AF1367">
        <f>IF(Table1334567[[#This Row],[DeltaC]]-ABS(Table1334567[[#This Row],[DeltaP]])="0","0.01",Table1334567[[#This Row],[DeltaC]]-ABS(Table1334567[[#This Row],[DeltaP]]))</f>
        <v>0</v>
      </c>
      <c r="AG136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7" t="e">
        <f ca="1">(EXP(-(AG1367^2)/2)/SQRT(2*PI())*EXP(0*SQRT(Table1334567[[#This Row],[T]]))/$A$4*18%*SQRT(SQRT(Table1334567[[#This Row],[T]])))</f>
        <v>#DIV/0!</v>
      </c>
      <c r="AJ1367" t="e">
        <f ca="1">(EXP(-(AH1367^2)/2)/SQRT(2*PI())*EXP(0*SQRT(Table1334567[[#This Row],[T]]))/$A$4*18%*SQRT(SQRT(Table1334567[[#This Row],[T]])))</f>
        <v>#DIV/0!</v>
      </c>
      <c r="AK1367" t="e">
        <f ca="1">Table1334567[[#This Row],[Call D1]]-Table1334567[[#This Row],[IV Calc C]]*SQRT(Table1334567[[#This Row],[T]])</f>
        <v>#DIV/0!</v>
      </c>
      <c r="AL1367" t="e">
        <f ca="1">Table1334567[[#This Row],[Put D1]]-Table1334567[[#This Row],[IV Calc P]]*SQRT(Table1334567[[#This Row],[T]])</f>
        <v>#DIV/0!</v>
      </c>
      <c r="AM1367" t="e">
        <f ca="1">EXP(-0.5*Table1334567[[#This Row],[Call D1]]^2)/SQRT(2*PI())</f>
        <v>#DIV/0!</v>
      </c>
      <c r="AN1367" t="e">
        <f ca="1">EXP(-0.5*Table1334567[[#This Row],[Put D1]]^2)/SQRT(2*PI())</f>
        <v>#DIV/0!</v>
      </c>
      <c r="AO136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7">
        <f ca="1">((Table1334567[[#This Row],[call vanna]]+Table1334567[[#This Row],[put vanna]])*$A$4)</f>
        <v>0</v>
      </c>
      <c r="AR136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7" s="9" t="str" cm="1">
        <f t="array" ref="AT1367">_xlfn.IFS(     $M$1="SPX","SPXW",     $M$1="RUT","RUTW",  $M$1="NDX","NDXP",   TRUE,$M$1 )</f>
        <v>SPXW</v>
      </c>
      <c r="AU1367" s="2">
        <f t="shared" si="137"/>
        <v>6915</v>
      </c>
      <c r="AV1367" t="str">
        <f t="shared" si="138"/>
        <v>000100</v>
      </c>
      <c r="AY136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7">
        <f>((Table1334567[[#This Row],[High C]]+Table1334567[[#This Row],[Low C]])/2)*Table1334567[[#This Row],[gammac]]*Table1334567[[#This Row],[Volume]]</f>
        <v>0</v>
      </c>
      <c r="BD1367">
        <f>((Table1334567[[#This Row],[High P]]+Table1334567[[#This Row],[Low P]])/2)*Table1334567[[#This Row],[gammap]]*Table1334567[[#This Row],[Volume9]]*-1</f>
        <v>0</v>
      </c>
      <c r="BE1367">
        <f>(Table1334567[[#This Row],[SgammaC]]+Table1334567[[#This Row],[SgammaP]])*$A$4*-100</f>
        <v>0</v>
      </c>
      <c r="BF1367">
        <f>Table1334567[[#This Row],[DEXc]]+Table1334567[[#This Row],[DEXp]]</f>
        <v>0</v>
      </c>
      <c r="BG1367">
        <f>IFERROR(Table1334567[[#This Row],[DeltaC]]*Table1334567[[#This Row],[Open.Int]]*$A$4,0)</f>
        <v>0</v>
      </c>
      <c r="BH1367">
        <f>IFERROR(Table1334567[[#This Row],[DeltaP]]*Table1334567[[#This Row],[Open.Int8]]*$A$4,0)</f>
        <v>0</v>
      </c>
      <c r="BI136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7">
        <f ca="1">Table1334567[[#This Row],[charmc]]+Table1334567[[#This Row],[charmp]]</f>
        <v>0</v>
      </c>
      <c r="BL136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7" s="78">
        <f ca="1">Table1334567[[#This Row],[call helper]]+Table1334567[[#This Row],[put helper]]</f>
        <v>0</v>
      </c>
      <c r="BP1367" t="str">
        <f>RTD("tos.rtd", , "STRIKE", "."&amp;Table1334567[[#This Row],[Ticker]]&amp;Table1334567[[#This Row],[Expiry]]&amp;""&amp;"C"&amp;Table1334567[[#This Row],[Spot]]+Table1334567[[#This Row],[step]])</f>
        <v>N/A</v>
      </c>
    </row>
    <row r="1368" spans="1:68" x14ac:dyDescent="0.25">
      <c r="A1368" s="14">
        <f t="shared" ca="1" si="134"/>
        <v>-126.14810350076104</v>
      </c>
      <c r="C1368" s="17"/>
      <c r="D1368" t="str">
        <f>RTD("tos.rtd", , "OPEN_INT", "."&amp;Table1334567[[#This Row],[Ticker]]&amp;Table1334567[[#This Row],[Expiry]]&amp;""&amp;"C"&amp;Table1334567[[#This Row],[Spot]]+Table1334567[[#This Row],[step]])</f>
        <v>N/A</v>
      </c>
      <c r="E136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8" s="17" cm="1">
        <f t="array" aca="1" ref="H1368" ca="1">IndividualLegIVCore($A$4, Table1334567[[#This Row],[Strike]], 0.0411, Table1334567[[#This Row],[T]], ((Table1334567[[#This Row],[BIDC]]+Table1334567[[#This Row],[ASKC]])/2), TRUE)</f>
        <v>0.01</v>
      </c>
      <c r="I136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8" s="17"/>
      <c r="M1368" s="1">
        <f t="shared" si="135"/>
        <v>0</v>
      </c>
      <c r="N1368" t="b">
        <f t="shared" si="136"/>
        <v>0</v>
      </c>
      <c r="P1368" s="17" cm="1">
        <f t="array" aca="1" ref="P1368" ca="1">IndividualLegIVCore($A$4, Table1334567[[#This Row],[Strike]], 0.0411, Table1334567[[#This Row],[T]], ((Table1334567[[#This Row],[BIDP]]+Table1334567[[#This Row],[ASKP]])/2), FALSE)</f>
        <v>0.01</v>
      </c>
      <c r="Q136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8" s="17"/>
      <c r="T136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8" s="19">
        <f>20* IF($M$1="NDX", 10, IF(OR($M$1="SPX", $M$1="RUT"), 2, 1))</f>
        <v>40</v>
      </c>
      <c r="Z1368">
        <f ca="1">IFERROR(Table1334567[[#This Row],[call gamma]]*(Table1334567[[#This Row],[Open.Int]])*$A$4^2,0)</f>
        <v>0</v>
      </c>
      <c r="AA1368">
        <f ca="1">IFERROR(((Table1334567[[#This Row],[Open.Int8]])*Table1334567[[#This Row],[Put gamma]])*-1*$A$4^2,0)</f>
        <v>0</v>
      </c>
      <c r="AB1368">
        <f ca="1">(Table1334567[[#This Row],[Call Gex]]+Table1334567[[#This Row],[Put Gex]])</f>
        <v>0</v>
      </c>
      <c r="AC1368">
        <f ca="1">Table1334567[[#This Row],[put delta adj]]+Table1334567[[#This Row],[call delta adj]]</f>
        <v>0</v>
      </c>
      <c r="AD1368">
        <f ca="1">Table1334567[[#This Row],[Put Gex]]*Table1334567[[#This Row],[DeltaP]]*-1</f>
        <v>0</v>
      </c>
      <c r="AE1368">
        <f ca="1">Table1334567[[#This Row],[Call Gex]]*Table1334567[[#This Row],[DeltaC]]</f>
        <v>0</v>
      </c>
      <c r="AF1368">
        <f>IF(Table1334567[[#This Row],[DeltaC]]-ABS(Table1334567[[#This Row],[DeltaP]])="0","0.01",Table1334567[[#This Row],[DeltaC]]-ABS(Table1334567[[#This Row],[DeltaP]]))</f>
        <v>0</v>
      </c>
      <c r="AG136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8" t="e">
        <f ca="1">(EXP(-(AG1368^2)/2)/SQRT(2*PI())*EXP(0*SQRT(Table1334567[[#This Row],[T]]))/$A$4*18%*SQRT(SQRT(Table1334567[[#This Row],[T]])))</f>
        <v>#DIV/0!</v>
      </c>
      <c r="AJ1368" t="e">
        <f ca="1">(EXP(-(AH1368^2)/2)/SQRT(2*PI())*EXP(0*SQRT(Table1334567[[#This Row],[T]]))/$A$4*18%*SQRT(SQRT(Table1334567[[#This Row],[T]])))</f>
        <v>#DIV/0!</v>
      </c>
      <c r="AK1368" t="e">
        <f ca="1">Table1334567[[#This Row],[Call D1]]-Table1334567[[#This Row],[IV Calc C]]*SQRT(Table1334567[[#This Row],[T]])</f>
        <v>#DIV/0!</v>
      </c>
      <c r="AL1368" t="e">
        <f ca="1">Table1334567[[#This Row],[Put D1]]-Table1334567[[#This Row],[IV Calc P]]*SQRT(Table1334567[[#This Row],[T]])</f>
        <v>#DIV/0!</v>
      </c>
      <c r="AM1368" t="e">
        <f ca="1">EXP(-0.5*Table1334567[[#This Row],[Call D1]]^2)/SQRT(2*PI())</f>
        <v>#DIV/0!</v>
      </c>
      <c r="AN1368" t="e">
        <f ca="1">EXP(-0.5*Table1334567[[#This Row],[Put D1]]^2)/SQRT(2*PI())</f>
        <v>#DIV/0!</v>
      </c>
      <c r="AO136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8">
        <f ca="1">((Table1334567[[#This Row],[call vanna]]+Table1334567[[#This Row],[put vanna]])*$A$4)</f>
        <v>0</v>
      </c>
      <c r="AR136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8" s="9" t="str" cm="1">
        <f t="array" ref="AT1368">_xlfn.IFS(     $M$1="SPX","SPXW",     $M$1="RUT","RUTW",  $M$1="NDX","NDXP",   TRUE,$M$1 )</f>
        <v>SPXW</v>
      </c>
      <c r="AU1368" s="2">
        <f t="shared" si="137"/>
        <v>6915</v>
      </c>
      <c r="AV1368" t="str">
        <f t="shared" si="138"/>
        <v>000100</v>
      </c>
      <c r="AY136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8">
        <f>((Table1334567[[#This Row],[High C]]+Table1334567[[#This Row],[Low C]])/2)*Table1334567[[#This Row],[gammac]]*Table1334567[[#This Row],[Volume]]</f>
        <v>0</v>
      </c>
      <c r="BD1368">
        <f>((Table1334567[[#This Row],[High P]]+Table1334567[[#This Row],[Low P]])/2)*Table1334567[[#This Row],[gammap]]*Table1334567[[#This Row],[Volume9]]*-1</f>
        <v>0</v>
      </c>
      <c r="BE1368">
        <f>(Table1334567[[#This Row],[SgammaC]]+Table1334567[[#This Row],[SgammaP]])*$A$4*-100</f>
        <v>0</v>
      </c>
      <c r="BF1368">
        <f>Table1334567[[#This Row],[DEXc]]+Table1334567[[#This Row],[DEXp]]</f>
        <v>0</v>
      </c>
      <c r="BG1368">
        <f>IFERROR(Table1334567[[#This Row],[DeltaC]]*Table1334567[[#This Row],[Open.Int]]*$A$4,0)</f>
        <v>0</v>
      </c>
      <c r="BH1368">
        <f>IFERROR(Table1334567[[#This Row],[DeltaP]]*Table1334567[[#This Row],[Open.Int8]]*$A$4,0)</f>
        <v>0</v>
      </c>
      <c r="BI136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8">
        <f ca="1">Table1334567[[#This Row],[charmc]]+Table1334567[[#This Row],[charmp]]</f>
        <v>0</v>
      </c>
      <c r="BL136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8" s="78">
        <f ca="1">Table1334567[[#This Row],[call helper]]+Table1334567[[#This Row],[put helper]]</f>
        <v>0</v>
      </c>
      <c r="BP1368" t="str">
        <f>RTD("tos.rtd", , "STRIKE", "."&amp;Table1334567[[#This Row],[Ticker]]&amp;Table1334567[[#This Row],[Expiry]]&amp;""&amp;"C"&amp;Table1334567[[#This Row],[Spot]]+Table1334567[[#This Row],[step]])</f>
        <v>N/A</v>
      </c>
    </row>
    <row r="1369" spans="1:68" x14ac:dyDescent="0.25">
      <c r="A1369" s="14">
        <f t="shared" ca="1" si="134"/>
        <v>-126.14810350076104</v>
      </c>
      <c r="C1369" s="17"/>
      <c r="D1369" t="str">
        <f>RTD("tos.rtd", , "OPEN_INT", "."&amp;Table1334567[[#This Row],[Ticker]]&amp;Table1334567[[#This Row],[Expiry]]&amp;""&amp;"C"&amp;Table1334567[[#This Row],[Spot]]+Table1334567[[#This Row],[step]])</f>
        <v>N/A</v>
      </c>
      <c r="E136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9" s="17" cm="1">
        <f t="array" aca="1" ref="H1369" ca="1">IndividualLegIVCore($A$4, Table1334567[[#This Row],[Strike]], 0.0411, Table1334567[[#This Row],[T]], ((Table1334567[[#This Row],[BIDC]]+Table1334567[[#This Row],[ASKC]])/2), TRUE)</f>
        <v>0.01</v>
      </c>
      <c r="I136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9" s="17"/>
      <c r="M1369" s="1">
        <f t="shared" si="135"/>
        <v>0</v>
      </c>
      <c r="N1369" t="b">
        <f t="shared" si="136"/>
        <v>0</v>
      </c>
      <c r="P1369" s="17" cm="1">
        <f t="array" aca="1" ref="P1369" ca="1">IndividualLegIVCore($A$4, Table1334567[[#This Row],[Strike]], 0.0411, Table1334567[[#This Row],[T]], ((Table1334567[[#This Row],[BIDP]]+Table1334567[[#This Row],[ASKP]])/2), FALSE)</f>
        <v>0.01</v>
      </c>
      <c r="Q136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9" s="17"/>
      <c r="T136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9" s="19">
        <f>20.5* IF($M$1="NDX", 10, IF(OR($M$1="SPX", $M$1="RUT"), 2, 1))</f>
        <v>41</v>
      </c>
      <c r="Z1369">
        <f ca="1">IFERROR(Table1334567[[#This Row],[call gamma]]*(Table1334567[[#This Row],[Open.Int]])*$A$4^2,0)</f>
        <v>0</v>
      </c>
      <c r="AA1369">
        <f ca="1">IFERROR(((Table1334567[[#This Row],[Open.Int8]])*Table1334567[[#This Row],[Put gamma]])*-1*$A$4^2,0)</f>
        <v>0</v>
      </c>
      <c r="AB1369">
        <f ca="1">(Table1334567[[#This Row],[Call Gex]]+Table1334567[[#This Row],[Put Gex]])</f>
        <v>0</v>
      </c>
      <c r="AC1369">
        <f ca="1">Table1334567[[#This Row],[put delta adj]]+Table1334567[[#This Row],[call delta adj]]</f>
        <v>0</v>
      </c>
      <c r="AD1369">
        <f ca="1">Table1334567[[#This Row],[Put Gex]]*Table1334567[[#This Row],[DeltaP]]*-1</f>
        <v>0</v>
      </c>
      <c r="AE1369">
        <f ca="1">Table1334567[[#This Row],[Call Gex]]*Table1334567[[#This Row],[DeltaC]]</f>
        <v>0</v>
      </c>
      <c r="AF1369">
        <f>IF(Table1334567[[#This Row],[DeltaC]]-ABS(Table1334567[[#This Row],[DeltaP]])="0","0.01",Table1334567[[#This Row],[DeltaC]]-ABS(Table1334567[[#This Row],[DeltaP]]))</f>
        <v>0</v>
      </c>
      <c r="AG136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9" t="e">
        <f ca="1">(EXP(-(AG1369^2)/2)/SQRT(2*PI())*EXP(0*SQRT(Table1334567[[#This Row],[T]]))/$A$4*18%*SQRT(SQRT(Table1334567[[#This Row],[T]])))</f>
        <v>#DIV/0!</v>
      </c>
      <c r="AJ1369" t="e">
        <f ca="1">(EXP(-(AH1369^2)/2)/SQRT(2*PI())*EXP(0*SQRT(Table1334567[[#This Row],[T]]))/$A$4*18%*SQRT(SQRT(Table1334567[[#This Row],[T]])))</f>
        <v>#DIV/0!</v>
      </c>
      <c r="AK1369" t="e">
        <f ca="1">Table1334567[[#This Row],[Call D1]]-Table1334567[[#This Row],[IV Calc C]]*SQRT(Table1334567[[#This Row],[T]])</f>
        <v>#DIV/0!</v>
      </c>
      <c r="AL1369" t="e">
        <f ca="1">Table1334567[[#This Row],[Put D1]]-Table1334567[[#This Row],[IV Calc P]]*SQRT(Table1334567[[#This Row],[T]])</f>
        <v>#DIV/0!</v>
      </c>
      <c r="AM1369" t="e">
        <f ca="1">EXP(-0.5*Table1334567[[#This Row],[Call D1]]^2)/SQRT(2*PI())</f>
        <v>#DIV/0!</v>
      </c>
      <c r="AN1369" t="e">
        <f ca="1">EXP(-0.5*Table1334567[[#This Row],[Put D1]]^2)/SQRT(2*PI())</f>
        <v>#DIV/0!</v>
      </c>
      <c r="AO136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9">
        <f ca="1">((Table1334567[[#This Row],[call vanna]]+Table1334567[[#This Row],[put vanna]])*$A$4)</f>
        <v>0</v>
      </c>
      <c r="AR136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9" s="9" t="str" cm="1">
        <f t="array" ref="AT1369">_xlfn.IFS(     $M$1="SPX","SPXW",     $M$1="RUT","RUTW",  $M$1="NDX","NDXP",   TRUE,$M$1 )</f>
        <v>SPXW</v>
      </c>
      <c r="AU1369" s="2">
        <f t="shared" si="137"/>
        <v>6915</v>
      </c>
      <c r="AV1369" t="str">
        <f t="shared" si="138"/>
        <v>000100</v>
      </c>
      <c r="AY136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9">
        <f>((Table1334567[[#This Row],[High C]]+Table1334567[[#This Row],[Low C]])/2)*Table1334567[[#This Row],[gammac]]*Table1334567[[#This Row],[Volume]]</f>
        <v>0</v>
      </c>
      <c r="BD1369">
        <f>((Table1334567[[#This Row],[High P]]+Table1334567[[#This Row],[Low P]])/2)*Table1334567[[#This Row],[gammap]]*Table1334567[[#This Row],[Volume9]]*-1</f>
        <v>0</v>
      </c>
      <c r="BE1369">
        <f>(Table1334567[[#This Row],[SgammaC]]+Table1334567[[#This Row],[SgammaP]])*$A$4*-100</f>
        <v>0</v>
      </c>
      <c r="BF1369">
        <f>Table1334567[[#This Row],[DEXc]]+Table1334567[[#This Row],[DEXp]]</f>
        <v>0</v>
      </c>
      <c r="BG1369">
        <f>IFERROR(Table1334567[[#This Row],[DeltaC]]*Table1334567[[#This Row],[Open.Int]]*$A$4,0)</f>
        <v>0</v>
      </c>
      <c r="BH1369">
        <f>IFERROR(Table1334567[[#This Row],[DeltaP]]*Table1334567[[#This Row],[Open.Int8]]*$A$4,0)</f>
        <v>0</v>
      </c>
      <c r="BI136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9">
        <f ca="1">Table1334567[[#This Row],[charmc]]+Table1334567[[#This Row],[charmp]]</f>
        <v>0</v>
      </c>
      <c r="BL136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9" s="78">
        <f ca="1">Table1334567[[#This Row],[call helper]]+Table1334567[[#This Row],[put helper]]</f>
        <v>0</v>
      </c>
      <c r="BP1369" t="str">
        <f>RTD("tos.rtd", , "STRIKE", "."&amp;Table1334567[[#This Row],[Ticker]]&amp;Table1334567[[#This Row],[Expiry]]&amp;""&amp;"C"&amp;Table1334567[[#This Row],[Spot]]+Table1334567[[#This Row],[step]])</f>
        <v>N/A</v>
      </c>
    </row>
    <row r="1370" spans="1:68" x14ac:dyDescent="0.25">
      <c r="A1370" s="14">
        <f t="shared" ca="1" si="134"/>
        <v>-126.14810350076104</v>
      </c>
      <c r="C1370" s="17"/>
      <c r="D1370" t="str">
        <f>RTD("tos.rtd", , "OPEN_INT", "."&amp;Table1334567[[#This Row],[Ticker]]&amp;Table1334567[[#This Row],[Expiry]]&amp;""&amp;"C"&amp;Table1334567[[#This Row],[Spot]]+Table1334567[[#This Row],[step]])</f>
        <v>N/A</v>
      </c>
      <c r="E137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0" s="17" cm="1">
        <f t="array" aca="1" ref="H1370" ca="1">IndividualLegIVCore($A$4, Table1334567[[#This Row],[Strike]], 0.0411, Table1334567[[#This Row],[T]], ((Table1334567[[#This Row],[BIDC]]+Table1334567[[#This Row],[ASKC]])/2), TRUE)</f>
        <v>0.01</v>
      </c>
      <c r="I137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0" s="17"/>
      <c r="M1370" s="1">
        <f t="shared" si="135"/>
        <v>0</v>
      </c>
      <c r="N1370" t="b">
        <f t="shared" si="136"/>
        <v>0</v>
      </c>
      <c r="P1370" s="17" cm="1">
        <f t="array" aca="1" ref="P1370" ca="1">IndividualLegIVCore($A$4, Table1334567[[#This Row],[Strike]], 0.0411, Table1334567[[#This Row],[T]], ((Table1334567[[#This Row],[BIDP]]+Table1334567[[#This Row],[ASKP]])/2), FALSE)</f>
        <v>0.01</v>
      </c>
      <c r="Q137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0" s="17"/>
      <c r="T137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0" s="19">
        <f>21* IF($M$1="NDX", 10, IF(OR($M$1="SPX", $M$1="RUT"), 2, 1))</f>
        <v>42</v>
      </c>
      <c r="Z1370">
        <f ca="1">IFERROR(Table1334567[[#This Row],[call gamma]]*(Table1334567[[#This Row],[Open.Int]])*$A$4^2,0)</f>
        <v>0</v>
      </c>
      <c r="AA1370">
        <f ca="1">IFERROR(((Table1334567[[#This Row],[Open.Int8]])*Table1334567[[#This Row],[Put gamma]])*-1*$A$4^2,0)</f>
        <v>0</v>
      </c>
      <c r="AB1370">
        <f ca="1">(Table1334567[[#This Row],[Call Gex]]+Table1334567[[#This Row],[Put Gex]])</f>
        <v>0</v>
      </c>
      <c r="AC1370">
        <f ca="1">Table1334567[[#This Row],[put delta adj]]+Table1334567[[#This Row],[call delta adj]]</f>
        <v>0</v>
      </c>
      <c r="AD1370">
        <f ca="1">Table1334567[[#This Row],[Put Gex]]*Table1334567[[#This Row],[DeltaP]]*-1</f>
        <v>0</v>
      </c>
      <c r="AE1370">
        <f ca="1">Table1334567[[#This Row],[Call Gex]]*Table1334567[[#This Row],[DeltaC]]</f>
        <v>0</v>
      </c>
      <c r="AF1370">
        <f>IF(Table1334567[[#This Row],[DeltaC]]-ABS(Table1334567[[#This Row],[DeltaP]])="0","0.01",Table1334567[[#This Row],[DeltaC]]-ABS(Table1334567[[#This Row],[DeltaP]]))</f>
        <v>0</v>
      </c>
      <c r="AG137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0" t="e">
        <f ca="1">(EXP(-(AG1370^2)/2)/SQRT(2*PI())*EXP(0*SQRT(Table1334567[[#This Row],[T]]))/$A$4*18%*SQRT(SQRT(Table1334567[[#This Row],[T]])))</f>
        <v>#DIV/0!</v>
      </c>
      <c r="AJ1370" t="e">
        <f ca="1">(EXP(-(AH1370^2)/2)/SQRT(2*PI())*EXP(0*SQRT(Table1334567[[#This Row],[T]]))/$A$4*18%*SQRT(SQRT(Table1334567[[#This Row],[T]])))</f>
        <v>#DIV/0!</v>
      </c>
      <c r="AK1370" t="e">
        <f ca="1">Table1334567[[#This Row],[Call D1]]-Table1334567[[#This Row],[IV Calc C]]*SQRT(Table1334567[[#This Row],[T]])</f>
        <v>#DIV/0!</v>
      </c>
      <c r="AL1370" t="e">
        <f ca="1">Table1334567[[#This Row],[Put D1]]-Table1334567[[#This Row],[IV Calc P]]*SQRT(Table1334567[[#This Row],[T]])</f>
        <v>#DIV/0!</v>
      </c>
      <c r="AM1370" t="e">
        <f ca="1">EXP(-0.5*Table1334567[[#This Row],[Call D1]]^2)/SQRT(2*PI())</f>
        <v>#DIV/0!</v>
      </c>
      <c r="AN1370" t="e">
        <f ca="1">EXP(-0.5*Table1334567[[#This Row],[Put D1]]^2)/SQRT(2*PI())</f>
        <v>#DIV/0!</v>
      </c>
      <c r="AO137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0">
        <f ca="1">((Table1334567[[#This Row],[call vanna]]+Table1334567[[#This Row],[put vanna]])*$A$4)</f>
        <v>0</v>
      </c>
      <c r="AR137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0" s="9" t="str" cm="1">
        <f t="array" ref="AT1370">_xlfn.IFS(     $M$1="SPX","SPXW",     $M$1="RUT","RUTW",  $M$1="NDX","NDXP",   TRUE,$M$1 )</f>
        <v>SPXW</v>
      </c>
      <c r="AU1370" s="2">
        <f t="shared" si="137"/>
        <v>6915</v>
      </c>
      <c r="AV1370" t="str">
        <f t="shared" si="138"/>
        <v>000100</v>
      </c>
      <c r="AY137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0">
        <f>((Table1334567[[#This Row],[High C]]+Table1334567[[#This Row],[Low C]])/2)*Table1334567[[#This Row],[gammac]]*Table1334567[[#This Row],[Volume]]</f>
        <v>0</v>
      </c>
      <c r="BD1370">
        <f>((Table1334567[[#This Row],[High P]]+Table1334567[[#This Row],[Low P]])/2)*Table1334567[[#This Row],[gammap]]*Table1334567[[#This Row],[Volume9]]*-1</f>
        <v>0</v>
      </c>
      <c r="BE1370">
        <f>(Table1334567[[#This Row],[SgammaC]]+Table1334567[[#This Row],[SgammaP]])*$A$4*-100</f>
        <v>0</v>
      </c>
      <c r="BF1370">
        <f>Table1334567[[#This Row],[DEXc]]+Table1334567[[#This Row],[DEXp]]</f>
        <v>0</v>
      </c>
      <c r="BG1370">
        <f>IFERROR(Table1334567[[#This Row],[DeltaC]]*Table1334567[[#This Row],[Open.Int]]*$A$4,0)</f>
        <v>0</v>
      </c>
      <c r="BH1370">
        <f>IFERROR(Table1334567[[#This Row],[DeltaP]]*Table1334567[[#This Row],[Open.Int8]]*$A$4,0)</f>
        <v>0</v>
      </c>
      <c r="BI137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0">
        <f ca="1">Table1334567[[#This Row],[charmc]]+Table1334567[[#This Row],[charmp]]</f>
        <v>0</v>
      </c>
      <c r="BL137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0" s="78">
        <f ca="1">Table1334567[[#This Row],[call helper]]+Table1334567[[#This Row],[put helper]]</f>
        <v>0</v>
      </c>
      <c r="BP1370" t="str">
        <f>RTD("tos.rtd", , "STRIKE", "."&amp;Table1334567[[#This Row],[Ticker]]&amp;Table1334567[[#This Row],[Expiry]]&amp;""&amp;"C"&amp;Table1334567[[#This Row],[Spot]]+Table1334567[[#This Row],[step]])</f>
        <v>N/A</v>
      </c>
    </row>
    <row r="1371" spans="1:68" x14ac:dyDescent="0.25">
      <c r="A1371" s="14">
        <f t="shared" ca="1" si="134"/>
        <v>-126.14810350076104</v>
      </c>
      <c r="C1371" s="17"/>
      <c r="D1371" t="str">
        <f>RTD("tos.rtd", , "OPEN_INT", "."&amp;Table1334567[[#This Row],[Ticker]]&amp;Table1334567[[#This Row],[Expiry]]&amp;""&amp;"C"&amp;Table1334567[[#This Row],[Spot]]+Table1334567[[#This Row],[step]])</f>
        <v>N/A</v>
      </c>
      <c r="E137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1" s="17" cm="1">
        <f t="array" aca="1" ref="H1371" ca="1">IndividualLegIVCore($A$4, Table1334567[[#This Row],[Strike]], 0.0411, Table1334567[[#This Row],[T]], ((Table1334567[[#This Row],[BIDC]]+Table1334567[[#This Row],[ASKC]])/2), TRUE)</f>
        <v>0.01</v>
      </c>
      <c r="I137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1" s="17"/>
      <c r="M1371" s="1">
        <f t="shared" si="135"/>
        <v>0</v>
      </c>
      <c r="N1371" t="b">
        <f t="shared" si="136"/>
        <v>0</v>
      </c>
      <c r="P1371" s="17" cm="1">
        <f t="array" aca="1" ref="P1371" ca="1">IndividualLegIVCore($A$4, Table1334567[[#This Row],[Strike]], 0.0411, Table1334567[[#This Row],[T]], ((Table1334567[[#This Row],[BIDP]]+Table1334567[[#This Row],[ASKP]])/2), FALSE)</f>
        <v>0.01</v>
      </c>
      <c r="Q137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1" s="17"/>
      <c r="T137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1" s="19">
        <f>21.5* IF($M$1="NDX", 10, IF(OR($M$1="SPX", $M$1="RUT"), 2, 1))</f>
        <v>43</v>
      </c>
      <c r="Z1371">
        <f ca="1">IFERROR(Table1334567[[#This Row],[call gamma]]*(Table1334567[[#This Row],[Open.Int]])*$A$4^2,0)</f>
        <v>0</v>
      </c>
      <c r="AA1371">
        <f ca="1">IFERROR(((Table1334567[[#This Row],[Open.Int8]])*Table1334567[[#This Row],[Put gamma]])*-1*$A$4^2,0)</f>
        <v>0</v>
      </c>
      <c r="AB1371">
        <f ca="1">(Table1334567[[#This Row],[Call Gex]]+Table1334567[[#This Row],[Put Gex]])</f>
        <v>0</v>
      </c>
      <c r="AC1371">
        <f ca="1">Table1334567[[#This Row],[put delta adj]]+Table1334567[[#This Row],[call delta adj]]</f>
        <v>0</v>
      </c>
      <c r="AD1371">
        <f ca="1">Table1334567[[#This Row],[Put Gex]]*Table1334567[[#This Row],[DeltaP]]*-1</f>
        <v>0</v>
      </c>
      <c r="AE1371">
        <f ca="1">Table1334567[[#This Row],[Call Gex]]*Table1334567[[#This Row],[DeltaC]]</f>
        <v>0</v>
      </c>
      <c r="AF1371">
        <f>IF(Table1334567[[#This Row],[DeltaC]]-ABS(Table1334567[[#This Row],[DeltaP]])="0","0.01",Table1334567[[#This Row],[DeltaC]]-ABS(Table1334567[[#This Row],[DeltaP]]))</f>
        <v>0</v>
      </c>
      <c r="AG137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1" t="e">
        <f ca="1">(EXP(-(AG1371^2)/2)/SQRT(2*PI())*EXP(0*SQRT(Table1334567[[#This Row],[T]]))/$A$4*18%*SQRT(SQRT(Table1334567[[#This Row],[T]])))</f>
        <v>#DIV/0!</v>
      </c>
      <c r="AJ1371" t="e">
        <f ca="1">(EXP(-(AH1371^2)/2)/SQRT(2*PI())*EXP(0*SQRT(Table1334567[[#This Row],[T]]))/$A$4*18%*SQRT(SQRT(Table1334567[[#This Row],[T]])))</f>
        <v>#DIV/0!</v>
      </c>
      <c r="AK1371" t="e">
        <f ca="1">Table1334567[[#This Row],[Call D1]]-Table1334567[[#This Row],[IV Calc C]]*SQRT(Table1334567[[#This Row],[T]])</f>
        <v>#DIV/0!</v>
      </c>
      <c r="AL1371" t="e">
        <f ca="1">Table1334567[[#This Row],[Put D1]]-Table1334567[[#This Row],[IV Calc P]]*SQRT(Table1334567[[#This Row],[T]])</f>
        <v>#DIV/0!</v>
      </c>
      <c r="AM1371" t="e">
        <f ca="1">EXP(-0.5*Table1334567[[#This Row],[Call D1]]^2)/SQRT(2*PI())</f>
        <v>#DIV/0!</v>
      </c>
      <c r="AN1371" t="e">
        <f ca="1">EXP(-0.5*Table1334567[[#This Row],[Put D1]]^2)/SQRT(2*PI())</f>
        <v>#DIV/0!</v>
      </c>
      <c r="AO137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1">
        <f ca="1">((Table1334567[[#This Row],[call vanna]]+Table1334567[[#This Row],[put vanna]])*$A$4)</f>
        <v>0</v>
      </c>
      <c r="AR137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1" s="9" t="str" cm="1">
        <f t="array" ref="AT1371">_xlfn.IFS(     $M$1="SPX","SPXW",     $M$1="RUT","RUTW",  $M$1="NDX","NDXP",   TRUE,$M$1 )</f>
        <v>SPXW</v>
      </c>
      <c r="AU1371" s="2">
        <f t="shared" si="137"/>
        <v>6915</v>
      </c>
      <c r="AV1371" t="str">
        <f t="shared" si="138"/>
        <v>000100</v>
      </c>
      <c r="AY137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1">
        <f>((Table1334567[[#This Row],[High C]]+Table1334567[[#This Row],[Low C]])/2)*Table1334567[[#This Row],[gammac]]*Table1334567[[#This Row],[Volume]]</f>
        <v>0</v>
      </c>
      <c r="BD1371">
        <f>((Table1334567[[#This Row],[High P]]+Table1334567[[#This Row],[Low P]])/2)*Table1334567[[#This Row],[gammap]]*Table1334567[[#This Row],[Volume9]]*-1</f>
        <v>0</v>
      </c>
      <c r="BE1371">
        <f>(Table1334567[[#This Row],[SgammaC]]+Table1334567[[#This Row],[SgammaP]])*$A$4*-100</f>
        <v>0</v>
      </c>
      <c r="BF1371">
        <f>Table1334567[[#This Row],[DEXc]]+Table1334567[[#This Row],[DEXp]]</f>
        <v>0</v>
      </c>
      <c r="BG1371">
        <f>IFERROR(Table1334567[[#This Row],[DeltaC]]*Table1334567[[#This Row],[Open.Int]]*$A$4,0)</f>
        <v>0</v>
      </c>
      <c r="BH1371">
        <f>IFERROR(Table1334567[[#This Row],[DeltaP]]*Table1334567[[#This Row],[Open.Int8]]*$A$4,0)</f>
        <v>0</v>
      </c>
      <c r="BI137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1">
        <f ca="1">Table1334567[[#This Row],[charmc]]+Table1334567[[#This Row],[charmp]]</f>
        <v>0</v>
      </c>
      <c r="BL137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1" s="78">
        <f ca="1">Table1334567[[#This Row],[call helper]]+Table1334567[[#This Row],[put helper]]</f>
        <v>0</v>
      </c>
      <c r="BP1371" t="str">
        <f>RTD("tos.rtd", , "STRIKE", "."&amp;Table1334567[[#This Row],[Ticker]]&amp;Table1334567[[#This Row],[Expiry]]&amp;""&amp;"C"&amp;Table1334567[[#This Row],[Spot]]+Table1334567[[#This Row],[step]])</f>
        <v>N/A</v>
      </c>
    </row>
    <row r="1372" spans="1:68" x14ac:dyDescent="0.25">
      <c r="A1372" s="14">
        <f t="shared" ca="1" si="134"/>
        <v>-126.14810350076104</v>
      </c>
      <c r="C1372" s="17"/>
      <c r="D1372" t="str">
        <f>RTD("tos.rtd", , "OPEN_INT", "."&amp;Table1334567[[#This Row],[Ticker]]&amp;Table1334567[[#This Row],[Expiry]]&amp;""&amp;"C"&amp;Table1334567[[#This Row],[Spot]]+Table1334567[[#This Row],[step]])</f>
        <v>N/A</v>
      </c>
      <c r="E137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2" s="17" cm="1">
        <f t="array" aca="1" ref="H1372" ca="1">IndividualLegIVCore($A$4, Table1334567[[#This Row],[Strike]], 0.0411, Table1334567[[#This Row],[T]], ((Table1334567[[#This Row],[BIDC]]+Table1334567[[#This Row],[ASKC]])/2), TRUE)</f>
        <v>0.01</v>
      </c>
      <c r="I137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2" s="17"/>
      <c r="M1372" s="1">
        <f t="shared" si="135"/>
        <v>0</v>
      </c>
      <c r="N1372" t="b">
        <f t="shared" si="136"/>
        <v>0</v>
      </c>
      <c r="P1372" s="17" cm="1">
        <f t="array" aca="1" ref="P1372" ca="1">IndividualLegIVCore($A$4, Table1334567[[#This Row],[Strike]], 0.0411, Table1334567[[#This Row],[T]], ((Table1334567[[#This Row],[BIDP]]+Table1334567[[#This Row],[ASKP]])/2), FALSE)</f>
        <v>0.01</v>
      </c>
      <c r="Q137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2" s="17"/>
      <c r="T137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2" s="19">
        <f>22* IF($M$1="NDX", 10, IF(OR($M$1="SPX", $M$1="RUT"), 2, 1))</f>
        <v>44</v>
      </c>
      <c r="Z1372">
        <f ca="1">IFERROR(Table1334567[[#This Row],[call gamma]]*(Table1334567[[#This Row],[Open.Int]])*$A$4^2,0)</f>
        <v>0</v>
      </c>
      <c r="AA1372">
        <f ca="1">IFERROR(((Table1334567[[#This Row],[Open.Int8]])*Table1334567[[#This Row],[Put gamma]])*-1*$A$4^2,0)</f>
        <v>0</v>
      </c>
      <c r="AB1372">
        <f ca="1">(Table1334567[[#This Row],[Call Gex]]+Table1334567[[#This Row],[Put Gex]])</f>
        <v>0</v>
      </c>
      <c r="AC1372">
        <f ca="1">Table1334567[[#This Row],[put delta adj]]+Table1334567[[#This Row],[call delta adj]]</f>
        <v>0</v>
      </c>
      <c r="AD1372">
        <f ca="1">Table1334567[[#This Row],[Put Gex]]*Table1334567[[#This Row],[DeltaP]]*-1</f>
        <v>0</v>
      </c>
      <c r="AE1372">
        <f ca="1">Table1334567[[#This Row],[Call Gex]]*Table1334567[[#This Row],[DeltaC]]</f>
        <v>0</v>
      </c>
      <c r="AF1372">
        <f>IF(Table1334567[[#This Row],[DeltaC]]-ABS(Table1334567[[#This Row],[DeltaP]])="0","0.01",Table1334567[[#This Row],[DeltaC]]-ABS(Table1334567[[#This Row],[DeltaP]]))</f>
        <v>0</v>
      </c>
      <c r="AG137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2" t="e">
        <f ca="1">(EXP(-(AG1372^2)/2)/SQRT(2*PI())*EXP(0*SQRT(Table1334567[[#This Row],[T]]))/$A$4*18%*SQRT(SQRT(Table1334567[[#This Row],[T]])))</f>
        <v>#DIV/0!</v>
      </c>
      <c r="AJ1372" t="e">
        <f ca="1">(EXP(-(AH1372^2)/2)/SQRT(2*PI())*EXP(0*SQRT(Table1334567[[#This Row],[T]]))/$A$4*18%*SQRT(SQRT(Table1334567[[#This Row],[T]])))</f>
        <v>#DIV/0!</v>
      </c>
      <c r="AK1372" t="e">
        <f ca="1">Table1334567[[#This Row],[Call D1]]-Table1334567[[#This Row],[IV Calc C]]*SQRT(Table1334567[[#This Row],[T]])</f>
        <v>#DIV/0!</v>
      </c>
      <c r="AL1372" t="e">
        <f ca="1">Table1334567[[#This Row],[Put D1]]-Table1334567[[#This Row],[IV Calc P]]*SQRT(Table1334567[[#This Row],[T]])</f>
        <v>#DIV/0!</v>
      </c>
      <c r="AM1372" t="e">
        <f ca="1">EXP(-0.5*Table1334567[[#This Row],[Call D1]]^2)/SQRT(2*PI())</f>
        <v>#DIV/0!</v>
      </c>
      <c r="AN1372" t="e">
        <f ca="1">EXP(-0.5*Table1334567[[#This Row],[Put D1]]^2)/SQRT(2*PI())</f>
        <v>#DIV/0!</v>
      </c>
      <c r="AO137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2">
        <f ca="1">((Table1334567[[#This Row],[call vanna]]+Table1334567[[#This Row],[put vanna]])*$A$4)</f>
        <v>0</v>
      </c>
      <c r="AR137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2" s="9" t="str" cm="1">
        <f t="array" ref="AT1372">_xlfn.IFS(     $M$1="SPX","SPXW",     $M$1="RUT","RUTW",  $M$1="NDX","NDXP",   TRUE,$M$1 )</f>
        <v>SPXW</v>
      </c>
      <c r="AU1372" s="2">
        <f t="shared" si="137"/>
        <v>6915</v>
      </c>
      <c r="AV1372" t="str">
        <f t="shared" si="138"/>
        <v>000100</v>
      </c>
      <c r="AY137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2">
        <f>((Table1334567[[#This Row],[High C]]+Table1334567[[#This Row],[Low C]])/2)*Table1334567[[#This Row],[gammac]]*Table1334567[[#This Row],[Volume]]</f>
        <v>0</v>
      </c>
      <c r="BD1372">
        <f>((Table1334567[[#This Row],[High P]]+Table1334567[[#This Row],[Low P]])/2)*Table1334567[[#This Row],[gammap]]*Table1334567[[#This Row],[Volume9]]*-1</f>
        <v>0</v>
      </c>
      <c r="BE1372">
        <f>(Table1334567[[#This Row],[SgammaC]]+Table1334567[[#This Row],[SgammaP]])*$A$4*-100</f>
        <v>0</v>
      </c>
      <c r="BF1372">
        <f>Table1334567[[#This Row],[DEXc]]+Table1334567[[#This Row],[DEXp]]</f>
        <v>0</v>
      </c>
      <c r="BG1372">
        <f>IFERROR(Table1334567[[#This Row],[DeltaC]]*Table1334567[[#This Row],[Open.Int]]*$A$4,0)</f>
        <v>0</v>
      </c>
      <c r="BH1372">
        <f>IFERROR(Table1334567[[#This Row],[DeltaP]]*Table1334567[[#This Row],[Open.Int8]]*$A$4,0)</f>
        <v>0</v>
      </c>
      <c r="BI137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2">
        <f ca="1">Table1334567[[#This Row],[charmc]]+Table1334567[[#This Row],[charmp]]</f>
        <v>0</v>
      </c>
      <c r="BL137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2" s="78">
        <f ca="1">Table1334567[[#This Row],[call helper]]+Table1334567[[#This Row],[put helper]]</f>
        <v>0</v>
      </c>
      <c r="BP1372" t="str">
        <f>RTD("tos.rtd", , "STRIKE", "."&amp;Table1334567[[#This Row],[Ticker]]&amp;Table1334567[[#This Row],[Expiry]]&amp;""&amp;"C"&amp;Table1334567[[#This Row],[Spot]]+Table1334567[[#This Row],[step]])</f>
        <v>N/A</v>
      </c>
    </row>
    <row r="1373" spans="1:68" x14ac:dyDescent="0.25">
      <c r="A1373" s="14">
        <f t="shared" ca="1" si="134"/>
        <v>-126.14810350076104</v>
      </c>
      <c r="C1373" s="17"/>
      <c r="D1373" t="str">
        <f>RTD("tos.rtd", , "OPEN_INT", "."&amp;Table1334567[[#This Row],[Ticker]]&amp;Table1334567[[#This Row],[Expiry]]&amp;""&amp;"C"&amp;Table1334567[[#This Row],[Spot]]+Table1334567[[#This Row],[step]])</f>
        <v>N/A</v>
      </c>
      <c r="E137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3" s="17" cm="1">
        <f t="array" aca="1" ref="H1373" ca="1">IndividualLegIVCore($A$4, Table1334567[[#This Row],[Strike]], 0.0411, Table1334567[[#This Row],[T]], ((Table1334567[[#This Row],[BIDC]]+Table1334567[[#This Row],[ASKC]])/2), TRUE)</f>
        <v>0.01</v>
      </c>
      <c r="I137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3" s="17"/>
      <c r="M1373" s="1">
        <f t="shared" si="135"/>
        <v>0</v>
      </c>
      <c r="N1373" t="b">
        <f t="shared" si="136"/>
        <v>0</v>
      </c>
      <c r="P1373" s="17" cm="1">
        <f t="array" aca="1" ref="P1373" ca="1">IndividualLegIVCore($A$4, Table1334567[[#This Row],[Strike]], 0.0411, Table1334567[[#This Row],[T]], ((Table1334567[[#This Row],[BIDP]]+Table1334567[[#This Row],[ASKP]])/2), FALSE)</f>
        <v>0.01</v>
      </c>
      <c r="Q137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3" s="17"/>
      <c r="T137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3" s="19">
        <f>22.5* IF($M$1="NDX", 10, IF(OR($M$1="SPX", $M$1="RUT"), 2, 1))</f>
        <v>45</v>
      </c>
      <c r="Z1373">
        <f ca="1">IFERROR(Table1334567[[#This Row],[call gamma]]*(Table1334567[[#This Row],[Open.Int]])*$A$4^2,0)</f>
        <v>0</v>
      </c>
      <c r="AA1373">
        <f ca="1">IFERROR(((Table1334567[[#This Row],[Open.Int8]])*Table1334567[[#This Row],[Put gamma]])*-1*$A$4^2,0)</f>
        <v>0</v>
      </c>
      <c r="AB1373">
        <f ca="1">(Table1334567[[#This Row],[Call Gex]]+Table1334567[[#This Row],[Put Gex]])</f>
        <v>0</v>
      </c>
      <c r="AC1373">
        <f ca="1">Table1334567[[#This Row],[put delta adj]]+Table1334567[[#This Row],[call delta adj]]</f>
        <v>0</v>
      </c>
      <c r="AD1373">
        <f ca="1">Table1334567[[#This Row],[Put Gex]]*Table1334567[[#This Row],[DeltaP]]*-1</f>
        <v>0</v>
      </c>
      <c r="AE1373">
        <f ca="1">Table1334567[[#This Row],[Call Gex]]*Table1334567[[#This Row],[DeltaC]]</f>
        <v>0</v>
      </c>
      <c r="AF1373">
        <f>IF(Table1334567[[#This Row],[DeltaC]]-ABS(Table1334567[[#This Row],[DeltaP]])="0","0.01",Table1334567[[#This Row],[DeltaC]]-ABS(Table1334567[[#This Row],[DeltaP]]))</f>
        <v>0</v>
      </c>
      <c r="AG137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3" t="e">
        <f ca="1">(EXP(-(AG1373^2)/2)/SQRT(2*PI())*EXP(0*SQRT(Table1334567[[#This Row],[T]]))/$A$4*18%*SQRT(SQRT(Table1334567[[#This Row],[T]])))</f>
        <v>#DIV/0!</v>
      </c>
      <c r="AJ1373" t="e">
        <f ca="1">(EXP(-(AH1373^2)/2)/SQRT(2*PI())*EXP(0*SQRT(Table1334567[[#This Row],[T]]))/$A$4*18%*SQRT(SQRT(Table1334567[[#This Row],[T]])))</f>
        <v>#DIV/0!</v>
      </c>
      <c r="AK1373" t="e">
        <f ca="1">Table1334567[[#This Row],[Call D1]]-Table1334567[[#This Row],[IV Calc C]]*SQRT(Table1334567[[#This Row],[T]])</f>
        <v>#DIV/0!</v>
      </c>
      <c r="AL1373" t="e">
        <f ca="1">Table1334567[[#This Row],[Put D1]]-Table1334567[[#This Row],[IV Calc P]]*SQRT(Table1334567[[#This Row],[T]])</f>
        <v>#DIV/0!</v>
      </c>
      <c r="AM1373" t="e">
        <f ca="1">EXP(-0.5*Table1334567[[#This Row],[Call D1]]^2)/SQRT(2*PI())</f>
        <v>#DIV/0!</v>
      </c>
      <c r="AN1373" t="e">
        <f ca="1">EXP(-0.5*Table1334567[[#This Row],[Put D1]]^2)/SQRT(2*PI())</f>
        <v>#DIV/0!</v>
      </c>
      <c r="AO137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3">
        <f ca="1">((Table1334567[[#This Row],[call vanna]]+Table1334567[[#This Row],[put vanna]])*$A$4)</f>
        <v>0</v>
      </c>
      <c r="AR137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3" s="9" t="str" cm="1">
        <f t="array" ref="AT1373">_xlfn.IFS(     $M$1="SPX","SPXW",     $M$1="RUT","RUTW",  $M$1="NDX","NDXP",   TRUE,$M$1 )</f>
        <v>SPXW</v>
      </c>
      <c r="AU1373" s="2">
        <f t="shared" si="137"/>
        <v>6915</v>
      </c>
      <c r="AV1373" t="str">
        <f t="shared" si="138"/>
        <v>000100</v>
      </c>
      <c r="AY137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3">
        <f>((Table1334567[[#This Row],[High C]]+Table1334567[[#This Row],[Low C]])/2)*Table1334567[[#This Row],[gammac]]*Table1334567[[#This Row],[Volume]]</f>
        <v>0</v>
      </c>
      <c r="BD1373">
        <f>((Table1334567[[#This Row],[High P]]+Table1334567[[#This Row],[Low P]])/2)*Table1334567[[#This Row],[gammap]]*Table1334567[[#This Row],[Volume9]]*-1</f>
        <v>0</v>
      </c>
      <c r="BE1373">
        <f>(Table1334567[[#This Row],[SgammaC]]+Table1334567[[#This Row],[SgammaP]])*$A$4*-100</f>
        <v>0</v>
      </c>
      <c r="BF1373">
        <f>Table1334567[[#This Row],[DEXc]]+Table1334567[[#This Row],[DEXp]]</f>
        <v>0</v>
      </c>
      <c r="BG1373">
        <f>IFERROR(Table1334567[[#This Row],[DeltaC]]*Table1334567[[#This Row],[Open.Int]]*$A$4,0)</f>
        <v>0</v>
      </c>
      <c r="BH1373">
        <f>IFERROR(Table1334567[[#This Row],[DeltaP]]*Table1334567[[#This Row],[Open.Int8]]*$A$4,0)</f>
        <v>0</v>
      </c>
      <c r="BI137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3">
        <f ca="1">Table1334567[[#This Row],[charmc]]+Table1334567[[#This Row],[charmp]]</f>
        <v>0</v>
      </c>
      <c r="BL137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3" s="78">
        <f ca="1">Table1334567[[#This Row],[call helper]]+Table1334567[[#This Row],[put helper]]</f>
        <v>0</v>
      </c>
      <c r="BP1373" t="str">
        <f>RTD("tos.rtd", , "STRIKE", "."&amp;Table1334567[[#This Row],[Ticker]]&amp;Table1334567[[#This Row],[Expiry]]&amp;""&amp;"C"&amp;Table1334567[[#This Row],[Spot]]+Table1334567[[#This Row],[step]])</f>
        <v>N/A</v>
      </c>
    </row>
    <row r="1374" spans="1:68" x14ac:dyDescent="0.25">
      <c r="A1374" s="14">
        <f t="shared" ca="1" si="134"/>
        <v>-126.14810350076104</v>
      </c>
      <c r="C1374" s="17"/>
      <c r="D1374" t="str">
        <f>RTD("tos.rtd", , "OPEN_INT", "."&amp;Table1334567[[#This Row],[Ticker]]&amp;Table1334567[[#This Row],[Expiry]]&amp;""&amp;"C"&amp;Table1334567[[#This Row],[Spot]]+Table1334567[[#This Row],[step]])</f>
        <v>N/A</v>
      </c>
      <c r="E137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4" s="17" cm="1">
        <f t="array" aca="1" ref="H1374" ca="1">IndividualLegIVCore($A$4, Table1334567[[#This Row],[Strike]], 0.0411, Table1334567[[#This Row],[T]], ((Table1334567[[#This Row],[BIDC]]+Table1334567[[#This Row],[ASKC]])/2), TRUE)</f>
        <v>0.01</v>
      </c>
      <c r="I137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4" s="17"/>
      <c r="M1374" s="1">
        <f t="shared" si="135"/>
        <v>0</v>
      </c>
      <c r="N1374" t="b">
        <f t="shared" si="136"/>
        <v>0</v>
      </c>
      <c r="P1374" s="17" cm="1">
        <f t="array" aca="1" ref="P1374" ca="1">IndividualLegIVCore($A$4, Table1334567[[#This Row],[Strike]], 0.0411, Table1334567[[#This Row],[T]], ((Table1334567[[#This Row],[BIDP]]+Table1334567[[#This Row],[ASKP]])/2), FALSE)</f>
        <v>0.01</v>
      </c>
      <c r="Q137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4" s="17"/>
      <c r="T137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4" s="19">
        <f>23* IF($M$1="NDX", 10, IF(OR($M$1="SPX", $M$1="RUT"), 2, 1))</f>
        <v>46</v>
      </c>
      <c r="Z1374">
        <f ca="1">IFERROR(Table1334567[[#This Row],[call gamma]]*(Table1334567[[#This Row],[Open.Int]])*$A$4^2,0)</f>
        <v>0</v>
      </c>
      <c r="AA1374">
        <f ca="1">IFERROR(((Table1334567[[#This Row],[Open.Int8]])*Table1334567[[#This Row],[Put gamma]])*-1*$A$4^2,0)</f>
        <v>0</v>
      </c>
      <c r="AB1374">
        <f ca="1">(Table1334567[[#This Row],[Call Gex]]+Table1334567[[#This Row],[Put Gex]])</f>
        <v>0</v>
      </c>
      <c r="AC1374">
        <f ca="1">Table1334567[[#This Row],[put delta adj]]+Table1334567[[#This Row],[call delta adj]]</f>
        <v>0</v>
      </c>
      <c r="AD1374">
        <f ca="1">Table1334567[[#This Row],[Put Gex]]*Table1334567[[#This Row],[DeltaP]]*-1</f>
        <v>0</v>
      </c>
      <c r="AE1374">
        <f ca="1">Table1334567[[#This Row],[Call Gex]]*Table1334567[[#This Row],[DeltaC]]</f>
        <v>0</v>
      </c>
      <c r="AF1374">
        <f>IF(Table1334567[[#This Row],[DeltaC]]-ABS(Table1334567[[#This Row],[DeltaP]])="0","0.01",Table1334567[[#This Row],[DeltaC]]-ABS(Table1334567[[#This Row],[DeltaP]]))</f>
        <v>0</v>
      </c>
      <c r="AG137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4" t="e">
        <f ca="1">(EXP(-(AG1374^2)/2)/SQRT(2*PI())*EXP(0*SQRT(Table1334567[[#This Row],[T]]))/$A$4*18%*SQRT(SQRT(Table1334567[[#This Row],[T]])))</f>
        <v>#DIV/0!</v>
      </c>
      <c r="AJ1374" t="e">
        <f ca="1">(EXP(-(AH1374^2)/2)/SQRT(2*PI())*EXP(0*SQRT(Table1334567[[#This Row],[T]]))/$A$4*18%*SQRT(SQRT(Table1334567[[#This Row],[T]])))</f>
        <v>#DIV/0!</v>
      </c>
      <c r="AK1374" t="e">
        <f ca="1">Table1334567[[#This Row],[Call D1]]-Table1334567[[#This Row],[IV Calc C]]*SQRT(Table1334567[[#This Row],[T]])</f>
        <v>#DIV/0!</v>
      </c>
      <c r="AL1374" t="e">
        <f ca="1">Table1334567[[#This Row],[Put D1]]-Table1334567[[#This Row],[IV Calc P]]*SQRT(Table1334567[[#This Row],[T]])</f>
        <v>#DIV/0!</v>
      </c>
      <c r="AM1374" t="e">
        <f ca="1">EXP(-0.5*Table1334567[[#This Row],[Call D1]]^2)/SQRT(2*PI())</f>
        <v>#DIV/0!</v>
      </c>
      <c r="AN1374" t="e">
        <f ca="1">EXP(-0.5*Table1334567[[#This Row],[Put D1]]^2)/SQRT(2*PI())</f>
        <v>#DIV/0!</v>
      </c>
      <c r="AO137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4">
        <f ca="1">((Table1334567[[#This Row],[call vanna]]+Table1334567[[#This Row],[put vanna]])*$A$4)</f>
        <v>0</v>
      </c>
      <c r="AR137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4" s="9" t="str" cm="1">
        <f t="array" ref="AT1374">_xlfn.IFS(     $M$1="SPX","SPXW",     $M$1="RUT","RUTW",  $M$1="NDX","NDXP",   TRUE,$M$1 )</f>
        <v>SPXW</v>
      </c>
      <c r="AU1374" s="2">
        <f t="shared" si="137"/>
        <v>6915</v>
      </c>
      <c r="AV1374" t="str">
        <f t="shared" si="138"/>
        <v>000100</v>
      </c>
      <c r="AY137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4">
        <f>((Table1334567[[#This Row],[High C]]+Table1334567[[#This Row],[Low C]])/2)*Table1334567[[#This Row],[gammac]]*Table1334567[[#This Row],[Volume]]</f>
        <v>0</v>
      </c>
      <c r="BD1374">
        <f>((Table1334567[[#This Row],[High P]]+Table1334567[[#This Row],[Low P]])/2)*Table1334567[[#This Row],[gammap]]*Table1334567[[#This Row],[Volume9]]*-1</f>
        <v>0</v>
      </c>
      <c r="BE1374">
        <f>(Table1334567[[#This Row],[SgammaC]]+Table1334567[[#This Row],[SgammaP]])*$A$4*-100</f>
        <v>0</v>
      </c>
      <c r="BF1374">
        <f>Table1334567[[#This Row],[DEXc]]+Table1334567[[#This Row],[DEXp]]</f>
        <v>0</v>
      </c>
      <c r="BG1374">
        <f>IFERROR(Table1334567[[#This Row],[DeltaC]]*Table1334567[[#This Row],[Open.Int]]*$A$4,0)</f>
        <v>0</v>
      </c>
      <c r="BH1374">
        <f>IFERROR(Table1334567[[#This Row],[DeltaP]]*Table1334567[[#This Row],[Open.Int8]]*$A$4,0)</f>
        <v>0</v>
      </c>
      <c r="BI137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4">
        <f ca="1">Table1334567[[#This Row],[charmc]]+Table1334567[[#This Row],[charmp]]</f>
        <v>0</v>
      </c>
      <c r="BL137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4" s="78">
        <f ca="1">Table1334567[[#This Row],[call helper]]+Table1334567[[#This Row],[put helper]]</f>
        <v>0</v>
      </c>
      <c r="BP1374" t="str">
        <f>RTD("tos.rtd", , "STRIKE", "."&amp;Table1334567[[#This Row],[Ticker]]&amp;Table1334567[[#This Row],[Expiry]]&amp;""&amp;"C"&amp;Table1334567[[#This Row],[Spot]]+Table1334567[[#This Row],[step]])</f>
        <v>N/A</v>
      </c>
    </row>
    <row r="1375" spans="1:68" x14ac:dyDescent="0.25">
      <c r="A1375" s="14">
        <f t="shared" ca="1" si="134"/>
        <v>-126.14810350076104</v>
      </c>
      <c r="C1375" s="17"/>
      <c r="D1375" t="str">
        <f>RTD("tos.rtd", , "OPEN_INT", "."&amp;Table1334567[[#This Row],[Ticker]]&amp;Table1334567[[#This Row],[Expiry]]&amp;""&amp;"C"&amp;Table1334567[[#This Row],[Spot]]+Table1334567[[#This Row],[step]])</f>
        <v>N/A</v>
      </c>
      <c r="E137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5" s="17" cm="1">
        <f t="array" aca="1" ref="H1375" ca="1">IndividualLegIVCore($A$4, Table1334567[[#This Row],[Strike]], 0.0411, Table1334567[[#This Row],[T]], ((Table1334567[[#This Row],[BIDC]]+Table1334567[[#This Row],[ASKC]])/2), TRUE)</f>
        <v>0.01</v>
      </c>
      <c r="I137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5" s="17"/>
      <c r="M1375" s="1">
        <f t="shared" si="135"/>
        <v>0</v>
      </c>
      <c r="N1375" t="b">
        <f t="shared" si="136"/>
        <v>0</v>
      </c>
      <c r="P1375" s="17" cm="1">
        <f t="array" aca="1" ref="P1375" ca="1">IndividualLegIVCore($A$4, Table1334567[[#This Row],[Strike]], 0.0411, Table1334567[[#This Row],[T]], ((Table1334567[[#This Row],[BIDP]]+Table1334567[[#This Row],[ASKP]])/2), FALSE)</f>
        <v>0.01</v>
      </c>
      <c r="Q137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5" s="17"/>
      <c r="T137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5" s="19">
        <f>23.5* IF($M$1="NDX", 10, IF(OR($M$1="SPX", $M$1="RUT"), 2, 1))</f>
        <v>47</v>
      </c>
      <c r="Z1375">
        <f ca="1">IFERROR(Table1334567[[#This Row],[call gamma]]*(Table1334567[[#This Row],[Open.Int]])*$A$4^2,0)</f>
        <v>0</v>
      </c>
      <c r="AA1375">
        <f ca="1">IFERROR(((Table1334567[[#This Row],[Open.Int8]])*Table1334567[[#This Row],[Put gamma]])*-1*$A$4^2,0)</f>
        <v>0</v>
      </c>
      <c r="AB1375">
        <f ca="1">(Table1334567[[#This Row],[Call Gex]]+Table1334567[[#This Row],[Put Gex]])</f>
        <v>0</v>
      </c>
      <c r="AC1375">
        <f ca="1">Table1334567[[#This Row],[put delta adj]]+Table1334567[[#This Row],[call delta adj]]</f>
        <v>0</v>
      </c>
      <c r="AD1375">
        <f ca="1">Table1334567[[#This Row],[Put Gex]]*Table1334567[[#This Row],[DeltaP]]*-1</f>
        <v>0</v>
      </c>
      <c r="AE1375">
        <f ca="1">Table1334567[[#This Row],[Call Gex]]*Table1334567[[#This Row],[DeltaC]]</f>
        <v>0</v>
      </c>
      <c r="AF1375">
        <f>IF(Table1334567[[#This Row],[DeltaC]]-ABS(Table1334567[[#This Row],[DeltaP]])="0","0.01",Table1334567[[#This Row],[DeltaC]]-ABS(Table1334567[[#This Row],[DeltaP]]))</f>
        <v>0</v>
      </c>
      <c r="AG137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5" t="e">
        <f ca="1">(EXP(-(AG1375^2)/2)/SQRT(2*PI())*EXP(0*SQRT(Table1334567[[#This Row],[T]]))/$A$4*18%*SQRT(SQRT(Table1334567[[#This Row],[T]])))</f>
        <v>#DIV/0!</v>
      </c>
      <c r="AJ1375" t="e">
        <f ca="1">(EXP(-(AH1375^2)/2)/SQRT(2*PI())*EXP(0*SQRT(Table1334567[[#This Row],[T]]))/$A$4*18%*SQRT(SQRT(Table1334567[[#This Row],[T]])))</f>
        <v>#DIV/0!</v>
      </c>
      <c r="AK1375" t="e">
        <f ca="1">Table1334567[[#This Row],[Call D1]]-Table1334567[[#This Row],[IV Calc C]]*SQRT(Table1334567[[#This Row],[T]])</f>
        <v>#DIV/0!</v>
      </c>
      <c r="AL1375" t="e">
        <f ca="1">Table1334567[[#This Row],[Put D1]]-Table1334567[[#This Row],[IV Calc P]]*SQRT(Table1334567[[#This Row],[T]])</f>
        <v>#DIV/0!</v>
      </c>
      <c r="AM1375" t="e">
        <f ca="1">EXP(-0.5*Table1334567[[#This Row],[Call D1]]^2)/SQRT(2*PI())</f>
        <v>#DIV/0!</v>
      </c>
      <c r="AN1375" t="e">
        <f ca="1">EXP(-0.5*Table1334567[[#This Row],[Put D1]]^2)/SQRT(2*PI())</f>
        <v>#DIV/0!</v>
      </c>
      <c r="AO137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5">
        <f ca="1">((Table1334567[[#This Row],[call vanna]]+Table1334567[[#This Row],[put vanna]])*$A$4)</f>
        <v>0</v>
      </c>
      <c r="AR137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5" s="9" t="str" cm="1">
        <f t="array" ref="AT1375">_xlfn.IFS(     $M$1="SPX","SPXW",     $M$1="RUT","RUTW",  $M$1="NDX","NDXP",   TRUE,$M$1 )</f>
        <v>SPXW</v>
      </c>
      <c r="AU1375" s="2">
        <f t="shared" si="137"/>
        <v>6915</v>
      </c>
      <c r="AV1375" t="str">
        <f t="shared" si="138"/>
        <v>000100</v>
      </c>
      <c r="AY137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5">
        <f>((Table1334567[[#This Row],[High C]]+Table1334567[[#This Row],[Low C]])/2)*Table1334567[[#This Row],[gammac]]*Table1334567[[#This Row],[Volume]]</f>
        <v>0</v>
      </c>
      <c r="BD1375">
        <f>((Table1334567[[#This Row],[High P]]+Table1334567[[#This Row],[Low P]])/2)*Table1334567[[#This Row],[gammap]]*Table1334567[[#This Row],[Volume9]]*-1</f>
        <v>0</v>
      </c>
      <c r="BE1375">
        <f>(Table1334567[[#This Row],[SgammaC]]+Table1334567[[#This Row],[SgammaP]])*$A$4*-100</f>
        <v>0</v>
      </c>
      <c r="BF1375">
        <f>Table1334567[[#This Row],[DEXc]]+Table1334567[[#This Row],[DEXp]]</f>
        <v>0</v>
      </c>
      <c r="BG1375">
        <f>IFERROR(Table1334567[[#This Row],[DeltaC]]*Table1334567[[#This Row],[Open.Int]]*$A$4,0)</f>
        <v>0</v>
      </c>
      <c r="BH1375">
        <f>IFERROR(Table1334567[[#This Row],[DeltaP]]*Table1334567[[#This Row],[Open.Int8]]*$A$4,0)</f>
        <v>0</v>
      </c>
      <c r="BI137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5">
        <f ca="1">Table1334567[[#This Row],[charmc]]+Table1334567[[#This Row],[charmp]]</f>
        <v>0</v>
      </c>
      <c r="BL137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5" s="78">
        <f ca="1">Table1334567[[#This Row],[call helper]]+Table1334567[[#This Row],[put helper]]</f>
        <v>0</v>
      </c>
      <c r="BP1375" t="str">
        <f>RTD("tos.rtd", , "STRIKE", "."&amp;Table1334567[[#This Row],[Ticker]]&amp;Table1334567[[#This Row],[Expiry]]&amp;""&amp;"C"&amp;Table1334567[[#This Row],[Spot]]+Table1334567[[#This Row],[step]])</f>
        <v>N/A</v>
      </c>
    </row>
    <row r="1376" spans="1:68" x14ac:dyDescent="0.25">
      <c r="A1376" s="14">
        <f t="shared" ca="1" si="134"/>
        <v>-126.14810350076104</v>
      </c>
      <c r="C1376" s="17"/>
      <c r="D1376" t="str">
        <f>RTD("tos.rtd", , "OPEN_INT", "."&amp;Table1334567[[#This Row],[Ticker]]&amp;Table1334567[[#This Row],[Expiry]]&amp;""&amp;"C"&amp;Table1334567[[#This Row],[Spot]]+Table1334567[[#This Row],[step]])</f>
        <v>N/A</v>
      </c>
      <c r="E137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6" s="17" cm="1">
        <f t="array" aca="1" ref="H1376" ca="1">IndividualLegIVCore($A$4, Table1334567[[#This Row],[Strike]], 0.0411, Table1334567[[#This Row],[T]], ((Table1334567[[#This Row],[BIDC]]+Table1334567[[#This Row],[ASKC]])/2), TRUE)</f>
        <v>0.01</v>
      </c>
      <c r="I137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6" s="17"/>
      <c r="M1376" s="1">
        <f t="shared" si="135"/>
        <v>0</v>
      </c>
      <c r="N1376" t="b">
        <f t="shared" si="136"/>
        <v>0</v>
      </c>
      <c r="P1376" s="17" cm="1">
        <f t="array" aca="1" ref="P1376" ca="1">IndividualLegIVCore($A$4, Table1334567[[#This Row],[Strike]], 0.0411, Table1334567[[#This Row],[T]], ((Table1334567[[#This Row],[BIDP]]+Table1334567[[#This Row],[ASKP]])/2), FALSE)</f>
        <v>0.01</v>
      </c>
      <c r="Q137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6" s="17"/>
      <c r="T137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6" s="19">
        <f>24* IF($M$1="NDX", 10, IF(OR($M$1="SPX", $M$1="RUT"), 2, 1))</f>
        <v>48</v>
      </c>
      <c r="Z1376">
        <f ca="1">IFERROR(Table1334567[[#This Row],[call gamma]]*(Table1334567[[#This Row],[Open.Int]])*$A$4^2,0)</f>
        <v>0</v>
      </c>
      <c r="AA1376">
        <f ca="1">IFERROR(((Table1334567[[#This Row],[Open.Int8]])*Table1334567[[#This Row],[Put gamma]])*-1*$A$4^2,0)</f>
        <v>0</v>
      </c>
      <c r="AB1376">
        <f ca="1">(Table1334567[[#This Row],[Call Gex]]+Table1334567[[#This Row],[Put Gex]])</f>
        <v>0</v>
      </c>
      <c r="AC1376">
        <f ca="1">Table1334567[[#This Row],[put delta adj]]+Table1334567[[#This Row],[call delta adj]]</f>
        <v>0</v>
      </c>
      <c r="AD1376">
        <f ca="1">Table1334567[[#This Row],[Put Gex]]*Table1334567[[#This Row],[DeltaP]]*-1</f>
        <v>0</v>
      </c>
      <c r="AE1376">
        <f ca="1">Table1334567[[#This Row],[Call Gex]]*Table1334567[[#This Row],[DeltaC]]</f>
        <v>0</v>
      </c>
      <c r="AF1376">
        <f>IF(Table1334567[[#This Row],[DeltaC]]-ABS(Table1334567[[#This Row],[DeltaP]])="0","0.01",Table1334567[[#This Row],[DeltaC]]-ABS(Table1334567[[#This Row],[DeltaP]]))</f>
        <v>0</v>
      </c>
      <c r="AG137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6" t="e">
        <f ca="1">(EXP(-(AG1376^2)/2)/SQRT(2*PI())*EXP(0*SQRT(Table1334567[[#This Row],[T]]))/$A$4*18%*SQRT(SQRT(Table1334567[[#This Row],[T]])))</f>
        <v>#DIV/0!</v>
      </c>
      <c r="AJ1376" t="e">
        <f ca="1">(EXP(-(AH1376^2)/2)/SQRT(2*PI())*EXP(0*SQRT(Table1334567[[#This Row],[T]]))/$A$4*18%*SQRT(SQRT(Table1334567[[#This Row],[T]])))</f>
        <v>#DIV/0!</v>
      </c>
      <c r="AK1376" t="e">
        <f ca="1">Table1334567[[#This Row],[Call D1]]-Table1334567[[#This Row],[IV Calc C]]*SQRT(Table1334567[[#This Row],[T]])</f>
        <v>#DIV/0!</v>
      </c>
      <c r="AL1376" t="e">
        <f ca="1">Table1334567[[#This Row],[Put D1]]-Table1334567[[#This Row],[IV Calc P]]*SQRT(Table1334567[[#This Row],[T]])</f>
        <v>#DIV/0!</v>
      </c>
      <c r="AM1376" t="e">
        <f ca="1">EXP(-0.5*Table1334567[[#This Row],[Call D1]]^2)/SQRT(2*PI())</f>
        <v>#DIV/0!</v>
      </c>
      <c r="AN1376" t="e">
        <f ca="1">EXP(-0.5*Table1334567[[#This Row],[Put D1]]^2)/SQRT(2*PI())</f>
        <v>#DIV/0!</v>
      </c>
      <c r="AO137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6">
        <f ca="1">((Table1334567[[#This Row],[call vanna]]+Table1334567[[#This Row],[put vanna]])*$A$4)</f>
        <v>0</v>
      </c>
      <c r="AR137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6" s="9" t="str" cm="1">
        <f t="array" ref="AT1376">_xlfn.IFS(     $M$1="SPX","SPXW",     $M$1="RUT","RUTW",  $M$1="NDX","NDXP",   TRUE,$M$1 )</f>
        <v>SPXW</v>
      </c>
      <c r="AU1376" s="2">
        <f t="shared" si="137"/>
        <v>6915</v>
      </c>
      <c r="AV1376" t="str">
        <f t="shared" si="138"/>
        <v>000100</v>
      </c>
      <c r="AY137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6">
        <f>((Table1334567[[#This Row],[High C]]+Table1334567[[#This Row],[Low C]])/2)*Table1334567[[#This Row],[gammac]]*Table1334567[[#This Row],[Volume]]</f>
        <v>0</v>
      </c>
      <c r="BD1376">
        <f>((Table1334567[[#This Row],[High P]]+Table1334567[[#This Row],[Low P]])/2)*Table1334567[[#This Row],[gammap]]*Table1334567[[#This Row],[Volume9]]*-1</f>
        <v>0</v>
      </c>
      <c r="BE1376">
        <f>(Table1334567[[#This Row],[SgammaC]]+Table1334567[[#This Row],[SgammaP]])*$A$4*-100</f>
        <v>0</v>
      </c>
      <c r="BF1376">
        <f>Table1334567[[#This Row],[DEXc]]+Table1334567[[#This Row],[DEXp]]</f>
        <v>0</v>
      </c>
      <c r="BG1376">
        <f>IFERROR(Table1334567[[#This Row],[DeltaC]]*Table1334567[[#This Row],[Open.Int]]*$A$4,0)</f>
        <v>0</v>
      </c>
      <c r="BH1376">
        <f>IFERROR(Table1334567[[#This Row],[DeltaP]]*Table1334567[[#This Row],[Open.Int8]]*$A$4,0)</f>
        <v>0</v>
      </c>
      <c r="BI137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6">
        <f ca="1">Table1334567[[#This Row],[charmc]]+Table1334567[[#This Row],[charmp]]</f>
        <v>0</v>
      </c>
      <c r="BL137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6" s="78">
        <f ca="1">Table1334567[[#This Row],[call helper]]+Table1334567[[#This Row],[put helper]]</f>
        <v>0</v>
      </c>
      <c r="BP1376" t="str">
        <f>RTD("tos.rtd", , "STRIKE", "."&amp;Table1334567[[#This Row],[Ticker]]&amp;Table1334567[[#This Row],[Expiry]]&amp;""&amp;"C"&amp;Table1334567[[#This Row],[Spot]]+Table1334567[[#This Row],[step]])</f>
        <v>N/A</v>
      </c>
    </row>
    <row r="1377" spans="1:68" x14ac:dyDescent="0.25">
      <c r="A1377" s="14">
        <f t="shared" ca="1" si="134"/>
        <v>-126.14810350076104</v>
      </c>
      <c r="C1377" s="17"/>
      <c r="D1377" t="str">
        <f>RTD("tos.rtd", , "OPEN_INT", "."&amp;Table1334567[[#This Row],[Ticker]]&amp;Table1334567[[#This Row],[Expiry]]&amp;""&amp;"C"&amp;Table1334567[[#This Row],[Spot]]+Table1334567[[#This Row],[step]])</f>
        <v>N/A</v>
      </c>
      <c r="E137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7" s="17" cm="1">
        <f t="array" aca="1" ref="H1377" ca="1">IndividualLegIVCore($A$4, Table1334567[[#This Row],[Strike]], 0.0411, Table1334567[[#This Row],[T]], ((Table1334567[[#This Row],[BIDC]]+Table1334567[[#This Row],[ASKC]])/2), TRUE)</f>
        <v>0.01</v>
      </c>
      <c r="I137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7" s="17"/>
      <c r="M1377" s="1">
        <f t="shared" si="135"/>
        <v>0</v>
      </c>
      <c r="N1377" t="b">
        <f t="shared" si="136"/>
        <v>0</v>
      </c>
      <c r="P1377" s="17" cm="1">
        <f t="array" aca="1" ref="P1377" ca="1">IndividualLegIVCore($A$4, Table1334567[[#This Row],[Strike]], 0.0411, Table1334567[[#This Row],[T]], ((Table1334567[[#This Row],[BIDP]]+Table1334567[[#This Row],[ASKP]])/2), FALSE)</f>
        <v>0.01</v>
      </c>
      <c r="Q137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7" s="17"/>
      <c r="T137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7" s="19">
        <f>24.5* IF($M$1="NDX", 10, IF(OR($M$1="SPX", $M$1="RUT"), 2, 1))</f>
        <v>49</v>
      </c>
      <c r="Z1377">
        <f ca="1">IFERROR(Table1334567[[#This Row],[call gamma]]*(Table1334567[[#This Row],[Open.Int]])*$A$4^2,0)</f>
        <v>0</v>
      </c>
      <c r="AA1377">
        <f ca="1">IFERROR(((Table1334567[[#This Row],[Open.Int8]])*Table1334567[[#This Row],[Put gamma]])*-1*$A$4^2,0)</f>
        <v>0</v>
      </c>
      <c r="AB1377">
        <f ca="1">(Table1334567[[#This Row],[Call Gex]]+Table1334567[[#This Row],[Put Gex]])</f>
        <v>0</v>
      </c>
      <c r="AC1377">
        <f ca="1">Table1334567[[#This Row],[put delta adj]]+Table1334567[[#This Row],[call delta adj]]</f>
        <v>0</v>
      </c>
      <c r="AD1377">
        <f ca="1">Table1334567[[#This Row],[Put Gex]]*Table1334567[[#This Row],[DeltaP]]*-1</f>
        <v>0</v>
      </c>
      <c r="AE1377">
        <f ca="1">Table1334567[[#This Row],[Call Gex]]*Table1334567[[#This Row],[DeltaC]]</f>
        <v>0</v>
      </c>
      <c r="AF1377">
        <f>IF(Table1334567[[#This Row],[DeltaC]]-ABS(Table1334567[[#This Row],[DeltaP]])="0","0.01",Table1334567[[#This Row],[DeltaC]]-ABS(Table1334567[[#This Row],[DeltaP]]))</f>
        <v>0</v>
      </c>
      <c r="AG137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7" t="e">
        <f ca="1">(EXP(-(AG1377^2)/2)/SQRT(2*PI())*EXP(0*SQRT(Table1334567[[#This Row],[T]]))/$A$4*18%*SQRT(SQRT(Table1334567[[#This Row],[T]])))</f>
        <v>#DIV/0!</v>
      </c>
      <c r="AJ1377" t="e">
        <f ca="1">(EXP(-(AH1377^2)/2)/SQRT(2*PI())*EXP(0*SQRT(Table1334567[[#This Row],[T]]))/$A$4*18%*SQRT(SQRT(Table1334567[[#This Row],[T]])))</f>
        <v>#DIV/0!</v>
      </c>
      <c r="AK1377" t="e">
        <f ca="1">Table1334567[[#This Row],[Call D1]]-Table1334567[[#This Row],[IV Calc C]]*SQRT(Table1334567[[#This Row],[T]])</f>
        <v>#DIV/0!</v>
      </c>
      <c r="AL1377" t="e">
        <f ca="1">Table1334567[[#This Row],[Put D1]]-Table1334567[[#This Row],[IV Calc P]]*SQRT(Table1334567[[#This Row],[T]])</f>
        <v>#DIV/0!</v>
      </c>
      <c r="AM1377" t="e">
        <f ca="1">EXP(-0.5*Table1334567[[#This Row],[Call D1]]^2)/SQRT(2*PI())</f>
        <v>#DIV/0!</v>
      </c>
      <c r="AN1377" t="e">
        <f ca="1">EXP(-0.5*Table1334567[[#This Row],[Put D1]]^2)/SQRT(2*PI())</f>
        <v>#DIV/0!</v>
      </c>
      <c r="AO137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7">
        <f ca="1">((Table1334567[[#This Row],[call vanna]]+Table1334567[[#This Row],[put vanna]])*$A$4)</f>
        <v>0</v>
      </c>
      <c r="AR137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7" s="9" t="str" cm="1">
        <f t="array" ref="AT1377">_xlfn.IFS(     $M$1="SPX","SPXW",     $M$1="RUT","RUTW",  $M$1="NDX","NDXP",   TRUE,$M$1 )</f>
        <v>SPXW</v>
      </c>
      <c r="AU1377" s="2">
        <f t="shared" si="137"/>
        <v>6915</v>
      </c>
      <c r="AV1377" t="str">
        <f t="shared" si="138"/>
        <v>000100</v>
      </c>
      <c r="AY137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7">
        <f>((Table1334567[[#This Row],[High C]]+Table1334567[[#This Row],[Low C]])/2)*Table1334567[[#This Row],[gammac]]*Table1334567[[#This Row],[Volume]]</f>
        <v>0</v>
      </c>
      <c r="BD1377">
        <f>((Table1334567[[#This Row],[High P]]+Table1334567[[#This Row],[Low P]])/2)*Table1334567[[#This Row],[gammap]]*Table1334567[[#This Row],[Volume9]]*-1</f>
        <v>0</v>
      </c>
      <c r="BE1377">
        <f>(Table1334567[[#This Row],[SgammaC]]+Table1334567[[#This Row],[SgammaP]])*$A$4*-100</f>
        <v>0</v>
      </c>
      <c r="BF1377">
        <f>Table1334567[[#This Row],[DEXc]]+Table1334567[[#This Row],[DEXp]]</f>
        <v>0</v>
      </c>
      <c r="BG1377">
        <f>IFERROR(Table1334567[[#This Row],[DeltaC]]*Table1334567[[#This Row],[Open.Int]]*$A$4,0)</f>
        <v>0</v>
      </c>
      <c r="BH1377">
        <f>IFERROR(Table1334567[[#This Row],[DeltaP]]*Table1334567[[#This Row],[Open.Int8]]*$A$4,0)</f>
        <v>0</v>
      </c>
      <c r="BI137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7">
        <f ca="1">Table1334567[[#This Row],[charmc]]+Table1334567[[#This Row],[charmp]]</f>
        <v>0</v>
      </c>
      <c r="BL137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7" s="78">
        <f ca="1">Table1334567[[#This Row],[call helper]]+Table1334567[[#This Row],[put helper]]</f>
        <v>0</v>
      </c>
      <c r="BP1377" t="str">
        <f>RTD("tos.rtd", , "STRIKE", "."&amp;Table1334567[[#This Row],[Ticker]]&amp;Table1334567[[#This Row],[Expiry]]&amp;""&amp;"C"&amp;Table1334567[[#This Row],[Spot]]+Table1334567[[#This Row],[step]])</f>
        <v>N/A</v>
      </c>
    </row>
    <row r="1378" spans="1:68" x14ac:dyDescent="0.25">
      <c r="A1378" s="14">
        <f t="shared" ca="1" si="134"/>
        <v>-126.14810350076104</v>
      </c>
      <c r="C1378" s="17"/>
      <c r="D1378" t="str">
        <f>RTD("tos.rtd", , "OPEN_INT", "."&amp;Table1334567[[#This Row],[Ticker]]&amp;Table1334567[[#This Row],[Expiry]]&amp;""&amp;"C"&amp;Table1334567[[#This Row],[Spot]]+Table1334567[[#This Row],[step]])</f>
        <v>N/A</v>
      </c>
      <c r="E137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8" s="17" cm="1">
        <f t="array" aca="1" ref="H1378" ca="1">IndividualLegIVCore($A$4, Table1334567[[#This Row],[Strike]], 0.0411, Table1334567[[#This Row],[T]], ((Table1334567[[#This Row],[BIDC]]+Table1334567[[#This Row],[ASKC]])/2), TRUE)</f>
        <v>0.01</v>
      </c>
      <c r="I137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8" s="17"/>
      <c r="M1378" s="1">
        <f t="shared" si="135"/>
        <v>0</v>
      </c>
      <c r="N1378" t="b">
        <f t="shared" si="136"/>
        <v>0</v>
      </c>
      <c r="P1378" s="17" cm="1">
        <f t="array" aca="1" ref="P1378" ca="1">IndividualLegIVCore($A$4, Table1334567[[#This Row],[Strike]], 0.0411, Table1334567[[#This Row],[T]], ((Table1334567[[#This Row],[BIDP]]+Table1334567[[#This Row],[ASKP]])/2), FALSE)</f>
        <v>0.01</v>
      </c>
      <c r="Q137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8" s="17"/>
      <c r="T137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8" s="19">
        <f>25* IF($M$1="NDX", 10, IF(OR($M$1="SPX", $M$1="RUT"), 2, 1))</f>
        <v>50</v>
      </c>
      <c r="Z1378">
        <f ca="1">IFERROR(Table1334567[[#This Row],[call gamma]]*(Table1334567[[#This Row],[Open.Int]])*$A$4^2,0)</f>
        <v>0</v>
      </c>
      <c r="AA1378">
        <f ca="1">IFERROR(((Table1334567[[#This Row],[Open.Int8]])*Table1334567[[#This Row],[Put gamma]])*-1*$A$4^2,0)</f>
        <v>0</v>
      </c>
      <c r="AB1378">
        <f ca="1">(Table1334567[[#This Row],[Call Gex]]+Table1334567[[#This Row],[Put Gex]])</f>
        <v>0</v>
      </c>
      <c r="AC1378">
        <f ca="1">Table1334567[[#This Row],[put delta adj]]+Table1334567[[#This Row],[call delta adj]]</f>
        <v>0</v>
      </c>
      <c r="AD1378">
        <f ca="1">Table1334567[[#This Row],[Put Gex]]*Table1334567[[#This Row],[DeltaP]]*-1</f>
        <v>0</v>
      </c>
      <c r="AE1378">
        <f ca="1">Table1334567[[#This Row],[Call Gex]]*Table1334567[[#This Row],[DeltaC]]</f>
        <v>0</v>
      </c>
      <c r="AF1378">
        <f>IF(Table1334567[[#This Row],[DeltaC]]-ABS(Table1334567[[#This Row],[DeltaP]])="0","0.01",Table1334567[[#This Row],[DeltaC]]-ABS(Table1334567[[#This Row],[DeltaP]]))</f>
        <v>0</v>
      </c>
      <c r="AG137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8" t="e">
        <f ca="1">(EXP(-(AG1378^2)/2)/SQRT(2*PI())*EXP(0*SQRT(Table1334567[[#This Row],[T]]))/$A$4*18%*SQRT(SQRT(Table1334567[[#This Row],[T]])))</f>
        <v>#DIV/0!</v>
      </c>
      <c r="AJ1378" t="e">
        <f ca="1">(EXP(-(AH1378^2)/2)/SQRT(2*PI())*EXP(0*SQRT(Table1334567[[#This Row],[T]]))/$A$4*18%*SQRT(SQRT(Table1334567[[#This Row],[T]])))</f>
        <v>#DIV/0!</v>
      </c>
      <c r="AK1378" t="e">
        <f ca="1">Table1334567[[#This Row],[Call D1]]-Table1334567[[#This Row],[IV Calc C]]*SQRT(Table1334567[[#This Row],[T]])</f>
        <v>#DIV/0!</v>
      </c>
      <c r="AL1378" t="e">
        <f ca="1">Table1334567[[#This Row],[Put D1]]-Table1334567[[#This Row],[IV Calc P]]*SQRT(Table1334567[[#This Row],[T]])</f>
        <v>#DIV/0!</v>
      </c>
      <c r="AM1378" t="e">
        <f ca="1">EXP(-0.5*Table1334567[[#This Row],[Call D1]]^2)/SQRT(2*PI())</f>
        <v>#DIV/0!</v>
      </c>
      <c r="AN1378" t="e">
        <f ca="1">EXP(-0.5*Table1334567[[#This Row],[Put D1]]^2)/SQRT(2*PI())</f>
        <v>#DIV/0!</v>
      </c>
      <c r="AO137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8">
        <f ca="1">((Table1334567[[#This Row],[call vanna]]+Table1334567[[#This Row],[put vanna]])*$A$4)</f>
        <v>0</v>
      </c>
      <c r="AR137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8" s="9" t="str" cm="1">
        <f t="array" ref="AT1378">_xlfn.IFS(     $M$1="SPX","SPXW",     $M$1="RUT","RUTW",  $M$1="NDX","NDXP",   TRUE,$M$1 )</f>
        <v>SPXW</v>
      </c>
      <c r="AU1378" s="2">
        <f t="shared" si="137"/>
        <v>6915</v>
      </c>
      <c r="AV1378" t="str">
        <f t="shared" si="138"/>
        <v>000100</v>
      </c>
      <c r="AY137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8">
        <f>((Table1334567[[#This Row],[High C]]+Table1334567[[#This Row],[Low C]])/2)*Table1334567[[#This Row],[gammac]]*Table1334567[[#This Row],[Volume]]</f>
        <v>0</v>
      </c>
      <c r="BD1378">
        <f>((Table1334567[[#This Row],[High P]]+Table1334567[[#This Row],[Low P]])/2)*Table1334567[[#This Row],[gammap]]*Table1334567[[#This Row],[Volume9]]*-1</f>
        <v>0</v>
      </c>
      <c r="BE1378">
        <f>(Table1334567[[#This Row],[SgammaC]]+Table1334567[[#This Row],[SgammaP]])*$A$4*-100</f>
        <v>0</v>
      </c>
      <c r="BF1378">
        <f>Table1334567[[#This Row],[DEXc]]+Table1334567[[#This Row],[DEXp]]</f>
        <v>0</v>
      </c>
      <c r="BG1378">
        <f>IFERROR(Table1334567[[#This Row],[DeltaC]]*Table1334567[[#This Row],[Open.Int]]*$A$4,0)</f>
        <v>0</v>
      </c>
      <c r="BH1378">
        <f>IFERROR(Table1334567[[#This Row],[DeltaP]]*Table1334567[[#This Row],[Open.Int8]]*$A$4,0)</f>
        <v>0</v>
      </c>
      <c r="BI137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8">
        <f ca="1">Table1334567[[#This Row],[charmc]]+Table1334567[[#This Row],[charmp]]</f>
        <v>0</v>
      </c>
      <c r="BL137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8" s="78">
        <f ca="1">Table1334567[[#This Row],[call helper]]+Table1334567[[#This Row],[put helper]]</f>
        <v>0</v>
      </c>
      <c r="BP1378" t="str">
        <f>RTD("tos.rtd", , "STRIKE", "."&amp;Table1334567[[#This Row],[Ticker]]&amp;Table1334567[[#This Row],[Expiry]]&amp;""&amp;"C"&amp;Table1334567[[#This Row],[Spot]]+Table1334567[[#This Row],[step]])</f>
        <v>N/A</v>
      </c>
    </row>
    <row r="1379" spans="1:68" x14ac:dyDescent="0.25">
      <c r="A1379" s="14">
        <f t="shared" ca="1" si="134"/>
        <v>-126.14810350076104</v>
      </c>
      <c r="C1379" s="17"/>
      <c r="D1379" t="str">
        <f>RTD("tos.rtd", , "OPEN_INT", "."&amp;Table1334567[[#This Row],[Ticker]]&amp;Table1334567[[#This Row],[Expiry]]&amp;""&amp;"C"&amp;Table1334567[[#This Row],[Spot]]+Table1334567[[#This Row],[step]])</f>
        <v>N/A</v>
      </c>
      <c r="E137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9" s="17" cm="1">
        <f t="array" aca="1" ref="H1379" ca="1">IndividualLegIVCore($A$4, Table1334567[[#This Row],[Strike]], 0.0411, Table1334567[[#This Row],[T]], ((Table1334567[[#This Row],[BIDC]]+Table1334567[[#This Row],[ASKC]])/2), TRUE)</f>
        <v>0.01</v>
      </c>
      <c r="I137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9" s="17"/>
      <c r="M1379" s="1">
        <f t="shared" si="135"/>
        <v>0</v>
      </c>
      <c r="N1379" t="b">
        <f t="shared" si="136"/>
        <v>0</v>
      </c>
      <c r="P1379" s="17" cm="1">
        <f t="array" aca="1" ref="P1379" ca="1">IndividualLegIVCore($A$4, Table1334567[[#This Row],[Strike]], 0.0411, Table1334567[[#This Row],[T]], ((Table1334567[[#This Row],[BIDP]]+Table1334567[[#This Row],[ASKP]])/2), FALSE)</f>
        <v>0.01</v>
      </c>
      <c r="Q137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9" s="17"/>
      <c r="T137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9" s="19">
        <f>25.5* IF($M$1="NDX", 10, IF(OR($M$1="SPX", $M$1="RUT"), 2, 1))</f>
        <v>51</v>
      </c>
      <c r="Z1379">
        <f ca="1">IFERROR(Table1334567[[#This Row],[call gamma]]*(Table1334567[[#This Row],[Open.Int]])*$A$4^2,0)</f>
        <v>0</v>
      </c>
      <c r="AA1379">
        <f ca="1">IFERROR(((Table1334567[[#This Row],[Open.Int8]])*Table1334567[[#This Row],[Put gamma]])*-1*$A$4^2,0)</f>
        <v>0</v>
      </c>
      <c r="AB1379">
        <f ca="1">(Table1334567[[#This Row],[Call Gex]]+Table1334567[[#This Row],[Put Gex]])</f>
        <v>0</v>
      </c>
      <c r="AC1379">
        <f ca="1">Table1334567[[#This Row],[put delta adj]]+Table1334567[[#This Row],[call delta adj]]</f>
        <v>0</v>
      </c>
      <c r="AD1379">
        <f ca="1">Table1334567[[#This Row],[Put Gex]]*Table1334567[[#This Row],[DeltaP]]*-1</f>
        <v>0</v>
      </c>
      <c r="AE1379">
        <f ca="1">Table1334567[[#This Row],[Call Gex]]*Table1334567[[#This Row],[DeltaC]]</f>
        <v>0</v>
      </c>
      <c r="AF1379">
        <f>IF(Table1334567[[#This Row],[DeltaC]]-ABS(Table1334567[[#This Row],[DeltaP]])="0","0.01",Table1334567[[#This Row],[DeltaC]]-ABS(Table1334567[[#This Row],[DeltaP]]))</f>
        <v>0</v>
      </c>
      <c r="AG137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9" t="e">
        <f ca="1">(EXP(-(AG1379^2)/2)/SQRT(2*PI())*EXP(0*SQRT(Table1334567[[#This Row],[T]]))/$A$4*18%*SQRT(SQRT(Table1334567[[#This Row],[T]])))</f>
        <v>#DIV/0!</v>
      </c>
      <c r="AJ1379" t="e">
        <f ca="1">(EXP(-(AH1379^2)/2)/SQRT(2*PI())*EXP(0*SQRT(Table1334567[[#This Row],[T]]))/$A$4*18%*SQRT(SQRT(Table1334567[[#This Row],[T]])))</f>
        <v>#DIV/0!</v>
      </c>
      <c r="AK1379" t="e">
        <f ca="1">Table1334567[[#This Row],[Call D1]]-Table1334567[[#This Row],[IV Calc C]]*SQRT(Table1334567[[#This Row],[T]])</f>
        <v>#DIV/0!</v>
      </c>
      <c r="AL1379" t="e">
        <f ca="1">Table1334567[[#This Row],[Put D1]]-Table1334567[[#This Row],[IV Calc P]]*SQRT(Table1334567[[#This Row],[T]])</f>
        <v>#DIV/0!</v>
      </c>
      <c r="AM1379" t="e">
        <f ca="1">EXP(-0.5*Table1334567[[#This Row],[Call D1]]^2)/SQRT(2*PI())</f>
        <v>#DIV/0!</v>
      </c>
      <c r="AN1379" t="e">
        <f ca="1">EXP(-0.5*Table1334567[[#This Row],[Put D1]]^2)/SQRT(2*PI())</f>
        <v>#DIV/0!</v>
      </c>
      <c r="AO137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9">
        <f ca="1">((Table1334567[[#This Row],[call vanna]]+Table1334567[[#This Row],[put vanna]])*$A$4)</f>
        <v>0</v>
      </c>
      <c r="AR137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9" s="9" t="str" cm="1">
        <f t="array" ref="AT1379">_xlfn.IFS(     $M$1="SPX","SPXW",     $M$1="RUT","RUTW",  $M$1="NDX","NDXP",   TRUE,$M$1 )</f>
        <v>SPXW</v>
      </c>
      <c r="AU1379" s="2">
        <f t="shared" si="137"/>
        <v>6915</v>
      </c>
      <c r="AV1379" t="str">
        <f t="shared" si="138"/>
        <v>000100</v>
      </c>
      <c r="AY137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9">
        <f>((Table1334567[[#This Row],[High C]]+Table1334567[[#This Row],[Low C]])/2)*Table1334567[[#This Row],[gammac]]*Table1334567[[#This Row],[Volume]]</f>
        <v>0</v>
      </c>
      <c r="BD1379">
        <f>((Table1334567[[#This Row],[High P]]+Table1334567[[#This Row],[Low P]])/2)*Table1334567[[#This Row],[gammap]]*Table1334567[[#This Row],[Volume9]]*-1</f>
        <v>0</v>
      </c>
      <c r="BE1379">
        <f>(Table1334567[[#This Row],[SgammaC]]+Table1334567[[#This Row],[SgammaP]])*$A$4*-100</f>
        <v>0</v>
      </c>
      <c r="BF1379">
        <f>Table1334567[[#This Row],[DEXc]]+Table1334567[[#This Row],[DEXp]]</f>
        <v>0</v>
      </c>
      <c r="BG1379">
        <f>IFERROR(Table1334567[[#This Row],[DeltaC]]*Table1334567[[#This Row],[Open.Int]]*$A$4,0)</f>
        <v>0</v>
      </c>
      <c r="BH1379">
        <f>IFERROR(Table1334567[[#This Row],[DeltaP]]*Table1334567[[#This Row],[Open.Int8]]*$A$4,0)</f>
        <v>0</v>
      </c>
      <c r="BI137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9">
        <f ca="1">Table1334567[[#This Row],[charmc]]+Table1334567[[#This Row],[charmp]]</f>
        <v>0</v>
      </c>
      <c r="BL137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9" s="78">
        <f ca="1">Table1334567[[#This Row],[call helper]]+Table1334567[[#This Row],[put helper]]</f>
        <v>0</v>
      </c>
      <c r="BP1379" t="str">
        <f>RTD("tos.rtd", , "STRIKE", "."&amp;Table1334567[[#This Row],[Ticker]]&amp;Table1334567[[#This Row],[Expiry]]&amp;""&amp;"C"&amp;Table1334567[[#This Row],[Spot]]+Table1334567[[#This Row],[step]])</f>
        <v>N/A</v>
      </c>
    </row>
    <row r="1380" spans="1:68" x14ac:dyDescent="0.25">
      <c r="A1380" s="14">
        <f t="shared" ca="1" si="134"/>
        <v>-126.14810350076104</v>
      </c>
      <c r="C1380" s="17"/>
      <c r="D1380" t="str">
        <f>RTD("tos.rtd", , "OPEN_INT", "."&amp;Table1334567[[#This Row],[Ticker]]&amp;Table1334567[[#This Row],[Expiry]]&amp;""&amp;"C"&amp;Table1334567[[#This Row],[Spot]]+Table1334567[[#This Row],[step]])</f>
        <v>N/A</v>
      </c>
      <c r="E138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0" s="17" cm="1">
        <f t="array" aca="1" ref="H1380" ca="1">IndividualLegIVCore($A$4, Table1334567[[#This Row],[Strike]], 0.0411, Table1334567[[#This Row],[T]], ((Table1334567[[#This Row],[BIDC]]+Table1334567[[#This Row],[ASKC]])/2), TRUE)</f>
        <v>0.01</v>
      </c>
      <c r="I138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0" s="17"/>
      <c r="M1380" s="1">
        <f t="shared" si="135"/>
        <v>0</v>
      </c>
      <c r="N1380" t="b">
        <f t="shared" si="136"/>
        <v>0</v>
      </c>
      <c r="P1380" s="17" cm="1">
        <f t="array" aca="1" ref="P1380" ca="1">IndividualLegIVCore($A$4, Table1334567[[#This Row],[Strike]], 0.0411, Table1334567[[#This Row],[T]], ((Table1334567[[#This Row],[BIDP]]+Table1334567[[#This Row],[ASKP]])/2), FALSE)</f>
        <v>0.01</v>
      </c>
      <c r="Q138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0" s="17"/>
      <c r="T138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0" s="19">
        <f>26* IF($M$1="NDX", 10, IF(OR($M$1="SPX", $M$1="RUT"), 2, 1))</f>
        <v>52</v>
      </c>
      <c r="Z1380">
        <f ca="1">IFERROR(Table1334567[[#This Row],[call gamma]]*(Table1334567[[#This Row],[Open.Int]])*$A$4^2,0)</f>
        <v>0</v>
      </c>
      <c r="AA1380">
        <f ca="1">IFERROR(((Table1334567[[#This Row],[Open.Int8]])*Table1334567[[#This Row],[Put gamma]])*-1*$A$4^2,0)</f>
        <v>0</v>
      </c>
      <c r="AB1380">
        <f ca="1">(Table1334567[[#This Row],[Call Gex]]+Table1334567[[#This Row],[Put Gex]])</f>
        <v>0</v>
      </c>
      <c r="AC1380">
        <f ca="1">Table1334567[[#This Row],[put delta adj]]+Table1334567[[#This Row],[call delta adj]]</f>
        <v>0</v>
      </c>
      <c r="AD1380">
        <f ca="1">Table1334567[[#This Row],[Put Gex]]*Table1334567[[#This Row],[DeltaP]]*-1</f>
        <v>0</v>
      </c>
      <c r="AE1380">
        <f ca="1">Table1334567[[#This Row],[Call Gex]]*Table1334567[[#This Row],[DeltaC]]</f>
        <v>0</v>
      </c>
      <c r="AF1380">
        <f>IF(Table1334567[[#This Row],[DeltaC]]-ABS(Table1334567[[#This Row],[DeltaP]])="0","0.01",Table1334567[[#This Row],[DeltaC]]-ABS(Table1334567[[#This Row],[DeltaP]]))</f>
        <v>0</v>
      </c>
      <c r="AG138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0" t="e">
        <f ca="1">(EXP(-(AG1380^2)/2)/SQRT(2*PI())*EXP(0*SQRT(Table1334567[[#This Row],[T]]))/$A$4*18%*SQRT(SQRT(Table1334567[[#This Row],[T]])))</f>
        <v>#DIV/0!</v>
      </c>
      <c r="AJ1380" t="e">
        <f ca="1">(EXP(-(AH1380^2)/2)/SQRT(2*PI())*EXP(0*SQRT(Table1334567[[#This Row],[T]]))/$A$4*18%*SQRT(SQRT(Table1334567[[#This Row],[T]])))</f>
        <v>#DIV/0!</v>
      </c>
      <c r="AK1380" t="e">
        <f ca="1">Table1334567[[#This Row],[Call D1]]-Table1334567[[#This Row],[IV Calc C]]*SQRT(Table1334567[[#This Row],[T]])</f>
        <v>#DIV/0!</v>
      </c>
      <c r="AL1380" t="e">
        <f ca="1">Table1334567[[#This Row],[Put D1]]-Table1334567[[#This Row],[IV Calc P]]*SQRT(Table1334567[[#This Row],[T]])</f>
        <v>#DIV/0!</v>
      </c>
      <c r="AM1380" t="e">
        <f ca="1">EXP(-0.5*Table1334567[[#This Row],[Call D1]]^2)/SQRT(2*PI())</f>
        <v>#DIV/0!</v>
      </c>
      <c r="AN1380" t="e">
        <f ca="1">EXP(-0.5*Table1334567[[#This Row],[Put D1]]^2)/SQRT(2*PI())</f>
        <v>#DIV/0!</v>
      </c>
      <c r="AO138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0">
        <f ca="1">((Table1334567[[#This Row],[call vanna]]+Table1334567[[#This Row],[put vanna]])*$A$4)</f>
        <v>0</v>
      </c>
      <c r="AR138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0" s="9" t="str" cm="1">
        <f t="array" ref="AT1380">_xlfn.IFS(     $M$1="SPX","SPXW",     $M$1="RUT","RUTW",  $M$1="NDX","NDXP",   TRUE,$M$1 )</f>
        <v>SPXW</v>
      </c>
      <c r="AU1380" s="2">
        <f t="shared" si="137"/>
        <v>6915</v>
      </c>
      <c r="AV1380" t="str">
        <f t="shared" si="138"/>
        <v>000100</v>
      </c>
      <c r="AY138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0">
        <f>((Table1334567[[#This Row],[High C]]+Table1334567[[#This Row],[Low C]])/2)*Table1334567[[#This Row],[gammac]]*Table1334567[[#This Row],[Volume]]</f>
        <v>0</v>
      </c>
      <c r="BD1380">
        <f>((Table1334567[[#This Row],[High P]]+Table1334567[[#This Row],[Low P]])/2)*Table1334567[[#This Row],[gammap]]*Table1334567[[#This Row],[Volume9]]*-1</f>
        <v>0</v>
      </c>
      <c r="BE1380">
        <f>(Table1334567[[#This Row],[SgammaC]]+Table1334567[[#This Row],[SgammaP]])*$A$4*-100</f>
        <v>0</v>
      </c>
      <c r="BF1380">
        <f>Table1334567[[#This Row],[DEXc]]+Table1334567[[#This Row],[DEXp]]</f>
        <v>0</v>
      </c>
      <c r="BG1380">
        <f>IFERROR(Table1334567[[#This Row],[DeltaC]]*Table1334567[[#This Row],[Open.Int]]*$A$4,0)</f>
        <v>0</v>
      </c>
      <c r="BH1380">
        <f>IFERROR(Table1334567[[#This Row],[DeltaP]]*Table1334567[[#This Row],[Open.Int8]]*$A$4,0)</f>
        <v>0</v>
      </c>
      <c r="BI138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0">
        <f ca="1">Table1334567[[#This Row],[charmc]]+Table1334567[[#This Row],[charmp]]</f>
        <v>0</v>
      </c>
      <c r="BL138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0" s="78">
        <f ca="1">Table1334567[[#This Row],[call helper]]+Table1334567[[#This Row],[put helper]]</f>
        <v>0</v>
      </c>
      <c r="BP1380" t="str">
        <f>RTD("tos.rtd", , "STRIKE", "."&amp;Table1334567[[#This Row],[Ticker]]&amp;Table1334567[[#This Row],[Expiry]]&amp;""&amp;"C"&amp;Table1334567[[#This Row],[Spot]]+Table1334567[[#This Row],[step]])</f>
        <v>N/A</v>
      </c>
    </row>
    <row r="1381" spans="1:68" x14ac:dyDescent="0.25">
      <c r="A1381" s="14">
        <f t="shared" ca="1" si="134"/>
        <v>-126.14810350076104</v>
      </c>
      <c r="C1381" s="17"/>
      <c r="D1381" t="str">
        <f>RTD("tos.rtd", , "OPEN_INT", "."&amp;Table1334567[[#This Row],[Ticker]]&amp;Table1334567[[#This Row],[Expiry]]&amp;""&amp;"C"&amp;Table1334567[[#This Row],[Spot]]+Table1334567[[#This Row],[step]])</f>
        <v>N/A</v>
      </c>
      <c r="E138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1" s="17" cm="1">
        <f t="array" aca="1" ref="H1381" ca="1">IndividualLegIVCore($A$4, Table1334567[[#This Row],[Strike]], 0.0411, Table1334567[[#This Row],[T]], ((Table1334567[[#This Row],[BIDC]]+Table1334567[[#This Row],[ASKC]])/2), TRUE)</f>
        <v>0.01</v>
      </c>
      <c r="I138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1" s="17"/>
      <c r="M1381" s="1">
        <f t="shared" si="135"/>
        <v>0</v>
      </c>
      <c r="N1381" t="b">
        <f t="shared" si="136"/>
        <v>0</v>
      </c>
      <c r="P1381" s="17" cm="1">
        <f t="array" aca="1" ref="P1381" ca="1">IndividualLegIVCore($A$4, Table1334567[[#This Row],[Strike]], 0.0411, Table1334567[[#This Row],[T]], ((Table1334567[[#This Row],[BIDP]]+Table1334567[[#This Row],[ASKP]])/2), FALSE)</f>
        <v>0.01</v>
      </c>
      <c r="Q138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1" s="17"/>
      <c r="T138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1" s="19">
        <f>26.5* IF($M$1="NDX", 10, IF(OR($M$1="SPX", $M$1="RUT"), 2, 1))</f>
        <v>53</v>
      </c>
      <c r="Z1381">
        <f ca="1">IFERROR(Table1334567[[#This Row],[call gamma]]*(Table1334567[[#This Row],[Open.Int]])*$A$4^2,0)</f>
        <v>0</v>
      </c>
      <c r="AA1381">
        <f ca="1">IFERROR(((Table1334567[[#This Row],[Open.Int8]])*Table1334567[[#This Row],[Put gamma]])*-1*$A$4^2,0)</f>
        <v>0</v>
      </c>
      <c r="AB1381">
        <f ca="1">(Table1334567[[#This Row],[Call Gex]]+Table1334567[[#This Row],[Put Gex]])</f>
        <v>0</v>
      </c>
      <c r="AC1381">
        <f ca="1">Table1334567[[#This Row],[put delta adj]]+Table1334567[[#This Row],[call delta adj]]</f>
        <v>0</v>
      </c>
      <c r="AD1381">
        <f ca="1">Table1334567[[#This Row],[Put Gex]]*Table1334567[[#This Row],[DeltaP]]*-1</f>
        <v>0</v>
      </c>
      <c r="AE1381">
        <f ca="1">Table1334567[[#This Row],[Call Gex]]*Table1334567[[#This Row],[DeltaC]]</f>
        <v>0</v>
      </c>
      <c r="AF1381">
        <f>IF(Table1334567[[#This Row],[DeltaC]]-ABS(Table1334567[[#This Row],[DeltaP]])="0","0.01",Table1334567[[#This Row],[DeltaC]]-ABS(Table1334567[[#This Row],[DeltaP]]))</f>
        <v>0</v>
      </c>
      <c r="AG138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1" t="e">
        <f ca="1">(EXP(-(AG1381^2)/2)/SQRT(2*PI())*EXP(0*SQRT(Table1334567[[#This Row],[T]]))/$A$4*18%*SQRT(SQRT(Table1334567[[#This Row],[T]])))</f>
        <v>#DIV/0!</v>
      </c>
      <c r="AJ1381" t="e">
        <f ca="1">(EXP(-(AH1381^2)/2)/SQRT(2*PI())*EXP(0*SQRT(Table1334567[[#This Row],[T]]))/$A$4*18%*SQRT(SQRT(Table1334567[[#This Row],[T]])))</f>
        <v>#DIV/0!</v>
      </c>
      <c r="AK1381" t="e">
        <f ca="1">Table1334567[[#This Row],[Call D1]]-Table1334567[[#This Row],[IV Calc C]]*SQRT(Table1334567[[#This Row],[T]])</f>
        <v>#DIV/0!</v>
      </c>
      <c r="AL1381" t="e">
        <f ca="1">Table1334567[[#This Row],[Put D1]]-Table1334567[[#This Row],[IV Calc P]]*SQRT(Table1334567[[#This Row],[T]])</f>
        <v>#DIV/0!</v>
      </c>
      <c r="AM1381" t="e">
        <f ca="1">EXP(-0.5*Table1334567[[#This Row],[Call D1]]^2)/SQRT(2*PI())</f>
        <v>#DIV/0!</v>
      </c>
      <c r="AN1381" t="e">
        <f ca="1">EXP(-0.5*Table1334567[[#This Row],[Put D1]]^2)/SQRT(2*PI())</f>
        <v>#DIV/0!</v>
      </c>
      <c r="AO138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1">
        <f ca="1">((Table1334567[[#This Row],[call vanna]]+Table1334567[[#This Row],[put vanna]])*$A$4)</f>
        <v>0</v>
      </c>
      <c r="AR138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1" s="9" t="str" cm="1">
        <f t="array" ref="AT1381">_xlfn.IFS(     $M$1="SPX","SPXW",     $M$1="RUT","RUTW",  $M$1="NDX","NDXP",   TRUE,$M$1 )</f>
        <v>SPXW</v>
      </c>
      <c r="AU1381" s="2">
        <f t="shared" si="137"/>
        <v>6915</v>
      </c>
      <c r="AV1381" t="str">
        <f t="shared" si="138"/>
        <v>000100</v>
      </c>
      <c r="AY138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1">
        <f>((Table1334567[[#This Row],[High C]]+Table1334567[[#This Row],[Low C]])/2)*Table1334567[[#This Row],[gammac]]*Table1334567[[#This Row],[Volume]]</f>
        <v>0</v>
      </c>
      <c r="BD1381">
        <f>((Table1334567[[#This Row],[High P]]+Table1334567[[#This Row],[Low P]])/2)*Table1334567[[#This Row],[gammap]]*Table1334567[[#This Row],[Volume9]]*-1</f>
        <v>0</v>
      </c>
      <c r="BE1381">
        <f>(Table1334567[[#This Row],[SgammaC]]+Table1334567[[#This Row],[SgammaP]])*$A$4*-100</f>
        <v>0</v>
      </c>
      <c r="BF1381">
        <f>Table1334567[[#This Row],[DEXc]]+Table1334567[[#This Row],[DEXp]]</f>
        <v>0</v>
      </c>
      <c r="BG1381">
        <f>IFERROR(Table1334567[[#This Row],[DeltaC]]*Table1334567[[#This Row],[Open.Int]]*$A$4,0)</f>
        <v>0</v>
      </c>
      <c r="BH1381">
        <f>IFERROR(Table1334567[[#This Row],[DeltaP]]*Table1334567[[#This Row],[Open.Int8]]*$A$4,0)</f>
        <v>0</v>
      </c>
      <c r="BI138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1">
        <f ca="1">Table1334567[[#This Row],[charmc]]+Table1334567[[#This Row],[charmp]]</f>
        <v>0</v>
      </c>
      <c r="BL138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1" s="78">
        <f ca="1">Table1334567[[#This Row],[call helper]]+Table1334567[[#This Row],[put helper]]</f>
        <v>0</v>
      </c>
      <c r="BP1381" t="str">
        <f>RTD("tos.rtd", , "STRIKE", "."&amp;Table1334567[[#This Row],[Ticker]]&amp;Table1334567[[#This Row],[Expiry]]&amp;""&amp;"C"&amp;Table1334567[[#This Row],[Spot]]+Table1334567[[#This Row],[step]])</f>
        <v>N/A</v>
      </c>
    </row>
    <row r="1382" spans="1:68" x14ac:dyDescent="0.25">
      <c r="A1382" s="14">
        <f t="shared" ca="1" si="134"/>
        <v>-126.14810350076104</v>
      </c>
      <c r="C1382" s="17"/>
      <c r="D1382" t="str">
        <f>RTD("tos.rtd", , "OPEN_INT", "."&amp;Table1334567[[#This Row],[Ticker]]&amp;Table1334567[[#This Row],[Expiry]]&amp;""&amp;"C"&amp;Table1334567[[#This Row],[Spot]]+Table1334567[[#This Row],[step]])</f>
        <v>N/A</v>
      </c>
      <c r="E138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2" s="17" cm="1">
        <f t="array" aca="1" ref="H1382" ca="1">IndividualLegIVCore($A$4, Table1334567[[#This Row],[Strike]], 0.0411, Table1334567[[#This Row],[T]], ((Table1334567[[#This Row],[BIDC]]+Table1334567[[#This Row],[ASKC]])/2), TRUE)</f>
        <v>0.01</v>
      </c>
      <c r="I138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2" s="17"/>
      <c r="M1382" s="1">
        <f t="shared" si="135"/>
        <v>0</v>
      </c>
      <c r="N1382" t="b">
        <f t="shared" si="136"/>
        <v>0</v>
      </c>
      <c r="P1382" s="17" cm="1">
        <f t="array" aca="1" ref="P1382" ca="1">IndividualLegIVCore($A$4, Table1334567[[#This Row],[Strike]], 0.0411, Table1334567[[#This Row],[T]], ((Table1334567[[#This Row],[BIDP]]+Table1334567[[#This Row],[ASKP]])/2), FALSE)</f>
        <v>0.01</v>
      </c>
      <c r="Q138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2" s="17"/>
      <c r="T138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2" s="19">
        <f>27* IF($M$1="NDX", 10, IF(OR($M$1="SPX", $M$1="RUT"), 2, 1))</f>
        <v>54</v>
      </c>
      <c r="Z1382">
        <f ca="1">IFERROR(Table1334567[[#This Row],[call gamma]]*(Table1334567[[#This Row],[Open.Int]])*$A$4^2,0)</f>
        <v>0</v>
      </c>
      <c r="AA1382">
        <f ca="1">IFERROR(((Table1334567[[#This Row],[Open.Int8]])*Table1334567[[#This Row],[Put gamma]])*-1*$A$4^2,0)</f>
        <v>0</v>
      </c>
      <c r="AB1382">
        <f ca="1">(Table1334567[[#This Row],[Call Gex]]+Table1334567[[#This Row],[Put Gex]])</f>
        <v>0</v>
      </c>
      <c r="AC1382">
        <f ca="1">Table1334567[[#This Row],[put delta adj]]+Table1334567[[#This Row],[call delta adj]]</f>
        <v>0</v>
      </c>
      <c r="AD1382">
        <f ca="1">Table1334567[[#This Row],[Put Gex]]*Table1334567[[#This Row],[DeltaP]]*-1</f>
        <v>0</v>
      </c>
      <c r="AE1382">
        <f ca="1">Table1334567[[#This Row],[Call Gex]]*Table1334567[[#This Row],[DeltaC]]</f>
        <v>0</v>
      </c>
      <c r="AF1382">
        <f>IF(Table1334567[[#This Row],[DeltaC]]-ABS(Table1334567[[#This Row],[DeltaP]])="0","0.01",Table1334567[[#This Row],[DeltaC]]-ABS(Table1334567[[#This Row],[DeltaP]]))</f>
        <v>0</v>
      </c>
      <c r="AG138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2" t="e">
        <f ca="1">(EXP(-(AG1382^2)/2)/SQRT(2*PI())*EXP(0*SQRT(Table1334567[[#This Row],[T]]))/$A$4*18%*SQRT(SQRT(Table1334567[[#This Row],[T]])))</f>
        <v>#DIV/0!</v>
      </c>
      <c r="AJ1382" t="e">
        <f ca="1">(EXP(-(AH1382^2)/2)/SQRT(2*PI())*EXP(0*SQRT(Table1334567[[#This Row],[T]]))/$A$4*18%*SQRT(SQRT(Table1334567[[#This Row],[T]])))</f>
        <v>#DIV/0!</v>
      </c>
      <c r="AK1382" t="e">
        <f ca="1">Table1334567[[#This Row],[Call D1]]-Table1334567[[#This Row],[IV Calc C]]*SQRT(Table1334567[[#This Row],[T]])</f>
        <v>#DIV/0!</v>
      </c>
      <c r="AL1382" t="e">
        <f ca="1">Table1334567[[#This Row],[Put D1]]-Table1334567[[#This Row],[IV Calc P]]*SQRT(Table1334567[[#This Row],[T]])</f>
        <v>#DIV/0!</v>
      </c>
      <c r="AM1382" t="e">
        <f ca="1">EXP(-0.5*Table1334567[[#This Row],[Call D1]]^2)/SQRT(2*PI())</f>
        <v>#DIV/0!</v>
      </c>
      <c r="AN1382" t="e">
        <f ca="1">EXP(-0.5*Table1334567[[#This Row],[Put D1]]^2)/SQRT(2*PI())</f>
        <v>#DIV/0!</v>
      </c>
      <c r="AO138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2">
        <f ca="1">((Table1334567[[#This Row],[call vanna]]+Table1334567[[#This Row],[put vanna]])*$A$4)</f>
        <v>0</v>
      </c>
      <c r="AR138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2" s="9" t="str" cm="1">
        <f t="array" ref="AT1382">_xlfn.IFS(     $M$1="SPX","SPXW",     $M$1="RUT","RUTW",  $M$1="NDX","NDXP",   TRUE,$M$1 )</f>
        <v>SPXW</v>
      </c>
      <c r="AU1382" s="2">
        <f t="shared" si="137"/>
        <v>6915</v>
      </c>
      <c r="AV1382" t="str">
        <f t="shared" si="138"/>
        <v>000100</v>
      </c>
      <c r="AY138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2">
        <f>((Table1334567[[#This Row],[High C]]+Table1334567[[#This Row],[Low C]])/2)*Table1334567[[#This Row],[gammac]]*Table1334567[[#This Row],[Volume]]</f>
        <v>0</v>
      </c>
      <c r="BD1382">
        <f>((Table1334567[[#This Row],[High P]]+Table1334567[[#This Row],[Low P]])/2)*Table1334567[[#This Row],[gammap]]*Table1334567[[#This Row],[Volume9]]*-1</f>
        <v>0</v>
      </c>
      <c r="BE1382">
        <f>(Table1334567[[#This Row],[SgammaC]]+Table1334567[[#This Row],[SgammaP]])*$A$4*-100</f>
        <v>0</v>
      </c>
      <c r="BF1382">
        <f>Table1334567[[#This Row],[DEXc]]+Table1334567[[#This Row],[DEXp]]</f>
        <v>0</v>
      </c>
      <c r="BG1382">
        <f>IFERROR(Table1334567[[#This Row],[DeltaC]]*Table1334567[[#This Row],[Open.Int]]*$A$4,0)</f>
        <v>0</v>
      </c>
      <c r="BH1382">
        <f>IFERROR(Table1334567[[#This Row],[DeltaP]]*Table1334567[[#This Row],[Open.Int8]]*$A$4,0)</f>
        <v>0</v>
      </c>
      <c r="BI138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2">
        <f ca="1">Table1334567[[#This Row],[charmc]]+Table1334567[[#This Row],[charmp]]</f>
        <v>0</v>
      </c>
      <c r="BL138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2" s="78">
        <f ca="1">Table1334567[[#This Row],[call helper]]+Table1334567[[#This Row],[put helper]]</f>
        <v>0</v>
      </c>
      <c r="BP1382" t="str">
        <f>RTD("tos.rtd", , "STRIKE", "."&amp;Table1334567[[#This Row],[Ticker]]&amp;Table1334567[[#This Row],[Expiry]]&amp;""&amp;"C"&amp;Table1334567[[#This Row],[Spot]]+Table1334567[[#This Row],[step]])</f>
        <v>N/A</v>
      </c>
    </row>
    <row r="1383" spans="1:68" x14ac:dyDescent="0.25">
      <c r="A1383" s="14">
        <f t="shared" ca="1" si="134"/>
        <v>-126.14810350076104</v>
      </c>
      <c r="C1383" s="17"/>
      <c r="D1383" t="str">
        <f>RTD("tos.rtd", , "OPEN_INT", "."&amp;Table1334567[[#This Row],[Ticker]]&amp;Table1334567[[#This Row],[Expiry]]&amp;""&amp;"C"&amp;Table1334567[[#This Row],[Spot]]+Table1334567[[#This Row],[step]])</f>
        <v>N/A</v>
      </c>
      <c r="E138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3" s="17" cm="1">
        <f t="array" aca="1" ref="H1383" ca="1">IndividualLegIVCore($A$4, Table1334567[[#This Row],[Strike]], 0.0411, Table1334567[[#This Row],[T]], ((Table1334567[[#This Row],[BIDC]]+Table1334567[[#This Row],[ASKC]])/2), TRUE)</f>
        <v>0.01</v>
      </c>
      <c r="I138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3" s="17"/>
      <c r="M1383" s="1">
        <f t="shared" si="135"/>
        <v>0</v>
      </c>
      <c r="N1383" t="b">
        <f t="shared" si="136"/>
        <v>0</v>
      </c>
      <c r="P1383" s="17" cm="1">
        <f t="array" aca="1" ref="P1383" ca="1">IndividualLegIVCore($A$4, Table1334567[[#This Row],[Strike]], 0.0411, Table1334567[[#This Row],[T]], ((Table1334567[[#This Row],[BIDP]]+Table1334567[[#This Row],[ASKP]])/2), FALSE)</f>
        <v>0.01</v>
      </c>
      <c r="Q138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3" s="17"/>
      <c r="T138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3" s="19">
        <f>27.5* IF($M$1="NDX", 10, IF(OR($M$1="SPX", $M$1="RUT"), 2, 1))</f>
        <v>55</v>
      </c>
      <c r="Z1383">
        <f ca="1">IFERROR(Table1334567[[#This Row],[call gamma]]*(Table1334567[[#This Row],[Open.Int]])*$A$4^2,0)</f>
        <v>0</v>
      </c>
      <c r="AA1383">
        <f ca="1">IFERROR(((Table1334567[[#This Row],[Open.Int8]])*Table1334567[[#This Row],[Put gamma]])*-1*$A$4^2,0)</f>
        <v>0</v>
      </c>
      <c r="AB1383">
        <f ca="1">(Table1334567[[#This Row],[Call Gex]]+Table1334567[[#This Row],[Put Gex]])</f>
        <v>0</v>
      </c>
      <c r="AC1383">
        <f ca="1">Table1334567[[#This Row],[put delta adj]]+Table1334567[[#This Row],[call delta adj]]</f>
        <v>0</v>
      </c>
      <c r="AD1383">
        <f ca="1">Table1334567[[#This Row],[Put Gex]]*Table1334567[[#This Row],[DeltaP]]*-1</f>
        <v>0</v>
      </c>
      <c r="AE1383">
        <f ca="1">Table1334567[[#This Row],[Call Gex]]*Table1334567[[#This Row],[DeltaC]]</f>
        <v>0</v>
      </c>
      <c r="AF1383">
        <f>IF(Table1334567[[#This Row],[DeltaC]]-ABS(Table1334567[[#This Row],[DeltaP]])="0","0.01",Table1334567[[#This Row],[DeltaC]]-ABS(Table1334567[[#This Row],[DeltaP]]))</f>
        <v>0</v>
      </c>
      <c r="AG138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3" t="e">
        <f ca="1">(EXP(-(AG1383^2)/2)/SQRT(2*PI())*EXP(0*SQRT(Table1334567[[#This Row],[T]]))/$A$4*18%*SQRT(SQRT(Table1334567[[#This Row],[T]])))</f>
        <v>#DIV/0!</v>
      </c>
      <c r="AJ1383" t="e">
        <f ca="1">(EXP(-(AH1383^2)/2)/SQRT(2*PI())*EXP(0*SQRT(Table1334567[[#This Row],[T]]))/$A$4*18%*SQRT(SQRT(Table1334567[[#This Row],[T]])))</f>
        <v>#DIV/0!</v>
      </c>
      <c r="AK1383" t="e">
        <f ca="1">Table1334567[[#This Row],[Call D1]]-Table1334567[[#This Row],[IV Calc C]]*SQRT(Table1334567[[#This Row],[T]])</f>
        <v>#DIV/0!</v>
      </c>
      <c r="AL1383" t="e">
        <f ca="1">Table1334567[[#This Row],[Put D1]]-Table1334567[[#This Row],[IV Calc P]]*SQRT(Table1334567[[#This Row],[T]])</f>
        <v>#DIV/0!</v>
      </c>
      <c r="AM1383" t="e">
        <f ca="1">EXP(-0.5*Table1334567[[#This Row],[Call D1]]^2)/SQRT(2*PI())</f>
        <v>#DIV/0!</v>
      </c>
      <c r="AN1383" t="e">
        <f ca="1">EXP(-0.5*Table1334567[[#This Row],[Put D1]]^2)/SQRT(2*PI())</f>
        <v>#DIV/0!</v>
      </c>
      <c r="AO138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3">
        <f ca="1">((Table1334567[[#This Row],[call vanna]]+Table1334567[[#This Row],[put vanna]])*$A$4)</f>
        <v>0</v>
      </c>
      <c r="AR138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3" s="9" t="str" cm="1">
        <f t="array" ref="AT1383">_xlfn.IFS(     $M$1="SPX","SPXW",     $M$1="RUT","RUTW",  $M$1="NDX","NDXP",   TRUE,$M$1 )</f>
        <v>SPXW</v>
      </c>
      <c r="AU1383" s="2">
        <f t="shared" si="137"/>
        <v>6915</v>
      </c>
      <c r="AV1383" t="str">
        <f t="shared" si="138"/>
        <v>000100</v>
      </c>
      <c r="AY138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3">
        <f>((Table1334567[[#This Row],[High C]]+Table1334567[[#This Row],[Low C]])/2)*Table1334567[[#This Row],[gammac]]*Table1334567[[#This Row],[Volume]]</f>
        <v>0</v>
      </c>
      <c r="BD1383">
        <f>((Table1334567[[#This Row],[High P]]+Table1334567[[#This Row],[Low P]])/2)*Table1334567[[#This Row],[gammap]]*Table1334567[[#This Row],[Volume9]]*-1</f>
        <v>0</v>
      </c>
      <c r="BE1383">
        <f>(Table1334567[[#This Row],[SgammaC]]+Table1334567[[#This Row],[SgammaP]])*$A$4*-100</f>
        <v>0</v>
      </c>
      <c r="BF1383">
        <f>Table1334567[[#This Row],[DEXc]]+Table1334567[[#This Row],[DEXp]]</f>
        <v>0</v>
      </c>
      <c r="BG1383">
        <f>IFERROR(Table1334567[[#This Row],[DeltaC]]*Table1334567[[#This Row],[Open.Int]]*$A$4,0)</f>
        <v>0</v>
      </c>
      <c r="BH1383">
        <f>IFERROR(Table1334567[[#This Row],[DeltaP]]*Table1334567[[#This Row],[Open.Int8]]*$A$4,0)</f>
        <v>0</v>
      </c>
      <c r="BI138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3">
        <f ca="1">Table1334567[[#This Row],[charmc]]+Table1334567[[#This Row],[charmp]]</f>
        <v>0</v>
      </c>
      <c r="BL138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3" s="78">
        <f ca="1">Table1334567[[#This Row],[call helper]]+Table1334567[[#This Row],[put helper]]</f>
        <v>0</v>
      </c>
      <c r="BP1383" t="str">
        <f>RTD("tos.rtd", , "STRIKE", "."&amp;Table1334567[[#This Row],[Ticker]]&amp;Table1334567[[#This Row],[Expiry]]&amp;""&amp;"C"&amp;Table1334567[[#This Row],[Spot]]+Table1334567[[#This Row],[step]])</f>
        <v>N/A</v>
      </c>
    </row>
    <row r="1384" spans="1:68" x14ac:dyDescent="0.25">
      <c r="A1384" s="14">
        <f t="shared" ca="1" si="134"/>
        <v>-126.14810350076104</v>
      </c>
      <c r="C1384" s="17"/>
      <c r="D1384" t="str">
        <f>RTD("tos.rtd", , "OPEN_INT", "."&amp;Table1334567[[#This Row],[Ticker]]&amp;Table1334567[[#This Row],[Expiry]]&amp;""&amp;"C"&amp;Table1334567[[#This Row],[Spot]]+Table1334567[[#This Row],[step]])</f>
        <v>N/A</v>
      </c>
      <c r="E138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4" s="17" cm="1">
        <f t="array" aca="1" ref="H1384" ca="1">IndividualLegIVCore($A$4, Table1334567[[#This Row],[Strike]], 0.0411, Table1334567[[#This Row],[T]], ((Table1334567[[#This Row],[BIDC]]+Table1334567[[#This Row],[ASKC]])/2), TRUE)</f>
        <v>0.01</v>
      </c>
      <c r="I138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4" s="17"/>
      <c r="M1384" s="1">
        <f t="shared" si="135"/>
        <v>0</v>
      </c>
      <c r="N1384" t="b">
        <f t="shared" si="136"/>
        <v>0</v>
      </c>
      <c r="P1384" s="17" cm="1">
        <f t="array" aca="1" ref="P1384" ca="1">IndividualLegIVCore($A$4, Table1334567[[#This Row],[Strike]], 0.0411, Table1334567[[#This Row],[T]], ((Table1334567[[#This Row],[BIDP]]+Table1334567[[#This Row],[ASKP]])/2), FALSE)</f>
        <v>0.01</v>
      </c>
      <c r="Q138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4" s="17"/>
      <c r="T138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4" s="19">
        <f>28* IF($M$1="NDX", 10, IF(OR($M$1="SPX", $M$1="RUT"), 2, 1))</f>
        <v>56</v>
      </c>
      <c r="Z1384">
        <f ca="1">IFERROR(Table1334567[[#This Row],[call gamma]]*(Table1334567[[#This Row],[Open.Int]])*$A$4^2,0)</f>
        <v>0</v>
      </c>
      <c r="AA1384">
        <f ca="1">IFERROR(((Table1334567[[#This Row],[Open.Int8]])*Table1334567[[#This Row],[Put gamma]])*-1*$A$4^2,0)</f>
        <v>0</v>
      </c>
      <c r="AB1384">
        <f ca="1">(Table1334567[[#This Row],[Call Gex]]+Table1334567[[#This Row],[Put Gex]])</f>
        <v>0</v>
      </c>
      <c r="AC1384">
        <f ca="1">Table1334567[[#This Row],[put delta adj]]+Table1334567[[#This Row],[call delta adj]]</f>
        <v>0</v>
      </c>
      <c r="AD1384">
        <f ca="1">Table1334567[[#This Row],[Put Gex]]*Table1334567[[#This Row],[DeltaP]]*-1</f>
        <v>0</v>
      </c>
      <c r="AE1384">
        <f ca="1">Table1334567[[#This Row],[Call Gex]]*Table1334567[[#This Row],[DeltaC]]</f>
        <v>0</v>
      </c>
      <c r="AF1384">
        <f>IF(Table1334567[[#This Row],[DeltaC]]-ABS(Table1334567[[#This Row],[DeltaP]])="0","0.01",Table1334567[[#This Row],[DeltaC]]-ABS(Table1334567[[#This Row],[DeltaP]]))</f>
        <v>0</v>
      </c>
      <c r="AG138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4" t="e">
        <f ca="1">(EXP(-(AG1384^2)/2)/SQRT(2*PI())*EXP(0*SQRT(Table1334567[[#This Row],[T]]))/$A$4*18%*SQRT(SQRT(Table1334567[[#This Row],[T]])))</f>
        <v>#DIV/0!</v>
      </c>
      <c r="AJ1384" t="e">
        <f ca="1">(EXP(-(AH1384^2)/2)/SQRT(2*PI())*EXP(0*SQRT(Table1334567[[#This Row],[T]]))/$A$4*18%*SQRT(SQRT(Table1334567[[#This Row],[T]])))</f>
        <v>#DIV/0!</v>
      </c>
      <c r="AK1384" t="e">
        <f ca="1">Table1334567[[#This Row],[Call D1]]-Table1334567[[#This Row],[IV Calc C]]*SQRT(Table1334567[[#This Row],[T]])</f>
        <v>#DIV/0!</v>
      </c>
      <c r="AL1384" t="e">
        <f ca="1">Table1334567[[#This Row],[Put D1]]-Table1334567[[#This Row],[IV Calc P]]*SQRT(Table1334567[[#This Row],[T]])</f>
        <v>#DIV/0!</v>
      </c>
      <c r="AM1384" t="e">
        <f ca="1">EXP(-0.5*Table1334567[[#This Row],[Call D1]]^2)/SQRT(2*PI())</f>
        <v>#DIV/0!</v>
      </c>
      <c r="AN1384" t="e">
        <f ca="1">EXP(-0.5*Table1334567[[#This Row],[Put D1]]^2)/SQRT(2*PI())</f>
        <v>#DIV/0!</v>
      </c>
      <c r="AO138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4">
        <f ca="1">((Table1334567[[#This Row],[call vanna]]+Table1334567[[#This Row],[put vanna]])*$A$4)</f>
        <v>0</v>
      </c>
      <c r="AR138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4" s="9" t="str" cm="1">
        <f t="array" ref="AT1384">_xlfn.IFS(     $M$1="SPX","SPXW",     $M$1="RUT","RUTW",  $M$1="NDX","NDXP",   TRUE,$M$1 )</f>
        <v>SPXW</v>
      </c>
      <c r="AU1384" s="2">
        <f t="shared" si="137"/>
        <v>6915</v>
      </c>
      <c r="AV1384" t="str">
        <f t="shared" si="138"/>
        <v>000100</v>
      </c>
      <c r="AY138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4">
        <f>((Table1334567[[#This Row],[High C]]+Table1334567[[#This Row],[Low C]])/2)*Table1334567[[#This Row],[gammac]]*Table1334567[[#This Row],[Volume]]</f>
        <v>0</v>
      </c>
      <c r="BD1384">
        <f>((Table1334567[[#This Row],[High P]]+Table1334567[[#This Row],[Low P]])/2)*Table1334567[[#This Row],[gammap]]*Table1334567[[#This Row],[Volume9]]*-1</f>
        <v>0</v>
      </c>
      <c r="BE1384">
        <f>(Table1334567[[#This Row],[SgammaC]]+Table1334567[[#This Row],[SgammaP]])*$A$4*-100</f>
        <v>0</v>
      </c>
      <c r="BF1384">
        <f>Table1334567[[#This Row],[DEXc]]+Table1334567[[#This Row],[DEXp]]</f>
        <v>0</v>
      </c>
      <c r="BG1384">
        <f>IFERROR(Table1334567[[#This Row],[DeltaC]]*Table1334567[[#This Row],[Open.Int]]*$A$4,0)</f>
        <v>0</v>
      </c>
      <c r="BH1384">
        <f>IFERROR(Table1334567[[#This Row],[DeltaP]]*Table1334567[[#This Row],[Open.Int8]]*$A$4,0)</f>
        <v>0</v>
      </c>
      <c r="BI138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4">
        <f ca="1">Table1334567[[#This Row],[charmc]]+Table1334567[[#This Row],[charmp]]</f>
        <v>0</v>
      </c>
      <c r="BL138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4" s="78">
        <f ca="1">Table1334567[[#This Row],[call helper]]+Table1334567[[#This Row],[put helper]]</f>
        <v>0</v>
      </c>
      <c r="BP1384" t="str">
        <f>RTD("tos.rtd", , "STRIKE", "."&amp;Table1334567[[#This Row],[Ticker]]&amp;Table1334567[[#This Row],[Expiry]]&amp;""&amp;"C"&amp;Table1334567[[#This Row],[Spot]]+Table1334567[[#This Row],[step]])</f>
        <v>N/A</v>
      </c>
    </row>
    <row r="1385" spans="1:68" x14ac:dyDescent="0.25">
      <c r="A1385" s="14">
        <f t="shared" ca="1" si="134"/>
        <v>-126.14810350076104</v>
      </c>
      <c r="C1385" s="17"/>
      <c r="D1385" t="str">
        <f>RTD("tos.rtd", , "OPEN_INT", "."&amp;Table1334567[[#This Row],[Ticker]]&amp;Table1334567[[#This Row],[Expiry]]&amp;""&amp;"C"&amp;Table1334567[[#This Row],[Spot]]+Table1334567[[#This Row],[step]])</f>
        <v>N/A</v>
      </c>
      <c r="E138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5" s="17" cm="1">
        <f t="array" aca="1" ref="H1385" ca="1">IndividualLegIVCore($A$4, Table1334567[[#This Row],[Strike]], 0.0411, Table1334567[[#This Row],[T]], ((Table1334567[[#This Row],[BIDC]]+Table1334567[[#This Row],[ASKC]])/2), TRUE)</f>
        <v>0.01</v>
      </c>
      <c r="I138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5" s="17"/>
      <c r="M1385" s="1">
        <f t="shared" si="135"/>
        <v>0</v>
      </c>
      <c r="N1385" t="b">
        <f t="shared" si="136"/>
        <v>0</v>
      </c>
      <c r="P1385" s="17" cm="1">
        <f t="array" aca="1" ref="P1385" ca="1">IndividualLegIVCore($A$4, Table1334567[[#This Row],[Strike]], 0.0411, Table1334567[[#This Row],[T]], ((Table1334567[[#This Row],[BIDP]]+Table1334567[[#This Row],[ASKP]])/2), FALSE)</f>
        <v>0.01</v>
      </c>
      <c r="Q138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5" s="17"/>
      <c r="T138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5" s="19">
        <f>28.5* IF($M$1="NDX", 10, IF(OR($M$1="SPX", $M$1="RUT"), 2, 1))</f>
        <v>57</v>
      </c>
      <c r="Z1385">
        <f ca="1">IFERROR(Table1334567[[#This Row],[call gamma]]*(Table1334567[[#This Row],[Open.Int]])*$A$4^2,0)</f>
        <v>0</v>
      </c>
      <c r="AA1385">
        <f ca="1">IFERROR(((Table1334567[[#This Row],[Open.Int8]])*Table1334567[[#This Row],[Put gamma]])*-1*$A$4^2,0)</f>
        <v>0</v>
      </c>
      <c r="AB1385">
        <f ca="1">(Table1334567[[#This Row],[Call Gex]]+Table1334567[[#This Row],[Put Gex]])</f>
        <v>0</v>
      </c>
      <c r="AC1385">
        <f ca="1">Table1334567[[#This Row],[put delta adj]]+Table1334567[[#This Row],[call delta adj]]</f>
        <v>0</v>
      </c>
      <c r="AD1385">
        <f ca="1">Table1334567[[#This Row],[Put Gex]]*Table1334567[[#This Row],[DeltaP]]*-1</f>
        <v>0</v>
      </c>
      <c r="AE1385">
        <f ca="1">Table1334567[[#This Row],[Call Gex]]*Table1334567[[#This Row],[DeltaC]]</f>
        <v>0</v>
      </c>
      <c r="AF1385">
        <f>IF(Table1334567[[#This Row],[DeltaC]]-ABS(Table1334567[[#This Row],[DeltaP]])="0","0.01",Table1334567[[#This Row],[DeltaC]]-ABS(Table1334567[[#This Row],[DeltaP]]))</f>
        <v>0</v>
      </c>
      <c r="AG138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5" t="e">
        <f ca="1">(EXP(-(AG1385^2)/2)/SQRT(2*PI())*EXP(0*SQRT(Table1334567[[#This Row],[T]]))/$A$4*18%*SQRT(SQRT(Table1334567[[#This Row],[T]])))</f>
        <v>#DIV/0!</v>
      </c>
      <c r="AJ1385" t="e">
        <f ca="1">(EXP(-(AH1385^2)/2)/SQRT(2*PI())*EXP(0*SQRT(Table1334567[[#This Row],[T]]))/$A$4*18%*SQRT(SQRT(Table1334567[[#This Row],[T]])))</f>
        <v>#DIV/0!</v>
      </c>
      <c r="AK1385" t="e">
        <f ca="1">Table1334567[[#This Row],[Call D1]]-Table1334567[[#This Row],[IV Calc C]]*SQRT(Table1334567[[#This Row],[T]])</f>
        <v>#DIV/0!</v>
      </c>
      <c r="AL1385" t="e">
        <f ca="1">Table1334567[[#This Row],[Put D1]]-Table1334567[[#This Row],[IV Calc P]]*SQRT(Table1334567[[#This Row],[T]])</f>
        <v>#DIV/0!</v>
      </c>
      <c r="AM1385" t="e">
        <f ca="1">EXP(-0.5*Table1334567[[#This Row],[Call D1]]^2)/SQRT(2*PI())</f>
        <v>#DIV/0!</v>
      </c>
      <c r="AN1385" t="e">
        <f ca="1">EXP(-0.5*Table1334567[[#This Row],[Put D1]]^2)/SQRT(2*PI())</f>
        <v>#DIV/0!</v>
      </c>
      <c r="AO138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5">
        <f ca="1">((Table1334567[[#This Row],[call vanna]]+Table1334567[[#This Row],[put vanna]])*$A$4)</f>
        <v>0</v>
      </c>
      <c r="AR138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5" s="9" t="str" cm="1">
        <f t="array" ref="AT1385">_xlfn.IFS(     $M$1="SPX","SPXW",     $M$1="RUT","RUTW",  $M$1="NDX","NDXP",   TRUE,$M$1 )</f>
        <v>SPXW</v>
      </c>
      <c r="AU1385" s="2">
        <f t="shared" si="137"/>
        <v>6915</v>
      </c>
      <c r="AV1385" t="str">
        <f t="shared" si="138"/>
        <v>000100</v>
      </c>
      <c r="AY138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5">
        <f>((Table1334567[[#This Row],[High C]]+Table1334567[[#This Row],[Low C]])/2)*Table1334567[[#This Row],[gammac]]*Table1334567[[#This Row],[Volume]]</f>
        <v>0</v>
      </c>
      <c r="BD1385">
        <f>((Table1334567[[#This Row],[High P]]+Table1334567[[#This Row],[Low P]])/2)*Table1334567[[#This Row],[gammap]]*Table1334567[[#This Row],[Volume9]]*-1</f>
        <v>0</v>
      </c>
      <c r="BE1385">
        <f>(Table1334567[[#This Row],[SgammaC]]+Table1334567[[#This Row],[SgammaP]])*$A$4*-100</f>
        <v>0</v>
      </c>
      <c r="BF1385">
        <f>Table1334567[[#This Row],[DEXc]]+Table1334567[[#This Row],[DEXp]]</f>
        <v>0</v>
      </c>
      <c r="BG1385">
        <f>IFERROR(Table1334567[[#This Row],[DeltaC]]*Table1334567[[#This Row],[Open.Int]]*$A$4,0)</f>
        <v>0</v>
      </c>
      <c r="BH1385">
        <f>IFERROR(Table1334567[[#This Row],[DeltaP]]*Table1334567[[#This Row],[Open.Int8]]*$A$4,0)</f>
        <v>0</v>
      </c>
      <c r="BI138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5">
        <f ca="1">Table1334567[[#This Row],[charmc]]+Table1334567[[#This Row],[charmp]]</f>
        <v>0</v>
      </c>
      <c r="BL138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5" s="78">
        <f ca="1">Table1334567[[#This Row],[call helper]]+Table1334567[[#This Row],[put helper]]</f>
        <v>0</v>
      </c>
      <c r="BP1385" t="str">
        <f>RTD("tos.rtd", , "STRIKE", "."&amp;Table1334567[[#This Row],[Ticker]]&amp;Table1334567[[#This Row],[Expiry]]&amp;""&amp;"C"&amp;Table1334567[[#This Row],[Spot]]+Table1334567[[#This Row],[step]])</f>
        <v>N/A</v>
      </c>
    </row>
    <row r="1386" spans="1:68" x14ac:dyDescent="0.25">
      <c r="A1386" s="24">
        <f t="shared" ca="1" si="134"/>
        <v>-126.14810350076104</v>
      </c>
      <c r="B1386" s="13"/>
      <c r="C1386" s="17"/>
      <c r="D1386" t="str">
        <f>RTD("tos.rtd", , "OPEN_INT", "."&amp;Table1334567[[#This Row],[Ticker]]&amp;Table1334567[[#This Row],[Expiry]]&amp;""&amp;"C"&amp;Table1334567[[#This Row],[Spot]]+Table1334567[[#This Row],[step]])</f>
        <v>N/A</v>
      </c>
      <c r="E138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6" s="17" cm="1">
        <f t="array" aca="1" ref="H1386" ca="1">IndividualLegIVCore($A$4, Table1334567[[#This Row],[Strike]], 0.0411, Table1334567[[#This Row],[T]], ((Table1334567[[#This Row],[BIDC]]+Table1334567[[#This Row],[ASKC]])/2), TRUE)</f>
        <v>0.01</v>
      </c>
      <c r="I138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6" s="17"/>
      <c r="M1386" s="1">
        <f t="shared" si="135"/>
        <v>0</v>
      </c>
      <c r="N1386" t="b">
        <f t="shared" si="136"/>
        <v>0</v>
      </c>
      <c r="P1386" s="17" cm="1">
        <f t="array" aca="1" ref="P1386" ca="1">IndividualLegIVCore($A$4, Table1334567[[#This Row],[Strike]], 0.0411, Table1334567[[#This Row],[T]], ((Table1334567[[#This Row],[BIDP]]+Table1334567[[#This Row],[ASKP]])/2), FALSE)</f>
        <v>0.01</v>
      </c>
      <c r="Q138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6" s="17"/>
      <c r="T138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386" s="13"/>
      <c r="Y1386" s="19">
        <f>29* IF($M$1="NDX", 10, IF(OR($M$1="SPX", $M$1="RUT"), 2, 1))</f>
        <v>58</v>
      </c>
      <c r="Z1386">
        <f ca="1">IFERROR(Table1334567[[#This Row],[call gamma]]*(Table1334567[[#This Row],[Open.Int]])*$A$4^2,0)</f>
        <v>0</v>
      </c>
      <c r="AA1386">
        <f ca="1">IFERROR(((Table1334567[[#This Row],[Open.Int8]])*Table1334567[[#This Row],[Put gamma]])*-1*$A$4^2,0)</f>
        <v>0</v>
      </c>
      <c r="AB1386">
        <f ca="1">(Table1334567[[#This Row],[Call Gex]]+Table1334567[[#This Row],[Put Gex]])</f>
        <v>0</v>
      </c>
      <c r="AC1386">
        <f ca="1">Table1334567[[#This Row],[put delta adj]]+Table1334567[[#This Row],[call delta adj]]</f>
        <v>0</v>
      </c>
      <c r="AD1386">
        <f ca="1">Table1334567[[#This Row],[Put Gex]]*Table1334567[[#This Row],[DeltaP]]*-1</f>
        <v>0</v>
      </c>
      <c r="AE1386">
        <f ca="1">Table1334567[[#This Row],[Call Gex]]*Table1334567[[#This Row],[DeltaC]]</f>
        <v>0</v>
      </c>
      <c r="AF1386">
        <f>IF(Table1334567[[#This Row],[DeltaC]]-ABS(Table1334567[[#This Row],[DeltaP]])="0","0.01",Table1334567[[#This Row],[DeltaC]]-ABS(Table1334567[[#This Row],[DeltaP]]))</f>
        <v>0</v>
      </c>
      <c r="AG138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6" t="e">
        <f ca="1">(EXP(-(AG1386^2)/2)/SQRT(2*PI())*EXP(0*SQRT(Table1334567[[#This Row],[T]]))/$A$4*18%*SQRT(SQRT(Table1334567[[#This Row],[T]])))</f>
        <v>#DIV/0!</v>
      </c>
      <c r="AJ1386" t="e">
        <f ca="1">(EXP(-(AH1386^2)/2)/SQRT(2*PI())*EXP(0*SQRT(Table1334567[[#This Row],[T]]))/$A$4*18%*SQRT(SQRT(Table1334567[[#This Row],[T]])))</f>
        <v>#DIV/0!</v>
      </c>
      <c r="AK1386" t="e">
        <f ca="1">Table1334567[[#This Row],[Call D1]]-Table1334567[[#This Row],[IV Calc C]]*SQRT(Table1334567[[#This Row],[T]])</f>
        <v>#DIV/0!</v>
      </c>
      <c r="AL1386" t="e">
        <f ca="1">Table1334567[[#This Row],[Put D1]]-Table1334567[[#This Row],[IV Calc P]]*SQRT(Table1334567[[#This Row],[T]])</f>
        <v>#DIV/0!</v>
      </c>
      <c r="AM1386" t="e">
        <f ca="1">EXP(-0.5*Table1334567[[#This Row],[Call D1]]^2)/SQRT(2*PI())</f>
        <v>#DIV/0!</v>
      </c>
      <c r="AN1386" t="e">
        <f ca="1">EXP(-0.5*Table1334567[[#This Row],[Put D1]]^2)/SQRT(2*PI())</f>
        <v>#DIV/0!</v>
      </c>
      <c r="AO138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6">
        <f ca="1">((Table1334567[[#This Row],[call vanna]]+Table1334567[[#This Row],[put vanna]])*$A$4)</f>
        <v>0</v>
      </c>
      <c r="AR138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6" s="22" t="str" cm="1">
        <f t="array" ref="AT1386">_xlfn.IFS(     $M$1="SPX","SPXW",     $M$1="RUT","RUTW",  $M$1="NDX","NDXP",   TRUE,$M$1 )</f>
        <v>SPXW</v>
      </c>
      <c r="AU1386" s="23">
        <f t="shared" si="137"/>
        <v>6915</v>
      </c>
      <c r="AV1386" s="13" t="str">
        <f t="shared" si="138"/>
        <v>000100</v>
      </c>
      <c r="AY138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6">
        <f>((Table1334567[[#This Row],[High C]]+Table1334567[[#This Row],[Low C]])/2)*Table1334567[[#This Row],[gammac]]*Table1334567[[#This Row],[Volume]]</f>
        <v>0</v>
      </c>
      <c r="BD1386">
        <f>((Table1334567[[#This Row],[High P]]+Table1334567[[#This Row],[Low P]])/2)*Table1334567[[#This Row],[gammap]]*Table1334567[[#This Row],[Volume9]]*-1</f>
        <v>0</v>
      </c>
      <c r="BE1386">
        <f>(Table1334567[[#This Row],[SgammaC]]+Table1334567[[#This Row],[SgammaP]])*$A$4*-100</f>
        <v>0</v>
      </c>
      <c r="BF1386">
        <f>Table1334567[[#This Row],[DEXc]]+Table1334567[[#This Row],[DEXp]]</f>
        <v>0</v>
      </c>
      <c r="BG1386">
        <f>IFERROR(Table1334567[[#This Row],[DeltaC]]*Table1334567[[#This Row],[Open.Int]]*$A$4,0)</f>
        <v>0</v>
      </c>
      <c r="BH1386">
        <f>IFERROR(Table1334567[[#This Row],[DeltaP]]*Table1334567[[#This Row],[Open.Int8]]*$A$4,0)</f>
        <v>0</v>
      </c>
      <c r="BI138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6">
        <f ca="1">Table1334567[[#This Row],[charmc]]+Table1334567[[#This Row],[charmp]]</f>
        <v>0</v>
      </c>
      <c r="BL138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6" s="78">
        <f ca="1">Table1334567[[#This Row],[call helper]]+Table1334567[[#This Row],[put helper]]</f>
        <v>0</v>
      </c>
      <c r="BP1386" t="str">
        <f>RTD("tos.rtd", , "STRIKE", "."&amp;Table1334567[[#This Row],[Ticker]]&amp;Table1334567[[#This Row],[Expiry]]&amp;""&amp;"C"&amp;Table1334567[[#This Row],[Spot]]+Table1334567[[#This Row],[step]])</f>
        <v>N/A</v>
      </c>
    </row>
    <row r="1387" spans="1:68" x14ac:dyDescent="0.25">
      <c r="A1387" s="14">
        <f t="shared" ca="1" si="134"/>
        <v>-126.14810350076104</v>
      </c>
      <c r="C1387" s="17"/>
      <c r="D1387" t="str">
        <f>RTD("tos.rtd", , "OPEN_INT", "."&amp;Table1334567[[#This Row],[Ticker]]&amp;Table1334567[[#This Row],[Expiry]]&amp;""&amp;"C"&amp;Table1334567[[#This Row],[Spot]]+Table1334567[[#This Row],[step]])</f>
        <v>N/A</v>
      </c>
      <c r="E138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7" s="17" cm="1">
        <f t="array" aca="1" ref="H1387" ca="1">IndividualLegIVCore($A$4, Table1334567[[#This Row],[Strike]], 0.0411, Table1334567[[#This Row],[T]], ((Table1334567[[#This Row],[BIDC]]+Table1334567[[#This Row],[ASKC]])/2), TRUE)</f>
        <v>0.01</v>
      </c>
      <c r="I138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7" s="17"/>
      <c r="M1387" s="1">
        <f t="shared" si="135"/>
        <v>0</v>
      </c>
      <c r="N1387" t="b">
        <f t="shared" si="136"/>
        <v>0</v>
      </c>
      <c r="P1387" s="17" cm="1">
        <f t="array" aca="1" ref="P1387" ca="1">IndividualLegIVCore($A$4, Table1334567[[#This Row],[Strike]], 0.0411, Table1334567[[#This Row],[T]], ((Table1334567[[#This Row],[BIDP]]+Table1334567[[#This Row],[ASKP]])/2), FALSE)</f>
        <v>0.01</v>
      </c>
      <c r="Q138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7" s="17"/>
      <c r="T138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7" s="19">
        <f>29.5* IF($M$1="NDX", 10, IF(OR($M$1="SPX", $M$1="RUT"), 2, 1))</f>
        <v>59</v>
      </c>
      <c r="Z1387">
        <f ca="1">IFERROR(Table1334567[[#This Row],[call gamma]]*(Table1334567[[#This Row],[Open.Int]])*$A$4^2,0)</f>
        <v>0</v>
      </c>
      <c r="AA1387">
        <f ca="1">IFERROR(((Table1334567[[#This Row],[Open.Int8]])*Table1334567[[#This Row],[Put gamma]])*-1*$A$4^2,0)</f>
        <v>0</v>
      </c>
      <c r="AB1387">
        <f ca="1">(Table1334567[[#This Row],[Call Gex]]+Table1334567[[#This Row],[Put Gex]])</f>
        <v>0</v>
      </c>
      <c r="AC1387">
        <f ca="1">Table1334567[[#This Row],[put delta adj]]+Table1334567[[#This Row],[call delta adj]]</f>
        <v>0</v>
      </c>
      <c r="AD1387">
        <f ca="1">Table1334567[[#This Row],[Put Gex]]*Table1334567[[#This Row],[DeltaP]]*-1</f>
        <v>0</v>
      </c>
      <c r="AE1387">
        <f ca="1">Table1334567[[#This Row],[Call Gex]]*Table1334567[[#This Row],[DeltaC]]</f>
        <v>0</v>
      </c>
      <c r="AF1387">
        <f>IF(Table1334567[[#This Row],[DeltaC]]-ABS(Table1334567[[#This Row],[DeltaP]])="0","0.01",Table1334567[[#This Row],[DeltaC]]-ABS(Table1334567[[#This Row],[DeltaP]]))</f>
        <v>0</v>
      </c>
      <c r="AG138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7" t="e">
        <f ca="1">(EXP(-(AG1387^2)/2)/SQRT(2*PI())*EXP(0*SQRT(Table1334567[[#This Row],[T]]))/$A$4*18%*SQRT(SQRT(Table1334567[[#This Row],[T]])))</f>
        <v>#DIV/0!</v>
      </c>
      <c r="AJ1387" t="e">
        <f ca="1">(EXP(-(AH1387^2)/2)/SQRT(2*PI())*EXP(0*SQRT(Table1334567[[#This Row],[T]]))/$A$4*18%*SQRT(SQRT(Table1334567[[#This Row],[T]])))</f>
        <v>#DIV/0!</v>
      </c>
      <c r="AK1387" t="e">
        <f ca="1">Table1334567[[#This Row],[Call D1]]-Table1334567[[#This Row],[IV Calc C]]*SQRT(Table1334567[[#This Row],[T]])</f>
        <v>#DIV/0!</v>
      </c>
      <c r="AL1387" t="e">
        <f ca="1">Table1334567[[#This Row],[Put D1]]-Table1334567[[#This Row],[IV Calc P]]*SQRT(Table1334567[[#This Row],[T]])</f>
        <v>#DIV/0!</v>
      </c>
      <c r="AM1387" t="e">
        <f ca="1">EXP(-0.5*Table1334567[[#This Row],[Call D1]]^2)/SQRT(2*PI())</f>
        <v>#DIV/0!</v>
      </c>
      <c r="AN1387" t="e">
        <f ca="1">EXP(-0.5*Table1334567[[#This Row],[Put D1]]^2)/SQRT(2*PI())</f>
        <v>#DIV/0!</v>
      </c>
      <c r="AO138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7">
        <f ca="1">((Table1334567[[#This Row],[call vanna]]+Table1334567[[#This Row],[put vanna]])*$A$4)</f>
        <v>0</v>
      </c>
      <c r="AR138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7" s="9" t="str" cm="1">
        <f t="array" ref="AT1387">_xlfn.IFS(     $M$1="SPX","SPXW",     $M$1="RUT","RUTW",  $M$1="NDX","NDXP",   TRUE,$M$1 )</f>
        <v>SPXW</v>
      </c>
      <c r="AU1387" s="2">
        <f t="shared" si="137"/>
        <v>6915</v>
      </c>
      <c r="AV1387" t="str">
        <f t="shared" si="138"/>
        <v>000100</v>
      </c>
      <c r="AY138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7">
        <f>((Table1334567[[#This Row],[High C]]+Table1334567[[#This Row],[Low C]])/2)*Table1334567[[#This Row],[gammac]]*Table1334567[[#This Row],[Volume]]</f>
        <v>0</v>
      </c>
      <c r="BD1387">
        <f>((Table1334567[[#This Row],[High P]]+Table1334567[[#This Row],[Low P]])/2)*Table1334567[[#This Row],[gammap]]*Table1334567[[#This Row],[Volume9]]*-1</f>
        <v>0</v>
      </c>
      <c r="BE1387">
        <f>(Table1334567[[#This Row],[SgammaC]]+Table1334567[[#This Row],[SgammaP]])*$A$4*-100</f>
        <v>0</v>
      </c>
      <c r="BF1387">
        <f>Table1334567[[#This Row],[DEXc]]+Table1334567[[#This Row],[DEXp]]</f>
        <v>0</v>
      </c>
      <c r="BG1387">
        <f>IFERROR(Table1334567[[#This Row],[DeltaC]]*Table1334567[[#This Row],[Open.Int]]*$A$4,0)</f>
        <v>0</v>
      </c>
      <c r="BH1387">
        <f>IFERROR(Table1334567[[#This Row],[DeltaP]]*Table1334567[[#This Row],[Open.Int8]]*$A$4,0)</f>
        <v>0</v>
      </c>
      <c r="BI138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7">
        <f ca="1">Table1334567[[#This Row],[charmc]]+Table1334567[[#This Row],[charmp]]</f>
        <v>0</v>
      </c>
      <c r="BL138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7" s="78">
        <f ca="1">Table1334567[[#This Row],[call helper]]+Table1334567[[#This Row],[put helper]]</f>
        <v>0</v>
      </c>
      <c r="BP1387" t="str">
        <f>RTD("tos.rtd", , "STRIKE", "."&amp;Table1334567[[#This Row],[Ticker]]&amp;Table1334567[[#This Row],[Expiry]]&amp;""&amp;"C"&amp;Table1334567[[#This Row],[Spot]]+Table1334567[[#This Row],[step]])</f>
        <v>N/A</v>
      </c>
    </row>
    <row r="1388" spans="1:68" x14ac:dyDescent="0.25">
      <c r="A1388" s="14">
        <f t="shared" ca="1" si="134"/>
        <v>-126.14810350076104</v>
      </c>
      <c r="C1388" s="17"/>
      <c r="D1388" t="str">
        <f>RTD("tos.rtd", , "OPEN_INT", "."&amp;Table1334567[[#This Row],[Ticker]]&amp;Table1334567[[#This Row],[Expiry]]&amp;""&amp;"C"&amp;Table1334567[[#This Row],[Spot]]+Table1334567[[#This Row],[step]])</f>
        <v>N/A</v>
      </c>
      <c r="E138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8" s="17" cm="1">
        <f t="array" aca="1" ref="H1388" ca="1">IndividualLegIVCore($A$4, Table1334567[[#This Row],[Strike]], 0.0411, Table1334567[[#This Row],[T]], ((Table1334567[[#This Row],[BIDC]]+Table1334567[[#This Row],[ASKC]])/2), TRUE)</f>
        <v>0.01</v>
      </c>
      <c r="I138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8" s="17"/>
      <c r="M1388" s="1">
        <f t="shared" si="135"/>
        <v>0</v>
      </c>
      <c r="N1388" t="b">
        <f t="shared" si="136"/>
        <v>0</v>
      </c>
      <c r="P1388" s="17" cm="1">
        <f t="array" aca="1" ref="P1388" ca="1">IndividualLegIVCore($A$4, Table1334567[[#This Row],[Strike]], 0.0411, Table1334567[[#This Row],[T]], ((Table1334567[[#This Row],[BIDP]]+Table1334567[[#This Row],[ASKP]])/2), FALSE)</f>
        <v>0.01</v>
      </c>
      <c r="Q138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8" s="17"/>
      <c r="T138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8" s="21">
        <f>30* IF($M$1="NDX", 10, IF(OR($M$1="SPX", $M$1="RUT"), 2, 1))</f>
        <v>60</v>
      </c>
      <c r="Z1388">
        <f ca="1">IFERROR(Table1334567[[#This Row],[call gamma]]*(Table1334567[[#This Row],[Open.Int]])*$A$4^2,0)</f>
        <v>0</v>
      </c>
      <c r="AA1388">
        <f ca="1">IFERROR(((Table1334567[[#This Row],[Open.Int8]])*Table1334567[[#This Row],[Put gamma]])*-1*$A$4^2,0)</f>
        <v>0</v>
      </c>
      <c r="AB1388">
        <f ca="1">(Table1334567[[#This Row],[Call Gex]]+Table1334567[[#This Row],[Put Gex]])</f>
        <v>0</v>
      </c>
      <c r="AC1388">
        <f ca="1">Table1334567[[#This Row],[put delta adj]]+Table1334567[[#This Row],[call delta adj]]</f>
        <v>0</v>
      </c>
      <c r="AD1388">
        <f ca="1">Table1334567[[#This Row],[Put Gex]]*Table1334567[[#This Row],[DeltaP]]*-1</f>
        <v>0</v>
      </c>
      <c r="AE1388">
        <f ca="1">Table1334567[[#This Row],[Call Gex]]*Table1334567[[#This Row],[DeltaC]]</f>
        <v>0</v>
      </c>
      <c r="AF1388">
        <f>IF(Table1334567[[#This Row],[DeltaC]]-ABS(Table1334567[[#This Row],[DeltaP]])="0","0.01",Table1334567[[#This Row],[DeltaC]]-ABS(Table1334567[[#This Row],[DeltaP]]))</f>
        <v>0</v>
      </c>
      <c r="AG138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8" t="e">
        <f ca="1">(EXP(-(AG1388^2)/2)/SQRT(2*PI())*EXP(0*SQRT(Table1334567[[#This Row],[T]]))/$A$4*18%*SQRT(SQRT(Table1334567[[#This Row],[T]])))</f>
        <v>#DIV/0!</v>
      </c>
      <c r="AJ1388" t="e">
        <f ca="1">(EXP(-(AH1388^2)/2)/SQRT(2*PI())*EXP(0*SQRT(Table1334567[[#This Row],[T]]))/$A$4*18%*SQRT(SQRT(Table1334567[[#This Row],[T]])))</f>
        <v>#DIV/0!</v>
      </c>
      <c r="AK1388" t="e">
        <f ca="1">Table1334567[[#This Row],[Call D1]]-Table1334567[[#This Row],[IV Calc C]]*SQRT(Table1334567[[#This Row],[T]])</f>
        <v>#DIV/0!</v>
      </c>
      <c r="AL1388" t="e">
        <f ca="1">Table1334567[[#This Row],[Put D1]]-Table1334567[[#This Row],[IV Calc P]]*SQRT(Table1334567[[#This Row],[T]])</f>
        <v>#DIV/0!</v>
      </c>
      <c r="AM1388" t="e">
        <f ca="1">EXP(-0.5*Table1334567[[#This Row],[Call D1]]^2)/SQRT(2*PI())</f>
        <v>#DIV/0!</v>
      </c>
      <c r="AN1388" t="e">
        <f ca="1">EXP(-0.5*Table1334567[[#This Row],[Put D1]]^2)/SQRT(2*PI())</f>
        <v>#DIV/0!</v>
      </c>
      <c r="AO138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8">
        <f ca="1">((Table1334567[[#This Row],[call vanna]]+Table1334567[[#This Row],[put vanna]])*$A$4)</f>
        <v>0</v>
      </c>
      <c r="AR138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8" s="9" t="str" cm="1">
        <f t="array" ref="AT1388">_xlfn.IFS(     $M$1="SPX","SPXW",     $M$1="RUT","RUTW",  $M$1="NDX","NDXP",   TRUE,$M$1 )</f>
        <v>SPXW</v>
      </c>
      <c r="AU1388" s="2">
        <f t="shared" si="137"/>
        <v>6915</v>
      </c>
      <c r="AV1388" t="str">
        <f t="shared" si="138"/>
        <v>000100</v>
      </c>
      <c r="AY138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8">
        <f>((Table1334567[[#This Row],[High C]]+Table1334567[[#This Row],[Low C]])/2)*Table1334567[[#This Row],[gammac]]*Table1334567[[#This Row],[Volume]]</f>
        <v>0</v>
      </c>
      <c r="BD1388">
        <f>((Table1334567[[#This Row],[High P]]+Table1334567[[#This Row],[Low P]])/2)*Table1334567[[#This Row],[gammap]]*Table1334567[[#This Row],[Volume9]]*-1</f>
        <v>0</v>
      </c>
      <c r="BE1388">
        <f>(Table1334567[[#This Row],[SgammaC]]+Table1334567[[#This Row],[SgammaP]])*$A$4*-100</f>
        <v>0</v>
      </c>
      <c r="BF1388">
        <f>Table1334567[[#This Row],[DEXc]]+Table1334567[[#This Row],[DEXp]]</f>
        <v>0</v>
      </c>
      <c r="BG1388">
        <f>IFERROR(Table1334567[[#This Row],[DeltaC]]*Table1334567[[#This Row],[Open.Int]]*$A$4,0)</f>
        <v>0</v>
      </c>
      <c r="BH1388">
        <f>IFERROR(Table1334567[[#This Row],[DeltaP]]*Table1334567[[#This Row],[Open.Int8]]*$A$4,0)</f>
        <v>0</v>
      </c>
      <c r="BI138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8">
        <f ca="1">Table1334567[[#This Row],[charmc]]+Table1334567[[#This Row],[charmp]]</f>
        <v>0</v>
      </c>
      <c r="BL138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8" s="78">
        <f ca="1">Table1334567[[#This Row],[call helper]]+Table1334567[[#This Row],[put helper]]</f>
        <v>0</v>
      </c>
      <c r="BP1388" t="str">
        <f>RTD("tos.rtd", , "STRIKE", "."&amp;Table1334567[[#This Row],[Ticker]]&amp;Table1334567[[#This Row],[Expiry]]&amp;""&amp;"C"&amp;Table1334567[[#This Row],[Spot]]+Table1334567[[#This Row],[step]])</f>
        <v>N/A</v>
      </c>
    </row>
    <row r="1389" spans="1:68" x14ac:dyDescent="0.25">
      <c r="A1389" s="14">
        <f t="shared" ca="1" si="134"/>
        <v>-126.14810350076104</v>
      </c>
      <c r="C1389" s="17"/>
      <c r="D1389" t="str">
        <f>RTD("tos.rtd", , "OPEN_INT", "."&amp;Table1334567[[#This Row],[Ticker]]&amp;Table1334567[[#This Row],[Expiry]]&amp;""&amp;"C"&amp;Table1334567[[#This Row],[Spot]]+Table1334567[[#This Row],[step]])</f>
        <v>N/A</v>
      </c>
      <c r="E138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9" s="17" cm="1">
        <f t="array" aca="1" ref="H1389" ca="1">IndividualLegIVCore($A$4, Table1334567[[#This Row],[Strike]], 0.0411, Table1334567[[#This Row],[T]], ((Table1334567[[#This Row],[BIDC]]+Table1334567[[#This Row],[ASKC]])/2), TRUE)</f>
        <v>0.01</v>
      </c>
      <c r="I138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9" s="17"/>
      <c r="M1389" s="1">
        <f t="shared" si="135"/>
        <v>0</v>
      </c>
      <c r="N1389" t="b">
        <f t="shared" si="136"/>
        <v>0</v>
      </c>
      <c r="P1389" s="17" cm="1">
        <f t="array" aca="1" ref="P1389" ca="1">IndividualLegIVCore($A$4, Table1334567[[#This Row],[Strike]], 0.0411, Table1334567[[#This Row],[T]], ((Table1334567[[#This Row],[BIDP]]+Table1334567[[#This Row],[ASKP]])/2), FALSE)</f>
        <v>0.01</v>
      </c>
      <c r="Q138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9" s="17"/>
      <c r="T138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9" s="19">
        <f>30.5* IF($M$1="NDX", 10, IF(OR($M$1="SPX", $M$1="RUT"), 2, 1))</f>
        <v>61</v>
      </c>
      <c r="Z1389">
        <f ca="1">IFERROR(Table1334567[[#This Row],[call gamma]]*(Table1334567[[#This Row],[Open.Int]])*$A$4^2,0)</f>
        <v>0</v>
      </c>
      <c r="AA1389">
        <f ca="1">IFERROR(((Table1334567[[#This Row],[Open.Int8]])*Table1334567[[#This Row],[Put gamma]])*-1*$A$4^2,0)</f>
        <v>0</v>
      </c>
      <c r="AB1389">
        <f ca="1">(Table1334567[[#This Row],[Call Gex]]+Table1334567[[#This Row],[Put Gex]])</f>
        <v>0</v>
      </c>
      <c r="AC1389">
        <f ca="1">Table1334567[[#This Row],[put delta adj]]+Table1334567[[#This Row],[call delta adj]]</f>
        <v>0</v>
      </c>
      <c r="AD1389">
        <f ca="1">Table1334567[[#This Row],[Put Gex]]*Table1334567[[#This Row],[DeltaP]]*-1</f>
        <v>0</v>
      </c>
      <c r="AE1389">
        <f ca="1">Table1334567[[#This Row],[Call Gex]]*Table1334567[[#This Row],[DeltaC]]</f>
        <v>0</v>
      </c>
      <c r="AF1389">
        <f>IF(Table1334567[[#This Row],[DeltaC]]-ABS(Table1334567[[#This Row],[DeltaP]])="0","0.01",Table1334567[[#This Row],[DeltaC]]-ABS(Table1334567[[#This Row],[DeltaP]]))</f>
        <v>0</v>
      </c>
      <c r="AG138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9" t="e">
        <f ca="1">(EXP(-(AG1389^2)/2)/SQRT(2*PI())*EXP(0*SQRT(Table1334567[[#This Row],[T]]))/$A$4*18%*SQRT(SQRT(Table1334567[[#This Row],[T]])))</f>
        <v>#DIV/0!</v>
      </c>
      <c r="AJ1389" t="e">
        <f ca="1">(EXP(-(AH1389^2)/2)/SQRT(2*PI())*EXP(0*SQRT(Table1334567[[#This Row],[T]]))/$A$4*18%*SQRT(SQRT(Table1334567[[#This Row],[T]])))</f>
        <v>#DIV/0!</v>
      </c>
      <c r="AK1389" t="e">
        <f ca="1">Table1334567[[#This Row],[Call D1]]-Table1334567[[#This Row],[IV Calc C]]*SQRT(Table1334567[[#This Row],[T]])</f>
        <v>#DIV/0!</v>
      </c>
      <c r="AL1389" t="e">
        <f ca="1">Table1334567[[#This Row],[Put D1]]-Table1334567[[#This Row],[IV Calc P]]*SQRT(Table1334567[[#This Row],[T]])</f>
        <v>#DIV/0!</v>
      </c>
      <c r="AM1389" t="e">
        <f ca="1">EXP(-0.5*Table1334567[[#This Row],[Call D1]]^2)/SQRT(2*PI())</f>
        <v>#DIV/0!</v>
      </c>
      <c r="AN1389" t="e">
        <f ca="1">EXP(-0.5*Table1334567[[#This Row],[Put D1]]^2)/SQRT(2*PI())</f>
        <v>#DIV/0!</v>
      </c>
      <c r="AO138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9">
        <f ca="1">((Table1334567[[#This Row],[call vanna]]+Table1334567[[#This Row],[put vanna]])*$A$4)</f>
        <v>0</v>
      </c>
      <c r="AR138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9" s="9" t="str" cm="1">
        <f t="array" ref="AT1389">_xlfn.IFS(     $M$1="SPX","SPXW",     $M$1="RUT","RUTW",  $M$1="NDX","NDXP",   TRUE,$M$1 )</f>
        <v>SPXW</v>
      </c>
      <c r="AU1389" s="2">
        <f t="shared" si="137"/>
        <v>6915</v>
      </c>
      <c r="AV1389" t="str">
        <f t="shared" si="138"/>
        <v>000100</v>
      </c>
      <c r="AY138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9">
        <f>((Table1334567[[#This Row],[High C]]+Table1334567[[#This Row],[Low C]])/2)*Table1334567[[#This Row],[gammac]]*Table1334567[[#This Row],[Volume]]</f>
        <v>0</v>
      </c>
      <c r="BD1389">
        <f>((Table1334567[[#This Row],[High P]]+Table1334567[[#This Row],[Low P]])/2)*Table1334567[[#This Row],[gammap]]*Table1334567[[#This Row],[Volume9]]*-1</f>
        <v>0</v>
      </c>
      <c r="BE1389">
        <f>(Table1334567[[#This Row],[SgammaC]]+Table1334567[[#This Row],[SgammaP]])*$A$4*-100</f>
        <v>0</v>
      </c>
      <c r="BF1389">
        <f>Table1334567[[#This Row],[DEXc]]+Table1334567[[#This Row],[DEXp]]</f>
        <v>0</v>
      </c>
      <c r="BG1389">
        <f>IFERROR(Table1334567[[#This Row],[DeltaC]]*Table1334567[[#This Row],[Open.Int]]*$A$4,0)</f>
        <v>0</v>
      </c>
      <c r="BH1389">
        <f>IFERROR(Table1334567[[#This Row],[DeltaP]]*Table1334567[[#This Row],[Open.Int8]]*$A$4,0)</f>
        <v>0</v>
      </c>
      <c r="BI138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9">
        <f ca="1">Table1334567[[#This Row],[charmc]]+Table1334567[[#This Row],[charmp]]</f>
        <v>0</v>
      </c>
      <c r="BL138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9" s="78">
        <f ca="1">Table1334567[[#This Row],[call helper]]+Table1334567[[#This Row],[put helper]]</f>
        <v>0</v>
      </c>
      <c r="BP1389" t="str">
        <f>RTD("tos.rtd", , "STRIKE", "."&amp;Table1334567[[#This Row],[Ticker]]&amp;Table1334567[[#This Row],[Expiry]]&amp;""&amp;"C"&amp;Table1334567[[#This Row],[Spot]]+Table1334567[[#This Row],[step]])</f>
        <v>N/A</v>
      </c>
    </row>
    <row r="1390" spans="1:68" x14ac:dyDescent="0.25">
      <c r="A1390" s="14">
        <f t="shared" ca="1" si="134"/>
        <v>-126.14810350076104</v>
      </c>
      <c r="C1390" s="17"/>
      <c r="D1390" t="str">
        <f>RTD("tos.rtd", , "OPEN_INT", "."&amp;Table1334567[[#This Row],[Ticker]]&amp;Table1334567[[#This Row],[Expiry]]&amp;""&amp;"C"&amp;Table1334567[[#This Row],[Spot]]+Table1334567[[#This Row],[step]])</f>
        <v>N/A</v>
      </c>
      <c r="E139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0" s="17" cm="1">
        <f t="array" aca="1" ref="H1390" ca="1">IndividualLegIVCore($A$4, Table1334567[[#This Row],[Strike]], 0.0411, Table1334567[[#This Row],[T]], ((Table1334567[[#This Row],[BIDC]]+Table1334567[[#This Row],[ASKC]])/2), TRUE)</f>
        <v>0.01</v>
      </c>
      <c r="I139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0" s="17"/>
      <c r="M1390" s="1">
        <f t="shared" si="135"/>
        <v>0</v>
      </c>
      <c r="N1390" t="b">
        <f t="shared" si="136"/>
        <v>0</v>
      </c>
      <c r="P1390" s="17" cm="1">
        <f t="array" aca="1" ref="P1390" ca="1">IndividualLegIVCore($A$4, Table1334567[[#This Row],[Strike]], 0.0411, Table1334567[[#This Row],[T]], ((Table1334567[[#This Row],[BIDP]]+Table1334567[[#This Row],[ASKP]])/2), FALSE)</f>
        <v>0.01</v>
      </c>
      <c r="Q139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0" s="17"/>
      <c r="T139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0" s="19">
        <f>31* IF($M$1="NDX", 10, IF(OR($M$1="SPX", $M$1="RUT"), 2, 1))</f>
        <v>62</v>
      </c>
      <c r="Z1390">
        <f ca="1">IFERROR(Table1334567[[#This Row],[call gamma]]*(Table1334567[[#This Row],[Open.Int]])*$A$4^2,0)</f>
        <v>0</v>
      </c>
      <c r="AA1390">
        <f ca="1">IFERROR(((Table1334567[[#This Row],[Open.Int8]])*Table1334567[[#This Row],[Put gamma]])*-1*$A$4^2,0)</f>
        <v>0</v>
      </c>
      <c r="AB1390">
        <f ca="1">(Table1334567[[#This Row],[Call Gex]]+Table1334567[[#This Row],[Put Gex]])</f>
        <v>0</v>
      </c>
      <c r="AC1390">
        <f ca="1">Table1334567[[#This Row],[put delta adj]]+Table1334567[[#This Row],[call delta adj]]</f>
        <v>0</v>
      </c>
      <c r="AD1390">
        <f ca="1">Table1334567[[#This Row],[Put Gex]]*Table1334567[[#This Row],[DeltaP]]*-1</f>
        <v>0</v>
      </c>
      <c r="AE1390">
        <f ca="1">Table1334567[[#This Row],[Call Gex]]*Table1334567[[#This Row],[DeltaC]]</f>
        <v>0</v>
      </c>
      <c r="AF1390">
        <f>IF(Table1334567[[#This Row],[DeltaC]]-ABS(Table1334567[[#This Row],[DeltaP]])="0","0.01",Table1334567[[#This Row],[DeltaC]]-ABS(Table1334567[[#This Row],[DeltaP]]))</f>
        <v>0</v>
      </c>
      <c r="AG139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0" t="e">
        <f ca="1">(EXP(-(AG1390^2)/2)/SQRT(2*PI())*EXP(0*SQRT(Table1334567[[#This Row],[T]]))/$A$4*18%*SQRT(SQRT(Table1334567[[#This Row],[T]])))</f>
        <v>#DIV/0!</v>
      </c>
      <c r="AJ1390" t="e">
        <f ca="1">(EXP(-(AH1390^2)/2)/SQRT(2*PI())*EXP(0*SQRT(Table1334567[[#This Row],[T]]))/$A$4*18%*SQRT(SQRT(Table1334567[[#This Row],[T]])))</f>
        <v>#DIV/0!</v>
      </c>
      <c r="AK1390" t="e">
        <f ca="1">Table1334567[[#This Row],[Call D1]]-Table1334567[[#This Row],[IV Calc C]]*SQRT(Table1334567[[#This Row],[T]])</f>
        <v>#DIV/0!</v>
      </c>
      <c r="AL1390" t="e">
        <f ca="1">Table1334567[[#This Row],[Put D1]]-Table1334567[[#This Row],[IV Calc P]]*SQRT(Table1334567[[#This Row],[T]])</f>
        <v>#DIV/0!</v>
      </c>
      <c r="AM1390" t="e">
        <f ca="1">EXP(-0.5*Table1334567[[#This Row],[Call D1]]^2)/SQRT(2*PI())</f>
        <v>#DIV/0!</v>
      </c>
      <c r="AN1390" t="e">
        <f ca="1">EXP(-0.5*Table1334567[[#This Row],[Put D1]]^2)/SQRT(2*PI())</f>
        <v>#DIV/0!</v>
      </c>
      <c r="AO139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0">
        <f ca="1">((Table1334567[[#This Row],[call vanna]]+Table1334567[[#This Row],[put vanna]])*$A$4)</f>
        <v>0</v>
      </c>
      <c r="AR139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0" s="9" t="str" cm="1">
        <f t="array" ref="AT1390">_xlfn.IFS(     $M$1="SPX","SPXW",     $M$1="RUT","RUTW",  $M$1="NDX","NDXP",   TRUE,$M$1 )</f>
        <v>SPXW</v>
      </c>
      <c r="AU1390" s="2">
        <f t="shared" si="137"/>
        <v>6915</v>
      </c>
      <c r="AV1390" t="str">
        <f t="shared" si="138"/>
        <v>000100</v>
      </c>
      <c r="AY139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0">
        <f>((Table1334567[[#This Row],[High C]]+Table1334567[[#This Row],[Low C]])/2)*Table1334567[[#This Row],[gammac]]*Table1334567[[#This Row],[Volume]]</f>
        <v>0</v>
      </c>
      <c r="BD1390">
        <f>((Table1334567[[#This Row],[High P]]+Table1334567[[#This Row],[Low P]])/2)*Table1334567[[#This Row],[gammap]]*Table1334567[[#This Row],[Volume9]]*-1</f>
        <v>0</v>
      </c>
      <c r="BE1390">
        <f>(Table1334567[[#This Row],[SgammaC]]+Table1334567[[#This Row],[SgammaP]])*$A$4*-100</f>
        <v>0</v>
      </c>
      <c r="BF1390">
        <f>Table1334567[[#This Row],[DEXc]]+Table1334567[[#This Row],[DEXp]]</f>
        <v>0</v>
      </c>
      <c r="BG1390">
        <f>IFERROR(Table1334567[[#This Row],[DeltaC]]*Table1334567[[#This Row],[Open.Int]]*$A$4,0)</f>
        <v>0</v>
      </c>
      <c r="BH1390">
        <f>IFERROR(Table1334567[[#This Row],[DeltaP]]*Table1334567[[#This Row],[Open.Int8]]*$A$4,0)</f>
        <v>0</v>
      </c>
      <c r="BI139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0">
        <f ca="1">Table1334567[[#This Row],[charmc]]+Table1334567[[#This Row],[charmp]]</f>
        <v>0</v>
      </c>
      <c r="BL139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0" s="78">
        <f ca="1">Table1334567[[#This Row],[call helper]]+Table1334567[[#This Row],[put helper]]</f>
        <v>0</v>
      </c>
      <c r="BP1390" t="str">
        <f>RTD("tos.rtd", , "STRIKE", "."&amp;Table1334567[[#This Row],[Ticker]]&amp;Table1334567[[#This Row],[Expiry]]&amp;""&amp;"C"&amp;Table1334567[[#This Row],[Spot]]+Table1334567[[#This Row],[step]])</f>
        <v>N/A</v>
      </c>
    </row>
    <row r="1391" spans="1:68" x14ac:dyDescent="0.25">
      <c r="A1391" s="14">
        <f t="shared" ca="1" si="134"/>
        <v>-126.14810350076104</v>
      </c>
      <c r="C1391" s="17"/>
      <c r="D1391" t="str">
        <f>RTD("tos.rtd", , "OPEN_INT", "."&amp;Table1334567[[#This Row],[Ticker]]&amp;Table1334567[[#This Row],[Expiry]]&amp;""&amp;"C"&amp;Table1334567[[#This Row],[Spot]]+Table1334567[[#This Row],[step]])</f>
        <v>N/A</v>
      </c>
      <c r="E139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1" s="17" cm="1">
        <f t="array" aca="1" ref="H1391" ca="1">IndividualLegIVCore($A$4, Table1334567[[#This Row],[Strike]], 0.0411, Table1334567[[#This Row],[T]], ((Table1334567[[#This Row],[BIDC]]+Table1334567[[#This Row],[ASKC]])/2), TRUE)</f>
        <v>0.01</v>
      </c>
      <c r="I139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1" s="17"/>
      <c r="M1391" s="1">
        <f t="shared" si="135"/>
        <v>0</v>
      </c>
      <c r="N1391" t="b">
        <f t="shared" si="136"/>
        <v>0</v>
      </c>
      <c r="P1391" s="17" cm="1">
        <f t="array" aca="1" ref="P1391" ca="1">IndividualLegIVCore($A$4, Table1334567[[#This Row],[Strike]], 0.0411, Table1334567[[#This Row],[T]], ((Table1334567[[#This Row],[BIDP]]+Table1334567[[#This Row],[ASKP]])/2), FALSE)</f>
        <v>0.01</v>
      </c>
      <c r="Q139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1" s="17"/>
      <c r="T139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1" s="19">
        <f>31.5* IF($M$1="NDX", 10, IF(OR($M$1="SPX", $M$1="RUT"), 2, 1))</f>
        <v>63</v>
      </c>
      <c r="Z1391">
        <f ca="1">IFERROR(Table1334567[[#This Row],[call gamma]]*(Table1334567[[#This Row],[Open.Int]])*$A$4^2,0)</f>
        <v>0</v>
      </c>
      <c r="AA1391">
        <f ca="1">IFERROR(((Table1334567[[#This Row],[Open.Int8]])*Table1334567[[#This Row],[Put gamma]])*-1*$A$4^2,0)</f>
        <v>0</v>
      </c>
      <c r="AB1391">
        <f ca="1">(Table1334567[[#This Row],[Call Gex]]+Table1334567[[#This Row],[Put Gex]])</f>
        <v>0</v>
      </c>
      <c r="AC1391">
        <f ca="1">Table1334567[[#This Row],[put delta adj]]+Table1334567[[#This Row],[call delta adj]]</f>
        <v>0</v>
      </c>
      <c r="AD1391">
        <f ca="1">Table1334567[[#This Row],[Put Gex]]*Table1334567[[#This Row],[DeltaP]]*-1</f>
        <v>0</v>
      </c>
      <c r="AE1391">
        <f ca="1">Table1334567[[#This Row],[Call Gex]]*Table1334567[[#This Row],[DeltaC]]</f>
        <v>0</v>
      </c>
      <c r="AF1391">
        <f>IF(Table1334567[[#This Row],[DeltaC]]-ABS(Table1334567[[#This Row],[DeltaP]])="0","0.01",Table1334567[[#This Row],[DeltaC]]-ABS(Table1334567[[#This Row],[DeltaP]]))</f>
        <v>0</v>
      </c>
      <c r="AG139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1" t="e">
        <f ca="1">(EXP(-(AG1391^2)/2)/SQRT(2*PI())*EXP(0*SQRT(Table1334567[[#This Row],[T]]))/$A$4*18%*SQRT(SQRT(Table1334567[[#This Row],[T]])))</f>
        <v>#DIV/0!</v>
      </c>
      <c r="AJ1391" t="e">
        <f ca="1">(EXP(-(AH1391^2)/2)/SQRT(2*PI())*EXP(0*SQRT(Table1334567[[#This Row],[T]]))/$A$4*18%*SQRT(SQRT(Table1334567[[#This Row],[T]])))</f>
        <v>#DIV/0!</v>
      </c>
      <c r="AK1391" t="e">
        <f ca="1">Table1334567[[#This Row],[Call D1]]-Table1334567[[#This Row],[IV Calc C]]*SQRT(Table1334567[[#This Row],[T]])</f>
        <v>#DIV/0!</v>
      </c>
      <c r="AL1391" t="e">
        <f ca="1">Table1334567[[#This Row],[Put D1]]-Table1334567[[#This Row],[IV Calc P]]*SQRT(Table1334567[[#This Row],[T]])</f>
        <v>#DIV/0!</v>
      </c>
      <c r="AM1391" t="e">
        <f ca="1">EXP(-0.5*Table1334567[[#This Row],[Call D1]]^2)/SQRT(2*PI())</f>
        <v>#DIV/0!</v>
      </c>
      <c r="AN1391" t="e">
        <f ca="1">EXP(-0.5*Table1334567[[#This Row],[Put D1]]^2)/SQRT(2*PI())</f>
        <v>#DIV/0!</v>
      </c>
      <c r="AO139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1">
        <f ca="1">((Table1334567[[#This Row],[call vanna]]+Table1334567[[#This Row],[put vanna]])*$A$4)</f>
        <v>0</v>
      </c>
      <c r="AR139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1" s="9" t="str" cm="1">
        <f t="array" ref="AT1391">_xlfn.IFS(     $M$1="SPX","SPXW",     $M$1="RUT","RUTW",  $M$1="NDX","NDXP",   TRUE,$M$1 )</f>
        <v>SPXW</v>
      </c>
      <c r="AU1391" s="2">
        <f t="shared" si="137"/>
        <v>6915</v>
      </c>
      <c r="AV1391" t="str">
        <f t="shared" si="138"/>
        <v>000100</v>
      </c>
      <c r="AY139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1">
        <f>((Table1334567[[#This Row],[High C]]+Table1334567[[#This Row],[Low C]])/2)*Table1334567[[#This Row],[gammac]]*Table1334567[[#This Row],[Volume]]</f>
        <v>0</v>
      </c>
      <c r="BD1391">
        <f>((Table1334567[[#This Row],[High P]]+Table1334567[[#This Row],[Low P]])/2)*Table1334567[[#This Row],[gammap]]*Table1334567[[#This Row],[Volume9]]*-1</f>
        <v>0</v>
      </c>
      <c r="BE1391">
        <f>(Table1334567[[#This Row],[SgammaC]]+Table1334567[[#This Row],[SgammaP]])*$A$4*-100</f>
        <v>0</v>
      </c>
      <c r="BF1391">
        <f>Table1334567[[#This Row],[DEXc]]+Table1334567[[#This Row],[DEXp]]</f>
        <v>0</v>
      </c>
      <c r="BG1391">
        <f>IFERROR(Table1334567[[#This Row],[DeltaC]]*Table1334567[[#This Row],[Open.Int]]*$A$4,0)</f>
        <v>0</v>
      </c>
      <c r="BH1391">
        <f>IFERROR(Table1334567[[#This Row],[DeltaP]]*Table1334567[[#This Row],[Open.Int8]]*$A$4,0)</f>
        <v>0</v>
      </c>
      <c r="BI139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1">
        <f ca="1">Table1334567[[#This Row],[charmc]]+Table1334567[[#This Row],[charmp]]</f>
        <v>0</v>
      </c>
      <c r="BL139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1" s="78">
        <f ca="1">Table1334567[[#This Row],[call helper]]+Table1334567[[#This Row],[put helper]]</f>
        <v>0</v>
      </c>
      <c r="BP1391" t="str">
        <f>RTD("tos.rtd", , "STRIKE", "."&amp;Table1334567[[#This Row],[Ticker]]&amp;Table1334567[[#This Row],[Expiry]]&amp;""&amp;"C"&amp;Table1334567[[#This Row],[Spot]]+Table1334567[[#This Row],[step]])</f>
        <v>N/A</v>
      </c>
    </row>
    <row r="1392" spans="1:68" x14ac:dyDescent="0.25">
      <c r="A1392" s="14">
        <f t="shared" ca="1" si="134"/>
        <v>-126.14810350076104</v>
      </c>
      <c r="C1392" s="17"/>
      <c r="D1392" t="str">
        <f>RTD("tos.rtd", , "OPEN_INT", "."&amp;Table1334567[[#This Row],[Ticker]]&amp;Table1334567[[#This Row],[Expiry]]&amp;""&amp;"C"&amp;Table1334567[[#This Row],[Spot]]+Table1334567[[#This Row],[step]])</f>
        <v>N/A</v>
      </c>
      <c r="E139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2" s="17" cm="1">
        <f t="array" aca="1" ref="H1392" ca="1">IndividualLegIVCore($A$4, Table1334567[[#This Row],[Strike]], 0.0411, Table1334567[[#This Row],[T]], ((Table1334567[[#This Row],[BIDC]]+Table1334567[[#This Row],[ASKC]])/2), TRUE)</f>
        <v>0.01</v>
      </c>
      <c r="I139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2" s="17"/>
      <c r="M1392" s="1">
        <f t="shared" si="135"/>
        <v>0</v>
      </c>
      <c r="N1392" t="b">
        <f t="shared" si="136"/>
        <v>0</v>
      </c>
      <c r="P1392" s="17" cm="1">
        <f t="array" aca="1" ref="P1392" ca="1">IndividualLegIVCore($A$4, Table1334567[[#This Row],[Strike]], 0.0411, Table1334567[[#This Row],[T]], ((Table1334567[[#This Row],[BIDP]]+Table1334567[[#This Row],[ASKP]])/2), FALSE)</f>
        <v>0.01</v>
      </c>
      <c r="Q139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2" s="17"/>
      <c r="T139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2" s="19">
        <f>32* IF($M$1="NDX", 10, IF(OR($M$1="SPX", $M$1="RUT"), 2, 1))</f>
        <v>64</v>
      </c>
      <c r="Z1392">
        <f ca="1">IFERROR(Table1334567[[#This Row],[call gamma]]*(Table1334567[[#This Row],[Open.Int]])*$A$4^2,0)</f>
        <v>0</v>
      </c>
      <c r="AA1392">
        <f ca="1">IFERROR(((Table1334567[[#This Row],[Open.Int8]])*Table1334567[[#This Row],[Put gamma]])*-1*$A$4^2,0)</f>
        <v>0</v>
      </c>
      <c r="AB1392">
        <f ca="1">(Table1334567[[#This Row],[Call Gex]]+Table1334567[[#This Row],[Put Gex]])</f>
        <v>0</v>
      </c>
      <c r="AC1392">
        <f ca="1">Table1334567[[#This Row],[put delta adj]]+Table1334567[[#This Row],[call delta adj]]</f>
        <v>0</v>
      </c>
      <c r="AD1392">
        <f ca="1">Table1334567[[#This Row],[Put Gex]]*Table1334567[[#This Row],[DeltaP]]*-1</f>
        <v>0</v>
      </c>
      <c r="AE1392">
        <f ca="1">Table1334567[[#This Row],[Call Gex]]*Table1334567[[#This Row],[DeltaC]]</f>
        <v>0</v>
      </c>
      <c r="AF1392">
        <f>IF(Table1334567[[#This Row],[DeltaC]]-ABS(Table1334567[[#This Row],[DeltaP]])="0","0.01",Table1334567[[#This Row],[DeltaC]]-ABS(Table1334567[[#This Row],[DeltaP]]))</f>
        <v>0</v>
      </c>
      <c r="AG139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2" t="e">
        <f ca="1">(EXP(-(AG1392^2)/2)/SQRT(2*PI())*EXP(0*SQRT(Table1334567[[#This Row],[T]]))/$A$4*18%*SQRT(SQRT(Table1334567[[#This Row],[T]])))</f>
        <v>#DIV/0!</v>
      </c>
      <c r="AJ1392" t="e">
        <f ca="1">(EXP(-(AH1392^2)/2)/SQRT(2*PI())*EXP(0*SQRT(Table1334567[[#This Row],[T]]))/$A$4*18%*SQRT(SQRT(Table1334567[[#This Row],[T]])))</f>
        <v>#DIV/0!</v>
      </c>
      <c r="AK1392" t="e">
        <f ca="1">Table1334567[[#This Row],[Call D1]]-Table1334567[[#This Row],[IV Calc C]]*SQRT(Table1334567[[#This Row],[T]])</f>
        <v>#DIV/0!</v>
      </c>
      <c r="AL1392" t="e">
        <f ca="1">Table1334567[[#This Row],[Put D1]]-Table1334567[[#This Row],[IV Calc P]]*SQRT(Table1334567[[#This Row],[T]])</f>
        <v>#DIV/0!</v>
      </c>
      <c r="AM1392" t="e">
        <f ca="1">EXP(-0.5*Table1334567[[#This Row],[Call D1]]^2)/SQRT(2*PI())</f>
        <v>#DIV/0!</v>
      </c>
      <c r="AN1392" t="e">
        <f ca="1">EXP(-0.5*Table1334567[[#This Row],[Put D1]]^2)/SQRT(2*PI())</f>
        <v>#DIV/0!</v>
      </c>
      <c r="AO139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2">
        <f ca="1">((Table1334567[[#This Row],[call vanna]]+Table1334567[[#This Row],[put vanna]])*$A$4)</f>
        <v>0</v>
      </c>
      <c r="AR139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2" s="9" t="str" cm="1">
        <f t="array" ref="AT1392">_xlfn.IFS(     $M$1="SPX","SPXW",     $M$1="RUT","RUTW",  $M$1="NDX","NDXP",   TRUE,$M$1 )</f>
        <v>SPXW</v>
      </c>
      <c r="AU1392" s="2">
        <f t="shared" si="137"/>
        <v>6915</v>
      </c>
      <c r="AV1392" t="str">
        <f t="shared" si="138"/>
        <v>000100</v>
      </c>
      <c r="AY139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2">
        <f>((Table1334567[[#This Row],[High C]]+Table1334567[[#This Row],[Low C]])/2)*Table1334567[[#This Row],[gammac]]*Table1334567[[#This Row],[Volume]]</f>
        <v>0</v>
      </c>
      <c r="BD1392">
        <f>((Table1334567[[#This Row],[High P]]+Table1334567[[#This Row],[Low P]])/2)*Table1334567[[#This Row],[gammap]]*Table1334567[[#This Row],[Volume9]]*-1</f>
        <v>0</v>
      </c>
      <c r="BE1392">
        <f>(Table1334567[[#This Row],[SgammaC]]+Table1334567[[#This Row],[SgammaP]])*$A$4*-100</f>
        <v>0</v>
      </c>
      <c r="BF1392">
        <f>Table1334567[[#This Row],[DEXc]]+Table1334567[[#This Row],[DEXp]]</f>
        <v>0</v>
      </c>
      <c r="BG1392">
        <f>IFERROR(Table1334567[[#This Row],[DeltaC]]*Table1334567[[#This Row],[Open.Int]]*$A$4,0)</f>
        <v>0</v>
      </c>
      <c r="BH1392">
        <f>IFERROR(Table1334567[[#This Row],[DeltaP]]*Table1334567[[#This Row],[Open.Int8]]*$A$4,0)</f>
        <v>0</v>
      </c>
      <c r="BI139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2">
        <f ca="1">Table1334567[[#This Row],[charmc]]+Table1334567[[#This Row],[charmp]]</f>
        <v>0</v>
      </c>
      <c r="BL139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2" s="78">
        <f ca="1">Table1334567[[#This Row],[call helper]]+Table1334567[[#This Row],[put helper]]</f>
        <v>0</v>
      </c>
      <c r="BP1392" t="str">
        <f>RTD("tos.rtd", , "STRIKE", "."&amp;Table1334567[[#This Row],[Ticker]]&amp;Table1334567[[#This Row],[Expiry]]&amp;""&amp;"C"&amp;Table1334567[[#This Row],[Spot]]+Table1334567[[#This Row],[step]])</f>
        <v>N/A</v>
      </c>
    </row>
    <row r="1393" spans="1:68" x14ac:dyDescent="0.25">
      <c r="A1393" s="14">
        <f t="shared" ca="1" si="134"/>
        <v>-126.14810350076104</v>
      </c>
      <c r="C1393" s="17"/>
      <c r="D1393" t="str">
        <f>RTD("tos.rtd", , "OPEN_INT", "."&amp;Table1334567[[#This Row],[Ticker]]&amp;Table1334567[[#This Row],[Expiry]]&amp;""&amp;"C"&amp;Table1334567[[#This Row],[Spot]]+Table1334567[[#This Row],[step]])</f>
        <v>N/A</v>
      </c>
      <c r="E139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3" s="17" cm="1">
        <f t="array" aca="1" ref="H1393" ca="1">IndividualLegIVCore($A$4, Table1334567[[#This Row],[Strike]], 0.0411, Table1334567[[#This Row],[T]], ((Table1334567[[#This Row],[BIDC]]+Table1334567[[#This Row],[ASKC]])/2), TRUE)</f>
        <v>0.01</v>
      </c>
      <c r="I139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3" s="17"/>
      <c r="M1393" s="1">
        <f t="shared" si="135"/>
        <v>0</v>
      </c>
      <c r="N1393" t="b">
        <f t="shared" si="136"/>
        <v>0</v>
      </c>
      <c r="P1393" s="17" cm="1">
        <f t="array" aca="1" ref="P1393" ca="1">IndividualLegIVCore($A$4, Table1334567[[#This Row],[Strike]], 0.0411, Table1334567[[#This Row],[T]], ((Table1334567[[#This Row],[BIDP]]+Table1334567[[#This Row],[ASKP]])/2), FALSE)</f>
        <v>0.01</v>
      </c>
      <c r="Q139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3" s="17"/>
      <c r="T139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3" s="19">
        <f>32.5* IF($M$1="NDX", 10, IF(OR($M$1="SPX", $M$1="RUT"), 2, 1))</f>
        <v>65</v>
      </c>
      <c r="Z1393">
        <f ca="1">IFERROR(Table1334567[[#This Row],[call gamma]]*(Table1334567[[#This Row],[Open.Int]])*$A$4^2,0)</f>
        <v>0</v>
      </c>
      <c r="AA1393">
        <f ca="1">IFERROR(((Table1334567[[#This Row],[Open.Int8]])*Table1334567[[#This Row],[Put gamma]])*-1*$A$4^2,0)</f>
        <v>0</v>
      </c>
      <c r="AB1393">
        <f ca="1">(Table1334567[[#This Row],[Call Gex]]+Table1334567[[#This Row],[Put Gex]])</f>
        <v>0</v>
      </c>
      <c r="AC1393">
        <f ca="1">Table1334567[[#This Row],[put delta adj]]+Table1334567[[#This Row],[call delta adj]]</f>
        <v>0</v>
      </c>
      <c r="AD1393">
        <f ca="1">Table1334567[[#This Row],[Put Gex]]*Table1334567[[#This Row],[DeltaP]]*-1</f>
        <v>0</v>
      </c>
      <c r="AE1393">
        <f ca="1">Table1334567[[#This Row],[Call Gex]]*Table1334567[[#This Row],[DeltaC]]</f>
        <v>0</v>
      </c>
      <c r="AF1393">
        <f>IF(Table1334567[[#This Row],[DeltaC]]-ABS(Table1334567[[#This Row],[DeltaP]])="0","0.01",Table1334567[[#This Row],[DeltaC]]-ABS(Table1334567[[#This Row],[DeltaP]]))</f>
        <v>0</v>
      </c>
      <c r="AG139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3" t="e">
        <f ca="1">(EXP(-(AG1393^2)/2)/SQRT(2*PI())*EXP(0*SQRT(Table1334567[[#This Row],[T]]))/$A$4*18%*SQRT(SQRT(Table1334567[[#This Row],[T]])))</f>
        <v>#DIV/0!</v>
      </c>
      <c r="AJ1393" t="e">
        <f ca="1">(EXP(-(AH1393^2)/2)/SQRT(2*PI())*EXP(0*SQRT(Table1334567[[#This Row],[T]]))/$A$4*18%*SQRT(SQRT(Table1334567[[#This Row],[T]])))</f>
        <v>#DIV/0!</v>
      </c>
      <c r="AK1393" t="e">
        <f ca="1">Table1334567[[#This Row],[Call D1]]-Table1334567[[#This Row],[IV Calc C]]*SQRT(Table1334567[[#This Row],[T]])</f>
        <v>#DIV/0!</v>
      </c>
      <c r="AL1393" t="e">
        <f ca="1">Table1334567[[#This Row],[Put D1]]-Table1334567[[#This Row],[IV Calc P]]*SQRT(Table1334567[[#This Row],[T]])</f>
        <v>#DIV/0!</v>
      </c>
      <c r="AM1393" t="e">
        <f ca="1">EXP(-0.5*Table1334567[[#This Row],[Call D1]]^2)/SQRT(2*PI())</f>
        <v>#DIV/0!</v>
      </c>
      <c r="AN1393" t="e">
        <f ca="1">EXP(-0.5*Table1334567[[#This Row],[Put D1]]^2)/SQRT(2*PI())</f>
        <v>#DIV/0!</v>
      </c>
      <c r="AO139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3">
        <f ca="1">((Table1334567[[#This Row],[call vanna]]+Table1334567[[#This Row],[put vanna]])*$A$4)</f>
        <v>0</v>
      </c>
      <c r="AR139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3" s="9" t="str" cm="1">
        <f t="array" ref="AT1393">_xlfn.IFS(     $M$1="SPX","SPXW",     $M$1="RUT","RUTW",  $M$1="NDX","NDXP",   TRUE,$M$1 )</f>
        <v>SPXW</v>
      </c>
      <c r="AU1393" s="2">
        <f t="shared" si="137"/>
        <v>6915</v>
      </c>
      <c r="AV1393" t="str">
        <f t="shared" si="138"/>
        <v>000100</v>
      </c>
      <c r="AY139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3">
        <f>((Table1334567[[#This Row],[High C]]+Table1334567[[#This Row],[Low C]])/2)*Table1334567[[#This Row],[gammac]]*Table1334567[[#This Row],[Volume]]</f>
        <v>0</v>
      </c>
      <c r="BD1393">
        <f>((Table1334567[[#This Row],[High P]]+Table1334567[[#This Row],[Low P]])/2)*Table1334567[[#This Row],[gammap]]*Table1334567[[#This Row],[Volume9]]*-1</f>
        <v>0</v>
      </c>
      <c r="BE1393">
        <f>(Table1334567[[#This Row],[SgammaC]]+Table1334567[[#This Row],[SgammaP]])*$A$4*-100</f>
        <v>0</v>
      </c>
      <c r="BF1393">
        <f>Table1334567[[#This Row],[DEXc]]+Table1334567[[#This Row],[DEXp]]</f>
        <v>0</v>
      </c>
      <c r="BG1393">
        <f>IFERROR(Table1334567[[#This Row],[DeltaC]]*Table1334567[[#This Row],[Open.Int]]*$A$4,0)</f>
        <v>0</v>
      </c>
      <c r="BH1393">
        <f>IFERROR(Table1334567[[#This Row],[DeltaP]]*Table1334567[[#This Row],[Open.Int8]]*$A$4,0)</f>
        <v>0</v>
      </c>
      <c r="BI139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3">
        <f ca="1">Table1334567[[#This Row],[charmc]]+Table1334567[[#This Row],[charmp]]</f>
        <v>0</v>
      </c>
      <c r="BL139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3" s="78">
        <f ca="1">Table1334567[[#This Row],[call helper]]+Table1334567[[#This Row],[put helper]]</f>
        <v>0</v>
      </c>
      <c r="BP1393" t="str">
        <f>RTD("tos.rtd", , "STRIKE", "."&amp;Table1334567[[#This Row],[Ticker]]&amp;Table1334567[[#This Row],[Expiry]]&amp;""&amp;"C"&amp;Table1334567[[#This Row],[Spot]]+Table1334567[[#This Row],[step]])</f>
        <v>N/A</v>
      </c>
    </row>
    <row r="1394" spans="1:68" x14ac:dyDescent="0.25">
      <c r="A1394" s="14">
        <f t="shared" ca="1" si="134"/>
        <v>-126.14810350076104</v>
      </c>
      <c r="C1394" s="17"/>
      <c r="D1394" t="str">
        <f>RTD("tos.rtd", , "OPEN_INT", "."&amp;Table1334567[[#This Row],[Ticker]]&amp;Table1334567[[#This Row],[Expiry]]&amp;""&amp;"C"&amp;Table1334567[[#This Row],[Spot]]+Table1334567[[#This Row],[step]])</f>
        <v>N/A</v>
      </c>
      <c r="E139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4" s="17" cm="1">
        <f t="array" aca="1" ref="H1394" ca="1">IndividualLegIVCore($A$4, Table1334567[[#This Row],[Strike]], 0.0411, Table1334567[[#This Row],[T]], ((Table1334567[[#This Row],[BIDC]]+Table1334567[[#This Row],[ASKC]])/2), TRUE)</f>
        <v>0.01</v>
      </c>
      <c r="I139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4" s="17"/>
      <c r="M1394" s="1">
        <f t="shared" si="135"/>
        <v>0</v>
      </c>
      <c r="N1394" t="b">
        <f t="shared" si="136"/>
        <v>0</v>
      </c>
      <c r="P1394" s="17" cm="1">
        <f t="array" aca="1" ref="P1394" ca="1">IndividualLegIVCore($A$4, Table1334567[[#This Row],[Strike]], 0.0411, Table1334567[[#This Row],[T]], ((Table1334567[[#This Row],[BIDP]]+Table1334567[[#This Row],[ASKP]])/2), FALSE)</f>
        <v>0.01</v>
      </c>
      <c r="Q139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4" s="17"/>
      <c r="T139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4" s="19">
        <f>33* IF($M$1="NDX", 10, IF(OR($M$1="SPX", $M$1="RUT"), 2, 1))</f>
        <v>66</v>
      </c>
      <c r="Z1394">
        <f ca="1">IFERROR(Table1334567[[#This Row],[call gamma]]*(Table1334567[[#This Row],[Open.Int]])*$A$4^2,0)</f>
        <v>0</v>
      </c>
      <c r="AA1394">
        <f ca="1">IFERROR(((Table1334567[[#This Row],[Open.Int8]])*Table1334567[[#This Row],[Put gamma]])*-1*$A$4^2,0)</f>
        <v>0</v>
      </c>
      <c r="AB1394">
        <f ca="1">(Table1334567[[#This Row],[Call Gex]]+Table1334567[[#This Row],[Put Gex]])</f>
        <v>0</v>
      </c>
      <c r="AC1394">
        <f ca="1">Table1334567[[#This Row],[put delta adj]]+Table1334567[[#This Row],[call delta adj]]</f>
        <v>0</v>
      </c>
      <c r="AD1394">
        <f ca="1">Table1334567[[#This Row],[Put Gex]]*Table1334567[[#This Row],[DeltaP]]*-1</f>
        <v>0</v>
      </c>
      <c r="AE1394">
        <f ca="1">Table1334567[[#This Row],[Call Gex]]*Table1334567[[#This Row],[DeltaC]]</f>
        <v>0</v>
      </c>
      <c r="AF1394">
        <f>IF(Table1334567[[#This Row],[DeltaC]]-ABS(Table1334567[[#This Row],[DeltaP]])="0","0.01",Table1334567[[#This Row],[DeltaC]]-ABS(Table1334567[[#This Row],[DeltaP]]))</f>
        <v>0</v>
      </c>
      <c r="AG139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4" t="e">
        <f ca="1">(EXP(-(AG1394^2)/2)/SQRT(2*PI())*EXP(0*SQRT(Table1334567[[#This Row],[T]]))/$A$4*18%*SQRT(SQRT(Table1334567[[#This Row],[T]])))</f>
        <v>#DIV/0!</v>
      </c>
      <c r="AJ1394" t="e">
        <f ca="1">(EXP(-(AH1394^2)/2)/SQRT(2*PI())*EXP(0*SQRT(Table1334567[[#This Row],[T]]))/$A$4*18%*SQRT(SQRT(Table1334567[[#This Row],[T]])))</f>
        <v>#DIV/0!</v>
      </c>
      <c r="AK1394" t="e">
        <f ca="1">Table1334567[[#This Row],[Call D1]]-Table1334567[[#This Row],[IV Calc C]]*SQRT(Table1334567[[#This Row],[T]])</f>
        <v>#DIV/0!</v>
      </c>
      <c r="AL1394" t="e">
        <f ca="1">Table1334567[[#This Row],[Put D1]]-Table1334567[[#This Row],[IV Calc P]]*SQRT(Table1334567[[#This Row],[T]])</f>
        <v>#DIV/0!</v>
      </c>
      <c r="AM1394" t="e">
        <f ca="1">EXP(-0.5*Table1334567[[#This Row],[Call D1]]^2)/SQRT(2*PI())</f>
        <v>#DIV/0!</v>
      </c>
      <c r="AN1394" t="e">
        <f ca="1">EXP(-0.5*Table1334567[[#This Row],[Put D1]]^2)/SQRT(2*PI())</f>
        <v>#DIV/0!</v>
      </c>
      <c r="AO139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4">
        <f ca="1">((Table1334567[[#This Row],[call vanna]]+Table1334567[[#This Row],[put vanna]])*$A$4)</f>
        <v>0</v>
      </c>
      <c r="AR139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4" s="9" t="str" cm="1">
        <f t="array" ref="AT1394">_xlfn.IFS(     $M$1="SPX","SPXW",     $M$1="RUT","RUTW",  $M$1="NDX","NDXP",   TRUE,$M$1 )</f>
        <v>SPXW</v>
      </c>
      <c r="AU1394" s="2">
        <f t="shared" si="137"/>
        <v>6915</v>
      </c>
      <c r="AV1394" t="str">
        <f t="shared" si="138"/>
        <v>000100</v>
      </c>
      <c r="AY139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4">
        <f>((Table1334567[[#This Row],[High C]]+Table1334567[[#This Row],[Low C]])/2)*Table1334567[[#This Row],[gammac]]*Table1334567[[#This Row],[Volume]]</f>
        <v>0</v>
      </c>
      <c r="BD1394">
        <f>((Table1334567[[#This Row],[High P]]+Table1334567[[#This Row],[Low P]])/2)*Table1334567[[#This Row],[gammap]]*Table1334567[[#This Row],[Volume9]]*-1</f>
        <v>0</v>
      </c>
      <c r="BE1394">
        <f>(Table1334567[[#This Row],[SgammaC]]+Table1334567[[#This Row],[SgammaP]])*$A$4*-100</f>
        <v>0</v>
      </c>
      <c r="BF1394">
        <f>Table1334567[[#This Row],[DEXc]]+Table1334567[[#This Row],[DEXp]]</f>
        <v>0</v>
      </c>
      <c r="BG1394">
        <f>IFERROR(Table1334567[[#This Row],[DeltaC]]*Table1334567[[#This Row],[Open.Int]]*$A$4,0)</f>
        <v>0</v>
      </c>
      <c r="BH1394">
        <f>IFERROR(Table1334567[[#This Row],[DeltaP]]*Table1334567[[#This Row],[Open.Int8]]*$A$4,0)</f>
        <v>0</v>
      </c>
      <c r="BI139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4">
        <f ca="1">Table1334567[[#This Row],[charmc]]+Table1334567[[#This Row],[charmp]]</f>
        <v>0</v>
      </c>
      <c r="BL139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4" s="78">
        <f ca="1">Table1334567[[#This Row],[call helper]]+Table1334567[[#This Row],[put helper]]</f>
        <v>0</v>
      </c>
      <c r="BP1394" t="str">
        <f>RTD("tos.rtd", , "STRIKE", "."&amp;Table1334567[[#This Row],[Ticker]]&amp;Table1334567[[#This Row],[Expiry]]&amp;""&amp;"C"&amp;Table1334567[[#This Row],[Spot]]+Table1334567[[#This Row],[step]])</f>
        <v>N/A</v>
      </c>
    </row>
    <row r="1395" spans="1:68" x14ac:dyDescent="0.25">
      <c r="A1395" s="14">
        <f t="shared" ca="1" si="134"/>
        <v>-126.14810350076104</v>
      </c>
      <c r="C1395" s="17"/>
      <c r="D1395" t="str">
        <f>RTD("tos.rtd", , "OPEN_INT", "."&amp;Table1334567[[#This Row],[Ticker]]&amp;Table1334567[[#This Row],[Expiry]]&amp;""&amp;"C"&amp;Table1334567[[#This Row],[Spot]]+Table1334567[[#This Row],[step]])</f>
        <v>N/A</v>
      </c>
      <c r="E139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5" s="17" cm="1">
        <f t="array" aca="1" ref="H1395" ca="1">IndividualLegIVCore($A$4, Table1334567[[#This Row],[Strike]], 0.0411, Table1334567[[#This Row],[T]], ((Table1334567[[#This Row],[BIDC]]+Table1334567[[#This Row],[ASKC]])/2), TRUE)</f>
        <v>0.01</v>
      </c>
      <c r="I139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5" s="17"/>
      <c r="M1395" s="1">
        <f t="shared" si="135"/>
        <v>0</v>
      </c>
      <c r="N1395" t="b">
        <f t="shared" si="136"/>
        <v>0</v>
      </c>
      <c r="P1395" s="17" cm="1">
        <f t="array" aca="1" ref="P1395" ca="1">IndividualLegIVCore($A$4, Table1334567[[#This Row],[Strike]], 0.0411, Table1334567[[#This Row],[T]], ((Table1334567[[#This Row],[BIDP]]+Table1334567[[#This Row],[ASKP]])/2), FALSE)</f>
        <v>0.01</v>
      </c>
      <c r="Q139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5" s="17"/>
      <c r="T139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5" s="19">
        <f>33.5* IF($M$1="NDX", 10, IF(OR($M$1="SPX", $M$1="RUT"), 2, 1))</f>
        <v>67</v>
      </c>
      <c r="Z1395">
        <f ca="1">IFERROR(Table1334567[[#This Row],[call gamma]]*(Table1334567[[#This Row],[Open.Int]])*$A$4^2,0)</f>
        <v>0</v>
      </c>
      <c r="AA1395">
        <f ca="1">IFERROR(((Table1334567[[#This Row],[Open.Int8]])*Table1334567[[#This Row],[Put gamma]])*-1*$A$4^2,0)</f>
        <v>0</v>
      </c>
      <c r="AB1395">
        <f ca="1">(Table1334567[[#This Row],[Call Gex]]+Table1334567[[#This Row],[Put Gex]])</f>
        <v>0</v>
      </c>
      <c r="AC1395">
        <f ca="1">Table1334567[[#This Row],[put delta adj]]+Table1334567[[#This Row],[call delta adj]]</f>
        <v>0</v>
      </c>
      <c r="AD1395">
        <f ca="1">Table1334567[[#This Row],[Put Gex]]*Table1334567[[#This Row],[DeltaP]]*-1</f>
        <v>0</v>
      </c>
      <c r="AE1395">
        <f ca="1">Table1334567[[#This Row],[Call Gex]]*Table1334567[[#This Row],[DeltaC]]</f>
        <v>0</v>
      </c>
      <c r="AF1395">
        <f>IF(Table1334567[[#This Row],[DeltaC]]-ABS(Table1334567[[#This Row],[DeltaP]])="0","0.01",Table1334567[[#This Row],[DeltaC]]-ABS(Table1334567[[#This Row],[DeltaP]]))</f>
        <v>0</v>
      </c>
      <c r="AG139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5" t="e">
        <f ca="1">(EXP(-(AG1395^2)/2)/SQRT(2*PI())*EXP(0*SQRT(Table1334567[[#This Row],[T]]))/$A$4*18%*SQRT(SQRT(Table1334567[[#This Row],[T]])))</f>
        <v>#DIV/0!</v>
      </c>
      <c r="AJ1395" t="e">
        <f ca="1">(EXP(-(AH1395^2)/2)/SQRT(2*PI())*EXP(0*SQRT(Table1334567[[#This Row],[T]]))/$A$4*18%*SQRT(SQRT(Table1334567[[#This Row],[T]])))</f>
        <v>#DIV/0!</v>
      </c>
      <c r="AK1395" t="e">
        <f ca="1">Table1334567[[#This Row],[Call D1]]-Table1334567[[#This Row],[IV Calc C]]*SQRT(Table1334567[[#This Row],[T]])</f>
        <v>#DIV/0!</v>
      </c>
      <c r="AL1395" t="e">
        <f ca="1">Table1334567[[#This Row],[Put D1]]-Table1334567[[#This Row],[IV Calc P]]*SQRT(Table1334567[[#This Row],[T]])</f>
        <v>#DIV/0!</v>
      </c>
      <c r="AM1395" t="e">
        <f ca="1">EXP(-0.5*Table1334567[[#This Row],[Call D1]]^2)/SQRT(2*PI())</f>
        <v>#DIV/0!</v>
      </c>
      <c r="AN1395" t="e">
        <f ca="1">EXP(-0.5*Table1334567[[#This Row],[Put D1]]^2)/SQRT(2*PI())</f>
        <v>#DIV/0!</v>
      </c>
      <c r="AO139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5">
        <f ca="1">((Table1334567[[#This Row],[call vanna]]+Table1334567[[#This Row],[put vanna]])*$A$4)</f>
        <v>0</v>
      </c>
      <c r="AR139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5" s="9" t="str" cm="1">
        <f t="array" ref="AT1395">_xlfn.IFS(     $M$1="SPX","SPXW",     $M$1="RUT","RUTW",  $M$1="NDX","NDXP",   TRUE,$M$1 )</f>
        <v>SPXW</v>
      </c>
      <c r="AU1395" s="2">
        <f t="shared" si="137"/>
        <v>6915</v>
      </c>
      <c r="AV1395" t="str">
        <f t="shared" si="138"/>
        <v>000100</v>
      </c>
      <c r="AY139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5">
        <f>((Table1334567[[#This Row],[High C]]+Table1334567[[#This Row],[Low C]])/2)*Table1334567[[#This Row],[gammac]]*Table1334567[[#This Row],[Volume]]</f>
        <v>0</v>
      </c>
      <c r="BD1395">
        <f>((Table1334567[[#This Row],[High P]]+Table1334567[[#This Row],[Low P]])/2)*Table1334567[[#This Row],[gammap]]*Table1334567[[#This Row],[Volume9]]*-1</f>
        <v>0</v>
      </c>
      <c r="BE1395">
        <f>(Table1334567[[#This Row],[SgammaC]]+Table1334567[[#This Row],[SgammaP]])*$A$4*-100</f>
        <v>0</v>
      </c>
      <c r="BF1395">
        <f>Table1334567[[#This Row],[DEXc]]+Table1334567[[#This Row],[DEXp]]</f>
        <v>0</v>
      </c>
      <c r="BG1395">
        <f>IFERROR(Table1334567[[#This Row],[DeltaC]]*Table1334567[[#This Row],[Open.Int]]*$A$4,0)</f>
        <v>0</v>
      </c>
      <c r="BH1395">
        <f>IFERROR(Table1334567[[#This Row],[DeltaP]]*Table1334567[[#This Row],[Open.Int8]]*$A$4,0)</f>
        <v>0</v>
      </c>
      <c r="BI139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5">
        <f ca="1">Table1334567[[#This Row],[charmc]]+Table1334567[[#This Row],[charmp]]</f>
        <v>0</v>
      </c>
      <c r="BL139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5" s="78">
        <f ca="1">Table1334567[[#This Row],[call helper]]+Table1334567[[#This Row],[put helper]]</f>
        <v>0</v>
      </c>
      <c r="BP1395" t="str">
        <f>RTD("tos.rtd", , "STRIKE", "."&amp;Table1334567[[#This Row],[Ticker]]&amp;Table1334567[[#This Row],[Expiry]]&amp;""&amp;"C"&amp;Table1334567[[#This Row],[Spot]]+Table1334567[[#This Row],[step]])</f>
        <v>N/A</v>
      </c>
    </row>
    <row r="1396" spans="1:68" x14ac:dyDescent="0.25">
      <c r="A1396" s="14">
        <f t="shared" ca="1" si="134"/>
        <v>-126.14810350076104</v>
      </c>
      <c r="C1396" s="17"/>
      <c r="D1396" t="str">
        <f>RTD("tos.rtd", , "OPEN_INT", "."&amp;Table1334567[[#This Row],[Ticker]]&amp;Table1334567[[#This Row],[Expiry]]&amp;""&amp;"C"&amp;Table1334567[[#This Row],[Spot]]+Table1334567[[#This Row],[step]])</f>
        <v>N/A</v>
      </c>
      <c r="E139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6" s="17" cm="1">
        <f t="array" aca="1" ref="H1396" ca="1">IndividualLegIVCore($A$4, Table1334567[[#This Row],[Strike]], 0.0411, Table1334567[[#This Row],[T]], ((Table1334567[[#This Row],[BIDC]]+Table1334567[[#This Row],[ASKC]])/2), TRUE)</f>
        <v>0.01</v>
      </c>
      <c r="I139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6" s="17"/>
      <c r="M1396" s="1">
        <f t="shared" si="135"/>
        <v>0</v>
      </c>
      <c r="N1396" t="b">
        <f t="shared" si="136"/>
        <v>0</v>
      </c>
      <c r="P1396" s="17" cm="1">
        <f t="array" aca="1" ref="P1396" ca="1">IndividualLegIVCore($A$4, Table1334567[[#This Row],[Strike]], 0.0411, Table1334567[[#This Row],[T]], ((Table1334567[[#This Row],[BIDP]]+Table1334567[[#This Row],[ASKP]])/2), FALSE)</f>
        <v>0.01</v>
      </c>
      <c r="Q139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6" s="17"/>
      <c r="T139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6" s="19">
        <f>34* IF($M$1="NDX", 10, IF(OR($M$1="SPX", $M$1="RUT"), 2, 1))</f>
        <v>68</v>
      </c>
      <c r="Z1396">
        <f ca="1">IFERROR(Table1334567[[#This Row],[call gamma]]*(Table1334567[[#This Row],[Open.Int]])*$A$4^2,0)</f>
        <v>0</v>
      </c>
      <c r="AA1396">
        <f ca="1">IFERROR(((Table1334567[[#This Row],[Open.Int8]])*Table1334567[[#This Row],[Put gamma]])*-1*$A$4^2,0)</f>
        <v>0</v>
      </c>
      <c r="AB1396">
        <f ca="1">(Table1334567[[#This Row],[Call Gex]]+Table1334567[[#This Row],[Put Gex]])</f>
        <v>0</v>
      </c>
      <c r="AC1396">
        <f ca="1">Table1334567[[#This Row],[put delta adj]]+Table1334567[[#This Row],[call delta adj]]</f>
        <v>0</v>
      </c>
      <c r="AD1396">
        <f ca="1">Table1334567[[#This Row],[Put Gex]]*Table1334567[[#This Row],[DeltaP]]*-1</f>
        <v>0</v>
      </c>
      <c r="AE1396">
        <f ca="1">Table1334567[[#This Row],[Call Gex]]*Table1334567[[#This Row],[DeltaC]]</f>
        <v>0</v>
      </c>
      <c r="AF1396">
        <f>IF(Table1334567[[#This Row],[DeltaC]]-ABS(Table1334567[[#This Row],[DeltaP]])="0","0.01",Table1334567[[#This Row],[DeltaC]]-ABS(Table1334567[[#This Row],[DeltaP]]))</f>
        <v>0</v>
      </c>
      <c r="AG139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6" t="e">
        <f ca="1">(EXP(-(AG1396^2)/2)/SQRT(2*PI())*EXP(0*SQRT(Table1334567[[#This Row],[T]]))/$A$4*18%*SQRT(SQRT(Table1334567[[#This Row],[T]])))</f>
        <v>#DIV/0!</v>
      </c>
      <c r="AJ1396" t="e">
        <f ca="1">(EXP(-(AH1396^2)/2)/SQRT(2*PI())*EXP(0*SQRT(Table1334567[[#This Row],[T]]))/$A$4*18%*SQRT(SQRT(Table1334567[[#This Row],[T]])))</f>
        <v>#DIV/0!</v>
      </c>
      <c r="AK1396" t="e">
        <f ca="1">Table1334567[[#This Row],[Call D1]]-Table1334567[[#This Row],[IV Calc C]]*SQRT(Table1334567[[#This Row],[T]])</f>
        <v>#DIV/0!</v>
      </c>
      <c r="AL1396" t="e">
        <f ca="1">Table1334567[[#This Row],[Put D1]]-Table1334567[[#This Row],[IV Calc P]]*SQRT(Table1334567[[#This Row],[T]])</f>
        <v>#DIV/0!</v>
      </c>
      <c r="AM1396" t="e">
        <f ca="1">EXP(-0.5*Table1334567[[#This Row],[Call D1]]^2)/SQRT(2*PI())</f>
        <v>#DIV/0!</v>
      </c>
      <c r="AN1396" t="e">
        <f ca="1">EXP(-0.5*Table1334567[[#This Row],[Put D1]]^2)/SQRT(2*PI())</f>
        <v>#DIV/0!</v>
      </c>
      <c r="AO139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6">
        <f ca="1">((Table1334567[[#This Row],[call vanna]]+Table1334567[[#This Row],[put vanna]])*$A$4)</f>
        <v>0</v>
      </c>
      <c r="AR139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6" s="9" t="str" cm="1">
        <f t="array" ref="AT1396">_xlfn.IFS(     $M$1="SPX","SPXW",     $M$1="RUT","RUTW",  $M$1="NDX","NDXP",   TRUE,$M$1 )</f>
        <v>SPXW</v>
      </c>
      <c r="AU1396" s="2">
        <f t="shared" si="137"/>
        <v>6915</v>
      </c>
      <c r="AV1396" t="str">
        <f t="shared" si="138"/>
        <v>000100</v>
      </c>
      <c r="AY139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6">
        <f>((Table1334567[[#This Row],[High C]]+Table1334567[[#This Row],[Low C]])/2)*Table1334567[[#This Row],[gammac]]*Table1334567[[#This Row],[Volume]]</f>
        <v>0</v>
      </c>
      <c r="BD1396">
        <f>((Table1334567[[#This Row],[High P]]+Table1334567[[#This Row],[Low P]])/2)*Table1334567[[#This Row],[gammap]]*Table1334567[[#This Row],[Volume9]]*-1</f>
        <v>0</v>
      </c>
      <c r="BE1396">
        <f>(Table1334567[[#This Row],[SgammaC]]+Table1334567[[#This Row],[SgammaP]])*$A$4*-100</f>
        <v>0</v>
      </c>
      <c r="BF1396">
        <f>Table1334567[[#This Row],[DEXc]]+Table1334567[[#This Row],[DEXp]]</f>
        <v>0</v>
      </c>
      <c r="BG1396">
        <f>IFERROR(Table1334567[[#This Row],[DeltaC]]*Table1334567[[#This Row],[Open.Int]]*$A$4,0)</f>
        <v>0</v>
      </c>
      <c r="BH1396">
        <f>IFERROR(Table1334567[[#This Row],[DeltaP]]*Table1334567[[#This Row],[Open.Int8]]*$A$4,0)</f>
        <v>0</v>
      </c>
      <c r="BI139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6">
        <f ca="1">Table1334567[[#This Row],[charmc]]+Table1334567[[#This Row],[charmp]]</f>
        <v>0</v>
      </c>
      <c r="BL139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6" s="78">
        <f ca="1">Table1334567[[#This Row],[call helper]]+Table1334567[[#This Row],[put helper]]</f>
        <v>0</v>
      </c>
      <c r="BP1396" t="str">
        <f>RTD("tos.rtd", , "STRIKE", "."&amp;Table1334567[[#This Row],[Ticker]]&amp;Table1334567[[#This Row],[Expiry]]&amp;""&amp;"C"&amp;Table1334567[[#This Row],[Spot]]+Table1334567[[#This Row],[step]])</f>
        <v>N/A</v>
      </c>
    </row>
    <row r="1397" spans="1:68" x14ac:dyDescent="0.25">
      <c r="A1397" s="14">
        <f t="shared" ca="1" si="134"/>
        <v>-126.14810350076104</v>
      </c>
      <c r="C1397" s="17"/>
      <c r="D1397" t="str">
        <f>RTD("tos.rtd", , "OPEN_INT", "."&amp;Table1334567[[#This Row],[Ticker]]&amp;Table1334567[[#This Row],[Expiry]]&amp;""&amp;"C"&amp;Table1334567[[#This Row],[Spot]]+Table1334567[[#This Row],[step]])</f>
        <v>N/A</v>
      </c>
      <c r="E139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7" s="17" cm="1">
        <f t="array" aca="1" ref="H1397" ca="1">IndividualLegIVCore($A$4, Table1334567[[#This Row],[Strike]], 0.0411, Table1334567[[#This Row],[T]], ((Table1334567[[#This Row],[BIDC]]+Table1334567[[#This Row],[ASKC]])/2), TRUE)</f>
        <v>0.01</v>
      </c>
      <c r="I139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7" s="17"/>
      <c r="M1397" s="1">
        <f t="shared" si="135"/>
        <v>0</v>
      </c>
      <c r="N1397" t="b">
        <f t="shared" si="136"/>
        <v>0</v>
      </c>
      <c r="P1397" s="17" cm="1">
        <f t="array" aca="1" ref="P1397" ca="1">IndividualLegIVCore($A$4, Table1334567[[#This Row],[Strike]], 0.0411, Table1334567[[#This Row],[T]], ((Table1334567[[#This Row],[BIDP]]+Table1334567[[#This Row],[ASKP]])/2), FALSE)</f>
        <v>0.01</v>
      </c>
      <c r="Q139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7" s="17"/>
      <c r="T139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7" s="19">
        <f>34.5* IF($M$1="NDX", 10, IF(OR($M$1="SPX", $M$1="RUT"), 2, 1))</f>
        <v>69</v>
      </c>
      <c r="Z1397">
        <f ca="1">IFERROR(Table1334567[[#This Row],[call gamma]]*(Table1334567[[#This Row],[Open.Int]])*$A$4^2,0)</f>
        <v>0</v>
      </c>
      <c r="AA1397">
        <f ca="1">IFERROR(((Table1334567[[#This Row],[Open.Int8]])*Table1334567[[#This Row],[Put gamma]])*-1*$A$4^2,0)</f>
        <v>0</v>
      </c>
      <c r="AB1397">
        <f ca="1">(Table1334567[[#This Row],[Call Gex]]+Table1334567[[#This Row],[Put Gex]])</f>
        <v>0</v>
      </c>
      <c r="AC1397">
        <f ca="1">Table1334567[[#This Row],[put delta adj]]+Table1334567[[#This Row],[call delta adj]]</f>
        <v>0</v>
      </c>
      <c r="AD1397">
        <f ca="1">Table1334567[[#This Row],[Put Gex]]*Table1334567[[#This Row],[DeltaP]]*-1</f>
        <v>0</v>
      </c>
      <c r="AE1397">
        <f ca="1">Table1334567[[#This Row],[Call Gex]]*Table1334567[[#This Row],[DeltaC]]</f>
        <v>0</v>
      </c>
      <c r="AF1397">
        <f>IF(Table1334567[[#This Row],[DeltaC]]-ABS(Table1334567[[#This Row],[DeltaP]])="0","0.01",Table1334567[[#This Row],[DeltaC]]-ABS(Table1334567[[#This Row],[DeltaP]]))</f>
        <v>0</v>
      </c>
      <c r="AG139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7" t="e">
        <f ca="1">(EXP(-(AG1397^2)/2)/SQRT(2*PI())*EXP(0*SQRT(Table1334567[[#This Row],[T]]))/$A$4*18%*SQRT(SQRT(Table1334567[[#This Row],[T]])))</f>
        <v>#DIV/0!</v>
      </c>
      <c r="AJ1397" t="e">
        <f ca="1">(EXP(-(AH1397^2)/2)/SQRT(2*PI())*EXP(0*SQRT(Table1334567[[#This Row],[T]]))/$A$4*18%*SQRT(SQRT(Table1334567[[#This Row],[T]])))</f>
        <v>#DIV/0!</v>
      </c>
      <c r="AK1397" t="e">
        <f ca="1">Table1334567[[#This Row],[Call D1]]-Table1334567[[#This Row],[IV Calc C]]*SQRT(Table1334567[[#This Row],[T]])</f>
        <v>#DIV/0!</v>
      </c>
      <c r="AL1397" t="e">
        <f ca="1">Table1334567[[#This Row],[Put D1]]-Table1334567[[#This Row],[IV Calc P]]*SQRT(Table1334567[[#This Row],[T]])</f>
        <v>#DIV/0!</v>
      </c>
      <c r="AM1397" t="e">
        <f ca="1">EXP(-0.5*Table1334567[[#This Row],[Call D1]]^2)/SQRT(2*PI())</f>
        <v>#DIV/0!</v>
      </c>
      <c r="AN1397" t="e">
        <f ca="1">EXP(-0.5*Table1334567[[#This Row],[Put D1]]^2)/SQRT(2*PI())</f>
        <v>#DIV/0!</v>
      </c>
      <c r="AO139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7">
        <f ca="1">((Table1334567[[#This Row],[call vanna]]+Table1334567[[#This Row],[put vanna]])*$A$4)</f>
        <v>0</v>
      </c>
      <c r="AR139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7" s="9" t="str" cm="1">
        <f t="array" ref="AT1397">_xlfn.IFS(     $M$1="SPX","SPXW",     $M$1="RUT","RUTW",  $M$1="NDX","NDXP",   TRUE,$M$1 )</f>
        <v>SPXW</v>
      </c>
      <c r="AU1397" s="2">
        <f t="shared" si="137"/>
        <v>6915</v>
      </c>
      <c r="AV1397" t="str">
        <f t="shared" si="138"/>
        <v>000100</v>
      </c>
      <c r="AY139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7">
        <f>((Table1334567[[#This Row],[High C]]+Table1334567[[#This Row],[Low C]])/2)*Table1334567[[#This Row],[gammac]]*Table1334567[[#This Row],[Volume]]</f>
        <v>0</v>
      </c>
      <c r="BD1397">
        <f>((Table1334567[[#This Row],[High P]]+Table1334567[[#This Row],[Low P]])/2)*Table1334567[[#This Row],[gammap]]*Table1334567[[#This Row],[Volume9]]*-1</f>
        <v>0</v>
      </c>
      <c r="BE1397">
        <f>(Table1334567[[#This Row],[SgammaC]]+Table1334567[[#This Row],[SgammaP]])*$A$4*-100</f>
        <v>0</v>
      </c>
      <c r="BF1397">
        <f>Table1334567[[#This Row],[DEXc]]+Table1334567[[#This Row],[DEXp]]</f>
        <v>0</v>
      </c>
      <c r="BG1397">
        <f>IFERROR(Table1334567[[#This Row],[DeltaC]]*Table1334567[[#This Row],[Open.Int]]*$A$4,0)</f>
        <v>0</v>
      </c>
      <c r="BH1397">
        <f>IFERROR(Table1334567[[#This Row],[DeltaP]]*Table1334567[[#This Row],[Open.Int8]]*$A$4,0)</f>
        <v>0</v>
      </c>
      <c r="BI139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7">
        <f ca="1">Table1334567[[#This Row],[charmc]]+Table1334567[[#This Row],[charmp]]</f>
        <v>0</v>
      </c>
      <c r="BL139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7" s="78">
        <f ca="1">Table1334567[[#This Row],[call helper]]+Table1334567[[#This Row],[put helper]]</f>
        <v>0</v>
      </c>
      <c r="BP1397" t="str">
        <f>RTD("tos.rtd", , "STRIKE", "."&amp;Table1334567[[#This Row],[Ticker]]&amp;Table1334567[[#This Row],[Expiry]]&amp;""&amp;"C"&amp;Table1334567[[#This Row],[Spot]]+Table1334567[[#This Row],[step]])</f>
        <v>N/A</v>
      </c>
    </row>
    <row r="1398" spans="1:68" x14ac:dyDescent="0.25">
      <c r="A1398" s="14">
        <f t="shared" ca="1" si="134"/>
        <v>-126.14810350076104</v>
      </c>
      <c r="C1398" s="17"/>
      <c r="D1398" t="str">
        <f>RTD("tos.rtd", , "OPEN_INT", "."&amp;Table1334567[[#This Row],[Ticker]]&amp;Table1334567[[#This Row],[Expiry]]&amp;""&amp;"C"&amp;Table1334567[[#This Row],[Spot]]+Table1334567[[#This Row],[step]])</f>
        <v>N/A</v>
      </c>
      <c r="E139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8" s="17" cm="1">
        <f t="array" aca="1" ref="H1398" ca="1">IndividualLegIVCore($A$4, Table1334567[[#This Row],[Strike]], 0.0411, Table1334567[[#This Row],[T]], ((Table1334567[[#This Row],[BIDC]]+Table1334567[[#This Row],[ASKC]])/2), TRUE)</f>
        <v>0.01</v>
      </c>
      <c r="I139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8" s="17"/>
      <c r="M1398" s="1">
        <f t="shared" si="135"/>
        <v>0</v>
      </c>
      <c r="N1398" t="b">
        <f t="shared" si="136"/>
        <v>0</v>
      </c>
      <c r="P1398" s="17" cm="1">
        <f t="array" aca="1" ref="P1398" ca="1">IndividualLegIVCore($A$4, Table1334567[[#This Row],[Strike]], 0.0411, Table1334567[[#This Row],[T]], ((Table1334567[[#This Row],[BIDP]]+Table1334567[[#This Row],[ASKP]])/2), FALSE)</f>
        <v>0.01</v>
      </c>
      <c r="Q139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8" s="17"/>
      <c r="T139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8" s="19">
        <f>35* IF($M$1="NDX", 10, IF(OR($M$1="SPX", $M$1="RUT"), 2, 1))</f>
        <v>70</v>
      </c>
      <c r="Z1398">
        <f ca="1">IFERROR(Table1334567[[#This Row],[call gamma]]*(Table1334567[[#This Row],[Open.Int]])*$A$4^2,0)</f>
        <v>0</v>
      </c>
      <c r="AA1398">
        <f ca="1">IFERROR(((Table1334567[[#This Row],[Open.Int8]])*Table1334567[[#This Row],[Put gamma]])*-1*$A$4^2,0)</f>
        <v>0</v>
      </c>
      <c r="AB1398">
        <f ca="1">(Table1334567[[#This Row],[Call Gex]]+Table1334567[[#This Row],[Put Gex]])</f>
        <v>0</v>
      </c>
      <c r="AC1398">
        <f ca="1">Table1334567[[#This Row],[put delta adj]]+Table1334567[[#This Row],[call delta adj]]</f>
        <v>0</v>
      </c>
      <c r="AD1398">
        <f ca="1">Table1334567[[#This Row],[Put Gex]]*Table1334567[[#This Row],[DeltaP]]*-1</f>
        <v>0</v>
      </c>
      <c r="AE1398">
        <f ca="1">Table1334567[[#This Row],[Call Gex]]*Table1334567[[#This Row],[DeltaC]]</f>
        <v>0</v>
      </c>
      <c r="AF1398">
        <f>IF(Table1334567[[#This Row],[DeltaC]]-ABS(Table1334567[[#This Row],[DeltaP]])="0","0.01",Table1334567[[#This Row],[DeltaC]]-ABS(Table1334567[[#This Row],[DeltaP]]))</f>
        <v>0</v>
      </c>
      <c r="AG139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8" t="e">
        <f ca="1">(EXP(-(AG1398^2)/2)/SQRT(2*PI())*EXP(0*SQRT(Table1334567[[#This Row],[T]]))/$A$4*18%*SQRT(SQRT(Table1334567[[#This Row],[T]])))</f>
        <v>#DIV/0!</v>
      </c>
      <c r="AJ1398" t="e">
        <f ca="1">(EXP(-(AH1398^2)/2)/SQRT(2*PI())*EXP(0*SQRT(Table1334567[[#This Row],[T]]))/$A$4*18%*SQRT(SQRT(Table1334567[[#This Row],[T]])))</f>
        <v>#DIV/0!</v>
      </c>
      <c r="AK1398" t="e">
        <f ca="1">Table1334567[[#This Row],[Call D1]]-Table1334567[[#This Row],[IV Calc C]]*SQRT(Table1334567[[#This Row],[T]])</f>
        <v>#DIV/0!</v>
      </c>
      <c r="AL1398" t="e">
        <f ca="1">Table1334567[[#This Row],[Put D1]]-Table1334567[[#This Row],[IV Calc P]]*SQRT(Table1334567[[#This Row],[T]])</f>
        <v>#DIV/0!</v>
      </c>
      <c r="AM1398" t="e">
        <f ca="1">EXP(-0.5*Table1334567[[#This Row],[Call D1]]^2)/SQRT(2*PI())</f>
        <v>#DIV/0!</v>
      </c>
      <c r="AN1398" t="e">
        <f ca="1">EXP(-0.5*Table1334567[[#This Row],[Put D1]]^2)/SQRT(2*PI())</f>
        <v>#DIV/0!</v>
      </c>
      <c r="AO139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8">
        <f ca="1">((Table1334567[[#This Row],[call vanna]]+Table1334567[[#This Row],[put vanna]])*$A$4)</f>
        <v>0</v>
      </c>
      <c r="AR139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8" s="9" t="str" cm="1">
        <f t="array" ref="AT1398">_xlfn.IFS(     $M$1="SPX","SPXW",     $M$1="RUT","RUTW",  $M$1="NDX","NDXP",   TRUE,$M$1 )</f>
        <v>SPXW</v>
      </c>
      <c r="AU1398" s="2">
        <f t="shared" si="137"/>
        <v>6915</v>
      </c>
      <c r="AV1398" t="str">
        <f t="shared" si="138"/>
        <v>000100</v>
      </c>
      <c r="AY139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8">
        <f>((Table1334567[[#This Row],[High C]]+Table1334567[[#This Row],[Low C]])/2)*Table1334567[[#This Row],[gammac]]*Table1334567[[#This Row],[Volume]]</f>
        <v>0</v>
      </c>
      <c r="BD1398">
        <f>((Table1334567[[#This Row],[High P]]+Table1334567[[#This Row],[Low P]])/2)*Table1334567[[#This Row],[gammap]]*Table1334567[[#This Row],[Volume9]]*-1</f>
        <v>0</v>
      </c>
      <c r="BE1398">
        <f>(Table1334567[[#This Row],[SgammaC]]+Table1334567[[#This Row],[SgammaP]])*$A$4*-100</f>
        <v>0</v>
      </c>
      <c r="BF1398">
        <f>Table1334567[[#This Row],[DEXc]]+Table1334567[[#This Row],[DEXp]]</f>
        <v>0</v>
      </c>
      <c r="BG1398">
        <f>IFERROR(Table1334567[[#This Row],[DeltaC]]*Table1334567[[#This Row],[Open.Int]]*$A$4,0)</f>
        <v>0</v>
      </c>
      <c r="BH1398">
        <f>IFERROR(Table1334567[[#This Row],[DeltaP]]*Table1334567[[#This Row],[Open.Int8]]*$A$4,0)</f>
        <v>0</v>
      </c>
      <c r="BI139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8">
        <f ca="1">Table1334567[[#This Row],[charmc]]+Table1334567[[#This Row],[charmp]]</f>
        <v>0</v>
      </c>
      <c r="BL139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8" s="78">
        <f ca="1">Table1334567[[#This Row],[call helper]]+Table1334567[[#This Row],[put helper]]</f>
        <v>0</v>
      </c>
      <c r="BP1398" t="str">
        <f>RTD("tos.rtd", , "STRIKE", "."&amp;Table1334567[[#This Row],[Ticker]]&amp;Table1334567[[#This Row],[Expiry]]&amp;""&amp;"C"&amp;Table1334567[[#This Row],[Spot]]+Table1334567[[#This Row],[step]])</f>
        <v>N/A</v>
      </c>
    </row>
    <row r="1399" spans="1:68" x14ac:dyDescent="0.25">
      <c r="A1399" s="14">
        <f t="shared" ca="1" si="134"/>
        <v>-126.14810350076104</v>
      </c>
      <c r="C1399" s="17"/>
      <c r="D1399" t="str">
        <f>RTD("tos.rtd", , "OPEN_INT", "."&amp;Table1334567[[#This Row],[Ticker]]&amp;Table1334567[[#This Row],[Expiry]]&amp;""&amp;"C"&amp;Table1334567[[#This Row],[Spot]]+Table1334567[[#This Row],[step]])</f>
        <v>N/A</v>
      </c>
      <c r="E139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9" s="17" cm="1">
        <f t="array" aca="1" ref="H1399" ca="1">IndividualLegIVCore($A$4, Table1334567[[#This Row],[Strike]], 0.0411, Table1334567[[#This Row],[T]], ((Table1334567[[#This Row],[BIDC]]+Table1334567[[#This Row],[ASKC]])/2), TRUE)</f>
        <v>0.01</v>
      </c>
      <c r="I139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9" s="17"/>
      <c r="M1399" s="1">
        <f t="shared" si="135"/>
        <v>0</v>
      </c>
      <c r="N1399" t="b">
        <f t="shared" si="136"/>
        <v>0</v>
      </c>
      <c r="P1399" s="17" cm="1">
        <f t="array" aca="1" ref="P1399" ca="1">IndividualLegIVCore($A$4, Table1334567[[#This Row],[Strike]], 0.0411, Table1334567[[#This Row],[T]], ((Table1334567[[#This Row],[BIDP]]+Table1334567[[#This Row],[ASKP]])/2), FALSE)</f>
        <v>0.01</v>
      </c>
      <c r="Q139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9" s="17"/>
      <c r="T139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9" s="19">
        <f>35.5* IF($M$1="NDX", 10, IF(OR($M$1="SPX", $M$1="RUT"), 2, 1))</f>
        <v>71</v>
      </c>
      <c r="Z1399">
        <f ca="1">IFERROR(Table1334567[[#This Row],[call gamma]]*(Table1334567[[#This Row],[Open.Int]])*$A$4^2,0)</f>
        <v>0</v>
      </c>
      <c r="AA1399">
        <f ca="1">IFERROR(((Table1334567[[#This Row],[Open.Int8]])*Table1334567[[#This Row],[Put gamma]])*-1*$A$4^2,0)</f>
        <v>0</v>
      </c>
      <c r="AB1399">
        <f ca="1">(Table1334567[[#This Row],[Call Gex]]+Table1334567[[#This Row],[Put Gex]])</f>
        <v>0</v>
      </c>
      <c r="AC1399">
        <f ca="1">Table1334567[[#This Row],[put delta adj]]+Table1334567[[#This Row],[call delta adj]]</f>
        <v>0</v>
      </c>
      <c r="AD1399">
        <f ca="1">Table1334567[[#This Row],[Put Gex]]*Table1334567[[#This Row],[DeltaP]]*-1</f>
        <v>0</v>
      </c>
      <c r="AE1399">
        <f ca="1">Table1334567[[#This Row],[Call Gex]]*Table1334567[[#This Row],[DeltaC]]</f>
        <v>0</v>
      </c>
      <c r="AF1399">
        <f>IF(Table1334567[[#This Row],[DeltaC]]-ABS(Table1334567[[#This Row],[DeltaP]])="0","0.01",Table1334567[[#This Row],[DeltaC]]-ABS(Table1334567[[#This Row],[DeltaP]]))</f>
        <v>0</v>
      </c>
      <c r="AG139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9" t="e">
        <f ca="1">(EXP(-(AG1399^2)/2)/SQRT(2*PI())*EXP(0*SQRT(Table1334567[[#This Row],[T]]))/$A$4*18%*SQRT(SQRT(Table1334567[[#This Row],[T]])))</f>
        <v>#DIV/0!</v>
      </c>
      <c r="AJ1399" t="e">
        <f ca="1">(EXP(-(AH1399^2)/2)/SQRT(2*PI())*EXP(0*SQRT(Table1334567[[#This Row],[T]]))/$A$4*18%*SQRT(SQRT(Table1334567[[#This Row],[T]])))</f>
        <v>#DIV/0!</v>
      </c>
      <c r="AK1399" t="e">
        <f ca="1">Table1334567[[#This Row],[Call D1]]-Table1334567[[#This Row],[IV Calc C]]*SQRT(Table1334567[[#This Row],[T]])</f>
        <v>#DIV/0!</v>
      </c>
      <c r="AL1399" t="e">
        <f ca="1">Table1334567[[#This Row],[Put D1]]-Table1334567[[#This Row],[IV Calc P]]*SQRT(Table1334567[[#This Row],[T]])</f>
        <v>#DIV/0!</v>
      </c>
      <c r="AM1399" t="e">
        <f ca="1">EXP(-0.5*Table1334567[[#This Row],[Call D1]]^2)/SQRT(2*PI())</f>
        <v>#DIV/0!</v>
      </c>
      <c r="AN1399" t="e">
        <f ca="1">EXP(-0.5*Table1334567[[#This Row],[Put D1]]^2)/SQRT(2*PI())</f>
        <v>#DIV/0!</v>
      </c>
      <c r="AO139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9">
        <f ca="1">((Table1334567[[#This Row],[call vanna]]+Table1334567[[#This Row],[put vanna]])*$A$4)</f>
        <v>0</v>
      </c>
      <c r="AR139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9" s="9" t="str" cm="1">
        <f t="array" ref="AT1399">_xlfn.IFS(     $M$1="SPX","SPXW",     $M$1="RUT","RUTW",  $M$1="NDX","NDXP",   TRUE,$M$1 )</f>
        <v>SPXW</v>
      </c>
      <c r="AU1399" s="2">
        <f t="shared" si="137"/>
        <v>6915</v>
      </c>
      <c r="AV1399" t="str">
        <f t="shared" si="138"/>
        <v>000100</v>
      </c>
      <c r="AY139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9">
        <f>((Table1334567[[#This Row],[High C]]+Table1334567[[#This Row],[Low C]])/2)*Table1334567[[#This Row],[gammac]]*Table1334567[[#This Row],[Volume]]</f>
        <v>0</v>
      </c>
      <c r="BD1399">
        <f>((Table1334567[[#This Row],[High P]]+Table1334567[[#This Row],[Low P]])/2)*Table1334567[[#This Row],[gammap]]*Table1334567[[#This Row],[Volume9]]*-1</f>
        <v>0</v>
      </c>
      <c r="BE1399">
        <f>(Table1334567[[#This Row],[SgammaC]]+Table1334567[[#This Row],[SgammaP]])*$A$4*-100</f>
        <v>0</v>
      </c>
      <c r="BF1399">
        <f>Table1334567[[#This Row],[DEXc]]+Table1334567[[#This Row],[DEXp]]</f>
        <v>0</v>
      </c>
      <c r="BG1399">
        <f>IFERROR(Table1334567[[#This Row],[DeltaC]]*Table1334567[[#This Row],[Open.Int]]*$A$4,0)</f>
        <v>0</v>
      </c>
      <c r="BH1399">
        <f>IFERROR(Table1334567[[#This Row],[DeltaP]]*Table1334567[[#This Row],[Open.Int8]]*$A$4,0)</f>
        <v>0</v>
      </c>
      <c r="BI139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9">
        <f ca="1">Table1334567[[#This Row],[charmc]]+Table1334567[[#This Row],[charmp]]</f>
        <v>0</v>
      </c>
      <c r="BL139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9" s="78">
        <f ca="1">Table1334567[[#This Row],[call helper]]+Table1334567[[#This Row],[put helper]]</f>
        <v>0</v>
      </c>
      <c r="BP1399" t="str">
        <f>RTD("tos.rtd", , "STRIKE", "."&amp;Table1334567[[#This Row],[Ticker]]&amp;Table1334567[[#This Row],[Expiry]]&amp;""&amp;"C"&amp;Table1334567[[#This Row],[Spot]]+Table1334567[[#This Row],[step]])</f>
        <v>N/A</v>
      </c>
    </row>
    <row r="1400" spans="1:68" x14ac:dyDescent="0.25">
      <c r="A1400" s="14">
        <f t="shared" ca="1" si="134"/>
        <v>-126.14810350076104</v>
      </c>
      <c r="C1400" s="17"/>
      <c r="D1400" t="str">
        <f>RTD("tos.rtd", , "OPEN_INT", "."&amp;Table1334567[[#This Row],[Ticker]]&amp;Table1334567[[#This Row],[Expiry]]&amp;""&amp;"C"&amp;Table1334567[[#This Row],[Spot]]+Table1334567[[#This Row],[step]])</f>
        <v>N/A</v>
      </c>
      <c r="E140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0" s="17" cm="1">
        <f t="array" aca="1" ref="H1400" ca="1">IndividualLegIVCore($A$4, Table1334567[[#This Row],[Strike]], 0.0411, Table1334567[[#This Row],[T]], ((Table1334567[[#This Row],[BIDC]]+Table1334567[[#This Row],[ASKC]])/2), TRUE)</f>
        <v>0.01</v>
      </c>
      <c r="I140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0" s="17"/>
      <c r="M1400" s="1">
        <f t="shared" si="135"/>
        <v>0</v>
      </c>
      <c r="N1400" t="b">
        <f t="shared" si="136"/>
        <v>0</v>
      </c>
      <c r="P1400" s="17" cm="1">
        <f t="array" aca="1" ref="P1400" ca="1">IndividualLegIVCore($A$4, Table1334567[[#This Row],[Strike]], 0.0411, Table1334567[[#This Row],[T]], ((Table1334567[[#This Row],[BIDP]]+Table1334567[[#This Row],[ASKP]])/2), FALSE)</f>
        <v>0.01</v>
      </c>
      <c r="Q140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0" s="17"/>
      <c r="T140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0" s="19">
        <f>36* IF($M$1="NDX", 10, IF(OR($M$1="SPX", $M$1="RUT"), 2, 1))</f>
        <v>72</v>
      </c>
      <c r="Z1400">
        <f ca="1">IFERROR(Table1334567[[#This Row],[call gamma]]*(Table1334567[[#This Row],[Open.Int]])*$A$4^2,0)</f>
        <v>0</v>
      </c>
      <c r="AA1400">
        <f ca="1">IFERROR(((Table1334567[[#This Row],[Open.Int8]])*Table1334567[[#This Row],[Put gamma]])*-1*$A$4^2,0)</f>
        <v>0</v>
      </c>
      <c r="AB1400">
        <f ca="1">(Table1334567[[#This Row],[Call Gex]]+Table1334567[[#This Row],[Put Gex]])</f>
        <v>0</v>
      </c>
      <c r="AC1400">
        <f ca="1">Table1334567[[#This Row],[put delta adj]]+Table1334567[[#This Row],[call delta adj]]</f>
        <v>0</v>
      </c>
      <c r="AD1400">
        <f ca="1">Table1334567[[#This Row],[Put Gex]]*Table1334567[[#This Row],[DeltaP]]*-1</f>
        <v>0</v>
      </c>
      <c r="AE1400">
        <f ca="1">Table1334567[[#This Row],[Call Gex]]*Table1334567[[#This Row],[DeltaC]]</f>
        <v>0</v>
      </c>
      <c r="AF1400">
        <f>IF(Table1334567[[#This Row],[DeltaC]]-ABS(Table1334567[[#This Row],[DeltaP]])="0","0.01",Table1334567[[#This Row],[DeltaC]]-ABS(Table1334567[[#This Row],[DeltaP]]))</f>
        <v>0</v>
      </c>
      <c r="AG140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0" t="e">
        <f ca="1">(EXP(-(AG1400^2)/2)/SQRT(2*PI())*EXP(0*SQRT(Table1334567[[#This Row],[T]]))/$A$4*18%*SQRT(SQRT(Table1334567[[#This Row],[T]])))</f>
        <v>#DIV/0!</v>
      </c>
      <c r="AJ1400" t="e">
        <f ca="1">(EXP(-(AH1400^2)/2)/SQRT(2*PI())*EXP(0*SQRT(Table1334567[[#This Row],[T]]))/$A$4*18%*SQRT(SQRT(Table1334567[[#This Row],[T]])))</f>
        <v>#DIV/0!</v>
      </c>
      <c r="AK1400" t="e">
        <f ca="1">Table1334567[[#This Row],[Call D1]]-Table1334567[[#This Row],[IV Calc C]]*SQRT(Table1334567[[#This Row],[T]])</f>
        <v>#DIV/0!</v>
      </c>
      <c r="AL1400" t="e">
        <f ca="1">Table1334567[[#This Row],[Put D1]]-Table1334567[[#This Row],[IV Calc P]]*SQRT(Table1334567[[#This Row],[T]])</f>
        <v>#DIV/0!</v>
      </c>
      <c r="AM1400" t="e">
        <f ca="1">EXP(-0.5*Table1334567[[#This Row],[Call D1]]^2)/SQRT(2*PI())</f>
        <v>#DIV/0!</v>
      </c>
      <c r="AN1400" t="e">
        <f ca="1">EXP(-0.5*Table1334567[[#This Row],[Put D1]]^2)/SQRT(2*PI())</f>
        <v>#DIV/0!</v>
      </c>
      <c r="AO140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0">
        <f ca="1">((Table1334567[[#This Row],[call vanna]]+Table1334567[[#This Row],[put vanna]])*$A$4)</f>
        <v>0</v>
      </c>
      <c r="AR140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0" s="9" t="str" cm="1">
        <f t="array" ref="AT1400">_xlfn.IFS(     $M$1="SPX","SPXW",     $M$1="RUT","RUTW",  $M$1="NDX","NDXP",   TRUE,$M$1 )</f>
        <v>SPXW</v>
      </c>
      <c r="AU1400" s="2">
        <f t="shared" si="137"/>
        <v>6915</v>
      </c>
      <c r="AV1400" t="str">
        <f t="shared" si="138"/>
        <v>000100</v>
      </c>
      <c r="AY140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0">
        <f>((Table1334567[[#This Row],[High C]]+Table1334567[[#This Row],[Low C]])/2)*Table1334567[[#This Row],[gammac]]*Table1334567[[#This Row],[Volume]]</f>
        <v>0</v>
      </c>
      <c r="BD1400">
        <f>((Table1334567[[#This Row],[High P]]+Table1334567[[#This Row],[Low P]])/2)*Table1334567[[#This Row],[gammap]]*Table1334567[[#This Row],[Volume9]]*-1</f>
        <v>0</v>
      </c>
      <c r="BE1400">
        <f>(Table1334567[[#This Row],[SgammaC]]+Table1334567[[#This Row],[SgammaP]])*$A$4*-100</f>
        <v>0</v>
      </c>
      <c r="BF1400">
        <f>Table1334567[[#This Row],[DEXc]]+Table1334567[[#This Row],[DEXp]]</f>
        <v>0</v>
      </c>
      <c r="BG1400">
        <f>IFERROR(Table1334567[[#This Row],[DeltaC]]*Table1334567[[#This Row],[Open.Int]]*$A$4,0)</f>
        <v>0</v>
      </c>
      <c r="BH1400">
        <f>IFERROR(Table1334567[[#This Row],[DeltaP]]*Table1334567[[#This Row],[Open.Int8]]*$A$4,0)</f>
        <v>0</v>
      </c>
      <c r="BI140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0">
        <f ca="1">Table1334567[[#This Row],[charmc]]+Table1334567[[#This Row],[charmp]]</f>
        <v>0</v>
      </c>
      <c r="BL140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0" s="78">
        <f ca="1">Table1334567[[#This Row],[call helper]]+Table1334567[[#This Row],[put helper]]</f>
        <v>0</v>
      </c>
      <c r="BP1400" t="str">
        <f>RTD("tos.rtd", , "STRIKE", "."&amp;Table1334567[[#This Row],[Ticker]]&amp;Table1334567[[#This Row],[Expiry]]&amp;""&amp;"C"&amp;Table1334567[[#This Row],[Spot]]+Table1334567[[#This Row],[step]])</f>
        <v>N/A</v>
      </c>
    </row>
    <row r="1401" spans="1:68" x14ac:dyDescent="0.25">
      <c r="A1401" s="14">
        <f t="shared" ca="1" si="134"/>
        <v>-126.14810350076104</v>
      </c>
      <c r="C1401" s="17"/>
      <c r="D1401" t="str">
        <f>RTD("tos.rtd", , "OPEN_INT", "."&amp;Table1334567[[#This Row],[Ticker]]&amp;Table1334567[[#This Row],[Expiry]]&amp;""&amp;"C"&amp;Table1334567[[#This Row],[Spot]]+Table1334567[[#This Row],[step]])</f>
        <v>N/A</v>
      </c>
      <c r="E140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1" s="17" cm="1">
        <f t="array" aca="1" ref="H1401" ca="1">IndividualLegIVCore($A$4, Table1334567[[#This Row],[Strike]], 0.0411, Table1334567[[#This Row],[T]], ((Table1334567[[#This Row],[BIDC]]+Table1334567[[#This Row],[ASKC]])/2), TRUE)</f>
        <v>0.01</v>
      </c>
      <c r="I140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1" s="17"/>
      <c r="M1401" s="1">
        <f t="shared" si="135"/>
        <v>0</v>
      </c>
      <c r="N1401" t="b">
        <f t="shared" si="136"/>
        <v>0</v>
      </c>
      <c r="P1401" s="17" cm="1">
        <f t="array" aca="1" ref="P1401" ca="1">IndividualLegIVCore($A$4, Table1334567[[#This Row],[Strike]], 0.0411, Table1334567[[#This Row],[T]], ((Table1334567[[#This Row],[BIDP]]+Table1334567[[#This Row],[ASKP]])/2), FALSE)</f>
        <v>0.01</v>
      </c>
      <c r="Q140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1" s="17"/>
      <c r="T140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1" s="19">
        <f>36.5* IF($M$1="NDX", 10, IF(OR($M$1="SPX", $M$1="RUT"), 2, 1))</f>
        <v>73</v>
      </c>
      <c r="Z1401">
        <f ca="1">IFERROR(Table1334567[[#This Row],[call gamma]]*(Table1334567[[#This Row],[Open.Int]])*$A$4^2,0)</f>
        <v>0</v>
      </c>
      <c r="AA1401">
        <f ca="1">IFERROR(((Table1334567[[#This Row],[Open.Int8]])*Table1334567[[#This Row],[Put gamma]])*-1*$A$4^2,0)</f>
        <v>0</v>
      </c>
      <c r="AB1401">
        <f ca="1">(Table1334567[[#This Row],[Call Gex]]+Table1334567[[#This Row],[Put Gex]])</f>
        <v>0</v>
      </c>
      <c r="AC1401">
        <f ca="1">Table1334567[[#This Row],[put delta adj]]+Table1334567[[#This Row],[call delta adj]]</f>
        <v>0</v>
      </c>
      <c r="AD1401">
        <f ca="1">Table1334567[[#This Row],[Put Gex]]*Table1334567[[#This Row],[DeltaP]]*-1</f>
        <v>0</v>
      </c>
      <c r="AE1401">
        <f ca="1">Table1334567[[#This Row],[Call Gex]]*Table1334567[[#This Row],[DeltaC]]</f>
        <v>0</v>
      </c>
      <c r="AF1401">
        <f>IF(Table1334567[[#This Row],[DeltaC]]-ABS(Table1334567[[#This Row],[DeltaP]])="0","0.01",Table1334567[[#This Row],[DeltaC]]-ABS(Table1334567[[#This Row],[DeltaP]]))</f>
        <v>0</v>
      </c>
      <c r="AG140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1" t="e">
        <f ca="1">(EXP(-(AG1401^2)/2)/SQRT(2*PI())*EXP(0*SQRT(Table1334567[[#This Row],[T]]))/$A$4*18%*SQRT(SQRT(Table1334567[[#This Row],[T]])))</f>
        <v>#DIV/0!</v>
      </c>
      <c r="AJ1401" t="e">
        <f ca="1">(EXP(-(AH1401^2)/2)/SQRT(2*PI())*EXP(0*SQRT(Table1334567[[#This Row],[T]]))/$A$4*18%*SQRT(SQRT(Table1334567[[#This Row],[T]])))</f>
        <v>#DIV/0!</v>
      </c>
      <c r="AK1401" t="e">
        <f ca="1">Table1334567[[#This Row],[Call D1]]-Table1334567[[#This Row],[IV Calc C]]*SQRT(Table1334567[[#This Row],[T]])</f>
        <v>#DIV/0!</v>
      </c>
      <c r="AL1401" t="e">
        <f ca="1">Table1334567[[#This Row],[Put D1]]-Table1334567[[#This Row],[IV Calc P]]*SQRT(Table1334567[[#This Row],[T]])</f>
        <v>#DIV/0!</v>
      </c>
      <c r="AM1401" t="e">
        <f ca="1">EXP(-0.5*Table1334567[[#This Row],[Call D1]]^2)/SQRT(2*PI())</f>
        <v>#DIV/0!</v>
      </c>
      <c r="AN1401" t="e">
        <f ca="1">EXP(-0.5*Table1334567[[#This Row],[Put D1]]^2)/SQRT(2*PI())</f>
        <v>#DIV/0!</v>
      </c>
      <c r="AO140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1">
        <f ca="1">((Table1334567[[#This Row],[call vanna]]+Table1334567[[#This Row],[put vanna]])*$A$4)</f>
        <v>0</v>
      </c>
      <c r="AR140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1" s="9" t="str" cm="1">
        <f t="array" ref="AT1401">_xlfn.IFS(     $M$1="SPX","SPXW",     $M$1="RUT","RUTW",  $M$1="NDX","NDXP",   TRUE,$M$1 )</f>
        <v>SPXW</v>
      </c>
      <c r="AU1401" s="2">
        <f t="shared" si="137"/>
        <v>6915</v>
      </c>
      <c r="AV1401" t="str">
        <f t="shared" si="138"/>
        <v>000100</v>
      </c>
      <c r="AY140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1">
        <f>((Table1334567[[#This Row],[High C]]+Table1334567[[#This Row],[Low C]])/2)*Table1334567[[#This Row],[gammac]]*Table1334567[[#This Row],[Volume]]</f>
        <v>0</v>
      </c>
      <c r="BD1401">
        <f>((Table1334567[[#This Row],[High P]]+Table1334567[[#This Row],[Low P]])/2)*Table1334567[[#This Row],[gammap]]*Table1334567[[#This Row],[Volume9]]*-1</f>
        <v>0</v>
      </c>
      <c r="BE1401">
        <f>(Table1334567[[#This Row],[SgammaC]]+Table1334567[[#This Row],[SgammaP]])*$A$4*-100</f>
        <v>0</v>
      </c>
      <c r="BF1401">
        <f>Table1334567[[#This Row],[DEXc]]+Table1334567[[#This Row],[DEXp]]</f>
        <v>0</v>
      </c>
      <c r="BG1401">
        <f>IFERROR(Table1334567[[#This Row],[DeltaC]]*Table1334567[[#This Row],[Open.Int]]*$A$4,0)</f>
        <v>0</v>
      </c>
      <c r="BH1401">
        <f>IFERROR(Table1334567[[#This Row],[DeltaP]]*Table1334567[[#This Row],[Open.Int8]]*$A$4,0)</f>
        <v>0</v>
      </c>
      <c r="BI140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1">
        <f ca="1">Table1334567[[#This Row],[charmc]]+Table1334567[[#This Row],[charmp]]</f>
        <v>0</v>
      </c>
      <c r="BL140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1" s="78">
        <f ca="1">Table1334567[[#This Row],[call helper]]+Table1334567[[#This Row],[put helper]]</f>
        <v>0</v>
      </c>
      <c r="BP1401" t="str">
        <f>RTD("tos.rtd", , "STRIKE", "."&amp;Table1334567[[#This Row],[Ticker]]&amp;Table1334567[[#This Row],[Expiry]]&amp;""&amp;"C"&amp;Table1334567[[#This Row],[Spot]]+Table1334567[[#This Row],[step]])</f>
        <v>N/A</v>
      </c>
    </row>
    <row r="1402" spans="1:68" x14ac:dyDescent="0.25">
      <c r="A1402" s="14">
        <f t="shared" ca="1" si="134"/>
        <v>-126.14810350076104</v>
      </c>
      <c r="C1402" s="17"/>
      <c r="D1402" t="str">
        <f>RTD("tos.rtd", , "OPEN_INT", "."&amp;Table1334567[[#This Row],[Ticker]]&amp;Table1334567[[#This Row],[Expiry]]&amp;""&amp;"C"&amp;Table1334567[[#This Row],[Spot]]+Table1334567[[#This Row],[step]])</f>
        <v>N/A</v>
      </c>
      <c r="E140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2" s="17" cm="1">
        <f t="array" aca="1" ref="H1402" ca="1">IndividualLegIVCore($A$4, Table1334567[[#This Row],[Strike]], 0.0411, Table1334567[[#This Row],[T]], ((Table1334567[[#This Row],[BIDC]]+Table1334567[[#This Row],[ASKC]])/2), TRUE)</f>
        <v>0.01</v>
      </c>
      <c r="I140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2" s="17"/>
      <c r="M1402" s="1">
        <f t="shared" si="135"/>
        <v>0</v>
      </c>
      <c r="N1402" t="b">
        <f t="shared" si="136"/>
        <v>0</v>
      </c>
      <c r="P1402" s="17" cm="1">
        <f t="array" aca="1" ref="P1402" ca="1">IndividualLegIVCore($A$4, Table1334567[[#This Row],[Strike]], 0.0411, Table1334567[[#This Row],[T]], ((Table1334567[[#This Row],[BIDP]]+Table1334567[[#This Row],[ASKP]])/2), FALSE)</f>
        <v>0.01</v>
      </c>
      <c r="Q140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2" s="17"/>
      <c r="T140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2" s="19">
        <f>37* IF($M$1="NDX", 10, IF(OR($M$1="SPX", $M$1="RUT"), 2, 1))</f>
        <v>74</v>
      </c>
      <c r="Z1402">
        <f ca="1">IFERROR(Table1334567[[#This Row],[call gamma]]*(Table1334567[[#This Row],[Open.Int]])*$A$4^2,0)</f>
        <v>0</v>
      </c>
      <c r="AA1402">
        <f ca="1">IFERROR(((Table1334567[[#This Row],[Open.Int8]])*Table1334567[[#This Row],[Put gamma]])*-1*$A$4^2,0)</f>
        <v>0</v>
      </c>
      <c r="AB1402">
        <f ca="1">(Table1334567[[#This Row],[Call Gex]]+Table1334567[[#This Row],[Put Gex]])</f>
        <v>0</v>
      </c>
      <c r="AC1402">
        <f ca="1">Table1334567[[#This Row],[put delta adj]]+Table1334567[[#This Row],[call delta adj]]</f>
        <v>0</v>
      </c>
      <c r="AD1402">
        <f ca="1">Table1334567[[#This Row],[Put Gex]]*Table1334567[[#This Row],[DeltaP]]*-1</f>
        <v>0</v>
      </c>
      <c r="AE1402">
        <f ca="1">Table1334567[[#This Row],[Call Gex]]*Table1334567[[#This Row],[DeltaC]]</f>
        <v>0</v>
      </c>
      <c r="AF1402">
        <f>IF(Table1334567[[#This Row],[DeltaC]]-ABS(Table1334567[[#This Row],[DeltaP]])="0","0.01",Table1334567[[#This Row],[DeltaC]]-ABS(Table1334567[[#This Row],[DeltaP]]))</f>
        <v>0</v>
      </c>
      <c r="AG140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2" t="e">
        <f ca="1">(EXP(-(AG1402^2)/2)/SQRT(2*PI())*EXP(0*SQRT(Table1334567[[#This Row],[T]]))/$A$4*18%*SQRT(SQRT(Table1334567[[#This Row],[T]])))</f>
        <v>#DIV/0!</v>
      </c>
      <c r="AJ1402" t="e">
        <f ca="1">(EXP(-(AH1402^2)/2)/SQRT(2*PI())*EXP(0*SQRT(Table1334567[[#This Row],[T]]))/$A$4*18%*SQRT(SQRT(Table1334567[[#This Row],[T]])))</f>
        <v>#DIV/0!</v>
      </c>
      <c r="AK1402" t="e">
        <f ca="1">Table1334567[[#This Row],[Call D1]]-Table1334567[[#This Row],[IV Calc C]]*SQRT(Table1334567[[#This Row],[T]])</f>
        <v>#DIV/0!</v>
      </c>
      <c r="AL1402" t="e">
        <f ca="1">Table1334567[[#This Row],[Put D1]]-Table1334567[[#This Row],[IV Calc P]]*SQRT(Table1334567[[#This Row],[T]])</f>
        <v>#DIV/0!</v>
      </c>
      <c r="AM1402" t="e">
        <f ca="1">EXP(-0.5*Table1334567[[#This Row],[Call D1]]^2)/SQRT(2*PI())</f>
        <v>#DIV/0!</v>
      </c>
      <c r="AN1402" t="e">
        <f ca="1">EXP(-0.5*Table1334567[[#This Row],[Put D1]]^2)/SQRT(2*PI())</f>
        <v>#DIV/0!</v>
      </c>
      <c r="AO140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2">
        <f ca="1">((Table1334567[[#This Row],[call vanna]]+Table1334567[[#This Row],[put vanna]])*$A$4)</f>
        <v>0</v>
      </c>
      <c r="AR140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2" s="9" t="str" cm="1">
        <f t="array" ref="AT1402">_xlfn.IFS(     $M$1="SPX","SPXW",     $M$1="RUT","RUTW",  $M$1="NDX","NDXP",   TRUE,$M$1 )</f>
        <v>SPXW</v>
      </c>
      <c r="AU1402" s="2">
        <f t="shared" si="137"/>
        <v>6915</v>
      </c>
      <c r="AV1402" t="str">
        <f t="shared" si="138"/>
        <v>000100</v>
      </c>
      <c r="AY140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2">
        <f>((Table1334567[[#This Row],[High C]]+Table1334567[[#This Row],[Low C]])/2)*Table1334567[[#This Row],[gammac]]*Table1334567[[#This Row],[Volume]]</f>
        <v>0</v>
      </c>
      <c r="BD1402">
        <f>((Table1334567[[#This Row],[High P]]+Table1334567[[#This Row],[Low P]])/2)*Table1334567[[#This Row],[gammap]]*Table1334567[[#This Row],[Volume9]]*-1</f>
        <v>0</v>
      </c>
      <c r="BE1402">
        <f>(Table1334567[[#This Row],[SgammaC]]+Table1334567[[#This Row],[SgammaP]])*$A$4*-100</f>
        <v>0</v>
      </c>
      <c r="BF1402">
        <f>Table1334567[[#This Row],[DEXc]]+Table1334567[[#This Row],[DEXp]]</f>
        <v>0</v>
      </c>
      <c r="BG1402">
        <f>IFERROR(Table1334567[[#This Row],[DeltaC]]*Table1334567[[#This Row],[Open.Int]]*$A$4,0)</f>
        <v>0</v>
      </c>
      <c r="BH1402">
        <f>IFERROR(Table1334567[[#This Row],[DeltaP]]*Table1334567[[#This Row],[Open.Int8]]*$A$4,0)</f>
        <v>0</v>
      </c>
      <c r="BI140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2">
        <f ca="1">Table1334567[[#This Row],[charmc]]+Table1334567[[#This Row],[charmp]]</f>
        <v>0</v>
      </c>
      <c r="BL140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2" s="78">
        <f ca="1">Table1334567[[#This Row],[call helper]]+Table1334567[[#This Row],[put helper]]</f>
        <v>0</v>
      </c>
      <c r="BP1402" t="str">
        <f>RTD("tos.rtd", , "STRIKE", "."&amp;Table1334567[[#This Row],[Ticker]]&amp;Table1334567[[#This Row],[Expiry]]&amp;""&amp;"C"&amp;Table1334567[[#This Row],[Spot]]+Table1334567[[#This Row],[step]])</f>
        <v>N/A</v>
      </c>
    </row>
    <row r="1403" spans="1:68" x14ac:dyDescent="0.25">
      <c r="A1403" s="14">
        <f t="shared" ca="1" si="134"/>
        <v>-126.14810350076104</v>
      </c>
      <c r="C1403" s="17"/>
      <c r="D1403" t="str">
        <f>RTD("tos.rtd", , "OPEN_INT", "."&amp;Table1334567[[#This Row],[Ticker]]&amp;Table1334567[[#This Row],[Expiry]]&amp;""&amp;"C"&amp;Table1334567[[#This Row],[Spot]]+Table1334567[[#This Row],[step]])</f>
        <v>N/A</v>
      </c>
      <c r="E140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3" s="17" cm="1">
        <f t="array" aca="1" ref="H1403" ca="1">IndividualLegIVCore($A$4, Table1334567[[#This Row],[Strike]], 0.0411, Table1334567[[#This Row],[T]], ((Table1334567[[#This Row],[BIDC]]+Table1334567[[#This Row],[ASKC]])/2), TRUE)</f>
        <v>0.01</v>
      </c>
      <c r="I140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3" s="17"/>
      <c r="M1403" s="1">
        <f t="shared" si="135"/>
        <v>0</v>
      </c>
      <c r="N1403" t="b">
        <f t="shared" si="136"/>
        <v>0</v>
      </c>
      <c r="P1403" s="17" cm="1">
        <f t="array" aca="1" ref="P1403" ca="1">IndividualLegIVCore($A$4, Table1334567[[#This Row],[Strike]], 0.0411, Table1334567[[#This Row],[T]], ((Table1334567[[#This Row],[BIDP]]+Table1334567[[#This Row],[ASKP]])/2), FALSE)</f>
        <v>0.01</v>
      </c>
      <c r="Q140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3" s="17"/>
      <c r="T140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3" s="19">
        <f>37.5* IF($M$1="NDX", 10, IF(OR($M$1="SPX", $M$1="RUT"), 2, 1))</f>
        <v>75</v>
      </c>
      <c r="Z1403">
        <f ca="1">IFERROR(Table1334567[[#This Row],[call gamma]]*(Table1334567[[#This Row],[Open.Int]])*$A$4^2,0)</f>
        <v>0</v>
      </c>
      <c r="AA1403">
        <f ca="1">IFERROR(((Table1334567[[#This Row],[Open.Int8]])*Table1334567[[#This Row],[Put gamma]])*-1*$A$4^2,0)</f>
        <v>0</v>
      </c>
      <c r="AB1403">
        <f ca="1">(Table1334567[[#This Row],[Call Gex]]+Table1334567[[#This Row],[Put Gex]])</f>
        <v>0</v>
      </c>
      <c r="AC1403">
        <f ca="1">Table1334567[[#This Row],[put delta adj]]+Table1334567[[#This Row],[call delta adj]]</f>
        <v>0</v>
      </c>
      <c r="AD1403">
        <f ca="1">Table1334567[[#This Row],[Put Gex]]*Table1334567[[#This Row],[DeltaP]]*-1</f>
        <v>0</v>
      </c>
      <c r="AE1403">
        <f ca="1">Table1334567[[#This Row],[Call Gex]]*Table1334567[[#This Row],[DeltaC]]</f>
        <v>0</v>
      </c>
      <c r="AF1403">
        <f>IF(Table1334567[[#This Row],[DeltaC]]-ABS(Table1334567[[#This Row],[DeltaP]])="0","0.01",Table1334567[[#This Row],[DeltaC]]-ABS(Table1334567[[#This Row],[DeltaP]]))</f>
        <v>0</v>
      </c>
      <c r="AG140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3" t="e">
        <f ca="1">(EXP(-(AG1403^2)/2)/SQRT(2*PI())*EXP(0*SQRT(Table1334567[[#This Row],[T]]))/$A$4*18%*SQRT(SQRT(Table1334567[[#This Row],[T]])))</f>
        <v>#DIV/0!</v>
      </c>
      <c r="AJ1403" t="e">
        <f ca="1">(EXP(-(AH1403^2)/2)/SQRT(2*PI())*EXP(0*SQRT(Table1334567[[#This Row],[T]]))/$A$4*18%*SQRT(SQRT(Table1334567[[#This Row],[T]])))</f>
        <v>#DIV/0!</v>
      </c>
      <c r="AK1403" t="e">
        <f ca="1">Table1334567[[#This Row],[Call D1]]-Table1334567[[#This Row],[IV Calc C]]*SQRT(Table1334567[[#This Row],[T]])</f>
        <v>#DIV/0!</v>
      </c>
      <c r="AL1403" t="e">
        <f ca="1">Table1334567[[#This Row],[Put D1]]-Table1334567[[#This Row],[IV Calc P]]*SQRT(Table1334567[[#This Row],[T]])</f>
        <v>#DIV/0!</v>
      </c>
      <c r="AM1403" t="e">
        <f ca="1">EXP(-0.5*Table1334567[[#This Row],[Call D1]]^2)/SQRT(2*PI())</f>
        <v>#DIV/0!</v>
      </c>
      <c r="AN1403" t="e">
        <f ca="1">EXP(-0.5*Table1334567[[#This Row],[Put D1]]^2)/SQRT(2*PI())</f>
        <v>#DIV/0!</v>
      </c>
      <c r="AO140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3">
        <f ca="1">((Table1334567[[#This Row],[call vanna]]+Table1334567[[#This Row],[put vanna]])*$A$4)</f>
        <v>0</v>
      </c>
      <c r="AR140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3" s="9" t="str" cm="1">
        <f t="array" ref="AT1403">_xlfn.IFS(     $M$1="SPX","SPXW",     $M$1="RUT","RUTW",  $M$1="NDX","NDXP",   TRUE,$M$1 )</f>
        <v>SPXW</v>
      </c>
      <c r="AU1403" s="2">
        <f t="shared" si="137"/>
        <v>6915</v>
      </c>
      <c r="AV1403" t="str">
        <f t="shared" si="138"/>
        <v>000100</v>
      </c>
      <c r="AY140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3">
        <f>((Table1334567[[#This Row],[High C]]+Table1334567[[#This Row],[Low C]])/2)*Table1334567[[#This Row],[gammac]]*Table1334567[[#This Row],[Volume]]</f>
        <v>0</v>
      </c>
      <c r="BD1403">
        <f>((Table1334567[[#This Row],[High P]]+Table1334567[[#This Row],[Low P]])/2)*Table1334567[[#This Row],[gammap]]*Table1334567[[#This Row],[Volume9]]*-1</f>
        <v>0</v>
      </c>
      <c r="BE1403">
        <f>(Table1334567[[#This Row],[SgammaC]]+Table1334567[[#This Row],[SgammaP]])*$A$4*-100</f>
        <v>0</v>
      </c>
      <c r="BF1403">
        <f>Table1334567[[#This Row],[DEXc]]+Table1334567[[#This Row],[DEXp]]</f>
        <v>0</v>
      </c>
      <c r="BG1403">
        <f>IFERROR(Table1334567[[#This Row],[DeltaC]]*Table1334567[[#This Row],[Open.Int]]*$A$4,0)</f>
        <v>0</v>
      </c>
      <c r="BH1403">
        <f>IFERROR(Table1334567[[#This Row],[DeltaP]]*Table1334567[[#This Row],[Open.Int8]]*$A$4,0)</f>
        <v>0</v>
      </c>
      <c r="BI140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3">
        <f ca="1">Table1334567[[#This Row],[charmc]]+Table1334567[[#This Row],[charmp]]</f>
        <v>0</v>
      </c>
      <c r="BL140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3" s="78">
        <f ca="1">Table1334567[[#This Row],[call helper]]+Table1334567[[#This Row],[put helper]]</f>
        <v>0</v>
      </c>
      <c r="BP1403" t="str">
        <f>RTD("tos.rtd", , "STRIKE", "."&amp;Table1334567[[#This Row],[Ticker]]&amp;Table1334567[[#This Row],[Expiry]]&amp;""&amp;"C"&amp;Table1334567[[#This Row],[Spot]]+Table1334567[[#This Row],[step]])</f>
        <v>N/A</v>
      </c>
    </row>
    <row r="1404" spans="1:68" x14ac:dyDescent="0.25">
      <c r="A1404" s="14">
        <f t="shared" ca="1" si="134"/>
        <v>-126.14810350076104</v>
      </c>
      <c r="C1404" s="17"/>
      <c r="D1404" t="str">
        <f>RTD("tos.rtd", , "OPEN_INT", "."&amp;Table1334567[[#This Row],[Ticker]]&amp;Table1334567[[#This Row],[Expiry]]&amp;""&amp;"C"&amp;Table1334567[[#This Row],[Spot]]+Table1334567[[#This Row],[step]])</f>
        <v>N/A</v>
      </c>
      <c r="E140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4" s="17" cm="1">
        <f t="array" aca="1" ref="H1404" ca="1">IndividualLegIVCore($A$4, Table1334567[[#This Row],[Strike]], 0.0411, Table1334567[[#This Row],[T]], ((Table1334567[[#This Row],[BIDC]]+Table1334567[[#This Row],[ASKC]])/2), TRUE)</f>
        <v>0.01</v>
      </c>
      <c r="I140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4" s="17"/>
      <c r="M1404" s="1">
        <f t="shared" si="135"/>
        <v>0</v>
      </c>
      <c r="N1404" t="b">
        <f t="shared" si="136"/>
        <v>0</v>
      </c>
      <c r="P1404" s="17" cm="1">
        <f t="array" aca="1" ref="P1404" ca="1">IndividualLegIVCore($A$4, Table1334567[[#This Row],[Strike]], 0.0411, Table1334567[[#This Row],[T]], ((Table1334567[[#This Row],[BIDP]]+Table1334567[[#This Row],[ASKP]])/2), FALSE)</f>
        <v>0.01</v>
      </c>
      <c r="Q140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4" s="17"/>
      <c r="T140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4" s="19">
        <f>38* IF($M$1="NDX", 10, IF(OR($M$1="SPX", $M$1="RUT"), 2, 1))</f>
        <v>76</v>
      </c>
      <c r="Z1404">
        <f ca="1">IFERROR(Table1334567[[#This Row],[call gamma]]*(Table1334567[[#This Row],[Open.Int]])*$A$4^2,0)</f>
        <v>0</v>
      </c>
      <c r="AA1404">
        <f ca="1">IFERROR(((Table1334567[[#This Row],[Open.Int8]])*Table1334567[[#This Row],[Put gamma]])*-1*$A$4^2,0)</f>
        <v>0</v>
      </c>
      <c r="AB1404">
        <f ca="1">(Table1334567[[#This Row],[Call Gex]]+Table1334567[[#This Row],[Put Gex]])</f>
        <v>0</v>
      </c>
      <c r="AC1404">
        <f ca="1">Table1334567[[#This Row],[put delta adj]]+Table1334567[[#This Row],[call delta adj]]</f>
        <v>0</v>
      </c>
      <c r="AD1404">
        <f ca="1">Table1334567[[#This Row],[Put Gex]]*Table1334567[[#This Row],[DeltaP]]*-1</f>
        <v>0</v>
      </c>
      <c r="AE1404">
        <f ca="1">Table1334567[[#This Row],[Call Gex]]*Table1334567[[#This Row],[DeltaC]]</f>
        <v>0</v>
      </c>
      <c r="AF1404">
        <f>IF(Table1334567[[#This Row],[DeltaC]]-ABS(Table1334567[[#This Row],[DeltaP]])="0","0.01",Table1334567[[#This Row],[DeltaC]]-ABS(Table1334567[[#This Row],[DeltaP]]))</f>
        <v>0</v>
      </c>
      <c r="AG140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4" t="e">
        <f ca="1">(EXP(-(AG1404^2)/2)/SQRT(2*PI())*EXP(0*SQRT(Table1334567[[#This Row],[T]]))/$A$4*18%*SQRT(SQRT(Table1334567[[#This Row],[T]])))</f>
        <v>#DIV/0!</v>
      </c>
      <c r="AJ1404" t="e">
        <f ca="1">(EXP(-(AH1404^2)/2)/SQRT(2*PI())*EXP(0*SQRT(Table1334567[[#This Row],[T]]))/$A$4*18%*SQRT(SQRT(Table1334567[[#This Row],[T]])))</f>
        <v>#DIV/0!</v>
      </c>
      <c r="AK1404" t="e">
        <f ca="1">Table1334567[[#This Row],[Call D1]]-Table1334567[[#This Row],[IV Calc C]]*SQRT(Table1334567[[#This Row],[T]])</f>
        <v>#DIV/0!</v>
      </c>
      <c r="AL1404" t="e">
        <f ca="1">Table1334567[[#This Row],[Put D1]]-Table1334567[[#This Row],[IV Calc P]]*SQRT(Table1334567[[#This Row],[T]])</f>
        <v>#DIV/0!</v>
      </c>
      <c r="AM1404" t="e">
        <f ca="1">EXP(-0.5*Table1334567[[#This Row],[Call D1]]^2)/SQRT(2*PI())</f>
        <v>#DIV/0!</v>
      </c>
      <c r="AN1404" t="e">
        <f ca="1">EXP(-0.5*Table1334567[[#This Row],[Put D1]]^2)/SQRT(2*PI())</f>
        <v>#DIV/0!</v>
      </c>
      <c r="AO140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4">
        <f ca="1">((Table1334567[[#This Row],[call vanna]]+Table1334567[[#This Row],[put vanna]])*$A$4)</f>
        <v>0</v>
      </c>
      <c r="AR140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4" s="9" t="str" cm="1">
        <f t="array" ref="AT1404">_xlfn.IFS(     $M$1="SPX","SPXW",     $M$1="RUT","RUTW",  $M$1="NDX","NDXP",   TRUE,$M$1 )</f>
        <v>SPXW</v>
      </c>
      <c r="AU1404" s="2">
        <f t="shared" si="137"/>
        <v>6915</v>
      </c>
      <c r="AV1404" t="str">
        <f t="shared" si="138"/>
        <v>000100</v>
      </c>
      <c r="AY140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4">
        <f>((Table1334567[[#This Row],[High C]]+Table1334567[[#This Row],[Low C]])/2)*Table1334567[[#This Row],[gammac]]*Table1334567[[#This Row],[Volume]]</f>
        <v>0</v>
      </c>
      <c r="BD1404">
        <f>((Table1334567[[#This Row],[High P]]+Table1334567[[#This Row],[Low P]])/2)*Table1334567[[#This Row],[gammap]]*Table1334567[[#This Row],[Volume9]]*-1</f>
        <v>0</v>
      </c>
      <c r="BE1404">
        <f>(Table1334567[[#This Row],[SgammaC]]+Table1334567[[#This Row],[SgammaP]])*$A$4*-100</f>
        <v>0</v>
      </c>
      <c r="BF1404">
        <f>Table1334567[[#This Row],[DEXc]]+Table1334567[[#This Row],[DEXp]]</f>
        <v>0</v>
      </c>
      <c r="BG1404">
        <f>IFERROR(Table1334567[[#This Row],[DeltaC]]*Table1334567[[#This Row],[Open.Int]]*$A$4,0)</f>
        <v>0</v>
      </c>
      <c r="BH1404">
        <f>IFERROR(Table1334567[[#This Row],[DeltaP]]*Table1334567[[#This Row],[Open.Int8]]*$A$4,0)</f>
        <v>0</v>
      </c>
      <c r="BI140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4">
        <f ca="1">Table1334567[[#This Row],[charmc]]+Table1334567[[#This Row],[charmp]]</f>
        <v>0</v>
      </c>
      <c r="BL140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4" s="78">
        <f ca="1">Table1334567[[#This Row],[call helper]]+Table1334567[[#This Row],[put helper]]</f>
        <v>0</v>
      </c>
      <c r="BP1404" t="str">
        <f>RTD("tos.rtd", , "STRIKE", "."&amp;Table1334567[[#This Row],[Ticker]]&amp;Table1334567[[#This Row],[Expiry]]&amp;""&amp;"C"&amp;Table1334567[[#This Row],[Spot]]+Table1334567[[#This Row],[step]])</f>
        <v>N/A</v>
      </c>
    </row>
    <row r="1405" spans="1:68" x14ac:dyDescent="0.25">
      <c r="A1405" s="14">
        <f t="shared" ca="1" si="134"/>
        <v>-126.14810350076104</v>
      </c>
      <c r="C1405" s="17"/>
      <c r="D1405" t="str">
        <f>RTD("tos.rtd", , "OPEN_INT", "."&amp;Table1334567[[#This Row],[Ticker]]&amp;Table1334567[[#This Row],[Expiry]]&amp;""&amp;"C"&amp;Table1334567[[#This Row],[Spot]]+Table1334567[[#This Row],[step]])</f>
        <v>N/A</v>
      </c>
      <c r="E140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5" s="17" cm="1">
        <f t="array" aca="1" ref="H1405" ca="1">IndividualLegIVCore($A$4, Table1334567[[#This Row],[Strike]], 0.0411, Table1334567[[#This Row],[T]], ((Table1334567[[#This Row],[BIDC]]+Table1334567[[#This Row],[ASKC]])/2), TRUE)</f>
        <v>0.01</v>
      </c>
      <c r="I140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5" s="17"/>
      <c r="M1405" s="1">
        <f t="shared" si="135"/>
        <v>0</v>
      </c>
      <c r="N1405" t="b">
        <f t="shared" si="136"/>
        <v>0</v>
      </c>
      <c r="P1405" s="17" cm="1">
        <f t="array" aca="1" ref="P1405" ca="1">IndividualLegIVCore($A$4, Table1334567[[#This Row],[Strike]], 0.0411, Table1334567[[#This Row],[T]], ((Table1334567[[#This Row],[BIDP]]+Table1334567[[#This Row],[ASKP]])/2), FALSE)</f>
        <v>0.01</v>
      </c>
      <c r="Q140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5" s="17"/>
      <c r="T140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5" s="19">
        <f>38.5* IF($M$1="NDX", 10, IF(OR($M$1="SPX", $M$1="RUT"), 2, 1))</f>
        <v>77</v>
      </c>
      <c r="Z1405">
        <f ca="1">IFERROR(Table1334567[[#This Row],[call gamma]]*(Table1334567[[#This Row],[Open.Int]])*$A$4^2,0)</f>
        <v>0</v>
      </c>
      <c r="AA1405">
        <f ca="1">IFERROR(((Table1334567[[#This Row],[Open.Int8]])*Table1334567[[#This Row],[Put gamma]])*-1*$A$4^2,0)</f>
        <v>0</v>
      </c>
      <c r="AB1405">
        <f ca="1">(Table1334567[[#This Row],[Call Gex]]+Table1334567[[#This Row],[Put Gex]])</f>
        <v>0</v>
      </c>
      <c r="AC1405">
        <f ca="1">Table1334567[[#This Row],[put delta adj]]+Table1334567[[#This Row],[call delta adj]]</f>
        <v>0</v>
      </c>
      <c r="AD1405">
        <f ca="1">Table1334567[[#This Row],[Put Gex]]*Table1334567[[#This Row],[DeltaP]]*-1</f>
        <v>0</v>
      </c>
      <c r="AE1405">
        <f ca="1">Table1334567[[#This Row],[Call Gex]]*Table1334567[[#This Row],[DeltaC]]</f>
        <v>0</v>
      </c>
      <c r="AF1405">
        <f>IF(Table1334567[[#This Row],[DeltaC]]-ABS(Table1334567[[#This Row],[DeltaP]])="0","0.01",Table1334567[[#This Row],[DeltaC]]-ABS(Table1334567[[#This Row],[DeltaP]]))</f>
        <v>0</v>
      </c>
      <c r="AG140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5" t="e">
        <f ca="1">(EXP(-(AG1405^2)/2)/SQRT(2*PI())*EXP(0*SQRT(Table1334567[[#This Row],[T]]))/$A$4*18%*SQRT(SQRT(Table1334567[[#This Row],[T]])))</f>
        <v>#DIV/0!</v>
      </c>
      <c r="AJ1405" t="e">
        <f ca="1">(EXP(-(AH1405^2)/2)/SQRT(2*PI())*EXP(0*SQRT(Table1334567[[#This Row],[T]]))/$A$4*18%*SQRT(SQRT(Table1334567[[#This Row],[T]])))</f>
        <v>#DIV/0!</v>
      </c>
      <c r="AK1405" t="e">
        <f ca="1">Table1334567[[#This Row],[Call D1]]-Table1334567[[#This Row],[IV Calc C]]*SQRT(Table1334567[[#This Row],[T]])</f>
        <v>#DIV/0!</v>
      </c>
      <c r="AL1405" t="e">
        <f ca="1">Table1334567[[#This Row],[Put D1]]-Table1334567[[#This Row],[IV Calc P]]*SQRT(Table1334567[[#This Row],[T]])</f>
        <v>#DIV/0!</v>
      </c>
      <c r="AM1405" t="e">
        <f ca="1">EXP(-0.5*Table1334567[[#This Row],[Call D1]]^2)/SQRT(2*PI())</f>
        <v>#DIV/0!</v>
      </c>
      <c r="AN1405" t="e">
        <f ca="1">EXP(-0.5*Table1334567[[#This Row],[Put D1]]^2)/SQRT(2*PI())</f>
        <v>#DIV/0!</v>
      </c>
      <c r="AO140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5">
        <f ca="1">((Table1334567[[#This Row],[call vanna]]+Table1334567[[#This Row],[put vanna]])*$A$4)</f>
        <v>0</v>
      </c>
      <c r="AR140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5" s="9" t="str" cm="1">
        <f t="array" ref="AT1405">_xlfn.IFS(     $M$1="SPX","SPXW",     $M$1="RUT","RUTW",  $M$1="NDX","NDXP",   TRUE,$M$1 )</f>
        <v>SPXW</v>
      </c>
      <c r="AU1405" s="2">
        <f t="shared" si="137"/>
        <v>6915</v>
      </c>
      <c r="AV1405" t="str">
        <f t="shared" si="138"/>
        <v>000100</v>
      </c>
      <c r="AY140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5">
        <f>((Table1334567[[#This Row],[High C]]+Table1334567[[#This Row],[Low C]])/2)*Table1334567[[#This Row],[gammac]]*Table1334567[[#This Row],[Volume]]</f>
        <v>0</v>
      </c>
      <c r="BD1405">
        <f>((Table1334567[[#This Row],[High P]]+Table1334567[[#This Row],[Low P]])/2)*Table1334567[[#This Row],[gammap]]*Table1334567[[#This Row],[Volume9]]*-1</f>
        <v>0</v>
      </c>
      <c r="BE1405">
        <f>(Table1334567[[#This Row],[SgammaC]]+Table1334567[[#This Row],[SgammaP]])*$A$4*-100</f>
        <v>0</v>
      </c>
      <c r="BF1405">
        <f>Table1334567[[#This Row],[DEXc]]+Table1334567[[#This Row],[DEXp]]</f>
        <v>0</v>
      </c>
      <c r="BG1405">
        <f>IFERROR(Table1334567[[#This Row],[DeltaC]]*Table1334567[[#This Row],[Open.Int]]*$A$4,0)</f>
        <v>0</v>
      </c>
      <c r="BH1405">
        <f>IFERROR(Table1334567[[#This Row],[DeltaP]]*Table1334567[[#This Row],[Open.Int8]]*$A$4,0)</f>
        <v>0</v>
      </c>
      <c r="BI140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5">
        <f ca="1">Table1334567[[#This Row],[charmc]]+Table1334567[[#This Row],[charmp]]</f>
        <v>0</v>
      </c>
      <c r="BL140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5" s="78">
        <f ca="1">Table1334567[[#This Row],[call helper]]+Table1334567[[#This Row],[put helper]]</f>
        <v>0</v>
      </c>
      <c r="BP1405" t="str">
        <f>RTD("tos.rtd", , "STRIKE", "."&amp;Table1334567[[#This Row],[Ticker]]&amp;Table1334567[[#This Row],[Expiry]]&amp;""&amp;"C"&amp;Table1334567[[#This Row],[Spot]]+Table1334567[[#This Row],[step]])</f>
        <v>N/A</v>
      </c>
    </row>
    <row r="1406" spans="1:68" x14ac:dyDescent="0.25">
      <c r="A1406" s="14">
        <f t="shared" ca="1" si="134"/>
        <v>-126.14810350076104</v>
      </c>
      <c r="C1406" s="17"/>
      <c r="D1406" t="str">
        <f>RTD("tos.rtd", , "OPEN_INT", "."&amp;Table1334567[[#This Row],[Ticker]]&amp;Table1334567[[#This Row],[Expiry]]&amp;""&amp;"C"&amp;Table1334567[[#This Row],[Spot]]+Table1334567[[#This Row],[step]])</f>
        <v>N/A</v>
      </c>
      <c r="E140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6" s="17" cm="1">
        <f t="array" aca="1" ref="H1406" ca="1">IndividualLegIVCore($A$4, Table1334567[[#This Row],[Strike]], 0.0411, Table1334567[[#This Row],[T]], ((Table1334567[[#This Row],[BIDC]]+Table1334567[[#This Row],[ASKC]])/2), TRUE)</f>
        <v>0.01</v>
      </c>
      <c r="I140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6" s="17"/>
      <c r="M1406" s="1">
        <f t="shared" si="135"/>
        <v>0</v>
      </c>
      <c r="N1406" t="b">
        <f t="shared" si="136"/>
        <v>0</v>
      </c>
      <c r="P1406" s="17" cm="1">
        <f t="array" aca="1" ref="P1406" ca="1">IndividualLegIVCore($A$4, Table1334567[[#This Row],[Strike]], 0.0411, Table1334567[[#This Row],[T]], ((Table1334567[[#This Row],[BIDP]]+Table1334567[[#This Row],[ASKP]])/2), FALSE)</f>
        <v>0.01</v>
      </c>
      <c r="Q140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6" s="17"/>
      <c r="T140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6" s="19">
        <f>39* IF($M$1="NDX", 10, IF(OR($M$1="SPX", $M$1="RUT"), 2, 1))</f>
        <v>78</v>
      </c>
      <c r="Z1406">
        <f ca="1">IFERROR(Table1334567[[#This Row],[call gamma]]*(Table1334567[[#This Row],[Open.Int]])*$A$4^2,0)</f>
        <v>0</v>
      </c>
      <c r="AA1406">
        <f ca="1">IFERROR(((Table1334567[[#This Row],[Open.Int8]])*Table1334567[[#This Row],[Put gamma]])*-1*$A$4^2,0)</f>
        <v>0</v>
      </c>
      <c r="AB1406">
        <f ca="1">(Table1334567[[#This Row],[Call Gex]]+Table1334567[[#This Row],[Put Gex]])</f>
        <v>0</v>
      </c>
      <c r="AC1406">
        <f ca="1">Table1334567[[#This Row],[put delta adj]]+Table1334567[[#This Row],[call delta adj]]</f>
        <v>0</v>
      </c>
      <c r="AD1406">
        <f ca="1">Table1334567[[#This Row],[Put Gex]]*Table1334567[[#This Row],[DeltaP]]*-1</f>
        <v>0</v>
      </c>
      <c r="AE1406">
        <f ca="1">Table1334567[[#This Row],[Call Gex]]*Table1334567[[#This Row],[DeltaC]]</f>
        <v>0</v>
      </c>
      <c r="AF1406">
        <f>IF(Table1334567[[#This Row],[DeltaC]]-ABS(Table1334567[[#This Row],[DeltaP]])="0","0.01",Table1334567[[#This Row],[DeltaC]]-ABS(Table1334567[[#This Row],[DeltaP]]))</f>
        <v>0</v>
      </c>
      <c r="AG140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6" t="e">
        <f ca="1">(EXP(-(AG1406^2)/2)/SQRT(2*PI())*EXP(0*SQRT(Table1334567[[#This Row],[T]]))/$A$4*18%*SQRT(SQRT(Table1334567[[#This Row],[T]])))</f>
        <v>#DIV/0!</v>
      </c>
      <c r="AJ1406" t="e">
        <f ca="1">(EXP(-(AH1406^2)/2)/SQRT(2*PI())*EXP(0*SQRT(Table1334567[[#This Row],[T]]))/$A$4*18%*SQRT(SQRT(Table1334567[[#This Row],[T]])))</f>
        <v>#DIV/0!</v>
      </c>
      <c r="AK1406" t="e">
        <f ca="1">Table1334567[[#This Row],[Call D1]]-Table1334567[[#This Row],[IV Calc C]]*SQRT(Table1334567[[#This Row],[T]])</f>
        <v>#DIV/0!</v>
      </c>
      <c r="AL1406" t="e">
        <f ca="1">Table1334567[[#This Row],[Put D1]]-Table1334567[[#This Row],[IV Calc P]]*SQRT(Table1334567[[#This Row],[T]])</f>
        <v>#DIV/0!</v>
      </c>
      <c r="AM1406" t="e">
        <f ca="1">EXP(-0.5*Table1334567[[#This Row],[Call D1]]^2)/SQRT(2*PI())</f>
        <v>#DIV/0!</v>
      </c>
      <c r="AN1406" t="e">
        <f ca="1">EXP(-0.5*Table1334567[[#This Row],[Put D1]]^2)/SQRT(2*PI())</f>
        <v>#DIV/0!</v>
      </c>
      <c r="AO140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6">
        <f ca="1">((Table1334567[[#This Row],[call vanna]]+Table1334567[[#This Row],[put vanna]])*$A$4)</f>
        <v>0</v>
      </c>
      <c r="AR140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6" s="9" t="str" cm="1">
        <f t="array" ref="AT1406">_xlfn.IFS(     $M$1="SPX","SPXW",     $M$1="RUT","RUTW",  $M$1="NDX","NDXP",   TRUE,$M$1 )</f>
        <v>SPXW</v>
      </c>
      <c r="AU1406" s="2">
        <f t="shared" si="137"/>
        <v>6915</v>
      </c>
      <c r="AV1406" t="str">
        <f t="shared" si="138"/>
        <v>000100</v>
      </c>
      <c r="AY140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6">
        <f>((Table1334567[[#This Row],[High C]]+Table1334567[[#This Row],[Low C]])/2)*Table1334567[[#This Row],[gammac]]*Table1334567[[#This Row],[Volume]]</f>
        <v>0</v>
      </c>
      <c r="BD1406">
        <f>((Table1334567[[#This Row],[High P]]+Table1334567[[#This Row],[Low P]])/2)*Table1334567[[#This Row],[gammap]]*Table1334567[[#This Row],[Volume9]]*-1</f>
        <v>0</v>
      </c>
      <c r="BE1406">
        <f>(Table1334567[[#This Row],[SgammaC]]+Table1334567[[#This Row],[SgammaP]])*$A$4*-100</f>
        <v>0</v>
      </c>
      <c r="BF1406">
        <f>Table1334567[[#This Row],[DEXc]]+Table1334567[[#This Row],[DEXp]]</f>
        <v>0</v>
      </c>
      <c r="BG1406">
        <f>IFERROR(Table1334567[[#This Row],[DeltaC]]*Table1334567[[#This Row],[Open.Int]]*$A$4,0)</f>
        <v>0</v>
      </c>
      <c r="BH1406">
        <f>IFERROR(Table1334567[[#This Row],[DeltaP]]*Table1334567[[#This Row],[Open.Int8]]*$A$4,0)</f>
        <v>0</v>
      </c>
      <c r="BI140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6">
        <f ca="1">Table1334567[[#This Row],[charmc]]+Table1334567[[#This Row],[charmp]]</f>
        <v>0</v>
      </c>
      <c r="BL140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6" s="78">
        <f ca="1">Table1334567[[#This Row],[call helper]]+Table1334567[[#This Row],[put helper]]</f>
        <v>0</v>
      </c>
      <c r="BP1406" t="str">
        <f>RTD("tos.rtd", , "STRIKE", "."&amp;Table1334567[[#This Row],[Ticker]]&amp;Table1334567[[#This Row],[Expiry]]&amp;""&amp;"C"&amp;Table1334567[[#This Row],[Spot]]+Table1334567[[#This Row],[step]])</f>
        <v>N/A</v>
      </c>
    </row>
    <row r="1407" spans="1:68" x14ac:dyDescent="0.25">
      <c r="A1407" s="14">
        <f t="shared" ca="1" si="134"/>
        <v>-126.14810350076104</v>
      </c>
      <c r="C1407" s="17"/>
      <c r="D1407" t="str">
        <f>RTD("tos.rtd", , "OPEN_INT", "."&amp;Table1334567[[#This Row],[Ticker]]&amp;Table1334567[[#This Row],[Expiry]]&amp;""&amp;"C"&amp;Table1334567[[#This Row],[Spot]]+Table1334567[[#This Row],[step]])</f>
        <v>N/A</v>
      </c>
      <c r="E140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7" s="17" cm="1">
        <f t="array" aca="1" ref="H1407" ca="1">IndividualLegIVCore($A$4, Table1334567[[#This Row],[Strike]], 0.0411, Table1334567[[#This Row],[T]], ((Table1334567[[#This Row],[BIDC]]+Table1334567[[#This Row],[ASKC]])/2), TRUE)</f>
        <v>0.01</v>
      </c>
      <c r="I140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7" s="17"/>
      <c r="M1407" s="1">
        <f t="shared" si="135"/>
        <v>0</v>
      </c>
      <c r="N1407" t="b">
        <f t="shared" si="136"/>
        <v>0</v>
      </c>
      <c r="P1407" s="17" cm="1">
        <f t="array" aca="1" ref="P1407" ca="1">IndividualLegIVCore($A$4, Table1334567[[#This Row],[Strike]], 0.0411, Table1334567[[#This Row],[T]], ((Table1334567[[#This Row],[BIDP]]+Table1334567[[#This Row],[ASKP]])/2), FALSE)</f>
        <v>0.01</v>
      </c>
      <c r="Q140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7" s="17"/>
      <c r="T140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7" s="19">
        <f>39.5* IF($M$1="NDX", 10, IF(OR($M$1="SPX", $M$1="RUT"), 2, 1))</f>
        <v>79</v>
      </c>
      <c r="Z1407">
        <f ca="1">IFERROR(Table1334567[[#This Row],[call gamma]]*(Table1334567[[#This Row],[Open.Int]])*$A$4^2,0)</f>
        <v>0</v>
      </c>
      <c r="AA1407">
        <f ca="1">IFERROR(((Table1334567[[#This Row],[Open.Int8]])*Table1334567[[#This Row],[Put gamma]])*-1*$A$4^2,0)</f>
        <v>0</v>
      </c>
      <c r="AB1407">
        <f ca="1">(Table1334567[[#This Row],[Call Gex]]+Table1334567[[#This Row],[Put Gex]])</f>
        <v>0</v>
      </c>
      <c r="AC1407">
        <f ca="1">Table1334567[[#This Row],[put delta adj]]+Table1334567[[#This Row],[call delta adj]]</f>
        <v>0</v>
      </c>
      <c r="AD1407">
        <f ca="1">Table1334567[[#This Row],[Put Gex]]*Table1334567[[#This Row],[DeltaP]]*-1</f>
        <v>0</v>
      </c>
      <c r="AE1407">
        <f ca="1">Table1334567[[#This Row],[Call Gex]]*Table1334567[[#This Row],[DeltaC]]</f>
        <v>0</v>
      </c>
      <c r="AF1407">
        <f>IF(Table1334567[[#This Row],[DeltaC]]-ABS(Table1334567[[#This Row],[DeltaP]])="0","0.01",Table1334567[[#This Row],[DeltaC]]-ABS(Table1334567[[#This Row],[DeltaP]]))</f>
        <v>0</v>
      </c>
      <c r="AG140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7" t="e">
        <f ca="1">(EXP(-(AG1407^2)/2)/SQRT(2*PI())*EXP(0*SQRT(Table1334567[[#This Row],[T]]))/$A$4*18%*SQRT(SQRT(Table1334567[[#This Row],[T]])))</f>
        <v>#DIV/0!</v>
      </c>
      <c r="AJ1407" t="e">
        <f ca="1">(EXP(-(AH1407^2)/2)/SQRT(2*PI())*EXP(0*SQRT(Table1334567[[#This Row],[T]]))/$A$4*18%*SQRT(SQRT(Table1334567[[#This Row],[T]])))</f>
        <v>#DIV/0!</v>
      </c>
      <c r="AK1407" t="e">
        <f ca="1">Table1334567[[#This Row],[Call D1]]-Table1334567[[#This Row],[IV Calc C]]*SQRT(Table1334567[[#This Row],[T]])</f>
        <v>#DIV/0!</v>
      </c>
      <c r="AL1407" t="e">
        <f ca="1">Table1334567[[#This Row],[Put D1]]-Table1334567[[#This Row],[IV Calc P]]*SQRT(Table1334567[[#This Row],[T]])</f>
        <v>#DIV/0!</v>
      </c>
      <c r="AM1407" t="e">
        <f ca="1">EXP(-0.5*Table1334567[[#This Row],[Call D1]]^2)/SQRT(2*PI())</f>
        <v>#DIV/0!</v>
      </c>
      <c r="AN1407" t="e">
        <f ca="1">EXP(-0.5*Table1334567[[#This Row],[Put D1]]^2)/SQRT(2*PI())</f>
        <v>#DIV/0!</v>
      </c>
      <c r="AO140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7">
        <f ca="1">((Table1334567[[#This Row],[call vanna]]+Table1334567[[#This Row],[put vanna]])*$A$4)</f>
        <v>0</v>
      </c>
      <c r="AR140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7" s="9" t="str" cm="1">
        <f t="array" ref="AT1407">_xlfn.IFS(     $M$1="SPX","SPXW",     $M$1="RUT","RUTW",  $M$1="NDX","NDXP",   TRUE,$M$1 )</f>
        <v>SPXW</v>
      </c>
      <c r="AU1407" s="2">
        <f t="shared" si="137"/>
        <v>6915</v>
      </c>
      <c r="AV1407" t="str">
        <f t="shared" si="138"/>
        <v>000100</v>
      </c>
      <c r="AY140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7">
        <f>((Table1334567[[#This Row],[High C]]+Table1334567[[#This Row],[Low C]])/2)*Table1334567[[#This Row],[gammac]]*Table1334567[[#This Row],[Volume]]</f>
        <v>0</v>
      </c>
      <c r="BD1407">
        <f>((Table1334567[[#This Row],[High P]]+Table1334567[[#This Row],[Low P]])/2)*Table1334567[[#This Row],[gammap]]*Table1334567[[#This Row],[Volume9]]*-1</f>
        <v>0</v>
      </c>
      <c r="BE1407">
        <f>(Table1334567[[#This Row],[SgammaC]]+Table1334567[[#This Row],[SgammaP]])*$A$4*-100</f>
        <v>0</v>
      </c>
      <c r="BF1407">
        <f>Table1334567[[#This Row],[DEXc]]+Table1334567[[#This Row],[DEXp]]</f>
        <v>0</v>
      </c>
      <c r="BG1407">
        <f>IFERROR(Table1334567[[#This Row],[DeltaC]]*Table1334567[[#This Row],[Open.Int]]*$A$4,0)</f>
        <v>0</v>
      </c>
      <c r="BH1407">
        <f>IFERROR(Table1334567[[#This Row],[DeltaP]]*Table1334567[[#This Row],[Open.Int8]]*$A$4,0)</f>
        <v>0</v>
      </c>
      <c r="BI140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7">
        <f ca="1">Table1334567[[#This Row],[charmc]]+Table1334567[[#This Row],[charmp]]</f>
        <v>0</v>
      </c>
      <c r="BL140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7" s="78">
        <f ca="1">Table1334567[[#This Row],[call helper]]+Table1334567[[#This Row],[put helper]]</f>
        <v>0</v>
      </c>
      <c r="BP1407" t="str">
        <f>RTD("tos.rtd", , "STRIKE", "."&amp;Table1334567[[#This Row],[Ticker]]&amp;Table1334567[[#This Row],[Expiry]]&amp;""&amp;"C"&amp;Table1334567[[#This Row],[Spot]]+Table1334567[[#This Row],[step]])</f>
        <v>N/A</v>
      </c>
    </row>
    <row r="1408" spans="1:68" x14ac:dyDescent="0.25">
      <c r="A1408" s="14">
        <f t="shared" ca="1" si="134"/>
        <v>-126.14810350076104</v>
      </c>
      <c r="C1408" s="17"/>
      <c r="D1408" t="str">
        <f>RTD("tos.rtd", , "OPEN_INT", "."&amp;Table1334567[[#This Row],[Ticker]]&amp;Table1334567[[#This Row],[Expiry]]&amp;""&amp;"C"&amp;Table1334567[[#This Row],[Spot]]+Table1334567[[#This Row],[step]])</f>
        <v>N/A</v>
      </c>
      <c r="E140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8" s="17" cm="1">
        <f t="array" aca="1" ref="H1408" ca="1">IndividualLegIVCore($A$4, Table1334567[[#This Row],[Strike]], 0.0411, Table1334567[[#This Row],[T]], ((Table1334567[[#This Row],[BIDC]]+Table1334567[[#This Row],[ASKC]])/2), TRUE)</f>
        <v>0.01</v>
      </c>
      <c r="I140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8" s="17"/>
      <c r="M1408" s="1">
        <f t="shared" si="135"/>
        <v>0</v>
      </c>
      <c r="N1408" t="b">
        <f t="shared" si="136"/>
        <v>0</v>
      </c>
      <c r="P1408" s="17" cm="1">
        <f t="array" aca="1" ref="P1408" ca="1">IndividualLegIVCore($A$4, Table1334567[[#This Row],[Strike]], 0.0411, Table1334567[[#This Row],[T]], ((Table1334567[[#This Row],[BIDP]]+Table1334567[[#This Row],[ASKP]])/2), FALSE)</f>
        <v>0.01</v>
      </c>
      <c r="Q140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8" s="17"/>
      <c r="T140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8" s="19">
        <f>40* IF($M$1="NDX", 10, IF(OR($M$1="SPX", $M$1="RUT"), 2, 1))</f>
        <v>80</v>
      </c>
      <c r="Z1408">
        <f ca="1">IFERROR(Table1334567[[#This Row],[call gamma]]*(Table1334567[[#This Row],[Open.Int]])*$A$4^2,0)</f>
        <v>0</v>
      </c>
      <c r="AA1408">
        <f ca="1">IFERROR(((Table1334567[[#This Row],[Open.Int8]])*Table1334567[[#This Row],[Put gamma]])*-1*$A$4^2,0)</f>
        <v>0</v>
      </c>
      <c r="AB1408">
        <f ca="1">(Table1334567[[#This Row],[Call Gex]]+Table1334567[[#This Row],[Put Gex]])</f>
        <v>0</v>
      </c>
      <c r="AC1408">
        <f ca="1">Table1334567[[#This Row],[put delta adj]]+Table1334567[[#This Row],[call delta adj]]</f>
        <v>0</v>
      </c>
      <c r="AD1408">
        <f ca="1">Table1334567[[#This Row],[Put Gex]]*Table1334567[[#This Row],[DeltaP]]*-1</f>
        <v>0</v>
      </c>
      <c r="AE1408">
        <f ca="1">Table1334567[[#This Row],[Call Gex]]*Table1334567[[#This Row],[DeltaC]]</f>
        <v>0</v>
      </c>
      <c r="AF1408">
        <f>IF(Table1334567[[#This Row],[DeltaC]]-ABS(Table1334567[[#This Row],[DeltaP]])="0","0.01",Table1334567[[#This Row],[DeltaC]]-ABS(Table1334567[[#This Row],[DeltaP]]))</f>
        <v>0</v>
      </c>
      <c r="AG140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8" t="e">
        <f ca="1">(EXP(-(AG1408^2)/2)/SQRT(2*PI())*EXP(0*SQRT(Table1334567[[#This Row],[T]]))/$A$4*18%*SQRT(SQRT(Table1334567[[#This Row],[T]])))</f>
        <v>#DIV/0!</v>
      </c>
      <c r="AJ1408" t="e">
        <f ca="1">(EXP(-(AH1408^2)/2)/SQRT(2*PI())*EXP(0*SQRT(Table1334567[[#This Row],[T]]))/$A$4*18%*SQRT(SQRT(Table1334567[[#This Row],[T]])))</f>
        <v>#DIV/0!</v>
      </c>
      <c r="AK1408" t="e">
        <f ca="1">Table1334567[[#This Row],[Call D1]]-Table1334567[[#This Row],[IV Calc C]]*SQRT(Table1334567[[#This Row],[T]])</f>
        <v>#DIV/0!</v>
      </c>
      <c r="AL1408" t="e">
        <f ca="1">Table1334567[[#This Row],[Put D1]]-Table1334567[[#This Row],[IV Calc P]]*SQRT(Table1334567[[#This Row],[T]])</f>
        <v>#DIV/0!</v>
      </c>
      <c r="AM1408" t="e">
        <f ca="1">EXP(-0.5*Table1334567[[#This Row],[Call D1]]^2)/SQRT(2*PI())</f>
        <v>#DIV/0!</v>
      </c>
      <c r="AN1408" t="e">
        <f ca="1">EXP(-0.5*Table1334567[[#This Row],[Put D1]]^2)/SQRT(2*PI())</f>
        <v>#DIV/0!</v>
      </c>
      <c r="AO140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8">
        <f ca="1">((Table1334567[[#This Row],[call vanna]]+Table1334567[[#This Row],[put vanna]])*$A$4)</f>
        <v>0</v>
      </c>
      <c r="AR140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8" s="9" t="str" cm="1">
        <f t="array" ref="AT1408">_xlfn.IFS(     $M$1="SPX","SPXW",     $M$1="RUT","RUTW",  $M$1="NDX","NDXP",   TRUE,$M$1 )</f>
        <v>SPXW</v>
      </c>
      <c r="AU1408" s="2">
        <f t="shared" si="137"/>
        <v>6915</v>
      </c>
      <c r="AV1408" t="str">
        <f t="shared" si="138"/>
        <v>000100</v>
      </c>
      <c r="AY140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8">
        <f>((Table1334567[[#This Row],[High C]]+Table1334567[[#This Row],[Low C]])/2)*Table1334567[[#This Row],[gammac]]*Table1334567[[#This Row],[Volume]]</f>
        <v>0</v>
      </c>
      <c r="BD1408">
        <f>((Table1334567[[#This Row],[High P]]+Table1334567[[#This Row],[Low P]])/2)*Table1334567[[#This Row],[gammap]]*Table1334567[[#This Row],[Volume9]]*-1</f>
        <v>0</v>
      </c>
      <c r="BE1408">
        <f>(Table1334567[[#This Row],[SgammaC]]+Table1334567[[#This Row],[SgammaP]])*$A$4*-100</f>
        <v>0</v>
      </c>
      <c r="BF1408">
        <f>Table1334567[[#This Row],[DEXc]]+Table1334567[[#This Row],[DEXp]]</f>
        <v>0</v>
      </c>
      <c r="BG1408">
        <f>IFERROR(Table1334567[[#This Row],[DeltaC]]*Table1334567[[#This Row],[Open.Int]]*$A$4,0)</f>
        <v>0</v>
      </c>
      <c r="BH1408">
        <f>IFERROR(Table1334567[[#This Row],[DeltaP]]*Table1334567[[#This Row],[Open.Int8]]*$A$4,0)</f>
        <v>0</v>
      </c>
      <c r="BI140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8">
        <f ca="1">Table1334567[[#This Row],[charmc]]+Table1334567[[#This Row],[charmp]]</f>
        <v>0</v>
      </c>
      <c r="BL140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8" s="78">
        <f ca="1">Table1334567[[#This Row],[call helper]]+Table1334567[[#This Row],[put helper]]</f>
        <v>0</v>
      </c>
      <c r="BP1408" t="str">
        <f>RTD("tos.rtd", , "STRIKE", "."&amp;Table1334567[[#This Row],[Ticker]]&amp;Table1334567[[#This Row],[Expiry]]&amp;""&amp;"C"&amp;Table1334567[[#This Row],[Spot]]+Table1334567[[#This Row],[step]])</f>
        <v>N/A</v>
      </c>
    </row>
    <row r="1409" spans="1:68" x14ac:dyDescent="0.25">
      <c r="A1409" s="14">
        <f t="shared" ca="1" si="134"/>
        <v>-126.14810350076104</v>
      </c>
      <c r="C1409" s="17"/>
      <c r="D1409" t="str">
        <f>RTD("tos.rtd", , "OPEN_INT", "."&amp;Table1334567[[#This Row],[Ticker]]&amp;Table1334567[[#This Row],[Expiry]]&amp;""&amp;"C"&amp;Table1334567[[#This Row],[Spot]]+Table1334567[[#This Row],[step]])</f>
        <v>N/A</v>
      </c>
      <c r="E140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9" s="17" cm="1">
        <f t="array" aca="1" ref="H1409" ca="1">IndividualLegIVCore($A$4, Table1334567[[#This Row],[Strike]], 0.0411, Table1334567[[#This Row],[T]], ((Table1334567[[#This Row],[BIDC]]+Table1334567[[#This Row],[ASKC]])/2), TRUE)</f>
        <v>0.01</v>
      </c>
      <c r="I140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9" s="17"/>
      <c r="M1409" s="1">
        <f t="shared" si="135"/>
        <v>0</v>
      </c>
      <c r="N1409" t="b">
        <f t="shared" si="136"/>
        <v>0</v>
      </c>
      <c r="P1409" s="17" cm="1">
        <f t="array" aca="1" ref="P1409" ca="1">IndividualLegIVCore($A$4, Table1334567[[#This Row],[Strike]], 0.0411, Table1334567[[#This Row],[T]], ((Table1334567[[#This Row],[BIDP]]+Table1334567[[#This Row],[ASKP]])/2), FALSE)</f>
        <v>0.01</v>
      </c>
      <c r="Q140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9" s="17"/>
      <c r="T140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9" s="19">
        <f>40.5* IF($M$1="NDX", 10, IF(OR($M$1="SPX", $M$1="RUT"), 2, 1))</f>
        <v>81</v>
      </c>
      <c r="Z1409">
        <f ca="1">IFERROR(Table1334567[[#This Row],[call gamma]]*(Table1334567[[#This Row],[Open.Int]])*$A$4^2,0)</f>
        <v>0</v>
      </c>
      <c r="AA1409">
        <f ca="1">IFERROR(((Table1334567[[#This Row],[Open.Int8]])*Table1334567[[#This Row],[Put gamma]])*-1*$A$4^2,0)</f>
        <v>0</v>
      </c>
      <c r="AB1409">
        <f ca="1">(Table1334567[[#This Row],[Call Gex]]+Table1334567[[#This Row],[Put Gex]])</f>
        <v>0</v>
      </c>
      <c r="AC1409">
        <f ca="1">Table1334567[[#This Row],[put delta adj]]+Table1334567[[#This Row],[call delta adj]]</f>
        <v>0</v>
      </c>
      <c r="AD1409">
        <f ca="1">Table1334567[[#This Row],[Put Gex]]*Table1334567[[#This Row],[DeltaP]]*-1</f>
        <v>0</v>
      </c>
      <c r="AE1409">
        <f ca="1">Table1334567[[#This Row],[Call Gex]]*Table1334567[[#This Row],[DeltaC]]</f>
        <v>0</v>
      </c>
      <c r="AF1409">
        <f>IF(Table1334567[[#This Row],[DeltaC]]-ABS(Table1334567[[#This Row],[DeltaP]])="0","0.01",Table1334567[[#This Row],[DeltaC]]-ABS(Table1334567[[#This Row],[DeltaP]]))</f>
        <v>0</v>
      </c>
      <c r="AG140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9" t="e">
        <f ca="1">(EXP(-(AG1409^2)/2)/SQRT(2*PI())*EXP(0*SQRT(Table1334567[[#This Row],[T]]))/$A$4*18%*SQRT(SQRT(Table1334567[[#This Row],[T]])))</f>
        <v>#DIV/0!</v>
      </c>
      <c r="AJ1409" t="e">
        <f ca="1">(EXP(-(AH1409^2)/2)/SQRT(2*PI())*EXP(0*SQRT(Table1334567[[#This Row],[T]]))/$A$4*18%*SQRT(SQRT(Table1334567[[#This Row],[T]])))</f>
        <v>#DIV/0!</v>
      </c>
      <c r="AK1409" t="e">
        <f ca="1">Table1334567[[#This Row],[Call D1]]-Table1334567[[#This Row],[IV Calc C]]*SQRT(Table1334567[[#This Row],[T]])</f>
        <v>#DIV/0!</v>
      </c>
      <c r="AL1409" t="e">
        <f ca="1">Table1334567[[#This Row],[Put D1]]-Table1334567[[#This Row],[IV Calc P]]*SQRT(Table1334567[[#This Row],[T]])</f>
        <v>#DIV/0!</v>
      </c>
      <c r="AM1409" t="e">
        <f ca="1">EXP(-0.5*Table1334567[[#This Row],[Call D1]]^2)/SQRT(2*PI())</f>
        <v>#DIV/0!</v>
      </c>
      <c r="AN1409" t="e">
        <f ca="1">EXP(-0.5*Table1334567[[#This Row],[Put D1]]^2)/SQRT(2*PI())</f>
        <v>#DIV/0!</v>
      </c>
      <c r="AO140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9">
        <f ca="1">((Table1334567[[#This Row],[call vanna]]+Table1334567[[#This Row],[put vanna]])*$A$4)</f>
        <v>0</v>
      </c>
      <c r="AR140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9" s="9" t="str" cm="1">
        <f t="array" ref="AT1409">_xlfn.IFS(     $M$1="SPX","SPXW",     $M$1="RUT","RUTW",  $M$1="NDX","NDXP",   TRUE,$M$1 )</f>
        <v>SPXW</v>
      </c>
      <c r="AU1409" s="2">
        <f t="shared" si="137"/>
        <v>6915</v>
      </c>
      <c r="AV1409" t="str">
        <f t="shared" si="138"/>
        <v>000100</v>
      </c>
      <c r="AY140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9">
        <f>((Table1334567[[#This Row],[High C]]+Table1334567[[#This Row],[Low C]])/2)*Table1334567[[#This Row],[gammac]]*Table1334567[[#This Row],[Volume]]</f>
        <v>0</v>
      </c>
      <c r="BD1409">
        <f>((Table1334567[[#This Row],[High P]]+Table1334567[[#This Row],[Low P]])/2)*Table1334567[[#This Row],[gammap]]*Table1334567[[#This Row],[Volume9]]*-1</f>
        <v>0</v>
      </c>
      <c r="BE1409">
        <f>(Table1334567[[#This Row],[SgammaC]]+Table1334567[[#This Row],[SgammaP]])*$A$4*-100</f>
        <v>0</v>
      </c>
      <c r="BF1409">
        <f>Table1334567[[#This Row],[DEXc]]+Table1334567[[#This Row],[DEXp]]</f>
        <v>0</v>
      </c>
      <c r="BG1409">
        <f>IFERROR(Table1334567[[#This Row],[DeltaC]]*Table1334567[[#This Row],[Open.Int]]*$A$4,0)</f>
        <v>0</v>
      </c>
      <c r="BH1409">
        <f>IFERROR(Table1334567[[#This Row],[DeltaP]]*Table1334567[[#This Row],[Open.Int8]]*$A$4,0)</f>
        <v>0</v>
      </c>
      <c r="BI140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9">
        <f ca="1">Table1334567[[#This Row],[charmc]]+Table1334567[[#This Row],[charmp]]</f>
        <v>0</v>
      </c>
      <c r="BL140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9" s="78">
        <f ca="1">Table1334567[[#This Row],[call helper]]+Table1334567[[#This Row],[put helper]]</f>
        <v>0</v>
      </c>
      <c r="BP1409" t="str">
        <f>RTD("tos.rtd", , "STRIKE", "."&amp;Table1334567[[#This Row],[Ticker]]&amp;Table1334567[[#This Row],[Expiry]]&amp;""&amp;"C"&amp;Table1334567[[#This Row],[Spot]]+Table1334567[[#This Row],[step]])</f>
        <v>N/A</v>
      </c>
    </row>
    <row r="1410" spans="1:68" x14ac:dyDescent="0.25">
      <c r="A1410" s="14">
        <f t="shared" ca="1" si="134"/>
        <v>-126.14810350076104</v>
      </c>
      <c r="C1410" s="17"/>
      <c r="D1410" t="str">
        <f>RTD("tos.rtd", , "OPEN_INT", "."&amp;Table1334567[[#This Row],[Ticker]]&amp;Table1334567[[#This Row],[Expiry]]&amp;""&amp;"C"&amp;Table1334567[[#This Row],[Spot]]+Table1334567[[#This Row],[step]])</f>
        <v>N/A</v>
      </c>
      <c r="E141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0" s="17" cm="1">
        <f t="array" aca="1" ref="H1410" ca="1">IndividualLegIVCore($A$4, Table1334567[[#This Row],[Strike]], 0.0411, Table1334567[[#This Row],[T]], ((Table1334567[[#This Row],[BIDC]]+Table1334567[[#This Row],[ASKC]])/2), TRUE)</f>
        <v>0.01</v>
      </c>
      <c r="I141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0" s="17"/>
      <c r="M1410" s="1">
        <f t="shared" si="135"/>
        <v>0</v>
      </c>
      <c r="N1410" t="b">
        <f t="shared" si="136"/>
        <v>0</v>
      </c>
      <c r="P1410" s="17" cm="1">
        <f t="array" aca="1" ref="P1410" ca="1">IndividualLegIVCore($A$4, Table1334567[[#This Row],[Strike]], 0.0411, Table1334567[[#This Row],[T]], ((Table1334567[[#This Row],[BIDP]]+Table1334567[[#This Row],[ASKP]])/2), FALSE)</f>
        <v>0.01</v>
      </c>
      <c r="Q141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0" s="17"/>
      <c r="T141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0" s="19">
        <f>41* IF($M$1="NDX", 10, IF(OR($M$1="SPX", $M$1="RUT"), 2, 1))</f>
        <v>82</v>
      </c>
      <c r="Z1410">
        <f ca="1">IFERROR(Table1334567[[#This Row],[call gamma]]*(Table1334567[[#This Row],[Open.Int]])*$A$4^2,0)</f>
        <v>0</v>
      </c>
      <c r="AA1410">
        <f ca="1">IFERROR(((Table1334567[[#This Row],[Open.Int8]])*Table1334567[[#This Row],[Put gamma]])*-1*$A$4^2,0)</f>
        <v>0</v>
      </c>
      <c r="AB1410">
        <f ca="1">(Table1334567[[#This Row],[Call Gex]]+Table1334567[[#This Row],[Put Gex]])</f>
        <v>0</v>
      </c>
      <c r="AC1410">
        <f ca="1">Table1334567[[#This Row],[put delta adj]]+Table1334567[[#This Row],[call delta adj]]</f>
        <v>0</v>
      </c>
      <c r="AD1410">
        <f ca="1">Table1334567[[#This Row],[Put Gex]]*Table1334567[[#This Row],[DeltaP]]*-1</f>
        <v>0</v>
      </c>
      <c r="AE1410">
        <f ca="1">Table1334567[[#This Row],[Call Gex]]*Table1334567[[#This Row],[DeltaC]]</f>
        <v>0</v>
      </c>
      <c r="AF1410">
        <f>IF(Table1334567[[#This Row],[DeltaC]]-ABS(Table1334567[[#This Row],[DeltaP]])="0","0.01",Table1334567[[#This Row],[DeltaC]]-ABS(Table1334567[[#This Row],[DeltaP]]))</f>
        <v>0</v>
      </c>
      <c r="AG141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0" t="e">
        <f ca="1">(EXP(-(AG1410^2)/2)/SQRT(2*PI())*EXP(0*SQRT(Table1334567[[#This Row],[T]]))/$A$4*18%*SQRT(SQRT(Table1334567[[#This Row],[T]])))</f>
        <v>#DIV/0!</v>
      </c>
      <c r="AJ1410" t="e">
        <f ca="1">(EXP(-(AH1410^2)/2)/SQRT(2*PI())*EXP(0*SQRT(Table1334567[[#This Row],[T]]))/$A$4*18%*SQRT(SQRT(Table1334567[[#This Row],[T]])))</f>
        <v>#DIV/0!</v>
      </c>
      <c r="AK1410" t="e">
        <f ca="1">Table1334567[[#This Row],[Call D1]]-Table1334567[[#This Row],[IV Calc C]]*SQRT(Table1334567[[#This Row],[T]])</f>
        <v>#DIV/0!</v>
      </c>
      <c r="AL1410" t="e">
        <f ca="1">Table1334567[[#This Row],[Put D1]]-Table1334567[[#This Row],[IV Calc P]]*SQRT(Table1334567[[#This Row],[T]])</f>
        <v>#DIV/0!</v>
      </c>
      <c r="AM1410" t="e">
        <f ca="1">EXP(-0.5*Table1334567[[#This Row],[Call D1]]^2)/SQRT(2*PI())</f>
        <v>#DIV/0!</v>
      </c>
      <c r="AN1410" t="e">
        <f ca="1">EXP(-0.5*Table1334567[[#This Row],[Put D1]]^2)/SQRT(2*PI())</f>
        <v>#DIV/0!</v>
      </c>
      <c r="AO141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0">
        <f ca="1">((Table1334567[[#This Row],[call vanna]]+Table1334567[[#This Row],[put vanna]])*$A$4)</f>
        <v>0</v>
      </c>
      <c r="AR141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0" s="9" t="str" cm="1">
        <f t="array" ref="AT1410">_xlfn.IFS(     $M$1="SPX","SPXW",     $M$1="RUT","RUTW",  $M$1="NDX","NDXP",   TRUE,$M$1 )</f>
        <v>SPXW</v>
      </c>
      <c r="AU1410" s="2">
        <f t="shared" si="137"/>
        <v>6915</v>
      </c>
      <c r="AV1410" t="str">
        <f t="shared" si="138"/>
        <v>000100</v>
      </c>
      <c r="AY141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0">
        <f>((Table1334567[[#This Row],[High C]]+Table1334567[[#This Row],[Low C]])/2)*Table1334567[[#This Row],[gammac]]*Table1334567[[#This Row],[Volume]]</f>
        <v>0</v>
      </c>
      <c r="BD1410">
        <f>((Table1334567[[#This Row],[High P]]+Table1334567[[#This Row],[Low P]])/2)*Table1334567[[#This Row],[gammap]]*Table1334567[[#This Row],[Volume9]]*-1</f>
        <v>0</v>
      </c>
      <c r="BE1410">
        <f>(Table1334567[[#This Row],[SgammaC]]+Table1334567[[#This Row],[SgammaP]])*$A$4*-100</f>
        <v>0</v>
      </c>
      <c r="BF1410">
        <f>Table1334567[[#This Row],[DEXc]]+Table1334567[[#This Row],[DEXp]]</f>
        <v>0</v>
      </c>
      <c r="BG1410">
        <f>IFERROR(Table1334567[[#This Row],[DeltaC]]*Table1334567[[#This Row],[Open.Int]]*$A$4,0)</f>
        <v>0</v>
      </c>
      <c r="BH1410">
        <f>IFERROR(Table1334567[[#This Row],[DeltaP]]*Table1334567[[#This Row],[Open.Int8]]*$A$4,0)</f>
        <v>0</v>
      </c>
      <c r="BI141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0">
        <f ca="1">Table1334567[[#This Row],[charmc]]+Table1334567[[#This Row],[charmp]]</f>
        <v>0</v>
      </c>
      <c r="BL141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0" s="78">
        <f ca="1">Table1334567[[#This Row],[call helper]]+Table1334567[[#This Row],[put helper]]</f>
        <v>0</v>
      </c>
      <c r="BP1410" t="str">
        <f>RTD("tos.rtd", , "STRIKE", "."&amp;Table1334567[[#This Row],[Ticker]]&amp;Table1334567[[#This Row],[Expiry]]&amp;""&amp;"C"&amp;Table1334567[[#This Row],[Spot]]+Table1334567[[#This Row],[step]])</f>
        <v>N/A</v>
      </c>
    </row>
    <row r="1411" spans="1:68" x14ac:dyDescent="0.25">
      <c r="A1411" s="14">
        <f t="shared" ca="1" si="134"/>
        <v>-126.14810350076104</v>
      </c>
      <c r="C1411" s="17"/>
      <c r="D1411" t="str">
        <f>RTD("tos.rtd", , "OPEN_INT", "."&amp;Table1334567[[#This Row],[Ticker]]&amp;Table1334567[[#This Row],[Expiry]]&amp;""&amp;"C"&amp;Table1334567[[#This Row],[Spot]]+Table1334567[[#This Row],[step]])</f>
        <v>N/A</v>
      </c>
      <c r="E141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1" s="17" cm="1">
        <f t="array" aca="1" ref="H1411" ca="1">IndividualLegIVCore($A$4, Table1334567[[#This Row],[Strike]], 0.0411, Table1334567[[#This Row],[T]], ((Table1334567[[#This Row],[BIDC]]+Table1334567[[#This Row],[ASKC]])/2), TRUE)</f>
        <v>0.01</v>
      </c>
      <c r="I141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1" s="17"/>
      <c r="M1411" s="1">
        <f t="shared" si="135"/>
        <v>0</v>
      </c>
      <c r="N1411" t="b">
        <f t="shared" si="136"/>
        <v>0</v>
      </c>
      <c r="P1411" s="17" cm="1">
        <f t="array" aca="1" ref="P1411" ca="1">IndividualLegIVCore($A$4, Table1334567[[#This Row],[Strike]], 0.0411, Table1334567[[#This Row],[T]], ((Table1334567[[#This Row],[BIDP]]+Table1334567[[#This Row],[ASKP]])/2), FALSE)</f>
        <v>0.01</v>
      </c>
      <c r="Q141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1" s="17"/>
      <c r="T141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1" s="19">
        <f>41.5* IF($M$1="NDX", 10, IF(OR($M$1="SPX", $M$1="RUT"), 2, 1))</f>
        <v>83</v>
      </c>
      <c r="Z1411">
        <f ca="1">IFERROR(Table1334567[[#This Row],[call gamma]]*(Table1334567[[#This Row],[Open.Int]])*$A$4^2,0)</f>
        <v>0</v>
      </c>
      <c r="AA1411">
        <f ca="1">IFERROR(((Table1334567[[#This Row],[Open.Int8]])*Table1334567[[#This Row],[Put gamma]])*-1*$A$4^2,0)</f>
        <v>0</v>
      </c>
      <c r="AB1411">
        <f ca="1">(Table1334567[[#This Row],[Call Gex]]+Table1334567[[#This Row],[Put Gex]])</f>
        <v>0</v>
      </c>
      <c r="AC1411">
        <f ca="1">Table1334567[[#This Row],[put delta adj]]+Table1334567[[#This Row],[call delta adj]]</f>
        <v>0</v>
      </c>
      <c r="AD1411">
        <f ca="1">Table1334567[[#This Row],[Put Gex]]*Table1334567[[#This Row],[DeltaP]]*-1</f>
        <v>0</v>
      </c>
      <c r="AE1411">
        <f ca="1">Table1334567[[#This Row],[Call Gex]]*Table1334567[[#This Row],[DeltaC]]</f>
        <v>0</v>
      </c>
      <c r="AF1411">
        <f>IF(Table1334567[[#This Row],[DeltaC]]-ABS(Table1334567[[#This Row],[DeltaP]])="0","0.01",Table1334567[[#This Row],[DeltaC]]-ABS(Table1334567[[#This Row],[DeltaP]]))</f>
        <v>0</v>
      </c>
      <c r="AG141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1" t="e">
        <f ca="1">(EXP(-(AG1411^2)/2)/SQRT(2*PI())*EXP(0*SQRT(Table1334567[[#This Row],[T]]))/$A$4*18%*SQRT(SQRT(Table1334567[[#This Row],[T]])))</f>
        <v>#DIV/0!</v>
      </c>
      <c r="AJ1411" t="e">
        <f ca="1">(EXP(-(AH1411^2)/2)/SQRT(2*PI())*EXP(0*SQRT(Table1334567[[#This Row],[T]]))/$A$4*18%*SQRT(SQRT(Table1334567[[#This Row],[T]])))</f>
        <v>#DIV/0!</v>
      </c>
      <c r="AK1411" t="e">
        <f ca="1">Table1334567[[#This Row],[Call D1]]-Table1334567[[#This Row],[IV Calc C]]*SQRT(Table1334567[[#This Row],[T]])</f>
        <v>#DIV/0!</v>
      </c>
      <c r="AL1411" t="e">
        <f ca="1">Table1334567[[#This Row],[Put D1]]-Table1334567[[#This Row],[IV Calc P]]*SQRT(Table1334567[[#This Row],[T]])</f>
        <v>#DIV/0!</v>
      </c>
      <c r="AM1411" t="e">
        <f ca="1">EXP(-0.5*Table1334567[[#This Row],[Call D1]]^2)/SQRT(2*PI())</f>
        <v>#DIV/0!</v>
      </c>
      <c r="AN1411" t="e">
        <f ca="1">EXP(-0.5*Table1334567[[#This Row],[Put D1]]^2)/SQRT(2*PI())</f>
        <v>#DIV/0!</v>
      </c>
      <c r="AO141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1">
        <f ca="1">((Table1334567[[#This Row],[call vanna]]+Table1334567[[#This Row],[put vanna]])*$A$4)</f>
        <v>0</v>
      </c>
      <c r="AR141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1" s="9" t="str" cm="1">
        <f t="array" ref="AT1411">_xlfn.IFS(     $M$1="SPX","SPXW",     $M$1="RUT","RUTW",  $M$1="NDX","NDXP",   TRUE,$M$1 )</f>
        <v>SPXW</v>
      </c>
      <c r="AU1411" s="2">
        <f t="shared" si="137"/>
        <v>6915</v>
      </c>
      <c r="AV1411" t="str">
        <f t="shared" si="138"/>
        <v>000100</v>
      </c>
      <c r="AY141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1">
        <f>((Table1334567[[#This Row],[High C]]+Table1334567[[#This Row],[Low C]])/2)*Table1334567[[#This Row],[gammac]]*Table1334567[[#This Row],[Volume]]</f>
        <v>0</v>
      </c>
      <c r="BD1411">
        <f>((Table1334567[[#This Row],[High P]]+Table1334567[[#This Row],[Low P]])/2)*Table1334567[[#This Row],[gammap]]*Table1334567[[#This Row],[Volume9]]*-1</f>
        <v>0</v>
      </c>
      <c r="BE1411">
        <f>(Table1334567[[#This Row],[SgammaC]]+Table1334567[[#This Row],[SgammaP]])*$A$4*-100</f>
        <v>0</v>
      </c>
      <c r="BF1411">
        <f>Table1334567[[#This Row],[DEXc]]+Table1334567[[#This Row],[DEXp]]</f>
        <v>0</v>
      </c>
      <c r="BG1411">
        <f>IFERROR(Table1334567[[#This Row],[DeltaC]]*Table1334567[[#This Row],[Open.Int]]*$A$4,0)</f>
        <v>0</v>
      </c>
      <c r="BH1411">
        <f>IFERROR(Table1334567[[#This Row],[DeltaP]]*Table1334567[[#This Row],[Open.Int8]]*$A$4,0)</f>
        <v>0</v>
      </c>
      <c r="BI141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1">
        <f ca="1">Table1334567[[#This Row],[charmc]]+Table1334567[[#This Row],[charmp]]</f>
        <v>0</v>
      </c>
      <c r="BL141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1" s="78">
        <f ca="1">Table1334567[[#This Row],[call helper]]+Table1334567[[#This Row],[put helper]]</f>
        <v>0</v>
      </c>
      <c r="BP1411" t="str">
        <f>RTD("tos.rtd", , "STRIKE", "."&amp;Table1334567[[#This Row],[Ticker]]&amp;Table1334567[[#This Row],[Expiry]]&amp;""&amp;"C"&amp;Table1334567[[#This Row],[Spot]]+Table1334567[[#This Row],[step]])</f>
        <v>N/A</v>
      </c>
    </row>
    <row r="1412" spans="1:68" x14ac:dyDescent="0.25">
      <c r="A1412" s="14">
        <f t="shared" ca="1" si="134"/>
        <v>-126.14810350076104</v>
      </c>
      <c r="C1412" s="17"/>
      <c r="D1412" t="str">
        <f>RTD("tos.rtd", , "OPEN_INT", "."&amp;Table1334567[[#This Row],[Ticker]]&amp;Table1334567[[#This Row],[Expiry]]&amp;""&amp;"C"&amp;Table1334567[[#This Row],[Spot]]+Table1334567[[#This Row],[step]])</f>
        <v>N/A</v>
      </c>
      <c r="E141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2" s="17" cm="1">
        <f t="array" aca="1" ref="H1412" ca="1">IndividualLegIVCore($A$4, Table1334567[[#This Row],[Strike]], 0.0411, Table1334567[[#This Row],[T]], ((Table1334567[[#This Row],[BIDC]]+Table1334567[[#This Row],[ASKC]])/2), TRUE)</f>
        <v>0.01</v>
      </c>
      <c r="I141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2" s="17"/>
      <c r="M1412" s="1">
        <f t="shared" si="135"/>
        <v>0</v>
      </c>
      <c r="N1412" t="b">
        <f t="shared" si="136"/>
        <v>0</v>
      </c>
      <c r="P1412" s="17" cm="1">
        <f t="array" aca="1" ref="P1412" ca="1">IndividualLegIVCore($A$4, Table1334567[[#This Row],[Strike]], 0.0411, Table1334567[[#This Row],[T]], ((Table1334567[[#This Row],[BIDP]]+Table1334567[[#This Row],[ASKP]])/2), FALSE)</f>
        <v>0.01</v>
      </c>
      <c r="Q141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2" s="17"/>
      <c r="T141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2" s="19">
        <f>42* IF($M$1="NDX", 10, IF(OR($M$1="SPX", $M$1="RUT"), 2, 1))</f>
        <v>84</v>
      </c>
      <c r="Z1412">
        <f ca="1">IFERROR(Table1334567[[#This Row],[call gamma]]*(Table1334567[[#This Row],[Open.Int]])*$A$4^2,0)</f>
        <v>0</v>
      </c>
      <c r="AA1412">
        <f ca="1">IFERROR(((Table1334567[[#This Row],[Open.Int8]])*Table1334567[[#This Row],[Put gamma]])*-1*$A$4^2,0)</f>
        <v>0</v>
      </c>
      <c r="AB1412">
        <f ca="1">(Table1334567[[#This Row],[Call Gex]]+Table1334567[[#This Row],[Put Gex]])</f>
        <v>0</v>
      </c>
      <c r="AC1412">
        <f ca="1">Table1334567[[#This Row],[put delta adj]]+Table1334567[[#This Row],[call delta adj]]</f>
        <v>0</v>
      </c>
      <c r="AD1412">
        <f ca="1">Table1334567[[#This Row],[Put Gex]]*Table1334567[[#This Row],[DeltaP]]*-1</f>
        <v>0</v>
      </c>
      <c r="AE1412">
        <f ca="1">Table1334567[[#This Row],[Call Gex]]*Table1334567[[#This Row],[DeltaC]]</f>
        <v>0</v>
      </c>
      <c r="AF1412">
        <f>IF(Table1334567[[#This Row],[DeltaC]]-ABS(Table1334567[[#This Row],[DeltaP]])="0","0.01",Table1334567[[#This Row],[DeltaC]]-ABS(Table1334567[[#This Row],[DeltaP]]))</f>
        <v>0</v>
      </c>
      <c r="AG141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2" t="e">
        <f ca="1">(EXP(-(AG1412^2)/2)/SQRT(2*PI())*EXP(0*SQRT(Table1334567[[#This Row],[T]]))/$A$4*18%*SQRT(SQRT(Table1334567[[#This Row],[T]])))</f>
        <v>#DIV/0!</v>
      </c>
      <c r="AJ1412" t="e">
        <f ca="1">(EXP(-(AH1412^2)/2)/SQRT(2*PI())*EXP(0*SQRT(Table1334567[[#This Row],[T]]))/$A$4*18%*SQRT(SQRT(Table1334567[[#This Row],[T]])))</f>
        <v>#DIV/0!</v>
      </c>
      <c r="AK1412" t="e">
        <f ca="1">Table1334567[[#This Row],[Call D1]]-Table1334567[[#This Row],[IV Calc C]]*SQRT(Table1334567[[#This Row],[T]])</f>
        <v>#DIV/0!</v>
      </c>
      <c r="AL1412" t="e">
        <f ca="1">Table1334567[[#This Row],[Put D1]]-Table1334567[[#This Row],[IV Calc P]]*SQRT(Table1334567[[#This Row],[T]])</f>
        <v>#DIV/0!</v>
      </c>
      <c r="AM1412" t="e">
        <f ca="1">EXP(-0.5*Table1334567[[#This Row],[Call D1]]^2)/SQRT(2*PI())</f>
        <v>#DIV/0!</v>
      </c>
      <c r="AN1412" t="e">
        <f ca="1">EXP(-0.5*Table1334567[[#This Row],[Put D1]]^2)/SQRT(2*PI())</f>
        <v>#DIV/0!</v>
      </c>
      <c r="AO141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2">
        <f ca="1">((Table1334567[[#This Row],[call vanna]]+Table1334567[[#This Row],[put vanna]])*$A$4)</f>
        <v>0</v>
      </c>
      <c r="AR141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2" s="9" t="str" cm="1">
        <f t="array" ref="AT1412">_xlfn.IFS(     $M$1="SPX","SPXW",     $M$1="RUT","RUTW",  $M$1="NDX","NDXP",   TRUE,$M$1 )</f>
        <v>SPXW</v>
      </c>
      <c r="AU1412" s="2">
        <f t="shared" si="137"/>
        <v>6915</v>
      </c>
      <c r="AV1412" t="str">
        <f t="shared" si="138"/>
        <v>000100</v>
      </c>
      <c r="AY141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2">
        <f>((Table1334567[[#This Row],[High C]]+Table1334567[[#This Row],[Low C]])/2)*Table1334567[[#This Row],[gammac]]*Table1334567[[#This Row],[Volume]]</f>
        <v>0</v>
      </c>
      <c r="BD1412">
        <f>((Table1334567[[#This Row],[High P]]+Table1334567[[#This Row],[Low P]])/2)*Table1334567[[#This Row],[gammap]]*Table1334567[[#This Row],[Volume9]]*-1</f>
        <v>0</v>
      </c>
      <c r="BE1412">
        <f>(Table1334567[[#This Row],[SgammaC]]+Table1334567[[#This Row],[SgammaP]])*$A$4*-100</f>
        <v>0</v>
      </c>
      <c r="BF1412">
        <f>Table1334567[[#This Row],[DEXc]]+Table1334567[[#This Row],[DEXp]]</f>
        <v>0</v>
      </c>
      <c r="BG1412">
        <f>IFERROR(Table1334567[[#This Row],[DeltaC]]*Table1334567[[#This Row],[Open.Int]]*$A$4,0)</f>
        <v>0</v>
      </c>
      <c r="BH1412">
        <f>IFERROR(Table1334567[[#This Row],[DeltaP]]*Table1334567[[#This Row],[Open.Int8]]*$A$4,0)</f>
        <v>0</v>
      </c>
      <c r="BI141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2">
        <f ca="1">Table1334567[[#This Row],[charmc]]+Table1334567[[#This Row],[charmp]]</f>
        <v>0</v>
      </c>
      <c r="BL141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2" s="78">
        <f ca="1">Table1334567[[#This Row],[call helper]]+Table1334567[[#This Row],[put helper]]</f>
        <v>0</v>
      </c>
      <c r="BP1412" t="str">
        <f>RTD("tos.rtd", , "STRIKE", "."&amp;Table1334567[[#This Row],[Ticker]]&amp;Table1334567[[#This Row],[Expiry]]&amp;""&amp;"C"&amp;Table1334567[[#This Row],[Spot]]+Table1334567[[#This Row],[step]])</f>
        <v>N/A</v>
      </c>
    </row>
    <row r="1413" spans="1:68" x14ac:dyDescent="0.25">
      <c r="A1413" s="14">
        <f t="shared" ca="1" si="134"/>
        <v>-126.14810350076104</v>
      </c>
      <c r="C1413" s="17"/>
      <c r="D1413" t="str">
        <f>RTD("tos.rtd", , "OPEN_INT", "."&amp;Table1334567[[#This Row],[Ticker]]&amp;Table1334567[[#This Row],[Expiry]]&amp;""&amp;"C"&amp;Table1334567[[#This Row],[Spot]]+Table1334567[[#This Row],[step]])</f>
        <v>N/A</v>
      </c>
      <c r="E141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3" s="17" cm="1">
        <f t="array" aca="1" ref="H1413" ca="1">IndividualLegIVCore($A$4, Table1334567[[#This Row],[Strike]], 0.0411, Table1334567[[#This Row],[T]], ((Table1334567[[#This Row],[BIDC]]+Table1334567[[#This Row],[ASKC]])/2), TRUE)</f>
        <v>0.01</v>
      </c>
      <c r="I141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3" s="17"/>
      <c r="M1413" s="1">
        <f t="shared" si="135"/>
        <v>0</v>
      </c>
      <c r="N1413" t="b">
        <f t="shared" si="136"/>
        <v>0</v>
      </c>
      <c r="P1413" s="17" cm="1">
        <f t="array" aca="1" ref="P1413" ca="1">IndividualLegIVCore($A$4, Table1334567[[#This Row],[Strike]], 0.0411, Table1334567[[#This Row],[T]], ((Table1334567[[#This Row],[BIDP]]+Table1334567[[#This Row],[ASKP]])/2), FALSE)</f>
        <v>0.01</v>
      </c>
      <c r="Q141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3" s="17"/>
      <c r="T141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3" s="19">
        <f>42.5* IF($M$1="NDX", 10, IF(OR($M$1="SPX", $M$1="RUT"), 2, 1))</f>
        <v>85</v>
      </c>
      <c r="Z1413">
        <f ca="1">IFERROR(Table1334567[[#This Row],[call gamma]]*(Table1334567[[#This Row],[Open.Int]])*$A$4^2,0)</f>
        <v>0</v>
      </c>
      <c r="AA1413">
        <f ca="1">IFERROR(((Table1334567[[#This Row],[Open.Int8]])*Table1334567[[#This Row],[Put gamma]])*-1*$A$4^2,0)</f>
        <v>0</v>
      </c>
      <c r="AB1413">
        <f ca="1">(Table1334567[[#This Row],[Call Gex]]+Table1334567[[#This Row],[Put Gex]])</f>
        <v>0</v>
      </c>
      <c r="AC1413">
        <f ca="1">Table1334567[[#This Row],[put delta adj]]+Table1334567[[#This Row],[call delta adj]]</f>
        <v>0</v>
      </c>
      <c r="AD1413">
        <f ca="1">Table1334567[[#This Row],[Put Gex]]*Table1334567[[#This Row],[DeltaP]]*-1</f>
        <v>0</v>
      </c>
      <c r="AE1413">
        <f ca="1">Table1334567[[#This Row],[Call Gex]]*Table1334567[[#This Row],[DeltaC]]</f>
        <v>0</v>
      </c>
      <c r="AF1413">
        <f>IF(Table1334567[[#This Row],[DeltaC]]-ABS(Table1334567[[#This Row],[DeltaP]])="0","0.01",Table1334567[[#This Row],[DeltaC]]-ABS(Table1334567[[#This Row],[DeltaP]]))</f>
        <v>0</v>
      </c>
      <c r="AG141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3" t="e">
        <f ca="1">(EXP(-(AG1413^2)/2)/SQRT(2*PI())*EXP(0*SQRT(Table1334567[[#This Row],[T]]))/$A$4*18%*SQRT(SQRT(Table1334567[[#This Row],[T]])))</f>
        <v>#DIV/0!</v>
      </c>
      <c r="AJ1413" t="e">
        <f ca="1">(EXP(-(AH1413^2)/2)/SQRT(2*PI())*EXP(0*SQRT(Table1334567[[#This Row],[T]]))/$A$4*18%*SQRT(SQRT(Table1334567[[#This Row],[T]])))</f>
        <v>#DIV/0!</v>
      </c>
      <c r="AK1413" t="e">
        <f ca="1">Table1334567[[#This Row],[Call D1]]-Table1334567[[#This Row],[IV Calc C]]*SQRT(Table1334567[[#This Row],[T]])</f>
        <v>#DIV/0!</v>
      </c>
      <c r="AL1413" t="e">
        <f ca="1">Table1334567[[#This Row],[Put D1]]-Table1334567[[#This Row],[IV Calc P]]*SQRT(Table1334567[[#This Row],[T]])</f>
        <v>#DIV/0!</v>
      </c>
      <c r="AM1413" t="e">
        <f ca="1">EXP(-0.5*Table1334567[[#This Row],[Call D1]]^2)/SQRT(2*PI())</f>
        <v>#DIV/0!</v>
      </c>
      <c r="AN1413" t="e">
        <f ca="1">EXP(-0.5*Table1334567[[#This Row],[Put D1]]^2)/SQRT(2*PI())</f>
        <v>#DIV/0!</v>
      </c>
      <c r="AO141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3">
        <f ca="1">((Table1334567[[#This Row],[call vanna]]+Table1334567[[#This Row],[put vanna]])*$A$4)</f>
        <v>0</v>
      </c>
      <c r="AR141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3" s="9" t="str" cm="1">
        <f t="array" ref="AT1413">_xlfn.IFS(     $M$1="SPX","SPXW",     $M$1="RUT","RUTW",  $M$1="NDX","NDXP",   TRUE,$M$1 )</f>
        <v>SPXW</v>
      </c>
      <c r="AU1413" s="2">
        <f t="shared" si="137"/>
        <v>6915</v>
      </c>
      <c r="AV1413" t="str">
        <f t="shared" si="138"/>
        <v>000100</v>
      </c>
      <c r="AY141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3">
        <f>((Table1334567[[#This Row],[High C]]+Table1334567[[#This Row],[Low C]])/2)*Table1334567[[#This Row],[gammac]]*Table1334567[[#This Row],[Volume]]</f>
        <v>0</v>
      </c>
      <c r="BD1413">
        <f>((Table1334567[[#This Row],[High P]]+Table1334567[[#This Row],[Low P]])/2)*Table1334567[[#This Row],[gammap]]*Table1334567[[#This Row],[Volume9]]*-1</f>
        <v>0</v>
      </c>
      <c r="BE1413">
        <f>(Table1334567[[#This Row],[SgammaC]]+Table1334567[[#This Row],[SgammaP]])*$A$4*-100</f>
        <v>0</v>
      </c>
      <c r="BF1413">
        <f>Table1334567[[#This Row],[DEXc]]+Table1334567[[#This Row],[DEXp]]</f>
        <v>0</v>
      </c>
      <c r="BG1413">
        <f>IFERROR(Table1334567[[#This Row],[DeltaC]]*Table1334567[[#This Row],[Open.Int]]*$A$4,0)</f>
        <v>0</v>
      </c>
      <c r="BH1413">
        <f>IFERROR(Table1334567[[#This Row],[DeltaP]]*Table1334567[[#This Row],[Open.Int8]]*$A$4,0)</f>
        <v>0</v>
      </c>
      <c r="BI141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3">
        <f ca="1">Table1334567[[#This Row],[charmc]]+Table1334567[[#This Row],[charmp]]</f>
        <v>0</v>
      </c>
      <c r="BL141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3" s="78">
        <f ca="1">Table1334567[[#This Row],[call helper]]+Table1334567[[#This Row],[put helper]]</f>
        <v>0</v>
      </c>
      <c r="BP1413" t="str">
        <f>RTD("tos.rtd", , "STRIKE", "."&amp;Table1334567[[#This Row],[Ticker]]&amp;Table1334567[[#This Row],[Expiry]]&amp;""&amp;"C"&amp;Table1334567[[#This Row],[Spot]]+Table1334567[[#This Row],[step]])</f>
        <v>N/A</v>
      </c>
    </row>
    <row r="1414" spans="1:68" x14ac:dyDescent="0.25">
      <c r="A1414" s="14">
        <f t="shared" ca="1" si="134"/>
        <v>-126.14810350076104</v>
      </c>
      <c r="C1414" s="17"/>
      <c r="D1414" t="str">
        <f>RTD("tos.rtd", , "OPEN_INT", "."&amp;Table1334567[[#This Row],[Ticker]]&amp;Table1334567[[#This Row],[Expiry]]&amp;""&amp;"C"&amp;Table1334567[[#This Row],[Spot]]+Table1334567[[#This Row],[step]])</f>
        <v>N/A</v>
      </c>
      <c r="E141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4" s="17" cm="1">
        <f t="array" aca="1" ref="H1414" ca="1">IndividualLegIVCore($A$4, Table1334567[[#This Row],[Strike]], 0.0411, Table1334567[[#This Row],[T]], ((Table1334567[[#This Row],[BIDC]]+Table1334567[[#This Row],[ASKC]])/2), TRUE)</f>
        <v>0.01</v>
      </c>
      <c r="I141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4" s="17"/>
      <c r="M1414" s="1">
        <f t="shared" si="135"/>
        <v>0</v>
      </c>
      <c r="N1414" t="b">
        <f t="shared" si="136"/>
        <v>0</v>
      </c>
      <c r="P1414" s="17" cm="1">
        <f t="array" aca="1" ref="P1414" ca="1">IndividualLegIVCore($A$4, Table1334567[[#This Row],[Strike]], 0.0411, Table1334567[[#This Row],[T]], ((Table1334567[[#This Row],[BIDP]]+Table1334567[[#This Row],[ASKP]])/2), FALSE)</f>
        <v>0.01</v>
      </c>
      <c r="Q141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4" s="17"/>
      <c r="T141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4" s="19">
        <f>43* IF($M$1="NDX", 10, IF(OR($M$1="SPX", $M$1="RUT"), 2, 1))</f>
        <v>86</v>
      </c>
      <c r="Z1414">
        <f ca="1">IFERROR(Table1334567[[#This Row],[call gamma]]*(Table1334567[[#This Row],[Open.Int]])*$A$4^2,0)</f>
        <v>0</v>
      </c>
      <c r="AA1414">
        <f ca="1">IFERROR(((Table1334567[[#This Row],[Open.Int8]])*Table1334567[[#This Row],[Put gamma]])*-1*$A$4^2,0)</f>
        <v>0</v>
      </c>
      <c r="AB1414">
        <f ca="1">(Table1334567[[#This Row],[Call Gex]]+Table1334567[[#This Row],[Put Gex]])</f>
        <v>0</v>
      </c>
      <c r="AC1414">
        <f ca="1">Table1334567[[#This Row],[put delta adj]]+Table1334567[[#This Row],[call delta adj]]</f>
        <v>0</v>
      </c>
      <c r="AD1414">
        <f ca="1">Table1334567[[#This Row],[Put Gex]]*Table1334567[[#This Row],[DeltaP]]*-1</f>
        <v>0</v>
      </c>
      <c r="AE1414">
        <f ca="1">Table1334567[[#This Row],[Call Gex]]*Table1334567[[#This Row],[DeltaC]]</f>
        <v>0</v>
      </c>
      <c r="AF1414">
        <f>IF(Table1334567[[#This Row],[DeltaC]]-ABS(Table1334567[[#This Row],[DeltaP]])="0","0.01",Table1334567[[#This Row],[DeltaC]]-ABS(Table1334567[[#This Row],[DeltaP]]))</f>
        <v>0</v>
      </c>
      <c r="AG141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4" t="e">
        <f ca="1">(EXP(-(AG1414^2)/2)/SQRT(2*PI())*EXP(0*SQRT(Table1334567[[#This Row],[T]]))/$A$4*18%*SQRT(SQRT(Table1334567[[#This Row],[T]])))</f>
        <v>#DIV/0!</v>
      </c>
      <c r="AJ1414" t="e">
        <f ca="1">(EXP(-(AH1414^2)/2)/SQRT(2*PI())*EXP(0*SQRT(Table1334567[[#This Row],[T]]))/$A$4*18%*SQRT(SQRT(Table1334567[[#This Row],[T]])))</f>
        <v>#DIV/0!</v>
      </c>
      <c r="AK1414" t="e">
        <f ca="1">Table1334567[[#This Row],[Call D1]]-Table1334567[[#This Row],[IV Calc C]]*SQRT(Table1334567[[#This Row],[T]])</f>
        <v>#DIV/0!</v>
      </c>
      <c r="AL1414" t="e">
        <f ca="1">Table1334567[[#This Row],[Put D1]]-Table1334567[[#This Row],[IV Calc P]]*SQRT(Table1334567[[#This Row],[T]])</f>
        <v>#DIV/0!</v>
      </c>
      <c r="AM1414" t="e">
        <f ca="1">EXP(-0.5*Table1334567[[#This Row],[Call D1]]^2)/SQRT(2*PI())</f>
        <v>#DIV/0!</v>
      </c>
      <c r="AN1414" t="e">
        <f ca="1">EXP(-0.5*Table1334567[[#This Row],[Put D1]]^2)/SQRT(2*PI())</f>
        <v>#DIV/0!</v>
      </c>
      <c r="AO141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4">
        <f ca="1">((Table1334567[[#This Row],[call vanna]]+Table1334567[[#This Row],[put vanna]])*$A$4)</f>
        <v>0</v>
      </c>
      <c r="AR141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4" s="9" t="str" cm="1">
        <f t="array" ref="AT1414">_xlfn.IFS(     $M$1="SPX","SPXW",     $M$1="RUT","RUTW",  $M$1="NDX","NDXP",   TRUE,$M$1 )</f>
        <v>SPXW</v>
      </c>
      <c r="AU1414" s="2">
        <f t="shared" si="137"/>
        <v>6915</v>
      </c>
      <c r="AV1414" t="str">
        <f t="shared" si="138"/>
        <v>000100</v>
      </c>
      <c r="AY141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4">
        <f>((Table1334567[[#This Row],[High C]]+Table1334567[[#This Row],[Low C]])/2)*Table1334567[[#This Row],[gammac]]*Table1334567[[#This Row],[Volume]]</f>
        <v>0</v>
      </c>
      <c r="BD1414">
        <f>((Table1334567[[#This Row],[High P]]+Table1334567[[#This Row],[Low P]])/2)*Table1334567[[#This Row],[gammap]]*Table1334567[[#This Row],[Volume9]]*-1</f>
        <v>0</v>
      </c>
      <c r="BE1414">
        <f>(Table1334567[[#This Row],[SgammaC]]+Table1334567[[#This Row],[SgammaP]])*$A$4*-100</f>
        <v>0</v>
      </c>
      <c r="BF1414">
        <f>Table1334567[[#This Row],[DEXc]]+Table1334567[[#This Row],[DEXp]]</f>
        <v>0</v>
      </c>
      <c r="BG1414">
        <f>IFERROR(Table1334567[[#This Row],[DeltaC]]*Table1334567[[#This Row],[Open.Int]]*$A$4,0)</f>
        <v>0</v>
      </c>
      <c r="BH1414">
        <f>IFERROR(Table1334567[[#This Row],[DeltaP]]*Table1334567[[#This Row],[Open.Int8]]*$A$4,0)</f>
        <v>0</v>
      </c>
      <c r="BI141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4">
        <f ca="1">Table1334567[[#This Row],[charmc]]+Table1334567[[#This Row],[charmp]]</f>
        <v>0</v>
      </c>
      <c r="BL141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4" s="78">
        <f ca="1">Table1334567[[#This Row],[call helper]]+Table1334567[[#This Row],[put helper]]</f>
        <v>0</v>
      </c>
      <c r="BP1414" t="str">
        <f>RTD("tos.rtd", , "STRIKE", "."&amp;Table1334567[[#This Row],[Ticker]]&amp;Table1334567[[#This Row],[Expiry]]&amp;""&amp;"C"&amp;Table1334567[[#This Row],[Spot]]+Table1334567[[#This Row],[step]])</f>
        <v>N/A</v>
      </c>
    </row>
    <row r="1415" spans="1:68" x14ac:dyDescent="0.25">
      <c r="A1415" s="14">
        <f t="shared" ca="1" si="134"/>
        <v>-126.14810350076104</v>
      </c>
      <c r="C1415" s="17"/>
      <c r="D1415" t="str">
        <f>RTD("tos.rtd", , "OPEN_INT", "."&amp;Table1334567[[#This Row],[Ticker]]&amp;Table1334567[[#This Row],[Expiry]]&amp;""&amp;"C"&amp;Table1334567[[#This Row],[Spot]]+Table1334567[[#This Row],[step]])</f>
        <v>N/A</v>
      </c>
      <c r="E141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5" s="17" cm="1">
        <f t="array" aca="1" ref="H1415" ca="1">IndividualLegIVCore($A$4, Table1334567[[#This Row],[Strike]], 0.0411, Table1334567[[#This Row],[T]], ((Table1334567[[#This Row],[BIDC]]+Table1334567[[#This Row],[ASKC]])/2), TRUE)</f>
        <v>0.01</v>
      </c>
      <c r="I141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5" s="17"/>
      <c r="M1415" s="1">
        <f t="shared" si="135"/>
        <v>0</v>
      </c>
      <c r="N1415" t="b">
        <f t="shared" si="136"/>
        <v>0</v>
      </c>
      <c r="P1415" s="17" cm="1">
        <f t="array" aca="1" ref="P1415" ca="1">IndividualLegIVCore($A$4, Table1334567[[#This Row],[Strike]], 0.0411, Table1334567[[#This Row],[T]], ((Table1334567[[#This Row],[BIDP]]+Table1334567[[#This Row],[ASKP]])/2), FALSE)</f>
        <v>0.01</v>
      </c>
      <c r="Q141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5" s="17"/>
      <c r="T141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5" s="19">
        <f>43.5* IF($M$1="NDX", 10, IF(OR($M$1="SPX", $M$1="RUT"), 2, 1))</f>
        <v>87</v>
      </c>
      <c r="Z1415">
        <f ca="1">IFERROR(Table1334567[[#This Row],[call gamma]]*(Table1334567[[#This Row],[Open.Int]])*$A$4^2,0)</f>
        <v>0</v>
      </c>
      <c r="AA1415">
        <f ca="1">IFERROR(((Table1334567[[#This Row],[Open.Int8]])*Table1334567[[#This Row],[Put gamma]])*-1*$A$4^2,0)</f>
        <v>0</v>
      </c>
      <c r="AB1415">
        <f ca="1">(Table1334567[[#This Row],[Call Gex]]+Table1334567[[#This Row],[Put Gex]])</f>
        <v>0</v>
      </c>
      <c r="AC1415">
        <f ca="1">Table1334567[[#This Row],[put delta adj]]+Table1334567[[#This Row],[call delta adj]]</f>
        <v>0</v>
      </c>
      <c r="AD1415">
        <f ca="1">Table1334567[[#This Row],[Put Gex]]*Table1334567[[#This Row],[DeltaP]]*-1</f>
        <v>0</v>
      </c>
      <c r="AE1415">
        <f ca="1">Table1334567[[#This Row],[Call Gex]]*Table1334567[[#This Row],[DeltaC]]</f>
        <v>0</v>
      </c>
      <c r="AF1415">
        <f>IF(Table1334567[[#This Row],[DeltaC]]-ABS(Table1334567[[#This Row],[DeltaP]])="0","0.01",Table1334567[[#This Row],[DeltaC]]-ABS(Table1334567[[#This Row],[DeltaP]]))</f>
        <v>0</v>
      </c>
      <c r="AG141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5" t="e">
        <f ca="1">(EXP(-(AG1415^2)/2)/SQRT(2*PI())*EXP(0*SQRT(Table1334567[[#This Row],[T]]))/$A$4*18%*SQRT(SQRT(Table1334567[[#This Row],[T]])))</f>
        <v>#DIV/0!</v>
      </c>
      <c r="AJ1415" t="e">
        <f ca="1">(EXP(-(AH1415^2)/2)/SQRT(2*PI())*EXP(0*SQRT(Table1334567[[#This Row],[T]]))/$A$4*18%*SQRT(SQRT(Table1334567[[#This Row],[T]])))</f>
        <v>#DIV/0!</v>
      </c>
      <c r="AK1415" t="e">
        <f ca="1">Table1334567[[#This Row],[Call D1]]-Table1334567[[#This Row],[IV Calc C]]*SQRT(Table1334567[[#This Row],[T]])</f>
        <v>#DIV/0!</v>
      </c>
      <c r="AL1415" t="e">
        <f ca="1">Table1334567[[#This Row],[Put D1]]-Table1334567[[#This Row],[IV Calc P]]*SQRT(Table1334567[[#This Row],[T]])</f>
        <v>#DIV/0!</v>
      </c>
      <c r="AM1415" t="e">
        <f ca="1">EXP(-0.5*Table1334567[[#This Row],[Call D1]]^2)/SQRT(2*PI())</f>
        <v>#DIV/0!</v>
      </c>
      <c r="AN1415" t="e">
        <f ca="1">EXP(-0.5*Table1334567[[#This Row],[Put D1]]^2)/SQRT(2*PI())</f>
        <v>#DIV/0!</v>
      </c>
      <c r="AO141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5">
        <f ca="1">((Table1334567[[#This Row],[call vanna]]+Table1334567[[#This Row],[put vanna]])*$A$4)</f>
        <v>0</v>
      </c>
      <c r="AR141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5" s="9" t="str" cm="1">
        <f t="array" ref="AT1415">_xlfn.IFS(     $M$1="SPX","SPXW",     $M$1="RUT","RUTW",  $M$1="NDX","NDXP",   TRUE,$M$1 )</f>
        <v>SPXW</v>
      </c>
      <c r="AU1415" s="2">
        <f t="shared" si="137"/>
        <v>6915</v>
      </c>
      <c r="AV1415" t="str">
        <f t="shared" si="138"/>
        <v>000100</v>
      </c>
      <c r="AY141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5">
        <f>((Table1334567[[#This Row],[High C]]+Table1334567[[#This Row],[Low C]])/2)*Table1334567[[#This Row],[gammac]]*Table1334567[[#This Row],[Volume]]</f>
        <v>0</v>
      </c>
      <c r="BD1415">
        <f>((Table1334567[[#This Row],[High P]]+Table1334567[[#This Row],[Low P]])/2)*Table1334567[[#This Row],[gammap]]*Table1334567[[#This Row],[Volume9]]*-1</f>
        <v>0</v>
      </c>
      <c r="BE1415">
        <f>(Table1334567[[#This Row],[SgammaC]]+Table1334567[[#This Row],[SgammaP]])*$A$4*-100</f>
        <v>0</v>
      </c>
      <c r="BF1415">
        <f>Table1334567[[#This Row],[DEXc]]+Table1334567[[#This Row],[DEXp]]</f>
        <v>0</v>
      </c>
      <c r="BG1415">
        <f>IFERROR(Table1334567[[#This Row],[DeltaC]]*Table1334567[[#This Row],[Open.Int]]*$A$4,0)</f>
        <v>0</v>
      </c>
      <c r="BH1415">
        <f>IFERROR(Table1334567[[#This Row],[DeltaP]]*Table1334567[[#This Row],[Open.Int8]]*$A$4,0)</f>
        <v>0</v>
      </c>
      <c r="BI141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5">
        <f ca="1">Table1334567[[#This Row],[charmc]]+Table1334567[[#This Row],[charmp]]</f>
        <v>0</v>
      </c>
      <c r="BL141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5" s="78">
        <f ca="1">Table1334567[[#This Row],[call helper]]+Table1334567[[#This Row],[put helper]]</f>
        <v>0</v>
      </c>
      <c r="BP1415" t="str">
        <f>RTD("tos.rtd", , "STRIKE", "."&amp;Table1334567[[#This Row],[Ticker]]&amp;Table1334567[[#This Row],[Expiry]]&amp;""&amp;"C"&amp;Table1334567[[#This Row],[Spot]]+Table1334567[[#This Row],[step]])</f>
        <v>N/A</v>
      </c>
    </row>
    <row r="1416" spans="1:68" x14ac:dyDescent="0.25">
      <c r="A1416" s="14">
        <f t="shared" ca="1" si="134"/>
        <v>-126.14810350076104</v>
      </c>
      <c r="C1416" s="17"/>
      <c r="D1416" t="str">
        <f>RTD("tos.rtd", , "OPEN_INT", "."&amp;Table1334567[[#This Row],[Ticker]]&amp;Table1334567[[#This Row],[Expiry]]&amp;""&amp;"C"&amp;Table1334567[[#This Row],[Spot]]+Table1334567[[#This Row],[step]])</f>
        <v>N/A</v>
      </c>
      <c r="E141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6" s="17" cm="1">
        <f t="array" aca="1" ref="H1416" ca="1">IndividualLegIVCore($A$4, Table1334567[[#This Row],[Strike]], 0.0411, Table1334567[[#This Row],[T]], ((Table1334567[[#This Row],[BIDC]]+Table1334567[[#This Row],[ASKC]])/2), TRUE)</f>
        <v>0.01</v>
      </c>
      <c r="I141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6" s="17"/>
      <c r="M1416" s="1">
        <f t="shared" si="135"/>
        <v>0</v>
      </c>
      <c r="N1416" t="b">
        <f t="shared" si="136"/>
        <v>0</v>
      </c>
      <c r="P1416" s="17" cm="1">
        <f t="array" aca="1" ref="P1416" ca="1">IndividualLegIVCore($A$4, Table1334567[[#This Row],[Strike]], 0.0411, Table1334567[[#This Row],[T]], ((Table1334567[[#This Row],[BIDP]]+Table1334567[[#This Row],[ASKP]])/2), FALSE)</f>
        <v>0.01</v>
      </c>
      <c r="Q141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6" s="17"/>
      <c r="T141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6" s="19">
        <f>44* IF($M$1="NDX", 10, IF(OR($M$1="SPX", $M$1="RUT"), 2, 1))</f>
        <v>88</v>
      </c>
      <c r="Z1416">
        <f ca="1">IFERROR(Table1334567[[#This Row],[call gamma]]*(Table1334567[[#This Row],[Open.Int]])*$A$4^2,0)</f>
        <v>0</v>
      </c>
      <c r="AA1416">
        <f ca="1">IFERROR(((Table1334567[[#This Row],[Open.Int8]])*Table1334567[[#This Row],[Put gamma]])*-1*$A$4^2,0)</f>
        <v>0</v>
      </c>
      <c r="AB1416">
        <f ca="1">(Table1334567[[#This Row],[Call Gex]]+Table1334567[[#This Row],[Put Gex]])</f>
        <v>0</v>
      </c>
      <c r="AC1416">
        <f ca="1">Table1334567[[#This Row],[put delta adj]]+Table1334567[[#This Row],[call delta adj]]</f>
        <v>0</v>
      </c>
      <c r="AD1416">
        <f ca="1">Table1334567[[#This Row],[Put Gex]]*Table1334567[[#This Row],[DeltaP]]*-1</f>
        <v>0</v>
      </c>
      <c r="AE1416">
        <f ca="1">Table1334567[[#This Row],[Call Gex]]*Table1334567[[#This Row],[DeltaC]]</f>
        <v>0</v>
      </c>
      <c r="AF1416">
        <f>IF(Table1334567[[#This Row],[DeltaC]]-ABS(Table1334567[[#This Row],[DeltaP]])="0","0.01",Table1334567[[#This Row],[DeltaC]]-ABS(Table1334567[[#This Row],[DeltaP]]))</f>
        <v>0</v>
      </c>
      <c r="AG141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6" t="e">
        <f ca="1">(EXP(-(AG1416^2)/2)/SQRT(2*PI())*EXP(0*SQRT(Table1334567[[#This Row],[T]]))/$A$4*18%*SQRT(SQRT(Table1334567[[#This Row],[T]])))</f>
        <v>#DIV/0!</v>
      </c>
      <c r="AJ1416" t="e">
        <f ca="1">(EXP(-(AH1416^2)/2)/SQRT(2*PI())*EXP(0*SQRT(Table1334567[[#This Row],[T]]))/$A$4*18%*SQRT(SQRT(Table1334567[[#This Row],[T]])))</f>
        <v>#DIV/0!</v>
      </c>
      <c r="AK1416" t="e">
        <f ca="1">Table1334567[[#This Row],[Call D1]]-Table1334567[[#This Row],[IV Calc C]]*SQRT(Table1334567[[#This Row],[T]])</f>
        <v>#DIV/0!</v>
      </c>
      <c r="AL1416" t="e">
        <f ca="1">Table1334567[[#This Row],[Put D1]]-Table1334567[[#This Row],[IV Calc P]]*SQRT(Table1334567[[#This Row],[T]])</f>
        <v>#DIV/0!</v>
      </c>
      <c r="AM1416" t="e">
        <f ca="1">EXP(-0.5*Table1334567[[#This Row],[Call D1]]^2)/SQRT(2*PI())</f>
        <v>#DIV/0!</v>
      </c>
      <c r="AN1416" t="e">
        <f ca="1">EXP(-0.5*Table1334567[[#This Row],[Put D1]]^2)/SQRT(2*PI())</f>
        <v>#DIV/0!</v>
      </c>
      <c r="AO141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6">
        <f ca="1">((Table1334567[[#This Row],[call vanna]]+Table1334567[[#This Row],[put vanna]])*$A$4)</f>
        <v>0</v>
      </c>
      <c r="AR141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6" s="9" t="str" cm="1">
        <f t="array" ref="AT1416">_xlfn.IFS(     $M$1="SPX","SPXW",     $M$1="RUT","RUTW",  $M$1="NDX","NDXP",   TRUE,$M$1 )</f>
        <v>SPXW</v>
      </c>
      <c r="AU1416" s="2">
        <f t="shared" si="137"/>
        <v>6915</v>
      </c>
      <c r="AV1416" t="str">
        <f t="shared" si="138"/>
        <v>000100</v>
      </c>
      <c r="AY141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6">
        <f>((Table1334567[[#This Row],[High C]]+Table1334567[[#This Row],[Low C]])/2)*Table1334567[[#This Row],[gammac]]*Table1334567[[#This Row],[Volume]]</f>
        <v>0</v>
      </c>
      <c r="BD1416">
        <f>((Table1334567[[#This Row],[High P]]+Table1334567[[#This Row],[Low P]])/2)*Table1334567[[#This Row],[gammap]]*Table1334567[[#This Row],[Volume9]]*-1</f>
        <v>0</v>
      </c>
      <c r="BE1416">
        <f>(Table1334567[[#This Row],[SgammaC]]+Table1334567[[#This Row],[SgammaP]])*$A$4*-100</f>
        <v>0</v>
      </c>
      <c r="BF1416">
        <f>Table1334567[[#This Row],[DEXc]]+Table1334567[[#This Row],[DEXp]]</f>
        <v>0</v>
      </c>
      <c r="BG1416">
        <f>IFERROR(Table1334567[[#This Row],[DeltaC]]*Table1334567[[#This Row],[Open.Int]]*$A$4,0)</f>
        <v>0</v>
      </c>
      <c r="BH1416">
        <f>IFERROR(Table1334567[[#This Row],[DeltaP]]*Table1334567[[#This Row],[Open.Int8]]*$A$4,0)</f>
        <v>0</v>
      </c>
      <c r="BI141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6">
        <f ca="1">Table1334567[[#This Row],[charmc]]+Table1334567[[#This Row],[charmp]]</f>
        <v>0</v>
      </c>
      <c r="BL141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6" s="78">
        <f ca="1">Table1334567[[#This Row],[call helper]]+Table1334567[[#This Row],[put helper]]</f>
        <v>0</v>
      </c>
      <c r="BP1416" t="str">
        <f>RTD("tos.rtd", , "STRIKE", "."&amp;Table1334567[[#This Row],[Ticker]]&amp;Table1334567[[#This Row],[Expiry]]&amp;""&amp;"C"&amp;Table1334567[[#This Row],[Spot]]+Table1334567[[#This Row],[step]])</f>
        <v>N/A</v>
      </c>
    </row>
    <row r="1417" spans="1:68" x14ac:dyDescent="0.25">
      <c r="A1417" s="14">
        <f t="shared" ca="1" si="134"/>
        <v>-126.14810350076104</v>
      </c>
      <c r="C1417" s="17"/>
      <c r="D1417" t="str">
        <f>RTD("tos.rtd", , "OPEN_INT", "."&amp;Table1334567[[#This Row],[Ticker]]&amp;Table1334567[[#This Row],[Expiry]]&amp;""&amp;"C"&amp;Table1334567[[#This Row],[Spot]]+Table1334567[[#This Row],[step]])</f>
        <v>N/A</v>
      </c>
      <c r="E141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7" s="17" cm="1">
        <f t="array" aca="1" ref="H1417" ca="1">IndividualLegIVCore($A$4, Table1334567[[#This Row],[Strike]], 0.0411, Table1334567[[#This Row],[T]], ((Table1334567[[#This Row],[BIDC]]+Table1334567[[#This Row],[ASKC]])/2), TRUE)</f>
        <v>0.01</v>
      </c>
      <c r="I141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7" s="17"/>
      <c r="M1417" s="1">
        <f t="shared" si="135"/>
        <v>0</v>
      </c>
      <c r="N1417" t="b">
        <f t="shared" si="136"/>
        <v>0</v>
      </c>
      <c r="P1417" s="17" cm="1">
        <f t="array" aca="1" ref="P1417" ca="1">IndividualLegIVCore($A$4, Table1334567[[#This Row],[Strike]], 0.0411, Table1334567[[#This Row],[T]], ((Table1334567[[#This Row],[BIDP]]+Table1334567[[#This Row],[ASKP]])/2), FALSE)</f>
        <v>0.01</v>
      </c>
      <c r="Q141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7" s="17"/>
      <c r="T141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7" s="19">
        <f>44.5* IF($M$1="NDX", 10, IF(OR($M$1="SPX", $M$1="RUT"), 2, 1))</f>
        <v>89</v>
      </c>
      <c r="Z1417">
        <f ca="1">IFERROR(Table1334567[[#This Row],[call gamma]]*(Table1334567[[#This Row],[Open.Int]])*$A$4^2,0)</f>
        <v>0</v>
      </c>
      <c r="AA1417">
        <f ca="1">IFERROR(((Table1334567[[#This Row],[Open.Int8]])*Table1334567[[#This Row],[Put gamma]])*-1*$A$4^2,0)</f>
        <v>0</v>
      </c>
      <c r="AB1417">
        <f ca="1">(Table1334567[[#This Row],[Call Gex]]+Table1334567[[#This Row],[Put Gex]])</f>
        <v>0</v>
      </c>
      <c r="AC1417">
        <f ca="1">Table1334567[[#This Row],[put delta adj]]+Table1334567[[#This Row],[call delta adj]]</f>
        <v>0</v>
      </c>
      <c r="AD1417">
        <f ca="1">Table1334567[[#This Row],[Put Gex]]*Table1334567[[#This Row],[DeltaP]]*-1</f>
        <v>0</v>
      </c>
      <c r="AE1417">
        <f ca="1">Table1334567[[#This Row],[Call Gex]]*Table1334567[[#This Row],[DeltaC]]</f>
        <v>0</v>
      </c>
      <c r="AF1417">
        <f>IF(Table1334567[[#This Row],[DeltaC]]-ABS(Table1334567[[#This Row],[DeltaP]])="0","0.01",Table1334567[[#This Row],[DeltaC]]-ABS(Table1334567[[#This Row],[DeltaP]]))</f>
        <v>0</v>
      </c>
      <c r="AG141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7" t="e">
        <f ca="1">(EXP(-(AG1417^2)/2)/SQRT(2*PI())*EXP(0*SQRT(Table1334567[[#This Row],[T]]))/$A$4*18%*SQRT(SQRT(Table1334567[[#This Row],[T]])))</f>
        <v>#DIV/0!</v>
      </c>
      <c r="AJ1417" t="e">
        <f ca="1">(EXP(-(AH1417^2)/2)/SQRT(2*PI())*EXP(0*SQRT(Table1334567[[#This Row],[T]]))/$A$4*18%*SQRT(SQRT(Table1334567[[#This Row],[T]])))</f>
        <v>#DIV/0!</v>
      </c>
      <c r="AK1417" t="e">
        <f ca="1">Table1334567[[#This Row],[Call D1]]-Table1334567[[#This Row],[IV Calc C]]*SQRT(Table1334567[[#This Row],[T]])</f>
        <v>#DIV/0!</v>
      </c>
      <c r="AL1417" t="e">
        <f ca="1">Table1334567[[#This Row],[Put D1]]-Table1334567[[#This Row],[IV Calc P]]*SQRT(Table1334567[[#This Row],[T]])</f>
        <v>#DIV/0!</v>
      </c>
      <c r="AM1417" t="e">
        <f ca="1">EXP(-0.5*Table1334567[[#This Row],[Call D1]]^2)/SQRT(2*PI())</f>
        <v>#DIV/0!</v>
      </c>
      <c r="AN1417" t="e">
        <f ca="1">EXP(-0.5*Table1334567[[#This Row],[Put D1]]^2)/SQRT(2*PI())</f>
        <v>#DIV/0!</v>
      </c>
      <c r="AO141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7">
        <f ca="1">((Table1334567[[#This Row],[call vanna]]+Table1334567[[#This Row],[put vanna]])*$A$4)</f>
        <v>0</v>
      </c>
      <c r="AR141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7" s="9" t="str" cm="1">
        <f t="array" ref="AT1417">_xlfn.IFS(     $M$1="SPX","SPXW",     $M$1="RUT","RUTW",  $M$1="NDX","NDXP",   TRUE,$M$1 )</f>
        <v>SPXW</v>
      </c>
      <c r="AU1417" s="2">
        <f t="shared" si="137"/>
        <v>6915</v>
      </c>
      <c r="AV1417" t="str">
        <f t="shared" si="138"/>
        <v>000100</v>
      </c>
      <c r="AY141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7">
        <f>((Table1334567[[#This Row],[High C]]+Table1334567[[#This Row],[Low C]])/2)*Table1334567[[#This Row],[gammac]]*Table1334567[[#This Row],[Volume]]</f>
        <v>0</v>
      </c>
      <c r="BD1417">
        <f>((Table1334567[[#This Row],[High P]]+Table1334567[[#This Row],[Low P]])/2)*Table1334567[[#This Row],[gammap]]*Table1334567[[#This Row],[Volume9]]*-1</f>
        <v>0</v>
      </c>
      <c r="BE1417">
        <f>(Table1334567[[#This Row],[SgammaC]]+Table1334567[[#This Row],[SgammaP]])*$A$4*-100</f>
        <v>0</v>
      </c>
      <c r="BF1417">
        <f>Table1334567[[#This Row],[DEXc]]+Table1334567[[#This Row],[DEXp]]</f>
        <v>0</v>
      </c>
      <c r="BG1417">
        <f>IFERROR(Table1334567[[#This Row],[DeltaC]]*Table1334567[[#This Row],[Open.Int]]*$A$4,0)</f>
        <v>0</v>
      </c>
      <c r="BH1417">
        <f>IFERROR(Table1334567[[#This Row],[DeltaP]]*Table1334567[[#This Row],[Open.Int8]]*$A$4,0)</f>
        <v>0</v>
      </c>
      <c r="BI141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7">
        <f ca="1">Table1334567[[#This Row],[charmc]]+Table1334567[[#This Row],[charmp]]</f>
        <v>0</v>
      </c>
      <c r="BL141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7" s="78">
        <f ca="1">Table1334567[[#This Row],[call helper]]+Table1334567[[#This Row],[put helper]]</f>
        <v>0</v>
      </c>
      <c r="BP1417" t="str">
        <f>RTD("tos.rtd", , "STRIKE", "."&amp;Table1334567[[#This Row],[Ticker]]&amp;Table1334567[[#This Row],[Expiry]]&amp;""&amp;"C"&amp;Table1334567[[#This Row],[Spot]]+Table1334567[[#This Row],[step]])</f>
        <v>N/A</v>
      </c>
    </row>
    <row r="1418" spans="1:68" x14ac:dyDescent="0.25">
      <c r="A1418" s="14">
        <f t="shared" ca="1" si="134"/>
        <v>-126.14810350076104</v>
      </c>
      <c r="C1418" s="17"/>
      <c r="D1418" t="str">
        <f>RTD("tos.rtd", , "OPEN_INT", "."&amp;Table1334567[[#This Row],[Ticker]]&amp;Table1334567[[#This Row],[Expiry]]&amp;""&amp;"C"&amp;Table1334567[[#This Row],[Spot]]+Table1334567[[#This Row],[step]])</f>
        <v>N/A</v>
      </c>
      <c r="E141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8" s="17" cm="1">
        <f t="array" aca="1" ref="H1418" ca="1">IndividualLegIVCore($A$4, Table1334567[[#This Row],[Strike]], 0.0411, Table1334567[[#This Row],[T]], ((Table1334567[[#This Row],[BIDC]]+Table1334567[[#This Row],[ASKC]])/2), TRUE)</f>
        <v>0.01</v>
      </c>
      <c r="I141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8" s="17"/>
      <c r="M1418" s="1">
        <f t="shared" si="135"/>
        <v>0</v>
      </c>
      <c r="N1418" t="b">
        <f t="shared" si="136"/>
        <v>0</v>
      </c>
      <c r="P1418" s="17" cm="1">
        <f t="array" aca="1" ref="P1418" ca="1">IndividualLegIVCore($A$4, Table1334567[[#This Row],[Strike]], 0.0411, Table1334567[[#This Row],[T]], ((Table1334567[[#This Row],[BIDP]]+Table1334567[[#This Row],[ASKP]])/2), FALSE)</f>
        <v>0.01</v>
      </c>
      <c r="Q141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8" s="17"/>
      <c r="T141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8" s="20">
        <f>45* IF($M$1="NDX", 10, IF(OR($M$1="SPX", $M$1="RUT"), 2, 1))</f>
        <v>90</v>
      </c>
      <c r="Z1418">
        <f ca="1">IFERROR(Table1334567[[#This Row],[call gamma]]*(Table1334567[[#This Row],[Open.Int]])*$A$4^2,0)</f>
        <v>0</v>
      </c>
      <c r="AA1418">
        <f ca="1">IFERROR(((Table1334567[[#This Row],[Open.Int8]])*Table1334567[[#This Row],[Put gamma]])*-1*$A$4^2,0)</f>
        <v>0</v>
      </c>
      <c r="AB1418">
        <f ca="1">(Table1334567[[#This Row],[Call Gex]]+Table1334567[[#This Row],[Put Gex]])</f>
        <v>0</v>
      </c>
      <c r="AC1418">
        <f ca="1">Table1334567[[#This Row],[put delta adj]]+Table1334567[[#This Row],[call delta adj]]</f>
        <v>0</v>
      </c>
      <c r="AD1418">
        <f ca="1">Table1334567[[#This Row],[Put Gex]]*Table1334567[[#This Row],[DeltaP]]*-1</f>
        <v>0</v>
      </c>
      <c r="AE1418">
        <f ca="1">Table1334567[[#This Row],[Call Gex]]*Table1334567[[#This Row],[DeltaC]]</f>
        <v>0</v>
      </c>
      <c r="AF1418">
        <f>IF(Table1334567[[#This Row],[DeltaC]]-ABS(Table1334567[[#This Row],[DeltaP]])="0","0.01",Table1334567[[#This Row],[DeltaC]]-ABS(Table1334567[[#This Row],[DeltaP]]))</f>
        <v>0</v>
      </c>
      <c r="AG141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8" t="e">
        <f ca="1">(EXP(-(AG1418^2)/2)/SQRT(2*PI())*EXP(0*SQRT(Table1334567[[#This Row],[T]]))/$A$4*18%*SQRT(SQRT(Table1334567[[#This Row],[T]])))</f>
        <v>#DIV/0!</v>
      </c>
      <c r="AJ1418" t="e">
        <f ca="1">(EXP(-(AH1418^2)/2)/SQRT(2*PI())*EXP(0*SQRT(Table1334567[[#This Row],[T]]))/$A$4*18%*SQRT(SQRT(Table1334567[[#This Row],[T]])))</f>
        <v>#DIV/0!</v>
      </c>
      <c r="AK1418" t="e">
        <f ca="1">Table1334567[[#This Row],[Call D1]]-Table1334567[[#This Row],[IV Calc C]]*SQRT(Table1334567[[#This Row],[T]])</f>
        <v>#DIV/0!</v>
      </c>
      <c r="AL1418" t="e">
        <f ca="1">Table1334567[[#This Row],[Put D1]]-Table1334567[[#This Row],[IV Calc P]]*SQRT(Table1334567[[#This Row],[T]])</f>
        <v>#DIV/0!</v>
      </c>
      <c r="AM1418" t="e">
        <f ca="1">EXP(-0.5*Table1334567[[#This Row],[Call D1]]^2)/SQRT(2*PI())</f>
        <v>#DIV/0!</v>
      </c>
      <c r="AN1418" t="e">
        <f ca="1">EXP(-0.5*Table1334567[[#This Row],[Put D1]]^2)/SQRT(2*PI())</f>
        <v>#DIV/0!</v>
      </c>
      <c r="AO141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8">
        <f ca="1">((Table1334567[[#This Row],[call vanna]]+Table1334567[[#This Row],[put vanna]])*$A$4)</f>
        <v>0</v>
      </c>
      <c r="AR141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8" s="9" t="str" cm="1">
        <f t="array" ref="AT1418">_xlfn.IFS(     $M$1="SPX","SPXW",     $M$1="RUT","RUTW",  $M$1="NDX","NDXP",   TRUE,$M$1 )</f>
        <v>SPXW</v>
      </c>
      <c r="AU1418" s="2">
        <f t="shared" si="137"/>
        <v>6915</v>
      </c>
      <c r="AV1418" t="str">
        <f t="shared" si="138"/>
        <v>000100</v>
      </c>
      <c r="AY141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8">
        <f>((Table1334567[[#This Row],[High C]]+Table1334567[[#This Row],[Low C]])/2)*Table1334567[[#This Row],[gammac]]*Table1334567[[#This Row],[Volume]]</f>
        <v>0</v>
      </c>
      <c r="BD1418">
        <f>((Table1334567[[#This Row],[High P]]+Table1334567[[#This Row],[Low P]])/2)*Table1334567[[#This Row],[gammap]]*Table1334567[[#This Row],[Volume9]]*-1</f>
        <v>0</v>
      </c>
      <c r="BE1418">
        <f>(Table1334567[[#This Row],[SgammaC]]+Table1334567[[#This Row],[SgammaP]])*$A$4*-100</f>
        <v>0</v>
      </c>
      <c r="BF1418">
        <f>Table1334567[[#This Row],[DEXc]]+Table1334567[[#This Row],[DEXp]]</f>
        <v>0</v>
      </c>
      <c r="BG1418">
        <f>IFERROR(Table1334567[[#This Row],[DeltaC]]*Table1334567[[#This Row],[Open.Int]]*$A$4,0)</f>
        <v>0</v>
      </c>
      <c r="BH1418">
        <f>IFERROR(Table1334567[[#This Row],[DeltaP]]*Table1334567[[#This Row],[Open.Int8]]*$A$4,0)</f>
        <v>0</v>
      </c>
      <c r="BI141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8">
        <f ca="1">Table1334567[[#This Row],[charmc]]+Table1334567[[#This Row],[charmp]]</f>
        <v>0</v>
      </c>
      <c r="BL141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8" s="78">
        <f ca="1">Table1334567[[#This Row],[call helper]]+Table1334567[[#This Row],[put helper]]</f>
        <v>0</v>
      </c>
      <c r="BP1418" t="str">
        <f>RTD("tos.rtd", , "STRIKE", "."&amp;Table1334567[[#This Row],[Ticker]]&amp;Table1334567[[#This Row],[Expiry]]&amp;""&amp;"C"&amp;Table1334567[[#This Row],[Spot]]+Table1334567[[#This Row],[step]])</f>
        <v>N/A</v>
      </c>
    </row>
    <row r="1419" spans="1:68" x14ac:dyDescent="0.25">
      <c r="A1419" s="14">
        <f t="shared" ca="1" si="134"/>
        <v>-126.14810350076104</v>
      </c>
      <c r="C1419" s="17"/>
      <c r="D1419" t="str">
        <f>RTD("tos.rtd", , "OPEN_INT", "."&amp;Table1334567[[#This Row],[Ticker]]&amp;Table1334567[[#This Row],[Expiry]]&amp;""&amp;"C"&amp;Table1334567[[#This Row],[Spot]]+Table1334567[[#This Row],[step]])</f>
        <v>N/A</v>
      </c>
      <c r="E141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9" s="17" cm="1">
        <f t="array" aca="1" ref="H1419" ca="1">IndividualLegIVCore($A$4, Table1334567[[#This Row],[Strike]], 0.0411, Table1334567[[#This Row],[T]], ((Table1334567[[#This Row],[BIDC]]+Table1334567[[#This Row],[ASKC]])/2), TRUE)</f>
        <v>0.01</v>
      </c>
      <c r="I141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9" s="17"/>
      <c r="M1419" s="1">
        <f t="shared" si="135"/>
        <v>0</v>
      </c>
      <c r="N1419" t="b">
        <f t="shared" si="136"/>
        <v>0</v>
      </c>
      <c r="P1419" s="17" cm="1">
        <f t="array" aca="1" ref="P1419" ca="1">IndividualLegIVCore($A$4, Table1334567[[#This Row],[Strike]], 0.0411, Table1334567[[#This Row],[T]], ((Table1334567[[#This Row],[BIDP]]+Table1334567[[#This Row],[ASKP]])/2), FALSE)</f>
        <v>0.01</v>
      </c>
      <c r="Q141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9" s="17"/>
      <c r="T141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9" s="19">
        <f>45.5* IF($M$1="NDX", 10, IF(OR($M$1="SPX", $M$1="RUT"), 2, 1))</f>
        <v>91</v>
      </c>
      <c r="Z1419">
        <f ca="1">IFERROR(Table1334567[[#This Row],[call gamma]]*(Table1334567[[#This Row],[Open.Int]])*$A$4^2,0)</f>
        <v>0</v>
      </c>
      <c r="AA1419">
        <f ca="1">IFERROR(((Table1334567[[#This Row],[Open.Int8]])*Table1334567[[#This Row],[Put gamma]])*-1*$A$4^2,0)</f>
        <v>0</v>
      </c>
      <c r="AB1419">
        <f ca="1">(Table1334567[[#This Row],[Call Gex]]+Table1334567[[#This Row],[Put Gex]])</f>
        <v>0</v>
      </c>
      <c r="AC1419">
        <f ca="1">Table1334567[[#This Row],[put delta adj]]+Table1334567[[#This Row],[call delta adj]]</f>
        <v>0</v>
      </c>
      <c r="AD1419">
        <f ca="1">Table1334567[[#This Row],[Put Gex]]*Table1334567[[#This Row],[DeltaP]]*-1</f>
        <v>0</v>
      </c>
      <c r="AE1419">
        <f ca="1">Table1334567[[#This Row],[Call Gex]]*Table1334567[[#This Row],[DeltaC]]</f>
        <v>0</v>
      </c>
      <c r="AF1419">
        <f>IF(Table1334567[[#This Row],[DeltaC]]-ABS(Table1334567[[#This Row],[DeltaP]])="0","0.01",Table1334567[[#This Row],[DeltaC]]-ABS(Table1334567[[#This Row],[DeltaP]]))</f>
        <v>0</v>
      </c>
      <c r="AG141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9" t="e">
        <f ca="1">(EXP(-(AG1419^2)/2)/SQRT(2*PI())*EXP(0*SQRT(Table1334567[[#This Row],[T]]))/$A$4*18%*SQRT(SQRT(Table1334567[[#This Row],[T]])))</f>
        <v>#DIV/0!</v>
      </c>
      <c r="AJ1419" t="e">
        <f ca="1">(EXP(-(AH1419^2)/2)/SQRT(2*PI())*EXP(0*SQRT(Table1334567[[#This Row],[T]]))/$A$4*18%*SQRT(SQRT(Table1334567[[#This Row],[T]])))</f>
        <v>#DIV/0!</v>
      </c>
      <c r="AK1419" t="e">
        <f ca="1">Table1334567[[#This Row],[Call D1]]-Table1334567[[#This Row],[IV Calc C]]*SQRT(Table1334567[[#This Row],[T]])</f>
        <v>#DIV/0!</v>
      </c>
      <c r="AL1419" t="e">
        <f ca="1">Table1334567[[#This Row],[Put D1]]-Table1334567[[#This Row],[IV Calc P]]*SQRT(Table1334567[[#This Row],[T]])</f>
        <v>#DIV/0!</v>
      </c>
      <c r="AM1419" t="e">
        <f ca="1">EXP(-0.5*Table1334567[[#This Row],[Call D1]]^2)/SQRT(2*PI())</f>
        <v>#DIV/0!</v>
      </c>
      <c r="AN1419" t="e">
        <f ca="1">EXP(-0.5*Table1334567[[#This Row],[Put D1]]^2)/SQRT(2*PI())</f>
        <v>#DIV/0!</v>
      </c>
      <c r="AO141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9">
        <f ca="1">((Table1334567[[#This Row],[call vanna]]+Table1334567[[#This Row],[put vanna]])*$A$4)</f>
        <v>0</v>
      </c>
      <c r="AR141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9" s="9" t="str" cm="1">
        <f t="array" ref="AT1419">_xlfn.IFS(     $M$1="SPX","SPXW",     $M$1="RUT","RUTW",  $M$1="NDX","NDXP",   TRUE,$M$1 )</f>
        <v>SPXW</v>
      </c>
      <c r="AU1419" s="2">
        <f t="shared" si="137"/>
        <v>6915</v>
      </c>
      <c r="AV1419" t="str">
        <f t="shared" si="138"/>
        <v>000100</v>
      </c>
      <c r="AY141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9">
        <f>((Table1334567[[#This Row],[High C]]+Table1334567[[#This Row],[Low C]])/2)*Table1334567[[#This Row],[gammac]]*Table1334567[[#This Row],[Volume]]</f>
        <v>0</v>
      </c>
      <c r="BD1419">
        <f>((Table1334567[[#This Row],[High P]]+Table1334567[[#This Row],[Low P]])/2)*Table1334567[[#This Row],[gammap]]*Table1334567[[#This Row],[Volume9]]*-1</f>
        <v>0</v>
      </c>
      <c r="BE1419">
        <f>(Table1334567[[#This Row],[SgammaC]]+Table1334567[[#This Row],[SgammaP]])*$A$4*-100</f>
        <v>0</v>
      </c>
      <c r="BF1419">
        <f>Table1334567[[#This Row],[DEXc]]+Table1334567[[#This Row],[DEXp]]</f>
        <v>0</v>
      </c>
      <c r="BG1419">
        <f>IFERROR(Table1334567[[#This Row],[DeltaC]]*Table1334567[[#This Row],[Open.Int]]*$A$4,0)</f>
        <v>0</v>
      </c>
      <c r="BH1419">
        <f>IFERROR(Table1334567[[#This Row],[DeltaP]]*Table1334567[[#This Row],[Open.Int8]]*$A$4,0)</f>
        <v>0</v>
      </c>
      <c r="BI141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9">
        <f ca="1">Table1334567[[#This Row],[charmc]]+Table1334567[[#This Row],[charmp]]</f>
        <v>0</v>
      </c>
      <c r="BL1419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9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9" s="78">
        <f ca="1">Table1334567[[#This Row],[call helper]]+Table1334567[[#This Row],[put helper]]</f>
        <v>0</v>
      </c>
      <c r="BP1419" t="str">
        <f>RTD("tos.rtd", , "STRIKE", "."&amp;Table1334567[[#This Row],[Ticker]]&amp;Table1334567[[#This Row],[Expiry]]&amp;""&amp;"C"&amp;Table1334567[[#This Row],[Spot]]+Table1334567[[#This Row],[step]])</f>
        <v>N/A</v>
      </c>
    </row>
    <row r="1420" spans="1:68" x14ac:dyDescent="0.25">
      <c r="A1420" s="14">
        <f t="shared" ref="A1420:A1428" ca="1" si="139">$U$3</f>
        <v>-126.14810350076104</v>
      </c>
      <c r="C1420" s="17"/>
      <c r="D1420" t="str">
        <f>RTD("tos.rtd", , "OPEN_INT", "."&amp;Table1334567[[#This Row],[Ticker]]&amp;Table1334567[[#This Row],[Expiry]]&amp;""&amp;"C"&amp;Table1334567[[#This Row],[Spot]]+Table1334567[[#This Row],[step]])</f>
        <v>N/A</v>
      </c>
      <c r="E142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0" s="17" cm="1">
        <f t="array" aca="1" ref="H1420" ca="1">IndividualLegIVCore($A$4, Table1334567[[#This Row],[Strike]], 0.0411, Table1334567[[#This Row],[T]], ((Table1334567[[#This Row],[BIDC]]+Table1334567[[#This Row],[ASKC]])/2), TRUE)</f>
        <v>0.01</v>
      </c>
      <c r="I142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0" s="17"/>
      <c r="M1420" s="1">
        <f t="shared" ref="M1420:M1428" si="140">$U$1</f>
        <v>0</v>
      </c>
      <c r="N1420" t="b">
        <f t="shared" ref="N1420:N1428" si="141">IF(ISNUMBER($BP1420), $BP1420, FALSE)</f>
        <v>0</v>
      </c>
      <c r="P1420" s="17" cm="1">
        <f t="array" aca="1" ref="P1420" ca="1">IndividualLegIVCore($A$4, Table1334567[[#This Row],[Strike]], 0.0411, Table1334567[[#This Row],[T]], ((Table1334567[[#This Row],[BIDP]]+Table1334567[[#This Row],[ASKP]])/2), FALSE)</f>
        <v>0.01</v>
      </c>
      <c r="Q142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0" s="17"/>
      <c r="T142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0">
        <f>46* IF($M$1="NDX", 10, IF(OR($M$1="SPX", $M$1="RUT"), 2, 1))</f>
        <v>92</v>
      </c>
      <c r="Z1420">
        <f ca="1">IFERROR(Table1334567[[#This Row],[call gamma]]*(Table1334567[[#This Row],[Open.Int]])*$A$4^2,0)</f>
        <v>0</v>
      </c>
      <c r="AA1420">
        <f ca="1">IFERROR(((Table1334567[[#This Row],[Open.Int8]])*Table1334567[[#This Row],[Put gamma]])*-1*$A$4^2,0)</f>
        <v>0</v>
      </c>
      <c r="AB1420">
        <f ca="1">(Table1334567[[#This Row],[Call Gex]]+Table1334567[[#This Row],[Put Gex]])</f>
        <v>0</v>
      </c>
      <c r="AC1420">
        <f ca="1">Table1334567[[#This Row],[put delta adj]]+Table1334567[[#This Row],[call delta adj]]</f>
        <v>0</v>
      </c>
      <c r="AD1420">
        <f ca="1">Table1334567[[#This Row],[Put Gex]]*Table1334567[[#This Row],[DeltaP]]*-1</f>
        <v>0</v>
      </c>
      <c r="AE1420">
        <f ca="1">Table1334567[[#This Row],[Call Gex]]*Table1334567[[#This Row],[DeltaC]]</f>
        <v>0</v>
      </c>
      <c r="AF1420">
        <f>IF(Table1334567[[#This Row],[DeltaC]]-ABS(Table1334567[[#This Row],[DeltaP]])="0","0.01",Table1334567[[#This Row],[DeltaC]]-ABS(Table1334567[[#This Row],[DeltaP]]))</f>
        <v>0</v>
      </c>
      <c r="AG142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0" t="e">
        <f ca="1">(EXP(-(AG1420^2)/2)/SQRT(2*PI())*EXP(0*SQRT(Table1334567[[#This Row],[T]]))/$A$4*18%*SQRT(SQRT(Table1334567[[#This Row],[T]])))</f>
        <v>#DIV/0!</v>
      </c>
      <c r="AJ1420" t="e">
        <f ca="1">(EXP(-(AH1420^2)/2)/SQRT(2*PI())*EXP(0*SQRT(Table1334567[[#This Row],[T]]))/$A$4*18%*SQRT(SQRT(Table1334567[[#This Row],[T]])))</f>
        <v>#DIV/0!</v>
      </c>
      <c r="AK1420" t="e">
        <f ca="1">Table1334567[[#This Row],[Call D1]]-Table1334567[[#This Row],[IV Calc C]]*SQRT(Table1334567[[#This Row],[T]])</f>
        <v>#DIV/0!</v>
      </c>
      <c r="AL1420" t="e">
        <f ca="1">Table1334567[[#This Row],[Put D1]]-Table1334567[[#This Row],[IV Calc P]]*SQRT(Table1334567[[#This Row],[T]])</f>
        <v>#DIV/0!</v>
      </c>
      <c r="AM1420" t="e">
        <f ca="1">EXP(-0.5*Table1334567[[#This Row],[Call D1]]^2)/SQRT(2*PI())</f>
        <v>#DIV/0!</v>
      </c>
      <c r="AN1420" t="e">
        <f ca="1">EXP(-0.5*Table1334567[[#This Row],[Put D1]]^2)/SQRT(2*PI())</f>
        <v>#DIV/0!</v>
      </c>
      <c r="AO142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0">
        <f ca="1">((Table1334567[[#This Row],[call vanna]]+Table1334567[[#This Row],[put vanna]])*$A$4)</f>
        <v>0</v>
      </c>
      <c r="AR142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0" s="9" t="str" cm="1">
        <f t="array" ref="AT1420">_xlfn.IFS(     $M$1="SPX","SPXW",     $M$1="RUT","RUTW",  $M$1="NDX","NDXP",   TRUE,$M$1 )</f>
        <v>SPXW</v>
      </c>
      <c r="AU1420" s="2">
        <f t="shared" ref="AU1420:AU1428" si="142">$N$1</f>
        <v>6915</v>
      </c>
      <c r="AV1420" t="str">
        <f t="shared" ref="AV1420:AV1428" si="143">$U$2</f>
        <v>000100</v>
      </c>
      <c r="AY142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0">
        <f>((Table1334567[[#This Row],[High C]]+Table1334567[[#This Row],[Low C]])/2)*Table1334567[[#This Row],[gammac]]*Table1334567[[#This Row],[Volume]]</f>
        <v>0</v>
      </c>
      <c r="BD1420">
        <f>((Table1334567[[#This Row],[High P]]+Table1334567[[#This Row],[Low P]])/2)*Table1334567[[#This Row],[gammap]]*Table1334567[[#This Row],[Volume9]]*-1</f>
        <v>0</v>
      </c>
      <c r="BE1420">
        <f>(Table1334567[[#This Row],[SgammaC]]+Table1334567[[#This Row],[SgammaP]])*$A$4*-100</f>
        <v>0</v>
      </c>
      <c r="BF1420">
        <f>Table1334567[[#This Row],[DEXc]]+Table1334567[[#This Row],[DEXp]]</f>
        <v>0</v>
      </c>
      <c r="BG1420">
        <f>IFERROR(Table1334567[[#This Row],[DeltaC]]*Table1334567[[#This Row],[Open.Int]]*$A$4,0)</f>
        <v>0</v>
      </c>
      <c r="BH1420">
        <f>IFERROR(Table1334567[[#This Row],[DeltaP]]*Table1334567[[#This Row],[Open.Int8]]*$A$4,0)</f>
        <v>0</v>
      </c>
      <c r="BI142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0">
        <f ca="1">Table1334567[[#This Row],[charmc]]+Table1334567[[#This Row],[charmp]]</f>
        <v>0</v>
      </c>
      <c r="BL1420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0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0" s="78">
        <f ca="1">Table1334567[[#This Row],[call helper]]+Table1334567[[#This Row],[put helper]]</f>
        <v>0</v>
      </c>
      <c r="BP1420" t="str">
        <f>RTD("tos.rtd", , "STRIKE", "."&amp;Table1334567[[#This Row],[Ticker]]&amp;Table1334567[[#This Row],[Expiry]]&amp;""&amp;"C"&amp;Table1334567[[#This Row],[Spot]]+Table1334567[[#This Row],[step]])</f>
        <v>N/A</v>
      </c>
    </row>
    <row r="1421" spans="1:68" x14ac:dyDescent="0.25">
      <c r="A1421" s="14">
        <f t="shared" ca="1" si="139"/>
        <v>-126.14810350076104</v>
      </c>
      <c r="C1421" s="17"/>
      <c r="D1421" t="str">
        <f>RTD("tos.rtd", , "OPEN_INT", "."&amp;Table1334567[[#This Row],[Ticker]]&amp;Table1334567[[#This Row],[Expiry]]&amp;""&amp;"C"&amp;Table1334567[[#This Row],[Spot]]+Table1334567[[#This Row],[step]])</f>
        <v>N/A</v>
      </c>
      <c r="E142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1" s="17" cm="1">
        <f t="array" aca="1" ref="H1421" ca="1">IndividualLegIVCore($A$4, Table1334567[[#This Row],[Strike]], 0.0411, Table1334567[[#This Row],[T]], ((Table1334567[[#This Row],[BIDC]]+Table1334567[[#This Row],[ASKC]])/2), TRUE)</f>
        <v>0.01</v>
      </c>
      <c r="I142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1" s="17"/>
      <c r="M1421" s="1">
        <f t="shared" si="140"/>
        <v>0</v>
      </c>
      <c r="N1421" t="b">
        <f t="shared" si="141"/>
        <v>0</v>
      </c>
      <c r="P1421" s="17" cm="1">
        <f t="array" aca="1" ref="P1421" ca="1">IndividualLegIVCore($A$4, Table1334567[[#This Row],[Strike]], 0.0411, Table1334567[[#This Row],[T]], ((Table1334567[[#This Row],[BIDP]]+Table1334567[[#This Row],[ASKP]])/2), FALSE)</f>
        <v>0.01</v>
      </c>
      <c r="Q142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1" s="17"/>
      <c r="T142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1">
        <f>46.5* IF($M$1="NDX", 10, IF(OR($M$1="SPX", $M$1="RUT"), 2, 1))</f>
        <v>93</v>
      </c>
      <c r="Z1421">
        <f ca="1">IFERROR(Table1334567[[#This Row],[call gamma]]*(Table1334567[[#This Row],[Open.Int]])*$A$4^2,0)</f>
        <v>0</v>
      </c>
      <c r="AA1421">
        <f ca="1">IFERROR(((Table1334567[[#This Row],[Open.Int8]])*Table1334567[[#This Row],[Put gamma]])*-1*$A$4^2,0)</f>
        <v>0</v>
      </c>
      <c r="AB1421">
        <f ca="1">(Table1334567[[#This Row],[Call Gex]]+Table1334567[[#This Row],[Put Gex]])</f>
        <v>0</v>
      </c>
      <c r="AC1421">
        <f ca="1">Table1334567[[#This Row],[put delta adj]]+Table1334567[[#This Row],[call delta adj]]</f>
        <v>0</v>
      </c>
      <c r="AD1421">
        <f ca="1">Table1334567[[#This Row],[Put Gex]]*Table1334567[[#This Row],[DeltaP]]*-1</f>
        <v>0</v>
      </c>
      <c r="AE1421">
        <f ca="1">Table1334567[[#This Row],[Call Gex]]*Table1334567[[#This Row],[DeltaC]]</f>
        <v>0</v>
      </c>
      <c r="AF1421">
        <f>IF(Table1334567[[#This Row],[DeltaC]]-ABS(Table1334567[[#This Row],[DeltaP]])="0","0.01",Table1334567[[#This Row],[DeltaC]]-ABS(Table1334567[[#This Row],[DeltaP]]))</f>
        <v>0</v>
      </c>
      <c r="AG142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1" t="e">
        <f ca="1">(EXP(-(AG1421^2)/2)/SQRT(2*PI())*EXP(0*SQRT(Table1334567[[#This Row],[T]]))/$A$4*18%*SQRT(SQRT(Table1334567[[#This Row],[T]])))</f>
        <v>#DIV/0!</v>
      </c>
      <c r="AJ1421" t="e">
        <f ca="1">(EXP(-(AH1421^2)/2)/SQRT(2*PI())*EXP(0*SQRT(Table1334567[[#This Row],[T]]))/$A$4*18%*SQRT(SQRT(Table1334567[[#This Row],[T]])))</f>
        <v>#DIV/0!</v>
      </c>
      <c r="AK1421" t="e">
        <f ca="1">Table1334567[[#This Row],[Call D1]]-Table1334567[[#This Row],[IV Calc C]]*SQRT(Table1334567[[#This Row],[T]])</f>
        <v>#DIV/0!</v>
      </c>
      <c r="AL1421" t="e">
        <f ca="1">Table1334567[[#This Row],[Put D1]]-Table1334567[[#This Row],[IV Calc P]]*SQRT(Table1334567[[#This Row],[T]])</f>
        <v>#DIV/0!</v>
      </c>
      <c r="AM1421" t="e">
        <f ca="1">EXP(-0.5*Table1334567[[#This Row],[Call D1]]^2)/SQRT(2*PI())</f>
        <v>#DIV/0!</v>
      </c>
      <c r="AN1421" t="e">
        <f ca="1">EXP(-0.5*Table1334567[[#This Row],[Put D1]]^2)/SQRT(2*PI())</f>
        <v>#DIV/0!</v>
      </c>
      <c r="AO142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1">
        <f ca="1">((Table1334567[[#This Row],[call vanna]]+Table1334567[[#This Row],[put vanna]])*$A$4)</f>
        <v>0</v>
      </c>
      <c r="AR142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1" s="9" t="str" cm="1">
        <f t="array" ref="AT1421">_xlfn.IFS(     $M$1="SPX","SPXW",     $M$1="RUT","RUTW",  $M$1="NDX","NDXP",   TRUE,$M$1 )</f>
        <v>SPXW</v>
      </c>
      <c r="AU1421" s="2">
        <f t="shared" si="142"/>
        <v>6915</v>
      </c>
      <c r="AV1421" t="str">
        <f t="shared" si="143"/>
        <v>000100</v>
      </c>
      <c r="AY142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1">
        <f>((Table1334567[[#This Row],[High C]]+Table1334567[[#This Row],[Low C]])/2)*Table1334567[[#This Row],[gammac]]*Table1334567[[#This Row],[Volume]]</f>
        <v>0</v>
      </c>
      <c r="BD1421">
        <f>((Table1334567[[#This Row],[High P]]+Table1334567[[#This Row],[Low P]])/2)*Table1334567[[#This Row],[gammap]]*Table1334567[[#This Row],[Volume9]]*-1</f>
        <v>0</v>
      </c>
      <c r="BE1421">
        <f>(Table1334567[[#This Row],[SgammaC]]+Table1334567[[#This Row],[SgammaP]])*$A$4*-100</f>
        <v>0</v>
      </c>
      <c r="BF1421">
        <f>Table1334567[[#This Row],[DEXc]]+Table1334567[[#This Row],[DEXp]]</f>
        <v>0</v>
      </c>
      <c r="BG1421">
        <f>IFERROR(Table1334567[[#This Row],[DeltaC]]*Table1334567[[#This Row],[Open.Int]]*$A$4,0)</f>
        <v>0</v>
      </c>
      <c r="BH1421">
        <f>IFERROR(Table1334567[[#This Row],[DeltaP]]*Table1334567[[#This Row],[Open.Int8]]*$A$4,0)</f>
        <v>0</v>
      </c>
      <c r="BI142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1">
        <f ca="1">Table1334567[[#This Row],[charmc]]+Table1334567[[#This Row],[charmp]]</f>
        <v>0</v>
      </c>
      <c r="BL1421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1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1" s="78">
        <f ca="1">Table1334567[[#This Row],[call helper]]+Table1334567[[#This Row],[put helper]]</f>
        <v>0</v>
      </c>
      <c r="BP1421" t="str">
        <f>RTD("tos.rtd", , "STRIKE", "."&amp;Table1334567[[#This Row],[Ticker]]&amp;Table1334567[[#This Row],[Expiry]]&amp;""&amp;"C"&amp;Table1334567[[#This Row],[Spot]]+Table1334567[[#This Row],[step]])</f>
        <v>N/A</v>
      </c>
    </row>
    <row r="1422" spans="1:68" x14ac:dyDescent="0.25">
      <c r="A1422" s="14">
        <f t="shared" ca="1" si="139"/>
        <v>-126.14810350076104</v>
      </c>
      <c r="C1422" s="17"/>
      <c r="D1422" t="str">
        <f>RTD("tos.rtd", , "OPEN_INT", "."&amp;Table1334567[[#This Row],[Ticker]]&amp;Table1334567[[#This Row],[Expiry]]&amp;""&amp;"C"&amp;Table1334567[[#This Row],[Spot]]+Table1334567[[#This Row],[step]])</f>
        <v>N/A</v>
      </c>
      <c r="E142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2" s="17" cm="1">
        <f t="array" aca="1" ref="H1422" ca="1">IndividualLegIVCore($A$4, Table1334567[[#This Row],[Strike]], 0.0411, Table1334567[[#This Row],[T]], ((Table1334567[[#This Row],[BIDC]]+Table1334567[[#This Row],[ASKC]])/2), TRUE)</f>
        <v>0.01</v>
      </c>
      <c r="I142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2" s="17"/>
      <c r="M1422" s="1">
        <f t="shared" si="140"/>
        <v>0</v>
      </c>
      <c r="N1422" t="b">
        <f t="shared" si="141"/>
        <v>0</v>
      </c>
      <c r="P1422" s="17" cm="1">
        <f t="array" aca="1" ref="P1422" ca="1">IndividualLegIVCore($A$4, Table1334567[[#This Row],[Strike]], 0.0411, Table1334567[[#This Row],[T]], ((Table1334567[[#This Row],[BIDP]]+Table1334567[[#This Row],[ASKP]])/2), FALSE)</f>
        <v>0.01</v>
      </c>
      <c r="Q142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2" s="17"/>
      <c r="T142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2">
        <f>47* IF($M$1="NDX", 10, IF(OR($M$1="SPX", $M$1="RUT"), 2, 1))</f>
        <v>94</v>
      </c>
      <c r="Z1422">
        <f ca="1">IFERROR(Table1334567[[#This Row],[call gamma]]*(Table1334567[[#This Row],[Open.Int]])*$A$4^2,0)</f>
        <v>0</v>
      </c>
      <c r="AA1422">
        <f ca="1">IFERROR(((Table1334567[[#This Row],[Open.Int8]])*Table1334567[[#This Row],[Put gamma]])*-1*$A$4^2,0)</f>
        <v>0</v>
      </c>
      <c r="AB1422">
        <f ca="1">(Table1334567[[#This Row],[Call Gex]]+Table1334567[[#This Row],[Put Gex]])</f>
        <v>0</v>
      </c>
      <c r="AC1422">
        <f ca="1">Table1334567[[#This Row],[put delta adj]]+Table1334567[[#This Row],[call delta adj]]</f>
        <v>0</v>
      </c>
      <c r="AD1422">
        <f ca="1">Table1334567[[#This Row],[Put Gex]]*Table1334567[[#This Row],[DeltaP]]*-1</f>
        <v>0</v>
      </c>
      <c r="AE1422">
        <f ca="1">Table1334567[[#This Row],[Call Gex]]*Table1334567[[#This Row],[DeltaC]]</f>
        <v>0</v>
      </c>
      <c r="AF1422">
        <f>IF(Table1334567[[#This Row],[DeltaC]]-ABS(Table1334567[[#This Row],[DeltaP]])="0","0.01",Table1334567[[#This Row],[DeltaC]]-ABS(Table1334567[[#This Row],[DeltaP]]))</f>
        <v>0</v>
      </c>
      <c r="AG142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2" t="e">
        <f ca="1">(EXP(-(AG1422^2)/2)/SQRT(2*PI())*EXP(0*SQRT(Table1334567[[#This Row],[T]]))/$A$4*18%*SQRT(SQRT(Table1334567[[#This Row],[T]])))</f>
        <v>#DIV/0!</v>
      </c>
      <c r="AJ1422" t="e">
        <f ca="1">(EXP(-(AH1422^2)/2)/SQRT(2*PI())*EXP(0*SQRT(Table1334567[[#This Row],[T]]))/$A$4*18%*SQRT(SQRT(Table1334567[[#This Row],[T]])))</f>
        <v>#DIV/0!</v>
      </c>
      <c r="AK1422" t="e">
        <f ca="1">Table1334567[[#This Row],[Call D1]]-Table1334567[[#This Row],[IV Calc C]]*SQRT(Table1334567[[#This Row],[T]])</f>
        <v>#DIV/0!</v>
      </c>
      <c r="AL1422" t="e">
        <f ca="1">Table1334567[[#This Row],[Put D1]]-Table1334567[[#This Row],[IV Calc P]]*SQRT(Table1334567[[#This Row],[T]])</f>
        <v>#DIV/0!</v>
      </c>
      <c r="AM1422" t="e">
        <f ca="1">EXP(-0.5*Table1334567[[#This Row],[Call D1]]^2)/SQRT(2*PI())</f>
        <v>#DIV/0!</v>
      </c>
      <c r="AN1422" t="e">
        <f ca="1">EXP(-0.5*Table1334567[[#This Row],[Put D1]]^2)/SQRT(2*PI())</f>
        <v>#DIV/0!</v>
      </c>
      <c r="AO142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2">
        <f ca="1">((Table1334567[[#This Row],[call vanna]]+Table1334567[[#This Row],[put vanna]])*$A$4)</f>
        <v>0</v>
      </c>
      <c r="AR142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2" s="9" t="str" cm="1">
        <f t="array" ref="AT1422">_xlfn.IFS(     $M$1="SPX","SPXW",     $M$1="RUT","RUTW",  $M$1="NDX","NDXP",   TRUE,$M$1 )</f>
        <v>SPXW</v>
      </c>
      <c r="AU1422" s="2">
        <f t="shared" si="142"/>
        <v>6915</v>
      </c>
      <c r="AV1422" t="str">
        <f t="shared" si="143"/>
        <v>000100</v>
      </c>
      <c r="AY142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2">
        <f>((Table1334567[[#This Row],[High C]]+Table1334567[[#This Row],[Low C]])/2)*Table1334567[[#This Row],[gammac]]*Table1334567[[#This Row],[Volume]]</f>
        <v>0</v>
      </c>
      <c r="BD1422">
        <f>((Table1334567[[#This Row],[High P]]+Table1334567[[#This Row],[Low P]])/2)*Table1334567[[#This Row],[gammap]]*Table1334567[[#This Row],[Volume9]]*-1</f>
        <v>0</v>
      </c>
      <c r="BE1422">
        <f>(Table1334567[[#This Row],[SgammaC]]+Table1334567[[#This Row],[SgammaP]])*$A$4*-100</f>
        <v>0</v>
      </c>
      <c r="BF1422">
        <f>Table1334567[[#This Row],[DEXc]]+Table1334567[[#This Row],[DEXp]]</f>
        <v>0</v>
      </c>
      <c r="BG1422">
        <f>IFERROR(Table1334567[[#This Row],[DeltaC]]*Table1334567[[#This Row],[Open.Int]]*$A$4,0)</f>
        <v>0</v>
      </c>
      <c r="BH1422">
        <f>IFERROR(Table1334567[[#This Row],[DeltaP]]*Table1334567[[#This Row],[Open.Int8]]*$A$4,0)</f>
        <v>0</v>
      </c>
      <c r="BI142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2">
        <f ca="1">Table1334567[[#This Row],[charmc]]+Table1334567[[#This Row],[charmp]]</f>
        <v>0</v>
      </c>
      <c r="BL1422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2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2" s="78">
        <f ca="1">Table1334567[[#This Row],[call helper]]+Table1334567[[#This Row],[put helper]]</f>
        <v>0</v>
      </c>
      <c r="BP1422" t="str">
        <f>RTD("tos.rtd", , "STRIKE", "."&amp;Table1334567[[#This Row],[Ticker]]&amp;Table1334567[[#This Row],[Expiry]]&amp;""&amp;"C"&amp;Table1334567[[#This Row],[Spot]]+Table1334567[[#This Row],[step]])</f>
        <v>N/A</v>
      </c>
    </row>
    <row r="1423" spans="1:68" x14ac:dyDescent="0.25">
      <c r="A1423" s="14">
        <f t="shared" ca="1" si="139"/>
        <v>-126.14810350076104</v>
      </c>
      <c r="C1423" s="17"/>
      <c r="D1423" t="str">
        <f>RTD("tos.rtd", , "OPEN_INT", "."&amp;Table1334567[[#This Row],[Ticker]]&amp;Table1334567[[#This Row],[Expiry]]&amp;""&amp;"C"&amp;Table1334567[[#This Row],[Spot]]+Table1334567[[#This Row],[step]])</f>
        <v>N/A</v>
      </c>
      <c r="E142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3" s="17" cm="1">
        <f t="array" aca="1" ref="H1423" ca="1">IndividualLegIVCore($A$4, Table1334567[[#This Row],[Strike]], 0.0411, Table1334567[[#This Row],[T]], ((Table1334567[[#This Row],[BIDC]]+Table1334567[[#This Row],[ASKC]])/2), TRUE)</f>
        <v>0.01</v>
      </c>
      <c r="I142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3" s="17"/>
      <c r="M1423" s="1">
        <f t="shared" si="140"/>
        <v>0</v>
      </c>
      <c r="N1423" t="b">
        <f t="shared" si="141"/>
        <v>0</v>
      </c>
      <c r="P1423" s="17" cm="1">
        <f t="array" aca="1" ref="P1423" ca="1">IndividualLegIVCore($A$4, Table1334567[[#This Row],[Strike]], 0.0411, Table1334567[[#This Row],[T]], ((Table1334567[[#This Row],[BIDP]]+Table1334567[[#This Row],[ASKP]])/2), FALSE)</f>
        <v>0.01</v>
      </c>
      <c r="Q142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3" s="17"/>
      <c r="T142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3">
        <f>47.5* IF($M$1="NDX", 10, IF(OR($M$1="SPX", $M$1="RUT"), 2, 1))</f>
        <v>95</v>
      </c>
      <c r="Z1423">
        <f ca="1">IFERROR(Table1334567[[#This Row],[call gamma]]*(Table1334567[[#This Row],[Open.Int]])*$A$4^2,0)</f>
        <v>0</v>
      </c>
      <c r="AA1423">
        <f ca="1">IFERROR(((Table1334567[[#This Row],[Open.Int8]])*Table1334567[[#This Row],[Put gamma]])*-1*$A$4^2,0)</f>
        <v>0</v>
      </c>
      <c r="AB1423">
        <f ca="1">(Table1334567[[#This Row],[Call Gex]]+Table1334567[[#This Row],[Put Gex]])</f>
        <v>0</v>
      </c>
      <c r="AC1423">
        <f ca="1">Table1334567[[#This Row],[put delta adj]]+Table1334567[[#This Row],[call delta adj]]</f>
        <v>0</v>
      </c>
      <c r="AD1423">
        <f ca="1">Table1334567[[#This Row],[Put Gex]]*Table1334567[[#This Row],[DeltaP]]*-1</f>
        <v>0</v>
      </c>
      <c r="AE1423">
        <f ca="1">Table1334567[[#This Row],[Call Gex]]*Table1334567[[#This Row],[DeltaC]]</f>
        <v>0</v>
      </c>
      <c r="AF1423">
        <f>IF(Table1334567[[#This Row],[DeltaC]]-ABS(Table1334567[[#This Row],[DeltaP]])="0","0.01",Table1334567[[#This Row],[DeltaC]]-ABS(Table1334567[[#This Row],[DeltaP]]))</f>
        <v>0</v>
      </c>
      <c r="AG142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3" t="e">
        <f ca="1">(EXP(-(AG1423^2)/2)/SQRT(2*PI())*EXP(0*SQRT(Table1334567[[#This Row],[T]]))/$A$4*18%*SQRT(SQRT(Table1334567[[#This Row],[T]])))</f>
        <v>#DIV/0!</v>
      </c>
      <c r="AJ1423" t="e">
        <f ca="1">(EXP(-(AH1423^2)/2)/SQRT(2*PI())*EXP(0*SQRT(Table1334567[[#This Row],[T]]))/$A$4*18%*SQRT(SQRT(Table1334567[[#This Row],[T]])))</f>
        <v>#DIV/0!</v>
      </c>
      <c r="AK1423" t="e">
        <f ca="1">Table1334567[[#This Row],[Call D1]]-Table1334567[[#This Row],[IV Calc C]]*SQRT(Table1334567[[#This Row],[T]])</f>
        <v>#DIV/0!</v>
      </c>
      <c r="AL1423" t="e">
        <f ca="1">Table1334567[[#This Row],[Put D1]]-Table1334567[[#This Row],[IV Calc P]]*SQRT(Table1334567[[#This Row],[T]])</f>
        <v>#DIV/0!</v>
      </c>
      <c r="AM1423" t="e">
        <f ca="1">EXP(-0.5*Table1334567[[#This Row],[Call D1]]^2)/SQRT(2*PI())</f>
        <v>#DIV/0!</v>
      </c>
      <c r="AN1423" t="e">
        <f ca="1">EXP(-0.5*Table1334567[[#This Row],[Put D1]]^2)/SQRT(2*PI())</f>
        <v>#DIV/0!</v>
      </c>
      <c r="AO142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3">
        <f ca="1">((Table1334567[[#This Row],[call vanna]]+Table1334567[[#This Row],[put vanna]])*$A$4)</f>
        <v>0</v>
      </c>
      <c r="AR142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3" s="9" t="str" cm="1">
        <f t="array" ref="AT1423">_xlfn.IFS(     $M$1="SPX","SPXW",     $M$1="RUT","RUTW",  $M$1="NDX","NDXP",   TRUE,$M$1 )</f>
        <v>SPXW</v>
      </c>
      <c r="AU1423" s="2">
        <f t="shared" si="142"/>
        <v>6915</v>
      </c>
      <c r="AV1423" t="str">
        <f t="shared" si="143"/>
        <v>000100</v>
      </c>
      <c r="AY142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3">
        <f>((Table1334567[[#This Row],[High C]]+Table1334567[[#This Row],[Low C]])/2)*Table1334567[[#This Row],[gammac]]*Table1334567[[#This Row],[Volume]]</f>
        <v>0</v>
      </c>
      <c r="BD1423">
        <f>((Table1334567[[#This Row],[High P]]+Table1334567[[#This Row],[Low P]])/2)*Table1334567[[#This Row],[gammap]]*Table1334567[[#This Row],[Volume9]]*-1</f>
        <v>0</v>
      </c>
      <c r="BE1423">
        <f>(Table1334567[[#This Row],[SgammaC]]+Table1334567[[#This Row],[SgammaP]])*$A$4*-100</f>
        <v>0</v>
      </c>
      <c r="BF1423">
        <f>Table1334567[[#This Row],[DEXc]]+Table1334567[[#This Row],[DEXp]]</f>
        <v>0</v>
      </c>
      <c r="BG1423">
        <f>IFERROR(Table1334567[[#This Row],[DeltaC]]*Table1334567[[#This Row],[Open.Int]]*$A$4,0)</f>
        <v>0</v>
      </c>
      <c r="BH1423">
        <f>IFERROR(Table1334567[[#This Row],[DeltaP]]*Table1334567[[#This Row],[Open.Int8]]*$A$4,0)</f>
        <v>0</v>
      </c>
      <c r="BI142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3">
        <f ca="1">Table1334567[[#This Row],[charmc]]+Table1334567[[#This Row],[charmp]]</f>
        <v>0</v>
      </c>
      <c r="BL1423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3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3" s="78">
        <f ca="1">Table1334567[[#This Row],[call helper]]+Table1334567[[#This Row],[put helper]]</f>
        <v>0</v>
      </c>
      <c r="BP1423" t="str">
        <f>RTD("tos.rtd", , "STRIKE", "."&amp;Table1334567[[#This Row],[Ticker]]&amp;Table1334567[[#This Row],[Expiry]]&amp;""&amp;"C"&amp;Table1334567[[#This Row],[Spot]]+Table1334567[[#This Row],[step]])</f>
        <v>N/A</v>
      </c>
    </row>
    <row r="1424" spans="1:68" x14ac:dyDescent="0.25">
      <c r="A1424" s="14">
        <f t="shared" ca="1" si="139"/>
        <v>-126.14810350076104</v>
      </c>
      <c r="C1424" s="17"/>
      <c r="D1424" t="str">
        <f>RTD("tos.rtd", , "OPEN_INT", "."&amp;Table1334567[[#This Row],[Ticker]]&amp;Table1334567[[#This Row],[Expiry]]&amp;""&amp;"C"&amp;Table1334567[[#This Row],[Spot]]+Table1334567[[#This Row],[step]])</f>
        <v>N/A</v>
      </c>
      <c r="E142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4" s="17" cm="1">
        <f t="array" aca="1" ref="H1424" ca="1">IndividualLegIVCore($A$4, Table1334567[[#This Row],[Strike]], 0.0411, Table1334567[[#This Row],[T]], ((Table1334567[[#This Row],[BIDC]]+Table1334567[[#This Row],[ASKC]])/2), TRUE)</f>
        <v>0.01</v>
      </c>
      <c r="I142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4" s="17"/>
      <c r="M1424" s="1">
        <f t="shared" si="140"/>
        <v>0</v>
      </c>
      <c r="N1424" t="b">
        <f t="shared" si="141"/>
        <v>0</v>
      </c>
      <c r="P1424" s="17" cm="1">
        <f t="array" aca="1" ref="P1424" ca="1">IndividualLegIVCore($A$4, Table1334567[[#This Row],[Strike]], 0.0411, Table1334567[[#This Row],[T]], ((Table1334567[[#This Row],[BIDP]]+Table1334567[[#This Row],[ASKP]])/2), FALSE)</f>
        <v>0.01</v>
      </c>
      <c r="Q142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4" s="17"/>
      <c r="T142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4">
        <f>48* IF($M$1="NDX", 10, IF(OR($M$1="SPX", $M$1="RUT"), 2, 1))</f>
        <v>96</v>
      </c>
      <c r="Z1424">
        <f ca="1">IFERROR(Table1334567[[#This Row],[call gamma]]*(Table1334567[[#This Row],[Open.Int]])*$A$4^2,0)</f>
        <v>0</v>
      </c>
      <c r="AA1424">
        <f ca="1">IFERROR(((Table1334567[[#This Row],[Open.Int8]])*Table1334567[[#This Row],[Put gamma]])*-1*$A$4^2,0)</f>
        <v>0</v>
      </c>
      <c r="AB1424">
        <f ca="1">(Table1334567[[#This Row],[Call Gex]]+Table1334567[[#This Row],[Put Gex]])</f>
        <v>0</v>
      </c>
      <c r="AC1424">
        <f ca="1">Table1334567[[#This Row],[put delta adj]]+Table1334567[[#This Row],[call delta adj]]</f>
        <v>0</v>
      </c>
      <c r="AD1424">
        <f ca="1">Table1334567[[#This Row],[Put Gex]]*Table1334567[[#This Row],[DeltaP]]*-1</f>
        <v>0</v>
      </c>
      <c r="AE1424">
        <f ca="1">Table1334567[[#This Row],[Call Gex]]*Table1334567[[#This Row],[DeltaC]]</f>
        <v>0</v>
      </c>
      <c r="AF1424">
        <f>IF(Table1334567[[#This Row],[DeltaC]]-ABS(Table1334567[[#This Row],[DeltaP]])="0","0.01",Table1334567[[#This Row],[DeltaC]]-ABS(Table1334567[[#This Row],[DeltaP]]))</f>
        <v>0</v>
      </c>
      <c r="AG142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4" t="e">
        <f ca="1">(EXP(-(AG1424^2)/2)/SQRT(2*PI())*EXP(0*SQRT(Table1334567[[#This Row],[T]]))/$A$4*18%*SQRT(SQRT(Table1334567[[#This Row],[T]])))</f>
        <v>#DIV/0!</v>
      </c>
      <c r="AJ1424" t="e">
        <f ca="1">(EXP(-(AH1424^2)/2)/SQRT(2*PI())*EXP(0*SQRT(Table1334567[[#This Row],[T]]))/$A$4*18%*SQRT(SQRT(Table1334567[[#This Row],[T]])))</f>
        <v>#DIV/0!</v>
      </c>
      <c r="AK1424" t="e">
        <f ca="1">Table1334567[[#This Row],[Call D1]]-Table1334567[[#This Row],[IV Calc C]]*SQRT(Table1334567[[#This Row],[T]])</f>
        <v>#DIV/0!</v>
      </c>
      <c r="AL1424" t="e">
        <f ca="1">Table1334567[[#This Row],[Put D1]]-Table1334567[[#This Row],[IV Calc P]]*SQRT(Table1334567[[#This Row],[T]])</f>
        <v>#DIV/0!</v>
      </c>
      <c r="AM1424" t="e">
        <f ca="1">EXP(-0.5*Table1334567[[#This Row],[Call D1]]^2)/SQRT(2*PI())</f>
        <v>#DIV/0!</v>
      </c>
      <c r="AN1424" t="e">
        <f ca="1">EXP(-0.5*Table1334567[[#This Row],[Put D1]]^2)/SQRT(2*PI())</f>
        <v>#DIV/0!</v>
      </c>
      <c r="AO142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4">
        <f ca="1">((Table1334567[[#This Row],[call vanna]]+Table1334567[[#This Row],[put vanna]])*$A$4)</f>
        <v>0</v>
      </c>
      <c r="AR142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4" s="9" t="str" cm="1">
        <f t="array" ref="AT1424">_xlfn.IFS(     $M$1="SPX","SPXW",     $M$1="RUT","RUTW",  $M$1="NDX","NDXP",   TRUE,$M$1 )</f>
        <v>SPXW</v>
      </c>
      <c r="AU1424" s="2">
        <f t="shared" si="142"/>
        <v>6915</v>
      </c>
      <c r="AV1424" t="str">
        <f t="shared" si="143"/>
        <v>000100</v>
      </c>
      <c r="AY142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4">
        <f>((Table1334567[[#This Row],[High C]]+Table1334567[[#This Row],[Low C]])/2)*Table1334567[[#This Row],[gammac]]*Table1334567[[#This Row],[Volume]]</f>
        <v>0</v>
      </c>
      <c r="BD1424">
        <f>((Table1334567[[#This Row],[High P]]+Table1334567[[#This Row],[Low P]])/2)*Table1334567[[#This Row],[gammap]]*Table1334567[[#This Row],[Volume9]]*-1</f>
        <v>0</v>
      </c>
      <c r="BE1424">
        <f>(Table1334567[[#This Row],[SgammaC]]+Table1334567[[#This Row],[SgammaP]])*$A$4*-100</f>
        <v>0</v>
      </c>
      <c r="BF1424">
        <f>Table1334567[[#This Row],[DEXc]]+Table1334567[[#This Row],[DEXp]]</f>
        <v>0</v>
      </c>
      <c r="BG1424">
        <f>IFERROR(Table1334567[[#This Row],[DeltaC]]*Table1334567[[#This Row],[Open.Int]]*$A$4,0)</f>
        <v>0</v>
      </c>
      <c r="BH1424">
        <f>IFERROR(Table1334567[[#This Row],[DeltaP]]*Table1334567[[#This Row],[Open.Int8]]*$A$4,0)</f>
        <v>0</v>
      </c>
      <c r="BI142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4">
        <f ca="1">Table1334567[[#This Row],[charmc]]+Table1334567[[#This Row],[charmp]]</f>
        <v>0</v>
      </c>
      <c r="BL1424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4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4" s="78">
        <f ca="1">Table1334567[[#This Row],[call helper]]+Table1334567[[#This Row],[put helper]]</f>
        <v>0</v>
      </c>
      <c r="BP1424" t="str">
        <f>RTD("tos.rtd", , "STRIKE", "."&amp;Table1334567[[#This Row],[Ticker]]&amp;Table1334567[[#This Row],[Expiry]]&amp;""&amp;"C"&amp;Table1334567[[#This Row],[Spot]]+Table1334567[[#This Row],[step]])</f>
        <v>N/A</v>
      </c>
    </row>
    <row r="1425" spans="1:69" x14ac:dyDescent="0.25">
      <c r="A1425" s="14">
        <f t="shared" ca="1" si="139"/>
        <v>-126.14810350076104</v>
      </c>
      <c r="C1425" s="17"/>
      <c r="D1425" t="str">
        <f>RTD("tos.rtd", , "OPEN_INT", "."&amp;Table1334567[[#This Row],[Ticker]]&amp;Table1334567[[#This Row],[Expiry]]&amp;""&amp;"C"&amp;Table1334567[[#This Row],[Spot]]+Table1334567[[#This Row],[step]])</f>
        <v>N/A</v>
      </c>
      <c r="E142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5" s="17" cm="1">
        <f t="array" aca="1" ref="H1425" ca="1">IndividualLegIVCore($A$4, Table1334567[[#This Row],[Strike]], 0.0411, Table1334567[[#This Row],[T]], ((Table1334567[[#This Row],[BIDC]]+Table1334567[[#This Row],[ASKC]])/2), TRUE)</f>
        <v>0.01</v>
      </c>
      <c r="I142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5" s="17"/>
      <c r="M1425" s="1">
        <f t="shared" si="140"/>
        <v>0</v>
      </c>
      <c r="N1425" t="b">
        <f t="shared" si="141"/>
        <v>0</v>
      </c>
      <c r="P1425" s="17" cm="1">
        <f t="array" aca="1" ref="P1425" ca="1">IndividualLegIVCore($A$4, Table1334567[[#This Row],[Strike]], 0.0411, Table1334567[[#This Row],[T]], ((Table1334567[[#This Row],[BIDP]]+Table1334567[[#This Row],[ASKP]])/2), FALSE)</f>
        <v>0.01</v>
      </c>
      <c r="Q142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5" s="17"/>
      <c r="T142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5">
        <f>48.5* IF($M$1="NDX", 10, IF(OR($M$1="SPX", $M$1="RUT"), 2, 1))</f>
        <v>97</v>
      </c>
      <c r="Z1425">
        <f ca="1">IFERROR(Table1334567[[#This Row],[call gamma]]*(Table1334567[[#This Row],[Open.Int]])*$A$4^2,0)</f>
        <v>0</v>
      </c>
      <c r="AA1425">
        <f ca="1">IFERROR(((Table1334567[[#This Row],[Open.Int8]])*Table1334567[[#This Row],[Put gamma]])*-1*$A$4^2,0)</f>
        <v>0</v>
      </c>
      <c r="AB1425">
        <f ca="1">(Table1334567[[#This Row],[Call Gex]]+Table1334567[[#This Row],[Put Gex]])</f>
        <v>0</v>
      </c>
      <c r="AC1425">
        <f ca="1">Table1334567[[#This Row],[put delta adj]]+Table1334567[[#This Row],[call delta adj]]</f>
        <v>0</v>
      </c>
      <c r="AD1425">
        <f ca="1">Table1334567[[#This Row],[Put Gex]]*Table1334567[[#This Row],[DeltaP]]*-1</f>
        <v>0</v>
      </c>
      <c r="AE1425">
        <f ca="1">Table1334567[[#This Row],[Call Gex]]*Table1334567[[#This Row],[DeltaC]]</f>
        <v>0</v>
      </c>
      <c r="AF1425">
        <f>IF(Table1334567[[#This Row],[DeltaC]]-ABS(Table1334567[[#This Row],[DeltaP]])="0","0.01",Table1334567[[#This Row],[DeltaC]]-ABS(Table1334567[[#This Row],[DeltaP]]))</f>
        <v>0</v>
      </c>
      <c r="AG142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5" t="e">
        <f ca="1">(EXP(-(AG1425^2)/2)/SQRT(2*PI())*EXP(0*SQRT(Table1334567[[#This Row],[T]]))/$A$4*18%*SQRT(SQRT(Table1334567[[#This Row],[T]])))</f>
        <v>#DIV/0!</v>
      </c>
      <c r="AJ1425" t="e">
        <f ca="1">(EXP(-(AH1425^2)/2)/SQRT(2*PI())*EXP(0*SQRT(Table1334567[[#This Row],[T]]))/$A$4*18%*SQRT(SQRT(Table1334567[[#This Row],[T]])))</f>
        <v>#DIV/0!</v>
      </c>
      <c r="AK1425" t="e">
        <f ca="1">Table1334567[[#This Row],[Call D1]]-Table1334567[[#This Row],[IV Calc C]]*SQRT(Table1334567[[#This Row],[T]])</f>
        <v>#DIV/0!</v>
      </c>
      <c r="AL1425" t="e">
        <f ca="1">Table1334567[[#This Row],[Put D1]]-Table1334567[[#This Row],[IV Calc P]]*SQRT(Table1334567[[#This Row],[T]])</f>
        <v>#DIV/0!</v>
      </c>
      <c r="AM1425" t="e">
        <f ca="1">EXP(-0.5*Table1334567[[#This Row],[Call D1]]^2)/SQRT(2*PI())</f>
        <v>#DIV/0!</v>
      </c>
      <c r="AN1425" t="e">
        <f ca="1">EXP(-0.5*Table1334567[[#This Row],[Put D1]]^2)/SQRT(2*PI())</f>
        <v>#DIV/0!</v>
      </c>
      <c r="AO142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5">
        <f ca="1">((Table1334567[[#This Row],[call vanna]]+Table1334567[[#This Row],[put vanna]])*$A$4)</f>
        <v>0</v>
      </c>
      <c r="AR142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5" s="9" t="str" cm="1">
        <f t="array" ref="AT1425">_xlfn.IFS(     $M$1="SPX","SPXW",     $M$1="RUT","RUTW",  $M$1="NDX","NDXP",   TRUE,$M$1 )</f>
        <v>SPXW</v>
      </c>
      <c r="AU1425" s="2">
        <f t="shared" si="142"/>
        <v>6915</v>
      </c>
      <c r="AV1425" t="str">
        <f t="shared" si="143"/>
        <v>000100</v>
      </c>
      <c r="AY142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5">
        <f>((Table1334567[[#This Row],[High C]]+Table1334567[[#This Row],[Low C]])/2)*Table1334567[[#This Row],[gammac]]*Table1334567[[#This Row],[Volume]]</f>
        <v>0</v>
      </c>
      <c r="BD1425">
        <f>((Table1334567[[#This Row],[High P]]+Table1334567[[#This Row],[Low P]])/2)*Table1334567[[#This Row],[gammap]]*Table1334567[[#This Row],[Volume9]]*-1</f>
        <v>0</v>
      </c>
      <c r="BE1425">
        <f>(Table1334567[[#This Row],[SgammaC]]+Table1334567[[#This Row],[SgammaP]])*$A$4*-100</f>
        <v>0</v>
      </c>
      <c r="BF1425">
        <f>Table1334567[[#This Row],[DEXc]]+Table1334567[[#This Row],[DEXp]]</f>
        <v>0</v>
      </c>
      <c r="BG1425">
        <f>IFERROR(Table1334567[[#This Row],[DeltaC]]*Table1334567[[#This Row],[Open.Int]]*$A$4,0)</f>
        <v>0</v>
      </c>
      <c r="BH1425">
        <f>IFERROR(Table1334567[[#This Row],[DeltaP]]*Table1334567[[#This Row],[Open.Int8]]*$A$4,0)</f>
        <v>0</v>
      </c>
      <c r="BI142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5">
        <f ca="1">Table1334567[[#This Row],[charmc]]+Table1334567[[#This Row],[charmp]]</f>
        <v>0</v>
      </c>
      <c r="BL1425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5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5" s="78">
        <f ca="1">Table1334567[[#This Row],[call helper]]+Table1334567[[#This Row],[put helper]]</f>
        <v>0</v>
      </c>
      <c r="BP1425" t="str">
        <f>RTD("tos.rtd", , "STRIKE", "."&amp;Table1334567[[#This Row],[Ticker]]&amp;Table1334567[[#This Row],[Expiry]]&amp;""&amp;"C"&amp;Table1334567[[#This Row],[Spot]]+Table1334567[[#This Row],[step]])</f>
        <v>N/A</v>
      </c>
    </row>
    <row r="1426" spans="1:69" x14ac:dyDescent="0.25">
      <c r="A1426" s="14">
        <f t="shared" ca="1" si="139"/>
        <v>-126.14810350076104</v>
      </c>
      <c r="C1426" s="17"/>
      <c r="D1426" t="str">
        <f>RTD("tos.rtd", , "OPEN_INT", "."&amp;Table1334567[[#This Row],[Ticker]]&amp;Table1334567[[#This Row],[Expiry]]&amp;""&amp;"C"&amp;Table1334567[[#This Row],[Spot]]+Table1334567[[#This Row],[step]])</f>
        <v>N/A</v>
      </c>
      <c r="E142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6" s="17" cm="1">
        <f t="array" aca="1" ref="H1426" ca="1">IndividualLegIVCore($A$4, Table1334567[[#This Row],[Strike]], 0.0411, Table1334567[[#This Row],[T]], ((Table1334567[[#This Row],[BIDC]]+Table1334567[[#This Row],[ASKC]])/2), TRUE)</f>
        <v>0.01</v>
      </c>
      <c r="I142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6" s="17"/>
      <c r="M1426" s="1">
        <f t="shared" si="140"/>
        <v>0</v>
      </c>
      <c r="N1426" t="b">
        <f t="shared" si="141"/>
        <v>0</v>
      </c>
      <c r="P1426" s="17" cm="1">
        <f t="array" aca="1" ref="P1426" ca="1">IndividualLegIVCore($A$4, Table1334567[[#This Row],[Strike]], 0.0411, Table1334567[[#This Row],[T]], ((Table1334567[[#This Row],[BIDP]]+Table1334567[[#This Row],[ASKP]])/2), FALSE)</f>
        <v>0.01</v>
      </c>
      <c r="Q142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6" s="17"/>
      <c r="T142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6">
        <f>49* IF($M$1="NDX", 10, IF(OR($M$1="SPX", $M$1="RUT"), 2, 1))</f>
        <v>98</v>
      </c>
      <c r="Z1426">
        <f ca="1">IFERROR(Table1334567[[#This Row],[call gamma]]*(Table1334567[[#This Row],[Open.Int]])*$A$4^2,0)</f>
        <v>0</v>
      </c>
      <c r="AA1426">
        <f ca="1">IFERROR(((Table1334567[[#This Row],[Open.Int8]])*Table1334567[[#This Row],[Put gamma]])*-1*$A$4^2,0)</f>
        <v>0</v>
      </c>
      <c r="AB1426">
        <f ca="1">(Table1334567[[#This Row],[Call Gex]]+Table1334567[[#This Row],[Put Gex]])</f>
        <v>0</v>
      </c>
      <c r="AC1426">
        <f ca="1">Table1334567[[#This Row],[put delta adj]]+Table1334567[[#This Row],[call delta adj]]</f>
        <v>0</v>
      </c>
      <c r="AD1426">
        <f ca="1">Table1334567[[#This Row],[Put Gex]]*Table1334567[[#This Row],[DeltaP]]*-1</f>
        <v>0</v>
      </c>
      <c r="AE1426">
        <f ca="1">Table1334567[[#This Row],[Call Gex]]*Table1334567[[#This Row],[DeltaC]]</f>
        <v>0</v>
      </c>
      <c r="AF1426">
        <f>IF(Table1334567[[#This Row],[DeltaC]]-ABS(Table1334567[[#This Row],[DeltaP]])="0","0.01",Table1334567[[#This Row],[DeltaC]]-ABS(Table1334567[[#This Row],[DeltaP]]))</f>
        <v>0</v>
      </c>
      <c r="AG142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6" t="e">
        <f ca="1">(EXP(-(AG1426^2)/2)/SQRT(2*PI())*EXP(0*SQRT(Table1334567[[#This Row],[T]]))/$A$4*18%*SQRT(SQRT(Table1334567[[#This Row],[T]])))</f>
        <v>#DIV/0!</v>
      </c>
      <c r="AJ1426" t="e">
        <f ca="1">(EXP(-(AH1426^2)/2)/SQRT(2*PI())*EXP(0*SQRT(Table1334567[[#This Row],[T]]))/$A$4*18%*SQRT(SQRT(Table1334567[[#This Row],[T]])))</f>
        <v>#DIV/0!</v>
      </c>
      <c r="AK1426" t="e">
        <f ca="1">Table1334567[[#This Row],[Call D1]]-Table1334567[[#This Row],[IV Calc C]]*SQRT(Table1334567[[#This Row],[T]])</f>
        <v>#DIV/0!</v>
      </c>
      <c r="AL1426" t="e">
        <f ca="1">Table1334567[[#This Row],[Put D1]]-Table1334567[[#This Row],[IV Calc P]]*SQRT(Table1334567[[#This Row],[T]])</f>
        <v>#DIV/0!</v>
      </c>
      <c r="AM1426" t="e">
        <f ca="1">EXP(-0.5*Table1334567[[#This Row],[Call D1]]^2)/SQRT(2*PI())</f>
        <v>#DIV/0!</v>
      </c>
      <c r="AN1426" t="e">
        <f ca="1">EXP(-0.5*Table1334567[[#This Row],[Put D1]]^2)/SQRT(2*PI())</f>
        <v>#DIV/0!</v>
      </c>
      <c r="AO142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6">
        <f ca="1">((Table1334567[[#This Row],[call vanna]]+Table1334567[[#This Row],[put vanna]])*$A$4)</f>
        <v>0</v>
      </c>
      <c r="AR142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6" s="9" t="str" cm="1">
        <f t="array" ref="AT1426">_xlfn.IFS(     $M$1="SPX","SPXW",     $M$1="RUT","RUTW",  $M$1="NDX","NDXP",   TRUE,$M$1 )</f>
        <v>SPXW</v>
      </c>
      <c r="AU1426" s="2">
        <f t="shared" si="142"/>
        <v>6915</v>
      </c>
      <c r="AV1426" t="str">
        <f t="shared" si="143"/>
        <v>000100</v>
      </c>
      <c r="AY142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6">
        <f>((Table1334567[[#This Row],[High C]]+Table1334567[[#This Row],[Low C]])/2)*Table1334567[[#This Row],[gammac]]*Table1334567[[#This Row],[Volume]]</f>
        <v>0</v>
      </c>
      <c r="BD1426">
        <f>((Table1334567[[#This Row],[High P]]+Table1334567[[#This Row],[Low P]])/2)*Table1334567[[#This Row],[gammap]]*Table1334567[[#This Row],[Volume9]]*-1</f>
        <v>0</v>
      </c>
      <c r="BE1426">
        <f>(Table1334567[[#This Row],[SgammaC]]+Table1334567[[#This Row],[SgammaP]])*$A$4*-100</f>
        <v>0</v>
      </c>
      <c r="BF1426">
        <f>Table1334567[[#This Row],[DEXc]]+Table1334567[[#This Row],[DEXp]]</f>
        <v>0</v>
      </c>
      <c r="BG1426">
        <f>IFERROR(Table1334567[[#This Row],[DeltaC]]*Table1334567[[#This Row],[Open.Int]]*$A$4,0)</f>
        <v>0</v>
      </c>
      <c r="BH1426">
        <f>IFERROR(Table1334567[[#This Row],[DeltaP]]*Table1334567[[#This Row],[Open.Int8]]*$A$4,0)</f>
        <v>0</v>
      </c>
      <c r="BI142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6">
        <f ca="1">Table1334567[[#This Row],[charmc]]+Table1334567[[#This Row],[charmp]]</f>
        <v>0</v>
      </c>
      <c r="BL1426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6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6" s="78">
        <f ca="1">Table1334567[[#This Row],[call helper]]+Table1334567[[#This Row],[put helper]]</f>
        <v>0</v>
      </c>
      <c r="BP1426" t="str">
        <f>RTD("tos.rtd", , "STRIKE", "."&amp;Table1334567[[#This Row],[Ticker]]&amp;Table1334567[[#This Row],[Expiry]]&amp;""&amp;"C"&amp;Table1334567[[#This Row],[Spot]]+Table1334567[[#This Row],[step]])</f>
        <v>N/A</v>
      </c>
    </row>
    <row r="1427" spans="1:69" x14ac:dyDescent="0.25">
      <c r="A1427" s="14">
        <f t="shared" ca="1" si="139"/>
        <v>-126.14810350076104</v>
      </c>
      <c r="C1427" s="17"/>
      <c r="D1427" t="str">
        <f>RTD("tos.rtd", , "OPEN_INT", "."&amp;Table1334567[[#This Row],[Ticker]]&amp;Table1334567[[#This Row],[Expiry]]&amp;""&amp;"C"&amp;Table1334567[[#This Row],[Spot]]+Table1334567[[#This Row],[step]])</f>
        <v>N/A</v>
      </c>
      <c r="E142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7" s="17" cm="1">
        <f t="array" aca="1" ref="H1427" ca="1">IndividualLegIVCore($A$4, Table1334567[[#This Row],[Strike]], 0.0411, Table1334567[[#This Row],[T]], ((Table1334567[[#This Row],[BIDC]]+Table1334567[[#This Row],[ASKC]])/2), TRUE)</f>
        <v>0.01</v>
      </c>
      <c r="I142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7" s="17"/>
      <c r="M1427" s="1">
        <f t="shared" si="140"/>
        <v>0</v>
      </c>
      <c r="N1427" t="b">
        <f t="shared" si="141"/>
        <v>0</v>
      </c>
      <c r="P1427" s="17" cm="1">
        <f t="array" aca="1" ref="P1427" ca="1">IndividualLegIVCore($A$4, Table1334567[[#This Row],[Strike]], 0.0411, Table1334567[[#This Row],[T]], ((Table1334567[[#This Row],[BIDP]]+Table1334567[[#This Row],[ASKP]])/2), FALSE)</f>
        <v>0.01</v>
      </c>
      <c r="Q142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7" s="17"/>
      <c r="T142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7">
        <f>49.5* IF($M$1="NDX", 10, IF(OR($M$1="SPX", $M$1="RUT"), 2, 1))</f>
        <v>99</v>
      </c>
      <c r="Z1427">
        <f ca="1">IFERROR(Table1334567[[#This Row],[call gamma]]*(Table1334567[[#This Row],[Open.Int]])*$A$4^2,0)</f>
        <v>0</v>
      </c>
      <c r="AA1427">
        <f ca="1">IFERROR(((Table1334567[[#This Row],[Open.Int8]])*Table1334567[[#This Row],[Put gamma]])*-1*$A$4^2,0)</f>
        <v>0</v>
      </c>
      <c r="AB1427">
        <f ca="1">(Table1334567[[#This Row],[Call Gex]]+Table1334567[[#This Row],[Put Gex]])</f>
        <v>0</v>
      </c>
      <c r="AC1427">
        <f ca="1">Table1334567[[#This Row],[put delta adj]]+Table1334567[[#This Row],[call delta adj]]</f>
        <v>0</v>
      </c>
      <c r="AD1427">
        <f ca="1">Table1334567[[#This Row],[Put Gex]]*Table1334567[[#This Row],[DeltaP]]*-1</f>
        <v>0</v>
      </c>
      <c r="AE1427">
        <f ca="1">Table1334567[[#This Row],[Call Gex]]*Table1334567[[#This Row],[DeltaC]]</f>
        <v>0</v>
      </c>
      <c r="AF1427">
        <f>IF(Table1334567[[#This Row],[DeltaC]]-ABS(Table1334567[[#This Row],[DeltaP]])="0","0.01",Table1334567[[#This Row],[DeltaC]]-ABS(Table1334567[[#This Row],[DeltaP]]))</f>
        <v>0</v>
      </c>
      <c r="AG142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7" t="e">
        <f ca="1">(EXP(-(AG1427^2)/2)/SQRT(2*PI())*EXP(0*SQRT(Table1334567[[#This Row],[T]]))/$A$4*18%*SQRT(SQRT(Table1334567[[#This Row],[T]])))</f>
        <v>#DIV/0!</v>
      </c>
      <c r="AJ1427" t="e">
        <f ca="1">(EXP(-(AH1427^2)/2)/SQRT(2*PI())*EXP(0*SQRT(Table1334567[[#This Row],[T]]))/$A$4*18%*SQRT(SQRT(Table1334567[[#This Row],[T]])))</f>
        <v>#DIV/0!</v>
      </c>
      <c r="AK1427" t="e">
        <f ca="1">Table1334567[[#This Row],[Call D1]]-Table1334567[[#This Row],[IV Calc C]]*SQRT(Table1334567[[#This Row],[T]])</f>
        <v>#DIV/0!</v>
      </c>
      <c r="AL1427" t="e">
        <f ca="1">Table1334567[[#This Row],[Put D1]]-Table1334567[[#This Row],[IV Calc P]]*SQRT(Table1334567[[#This Row],[T]])</f>
        <v>#DIV/0!</v>
      </c>
      <c r="AM1427" t="e">
        <f ca="1">EXP(-0.5*Table1334567[[#This Row],[Call D1]]^2)/SQRT(2*PI())</f>
        <v>#DIV/0!</v>
      </c>
      <c r="AN1427" t="e">
        <f ca="1">EXP(-0.5*Table1334567[[#This Row],[Put D1]]^2)/SQRT(2*PI())</f>
        <v>#DIV/0!</v>
      </c>
      <c r="AO142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7">
        <f ca="1">((Table1334567[[#This Row],[call vanna]]+Table1334567[[#This Row],[put vanna]])*$A$4)</f>
        <v>0</v>
      </c>
      <c r="AR142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7" s="9" t="str" cm="1">
        <f t="array" ref="AT1427">_xlfn.IFS(     $M$1="SPX","SPXW",     $M$1="RUT","RUTW",  $M$1="NDX","NDXP",   TRUE,$M$1 )</f>
        <v>SPXW</v>
      </c>
      <c r="AU1427" s="2">
        <f t="shared" si="142"/>
        <v>6915</v>
      </c>
      <c r="AV1427" t="str">
        <f t="shared" si="143"/>
        <v>000100</v>
      </c>
      <c r="AY142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7">
        <f>((Table1334567[[#This Row],[High C]]+Table1334567[[#This Row],[Low C]])/2)*Table1334567[[#This Row],[gammac]]*Table1334567[[#This Row],[Volume]]</f>
        <v>0</v>
      </c>
      <c r="BD1427">
        <f>((Table1334567[[#This Row],[High P]]+Table1334567[[#This Row],[Low P]])/2)*Table1334567[[#This Row],[gammap]]*Table1334567[[#This Row],[Volume9]]*-1</f>
        <v>0</v>
      </c>
      <c r="BE1427">
        <f>(Table1334567[[#This Row],[SgammaC]]+Table1334567[[#This Row],[SgammaP]])*$A$4*-100</f>
        <v>0</v>
      </c>
      <c r="BF1427">
        <f>Table1334567[[#This Row],[DEXc]]+Table1334567[[#This Row],[DEXp]]</f>
        <v>0</v>
      </c>
      <c r="BG1427">
        <f>IFERROR(Table1334567[[#This Row],[DeltaC]]*Table1334567[[#This Row],[Open.Int]]*$A$4,0)</f>
        <v>0</v>
      </c>
      <c r="BH1427">
        <f>IFERROR(Table1334567[[#This Row],[DeltaP]]*Table1334567[[#This Row],[Open.Int8]]*$A$4,0)</f>
        <v>0</v>
      </c>
      <c r="BI142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7">
        <f ca="1">Table1334567[[#This Row],[charmc]]+Table1334567[[#This Row],[charmp]]</f>
        <v>0</v>
      </c>
      <c r="BL1427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7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7" s="78">
        <f ca="1">Table1334567[[#This Row],[call helper]]+Table1334567[[#This Row],[put helper]]</f>
        <v>0</v>
      </c>
      <c r="BP1427" t="str">
        <f>RTD("tos.rtd", , "STRIKE", "."&amp;Table1334567[[#This Row],[Ticker]]&amp;Table1334567[[#This Row],[Expiry]]&amp;""&amp;"C"&amp;Table1334567[[#This Row],[Spot]]+Table1334567[[#This Row],[step]])</f>
        <v>N/A</v>
      </c>
    </row>
    <row r="1428" spans="1:69" x14ac:dyDescent="0.25">
      <c r="A1428" s="14">
        <f t="shared" ca="1" si="139"/>
        <v>-126.14810350076104</v>
      </c>
      <c r="C1428" s="17"/>
      <c r="D1428" t="str">
        <f>RTD("tos.rtd", , "OPEN_INT", "."&amp;Table1334567[[#This Row],[Ticker]]&amp;Table1334567[[#This Row],[Expiry]]&amp;""&amp;"C"&amp;Table1334567[[#This Row],[Spot]]+Table1334567[[#This Row],[step]])</f>
        <v>N/A</v>
      </c>
      <c r="E14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8" s="17" cm="1">
        <f t="array" aca="1" ref="H1428" ca="1">IFERROR(
  IndividualLegIVCore(
    $A$4,
    Table1334567[[#This Row],[Strike]],
    0.0411,
    Table1334567[[#This Row],[T]],
    0,
    TRUE,
    0,
    0.001,
    5,
    0.0001,
    40,
    0,
    0.2,
    Table1334567[[#This Row],[BIDC]],
    Table1334567[[#This Row],[ASKC]],
    Table1334567[[#This Row],[Volume]]
  ),
  NA()
)</f>
        <v>0.2</v>
      </c>
      <c r="I14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8" s="17"/>
      <c r="M1428" s="1">
        <f t="shared" si="140"/>
        <v>0</v>
      </c>
      <c r="N1428" t="b">
        <f t="shared" si="141"/>
        <v>0</v>
      </c>
      <c r="P1428" s="17" cm="1">
        <f t="array" aca="1" ref="P1428" ca="1">IFERROR(
  IndividualLegIVCore(
    $A$4,
    Table1334567[[#This Row],[Strike]],
    0.0411,
    Table1334567[[#This Row],[T]],
    0,
    FALSE,
    0,
    0.001,
    5,
    0.0001,
    40,
    0,
    0,
    Table1334567[[#This Row],[BIDP]],
    Table1334567[[#This Row],[ASKP]],
    Table1334567[[#This Row],[Volume9]]
  ),
  NA()
)</f>
        <v>0.01</v>
      </c>
      <c r="Q14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8" s="17"/>
      <c r="T14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8">
        <f>50* IF($M$1="NDX", 10, IF(OR($M$1="SPX", $M$1="RUT"), 2, 1))</f>
        <v>100</v>
      </c>
      <c r="Z1428">
        <f ca="1">IFERROR(Table1334567[[#This Row],[call gamma]]*(Table1334567[[#This Row],[Open.Int]])*$A$4^2,0)</f>
        <v>0</v>
      </c>
      <c r="AA1428">
        <f ca="1">IFERROR(((Table1334567[[#This Row],[Open.Int8]])*Table1334567[[#This Row],[Put gamma]])*-1*$A$4^2,0)</f>
        <v>0</v>
      </c>
      <c r="AB1428">
        <f ca="1">(Table1334567[[#This Row],[Call Gex]]+Table1334567[[#This Row],[Put Gex]])</f>
        <v>0</v>
      </c>
      <c r="AC1428">
        <f ca="1">Table1334567[[#This Row],[put delta adj]]+Table1334567[[#This Row],[call delta adj]]</f>
        <v>0</v>
      </c>
      <c r="AD1428">
        <f ca="1">Table1334567[[#This Row],[Put Gex]]*Table1334567[[#This Row],[DeltaP]]*-1</f>
        <v>0</v>
      </c>
      <c r="AE1428">
        <f ca="1">Table1334567[[#This Row],[Call Gex]]*Table1334567[[#This Row],[DeltaC]]</f>
        <v>0</v>
      </c>
      <c r="AF1428">
        <f>IF(Table1334567[[#This Row],[DeltaC]]-ABS(Table1334567[[#This Row],[DeltaP]])="0","0.01",Table1334567[[#This Row],[DeltaC]]-ABS(Table1334567[[#This Row],[DeltaP]]))</f>
        <v>0</v>
      </c>
      <c r="AG14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8" t="e">
        <f ca="1">(EXP(-(AG1428^2)/2)/SQRT(2*PI())*EXP(0*SQRT(Table1334567[[#This Row],[T]]))/$A$4*18%*SQRT(SQRT(Table1334567[[#This Row],[T]])))</f>
        <v>#DIV/0!</v>
      </c>
      <c r="AJ1428" t="e">
        <f ca="1">(EXP(-(AH1428^2)/2)/SQRT(2*PI())*EXP(0*SQRT(Table1334567[[#This Row],[T]]))/$A$4*18%*SQRT(SQRT(Table1334567[[#This Row],[T]])))</f>
        <v>#DIV/0!</v>
      </c>
      <c r="AK1428" t="e">
        <f ca="1">Table1334567[[#This Row],[Call D1]]-Table1334567[[#This Row],[IV Calc C]]*SQRT(Table1334567[[#This Row],[T]])</f>
        <v>#DIV/0!</v>
      </c>
      <c r="AL1428" t="e">
        <f ca="1">Table1334567[[#This Row],[Put D1]]-Table1334567[[#This Row],[IV Calc P]]*SQRT(Table1334567[[#This Row],[T]])</f>
        <v>#DIV/0!</v>
      </c>
      <c r="AM1428" t="e">
        <f ca="1">EXP(-0.5*Table1334567[[#This Row],[Call D1]]^2)/SQRT(2*PI())</f>
        <v>#DIV/0!</v>
      </c>
      <c r="AN1428" t="e">
        <f ca="1">EXP(-0.5*Table1334567[[#This Row],[Put D1]]^2)/SQRT(2*PI())</f>
        <v>#DIV/0!</v>
      </c>
      <c r="AO14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8">
        <f ca="1">((Table1334567[[#This Row],[call vanna]]+Table1334567[[#This Row],[put vanna]])*$A$4)</f>
        <v>0</v>
      </c>
      <c r="AR14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8" s="9" t="str" cm="1">
        <f t="array" ref="AT1428">_xlfn.IFS(     $M$1="SPX","SPXW",     $M$1="RUT","RUTW",  $M$1="NDX","NDXP",   TRUE,$M$1 )</f>
        <v>SPXW</v>
      </c>
      <c r="AU1428" s="2">
        <f t="shared" si="142"/>
        <v>6915</v>
      </c>
      <c r="AV1428" t="str">
        <f t="shared" si="143"/>
        <v>000100</v>
      </c>
      <c r="AY14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8">
        <f>((Table1334567[[#This Row],[High C]]+Table1334567[[#This Row],[Low C]])/2)*Table1334567[[#This Row],[gammac]]*Table1334567[[#This Row],[Volume]]</f>
        <v>0</v>
      </c>
      <c r="BD1428">
        <f>((Table1334567[[#This Row],[High P]]+Table1334567[[#This Row],[Low P]])/2)*Table1334567[[#This Row],[gammap]]*Table1334567[[#This Row],[Volume9]]*-1</f>
        <v>0</v>
      </c>
      <c r="BE1428">
        <f>(Table1334567[[#This Row],[SgammaC]]+Table1334567[[#This Row],[SgammaP]])*$A$4*-100</f>
        <v>0</v>
      </c>
      <c r="BF1428">
        <f>Table1334567[[#This Row],[DEXc]]+Table1334567[[#This Row],[DEXp]]</f>
        <v>0</v>
      </c>
      <c r="BG1428">
        <f>IFERROR(Table1334567[[#This Row],[DeltaC]]*Table1334567[[#This Row],[Open.Int]]*$A$4,0)</f>
        <v>0</v>
      </c>
      <c r="BH1428">
        <f>IFERROR(Table1334567[[#This Row],[DeltaP]]*Table1334567[[#This Row],[Open.Int8]]*$A$4,0)</f>
        <v>0</v>
      </c>
      <c r="BI142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8">
        <f ca="1">Table1334567[[#This Row],[charmc]]+Table1334567[[#This Row],[charmp]]</f>
        <v>0</v>
      </c>
      <c r="BL1428" s="78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8" s="78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8" s="78">
        <f ca="1">Table1334567[[#This Row],[call helper]]+Table1334567[[#This Row],[put helper]]</f>
        <v>0</v>
      </c>
      <c r="BP1428" t="str">
        <f>RTD("tos.rtd", , "STRIKE", "."&amp;Table1334567[[#This Row],[Ticker]]&amp;Table1334567[[#This Row],[Expiry]]&amp;""&amp;"C"&amp;Table1334567[[#This Row],[Spot]]+Table1334567[[#This Row],[step]])</f>
        <v>N/A</v>
      </c>
    </row>
    <row r="1430" spans="1:69" ht="30" x14ac:dyDescent="0.25">
      <c r="A1430" t="s">
        <v>53</v>
      </c>
      <c r="B1430" t="s">
        <v>12</v>
      </c>
      <c r="C1430" t="s">
        <v>11</v>
      </c>
      <c r="D1430" t="s">
        <v>2</v>
      </c>
      <c r="E1430" t="s">
        <v>1</v>
      </c>
      <c r="F1430" t="s">
        <v>29</v>
      </c>
      <c r="G1430" t="s">
        <v>36</v>
      </c>
      <c r="H1430" t="s">
        <v>43</v>
      </c>
      <c r="I1430" t="s">
        <v>34</v>
      </c>
      <c r="J1430" t="s">
        <v>33</v>
      </c>
      <c r="K1430" t="s">
        <v>47</v>
      </c>
      <c r="L1430" s="17" t="s">
        <v>44</v>
      </c>
      <c r="M1430" t="s">
        <v>3</v>
      </c>
      <c r="N1430" t="s">
        <v>4</v>
      </c>
      <c r="O1430" t="s">
        <v>27</v>
      </c>
      <c r="P1430" t="s">
        <v>42</v>
      </c>
      <c r="Q1430" t="s">
        <v>35</v>
      </c>
      <c r="R1430" t="s">
        <v>32</v>
      </c>
      <c r="S1430" t="s">
        <v>26</v>
      </c>
      <c r="T1430" t="s">
        <v>13</v>
      </c>
      <c r="U1430" t="s">
        <v>14</v>
      </c>
      <c r="V1430" t="s">
        <v>30</v>
      </c>
      <c r="W1430" t="s">
        <v>39</v>
      </c>
      <c r="X1430" t="s">
        <v>31</v>
      </c>
      <c r="Y1430" t="s">
        <v>10</v>
      </c>
      <c r="Z1430" t="s">
        <v>5</v>
      </c>
      <c r="AA1430" t="s">
        <v>6</v>
      </c>
      <c r="AB1430" t="s">
        <v>7</v>
      </c>
      <c r="AC1430" t="s">
        <v>40</v>
      </c>
      <c r="AD1430" t="s">
        <v>37</v>
      </c>
      <c r="AE1430" t="s">
        <v>38</v>
      </c>
      <c r="AF1430" t="s">
        <v>8</v>
      </c>
      <c r="AG1430" t="s">
        <v>15</v>
      </c>
      <c r="AH1430" t="s">
        <v>16</v>
      </c>
      <c r="AI1430" t="s">
        <v>17</v>
      </c>
      <c r="AJ1430" t="s">
        <v>18</v>
      </c>
      <c r="AK1430" t="s">
        <v>19</v>
      </c>
      <c r="AL1430" t="s">
        <v>20</v>
      </c>
      <c r="AM1430" t="s">
        <v>21</v>
      </c>
      <c r="AN1430" t="s">
        <v>22</v>
      </c>
      <c r="AO1430" t="s">
        <v>23</v>
      </c>
      <c r="AP1430" t="s">
        <v>24</v>
      </c>
      <c r="AQ1430" t="s">
        <v>25</v>
      </c>
      <c r="AR1430" t="s">
        <v>45</v>
      </c>
      <c r="AS1430" t="s">
        <v>46</v>
      </c>
      <c r="AT1430" t="s">
        <v>54</v>
      </c>
      <c r="AU1430" t="s">
        <v>55</v>
      </c>
      <c r="AV1430" t="s">
        <v>56</v>
      </c>
      <c r="AW1430" t="s">
        <v>60</v>
      </c>
      <c r="AX1430" t="s">
        <v>61</v>
      </c>
      <c r="AY1430" s="61" t="s">
        <v>48</v>
      </c>
      <c r="AZ1430" s="61" t="s">
        <v>49</v>
      </c>
      <c r="BA1430" s="61" t="s">
        <v>50</v>
      </c>
      <c r="BB1430" s="61" t="s">
        <v>51</v>
      </c>
      <c r="BC1430" s="61" t="s">
        <v>52</v>
      </c>
      <c r="BD1430" s="61" t="s">
        <v>59</v>
      </c>
      <c r="BE1430" s="61" t="s">
        <v>62</v>
      </c>
      <c r="BF1430" s="61" t="s">
        <v>28</v>
      </c>
      <c r="BG1430" s="61" t="s">
        <v>68</v>
      </c>
      <c r="BH1430" s="61" t="s">
        <v>69</v>
      </c>
      <c r="BI1430" s="61" t="s">
        <v>70</v>
      </c>
      <c r="BJ1430" s="61" t="s">
        <v>71</v>
      </c>
      <c r="BK1430" s="61" t="s">
        <v>72</v>
      </c>
      <c r="BL1430" s="89" t="s">
        <v>78</v>
      </c>
      <c r="BM1430" s="89" t="s">
        <v>79</v>
      </c>
      <c r="BN1430" s="17" t="s">
        <v>84</v>
      </c>
    </row>
    <row r="1431" spans="1:69" x14ac:dyDescent="0.25">
      <c r="A1431" s="14">
        <f t="shared" ref="A1431:A1494" ca="1" si="144">$V$3</f>
        <v>-126.14810350076104</v>
      </c>
      <c r="C1431" s="17"/>
      <c r="D1431" t="str">
        <f>RTD("tos.rtd", , "OPEN_INT", "."&amp;Table13345678[[#This Row],[Ticker]]&amp;Table13345678[[#This Row],[Expiry]]&amp;""&amp;"C"&amp;Table13345678[[#This Row],[Spot]]+Table13345678[[#This Row],[step]])</f>
        <v>N/A</v>
      </c>
      <c r="E14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1" s="17" cm="1">
        <f t="array" aca="1" ref="H1431" ca="1">IndividualLegIVCore($A$4, Table13345678[[#This Row],[Strike]], 0.0411, Table13345678[[#This Row],[T]], ((Table13345678[[#This Row],[BIDC]]+Table13345678[[#This Row],[ASKC]])/2), TRUE)</f>
        <v>0.01</v>
      </c>
      <c r="I14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1" s="17"/>
      <c r="M1431" s="1">
        <f t="shared" ref="M1431:M1494" si="145">$V$1</f>
        <v>0</v>
      </c>
      <c r="N1431" t="b">
        <f t="shared" ref="N1431:N1494" si="146">IF(ISNUMBER($BP1431), $BP1431, FALSE)</f>
        <v>0</v>
      </c>
      <c r="P1431" s="17" cm="1">
        <f t="array" aca="1" ref="P1431" ca="1">IndividualLegIVCore($A$4, Table13345678[[#This Row],[Strike]], 0.0411, Table13345678[[#This Row],[T]], ((Table13345678[[#This Row],[BIDP]]+Table13345678[[#This Row],[ASKP]])/2), FALSE)</f>
        <v>0.01</v>
      </c>
      <c r="Q14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1" s="17"/>
      <c r="T14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1" s="19">
        <f>-50* IF($M$1="NDX", 10, IF(OR($M$1="SPX", $M$1="RUT"), 2, 1))</f>
        <v>-100</v>
      </c>
      <c r="Z1431">
        <f ca="1">IFERROR(Table13345678[[#This Row],[call gamma]]*(Table13345678[[#This Row],[Open.Int]])*$A$4^2,0)</f>
        <v>0</v>
      </c>
      <c r="AA1431">
        <f ca="1">IFERROR(((Table13345678[[#This Row],[Open.Int8]])*Table13345678[[#This Row],[Put gamma]])*-1*$A$4^2,0)</f>
        <v>0</v>
      </c>
      <c r="AB1431">
        <f ca="1">(Table13345678[[#This Row],[Call Gex]]+Table13345678[[#This Row],[Put Gex]])</f>
        <v>0</v>
      </c>
      <c r="AC1431">
        <f ca="1">Table13345678[[#This Row],[put delta adj]]+Table13345678[[#This Row],[call delta adj]]</f>
        <v>0</v>
      </c>
      <c r="AD1431">
        <f ca="1">Table13345678[[#This Row],[Put Gex]]*Table13345678[[#This Row],[DeltaP]]*-1</f>
        <v>0</v>
      </c>
      <c r="AE1431">
        <f ca="1">Table13345678[[#This Row],[Call Gex]]*Table13345678[[#This Row],[DeltaC]]</f>
        <v>0</v>
      </c>
      <c r="AF1431">
        <f>IF(Table13345678[[#This Row],[DeltaC]]-ABS(Table13345678[[#This Row],[DeltaP]])="0","0.01",Table13345678[[#This Row],[DeltaC]]-ABS(Table13345678[[#This Row],[DeltaP]]))</f>
        <v>0</v>
      </c>
      <c r="AG14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1" t="e">
        <f ca="1">(EXP(-(AG1431^2)/2)/SQRT(2*PI())*EXP(0*SQRT(Table13345678[[#This Row],[T]]))/$A$4*18%*SQRT(SQRT(Table13345678[[#This Row],[T]])))</f>
        <v>#DIV/0!</v>
      </c>
      <c r="AJ1431" t="e">
        <f ca="1">(EXP(-(AH1431^2)/2)/SQRT(2*PI())*EXP(0*SQRT(Table13345678[[#This Row],[T]]))/$A$4*18%*SQRT(SQRT(Table13345678[[#This Row],[T]])))</f>
        <v>#DIV/0!</v>
      </c>
      <c r="AK1431" t="e">
        <f ca="1">Table13345678[[#This Row],[Call D1]]-Table13345678[[#This Row],[IV Calc C]]*SQRT(Table13345678[[#This Row],[T]])</f>
        <v>#DIV/0!</v>
      </c>
      <c r="AL1431" t="e">
        <f ca="1">Table13345678[[#This Row],[Put D1]]-Table13345678[[#This Row],[IV Calc P]]*SQRT(Table13345678[[#This Row],[T]])</f>
        <v>#DIV/0!</v>
      </c>
      <c r="AM1431" t="e">
        <f ca="1">EXP(-0.5*Table13345678[[#This Row],[Call D1]]^2)/SQRT(2*PI())</f>
        <v>#DIV/0!</v>
      </c>
      <c r="AN1431" t="e">
        <f ca="1">EXP(-0.5*Table13345678[[#This Row],[Put D1]]^2)/SQRT(2*PI())</f>
        <v>#DIV/0!</v>
      </c>
      <c r="AO14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1">
        <f ca="1">((Table13345678[[#This Row],[call vanna]]+Table13345678[[#This Row],[put vanna]])*$A$4)</f>
        <v>0</v>
      </c>
      <c r="AR14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1" s="9" t="str" cm="1">
        <f t="array" ref="AT1431">_xlfn.IFS(     $M$1="SPX","SPXW",     $M$1="RUT","RUTW",  $M$1="NDX","NDXP",   TRUE,$M$1 )</f>
        <v>SPXW</v>
      </c>
      <c r="AU1431" s="2">
        <f t="shared" ref="AU1431:AU1494" si="147">$N$1</f>
        <v>6915</v>
      </c>
      <c r="AV1431" t="str">
        <f t="shared" ref="AV1431:AV1494" si="148">$V$2</f>
        <v>000100</v>
      </c>
      <c r="AY14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1">
        <f>((Table13345678[[#This Row],[High C]]+Table13345678[[#This Row],[Low C]])/2)*Table13345678[[#This Row],[gammac]]*Table13345678[[#This Row],[Volume]]</f>
        <v>0</v>
      </c>
      <c r="BD1431">
        <f>((Table13345678[[#This Row],[High P]]+Table13345678[[#This Row],[Low P]])/2)*Table13345678[[#This Row],[gammap]]*Table13345678[[#This Row],[Volume9]]*-1</f>
        <v>0</v>
      </c>
      <c r="BE1431">
        <f>(Table13345678[[#This Row],[SgammaC]]+Table13345678[[#This Row],[SgammaP]])*$A$4*-100</f>
        <v>0</v>
      </c>
      <c r="BF1431" s="78">
        <f>Table13345678[[#This Row],[DEXc]]+Table13345678[[#This Row],[DEXp]]</f>
        <v>0</v>
      </c>
      <c r="BG1431" s="78">
        <f>IFERROR(Table13345678[[#This Row],[DeltaC]]*Table13345678[[#This Row],[Open.Int]]*$A$4,0)</f>
        <v>0</v>
      </c>
      <c r="BH1431">
        <f>IFERROR(Table13345678[[#This Row],[DeltaP]]*Table13345678[[#This Row],[Open.Int8]]*$A$4,0)</f>
        <v>0</v>
      </c>
      <c r="BI1431" s="6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1">
        <f ca="1">Table13345678[[#This Row],[charmc]]+Table13345678[[#This Row],[charmp]]</f>
        <v>0</v>
      </c>
      <c r="BL143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1" s="78">
        <f ca="1">Table13345678[[#This Row],[call helper]]+Table13345678[[#This Row],[put helper]]</f>
        <v>0</v>
      </c>
      <c r="BP1431" t="str">
        <f>RTD("tos.rtd", , "STRIKE", "."&amp;Table13345678[[#This Row],[Ticker]]&amp;Table13345678[[#This Row],[Expiry]]&amp;""&amp;"C"&amp;Table13345678[[#This Row],[Spot]]+Table13345678[[#This Row],[step]])</f>
        <v>N/A</v>
      </c>
      <c r="BQ1431" t="e" cm="1" vm="1">
        <f t="array" ref="BQ1431">_xlfn._xlws.FILTER(
    BP1431:BP1631,
    ISNUMBER(BP1431:BP1631)
)</f>
        <v>#VALUE!</v>
      </c>
    </row>
    <row r="1432" spans="1:69" x14ac:dyDescent="0.25">
      <c r="A1432" s="14">
        <f t="shared" ca="1" si="144"/>
        <v>-126.14810350076104</v>
      </c>
      <c r="C1432" s="17"/>
      <c r="D1432" t="str">
        <f>RTD("tos.rtd", , "OPEN_INT", "."&amp;Table13345678[[#This Row],[Ticker]]&amp;Table13345678[[#This Row],[Expiry]]&amp;""&amp;"C"&amp;Table13345678[[#This Row],[Spot]]+Table13345678[[#This Row],[step]])</f>
        <v>N/A</v>
      </c>
      <c r="E143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2" s="17" cm="1">
        <f t="array" aca="1" ref="H1432" ca="1">IndividualLegIVCore($A$4, Table13345678[[#This Row],[Strike]], 0.0411, Table13345678[[#This Row],[T]], ((Table13345678[[#This Row],[BIDC]]+Table13345678[[#This Row],[ASKC]])/2), TRUE)</f>
        <v>0.01</v>
      </c>
      <c r="I143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2" s="17"/>
      <c r="M1432" s="1">
        <f t="shared" si="145"/>
        <v>0</v>
      </c>
      <c r="N1432" t="b">
        <f t="shared" si="146"/>
        <v>0</v>
      </c>
      <c r="P1432" s="17" cm="1">
        <f t="array" aca="1" ref="P1432" ca="1">IndividualLegIVCore($A$4, Table13345678[[#This Row],[Strike]], 0.0411, Table13345678[[#This Row],[T]], ((Table13345678[[#This Row],[BIDP]]+Table13345678[[#This Row],[ASKP]])/2), FALSE)</f>
        <v>0.01</v>
      </c>
      <c r="Q143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2" s="17"/>
      <c r="T143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2" s="19">
        <f>-49.5* IF($M$1="NDX", 10, IF(OR($M$1="SPX", $M$1="RUT"), 2, 1))</f>
        <v>-99</v>
      </c>
      <c r="Z1432">
        <f ca="1">IFERROR(Table13345678[[#This Row],[call gamma]]*(Table13345678[[#This Row],[Open.Int]])*$A$4^2,0)</f>
        <v>0</v>
      </c>
      <c r="AA1432">
        <f ca="1">IFERROR(((Table13345678[[#This Row],[Open.Int8]])*Table13345678[[#This Row],[Put gamma]])*-1*$A$4^2,0)</f>
        <v>0</v>
      </c>
      <c r="AB1432">
        <f ca="1">(Table13345678[[#This Row],[Call Gex]]+Table13345678[[#This Row],[Put Gex]])</f>
        <v>0</v>
      </c>
      <c r="AC1432">
        <f ca="1">Table13345678[[#This Row],[put delta adj]]+Table13345678[[#This Row],[call delta adj]]</f>
        <v>0</v>
      </c>
      <c r="AD1432">
        <f ca="1">Table13345678[[#This Row],[Put Gex]]*Table13345678[[#This Row],[DeltaP]]*-1</f>
        <v>0</v>
      </c>
      <c r="AE1432">
        <f ca="1">Table13345678[[#This Row],[Call Gex]]*Table13345678[[#This Row],[DeltaC]]</f>
        <v>0</v>
      </c>
      <c r="AF1432">
        <f>IF(Table13345678[[#This Row],[DeltaC]]-ABS(Table13345678[[#This Row],[DeltaP]])="0","0.01",Table13345678[[#This Row],[DeltaC]]-ABS(Table13345678[[#This Row],[DeltaP]]))</f>
        <v>0</v>
      </c>
      <c r="AG143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2" t="e">
        <f ca="1">(EXP(-(AG1432^2)/2)/SQRT(2*PI())*EXP(0*SQRT(Table13345678[[#This Row],[T]]))/$A$4*18%*SQRT(SQRT(Table13345678[[#This Row],[T]])))</f>
        <v>#DIV/0!</v>
      </c>
      <c r="AJ1432" t="e">
        <f ca="1">(EXP(-(AH1432^2)/2)/SQRT(2*PI())*EXP(0*SQRT(Table13345678[[#This Row],[T]]))/$A$4*18%*SQRT(SQRT(Table13345678[[#This Row],[T]])))</f>
        <v>#DIV/0!</v>
      </c>
      <c r="AK1432" t="e">
        <f ca="1">Table13345678[[#This Row],[Call D1]]-Table13345678[[#This Row],[IV Calc C]]*SQRT(Table13345678[[#This Row],[T]])</f>
        <v>#DIV/0!</v>
      </c>
      <c r="AL1432" t="e">
        <f ca="1">Table13345678[[#This Row],[Put D1]]-Table13345678[[#This Row],[IV Calc P]]*SQRT(Table13345678[[#This Row],[T]])</f>
        <v>#DIV/0!</v>
      </c>
      <c r="AM1432" t="e">
        <f ca="1">EXP(-0.5*Table13345678[[#This Row],[Call D1]]^2)/SQRT(2*PI())</f>
        <v>#DIV/0!</v>
      </c>
      <c r="AN1432" t="e">
        <f ca="1">EXP(-0.5*Table13345678[[#This Row],[Put D1]]^2)/SQRT(2*PI())</f>
        <v>#DIV/0!</v>
      </c>
      <c r="AO143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2">
        <f ca="1">((Table13345678[[#This Row],[call vanna]]+Table13345678[[#This Row],[put vanna]])*$A$4)</f>
        <v>0</v>
      </c>
      <c r="AR143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2" s="9" t="str" cm="1">
        <f t="array" ref="AT1432">_xlfn.IFS(     $M$1="SPX","SPXW",     $M$1="RUT","RUTW",  $M$1="NDX","NDXP",   TRUE,$M$1 )</f>
        <v>SPXW</v>
      </c>
      <c r="AU1432" s="2">
        <f t="shared" si="147"/>
        <v>6915</v>
      </c>
      <c r="AV1432" t="str">
        <f t="shared" si="148"/>
        <v>000100</v>
      </c>
      <c r="AY143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2">
        <f>((Table13345678[[#This Row],[High C]]+Table13345678[[#This Row],[Low C]])/2)*Table13345678[[#This Row],[gammac]]*Table13345678[[#This Row],[Volume]]</f>
        <v>0</v>
      </c>
      <c r="BD1432">
        <f>((Table13345678[[#This Row],[High P]]+Table13345678[[#This Row],[Low P]])/2)*Table13345678[[#This Row],[gammap]]*Table13345678[[#This Row],[Volume9]]*-1</f>
        <v>0</v>
      </c>
      <c r="BE1432">
        <f>(Table13345678[[#This Row],[SgammaC]]+Table13345678[[#This Row],[SgammaP]])*$A$4*-100</f>
        <v>0</v>
      </c>
      <c r="BF1432">
        <f>Table13345678[[#This Row],[DEXc]]+Table13345678[[#This Row],[DEXp]]</f>
        <v>0</v>
      </c>
      <c r="BG1432" s="78">
        <f>IFERROR(Table13345678[[#This Row],[DeltaC]]*Table13345678[[#This Row],[Open.Int]]*$A$4,0)</f>
        <v>0</v>
      </c>
      <c r="BH1432">
        <f>IFERROR(Table13345678[[#This Row],[DeltaP]]*Table13345678[[#This Row],[Open.Int8]]*$A$4,0)</f>
        <v>0</v>
      </c>
      <c r="BI143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2">
        <f ca="1">Table13345678[[#This Row],[charmc]]+Table13345678[[#This Row],[charmp]]</f>
        <v>0</v>
      </c>
      <c r="BL143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2" s="78">
        <f ca="1">Table13345678[[#This Row],[call helper]]+Table13345678[[#This Row],[put helper]]</f>
        <v>0</v>
      </c>
      <c r="BP143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3" spans="1:69" x14ac:dyDescent="0.25">
      <c r="A1433" s="14">
        <f t="shared" ca="1" si="144"/>
        <v>-126.14810350076104</v>
      </c>
      <c r="C1433" s="17"/>
      <c r="D1433" t="str">
        <f>RTD("tos.rtd", , "OPEN_INT", "."&amp;Table13345678[[#This Row],[Ticker]]&amp;Table13345678[[#This Row],[Expiry]]&amp;""&amp;"C"&amp;Table13345678[[#This Row],[Spot]]+Table13345678[[#This Row],[step]])</f>
        <v>N/A</v>
      </c>
      <c r="E143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3" s="17" cm="1">
        <f t="array" aca="1" ref="H1433" ca="1">IndividualLegIVCore($A$4, Table13345678[[#This Row],[Strike]], 0.0411, Table13345678[[#This Row],[T]], ((Table13345678[[#This Row],[BIDC]]+Table13345678[[#This Row],[ASKC]])/2), TRUE)</f>
        <v>0.01</v>
      </c>
      <c r="I143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3" s="17"/>
      <c r="M1433" s="1">
        <f t="shared" si="145"/>
        <v>0</v>
      </c>
      <c r="N1433" t="b">
        <f t="shared" si="146"/>
        <v>0</v>
      </c>
      <c r="P1433" s="17" cm="1">
        <f t="array" aca="1" ref="P1433" ca="1">IndividualLegIVCore($A$4, Table13345678[[#This Row],[Strike]], 0.0411, Table13345678[[#This Row],[T]], ((Table13345678[[#This Row],[BIDP]]+Table13345678[[#This Row],[ASKP]])/2), FALSE)</f>
        <v>0.01</v>
      </c>
      <c r="Q143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3" s="17"/>
      <c r="T143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3" s="19">
        <f>-49* IF($M$1="NDX", 10, IF(OR($M$1="SPX", $M$1="RUT"), 2, 1))</f>
        <v>-98</v>
      </c>
      <c r="Z1433">
        <f ca="1">IFERROR(Table13345678[[#This Row],[call gamma]]*(Table13345678[[#This Row],[Open.Int]])*$A$4^2,0)</f>
        <v>0</v>
      </c>
      <c r="AA1433">
        <f ca="1">IFERROR(((Table13345678[[#This Row],[Open.Int8]])*Table13345678[[#This Row],[Put gamma]])*-1*$A$4^2,0)</f>
        <v>0</v>
      </c>
      <c r="AB1433">
        <f ca="1">(Table13345678[[#This Row],[Call Gex]]+Table13345678[[#This Row],[Put Gex]])</f>
        <v>0</v>
      </c>
      <c r="AC1433">
        <f ca="1">Table13345678[[#This Row],[put delta adj]]+Table13345678[[#This Row],[call delta adj]]</f>
        <v>0</v>
      </c>
      <c r="AD1433">
        <f ca="1">Table13345678[[#This Row],[Put Gex]]*Table13345678[[#This Row],[DeltaP]]*-1</f>
        <v>0</v>
      </c>
      <c r="AE1433">
        <f ca="1">Table13345678[[#This Row],[Call Gex]]*Table13345678[[#This Row],[DeltaC]]</f>
        <v>0</v>
      </c>
      <c r="AF1433">
        <f>IF(Table13345678[[#This Row],[DeltaC]]-ABS(Table13345678[[#This Row],[DeltaP]])="0","0.01",Table13345678[[#This Row],[DeltaC]]-ABS(Table13345678[[#This Row],[DeltaP]]))</f>
        <v>0</v>
      </c>
      <c r="AG143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3" t="e">
        <f ca="1">(EXP(-(AG1433^2)/2)/SQRT(2*PI())*EXP(0*SQRT(Table13345678[[#This Row],[T]]))/$A$4*18%*SQRT(SQRT(Table13345678[[#This Row],[T]])))</f>
        <v>#DIV/0!</v>
      </c>
      <c r="AJ1433" t="e">
        <f ca="1">(EXP(-(AH1433^2)/2)/SQRT(2*PI())*EXP(0*SQRT(Table13345678[[#This Row],[T]]))/$A$4*18%*SQRT(SQRT(Table13345678[[#This Row],[T]])))</f>
        <v>#DIV/0!</v>
      </c>
      <c r="AK1433" t="e">
        <f ca="1">Table13345678[[#This Row],[Call D1]]-Table13345678[[#This Row],[IV Calc C]]*SQRT(Table13345678[[#This Row],[T]])</f>
        <v>#DIV/0!</v>
      </c>
      <c r="AL1433" t="e">
        <f ca="1">Table13345678[[#This Row],[Put D1]]-Table13345678[[#This Row],[IV Calc P]]*SQRT(Table13345678[[#This Row],[T]])</f>
        <v>#DIV/0!</v>
      </c>
      <c r="AM1433" t="e">
        <f ca="1">EXP(-0.5*Table13345678[[#This Row],[Call D1]]^2)/SQRT(2*PI())</f>
        <v>#DIV/0!</v>
      </c>
      <c r="AN1433" t="e">
        <f ca="1">EXP(-0.5*Table13345678[[#This Row],[Put D1]]^2)/SQRT(2*PI())</f>
        <v>#DIV/0!</v>
      </c>
      <c r="AO143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3">
        <f ca="1">((Table13345678[[#This Row],[call vanna]]+Table13345678[[#This Row],[put vanna]])*$A$4)</f>
        <v>0</v>
      </c>
      <c r="AR143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3" s="9" t="str" cm="1">
        <f t="array" ref="AT1433">_xlfn.IFS(     $M$1="SPX","SPXW",     $M$1="RUT","RUTW",  $M$1="NDX","NDXP",   TRUE,$M$1 )</f>
        <v>SPXW</v>
      </c>
      <c r="AU1433" s="2">
        <f t="shared" si="147"/>
        <v>6915</v>
      </c>
      <c r="AV1433" t="str">
        <f t="shared" si="148"/>
        <v>000100</v>
      </c>
      <c r="AY143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3">
        <f>((Table13345678[[#This Row],[High C]]+Table13345678[[#This Row],[Low C]])/2)*Table13345678[[#This Row],[gammac]]*Table13345678[[#This Row],[Volume]]</f>
        <v>0</v>
      </c>
      <c r="BD1433">
        <f>((Table13345678[[#This Row],[High P]]+Table13345678[[#This Row],[Low P]])/2)*Table13345678[[#This Row],[gammap]]*Table13345678[[#This Row],[Volume9]]*-1</f>
        <v>0</v>
      </c>
      <c r="BE1433">
        <f>(Table13345678[[#This Row],[SgammaC]]+Table13345678[[#This Row],[SgammaP]])*$A$4*-100</f>
        <v>0</v>
      </c>
      <c r="BF1433">
        <f>Table13345678[[#This Row],[DEXc]]+Table13345678[[#This Row],[DEXp]]</f>
        <v>0</v>
      </c>
      <c r="BG1433" s="78">
        <f>IFERROR(Table13345678[[#This Row],[DeltaC]]*Table13345678[[#This Row],[Open.Int]]*$A$4,0)</f>
        <v>0</v>
      </c>
      <c r="BH1433">
        <f>IFERROR(Table13345678[[#This Row],[DeltaP]]*Table13345678[[#This Row],[Open.Int8]]*$A$4,0)</f>
        <v>0</v>
      </c>
      <c r="BI143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3">
        <f ca="1">Table13345678[[#This Row],[charmc]]+Table13345678[[#This Row],[charmp]]</f>
        <v>0</v>
      </c>
      <c r="BL143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3" s="78">
        <f ca="1">Table13345678[[#This Row],[call helper]]+Table13345678[[#This Row],[put helper]]</f>
        <v>0</v>
      </c>
      <c r="BP143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4" spans="1:69" x14ac:dyDescent="0.25">
      <c r="A1434" s="14">
        <f t="shared" ca="1" si="144"/>
        <v>-126.14810350076104</v>
      </c>
      <c r="C1434" s="17"/>
      <c r="D1434" t="str">
        <f>RTD("tos.rtd", , "OPEN_INT", "."&amp;Table13345678[[#This Row],[Ticker]]&amp;Table13345678[[#This Row],[Expiry]]&amp;""&amp;"C"&amp;Table13345678[[#This Row],[Spot]]+Table13345678[[#This Row],[step]])</f>
        <v>N/A</v>
      </c>
      <c r="E143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4" s="17" cm="1">
        <f t="array" aca="1" ref="H1434" ca="1">IndividualLegIVCore($A$4, Table13345678[[#This Row],[Strike]], 0.0411, Table13345678[[#This Row],[T]], ((Table13345678[[#This Row],[BIDC]]+Table13345678[[#This Row],[ASKC]])/2), TRUE)</f>
        <v>0.01</v>
      </c>
      <c r="I143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4" s="17"/>
      <c r="M1434" s="1">
        <f t="shared" si="145"/>
        <v>0</v>
      </c>
      <c r="N1434" t="b">
        <f t="shared" si="146"/>
        <v>0</v>
      </c>
      <c r="P1434" s="17" cm="1">
        <f t="array" aca="1" ref="P1434" ca="1">IndividualLegIVCore($A$4, Table13345678[[#This Row],[Strike]], 0.0411, Table13345678[[#This Row],[T]], ((Table13345678[[#This Row],[BIDP]]+Table13345678[[#This Row],[ASKP]])/2), FALSE)</f>
        <v>0.01</v>
      </c>
      <c r="Q143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4" s="17"/>
      <c r="T143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4" s="19">
        <f>-48.5* IF($M$1="NDX", 10, IF(OR($M$1="SPX", $M$1="RUT"), 2, 1))</f>
        <v>-97</v>
      </c>
      <c r="Z1434">
        <f ca="1">IFERROR(Table13345678[[#This Row],[call gamma]]*(Table13345678[[#This Row],[Open.Int]])*$A$4^2,0)</f>
        <v>0</v>
      </c>
      <c r="AA1434">
        <f ca="1">IFERROR(((Table13345678[[#This Row],[Open.Int8]])*Table13345678[[#This Row],[Put gamma]])*-1*$A$4^2,0)</f>
        <v>0</v>
      </c>
      <c r="AB1434">
        <f ca="1">(Table13345678[[#This Row],[Call Gex]]+Table13345678[[#This Row],[Put Gex]])</f>
        <v>0</v>
      </c>
      <c r="AC1434">
        <f ca="1">Table13345678[[#This Row],[put delta adj]]+Table13345678[[#This Row],[call delta adj]]</f>
        <v>0</v>
      </c>
      <c r="AD1434">
        <f ca="1">Table13345678[[#This Row],[Put Gex]]*Table13345678[[#This Row],[DeltaP]]*-1</f>
        <v>0</v>
      </c>
      <c r="AE1434">
        <f ca="1">Table13345678[[#This Row],[Call Gex]]*Table13345678[[#This Row],[DeltaC]]</f>
        <v>0</v>
      </c>
      <c r="AF1434">
        <f>IF(Table13345678[[#This Row],[DeltaC]]-ABS(Table13345678[[#This Row],[DeltaP]])="0","0.01",Table13345678[[#This Row],[DeltaC]]-ABS(Table13345678[[#This Row],[DeltaP]]))</f>
        <v>0</v>
      </c>
      <c r="AG143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4" t="e">
        <f ca="1">(EXP(-(AG1434^2)/2)/SQRT(2*PI())*EXP(0*SQRT(Table13345678[[#This Row],[T]]))/$A$4*18%*SQRT(SQRT(Table13345678[[#This Row],[T]])))</f>
        <v>#DIV/0!</v>
      </c>
      <c r="AJ1434" t="e">
        <f ca="1">(EXP(-(AH1434^2)/2)/SQRT(2*PI())*EXP(0*SQRT(Table13345678[[#This Row],[T]]))/$A$4*18%*SQRT(SQRT(Table13345678[[#This Row],[T]])))</f>
        <v>#DIV/0!</v>
      </c>
      <c r="AK1434" t="e">
        <f ca="1">Table13345678[[#This Row],[Call D1]]-Table13345678[[#This Row],[IV Calc C]]*SQRT(Table13345678[[#This Row],[T]])</f>
        <v>#DIV/0!</v>
      </c>
      <c r="AL1434" t="e">
        <f ca="1">Table13345678[[#This Row],[Put D1]]-Table13345678[[#This Row],[IV Calc P]]*SQRT(Table13345678[[#This Row],[T]])</f>
        <v>#DIV/0!</v>
      </c>
      <c r="AM1434" t="e">
        <f ca="1">EXP(-0.5*Table13345678[[#This Row],[Call D1]]^2)/SQRT(2*PI())</f>
        <v>#DIV/0!</v>
      </c>
      <c r="AN1434" t="e">
        <f ca="1">EXP(-0.5*Table13345678[[#This Row],[Put D1]]^2)/SQRT(2*PI())</f>
        <v>#DIV/0!</v>
      </c>
      <c r="AO143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4">
        <f ca="1">((Table13345678[[#This Row],[call vanna]]+Table13345678[[#This Row],[put vanna]])*$A$4)</f>
        <v>0</v>
      </c>
      <c r="AR143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4" s="9" t="str" cm="1">
        <f t="array" ref="AT1434">_xlfn.IFS(     $M$1="SPX","SPXW",     $M$1="RUT","RUTW",  $M$1="NDX","NDXP",   TRUE,$M$1 )</f>
        <v>SPXW</v>
      </c>
      <c r="AU1434" s="2">
        <f t="shared" si="147"/>
        <v>6915</v>
      </c>
      <c r="AV1434" t="str">
        <f t="shared" si="148"/>
        <v>000100</v>
      </c>
      <c r="AY143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4">
        <f>((Table13345678[[#This Row],[High C]]+Table13345678[[#This Row],[Low C]])/2)*Table13345678[[#This Row],[gammac]]*Table13345678[[#This Row],[Volume]]</f>
        <v>0</v>
      </c>
      <c r="BD1434">
        <f>((Table13345678[[#This Row],[High P]]+Table13345678[[#This Row],[Low P]])/2)*Table13345678[[#This Row],[gammap]]*Table13345678[[#This Row],[Volume9]]*-1</f>
        <v>0</v>
      </c>
      <c r="BE1434">
        <f>(Table13345678[[#This Row],[SgammaC]]+Table13345678[[#This Row],[SgammaP]])*$A$4*-100</f>
        <v>0</v>
      </c>
      <c r="BF1434">
        <f>Table13345678[[#This Row],[DEXc]]+Table13345678[[#This Row],[DEXp]]</f>
        <v>0</v>
      </c>
      <c r="BG1434" s="78">
        <f>IFERROR(Table13345678[[#This Row],[DeltaC]]*Table13345678[[#This Row],[Open.Int]]*$A$4,0)</f>
        <v>0</v>
      </c>
      <c r="BH1434">
        <f>IFERROR(Table13345678[[#This Row],[DeltaP]]*Table13345678[[#This Row],[Open.Int8]]*$A$4,0)</f>
        <v>0</v>
      </c>
      <c r="BI143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4">
        <f ca="1">Table13345678[[#This Row],[charmc]]+Table13345678[[#This Row],[charmp]]</f>
        <v>0</v>
      </c>
      <c r="BL143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4" s="78">
        <f ca="1">Table13345678[[#This Row],[call helper]]+Table13345678[[#This Row],[put helper]]</f>
        <v>0</v>
      </c>
      <c r="BP143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5" spans="1:69" x14ac:dyDescent="0.25">
      <c r="A1435" s="14">
        <f t="shared" ca="1" si="144"/>
        <v>-126.14810350076104</v>
      </c>
      <c r="C1435" s="17"/>
      <c r="D1435" t="str">
        <f>RTD("tos.rtd", , "OPEN_INT", "."&amp;Table13345678[[#This Row],[Ticker]]&amp;Table13345678[[#This Row],[Expiry]]&amp;""&amp;"C"&amp;Table13345678[[#This Row],[Spot]]+Table13345678[[#This Row],[step]])</f>
        <v>N/A</v>
      </c>
      <c r="E143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5" s="17" cm="1">
        <f t="array" aca="1" ref="H1435" ca="1">IndividualLegIVCore($A$4, Table13345678[[#This Row],[Strike]], 0.0411, Table13345678[[#This Row],[T]], ((Table13345678[[#This Row],[BIDC]]+Table13345678[[#This Row],[ASKC]])/2), TRUE)</f>
        <v>0.01</v>
      </c>
      <c r="I143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5" s="17"/>
      <c r="M1435" s="1">
        <f t="shared" si="145"/>
        <v>0</v>
      </c>
      <c r="N1435" t="b">
        <f t="shared" si="146"/>
        <v>0</v>
      </c>
      <c r="P1435" s="17" cm="1">
        <f t="array" aca="1" ref="P1435" ca="1">IndividualLegIVCore($A$4, Table13345678[[#This Row],[Strike]], 0.0411, Table13345678[[#This Row],[T]], ((Table13345678[[#This Row],[BIDP]]+Table13345678[[#This Row],[ASKP]])/2), FALSE)</f>
        <v>0.01</v>
      </c>
      <c r="Q143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5" s="17"/>
      <c r="T143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5" s="19">
        <f>-48* IF($M$1="NDX", 10, IF(OR($M$1="SPX", $M$1="RUT"), 2, 1))</f>
        <v>-96</v>
      </c>
      <c r="Z1435">
        <f ca="1">IFERROR(Table13345678[[#This Row],[call gamma]]*(Table13345678[[#This Row],[Open.Int]])*$A$4^2,0)</f>
        <v>0</v>
      </c>
      <c r="AA1435">
        <f ca="1">IFERROR(((Table13345678[[#This Row],[Open.Int8]])*Table13345678[[#This Row],[Put gamma]])*-1*$A$4^2,0)</f>
        <v>0</v>
      </c>
      <c r="AB1435">
        <f ca="1">(Table13345678[[#This Row],[Call Gex]]+Table13345678[[#This Row],[Put Gex]])</f>
        <v>0</v>
      </c>
      <c r="AC1435">
        <f ca="1">Table13345678[[#This Row],[put delta adj]]+Table13345678[[#This Row],[call delta adj]]</f>
        <v>0</v>
      </c>
      <c r="AD1435">
        <f ca="1">Table13345678[[#This Row],[Put Gex]]*Table13345678[[#This Row],[DeltaP]]*-1</f>
        <v>0</v>
      </c>
      <c r="AE1435">
        <f ca="1">Table13345678[[#This Row],[Call Gex]]*Table13345678[[#This Row],[DeltaC]]</f>
        <v>0</v>
      </c>
      <c r="AF1435">
        <f>IF(Table13345678[[#This Row],[DeltaC]]-ABS(Table13345678[[#This Row],[DeltaP]])="0","0.01",Table13345678[[#This Row],[DeltaC]]-ABS(Table13345678[[#This Row],[DeltaP]]))</f>
        <v>0</v>
      </c>
      <c r="AG143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5" t="e">
        <f ca="1">(EXP(-(AG1435^2)/2)/SQRT(2*PI())*EXP(0*SQRT(Table13345678[[#This Row],[T]]))/$A$4*18%*SQRT(SQRT(Table13345678[[#This Row],[T]])))</f>
        <v>#DIV/0!</v>
      </c>
      <c r="AJ1435" t="e">
        <f ca="1">(EXP(-(AH1435^2)/2)/SQRT(2*PI())*EXP(0*SQRT(Table13345678[[#This Row],[T]]))/$A$4*18%*SQRT(SQRT(Table13345678[[#This Row],[T]])))</f>
        <v>#DIV/0!</v>
      </c>
      <c r="AK1435" t="e">
        <f ca="1">Table13345678[[#This Row],[Call D1]]-Table13345678[[#This Row],[IV Calc C]]*SQRT(Table13345678[[#This Row],[T]])</f>
        <v>#DIV/0!</v>
      </c>
      <c r="AL1435" t="e">
        <f ca="1">Table13345678[[#This Row],[Put D1]]-Table13345678[[#This Row],[IV Calc P]]*SQRT(Table13345678[[#This Row],[T]])</f>
        <v>#DIV/0!</v>
      </c>
      <c r="AM1435" t="e">
        <f ca="1">EXP(-0.5*Table13345678[[#This Row],[Call D1]]^2)/SQRT(2*PI())</f>
        <v>#DIV/0!</v>
      </c>
      <c r="AN1435" t="e">
        <f ca="1">EXP(-0.5*Table13345678[[#This Row],[Put D1]]^2)/SQRT(2*PI())</f>
        <v>#DIV/0!</v>
      </c>
      <c r="AO143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5">
        <f ca="1">((Table13345678[[#This Row],[call vanna]]+Table13345678[[#This Row],[put vanna]])*$A$4)</f>
        <v>0</v>
      </c>
      <c r="AR143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5" s="9" t="str" cm="1">
        <f t="array" ref="AT1435">_xlfn.IFS(     $M$1="SPX","SPXW",     $M$1="RUT","RUTW",  $M$1="NDX","NDXP",   TRUE,$M$1 )</f>
        <v>SPXW</v>
      </c>
      <c r="AU1435" s="2">
        <f t="shared" si="147"/>
        <v>6915</v>
      </c>
      <c r="AV1435" t="str">
        <f t="shared" si="148"/>
        <v>000100</v>
      </c>
      <c r="AY143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5">
        <f>((Table13345678[[#This Row],[High C]]+Table13345678[[#This Row],[Low C]])/2)*Table13345678[[#This Row],[gammac]]*Table13345678[[#This Row],[Volume]]</f>
        <v>0</v>
      </c>
      <c r="BD1435">
        <f>((Table13345678[[#This Row],[High P]]+Table13345678[[#This Row],[Low P]])/2)*Table13345678[[#This Row],[gammap]]*Table13345678[[#This Row],[Volume9]]*-1</f>
        <v>0</v>
      </c>
      <c r="BE1435">
        <f>(Table13345678[[#This Row],[SgammaC]]+Table13345678[[#This Row],[SgammaP]])*$A$4*-100</f>
        <v>0</v>
      </c>
      <c r="BF1435">
        <f>Table13345678[[#This Row],[DEXc]]+Table13345678[[#This Row],[DEXp]]</f>
        <v>0</v>
      </c>
      <c r="BG1435" s="78">
        <f>IFERROR(Table13345678[[#This Row],[DeltaC]]*Table13345678[[#This Row],[Open.Int]]*$A$4,0)</f>
        <v>0</v>
      </c>
      <c r="BH1435">
        <f>IFERROR(Table13345678[[#This Row],[DeltaP]]*Table13345678[[#This Row],[Open.Int8]]*$A$4,0)</f>
        <v>0</v>
      </c>
      <c r="BI143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5">
        <f ca="1">Table13345678[[#This Row],[charmc]]+Table13345678[[#This Row],[charmp]]</f>
        <v>0</v>
      </c>
      <c r="BL143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5" s="78">
        <f ca="1">Table13345678[[#This Row],[call helper]]+Table13345678[[#This Row],[put helper]]</f>
        <v>0</v>
      </c>
      <c r="BP143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6" spans="1:69" x14ac:dyDescent="0.25">
      <c r="A1436" s="14">
        <f t="shared" ca="1" si="144"/>
        <v>-126.14810350076104</v>
      </c>
      <c r="C1436" s="17"/>
      <c r="D1436" t="str">
        <f>RTD("tos.rtd", , "OPEN_INT", "."&amp;Table13345678[[#This Row],[Ticker]]&amp;Table13345678[[#This Row],[Expiry]]&amp;""&amp;"C"&amp;Table13345678[[#This Row],[Spot]]+Table13345678[[#This Row],[step]])</f>
        <v>N/A</v>
      </c>
      <c r="E143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6" s="17" cm="1">
        <f t="array" aca="1" ref="H1436" ca="1">IndividualLegIVCore($A$4, Table13345678[[#This Row],[Strike]], 0.0411, Table13345678[[#This Row],[T]], ((Table13345678[[#This Row],[BIDC]]+Table13345678[[#This Row],[ASKC]])/2), TRUE)</f>
        <v>0.01</v>
      </c>
      <c r="I143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6" s="17"/>
      <c r="M1436" s="1">
        <f t="shared" si="145"/>
        <v>0</v>
      </c>
      <c r="N1436" t="b">
        <f t="shared" si="146"/>
        <v>0</v>
      </c>
      <c r="P1436" s="17" cm="1">
        <f t="array" aca="1" ref="P1436" ca="1">IndividualLegIVCore($A$4, Table13345678[[#This Row],[Strike]], 0.0411, Table13345678[[#This Row],[T]], ((Table13345678[[#This Row],[BIDP]]+Table13345678[[#This Row],[ASKP]])/2), FALSE)</f>
        <v>0.01</v>
      </c>
      <c r="Q143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6" s="17"/>
      <c r="T143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6" s="19">
        <f>-47.5* IF($M$1="NDX", 10, IF(OR($M$1="SPX", $M$1="RUT"), 2, 1))</f>
        <v>-95</v>
      </c>
      <c r="Z1436">
        <f ca="1">IFERROR(Table13345678[[#This Row],[call gamma]]*(Table13345678[[#This Row],[Open.Int]])*$A$4^2,0)</f>
        <v>0</v>
      </c>
      <c r="AA1436">
        <f ca="1">IFERROR(((Table13345678[[#This Row],[Open.Int8]])*Table13345678[[#This Row],[Put gamma]])*-1*$A$4^2,0)</f>
        <v>0</v>
      </c>
      <c r="AB1436">
        <f ca="1">(Table13345678[[#This Row],[Call Gex]]+Table13345678[[#This Row],[Put Gex]])</f>
        <v>0</v>
      </c>
      <c r="AC1436">
        <f ca="1">Table13345678[[#This Row],[put delta adj]]+Table13345678[[#This Row],[call delta adj]]</f>
        <v>0</v>
      </c>
      <c r="AD1436">
        <f ca="1">Table13345678[[#This Row],[Put Gex]]*Table13345678[[#This Row],[DeltaP]]*-1</f>
        <v>0</v>
      </c>
      <c r="AE1436">
        <f ca="1">Table13345678[[#This Row],[Call Gex]]*Table13345678[[#This Row],[DeltaC]]</f>
        <v>0</v>
      </c>
      <c r="AF1436">
        <f>IF(Table13345678[[#This Row],[DeltaC]]-ABS(Table13345678[[#This Row],[DeltaP]])="0","0.01",Table13345678[[#This Row],[DeltaC]]-ABS(Table13345678[[#This Row],[DeltaP]]))</f>
        <v>0</v>
      </c>
      <c r="AG143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6" t="e">
        <f ca="1">(EXP(-(AG1436^2)/2)/SQRT(2*PI())*EXP(0*SQRT(Table13345678[[#This Row],[T]]))/$A$4*18%*SQRT(SQRT(Table13345678[[#This Row],[T]])))</f>
        <v>#DIV/0!</v>
      </c>
      <c r="AJ1436" t="e">
        <f ca="1">(EXP(-(AH1436^2)/2)/SQRT(2*PI())*EXP(0*SQRT(Table13345678[[#This Row],[T]]))/$A$4*18%*SQRT(SQRT(Table13345678[[#This Row],[T]])))</f>
        <v>#DIV/0!</v>
      </c>
      <c r="AK1436" t="e">
        <f ca="1">Table13345678[[#This Row],[Call D1]]-Table13345678[[#This Row],[IV Calc C]]*SQRT(Table13345678[[#This Row],[T]])</f>
        <v>#DIV/0!</v>
      </c>
      <c r="AL1436" t="e">
        <f ca="1">Table13345678[[#This Row],[Put D1]]-Table13345678[[#This Row],[IV Calc P]]*SQRT(Table13345678[[#This Row],[T]])</f>
        <v>#DIV/0!</v>
      </c>
      <c r="AM1436" t="e">
        <f ca="1">EXP(-0.5*Table13345678[[#This Row],[Call D1]]^2)/SQRT(2*PI())</f>
        <v>#DIV/0!</v>
      </c>
      <c r="AN1436" t="e">
        <f ca="1">EXP(-0.5*Table13345678[[#This Row],[Put D1]]^2)/SQRT(2*PI())</f>
        <v>#DIV/0!</v>
      </c>
      <c r="AO143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6">
        <f ca="1">((Table13345678[[#This Row],[call vanna]]+Table13345678[[#This Row],[put vanna]])*$A$4)</f>
        <v>0</v>
      </c>
      <c r="AR143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6" s="9" t="str" cm="1">
        <f t="array" ref="AT1436">_xlfn.IFS(     $M$1="SPX","SPXW",     $M$1="RUT","RUTW",  $M$1="NDX","NDXP",   TRUE,$M$1 )</f>
        <v>SPXW</v>
      </c>
      <c r="AU1436" s="2">
        <f t="shared" si="147"/>
        <v>6915</v>
      </c>
      <c r="AV1436" t="str">
        <f t="shared" si="148"/>
        <v>000100</v>
      </c>
      <c r="AY143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6">
        <f>((Table13345678[[#This Row],[High C]]+Table13345678[[#This Row],[Low C]])/2)*Table13345678[[#This Row],[gammac]]*Table13345678[[#This Row],[Volume]]</f>
        <v>0</v>
      </c>
      <c r="BD1436">
        <f>((Table13345678[[#This Row],[High P]]+Table13345678[[#This Row],[Low P]])/2)*Table13345678[[#This Row],[gammap]]*Table13345678[[#This Row],[Volume9]]*-1</f>
        <v>0</v>
      </c>
      <c r="BE1436">
        <f>(Table13345678[[#This Row],[SgammaC]]+Table13345678[[#This Row],[SgammaP]])*$A$4*-100</f>
        <v>0</v>
      </c>
      <c r="BF1436">
        <f>Table13345678[[#This Row],[DEXc]]+Table13345678[[#This Row],[DEXp]]</f>
        <v>0</v>
      </c>
      <c r="BG1436" s="78">
        <f>IFERROR(Table13345678[[#This Row],[DeltaC]]*Table13345678[[#This Row],[Open.Int]]*$A$4,0)</f>
        <v>0</v>
      </c>
      <c r="BH1436">
        <f>IFERROR(Table13345678[[#This Row],[DeltaP]]*Table13345678[[#This Row],[Open.Int8]]*$A$4,0)</f>
        <v>0</v>
      </c>
      <c r="BI143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6">
        <f ca="1">Table13345678[[#This Row],[charmc]]+Table13345678[[#This Row],[charmp]]</f>
        <v>0</v>
      </c>
      <c r="BL143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6" s="78">
        <f ca="1">Table13345678[[#This Row],[call helper]]+Table13345678[[#This Row],[put helper]]</f>
        <v>0</v>
      </c>
      <c r="BP143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7" spans="1:69" x14ac:dyDescent="0.25">
      <c r="A1437" s="14">
        <f t="shared" ca="1" si="144"/>
        <v>-126.14810350076104</v>
      </c>
      <c r="C1437" s="17"/>
      <c r="D1437" t="str">
        <f>RTD("tos.rtd", , "OPEN_INT", "."&amp;Table13345678[[#This Row],[Ticker]]&amp;Table13345678[[#This Row],[Expiry]]&amp;""&amp;"C"&amp;Table13345678[[#This Row],[Spot]]+Table13345678[[#This Row],[step]])</f>
        <v>N/A</v>
      </c>
      <c r="E143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7" s="17" cm="1">
        <f t="array" aca="1" ref="H1437" ca="1">IndividualLegIVCore($A$4, Table13345678[[#This Row],[Strike]], 0.0411, Table13345678[[#This Row],[T]], ((Table13345678[[#This Row],[BIDC]]+Table13345678[[#This Row],[ASKC]])/2), TRUE)</f>
        <v>0.01</v>
      </c>
      <c r="I143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7" s="17"/>
      <c r="M1437" s="1">
        <f t="shared" si="145"/>
        <v>0</v>
      </c>
      <c r="N1437" t="b">
        <f t="shared" si="146"/>
        <v>0</v>
      </c>
      <c r="P1437" s="17" cm="1">
        <f t="array" aca="1" ref="P1437" ca="1">IndividualLegIVCore($A$4, Table13345678[[#This Row],[Strike]], 0.0411, Table13345678[[#This Row],[T]], ((Table13345678[[#This Row],[BIDP]]+Table13345678[[#This Row],[ASKP]])/2), FALSE)</f>
        <v>0.01</v>
      </c>
      <c r="Q143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7" s="17"/>
      <c r="T143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7" s="19">
        <f>-47* IF($M$1="NDX", 10, IF(OR($M$1="SPX", $M$1="RUT"), 2, 1))</f>
        <v>-94</v>
      </c>
      <c r="Z1437">
        <f ca="1">IFERROR(Table13345678[[#This Row],[call gamma]]*(Table13345678[[#This Row],[Open.Int]])*$A$4^2,0)</f>
        <v>0</v>
      </c>
      <c r="AA1437">
        <f ca="1">IFERROR(((Table13345678[[#This Row],[Open.Int8]])*Table13345678[[#This Row],[Put gamma]])*-1*$A$4^2,0)</f>
        <v>0</v>
      </c>
      <c r="AB1437">
        <f ca="1">(Table13345678[[#This Row],[Call Gex]]+Table13345678[[#This Row],[Put Gex]])</f>
        <v>0</v>
      </c>
      <c r="AC1437">
        <f ca="1">Table13345678[[#This Row],[put delta adj]]+Table13345678[[#This Row],[call delta adj]]</f>
        <v>0</v>
      </c>
      <c r="AD1437">
        <f ca="1">Table13345678[[#This Row],[Put Gex]]*Table13345678[[#This Row],[DeltaP]]*-1</f>
        <v>0</v>
      </c>
      <c r="AE1437">
        <f ca="1">Table13345678[[#This Row],[Call Gex]]*Table13345678[[#This Row],[DeltaC]]</f>
        <v>0</v>
      </c>
      <c r="AF1437">
        <f>IF(Table13345678[[#This Row],[DeltaC]]-ABS(Table13345678[[#This Row],[DeltaP]])="0","0.01",Table13345678[[#This Row],[DeltaC]]-ABS(Table13345678[[#This Row],[DeltaP]]))</f>
        <v>0</v>
      </c>
      <c r="AG143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7" t="e">
        <f ca="1">(EXP(-(AG1437^2)/2)/SQRT(2*PI())*EXP(0*SQRT(Table13345678[[#This Row],[T]]))/$A$4*18%*SQRT(SQRT(Table13345678[[#This Row],[T]])))</f>
        <v>#DIV/0!</v>
      </c>
      <c r="AJ1437" t="e">
        <f ca="1">(EXP(-(AH1437^2)/2)/SQRT(2*PI())*EXP(0*SQRT(Table13345678[[#This Row],[T]]))/$A$4*18%*SQRT(SQRT(Table13345678[[#This Row],[T]])))</f>
        <v>#DIV/0!</v>
      </c>
      <c r="AK1437" t="e">
        <f ca="1">Table13345678[[#This Row],[Call D1]]-Table13345678[[#This Row],[IV Calc C]]*SQRT(Table13345678[[#This Row],[T]])</f>
        <v>#DIV/0!</v>
      </c>
      <c r="AL1437" t="e">
        <f ca="1">Table13345678[[#This Row],[Put D1]]-Table13345678[[#This Row],[IV Calc P]]*SQRT(Table13345678[[#This Row],[T]])</f>
        <v>#DIV/0!</v>
      </c>
      <c r="AM1437" t="e">
        <f ca="1">EXP(-0.5*Table13345678[[#This Row],[Call D1]]^2)/SQRT(2*PI())</f>
        <v>#DIV/0!</v>
      </c>
      <c r="AN1437" t="e">
        <f ca="1">EXP(-0.5*Table13345678[[#This Row],[Put D1]]^2)/SQRT(2*PI())</f>
        <v>#DIV/0!</v>
      </c>
      <c r="AO143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7">
        <f ca="1">((Table13345678[[#This Row],[call vanna]]+Table13345678[[#This Row],[put vanna]])*$A$4)</f>
        <v>0</v>
      </c>
      <c r="AR143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7" s="9" t="str" cm="1">
        <f t="array" ref="AT1437">_xlfn.IFS(     $M$1="SPX","SPXW",     $M$1="RUT","RUTW",  $M$1="NDX","NDXP",   TRUE,$M$1 )</f>
        <v>SPXW</v>
      </c>
      <c r="AU1437" s="2">
        <f t="shared" si="147"/>
        <v>6915</v>
      </c>
      <c r="AV1437" t="str">
        <f t="shared" si="148"/>
        <v>000100</v>
      </c>
      <c r="AY143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7">
        <f>((Table13345678[[#This Row],[High C]]+Table13345678[[#This Row],[Low C]])/2)*Table13345678[[#This Row],[gammac]]*Table13345678[[#This Row],[Volume]]</f>
        <v>0</v>
      </c>
      <c r="BD1437">
        <f>((Table13345678[[#This Row],[High P]]+Table13345678[[#This Row],[Low P]])/2)*Table13345678[[#This Row],[gammap]]*Table13345678[[#This Row],[Volume9]]*-1</f>
        <v>0</v>
      </c>
      <c r="BE1437">
        <f>(Table13345678[[#This Row],[SgammaC]]+Table13345678[[#This Row],[SgammaP]])*$A$4*-100</f>
        <v>0</v>
      </c>
      <c r="BF1437">
        <f>Table13345678[[#This Row],[DEXc]]+Table13345678[[#This Row],[DEXp]]</f>
        <v>0</v>
      </c>
      <c r="BG1437" s="78">
        <f>IFERROR(Table13345678[[#This Row],[DeltaC]]*Table13345678[[#This Row],[Open.Int]]*$A$4,0)</f>
        <v>0</v>
      </c>
      <c r="BH1437">
        <f>IFERROR(Table13345678[[#This Row],[DeltaP]]*Table13345678[[#This Row],[Open.Int8]]*$A$4,0)</f>
        <v>0</v>
      </c>
      <c r="BI143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7">
        <f ca="1">Table13345678[[#This Row],[charmc]]+Table13345678[[#This Row],[charmp]]</f>
        <v>0</v>
      </c>
      <c r="BL143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7" s="78">
        <f ca="1">Table13345678[[#This Row],[call helper]]+Table13345678[[#This Row],[put helper]]</f>
        <v>0</v>
      </c>
      <c r="BP143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8" spans="1:69" x14ac:dyDescent="0.25">
      <c r="A1438" s="14">
        <f t="shared" ca="1" si="144"/>
        <v>-126.14810350076104</v>
      </c>
      <c r="C1438" s="17"/>
      <c r="D1438" t="str">
        <f>RTD("tos.rtd", , "OPEN_INT", "."&amp;Table13345678[[#This Row],[Ticker]]&amp;Table13345678[[#This Row],[Expiry]]&amp;""&amp;"C"&amp;Table13345678[[#This Row],[Spot]]+Table13345678[[#This Row],[step]])</f>
        <v>N/A</v>
      </c>
      <c r="E143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8" s="17" cm="1">
        <f t="array" aca="1" ref="H1438" ca="1">IndividualLegIVCore($A$4, Table13345678[[#This Row],[Strike]], 0.0411, Table13345678[[#This Row],[T]], ((Table13345678[[#This Row],[BIDC]]+Table13345678[[#This Row],[ASKC]])/2), TRUE)</f>
        <v>0.01</v>
      </c>
      <c r="I143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8" s="17"/>
      <c r="M1438" s="1">
        <f t="shared" si="145"/>
        <v>0</v>
      </c>
      <c r="N1438" t="b">
        <f t="shared" si="146"/>
        <v>0</v>
      </c>
      <c r="P1438" s="17" cm="1">
        <f t="array" aca="1" ref="P1438" ca="1">IndividualLegIVCore($A$4, Table13345678[[#This Row],[Strike]], 0.0411, Table13345678[[#This Row],[T]], ((Table13345678[[#This Row],[BIDP]]+Table13345678[[#This Row],[ASKP]])/2), FALSE)</f>
        <v>0.01</v>
      </c>
      <c r="Q143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8" s="17"/>
      <c r="T143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8" s="19">
        <f>-46.5* IF($M$1="NDX", 10, IF(OR($M$1="SPX", $M$1="RUT"), 2, 1))</f>
        <v>-93</v>
      </c>
      <c r="Z1438">
        <f ca="1">IFERROR(Table13345678[[#This Row],[call gamma]]*(Table13345678[[#This Row],[Open.Int]])*$A$4^2,0)</f>
        <v>0</v>
      </c>
      <c r="AA1438">
        <f ca="1">IFERROR(((Table13345678[[#This Row],[Open.Int8]])*Table13345678[[#This Row],[Put gamma]])*-1*$A$4^2,0)</f>
        <v>0</v>
      </c>
      <c r="AB1438">
        <f ca="1">(Table13345678[[#This Row],[Call Gex]]+Table13345678[[#This Row],[Put Gex]])</f>
        <v>0</v>
      </c>
      <c r="AC1438">
        <f ca="1">Table13345678[[#This Row],[put delta adj]]+Table13345678[[#This Row],[call delta adj]]</f>
        <v>0</v>
      </c>
      <c r="AD1438">
        <f ca="1">Table13345678[[#This Row],[Put Gex]]*Table13345678[[#This Row],[DeltaP]]*-1</f>
        <v>0</v>
      </c>
      <c r="AE1438">
        <f ca="1">Table13345678[[#This Row],[Call Gex]]*Table13345678[[#This Row],[DeltaC]]</f>
        <v>0</v>
      </c>
      <c r="AF1438">
        <f>IF(Table13345678[[#This Row],[DeltaC]]-ABS(Table13345678[[#This Row],[DeltaP]])="0","0.01",Table13345678[[#This Row],[DeltaC]]-ABS(Table13345678[[#This Row],[DeltaP]]))</f>
        <v>0</v>
      </c>
      <c r="AG143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8" t="e">
        <f ca="1">(EXP(-(AG1438^2)/2)/SQRT(2*PI())*EXP(0*SQRT(Table13345678[[#This Row],[T]]))/$A$4*18%*SQRT(SQRT(Table13345678[[#This Row],[T]])))</f>
        <v>#DIV/0!</v>
      </c>
      <c r="AJ1438" t="e">
        <f ca="1">(EXP(-(AH1438^2)/2)/SQRT(2*PI())*EXP(0*SQRT(Table13345678[[#This Row],[T]]))/$A$4*18%*SQRT(SQRT(Table13345678[[#This Row],[T]])))</f>
        <v>#DIV/0!</v>
      </c>
      <c r="AK1438" t="e">
        <f ca="1">Table13345678[[#This Row],[Call D1]]-Table13345678[[#This Row],[IV Calc C]]*SQRT(Table13345678[[#This Row],[T]])</f>
        <v>#DIV/0!</v>
      </c>
      <c r="AL1438" t="e">
        <f ca="1">Table13345678[[#This Row],[Put D1]]-Table13345678[[#This Row],[IV Calc P]]*SQRT(Table13345678[[#This Row],[T]])</f>
        <v>#DIV/0!</v>
      </c>
      <c r="AM1438" t="e">
        <f ca="1">EXP(-0.5*Table13345678[[#This Row],[Call D1]]^2)/SQRT(2*PI())</f>
        <v>#DIV/0!</v>
      </c>
      <c r="AN1438" t="e">
        <f ca="1">EXP(-0.5*Table13345678[[#This Row],[Put D1]]^2)/SQRT(2*PI())</f>
        <v>#DIV/0!</v>
      </c>
      <c r="AO143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8">
        <f ca="1">((Table13345678[[#This Row],[call vanna]]+Table13345678[[#This Row],[put vanna]])*$A$4)</f>
        <v>0</v>
      </c>
      <c r="AR143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8" s="9" t="str" cm="1">
        <f t="array" ref="AT1438">_xlfn.IFS(     $M$1="SPX","SPXW",     $M$1="RUT","RUTW",  $M$1="NDX","NDXP",   TRUE,$M$1 )</f>
        <v>SPXW</v>
      </c>
      <c r="AU1438" s="2">
        <f t="shared" si="147"/>
        <v>6915</v>
      </c>
      <c r="AV1438" t="str">
        <f t="shared" si="148"/>
        <v>000100</v>
      </c>
      <c r="AY143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8">
        <f>((Table13345678[[#This Row],[High C]]+Table13345678[[#This Row],[Low C]])/2)*Table13345678[[#This Row],[gammac]]*Table13345678[[#This Row],[Volume]]</f>
        <v>0</v>
      </c>
      <c r="BD1438">
        <f>((Table13345678[[#This Row],[High P]]+Table13345678[[#This Row],[Low P]])/2)*Table13345678[[#This Row],[gammap]]*Table13345678[[#This Row],[Volume9]]*-1</f>
        <v>0</v>
      </c>
      <c r="BE1438">
        <f>(Table13345678[[#This Row],[SgammaC]]+Table13345678[[#This Row],[SgammaP]])*$A$4*-100</f>
        <v>0</v>
      </c>
      <c r="BF1438">
        <f>Table13345678[[#This Row],[DEXc]]+Table13345678[[#This Row],[DEXp]]</f>
        <v>0</v>
      </c>
      <c r="BG1438" s="78">
        <f>IFERROR(Table13345678[[#This Row],[DeltaC]]*Table13345678[[#This Row],[Open.Int]]*$A$4,0)</f>
        <v>0</v>
      </c>
      <c r="BH1438">
        <f>IFERROR(Table13345678[[#This Row],[DeltaP]]*Table13345678[[#This Row],[Open.Int8]]*$A$4,0)</f>
        <v>0</v>
      </c>
      <c r="BI143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8">
        <f ca="1">Table13345678[[#This Row],[charmc]]+Table13345678[[#This Row],[charmp]]</f>
        <v>0</v>
      </c>
      <c r="BL143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8" s="78">
        <f ca="1">Table13345678[[#This Row],[call helper]]+Table13345678[[#This Row],[put helper]]</f>
        <v>0</v>
      </c>
      <c r="BP143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9" spans="1:69" x14ac:dyDescent="0.25">
      <c r="A1439" s="14">
        <f t="shared" ca="1" si="144"/>
        <v>-126.14810350076104</v>
      </c>
      <c r="C1439" s="17"/>
      <c r="D1439" t="str">
        <f>RTD("tos.rtd", , "OPEN_INT", "."&amp;Table13345678[[#This Row],[Ticker]]&amp;Table13345678[[#This Row],[Expiry]]&amp;""&amp;"C"&amp;Table13345678[[#This Row],[Spot]]+Table13345678[[#This Row],[step]])</f>
        <v>N/A</v>
      </c>
      <c r="E143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9" s="17" cm="1">
        <f t="array" aca="1" ref="H1439" ca="1">IndividualLegIVCore($A$4, Table13345678[[#This Row],[Strike]], 0.0411, Table13345678[[#This Row],[T]], ((Table13345678[[#This Row],[BIDC]]+Table13345678[[#This Row],[ASKC]])/2), TRUE)</f>
        <v>0.01</v>
      </c>
      <c r="I143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9" s="17"/>
      <c r="M1439" s="1">
        <f t="shared" si="145"/>
        <v>0</v>
      </c>
      <c r="N1439" t="b">
        <f t="shared" si="146"/>
        <v>0</v>
      </c>
      <c r="P1439" s="17" cm="1">
        <f t="array" aca="1" ref="P1439" ca="1">IndividualLegIVCore($A$4, Table13345678[[#This Row],[Strike]], 0.0411, Table13345678[[#This Row],[T]], ((Table13345678[[#This Row],[BIDP]]+Table13345678[[#This Row],[ASKP]])/2), FALSE)</f>
        <v>0.01</v>
      </c>
      <c r="Q143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9" s="17"/>
      <c r="T143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9" s="19">
        <f>-46* IF($M$1="NDX", 10, IF(OR($M$1="SPX", $M$1="RUT"), 2, 1))</f>
        <v>-92</v>
      </c>
      <c r="Z1439">
        <f ca="1">IFERROR(Table13345678[[#This Row],[call gamma]]*(Table13345678[[#This Row],[Open.Int]])*$A$4^2,0)</f>
        <v>0</v>
      </c>
      <c r="AA1439">
        <f ca="1">IFERROR(((Table13345678[[#This Row],[Open.Int8]])*Table13345678[[#This Row],[Put gamma]])*-1*$A$4^2,0)</f>
        <v>0</v>
      </c>
      <c r="AB1439">
        <f ca="1">(Table13345678[[#This Row],[Call Gex]]+Table13345678[[#This Row],[Put Gex]])</f>
        <v>0</v>
      </c>
      <c r="AC1439">
        <f ca="1">Table13345678[[#This Row],[put delta adj]]+Table13345678[[#This Row],[call delta adj]]</f>
        <v>0</v>
      </c>
      <c r="AD1439">
        <f ca="1">Table13345678[[#This Row],[Put Gex]]*Table13345678[[#This Row],[DeltaP]]*-1</f>
        <v>0</v>
      </c>
      <c r="AE1439">
        <f ca="1">Table13345678[[#This Row],[Call Gex]]*Table13345678[[#This Row],[DeltaC]]</f>
        <v>0</v>
      </c>
      <c r="AF1439">
        <f>IF(Table13345678[[#This Row],[DeltaC]]-ABS(Table13345678[[#This Row],[DeltaP]])="0","0.01",Table13345678[[#This Row],[DeltaC]]-ABS(Table13345678[[#This Row],[DeltaP]]))</f>
        <v>0</v>
      </c>
      <c r="AG143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9" t="e">
        <f ca="1">(EXP(-(AG1439^2)/2)/SQRT(2*PI())*EXP(0*SQRT(Table13345678[[#This Row],[T]]))/$A$4*18%*SQRT(SQRT(Table13345678[[#This Row],[T]])))</f>
        <v>#DIV/0!</v>
      </c>
      <c r="AJ1439" t="e">
        <f ca="1">(EXP(-(AH1439^2)/2)/SQRT(2*PI())*EXP(0*SQRT(Table13345678[[#This Row],[T]]))/$A$4*18%*SQRT(SQRT(Table13345678[[#This Row],[T]])))</f>
        <v>#DIV/0!</v>
      </c>
      <c r="AK1439" t="e">
        <f ca="1">Table13345678[[#This Row],[Call D1]]-Table13345678[[#This Row],[IV Calc C]]*SQRT(Table13345678[[#This Row],[T]])</f>
        <v>#DIV/0!</v>
      </c>
      <c r="AL1439" t="e">
        <f ca="1">Table13345678[[#This Row],[Put D1]]-Table13345678[[#This Row],[IV Calc P]]*SQRT(Table13345678[[#This Row],[T]])</f>
        <v>#DIV/0!</v>
      </c>
      <c r="AM1439" t="e">
        <f ca="1">EXP(-0.5*Table13345678[[#This Row],[Call D1]]^2)/SQRT(2*PI())</f>
        <v>#DIV/0!</v>
      </c>
      <c r="AN1439" t="e">
        <f ca="1">EXP(-0.5*Table13345678[[#This Row],[Put D1]]^2)/SQRT(2*PI())</f>
        <v>#DIV/0!</v>
      </c>
      <c r="AO143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9">
        <f ca="1">((Table13345678[[#This Row],[call vanna]]+Table13345678[[#This Row],[put vanna]])*$A$4)</f>
        <v>0</v>
      </c>
      <c r="AR143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9" s="9" t="str" cm="1">
        <f t="array" ref="AT1439">_xlfn.IFS(     $M$1="SPX","SPXW",     $M$1="RUT","RUTW",  $M$1="NDX","NDXP",   TRUE,$M$1 )</f>
        <v>SPXW</v>
      </c>
      <c r="AU1439" s="2">
        <f t="shared" si="147"/>
        <v>6915</v>
      </c>
      <c r="AV1439" t="str">
        <f t="shared" si="148"/>
        <v>000100</v>
      </c>
      <c r="AY143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9">
        <f>((Table13345678[[#This Row],[High C]]+Table13345678[[#This Row],[Low C]])/2)*Table13345678[[#This Row],[gammac]]*Table13345678[[#This Row],[Volume]]</f>
        <v>0</v>
      </c>
      <c r="BD1439">
        <f>((Table13345678[[#This Row],[High P]]+Table13345678[[#This Row],[Low P]])/2)*Table13345678[[#This Row],[gammap]]*Table13345678[[#This Row],[Volume9]]*-1</f>
        <v>0</v>
      </c>
      <c r="BE1439">
        <f>(Table13345678[[#This Row],[SgammaC]]+Table13345678[[#This Row],[SgammaP]])*$A$4*-100</f>
        <v>0</v>
      </c>
      <c r="BF1439">
        <f>Table13345678[[#This Row],[DEXc]]+Table13345678[[#This Row],[DEXp]]</f>
        <v>0</v>
      </c>
      <c r="BG1439" s="78">
        <f>IFERROR(Table13345678[[#This Row],[DeltaC]]*Table13345678[[#This Row],[Open.Int]]*$A$4,0)</f>
        <v>0</v>
      </c>
      <c r="BH1439">
        <f>IFERROR(Table13345678[[#This Row],[DeltaP]]*Table13345678[[#This Row],[Open.Int8]]*$A$4,0)</f>
        <v>0</v>
      </c>
      <c r="BI143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9">
        <f ca="1">Table13345678[[#This Row],[charmc]]+Table13345678[[#This Row],[charmp]]</f>
        <v>0</v>
      </c>
      <c r="BL143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9" s="78">
        <f ca="1">Table13345678[[#This Row],[call helper]]+Table13345678[[#This Row],[put helper]]</f>
        <v>0</v>
      </c>
      <c r="BP143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0" spans="1:69" x14ac:dyDescent="0.25">
      <c r="A1440" s="14">
        <f t="shared" ca="1" si="144"/>
        <v>-126.14810350076104</v>
      </c>
      <c r="C1440" s="17"/>
      <c r="D1440" t="str">
        <f>RTD("tos.rtd", , "OPEN_INT", "."&amp;Table13345678[[#This Row],[Ticker]]&amp;Table13345678[[#This Row],[Expiry]]&amp;""&amp;"C"&amp;Table13345678[[#This Row],[Spot]]+Table13345678[[#This Row],[step]])</f>
        <v>N/A</v>
      </c>
      <c r="E144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0" s="17" cm="1">
        <f t="array" aca="1" ref="H1440" ca="1">IndividualLegIVCore($A$4, Table13345678[[#This Row],[Strike]], 0.0411, Table13345678[[#This Row],[T]], ((Table13345678[[#This Row],[BIDC]]+Table13345678[[#This Row],[ASKC]])/2), TRUE)</f>
        <v>0.01</v>
      </c>
      <c r="I144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0" s="17"/>
      <c r="M1440" s="1">
        <f t="shared" si="145"/>
        <v>0</v>
      </c>
      <c r="N1440" t="b">
        <f t="shared" si="146"/>
        <v>0</v>
      </c>
      <c r="P1440" s="17" cm="1">
        <f t="array" aca="1" ref="P1440" ca="1">IndividualLegIVCore($A$4, Table13345678[[#This Row],[Strike]], 0.0411, Table13345678[[#This Row],[T]], ((Table13345678[[#This Row],[BIDP]]+Table13345678[[#This Row],[ASKP]])/2), FALSE)</f>
        <v>0.01</v>
      </c>
      <c r="Q144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0" s="17"/>
      <c r="T144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0" s="19">
        <f>-45.5* IF($M$1="NDX", 10, IF(OR($M$1="SPX", $M$1="RUT"), 2, 1))</f>
        <v>-91</v>
      </c>
      <c r="Z1440">
        <f ca="1">IFERROR(Table13345678[[#This Row],[call gamma]]*(Table13345678[[#This Row],[Open.Int]])*$A$4^2,0)</f>
        <v>0</v>
      </c>
      <c r="AA1440">
        <f ca="1">IFERROR(((Table13345678[[#This Row],[Open.Int8]])*Table13345678[[#This Row],[Put gamma]])*-1*$A$4^2,0)</f>
        <v>0</v>
      </c>
      <c r="AB1440">
        <f ca="1">(Table13345678[[#This Row],[Call Gex]]+Table13345678[[#This Row],[Put Gex]])</f>
        <v>0</v>
      </c>
      <c r="AC1440">
        <f ca="1">Table13345678[[#This Row],[put delta adj]]+Table13345678[[#This Row],[call delta adj]]</f>
        <v>0</v>
      </c>
      <c r="AD1440">
        <f ca="1">Table13345678[[#This Row],[Put Gex]]*Table13345678[[#This Row],[DeltaP]]*-1</f>
        <v>0</v>
      </c>
      <c r="AE1440">
        <f ca="1">Table13345678[[#This Row],[Call Gex]]*Table13345678[[#This Row],[DeltaC]]</f>
        <v>0</v>
      </c>
      <c r="AF1440">
        <f>IF(Table13345678[[#This Row],[DeltaC]]-ABS(Table13345678[[#This Row],[DeltaP]])="0","0.01",Table13345678[[#This Row],[DeltaC]]-ABS(Table13345678[[#This Row],[DeltaP]]))</f>
        <v>0</v>
      </c>
      <c r="AG144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0" t="e">
        <f ca="1">(EXP(-(AG1440^2)/2)/SQRT(2*PI())*EXP(0*SQRT(Table13345678[[#This Row],[T]]))/$A$4*18%*SQRT(SQRT(Table13345678[[#This Row],[T]])))</f>
        <v>#DIV/0!</v>
      </c>
      <c r="AJ1440" t="e">
        <f ca="1">(EXP(-(AH1440^2)/2)/SQRT(2*PI())*EXP(0*SQRT(Table13345678[[#This Row],[T]]))/$A$4*18%*SQRT(SQRT(Table13345678[[#This Row],[T]])))</f>
        <v>#DIV/0!</v>
      </c>
      <c r="AK1440" t="e">
        <f ca="1">Table13345678[[#This Row],[Call D1]]-Table13345678[[#This Row],[IV Calc C]]*SQRT(Table13345678[[#This Row],[T]])</f>
        <v>#DIV/0!</v>
      </c>
      <c r="AL1440" t="e">
        <f ca="1">Table13345678[[#This Row],[Put D1]]-Table13345678[[#This Row],[IV Calc P]]*SQRT(Table13345678[[#This Row],[T]])</f>
        <v>#DIV/0!</v>
      </c>
      <c r="AM1440" t="e">
        <f ca="1">EXP(-0.5*Table13345678[[#This Row],[Call D1]]^2)/SQRT(2*PI())</f>
        <v>#DIV/0!</v>
      </c>
      <c r="AN1440" t="e">
        <f ca="1">EXP(-0.5*Table13345678[[#This Row],[Put D1]]^2)/SQRT(2*PI())</f>
        <v>#DIV/0!</v>
      </c>
      <c r="AO144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0">
        <f ca="1">((Table13345678[[#This Row],[call vanna]]+Table13345678[[#This Row],[put vanna]])*$A$4)</f>
        <v>0</v>
      </c>
      <c r="AR144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0" s="9" t="str" cm="1">
        <f t="array" ref="AT1440">_xlfn.IFS(     $M$1="SPX","SPXW",     $M$1="RUT","RUTW",  $M$1="NDX","NDXP",   TRUE,$M$1 )</f>
        <v>SPXW</v>
      </c>
      <c r="AU1440" s="2">
        <f t="shared" si="147"/>
        <v>6915</v>
      </c>
      <c r="AV1440" t="str">
        <f t="shared" si="148"/>
        <v>000100</v>
      </c>
      <c r="AY144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0">
        <f>((Table13345678[[#This Row],[High C]]+Table13345678[[#This Row],[Low C]])/2)*Table13345678[[#This Row],[gammac]]*Table13345678[[#This Row],[Volume]]</f>
        <v>0</v>
      </c>
      <c r="BD1440">
        <f>((Table13345678[[#This Row],[High P]]+Table13345678[[#This Row],[Low P]])/2)*Table13345678[[#This Row],[gammap]]*Table13345678[[#This Row],[Volume9]]*-1</f>
        <v>0</v>
      </c>
      <c r="BE1440">
        <f>(Table13345678[[#This Row],[SgammaC]]+Table13345678[[#This Row],[SgammaP]])*$A$4*-100</f>
        <v>0</v>
      </c>
      <c r="BF1440">
        <f>Table13345678[[#This Row],[DEXc]]+Table13345678[[#This Row],[DEXp]]</f>
        <v>0</v>
      </c>
      <c r="BG1440" s="78">
        <f>IFERROR(Table13345678[[#This Row],[DeltaC]]*Table13345678[[#This Row],[Open.Int]]*$A$4,0)</f>
        <v>0</v>
      </c>
      <c r="BH1440">
        <f>IFERROR(Table13345678[[#This Row],[DeltaP]]*Table13345678[[#This Row],[Open.Int8]]*$A$4,0)</f>
        <v>0</v>
      </c>
      <c r="BI144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0">
        <f ca="1">Table13345678[[#This Row],[charmc]]+Table13345678[[#This Row],[charmp]]</f>
        <v>0</v>
      </c>
      <c r="BL144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0" s="78">
        <f ca="1">Table13345678[[#This Row],[call helper]]+Table13345678[[#This Row],[put helper]]</f>
        <v>0</v>
      </c>
      <c r="BP144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1" spans="1:68" x14ac:dyDescent="0.25">
      <c r="A1441" s="14">
        <f t="shared" ca="1" si="144"/>
        <v>-126.14810350076104</v>
      </c>
      <c r="C1441" s="17"/>
      <c r="D1441" t="str">
        <f>RTD("tos.rtd", , "OPEN_INT", "."&amp;Table13345678[[#This Row],[Ticker]]&amp;Table13345678[[#This Row],[Expiry]]&amp;""&amp;"C"&amp;Table13345678[[#This Row],[Spot]]+Table13345678[[#This Row],[step]])</f>
        <v>N/A</v>
      </c>
      <c r="E144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1" s="17" cm="1">
        <f t="array" aca="1" ref="H1441" ca="1">IndividualLegIVCore($A$4, Table13345678[[#This Row],[Strike]], 0.0411, Table13345678[[#This Row],[T]], ((Table13345678[[#This Row],[BIDC]]+Table13345678[[#This Row],[ASKC]])/2), TRUE)</f>
        <v>0.01</v>
      </c>
      <c r="I144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1" s="17"/>
      <c r="M1441" s="1">
        <f t="shared" si="145"/>
        <v>0</v>
      </c>
      <c r="N1441" t="b">
        <f t="shared" si="146"/>
        <v>0</v>
      </c>
      <c r="P1441" s="17" cm="1">
        <f t="array" aca="1" ref="P1441" ca="1">IndividualLegIVCore($A$4, Table13345678[[#This Row],[Strike]], 0.0411, Table13345678[[#This Row],[T]], ((Table13345678[[#This Row],[BIDP]]+Table13345678[[#This Row],[ASKP]])/2), FALSE)</f>
        <v>0.01</v>
      </c>
      <c r="Q144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1" s="17"/>
      <c r="T144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1" s="19">
        <f>-45* IF($M$1="NDX", 10, IF(OR($M$1="SPX", $M$1="RUT"), 2, 1))</f>
        <v>-90</v>
      </c>
      <c r="Z1441">
        <f ca="1">IFERROR(Table13345678[[#This Row],[call gamma]]*(Table13345678[[#This Row],[Open.Int]])*$A$4^2,0)</f>
        <v>0</v>
      </c>
      <c r="AA1441">
        <f ca="1">IFERROR(((Table13345678[[#This Row],[Open.Int8]])*Table13345678[[#This Row],[Put gamma]])*-1*$A$4^2,0)</f>
        <v>0</v>
      </c>
      <c r="AB1441">
        <f ca="1">(Table13345678[[#This Row],[Call Gex]]+Table13345678[[#This Row],[Put Gex]])</f>
        <v>0</v>
      </c>
      <c r="AC1441">
        <f ca="1">Table13345678[[#This Row],[put delta adj]]+Table13345678[[#This Row],[call delta adj]]</f>
        <v>0</v>
      </c>
      <c r="AD1441">
        <f ca="1">Table13345678[[#This Row],[Put Gex]]*Table13345678[[#This Row],[DeltaP]]*-1</f>
        <v>0</v>
      </c>
      <c r="AE1441">
        <f ca="1">Table13345678[[#This Row],[Call Gex]]*Table13345678[[#This Row],[DeltaC]]</f>
        <v>0</v>
      </c>
      <c r="AF1441">
        <f>IF(Table13345678[[#This Row],[DeltaC]]-ABS(Table13345678[[#This Row],[DeltaP]])="0","0.01",Table13345678[[#This Row],[DeltaC]]-ABS(Table13345678[[#This Row],[DeltaP]]))</f>
        <v>0</v>
      </c>
      <c r="AG144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1" t="e">
        <f ca="1">(EXP(-(AG1441^2)/2)/SQRT(2*PI())*EXP(0*SQRT(Table13345678[[#This Row],[T]]))/$A$4*18%*SQRT(SQRT(Table13345678[[#This Row],[T]])))</f>
        <v>#DIV/0!</v>
      </c>
      <c r="AJ1441" t="e">
        <f ca="1">(EXP(-(AH1441^2)/2)/SQRT(2*PI())*EXP(0*SQRT(Table13345678[[#This Row],[T]]))/$A$4*18%*SQRT(SQRT(Table13345678[[#This Row],[T]])))</f>
        <v>#DIV/0!</v>
      </c>
      <c r="AK1441" t="e">
        <f ca="1">Table13345678[[#This Row],[Call D1]]-Table13345678[[#This Row],[IV Calc C]]*SQRT(Table13345678[[#This Row],[T]])</f>
        <v>#DIV/0!</v>
      </c>
      <c r="AL1441" t="e">
        <f ca="1">Table13345678[[#This Row],[Put D1]]-Table13345678[[#This Row],[IV Calc P]]*SQRT(Table13345678[[#This Row],[T]])</f>
        <v>#DIV/0!</v>
      </c>
      <c r="AM1441" t="e">
        <f ca="1">EXP(-0.5*Table13345678[[#This Row],[Call D1]]^2)/SQRT(2*PI())</f>
        <v>#DIV/0!</v>
      </c>
      <c r="AN1441" t="e">
        <f ca="1">EXP(-0.5*Table13345678[[#This Row],[Put D1]]^2)/SQRT(2*PI())</f>
        <v>#DIV/0!</v>
      </c>
      <c r="AO144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1">
        <f ca="1">((Table13345678[[#This Row],[call vanna]]+Table13345678[[#This Row],[put vanna]])*$A$4)</f>
        <v>0</v>
      </c>
      <c r="AR144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1" s="9" t="str" cm="1">
        <f t="array" ref="AT1441">_xlfn.IFS(     $M$1="SPX","SPXW",     $M$1="RUT","RUTW",  $M$1="NDX","NDXP",   TRUE,$M$1 )</f>
        <v>SPXW</v>
      </c>
      <c r="AU1441" s="2">
        <f t="shared" si="147"/>
        <v>6915</v>
      </c>
      <c r="AV1441" t="str">
        <f t="shared" si="148"/>
        <v>000100</v>
      </c>
      <c r="AY144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1">
        <f>((Table13345678[[#This Row],[High C]]+Table13345678[[#This Row],[Low C]])/2)*Table13345678[[#This Row],[gammac]]*Table13345678[[#This Row],[Volume]]</f>
        <v>0</v>
      </c>
      <c r="BD1441">
        <f>((Table13345678[[#This Row],[High P]]+Table13345678[[#This Row],[Low P]])/2)*Table13345678[[#This Row],[gammap]]*Table13345678[[#This Row],[Volume9]]*-1</f>
        <v>0</v>
      </c>
      <c r="BE1441">
        <f>(Table13345678[[#This Row],[SgammaC]]+Table13345678[[#This Row],[SgammaP]])*$A$4*-100</f>
        <v>0</v>
      </c>
      <c r="BF1441">
        <f>Table13345678[[#This Row],[DEXc]]+Table13345678[[#This Row],[DEXp]]</f>
        <v>0</v>
      </c>
      <c r="BG1441" s="78">
        <f>IFERROR(Table13345678[[#This Row],[DeltaC]]*Table13345678[[#This Row],[Open.Int]]*$A$4,0)</f>
        <v>0</v>
      </c>
      <c r="BH1441">
        <f>IFERROR(Table13345678[[#This Row],[DeltaP]]*Table13345678[[#This Row],[Open.Int8]]*$A$4,0)</f>
        <v>0</v>
      </c>
      <c r="BI144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1">
        <f ca="1">Table13345678[[#This Row],[charmc]]+Table13345678[[#This Row],[charmp]]</f>
        <v>0</v>
      </c>
      <c r="BL144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1" s="78">
        <f ca="1">Table13345678[[#This Row],[call helper]]+Table13345678[[#This Row],[put helper]]</f>
        <v>0</v>
      </c>
      <c r="BP144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2" spans="1:68" x14ac:dyDescent="0.25">
      <c r="A1442" s="14">
        <f t="shared" ca="1" si="144"/>
        <v>-126.14810350076104</v>
      </c>
      <c r="C1442" s="17"/>
      <c r="D1442" t="str">
        <f>RTD("tos.rtd", , "OPEN_INT", "."&amp;Table13345678[[#This Row],[Ticker]]&amp;Table13345678[[#This Row],[Expiry]]&amp;""&amp;"C"&amp;Table13345678[[#This Row],[Spot]]+Table13345678[[#This Row],[step]])</f>
        <v>N/A</v>
      </c>
      <c r="E144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2" s="17" cm="1">
        <f t="array" aca="1" ref="H1442" ca="1">IndividualLegIVCore($A$4, Table13345678[[#This Row],[Strike]], 0.0411, Table13345678[[#This Row],[T]], ((Table13345678[[#This Row],[BIDC]]+Table13345678[[#This Row],[ASKC]])/2), TRUE)</f>
        <v>0.01</v>
      </c>
      <c r="I144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2" s="17"/>
      <c r="M1442" s="1">
        <f t="shared" si="145"/>
        <v>0</v>
      </c>
      <c r="N1442" t="b">
        <f t="shared" si="146"/>
        <v>0</v>
      </c>
      <c r="P1442" s="17" cm="1">
        <f t="array" aca="1" ref="P1442" ca="1">IndividualLegIVCore($A$4, Table13345678[[#This Row],[Strike]], 0.0411, Table13345678[[#This Row],[T]], ((Table13345678[[#This Row],[BIDP]]+Table13345678[[#This Row],[ASKP]])/2), FALSE)</f>
        <v>0.01</v>
      </c>
      <c r="Q144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2" s="17"/>
      <c r="T144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2" s="19">
        <f>-44.5* IF($M$1="NDX", 10, IF(OR($M$1="SPX", $M$1="RUT"), 2, 1))</f>
        <v>-89</v>
      </c>
      <c r="Z1442">
        <f ca="1">IFERROR(Table13345678[[#This Row],[call gamma]]*(Table13345678[[#This Row],[Open.Int]])*$A$4^2,0)</f>
        <v>0</v>
      </c>
      <c r="AA1442">
        <f ca="1">IFERROR(((Table13345678[[#This Row],[Open.Int8]])*Table13345678[[#This Row],[Put gamma]])*-1*$A$4^2,0)</f>
        <v>0</v>
      </c>
      <c r="AB1442">
        <f ca="1">(Table13345678[[#This Row],[Call Gex]]+Table13345678[[#This Row],[Put Gex]])</f>
        <v>0</v>
      </c>
      <c r="AC1442">
        <f ca="1">Table13345678[[#This Row],[put delta adj]]+Table13345678[[#This Row],[call delta adj]]</f>
        <v>0</v>
      </c>
      <c r="AD1442">
        <f ca="1">Table13345678[[#This Row],[Put Gex]]*Table13345678[[#This Row],[DeltaP]]*-1</f>
        <v>0</v>
      </c>
      <c r="AE1442">
        <f ca="1">Table13345678[[#This Row],[Call Gex]]*Table13345678[[#This Row],[DeltaC]]</f>
        <v>0</v>
      </c>
      <c r="AF1442">
        <f>IF(Table13345678[[#This Row],[DeltaC]]-ABS(Table13345678[[#This Row],[DeltaP]])="0","0.01",Table13345678[[#This Row],[DeltaC]]-ABS(Table13345678[[#This Row],[DeltaP]]))</f>
        <v>0</v>
      </c>
      <c r="AG144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2" t="e">
        <f ca="1">(EXP(-(AG1442^2)/2)/SQRT(2*PI())*EXP(0*SQRT(Table13345678[[#This Row],[T]]))/$A$4*18%*SQRT(SQRT(Table13345678[[#This Row],[T]])))</f>
        <v>#DIV/0!</v>
      </c>
      <c r="AJ1442" t="e">
        <f ca="1">(EXP(-(AH1442^2)/2)/SQRT(2*PI())*EXP(0*SQRT(Table13345678[[#This Row],[T]]))/$A$4*18%*SQRT(SQRT(Table13345678[[#This Row],[T]])))</f>
        <v>#DIV/0!</v>
      </c>
      <c r="AK1442" t="e">
        <f ca="1">Table13345678[[#This Row],[Call D1]]-Table13345678[[#This Row],[IV Calc C]]*SQRT(Table13345678[[#This Row],[T]])</f>
        <v>#DIV/0!</v>
      </c>
      <c r="AL1442" t="e">
        <f ca="1">Table13345678[[#This Row],[Put D1]]-Table13345678[[#This Row],[IV Calc P]]*SQRT(Table13345678[[#This Row],[T]])</f>
        <v>#DIV/0!</v>
      </c>
      <c r="AM1442" t="e">
        <f ca="1">EXP(-0.5*Table13345678[[#This Row],[Call D1]]^2)/SQRT(2*PI())</f>
        <v>#DIV/0!</v>
      </c>
      <c r="AN1442" t="e">
        <f ca="1">EXP(-0.5*Table13345678[[#This Row],[Put D1]]^2)/SQRT(2*PI())</f>
        <v>#DIV/0!</v>
      </c>
      <c r="AO144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2">
        <f ca="1">((Table13345678[[#This Row],[call vanna]]+Table13345678[[#This Row],[put vanna]])*$A$4)</f>
        <v>0</v>
      </c>
      <c r="AR144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2" s="9" t="str" cm="1">
        <f t="array" ref="AT1442">_xlfn.IFS(     $M$1="SPX","SPXW",     $M$1="RUT","RUTW",  $M$1="NDX","NDXP",   TRUE,$M$1 )</f>
        <v>SPXW</v>
      </c>
      <c r="AU1442" s="2">
        <f t="shared" si="147"/>
        <v>6915</v>
      </c>
      <c r="AV1442" t="str">
        <f t="shared" si="148"/>
        <v>000100</v>
      </c>
      <c r="AY144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2">
        <f>((Table13345678[[#This Row],[High C]]+Table13345678[[#This Row],[Low C]])/2)*Table13345678[[#This Row],[gammac]]*Table13345678[[#This Row],[Volume]]</f>
        <v>0</v>
      </c>
      <c r="BD1442">
        <f>((Table13345678[[#This Row],[High P]]+Table13345678[[#This Row],[Low P]])/2)*Table13345678[[#This Row],[gammap]]*Table13345678[[#This Row],[Volume9]]*-1</f>
        <v>0</v>
      </c>
      <c r="BE1442">
        <f>(Table13345678[[#This Row],[SgammaC]]+Table13345678[[#This Row],[SgammaP]])*$A$4*-100</f>
        <v>0</v>
      </c>
      <c r="BF1442">
        <f>Table13345678[[#This Row],[DEXc]]+Table13345678[[#This Row],[DEXp]]</f>
        <v>0</v>
      </c>
      <c r="BG1442" s="78">
        <f>IFERROR(Table13345678[[#This Row],[DeltaC]]*Table13345678[[#This Row],[Open.Int]]*$A$4,0)</f>
        <v>0</v>
      </c>
      <c r="BH1442">
        <f>IFERROR(Table13345678[[#This Row],[DeltaP]]*Table13345678[[#This Row],[Open.Int8]]*$A$4,0)</f>
        <v>0</v>
      </c>
      <c r="BI144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2">
        <f ca="1">Table13345678[[#This Row],[charmc]]+Table13345678[[#This Row],[charmp]]</f>
        <v>0</v>
      </c>
      <c r="BL144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2" s="78">
        <f ca="1">Table13345678[[#This Row],[call helper]]+Table13345678[[#This Row],[put helper]]</f>
        <v>0</v>
      </c>
      <c r="BP144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3" spans="1:68" x14ac:dyDescent="0.25">
      <c r="A1443" s="14">
        <f t="shared" ca="1" si="144"/>
        <v>-126.14810350076104</v>
      </c>
      <c r="C1443" s="17"/>
      <c r="D1443" t="str">
        <f>RTD("tos.rtd", , "OPEN_INT", "."&amp;Table13345678[[#This Row],[Ticker]]&amp;Table13345678[[#This Row],[Expiry]]&amp;""&amp;"C"&amp;Table13345678[[#This Row],[Spot]]+Table13345678[[#This Row],[step]])</f>
        <v>N/A</v>
      </c>
      <c r="E144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3" s="17" cm="1">
        <f t="array" aca="1" ref="H1443" ca="1">IndividualLegIVCore($A$4, Table13345678[[#This Row],[Strike]], 0.0411, Table13345678[[#This Row],[T]], ((Table13345678[[#This Row],[BIDC]]+Table13345678[[#This Row],[ASKC]])/2), TRUE)</f>
        <v>0.01</v>
      </c>
      <c r="I144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3" s="17"/>
      <c r="M1443" s="1">
        <f t="shared" si="145"/>
        <v>0</v>
      </c>
      <c r="N1443" t="b">
        <f t="shared" si="146"/>
        <v>0</v>
      </c>
      <c r="P1443" s="17" cm="1">
        <f t="array" aca="1" ref="P1443" ca="1">IndividualLegIVCore($A$4, Table13345678[[#This Row],[Strike]], 0.0411, Table13345678[[#This Row],[T]], ((Table13345678[[#This Row],[BIDP]]+Table13345678[[#This Row],[ASKP]])/2), FALSE)</f>
        <v>0.01</v>
      </c>
      <c r="Q144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3" s="17"/>
      <c r="T144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3" s="19">
        <f>-44* IF($M$1="NDX", 10, IF(OR($M$1="SPX", $M$1="RUT"), 2, 1))</f>
        <v>-88</v>
      </c>
      <c r="Z1443">
        <f ca="1">IFERROR(Table13345678[[#This Row],[call gamma]]*(Table13345678[[#This Row],[Open.Int]])*$A$4^2,0)</f>
        <v>0</v>
      </c>
      <c r="AA1443">
        <f ca="1">IFERROR(((Table13345678[[#This Row],[Open.Int8]])*Table13345678[[#This Row],[Put gamma]])*-1*$A$4^2,0)</f>
        <v>0</v>
      </c>
      <c r="AB1443">
        <f ca="1">(Table13345678[[#This Row],[Call Gex]]+Table13345678[[#This Row],[Put Gex]])</f>
        <v>0</v>
      </c>
      <c r="AC1443">
        <f ca="1">Table13345678[[#This Row],[put delta adj]]+Table13345678[[#This Row],[call delta adj]]</f>
        <v>0</v>
      </c>
      <c r="AD1443">
        <f ca="1">Table13345678[[#This Row],[Put Gex]]*Table13345678[[#This Row],[DeltaP]]*-1</f>
        <v>0</v>
      </c>
      <c r="AE1443">
        <f ca="1">Table13345678[[#This Row],[Call Gex]]*Table13345678[[#This Row],[DeltaC]]</f>
        <v>0</v>
      </c>
      <c r="AF1443">
        <f>IF(Table13345678[[#This Row],[DeltaC]]-ABS(Table13345678[[#This Row],[DeltaP]])="0","0.01",Table13345678[[#This Row],[DeltaC]]-ABS(Table13345678[[#This Row],[DeltaP]]))</f>
        <v>0</v>
      </c>
      <c r="AG144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3" t="e">
        <f ca="1">(EXP(-(AG1443^2)/2)/SQRT(2*PI())*EXP(0*SQRT(Table13345678[[#This Row],[T]]))/$A$4*18%*SQRT(SQRT(Table13345678[[#This Row],[T]])))</f>
        <v>#DIV/0!</v>
      </c>
      <c r="AJ1443" t="e">
        <f ca="1">(EXP(-(AH1443^2)/2)/SQRT(2*PI())*EXP(0*SQRT(Table13345678[[#This Row],[T]]))/$A$4*18%*SQRT(SQRT(Table13345678[[#This Row],[T]])))</f>
        <v>#DIV/0!</v>
      </c>
      <c r="AK1443" t="e">
        <f ca="1">Table13345678[[#This Row],[Call D1]]-Table13345678[[#This Row],[IV Calc C]]*SQRT(Table13345678[[#This Row],[T]])</f>
        <v>#DIV/0!</v>
      </c>
      <c r="AL1443" t="e">
        <f ca="1">Table13345678[[#This Row],[Put D1]]-Table13345678[[#This Row],[IV Calc P]]*SQRT(Table13345678[[#This Row],[T]])</f>
        <v>#DIV/0!</v>
      </c>
      <c r="AM1443" t="e">
        <f ca="1">EXP(-0.5*Table13345678[[#This Row],[Call D1]]^2)/SQRT(2*PI())</f>
        <v>#DIV/0!</v>
      </c>
      <c r="AN1443" t="e">
        <f ca="1">EXP(-0.5*Table13345678[[#This Row],[Put D1]]^2)/SQRT(2*PI())</f>
        <v>#DIV/0!</v>
      </c>
      <c r="AO144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3">
        <f ca="1">((Table13345678[[#This Row],[call vanna]]+Table13345678[[#This Row],[put vanna]])*$A$4)</f>
        <v>0</v>
      </c>
      <c r="AR144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3" s="9" t="str" cm="1">
        <f t="array" ref="AT1443">_xlfn.IFS(     $M$1="SPX","SPXW",     $M$1="RUT","RUTW",  $M$1="NDX","NDXP",   TRUE,$M$1 )</f>
        <v>SPXW</v>
      </c>
      <c r="AU1443" s="2">
        <f t="shared" si="147"/>
        <v>6915</v>
      </c>
      <c r="AV1443" t="str">
        <f t="shared" si="148"/>
        <v>000100</v>
      </c>
      <c r="AY144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3">
        <f>((Table13345678[[#This Row],[High C]]+Table13345678[[#This Row],[Low C]])/2)*Table13345678[[#This Row],[gammac]]*Table13345678[[#This Row],[Volume]]</f>
        <v>0</v>
      </c>
      <c r="BD1443">
        <f>((Table13345678[[#This Row],[High P]]+Table13345678[[#This Row],[Low P]])/2)*Table13345678[[#This Row],[gammap]]*Table13345678[[#This Row],[Volume9]]*-1</f>
        <v>0</v>
      </c>
      <c r="BE1443">
        <f>(Table13345678[[#This Row],[SgammaC]]+Table13345678[[#This Row],[SgammaP]])*$A$4*-100</f>
        <v>0</v>
      </c>
      <c r="BF1443">
        <f>Table13345678[[#This Row],[DEXc]]+Table13345678[[#This Row],[DEXp]]</f>
        <v>0</v>
      </c>
      <c r="BG1443" s="78">
        <f>IFERROR(Table13345678[[#This Row],[DeltaC]]*Table13345678[[#This Row],[Open.Int]]*$A$4,0)</f>
        <v>0</v>
      </c>
      <c r="BH1443">
        <f>IFERROR(Table13345678[[#This Row],[DeltaP]]*Table13345678[[#This Row],[Open.Int8]]*$A$4,0)</f>
        <v>0</v>
      </c>
      <c r="BI144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3">
        <f ca="1">Table13345678[[#This Row],[charmc]]+Table13345678[[#This Row],[charmp]]</f>
        <v>0</v>
      </c>
      <c r="BL144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3" s="78">
        <f ca="1">Table13345678[[#This Row],[call helper]]+Table13345678[[#This Row],[put helper]]</f>
        <v>0</v>
      </c>
      <c r="BP144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4" spans="1:68" x14ac:dyDescent="0.25">
      <c r="A1444" s="14">
        <f t="shared" ca="1" si="144"/>
        <v>-126.14810350076104</v>
      </c>
      <c r="C1444" s="17"/>
      <c r="D1444" t="str">
        <f>RTD("tos.rtd", , "OPEN_INT", "."&amp;Table13345678[[#This Row],[Ticker]]&amp;Table13345678[[#This Row],[Expiry]]&amp;""&amp;"C"&amp;Table13345678[[#This Row],[Spot]]+Table13345678[[#This Row],[step]])</f>
        <v>N/A</v>
      </c>
      <c r="E144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4" s="17" cm="1">
        <f t="array" aca="1" ref="H1444" ca="1">IndividualLegIVCore($A$4, Table13345678[[#This Row],[Strike]], 0.0411, Table13345678[[#This Row],[T]], ((Table13345678[[#This Row],[BIDC]]+Table13345678[[#This Row],[ASKC]])/2), TRUE)</f>
        <v>0.01</v>
      </c>
      <c r="I144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4" s="17"/>
      <c r="M1444" s="1">
        <f t="shared" si="145"/>
        <v>0</v>
      </c>
      <c r="N1444" t="b">
        <f t="shared" si="146"/>
        <v>0</v>
      </c>
      <c r="P1444" s="17" cm="1">
        <f t="array" aca="1" ref="P1444" ca="1">IndividualLegIVCore($A$4, Table13345678[[#This Row],[Strike]], 0.0411, Table13345678[[#This Row],[T]], ((Table13345678[[#This Row],[BIDP]]+Table13345678[[#This Row],[ASKP]])/2), FALSE)</f>
        <v>0.01</v>
      </c>
      <c r="Q144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4" s="17"/>
      <c r="T144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4" s="19">
        <f>-43.5* IF($M$1="NDX", 10, IF(OR($M$1="SPX", $M$1="RUT"), 2, 1))</f>
        <v>-87</v>
      </c>
      <c r="Z1444">
        <f ca="1">IFERROR(Table13345678[[#This Row],[call gamma]]*(Table13345678[[#This Row],[Open.Int]])*$A$4^2,0)</f>
        <v>0</v>
      </c>
      <c r="AA1444">
        <f ca="1">IFERROR(((Table13345678[[#This Row],[Open.Int8]])*Table13345678[[#This Row],[Put gamma]])*-1*$A$4^2,0)</f>
        <v>0</v>
      </c>
      <c r="AB1444">
        <f ca="1">(Table13345678[[#This Row],[Call Gex]]+Table13345678[[#This Row],[Put Gex]])</f>
        <v>0</v>
      </c>
      <c r="AC1444">
        <f ca="1">Table13345678[[#This Row],[put delta adj]]+Table13345678[[#This Row],[call delta adj]]</f>
        <v>0</v>
      </c>
      <c r="AD1444">
        <f ca="1">Table13345678[[#This Row],[Put Gex]]*Table13345678[[#This Row],[DeltaP]]*-1</f>
        <v>0</v>
      </c>
      <c r="AE1444">
        <f ca="1">Table13345678[[#This Row],[Call Gex]]*Table13345678[[#This Row],[DeltaC]]</f>
        <v>0</v>
      </c>
      <c r="AF1444">
        <f>IF(Table13345678[[#This Row],[DeltaC]]-ABS(Table13345678[[#This Row],[DeltaP]])="0","0.01",Table13345678[[#This Row],[DeltaC]]-ABS(Table13345678[[#This Row],[DeltaP]]))</f>
        <v>0</v>
      </c>
      <c r="AG144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4" t="e">
        <f ca="1">(EXP(-(AG1444^2)/2)/SQRT(2*PI())*EXP(0*SQRT(Table13345678[[#This Row],[T]]))/$A$4*18%*SQRT(SQRT(Table13345678[[#This Row],[T]])))</f>
        <v>#DIV/0!</v>
      </c>
      <c r="AJ1444" t="e">
        <f ca="1">(EXP(-(AH1444^2)/2)/SQRT(2*PI())*EXP(0*SQRT(Table13345678[[#This Row],[T]]))/$A$4*18%*SQRT(SQRT(Table13345678[[#This Row],[T]])))</f>
        <v>#DIV/0!</v>
      </c>
      <c r="AK1444" t="e">
        <f ca="1">Table13345678[[#This Row],[Call D1]]-Table13345678[[#This Row],[IV Calc C]]*SQRT(Table13345678[[#This Row],[T]])</f>
        <v>#DIV/0!</v>
      </c>
      <c r="AL1444" t="e">
        <f ca="1">Table13345678[[#This Row],[Put D1]]-Table13345678[[#This Row],[IV Calc P]]*SQRT(Table13345678[[#This Row],[T]])</f>
        <v>#DIV/0!</v>
      </c>
      <c r="AM1444" t="e">
        <f ca="1">EXP(-0.5*Table13345678[[#This Row],[Call D1]]^2)/SQRT(2*PI())</f>
        <v>#DIV/0!</v>
      </c>
      <c r="AN1444" t="e">
        <f ca="1">EXP(-0.5*Table13345678[[#This Row],[Put D1]]^2)/SQRT(2*PI())</f>
        <v>#DIV/0!</v>
      </c>
      <c r="AO144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4">
        <f ca="1">((Table13345678[[#This Row],[call vanna]]+Table13345678[[#This Row],[put vanna]])*$A$4)</f>
        <v>0</v>
      </c>
      <c r="AR144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4" s="9" t="str" cm="1">
        <f t="array" ref="AT1444">_xlfn.IFS(     $M$1="SPX","SPXW",     $M$1="RUT","RUTW",  $M$1="NDX","NDXP",   TRUE,$M$1 )</f>
        <v>SPXW</v>
      </c>
      <c r="AU1444" s="2">
        <f t="shared" si="147"/>
        <v>6915</v>
      </c>
      <c r="AV1444" t="str">
        <f t="shared" si="148"/>
        <v>000100</v>
      </c>
      <c r="AY144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4">
        <f>((Table13345678[[#This Row],[High C]]+Table13345678[[#This Row],[Low C]])/2)*Table13345678[[#This Row],[gammac]]*Table13345678[[#This Row],[Volume]]</f>
        <v>0</v>
      </c>
      <c r="BD1444">
        <f>((Table13345678[[#This Row],[High P]]+Table13345678[[#This Row],[Low P]])/2)*Table13345678[[#This Row],[gammap]]*Table13345678[[#This Row],[Volume9]]*-1</f>
        <v>0</v>
      </c>
      <c r="BE1444">
        <f>(Table13345678[[#This Row],[SgammaC]]+Table13345678[[#This Row],[SgammaP]])*$A$4*-100</f>
        <v>0</v>
      </c>
      <c r="BF1444">
        <f>Table13345678[[#This Row],[DEXc]]+Table13345678[[#This Row],[DEXp]]</f>
        <v>0</v>
      </c>
      <c r="BG1444" s="78">
        <f>IFERROR(Table13345678[[#This Row],[DeltaC]]*Table13345678[[#This Row],[Open.Int]]*$A$4,0)</f>
        <v>0</v>
      </c>
      <c r="BH1444">
        <f>IFERROR(Table13345678[[#This Row],[DeltaP]]*Table13345678[[#This Row],[Open.Int8]]*$A$4,0)</f>
        <v>0</v>
      </c>
      <c r="BI144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4">
        <f ca="1">Table13345678[[#This Row],[charmc]]+Table13345678[[#This Row],[charmp]]</f>
        <v>0</v>
      </c>
      <c r="BL144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4" s="78">
        <f ca="1">Table13345678[[#This Row],[call helper]]+Table13345678[[#This Row],[put helper]]</f>
        <v>0</v>
      </c>
      <c r="BP144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5" spans="1:68" x14ac:dyDescent="0.25">
      <c r="A1445" s="14">
        <f t="shared" ca="1" si="144"/>
        <v>-126.14810350076104</v>
      </c>
      <c r="C1445" s="17"/>
      <c r="D1445" t="str">
        <f>RTD("tos.rtd", , "OPEN_INT", "."&amp;Table13345678[[#This Row],[Ticker]]&amp;Table13345678[[#This Row],[Expiry]]&amp;""&amp;"C"&amp;Table13345678[[#This Row],[Spot]]+Table13345678[[#This Row],[step]])</f>
        <v>N/A</v>
      </c>
      <c r="E144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5" s="17" cm="1">
        <f t="array" aca="1" ref="H1445" ca="1">IndividualLegIVCore($A$4, Table13345678[[#This Row],[Strike]], 0.0411, Table13345678[[#This Row],[T]], ((Table13345678[[#This Row],[BIDC]]+Table13345678[[#This Row],[ASKC]])/2), TRUE)</f>
        <v>0.01</v>
      </c>
      <c r="I144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5" s="17"/>
      <c r="M1445" s="1">
        <f t="shared" si="145"/>
        <v>0</v>
      </c>
      <c r="N1445" t="b">
        <f t="shared" si="146"/>
        <v>0</v>
      </c>
      <c r="P1445" s="17" cm="1">
        <f t="array" aca="1" ref="P1445" ca="1">IndividualLegIVCore($A$4, Table13345678[[#This Row],[Strike]], 0.0411, Table13345678[[#This Row],[T]], ((Table13345678[[#This Row],[BIDP]]+Table13345678[[#This Row],[ASKP]])/2), FALSE)</f>
        <v>0.01</v>
      </c>
      <c r="Q144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5" s="17"/>
      <c r="T144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5" s="19">
        <f>-43* IF($M$1="NDX", 10, IF(OR($M$1="SPX", $M$1="RUT"), 2, 1))</f>
        <v>-86</v>
      </c>
      <c r="Z1445">
        <f ca="1">IFERROR(Table13345678[[#This Row],[call gamma]]*(Table13345678[[#This Row],[Open.Int]])*$A$4^2,0)</f>
        <v>0</v>
      </c>
      <c r="AA1445">
        <f ca="1">IFERROR(((Table13345678[[#This Row],[Open.Int8]])*Table13345678[[#This Row],[Put gamma]])*-1*$A$4^2,0)</f>
        <v>0</v>
      </c>
      <c r="AB1445">
        <f ca="1">(Table13345678[[#This Row],[Call Gex]]+Table13345678[[#This Row],[Put Gex]])</f>
        <v>0</v>
      </c>
      <c r="AC1445">
        <f ca="1">Table13345678[[#This Row],[put delta adj]]+Table13345678[[#This Row],[call delta adj]]</f>
        <v>0</v>
      </c>
      <c r="AD1445">
        <f ca="1">Table13345678[[#This Row],[Put Gex]]*Table13345678[[#This Row],[DeltaP]]*-1</f>
        <v>0</v>
      </c>
      <c r="AE1445">
        <f ca="1">Table13345678[[#This Row],[Call Gex]]*Table13345678[[#This Row],[DeltaC]]</f>
        <v>0</v>
      </c>
      <c r="AF1445">
        <f>IF(Table13345678[[#This Row],[DeltaC]]-ABS(Table13345678[[#This Row],[DeltaP]])="0","0.01",Table13345678[[#This Row],[DeltaC]]-ABS(Table13345678[[#This Row],[DeltaP]]))</f>
        <v>0</v>
      </c>
      <c r="AG144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5" t="e">
        <f ca="1">(EXP(-(AG1445^2)/2)/SQRT(2*PI())*EXP(0*SQRT(Table13345678[[#This Row],[T]]))/$A$4*18%*SQRT(SQRT(Table13345678[[#This Row],[T]])))</f>
        <v>#DIV/0!</v>
      </c>
      <c r="AJ1445" t="e">
        <f ca="1">(EXP(-(AH1445^2)/2)/SQRT(2*PI())*EXP(0*SQRT(Table13345678[[#This Row],[T]]))/$A$4*18%*SQRT(SQRT(Table13345678[[#This Row],[T]])))</f>
        <v>#DIV/0!</v>
      </c>
      <c r="AK1445" t="e">
        <f ca="1">Table13345678[[#This Row],[Call D1]]-Table13345678[[#This Row],[IV Calc C]]*SQRT(Table13345678[[#This Row],[T]])</f>
        <v>#DIV/0!</v>
      </c>
      <c r="AL1445" t="e">
        <f ca="1">Table13345678[[#This Row],[Put D1]]-Table13345678[[#This Row],[IV Calc P]]*SQRT(Table13345678[[#This Row],[T]])</f>
        <v>#DIV/0!</v>
      </c>
      <c r="AM1445" t="e">
        <f ca="1">EXP(-0.5*Table13345678[[#This Row],[Call D1]]^2)/SQRT(2*PI())</f>
        <v>#DIV/0!</v>
      </c>
      <c r="AN1445" t="e">
        <f ca="1">EXP(-0.5*Table13345678[[#This Row],[Put D1]]^2)/SQRT(2*PI())</f>
        <v>#DIV/0!</v>
      </c>
      <c r="AO144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5">
        <f ca="1">((Table13345678[[#This Row],[call vanna]]+Table13345678[[#This Row],[put vanna]])*$A$4)</f>
        <v>0</v>
      </c>
      <c r="AR144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5" s="9" t="str" cm="1">
        <f t="array" ref="AT1445">_xlfn.IFS(     $M$1="SPX","SPXW",     $M$1="RUT","RUTW",  $M$1="NDX","NDXP",   TRUE,$M$1 )</f>
        <v>SPXW</v>
      </c>
      <c r="AU1445" s="2">
        <f t="shared" si="147"/>
        <v>6915</v>
      </c>
      <c r="AV1445" t="str">
        <f t="shared" si="148"/>
        <v>000100</v>
      </c>
      <c r="AY144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5">
        <f>((Table13345678[[#This Row],[High C]]+Table13345678[[#This Row],[Low C]])/2)*Table13345678[[#This Row],[gammac]]*Table13345678[[#This Row],[Volume]]</f>
        <v>0</v>
      </c>
      <c r="BD1445">
        <f>((Table13345678[[#This Row],[High P]]+Table13345678[[#This Row],[Low P]])/2)*Table13345678[[#This Row],[gammap]]*Table13345678[[#This Row],[Volume9]]*-1</f>
        <v>0</v>
      </c>
      <c r="BE1445">
        <f>(Table13345678[[#This Row],[SgammaC]]+Table13345678[[#This Row],[SgammaP]])*$A$4*-100</f>
        <v>0</v>
      </c>
      <c r="BF1445">
        <f>Table13345678[[#This Row],[DEXc]]+Table13345678[[#This Row],[DEXp]]</f>
        <v>0</v>
      </c>
      <c r="BG1445" s="78">
        <f>IFERROR(Table13345678[[#This Row],[DeltaC]]*Table13345678[[#This Row],[Open.Int]]*$A$4,0)</f>
        <v>0</v>
      </c>
      <c r="BH1445">
        <f>IFERROR(Table13345678[[#This Row],[DeltaP]]*Table13345678[[#This Row],[Open.Int8]]*$A$4,0)</f>
        <v>0</v>
      </c>
      <c r="BI144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5">
        <f ca="1">Table13345678[[#This Row],[charmc]]+Table13345678[[#This Row],[charmp]]</f>
        <v>0</v>
      </c>
      <c r="BL144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5" s="78">
        <f ca="1">Table13345678[[#This Row],[call helper]]+Table13345678[[#This Row],[put helper]]</f>
        <v>0</v>
      </c>
      <c r="BP144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6" spans="1:68" x14ac:dyDescent="0.25">
      <c r="A1446" s="14">
        <f t="shared" ca="1" si="144"/>
        <v>-126.14810350076104</v>
      </c>
      <c r="C1446" s="17"/>
      <c r="D1446" t="str">
        <f>RTD("tos.rtd", , "OPEN_INT", "."&amp;Table13345678[[#This Row],[Ticker]]&amp;Table13345678[[#This Row],[Expiry]]&amp;""&amp;"C"&amp;Table13345678[[#This Row],[Spot]]+Table13345678[[#This Row],[step]])</f>
        <v>N/A</v>
      </c>
      <c r="E144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6" s="17" cm="1">
        <f t="array" aca="1" ref="H1446" ca="1">IndividualLegIVCore($A$4, Table13345678[[#This Row],[Strike]], 0.0411, Table13345678[[#This Row],[T]], ((Table13345678[[#This Row],[BIDC]]+Table13345678[[#This Row],[ASKC]])/2), TRUE)</f>
        <v>0.01</v>
      </c>
      <c r="I144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6" s="17"/>
      <c r="M1446" s="1">
        <f t="shared" si="145"/>
        <v>0</v>
      </c>
      <c r="N1446" t="b">
        <f t="shared" si="146"/>
        <v>0</v>
      </c>
      <c r="P1446" s="17" cm="1">
        <f t="array" aca="1" ref="P1446" ca="1">IndividualLegIVCore($A$4, Table13345678[[#This Row],[Strike]], 0.0411, Table13345678[[#This Row],[T]], ((Table13345678[[#This Row],[BIDP]]+Table13345678[[#This Row],[ASKP]])/2), FALSE)</f>
        <v>0.01</v>
      </c>
      <c r="Q144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6" s="17"/>
      <c r="T144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6" s="19">
        <f>-42.5* IF($M$1="NDX", 10, IF(OR($M$1="SPX", $M$1="RUT"), 2, 1))</f>
        <v>-85</v>
      </c>
      <c r="Z1446">
        <f ca="1">IFERROR(Table13345678[[#This Row],[call gamma]]*(Table13345678[[#This Row],[Open.Int]])*$A$4^2,0)</f>
        <v>0</v>
      </c>
      <c r="AA1446">
        <f ca="1">IFERROR(((Table13345678[[#This Row],[Open.Int8]])*Table13345678[[#This Row],[Put gamma]])*-1*$A$4^2,0)</f>
        <v>0</v>
      </c>
      <c r="AB1446">
        <f ca="1">(Table13345678[[#This Row],[Call Gex]]+Table13345678[[#This Row],[Put Gex]])</f>
        <v>0</v>
      </c>
      <c r="AC1446">
        <f ca="1">Table13345678[[#This Row],[put delta adj]]+Table13345678[[#This Row],[call delta adj]]</f>
        <v>0</v>
      </c>
      <c r="AD1446">
        <f ca="1">Table13345678[[#This Row],[Put Gex]]*Table13345678[[#This Row],[DeltaP]]*-1</f>
        <v>0</v>
      </c>
      <c r="AE1446">
        <f ca="1">Table13345678[[#This Row],[Call Gex]]*Table13345678[[#This Row],[DeltaC]]</f>
        <v>0</v>
      </c>
      <c r="AF1446">
        <f>IF(Table13345678[[#This Row],[DeltaC]]-ABS(Table13345678[[#This Row],[DeltaP]])="0","0.01",Table13345678[[#This Row],[DeltaC]]-ABS(Table13345678[[#This Row],[DeltaP]]))</f>
        <v>0</v>
      </c>
      <c r="AG144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6" t="e">
        <f ca="1">(EXP(-(AG1446^2)/2)/SQRT(2*PI())*EXP(0*SQRT(Table13345678[[#This Row],[T]]))/$A$4*18%*SQRT(SQRT(Table13345678[[#This Row],[T]])))</f>
        <v>#DIV/0!</v>
      </c>
      <c r="AJ1446" t="e">
        <f ca="1">(EXP(-(AH1446^2)/2)/SQRT(2*PI())*EXP(0*SQRT(Table13345678[[#This Row],[T]]))/$A$4*18%*SQRT(SQRT(Table13345678[[#This Row],[T]])))</f>
        <v>#DIV/0!</v>
      </c>
      <c r="AK1446" t="e">
        <f ca="1">Table13345678[[#This Row],[Call D1]]-Table13345678[[#This Row],[IV Calc C]]*SQRT(Table13345678[[#This Row],[T]])</f>
        <v>#DIV/0!</v>
      </c>
      <c r="AL1446" t="e">
        <f ca="1">Table13345678[[#This Row],[Put D1]]-Table13345678[[#This Row],[IV Calc P]]*SQRT(Table13345678[[#This Row],[T]])</f>
        <v>#DIV/0!</v>
      </c>
      <c r="AM1446" t="e">
        <f ca="1">EXP(-0.5*Table13345678[[#This Row],[Call D1]]^2)/SQRT(2*PI())</f>
        <v>#DIV/0!</v>
      </c>
      <c r="AN1446" t="e">
        <f ca="1">EXP(-0.5*Table13345678[[#This Row],[Put D1]]^2)/SQRT(2*PI())</f>
        <v>#DIV/0!</v>
      </c>
      <c r="AO144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6">
        <f ca="1">((Table13345678[[#This Row],[call vanna]]+Table13345678[[#This Row],[put vanna]])*$A$4)</f>
        <v>0</v>
      </c>
      <c r="AR144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6" s="9" t="str" cm="1">
        <f t="array" ref="AT1446">_xlfn.IFS(     $M$1="SPX","SPXW",     $M$1="RUT","RUTW",  $M$1="NDX","NDXP",   TRUE,$M$1 )</f>
        <v>SPXW</v>
      </c>
      <c r="AU1446" s="2">
        <f t="shared" si="147"/>
        <v>6915</v>
      </c>
      <c r="AV1446" t="str">
        <f t="shared" si="148"/>
        <v>000100</v>
      </c>
      <c r="AY144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6">
        <f>((Table13345678[[#This Row],[High C]]+Table13345678[[#This Row],[Low C]])/2)*Table13345678[[#This Row],[gammac]]*Table13345678[[#This Row],[Volume]]</f>
        <v>0</v>
      </c>
      <c r="BD1446">
        <f>((Table13345678[[#This Row],[High P]]+Table13345678[[#This Row],[Low P]])/2)*Table13345678[[#This Row],[gammap]]*Table13345678[[#This Row],[Volume9]]*-1</f>
        <v>0</v>
      </c>
      <c r="BE1446">
        <f>(Table13345678[[#This Row],[SgammaC]]+Table13345678[[#This Row],[SgammaP]])*$A$4*-100</f>
        <v>0</v>
      </c>
      <c r="BF1446">
        <f>Table13345678[[#This Row],[DEXc]]+Table13345678[[#This Row],[DEXp]]</f>
        <v>0</v>
      </c>
      <c r="BG1446" s="78">
        <f>IFERROR(Table13345678[[#This Row],[DeltaC]]*Table13345678[[#This Row],[Open.Int]]*$A$4,0)</f>
        <v>0</v>
      </c>
      <c r="BH1446">
        <f>IFERROR(Table13345678[[#This Row],[DeltaP]]*Table13345678[[#This Row],[Open.Int8]]*$A$4,0)</f>
        <v>0</v>
      </c>
      <c r="BI144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6">
        <f ca="1">Table13345678[[#This Row],[charmc]]+Table13345678[[#This Row],[charmp]]</f>
        <v>0</v>
      </c>
      <c r="BL144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6" s="78">
        <f ca="1">Table13345678[[#This Row],[call helper]]+Table13345678[[#This Row],[put helper]]</f>
        <v>0</v>
      </c>
      <c r="BP144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7" spans="1:68" x14ac:dyDescent="0.25">
      <c r="A1447" s="14">
        <f t="shared" ca="1" si="144"/>
        <v>-126.14810350076104</v>
      </c>
      <c r="C1447" s="17"/>
      <c r="D1447" t="str">
        <f>RTD("tos.rtd", , "OPEN_INT", "."&amp;Table13345678[[#This Row],[Ticker]]&amp;Table13345678[[#This Row],[Expiry]]&amp;""&amp;"C"&amp;Table13345678[[#This Row],[Spot]]+Table13345678[[#This Row],[step]])</f>
        <v>N/A</v>
      </c>
      <c r="E144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7" s="17" cm="1">
        <f t="array" aca="1" ref="H1447" ca="1">IndividualLegIVCore($A$4, Table13345678[[#This Row],[Strike]], 0.0411, Table13345678[[#This Row],[T]], ((Table13345678[[#This Row],[BIDC]]+Table13345678[[#This Row],[ASKC]])/2), TRUE)</f>
        <v>0.01</v>
      </c>
      <c r="I144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7" s="17"/>
      <c r="M1447" s="1">
        <f t="shared" si="145"/>
        <v>0</v>
      </c>
      <c r="N1447" t="b">
        <f t="shared" si="146"/>
        <v>0</v>
      </c>
      <c r="P1447" s="17" cm="1">
        <f t="array" aca="1" ref="P1447" ca="1">IndividualLegIVCore($A$4, Table13345678[[#This Row],[Strike]], 0.0411, Table13345678[[#This Row],[T]], ((Table13345678[[#This Row],[BIDP]]+Table13345678[[#This Row],[ASKP]])/2), FALSE)</f>
        <v>0.01</v>
      </c>
      <c r="Q144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7" s="17"/>
      <c r="T144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7" s="19">
        <f>-42* IF($M$1="NDX", 10, IF(OR($M$1="SPX", $M$1="RUT"), 2, 1))</f>
        <v>-84</v>
      </c>
      <c r="Z1447">
        <f ca="1">IFERROR(Table13345678[[#This Row],[call gamma]]*(Table13345678[[#This Row],[Open.Int]])*$A$4^2,0)</f>
        <v>0</v>
      </c>
      <c r="AA1447">
        <f ca="1">IFERROR(((Table13345678[[#This Row],[Open.Int8]])*Table13345678[[#This Row],[Put gamma]])*-1*$A$4^2,0)</f>
        <v>0</v>
      </c>
      <c r="AB1447">
        <f ca="1">(Table13345678[[#This Row],[Call Gex]]+Table13345678[[#This Row],[Put Gex]])</f>
        <v>0</v>
      </c>
      <c r="AC1447">
        <f ca="1">Table13345678[[#This Row],[put delta adj]]+Table13345678[[#This Row],[call delta adj]]</f>
        <v>0</v>
      </c>
      <c r="AD1447">
        <f ca="1">Table13345678[[#This Row],[Put Gex]]*Table13345678[[#This Row],[DeltaP]]*-1</f>
        <v>0</v>
      </c>
      <c r="AE1447">
        <f ca="1">Table13345678[[#This Row],[Call Gex]]*Table13345678[[#This Row],[DeltaC]]</f>
        <v>0</v>
      </c>
      <c r="AF1447">
        <f>IF(Table13345678[[#This Row],[DeltaC]]-ABS(Table13345678[[#This Row],[DeltaP]])="0","0.01",Table13345678[[#This Row],[DeltaC]]-ABS(Table13345678[[#This Row],[DeltaP]]))</f>
        <v>0</v>
      </c>
      <c r="AG144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7" t="e">
        <f ca="1">(EXP(-(AG1447^2)/2)/SQRT(2*PI())*EXP(0*SQRT(Table13345678[[#This Row],[T]]))/$A$4*18%*SQRT(SQRT(Table13345678[[#This Row],[T]])))</f>
        <v>#DIV/0!</v>
      </c>
      <c r="AJ1447" t="e">
        <f ca="1">(EXP(-(AH1447^2)/2)/SQRT(2*PI())*EXP(0*SQRT(Table13345678[[#This Row],[T]]))/$A$4*18%*SQRT(SQRT(Table13345678[[#This Row],[T]])))</f>
        <v>#DIV/0!</v>
      </c>
      <c r="AK1447" t="e">
        <f ca="1">Table13345678[[#This Row],[Call D1]]-Table13345678[[#This Row],[IV Calc C]]*SQRT(Table13345678[[#This Row],[T]])</f>
        <v>#DIV/0!</v>
      </c>
      <c r="AL1447" t="e">
        <f ca="1">Table13345678[[#This Row],[Put D1]]-Table13345678[[#This Row],[IV Calc P]]*SQRT(Table13345678[[#This Row],[T]])</f>
        <v>#DIV/0!</v>
      </c>
      <c r="AM1447" t="e">
        <f ca="1">EXP(-0.5*Table13345678[[#This Row],[Call D1]]^2)/SQRT(2*PI())</f>
        <v>#DIV/0!</v>
      </c>
      <c r="AN1447" t="e">
        <f ca="1">EXP(-0.5*Table13345678[[#This Row],[Put D1]]^2)/SQRT(2*PI())</f>
        <v>#DIV/0!</v>
      </c>
      <c r="AO144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7">
        <f ca="1">((Table13345678[[#This Row],[call vanna]]+Table13345678[[#This Row],[put vanna]])*$A$4)</f>
        <v>0</v>
      </c>
      <c r="AR144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7" s="9" t="str" cm="1">
        <f t="array" ref="AT1447">_xlfn.IFS(     $M$1="SPX","SPXW",     $M$1="RUT","RUTW",  $M$1="NDX","NDXP",   TRUE,$M$1 )</f>
        <v>SPXW</v>
      </c>
      <c r="AU1447" s="2">
        <f t="shared" si="147"/>
        <v>6915</v>
      </c>
      <c r="AV1447" t="str">
        <f t="shared" si="148"/>
        <v>000100</v>
      </c>
      <c r="AY144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7">
        <f>((Table13345678[[#This Row],[High C]]+Table13345678[[#This Row],[Low C]])/2)*Table13345678[[#This Row],[gammac]]*Table13345678[[#This Row],[Volume]]</f>
        <v>0</v>
      </c>
      <c r="BD1447">
        <f>((Table13345678[[#This Row],[High P]]+Table13345678[[#This Row],[Low P]])/2)*Table13345678[[#This Row],[gammap]]*Table13345678[[#This Row],[Volume9]]*-1</f>
        <v>0</v>
      </c>
      <c r="BE1447">
        <f>(Table13345678[[#This Row],[SgammaC]]+Table13345678[[#This Row],[SgammaP]])*$A$4*-100</f>
        <v>0</v>
      </c>
      <c r="BF1447">
        <f>Table13345678[[#This Row],[DEXc]]+Table13345678[[#This Row],[DEXp]]</f>
        <v>0</v>
      </c>
      <c r="BG1447" s="78">
        <f>IFERROR(Table13345678[[#This Row],[DeltaC]]*Table13345678[[#This Row],[Open.Int]]*$A$4,0)</f>
        <v>0</v>
      </c>
      <c r="BH1447">
        <f>IFERROR(Table13345678[[#This Row],[DeltaP]]*Table13345678[[#This Row],[Open.Int8]]*$A$4,0)</f>
        <v>0</v>
      </c>
      <c r="BI144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7">
        <f ca="1">Table13345678[[#This Row],[charmc]]+Table13345678[[#This Row],[charmp]]</f>
        <v>0</v>
      </c>
      <c r="BL144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7" s="78">
        <f ca="1">Table13345678[[#This Row],[call helper]]+Table13345678[[#This Row],[put helper]]</f>
        <v>0</v>
      </c>
      <c r="BP144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8" spans="1:68" x14ac:dyDescent="0.25">
      <c r="A1448" s="14">
        <f t="shared" ca="1" si="144"/>
        <v>-126.14810350076104</v>
      </c>
      <c r="C1448" s="17"/>
      <c r="D1448" t="str">
        <f>RTD("tos.rtd", , "OPEN_INT", "."&amp;Table13345678[[#This Row],[Ticker]]&amp;Table13345678[[#This Row],[Expiry]]&amp;""&amp;"C"&amp;Table13345678[[#This Row],[Spot]]+Table13345678[[#This Row],[step]])</f>
        <v>N/A</v>
      </c>
      <c r="E144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8" s="17" cm="1">
        <f t="array" aca="1" ref="H1448" ca="1">IndividualLegIVCore($A$4, Table13345678[[#This Row],[Strike]], 0.0411, Table13345678[[#This Row],[T]], ((Table13345678[[#This Row],[BIDC]]+Table13345678[[#This Row],[ASKC]])/2), TRUE)</f>
        <v>0.01</v>
      </c>
      <c r="I144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8" s="17"/>
      <c r="M1448" s="1">
        <f t="shared" si="145"/>
        <v>0</v>
      </c>
      <c r="N1448" t="b">
        <f t="shared" si="146"/>
        <v>0</v>
      </c>
      <c r="P1448" s="17" cm="1">
        <f t="array" aca="1" ref="P1448" ca="1">IndividualLegIVCore($A$4, Table13345678[[#This Row],[Strike]], 0.0411, Table13345678[[#This Row],[T]], ((Table13345678[[#This Row],[BIDP]]+Table13345678[[#This Row],[ASKP]])/2), FALSE)</f>
        <v>0.01</v>
      </c>
      <c r="Q144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8" s="17"/>
      <c r="T144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8" s="19">
        <f>-41.5* IF($M$1="NDX", 10, IF(OR($M$1="SPX", $M$1="RUT"), 2, 1))</f>
        <v>-83</v>
      </c>
      <c r="Z1448">
        <f ca="1">IFERROR(Table13345678[[#This Row],[call gamma]]*(Table13345678[[#This Row],[Open.Int]])*$A$4^2,0)</f>
        <v>0</v>
      </c>
      <c r="AA1448">
        <f ca="1">IFERROR(((Table13345678[[#This Row],[Open.Int8]])*Table13345678[[#This Row],[Put gamma]])*-1*$A$4^2,0)</f>
        <v>0</v>
      </c>
      <c r="AB1448">
        <f ca="1">(Table13345678[[#This Row],[Call Gex]]+Table13345678[[#This Row],[Put Gex]])</f>
        <v>0</v>
      </c>
      <c r="AC1448">
        <f ca="1">Table13345678[[#This Row],[put delta adj]]+Table13345678[[#This Row],[call delta adj]]</f>
        <v>0</v>
      </c>
      <c r="AD1448">
        <f ca="1">Table13345678[[#This Row],[Put Gex]]*Table13345678[[#This Row],[DeltaP]]*-1</f>
        <v>0</v>
      </c>
      <c r="AE1448">
        <f ca="1">Table13345678[[#This Row],[Call Gex]]*Table13345678[[#This Row],[DeltaC]]</f>
        <v>0</v>
      </c>
      <c r="AF1448">
        <f>IF(Table13345678[[#This Row],[DeltaC]]-ABS(Table13345678[[#This Row],[DeltaP]])="0","0.01",Table13345678[[#This Row],[DeltaC]]-ABS(Table13345678[[#This Row],[DeltaP]]))</f>
        <v>0</v>
      </c>
      <c r="AG144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8" t="e">
        <f ca="1">(EXP(-(AG1448^2)/2)/SQRT(2*PI())*EXP(0*SQRT(Table13345678[[#This Row],[T]]))/$A$4*18%*SQRT(SQRT(Table13345678[[#This Row],[T]])))</f>
        <v>#DIV/0!</v>
      </c>
      <c r="AJ1448" t="e">
        <f ca="1">(EXP(-(AH1448^2)/2)/SQRT(2*PI())*EXP(0*SQRT(Table13345678[[#This Row],[T]]))/$A$4*18%*SQRT(SQRT(Table13345678[[#This Row],[T]])))</f>
        <v>#DIV/0!</v>
      </c>
      <c r="AK1448" t="e">
        <f ca="1">Table13345678[[#This Row],[Call D1]]-Table13345678[[#This Row],[IV Calc C]]*SQRT(Table13345678[[#This Row],[T]])</f>
        <v>#DIV/0!</v>
      </c>
      <c r="AL1448" t="e">
        <f ca="1">Table13345678[[#This Row],[Put D1]]-Table13345678[[#This Row],[IV Calc P]]*SQRT(Table13345678[[#This Row],[T]])</f>
        <v>#DIV/0!</v>
      </c>
      <c r="AM1448" t="e">
        <f ca="1">EXP(-0.5*Table13345678[[#This Row],[Call D1]]^2)/SQRT(2*PI())</f>
        <v>#DIV/0!</v>
      </c>
      <c r="AN1448" t="e">
        <f ca="1">EXP(-0.5*Table13345678[[#This Row],[Put D1]]^2)/SQRT(2*PI())</f>
        <v>#DIV/0!</v>
      </c>
      <c r="AO144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8">
        <f ca="1">((Table13345678[[#This Row],[call vanna]]+Table13345678[[#This Row],[put vanna]])*$A$4)</f>
        <v>0</v>
      </c>
      <c r="AR144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8" s="9" t="str" cm="1">
        <f t="array" ref="AT1448">_xlfn.IFS(     $M$1="SPX","SPXW",     $M$1="RUT","RUTW",  $M$1="NDX","NDXP",   TRUE,$M$1 )</f>
        <v>SPXW</v>
      </c>
      <c r="AU1448" s="2">
        <f t="shared" si="147"/>
        <v>6915</v>
      </c>
      <c r="AV1448" t="str">
        <f t="shared" si="148"/>
        <v>000100</v>
      </c>
      <c r="AY144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8">
        <f>((Table13345678[[#This Row],[High C]]+Table13345678[[#This Row],[Low C]])/2)*Table13345678[[#This Row],[gammac]]*Table13345678[[#This Row],[Volume]]</f>
        <v>0</v>
      </c>
      <c r="BD1448">
        <f>((Table13345678[[#This Row],[High P]]+Table13345678[[#This Row],[Low P]])/2)*Table13345678[[#This Row],[gammap]]*Table13345678[[#This Row],[Volume9]]*-1</f>
        <v>0</v>
      </c>
      <c r="BE1448">
        <f>(Table13345678[[#This Row],[SgammaC]]+Table13345678[[#This Row],[SgammaP]])*$A$4*-100</f>
        <v>0</v>
      </c>
      <c r="BF1448">
        <f>Table13345678[[#This Row],[DEXc]]+Table13345678[[#This Row],[DEXp]]</f>
        <v>0</v>
      </c>
      <c r="BG1448" s="78">
        <f>IFERROR(Table13345678[[#This Row],[DeltaC]]*Table13345678[[#This Row],[Open.Int]]*$A$4,0)</f>
        <v>0</v>
      </c>
      <c r="BH1448">
        <f>IFERROR(Table13345678[[#This Row],[DeltaP]]*Table13345678[[#This Row],[Open.Int8]]*$A$4,0)</f>
        <v>0</v>
      </c>
      <c r="BI144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8">
        <f ca="1">Table13345678[[#This Row],[charmc]]+Table13345678[[#This Row],[charmp]]</f>
        <v>0</v>
      </c>
      <c r="BL144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8" s="78">
        <f ca="1">Table13345678[[#This Row],[call helper]]+Table13345678[[#This Row],[put helper]]</f>
        <v>0</v>
      </c>
      <c r="BP144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9" spans="1:68" x14ac:dyDescent="0.25">
      <c r="A1449" s="14">
        <f t="shared" ca="1" si="144"/>
        <v>-126.14810350076104</v>
      </c>
      <c r="C1449" s="17"/>
      <c r="D1449" t="str">
        <f>RTD("tos.rtd", , "OPEN_INT", "."&amp;Table13345678[[#This Row],[Ticker]]&amp;Table13345678[[#This Row],[Expiry]]&amp;""&amp;"C"&amp;Table13345678[[#This Row],[Spot]]+Table13345678[[#This Row],[step]])</f>
        <v>N/A</v>
      </c>
      <c r="E144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9" s="17" cm="1">
        <f t="array" aca="1" ref="H1449" ca="1">IndividualLegIVCore($A$4, Table13345678[[#This Row],[Strike]], 0.0411, Table13345678[[#This Row],[T]], ((Table13345678[[#This Row],[BIDC]]+Table13345678[[#This Row],[ASKC]])/2), TRUE)</f>
        <v>0.01</v>
      </c>
      <c r="I144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9" s="17"/>
      <c r="M1449" s="1">
        <f t="shared" si="145"/>
        <v>0</v>
      </c>
      <c r="N1449" t="b">
        <f t="shared" si="146"/>
        <v>0</v>
      </c>
      <c r="P1449" s="17" cm="1">
        <f t="array" aca="1" ref="P1449" ca="1">IndividualLegIVCore($A$4, Table13345678[[#This Row],[Strike]], 0.0411, Table13345678[[#This Row],[T]], ((Table13345678[[#This Row],[BIDP]]+Table13345678[[#This Row],[ASKP]])/2), FALSE)</f>
        <v>0.01</v>
      </c>
      <c r="Q144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9" s="17"/>
      <c r="T144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9" s="19">
        <f>-41* IF($M$1="NDX", 10, IF(OR($M$1="SPX", $M$1="RUT"), 2, 1))</f>
        <v>-82</v>
      </c>
      <c r="Z1449">
        <f ca="1">IFERROR(Table13345678[[#This Row],[call gamma]]*(Table13345678[[#This Row],[Open.Int]])*$A$4^2,0)</f>
        <v>0</v>
      </c>
      <c r="AA1449">
        <f ca="1">IFERROR(((Table13345678[[#This Row],[Open.Int8]])*Table13345678[[#This Row],[Put gamma]])*-1*$A$4^2,0)</f>
        <v>0</v>
      </c>
      <c r="AB1449">
        <f ca="1">(Table13345678[[#This Row],[Call Gex]]+Table13345678[[#This Row],[Put Gex]])</f>
        <v>0</v>
      </c>
      <c r="AC1449">
        <f ca="1">Table13345678[[#This Row],[put delta adj]]+Table13345678[[#This Row],[call delta adj]]</f>
        <v>0</v>
      </c>
      <c r="AD1449">
        <f ca="1">Table13345678[[#This Row],[Put Gex]]*Table13345678[[#This Row],[DeltaP]]*-1</f>
        <v>0</v>
      </c>
      <c r="AE1449">
        <f ca="1">Table13345678[[#This Row],[Call Gex]]*Table13345678[[#This Row],[DeltaC]]</f>
        <v>0</v>
      </c>
      <c r="AF1449">
        <f>IF(Table13345678[[#This Row],[DeltaC]]-ABS(Table13345678[[#This Row],[DeltaP]])="0","0.01",Table13345678[[#This Row],[DeltaC]]-ABS(Table13345678[[#This Row],[DeltaP]]))</f>
        <v>0</v>
      </c>
      <c r="AG144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9" t="e">
        <f ca="1">(EXP(-(AG1449^2)/2)/SQRT(2*PI())*EXP(0*SQRT(Table13345678[[#This Row],[T]]))/$A$4*18%*SQRT(SQRT(Table13345678[[#This Row],[T]])))</f>
        <v>#DIV/0!</v>
      </c>
      <c r="AJ1449" t="e">
        <f ca="1">(EXP(-(AH1449^2)/2)/SQRT(2*PI())*EXP(0*SQRT(Table13345678[[#This Row],[T]]))/$A$4*18%*SQRT(SQRT(Table13345678[[#This Row],[T]])))</f>
        <v>#DIV/0!</v>
      </c>
      <c r="AK1449" t="e">
        <f ca="1">Table13345678[[#This Row],[Call D1]]-Table13345678[[#This Row],[IV Calc C]]*SQRT(Table13345678[[#This Row],[T]])</f>
        <v>#DIV/0!</v>
      </c>
      <c r="AL1449" t="e">
        <f ca="1">Table13345678[[#This Row],[Put D1]]-Table13345678[[#This Row],[IV Calc P]]*SQRT(Table13345678[[#This Row],[T]])</f>
        <v>#DIV/0!</v>
      </c>
      <c r="AM1449" t="e">
        <f ca="1">EXP(-0.5*Table13345678[[#This Row],[Call D1]]^2)/SQRT(2*PI())</f>
        <v>#DIV/0!</v>
      </c>
      <c r="AN1449" t="e">
        <f ca="1">EXP(-0.5*Table13345678[[#This Row],[Put D1]]^2)/SQRT(2*PI())</f>
        <v>#DIV/0!</v>
      </c>
      <c r="AO144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9">
        <f ca="1">((Table13345678[[#This Row],[call vanna]]+Table13345678[[#This Row],[put vanna]])*$A$4)</f>
        <v>0</v>
      </c>
      <c r="AR144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9" s="9" t="str" cm="1">
        <f t="array" ref="AT1449">_xlfn.IFS(     $M$1="SPX","SPXW",     $M$1="RUT","RUTW",  $M$1="NDX","NDXP",   TRUE,$M$1 )</f>
        <v>SPXW</v>
      </c>
      <c r="AU1449" s="2">
        <f t="shared" si="147"/>
        <v>6915</v>
      </c>
      <c r="AV1449" t="str">
        <f t="shared" si="148"/>
        <v>000100</v>
      </c>
      <c r="AY144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9">
        <f>((Table13345678[[#This Row],[High C]]+Table13345678[[#This Row],[Low C]])/2)*Table13345678[[#This Row],[gammac]]*Table13345678[[#This Row],[Volume]]</f>
        <v>0</v>
      </c>
      <c r="BD1449">
        <f>((Table13345678[[#This Row],[High P]]+Table13345678[[#This Row],[Low P]])/2)*Table13345678[[#This Row],[gammap]]*Table13345678[[#This Row],[Volume9]]*-1</f>
        <v>0</v>
      </c>
      <c r="BE1449">
        <f>(Table13345678[[#This Row],[SgammaC]]+Table13345678[[#This Row],[SgammaP]])*$A$4*-100</f>
        <v>0</v>
      </c>
      <c r="BF1449">
        <f>Table13345678[[#This Row],[DEXc]]+Table13345678[[#This Row],[DEXp]]</f>
        <v>0</v>
      </c>
      <c r="BG1449" s="78">
        <f>IFERROR(Table13345678[[#This Row],[DeltaC]]*Table13345678[[#This Row],[Open.Int]]*$A$4,0)</f>
        <v>0</v>
      </c>
      <c r="BH1449">
        <f>IFERROR(Table13345678[[#This Row],[DeltaP]]*Table13345678[[#This Row],[Open.Int8]]*$A$4,0)</f>
        <v>0</v>
      </c>
      <c r="BI144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9">
        <f ca="1">Table13345678[[#This Row],[charmc]]+Table13345678[[#This Row],[charmp]]</f>
        <v>0</v>
      </c>
      <c r="BL144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9" s="78">
        <f ca="1">Table13345678[[#This Row],[call helper]]+Table13345678[[#This Row],[put helper]]</f>
        <v>0</v>
      </c>
      <c r="BP144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0" spans="1:68" x14ac:dyDescent="0.25">
      <c r="A1450" s="14">
        <f t="shared" ca="1" si="144"/>
        <v>-126.14810350076104</v>
      </c>
      <c r="C1450" s="17"/>
      <c r="D1450" t="str">
        <f>RTD("tos.rtd", , "OPEN_INT", "."&amp;Table13345678[[#This Row],[Ticker]]&amp;Table13345678[[#This Row],[Expiry]]&amp;""&amp;"C"&amp;Table13345678[[#This Row],[Spot]]+Table13345678[[#This Row],[step]])</f>
        <v>N/A</v>
      </c>
      <c r="E145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0" s="17" cm="1">
        <f t="array" aca="1" ref="H1450" ca="1">IndividualLegIVCore($A$4, Table13345678[[#This Row],[Strike]], 0.0411, Table13345678[[#This Row],[T]], ((Table13345678[[#This Row],[BIDC]]+Table13345678[[#This Row],[ASKC]])/2), TRUE)</f>
        <v>0.01</v>
      </c>
      <c r="I145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0" s="17"/>
      <c r="M1450" s="1">
        <f t="shared" si="145"/>
        <v>0</v>
      </c>
      <c r="N1450" t="b">
        <f t="shared" si="146"/>
        <v>0</v>
      </c>
      <c r="P1450" s="17" cm="1">
        <f t="array" aca="1" ref="P1450" ca="1">IndividualLegIVCore($A$4, Table13345678[[#This Row],[Strike]], 0.0411, Table13345678[[#This Row],[T]], ((Table13345678[[#This Row],[BIDP]]+Table13345678[[#This Row],[ASKP]])/2), FALSE)</f>
        <v>0.01</v>
      </c>
      <c r="Q145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0" s="17"/>
      <c r="T145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0" s="19">
        <f>-40.5* IF($M$1="NDX", 10, IF(OR($M$1="SPX", $M$1="RUT"), 2, 1))</f>
        <v>-81</v>
      </c>
      <c r="Z1450">
        <f ca="1">IFERROR(Table13345678[[#This Row],[call gamma]]*(Table13345678[[#This Row],[Open.Int]])*$A$4^2,0)</f>
        <v>0</v>
      </c>
      <c r="AA1450">
        <f ca="1">IFERROR(((Table13345678[[#This Row],[Open.Int8]])*Table13345678[[#This Row],[Put gamma]])*-1*$A$4^2,0)</f>
        <v>0</v>
      </c>
      <c r="AB1450">
        <f ca="1">(Table13345678[[#This Row],[Call Gex]]+Table13345678[[#This Row],[Put Gex]])</f>
        <v>0</v>
      </c>
      <c r="AC1450">
        <f ca="1">Table13345678[[#This Row],[put delta adj]]+Table13345678[[#This Row],[call delta adj]]</f>
        <v>0</v>
      </c>
      <c r="AD1450">
        <f ca="1">Table13345678[[#This Row],[Put Gex]]*Table13345678[[#This Row],[DeltaP]]*-1</f>
        <v>0</v>
      </c>
      <c r="AE1450">
        <f ca="1">Table13345678[[#This Row],[Call Gex]]*Table13345678[[#This Row],[DeltaC]]</f>
        <v>0</v>
      </c>
      <c r="AF1450">
        <f>IF(Table13345678[[#This Row],[DeltaC]]-ABS(Table13345678[[#This Row],[DeltaP]])="0","0.01",Table13345678[[#This Row],[DeltaC]]-ABS(Table13345678[[#This Row],[DeltaP]]))</f>
        <v>0</v>
      </c>
      <c r="AG145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0" t="e">
        <f ca="1">(EXP(-(AG1450^2)/2)/SQRT(2*PI())*EXP(0*SQRT(Table13345678[[#This Row],[T]]))/$A$4*18%*SQRT(SQRT(Table13345678[[#This Row],[T]])))</f>
        <v>#DIV/0!</v>
      </c>
      <c r="AJ1450" t="e">
        <f ca="1">(EXP(-(AH1450^2)/2)/SQRT(2*PI())*EXP(0*SQRT(Table13345678[[#This Row],[T]]))/$A$4*18%*SQRT(SQRT(Table13345678[[#This Row],[T]])))</f>
        <v>#DIV/0!</v>
      </c>
      <c r="AK1450" t="e">
        <f ca="1">Table13345678[[#This Row],[Call D1]]-Table13345678[[#This Row],[IV Calc C]]*SQRT(Table13345678[[#This Row],[T]])</f>
        <v>#DIV/0!</v>
      </c>
      <c r="AL1450" t="e">
        <f ca="1">Table13345678[[#This Row],[Put D1]]-Table13345678[[#This Row],[IV Calc P]]*SQRT(Table13345678[[#This Row],[T]])</f>
        <v>#DIV/0!</v>
      </c>
      <c r="AM1450" t="e">
        <f ca="1">EXP(-0.5*Table13345678[[#This Row],[Call D1]]^2)/SQRT(2*PI())</f>
        <v>#DIV/0!</v>
      </c>
      <c r="AN1450" t="e">
        <f ca="1">EXP(-0.5*Table13345678[[#This Row],[Put D1]]^2)/SQRT(2*PI())</f>
        <v>#DIV/0!</v>
      </c>
      <c r="AO145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0">
        <f ca="1">((Table13345678[[#This Row],[call vanna]]+Table13345678[[#This Row],[put vanna]])*$A$4)</f>
        <v>0</v>
      </c>
      <c r="AR145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0" s="9" t="str" cm="1">
        <f t="array" ref="AT1450">_xlfn.IFS(     $M$1="SPX","SPXW",     $M$1="RUT","RUTW",  $M$1="NDX","NDXP",   TRUE,$M$1 )</f>
        <v>SPXW</v>
      </c>
      <c r="AU1450" s="2">
        <f t="shared" si="147"/>
        <v>6915</v>
      </c>
      <c r="AV1450" t="str">
        <f t="shared" si="148"/>
        <v>000100</v>
      </c>
      <c r="AY145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0">
        <f>((Table13345678[[#This Row],[High C]]+Table13345678[[#This Row],[Low C]])/2)*Table13345678[[#This Row],[gammac]]*Table13345678[[#This Row],[Volume]]</f>
        <v>0</v>
      </c>
      <c r="BD1450">
        <f>((Table13345678[[#This Row],[High P]]+Table13345678[[#This Row],[Low P]])/2)*Table13345678[[#This Row],[gammap]]*Table13345678[[#This Row],[Volume9]]*-1</f>
        <v>0</v>
      </c>
      <c r="BE1450">
        <f>(Table13345678[[#This Row],[SgammaC]]+Table13345678[[#This Row],[SgammaP]])*$A$4*-100</f>
        <v>0</v>
      </c>
      <c r="BF1450">
        <f>Table13345678[[#This Row],[DEXc]]+Table13345678[[#This Row],[DEXp]]</f>
        <v>0</v>
      </c>
      <c r="BG1450" s="78">
        <f>IFERROR(Table13345678[[#This Row],[DeltaC]]*Table13345678[[#This Row],[Open.Int]]*$A$4,0)</f>
        <v>0</v>
      </c>
      <c r="BH1450">
        <f>IFERROR(Table13345678[[#This Row],[DeltaP]]*Table13345678[[#This Row],[Open.Int8]]*$A$4,0)</f>
        <v>0</v>
      </c>
      <c r="BI145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0">
        <f ca="1">Table13345678[[#This Row],[charmc]]+Table13345678[[#This Row],[charmp]]</f>
        <v>0</v>
      </c>
      <c r="BL145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0" s="78">
        <f ca="1">Table13345678[[#This Row],[call helper]]+Table13345678[[#This Row],[put helper]]</f>
        <v>0</v>
      </c>
      <c r="BP145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1" spans="1:68" x14ac:dyDescent="0.25">
      <c r="A1451" s="14">
        <f t="shared" ca="1" si="144"/>
        <v>-126.14810350076104</v>
      </c>
      <c r="C1451" s="17"/>
      <c r="D1451" t="str">
        <f>RTD("tos.rtd", , "OPEN_INT", "."&amp;Table13345678[[#This Row],[Ticker]]&amp;Table13345678[[#This Row],[Expiry]]&amp;""&amp;"C"&amp;Table13345678[[#This Row],[Spot]]+Table13345678[[#This Row],[step]])</f>
        <v>N/A</v>
      </c>
      <c r="E145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1" s="17" cm="1">
        <f t="array" aca="1" ref="H1451" ca="1">IndividualLegIVCore($A$4, Table13345678[[#This Row],[Strike]], 0.0411, Table13345678[[#This Row],[T]], ((Table13345678[[#This Row],[BIDC]]+Table13345678[[#This Row],[ASKC]])/2), TRUE)</f>
        <v>0.01</v>
      </c>
      <c r="I145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1" s="17"/>
      <c r="M1451" s="1">
        <f t="shared" si="145"/>
        <v>0</v>
      </c>
      <c r="N1451" t="b">
        <f t="shared" si="146"/>
        <v>0</v>
      </c>
      <c r="P1451" s="17" cm="1">
        <f t="array" aca="1" ref="P1451" ca="1">IndividualLegIVCore($A$4, Table13345678[[#This Row],[Strike]], 0.0411, Table13345678[[#This Row],[T]], ((Table13345678[[#This Row],[BIDP]]+Table13345678[[#This Row],[ASKP]])/2), FALSE)</f>
        <v>0.01</v>
      </c>
      <c r="Q145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1" s="17"/>
      <c r="T145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1" s="19">
        <f>-40* IF($M$1="NDX", 10, IF(OR($M$1="SPX", $M$1="RUT"), 2, 1))</f>
        <v>-80</v>
      </c>
      <c r="Z1451">
        <f ca="1">IFERROR(Table13345678[[#This Row],[call gamma]]*(Table13345678[[#This Row],[Open.Int]])*$A$4^2,0)</f>
        <v>0</v>
      </c>
      <c r="AA1451">
        <f ca="1">IFERROR(((Table13345678[[#This Row],[Open.Int8]])*Table13345678[[#This Row],[Put gamma]])*-1*$A$4^2,0)</f>
        <v>0</v>
      </c>
      <c r="AB1451">
        <f ca="1">(Table13345678[[#This Row],[Call Gex]]+Table13345678[[#This Row],[Put Gex]])</f>
        <v>0</v>
      </c>
      <c r="AC1451">
        <f ca="1">Table13345678[[#This Row],[put delta adj]]+Table13345678[[#This Row],[call delta adj]]</f>
        <v>0</v>
      </c>
      <c r="AD1451">
        <f ca="1">Table13345678[[#This Row],[Put Gex]]*Table13345678[[#This Row],[DeltaP]]*-1</f>
        <v>0</v>
      </c>
      <c r="AE1451">
        <f ca="1">Table13345678[[#This Row],[Call Gex]]*Table13345678[[#This Row],[DeltaC]]</f>
        <v>0</v>
      </c>
      <c r="AF1451">
        <f>IF(Table13345678[[#This Row],[DeltaC]]-ABS(Table13345678[[#This Row],[DeltaP]])="0","0.01",Table13345678[[#This Row],[DeltaC]]-ABS(Table13345678[[#This Row],[DeltaP]]))</f>
        <v>0</v>
      </c>
      <c r="AG145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1" t="e">
        <f ca="1">(EXP(-(AG1451^2)/2)/SQRT(2*PI())*EXP(0*SQRT(Table13345678[[#This Row],[T]]))/$A$4*18%*SQRT(SQRT(Table13345678[[#This Row],[T]])))</f>
        <v>#DIV/0!</v>
      </c>
      <c r="AJ1451" t="e">
        <f ca="1">(EXP(-(AH1451^2)/2)/SQRT(2*PI())*EXP(0*SQRT(Table13345678[[#This Row],[T]]))/$A$4*18%*SQRT(SQRT(Table13345678[[#This Row],[T]])))</f>
        <v>#DIV/0!</v>
      </c>
      <c r="AK1451" t="e">
        <f ca="1">Table13345678[[#This Row],[Call D1]]-Table13345678[[#This Row],[IV Calc C]]*SQRT(Table13345678[[#This Row],[T]])</f>
        <v>#DIV/0!</v>
      </c>
      <c r="AL1451" t="e">
        <f ca="1">Table13345678[[#This Row],[Put D1]]-Table13345678[[#This Row],[IV Calc P]]*SQRT(Table13345678[[#This Row],[T]])</f>
        <v>#DIV/0!</v>
      </c>
      <c r="AM1451" t="e">
        <f ca="1">EXP(-0.5*Table13345678[[#This Row],[Call D1]]^2)/SQRT(2*PI())</f>
        <v>#DIV/0!</v>
      </c>
      <c r="AN1451" t="e">
        <f ca="1">EXP(-0.5*Table13345678[[#This Row],[Put D1]]^2)/SQRT(2*PI())</f>
        <v>#DIV/0!</v>
      </c>
      <c r="AO145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1">
        <f ca="1">((Table13345678[[#This Row],[call vanna]]+Table13345678[[#This Row],[put vanna]])*$A$4)</f>
        <v>0</v>
      </c>
      <c r="AR145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1" s="9" t="str" cm="1">
        <f t="array" ref="AT1451">_xlfn.IFS(     $M$1="SPX","SPXW",     $M$1="RUT","RUTW",  $M$1="NDX","NDXP",   TRUE,$M$1 )</f>
        <v>SPXW</v>
      </c>
      <c r="AU1451" s="2">
        <f t="shared" si="147"/>
        <v>6915</v>
      </c>
      <c r="AV1451" t="str">
        <f t="shared" si="148"/>
        <v>000100</v>
      </c>
      <c r="AY145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1">
        <f>((Table13345678[[#This Row],[High C]]+Table13345678[[#This Row],[Low C]])/2)*Table13345678[[#This Row],[gammac]]*Table13345678[[#This Row],[Volume]]</f>
        <v>0</v>
      </c>
      <c r="BD1451">
        <f>((Table13345678[[#This Row],[High P]]+Table13345678[[#This Row],[Low P]])/2)*Table13345678[[#This Row],[gammap]]*Table13345678[[#This Row],[Volume9]]*-1</f>
        <v>0</v>
      </c>
      <c r="BE1451">
        <f>(Table13345678[[#This Row],[SgammaC]]+Table13345678[[#This Row],[SgammaP]])*$A$4*-100</f>
        <v>0</v>
      </c>
      <c r="BF1451">
        <f>Table13345678[[#This Row],[DEXc]]+Table13345678[[#This Row],[DEXp]]</f>
        <v>0</v>
      </c>
      <c r="BG1451" s="78">
        <f>IFERROR(Table13345678[[#This Row],[DeltaC]]*Table13345678[[#This Row],[Open.Int]]*$A$4,0)</f>
        <v>0</v>
      </c>
      <c r="BH1451">
        <f>IFERROR(Table13345678[[#This Row],[DeltaP]]*Table13345678[[#This Row],[Open.Int8]]*$A$4,0)</f>
        <v>0</v>
      </c>
      <c r="BI145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1">
        <f ca="1">Table13345678[[#This Row],[charmc]]+Table13345678[[#This Row],[charmp]]</f>
        <v>0</v>
      </c>
      <c r="BL145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1" s="78">
        <f ca="1">Table13345678[[#This Row],[call helper]]+Table13345678[[#This Row],[put helper]]</f>
        <v>0</v>
      </c>
      <c r="BP145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2" spans="1:68" x14ac:dyDescent="0.25">
      <c r="A1452" s="14">
        <f t="shared" ca="1" si="144"/>
        <v>-126.14810350076104</v>
      </c>
      <c r="C1452" s="17"/>
      <c r="D1452" t="str">
        <f>RTD("tos.rtd", , "OPEN_INT", "."&amp;Table13345678[[#This Row],[Ticker]]&amp;Table13345678[[#This Row],[Expiry]]&amp;""&amp;"C"&amp;Table13345678[[#This Row],[Spot]]+Table13345678[[#This Row],[step]])</f>
        <v>N/A</v>
      </c>
      <c r="E145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2" s="17" cm="1">
        <f t="array" aca="1" ref="H1452" ca="1">IndividualLegIVCore($A$4, Table13345678[[#This Row],[Strike]], 0.0411, Table13345678[[#This Row],[T]], ((Table13345678[[#This Row],[BIDC]]+Table13345678[[#This Row],[ASKC]])/2), TRUE)</f>
        <v>0.01</v>
      </c>
      <c r="I145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2" s="17"/>
      <c r="M1452" s="1">
        <f t="shared" si="145"/>
        <v>0</v>
      </c>
      <c r="N1452" t="b">
        <f t="shared" si="146"/>
        <v>0</v>
      </c>
      <c r="P1452" s="17" cm="1">
        <f t="array" aca="1" ref="P1452" ca="1">IndividualLegIVCore($A$4, Table13345678[[#This Row],[Strike]], 0.0411, Table13345678[[#This Row],[T]], ((Table13345678[[#This Row],[BIDP]]+Table13345678[[#This Row],[ASKP]])/2), FALSE)</f>
        <v>0.01</v>
      </c>
      <c r="Q145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2" s="17"/>
      <c r="T145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2" s="19">
        <f>-39.5* IF($M$1="NDX", 10, IF(OR($M$1="SPX", $M$1="RUT"), 2, 1))</f>
        <v>-79</v>
      </c>
      <c r="Z1452">
        <f ca="1">IFERROR(Table13345678[[#This Row],[call gamma]]*(Table13345678[[#This Row],[Open.Int]])*$A$4^2,0)</f>
        <v>0</v>
      </c>
      <c r="AA1452">
        <f ca="1">IFERROR(((Table13345678[[#This Row],[Open.Int8]])*Table13345678[[#This Row],[Put gamma]])*-1*$A$4^2,0)</f>
        <v>0</v>
      </c>
      <c r="AB1452">
        <f ca="1">(Table13345678[[#This Row],[Call Gex]]+Table13345678[[#This Row],[Put Gex]])</f>
        <v>0</v>
      </c>
      <c r="AC1452">
        <f ca="1">Table13345678[[#This Row],[put delta adj]]+Table13345678[[#This Row],[call delta adj]]</f>
        <v>0</v>
      </c>
      <c r="AD1452">
        <f ca="1">Table13345678[[#This Row],[Put Gex]]*Table13345678[[#This Row],[DeltaP]]*-1</f>
        <v>0</v>
      </c>
      <c r="AE1452">
        <f ca="1">Table13345678[[#This Row],[Call Gex]]*Table13345678[[#This Row],[DeltaC]]</f>
        <v>0</v>
      </c>
      <c r="AF1452">
        <f>IF(Table13345678[[#This Row],[DeltaC]]-ABS(Table13345678[[#This Row],[DeltaP]])="0","0.01",Table13345678[[#This Row],[DeltaC]]-ABS(Table13345678[[#This Row],[DeltaP]]))</f>
        <v>0</v>
      </c>
      <c r="AG145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2" t="e">
        <f ca="1">(EXP(-(AG1452^2)/2)/SQRT(2*PI())*EXP(0*SQRT(Table13345678[[#This Row],[T]]))/$A$4*18%*SQRT(SQRT(Table13345678[[#This Row],[T]])))</f>
        <v>#DIV/0!</v>
      </c>
      <c r="AJ1452" t="e">
        <f ca="1">(EXP(-(AH1452^2)/2)/SQRT(2*PI())*EXP(0*SQRT(Table13345678[[#This Row],[T]]))/$A$4*18%*SQRT(SQRT(Table13345678[[#This Row],[T]])))</f>
        <v>#DIV/0!</v>
      </c>
      <c r="AK1452" t="e">
        <f ca="1">Table13345678[[#This Row],[Call D1]]-Table13345678[[#This Row],[IV Calc C]]*SQRT(Table13345678[[#This Row],[T]])</f>
        <v>#DIV/0!</v>
      </c>
      <c r="AL1452" t="e">
        <f ca="1">Table13345678[[#This Row],[Put D1]]-Table13345678[[#This Row],[IV Calc P]]*SQRT(Table13345678[[#This Row],[T]])</f>
        <v>#DIV/0!</v>
      </c>
      <c r="AM1452" t="e">
        <f ca="1">EXP(-0.5*Table13345678[[#This Row],[Call D1]]^2)/SQRT(2*PI())</f>
        <v>#DIV/0!</v>
      </c>
      <c r="AN1452" t="e">
        <f ca="1">EXP(-0.5*Table13345678[[#This Row],[Put D1]]^2)/SQRT(2*PI())</f>
        <v>#DIV/0!</v>
      </c>
      <c r="AO145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2">
        <f ca="1">((Table13345678[[#This Row],[call vanna]]+Table13345678[[#This Row],[put vanna]])*$A$4)</f>
        <v>0</v>
      </c>
      <c r="AR145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2" s="9" t="str" cm="1">
        <f t="array" ref="AT1452">_xlfn.IFS(     $M$1="SPX","SPXW",     $M$1="RUT","RUTW",  $M$1="NDX","NDXP",   TRUE,$M$1 )</f>
        <v>SPXW</v>
      </c>
      <c r="AU1452" s="2">
        <f t="shared" si="147"/>
        <v>6915</v>
      </c>
      <c r="AV1452" t="str">
        <f t="shared" si="148"/>
        <v>000100</v>
      </c>
      <c r="AY145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2">
        <f>((Table13345678[[#This Row],[High C]]+Table13345678[[#This Row],[Low C]])/2)*Table13345678[[#This Row],[gammac]]*Table13345678[[#This Row],[Volume]]</f>
        <v>0</v>
      </c>
      <c r="BD1452">
        <f>((Table13345678[[#This Row],[High P]]+Table13345678[[#This Row],[Low P]])/2)*Table13345678[[#This Row],[gammap]]*Table13345678[[#This Row],[Volume9]]*-1</f>
        <v>0</v>
      </c>
      <c r="BE1452">
        <f>(Table13345678[[#This Row],[SgammaC]]+Table13345678[[#This Row],[SgammaP]])*$A$4*-100</f>
        <v>0</v>
      </c>
      <c r="BF1452">
        <f>Table13345678[[#This Row],[DEXc]]+Table13345678[[#This Row],[DEXp]]</f>
        <v>0</v>
      </c>
      <c r="BG1452" s="78">
        <f>IFERROR(Table13345678[[#This Row],[DeltaC]]*Table13345678[[#This Row],[Open.Int]]*$A$4,0)</f>
        <v>0</v>
      </c>
      <c r="BH1452">
        <f>IFERROR(Table13345678[[#This Row],[DeltaP]]*Table13345678[[#This Row],[Open.Int8]]*$A$4,0)</f>
        <v>0</v>
      </c>
      <c r="BI145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2">
        <f ca="1">Table13345678[[#This Row],[charmc]]+Table13345678[[#This Row],[charmp]]</f>
        <v>0</v>
      </c>
      <c r="BL145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2" s="78">
        <f ca="1">Table13345678[[#This Row],[call helper]]+Table13345678[[#This Row],[put helper]]</f>
        <v>0</v>
      </c>
      <c r="BP145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3" spans="1:68" x14ac:dyDescent="0.25">
      <c r="A1453" s="14">
        <f t="shared" ca="1" si="144"/>
        <v>-126.14810350076104</v>
      </c>
      <c r="C1453" s="17"/>
      <c r="D1453" t="str">
        <f>RTD("tos.rtd", , "OPEN_INT", "."&amp;Table13345678[[#This Row],[Ticker]]&amp;Table13345678[[#This Row],[Expiry]]&amp;""&amp;"C"&amp;Table13345678[[#This Row],[Spot]]+Table13345678[[#This Row],[step]])</f>
        <v>N/A</v>
      </c>
      <c r="E145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3" s="17" cm="1">
        <f t="array" aca="1" ref="H1453" ca="1">IndividualLegIVCore($A$4, Table13345678[[#This Row],[Strike]], 0.0411, Table13345678[[#This Row],[T]], ((Table13345678[[#This Row],[BIDC]]+Table13345678[[#This Row],[ASKC]])/2), TRUE)</f>
        <v>0.01</v>
      </c>
      <c r="I145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3" s="17"/>
      <c r="M1453" s="1">
        <f t="shared" si="145"/>
        <v>0</v>
      </c>
      <c r="N1453" t="b">
        <f t="shared" si="146"/>
        <v>0</v>
      </c>
      <c r="P1453" s="17" cm="1">
        <f t="array" aca="1" ref="P1453" ca="1">IndividualLegIVCore($A$4, Table13345678[[#This Row],[Strike]], 0.0411, Table13345678[[#This Row],[T]], ((Table13345678[[#This Row],[BIDP]]+Table13345678[[#This Row],[ASKP]])/2), FALSE)</f>
        <v>0.01</v>
      </c>
      <c r="Q145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3" s="17"/>
      <c r="T145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3" s="19">
        <f>-39* IF($M$1="NDX", 10, IF(OR($M$1="SPX", $M$1="RUT"), 2, 1))</f>
        <v>-78</v>
      </c>
      <c r="Z1453">
        <f ca="1">IFERROR(Table13345678[[#This Row],[call gamma]]*(Table13345678[[#This Row],[Open.Int]])*$A$4^2,0)</f>
        <v>0</v>
      </c>
      <c r="AA1453">
        <f ca="1">IFERROR(((Table13345678[[#This Row],[Open.Int8]])*Table13345678[[#This Row],[Put gamma]])*-1*$A$4^2,0)</f>
        <v>0</v>
      </c>
      <c r="AB1453">
        <f ca="1">(Table13345678[[#This Row],[Call Gex]]+Table13345678[[#This Row],[Put Gex]])</f>
        <v>0</v>
      </c>
      <c r="AC1453">
        <f ca="1">Table13345678[[#This Row],[put delta adj]]+Table13345678[[#This Row],[call delta adj]]</f>
        <v>0</v>
      </c>
      <c r="AD1453">
        <f ca="1">Table13345678[[#This Row],[Put Gex]]*Table13345678[[#This Row],[DeltaP]]*-1</f>
        <v>0</v>
      </c>
      <c r="AE1453">
        <f ca="1">Table13345678[[#This Row],[Call Gex]]*Table13345678[[#This Row],[DeltaC]]</f>
        <v>0</v>
      </c>
      <c r="AF1453">
        <f>IF(Table13345678[[#This Row],[DeltaC]]-ABS(Table13345678[[#This Row],[DeltaP]])="0","0.01",Table13345678[[#This Row],[DeltaC]]-ABS(Table13345678[[#This Row],[DeltaP]]))</f>
        <v>0</v>
      </c>
      <c r="AG145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3" t="e">
        <f ca="1">(EXP(-(AG1453^2)/2)/SQRT(2*PI())*EXP(0*SQRT(Table13345678[[#This Row],[T]]))/$A$4*18%*SQRT(SQRT(Table13345678[[#This Row],[T]])))</f>
        <v>#DIV/0!</v>
      </c>
      <c r="AJ1453" t="e">
        <f ca="1">(EXP(-(AH1453^2)/2)/SQRT(2*PI())*EXP(0*SQRT(Table13345678[[#This Row],[T]]))/$A$4*18%*SQRT(SQRT(Table13345678[[#This Row],[T]])))</f>
        <v>#DIV/0!</v>
      </c>
      <c r="AK1453" t="e">
        <f ca="1">Table13345678[[#This Row],[Call D1]]-Table13345678[[#This Row],[IV Calc C]]*SQRT(Table13345678[[#This Row],[T]])</f>
        <v>#DIV/0!</v>
      </c>
      <c r="AL1453" t="e">
        <f ca="1">Table13345678[[#This Row],[Put D1]]-Table13345678[[#This Row],[IV Calc P]]*SQRT(Table13345678[[#This Row],[T]])</f>
        <v>#DIV/0!</v>
      </c>
      <c r="AM1453" t="e">
        <f ca="1">EXP(-0.5*Table13345678[[#This Row],[Call D1]]^2)/SQRT(2*PI())</f>
        <v>#DIV/0!</v>
      </c>
      <c r="AN1453" t="e">
        <f ca="1">EXP(-0.5*Table13345678[[#This Row],[Put D1]]^2)/SQRT(2*PI())</f>
        <v>#DIV/0!</v>
      </c>
      <c r="AO145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3">
        <f ca="1">((Table13345678[[#This Row],[call vanna]]+Table13345678[[#This Row],[put vanna]])*$A$4)</f>
        <v>0</v>
      </c>
      <c r="AR145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3" s="9" t="str" cm="1">
        <f t="array" ref="AT1453">_xlfn.IFS(     $M$1="SPX","SPXW",     $M$1="RUT","RUTW",  $M$1="NDX","NDXP",   TRUE,$M$1 )</f>
        <v>SPXW</v>
      </c>
      <c r="AU1453" s="2">
        <f t="shared" si="147"/>
        <v>6915</v>
      </c>
      <c r="AV1453" t="str">
        <f t="shared" si="148"/>
        <v>000100</v>
      </c>
      <c r="AY145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3">
        <f>((Table13345678[[#This Row],[High C]]+Table13345678[[#This Row],[Low C]])/2)*Table13345678[[#This Row],[gammac]]*Table13345678[[#This Row],[Volume]]</f>
        <v>0</v>
      </c>
      <c r="BD1453">
        <f>((Table13345678[[#This Row],[High P]]+Table13345678[[#This Row],[Low P]])/2)*Table13345678[[#This Row],[gammap]]*Table13345678[[#This Row],[Volume9]]*-1</f>
        <v>0</v>
      </c>
      <c r="BE1453">
        <f>(Table13345678[[#This Row],[SgammaC]]+Table13345678[[#This Row],[SgammaP]])*$A$4*-100</f>
        <v>0</v>
      </c>
      <c r="BF1453">
        <f>Table13345678[[#This Row],[DEXc]]+Table13345678[[#This Row],[DEXp]]</f>
        <v>0</v>
      </c>
      <c r="BG1453" s="78">
        <f>IFERROR(Table13345678[[#This Row],[DeltaC]]*Table13345678[[#This Row],[Open.Int]]*$A$4,0)</f>
        <v>0</v>
      </c>
      <c r="BH1453">
        <f>IFERROR(Table13345678[[#This Row],[DeltaP]]*Table13345678[[#This Row],[Open.Int8]]*$A$4,0)</f>
        <v>0</v>
      </c>
      <c r="BI145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3">
        <f ca="1">Table13345678[[#This Row],[charmc]]+Table13345678[[#This Row],[charmp]]</f>
        <v>0</v>
      </c>
      <c r="BL145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3" s="78">
        <f ca="1">Table13345678[[#This Row],[call helper]]+Table13345678[[#This Row],[put helper]]</f>
        <v>0</v>
      </c>
      <c r="BP145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4" spans="1:68" x14ac:dyDescent="0.25">
      <c r="A1454" s="14">
        <f t="shared" ca="1" si="144"/>
        <v>-126.14810350076104</v>
      </c>
      <c r="C1454" s="17"/>
      <c r="D1454" t="str">
        <f>RTD("tos.rtd", , "OPEN_INT", "."&amp;Table13345678[[#This Row],[Ticker]]&amp;Table13345678[[#This Row],[Expiry]]&amp;""&amp;"C"&amp;Table13345678[[#This Row],[Spot]]+Table13345678[[#This Row],[step]])</f>
        <v>N/A</v>
      </c>
      <c r="E145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4" s="17" cm="1">
        <f t="array" aca="1" ref="H1454" ca="1">IndividualLegIVCore($A$4, Table13345678[[#This Row],[Strike]], 0.0411, Table13345678[[#This Row],[T]], ((Table13345678[[#This Row],[BIDC]]+Table13345678[[#This Row],[ASKC]])/2), TRUE)</f>
        <v>0.01</v>
      </c>
      <c r="I145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4" s="17"/>
      <c r="M1454" s="1">
        <f t="shared" si="145"/>
        <v>0</v>
      </c>
      <c r="N1454" t="b">
        <f t="shared" si="146"/>
        <v>0</v>
      </c>
      <c r="P1454" s="17" cm="1">
        <f t="array" aca="1" ref="P1454" ca="1">IndividualLegIVCore($A$4, Table13345678[[#This Row],[Strike]], 0.0411, Table13345678[[#This Row],[T]], ((Table13345678[[#This Row],[BIDP]]+Table13345678[[#This Row],[ASKP]])/2), FALSE)</f>
        <v>0.01</v>
      </c>
      <c r="Q145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4" s="17"/>
      <c r="T145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4" s="19">
        <f>-38.5* IF($M$1="NDX", 10, IF(OR($M$1="SPX", $M$1="RUT"), 2, 1))</f>
        <v>-77</v>
      </c>
      <c r="Z1454">
        <f ca="1">IFERROR(Table13345678[[#This Row],[call gamma]]*(Table13345678[[#This Row],[Open.Int]])*$A$4^2,0)</f>
        <v>0</v>
      </c>
      <c r="AA1454">
        <f ca="1">IFERROR(((Table13345678[[#This Row],[Open.Int8]])*Table13345678[[#This Row],[Put gamma]])*-1*$A$4^2,0)</f>
        <v>0</v>
      </c>
      <c r="AB1454">
        <f ca="1">(Table13345678[[#This Row],[Call Gex]]+Table13345678[[#This Row],[Put Gex]])</f>
        <v>0</v>
      </c>
      <c r="AC1454">
        <f ca="1">Table13345678[[#This Row],[put delta adj]]+Table13345678[[#This Row],[call delta adj]]</f>
        <v>0</v>
      </c>
      <c r="AD1454">
        <f ca="1">Table13345678[[#This Row],[Put Gex]]*Table13345678[[#This Row],[DeltaP]]*-1</f>
        <v>0</v>
      </c>
      <c r="AE1454">
        <f ca="1">Table13345678[[#This Row],[Call Gex]]*Table13345678[[#This Row],[DeltaC]]</f>
        <v>0</v>
      </c>
      <c r="AF1454">
        <f>IF(Table13345678[[#This Row],[DeltaC]]-ABS(Table13345678[[#This Row],[DeltaP]])="0","0.01",Table13345678[[#This Row],[DeltaC]]-ABS(Table13345678[[#This Row],[DeltaP]]))</f>
        <v>0</v>
      </c>
      <c r="AG145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4" t="e">
        <f ca="1">(EXP(-(AG1454^2)/2)/SQRT(2*PI())*EXP(0*SQRT(Table13345678[[#This Row],[T]]))/$A$4*18%*SQRT(SQRT(Table13345678[[#This Row],[T]])))</f>
        <v>#DIV/0!</v>
      </c>
      <c r="AJ1454" t="e">
        <f ca="1">(EXP(-(AH1454^2)/2)/SQRT(2*PI())*EXP(0*SQRT(Table13345678[[#This Row],[T]]))/$A$4*18%*SQRT(SQRT(Table13345678[[#This Row],[T]])))</f>
        <v>#DIV/0!</v>
      </c>
      <c r="AK1454" t="e">
        <f ca="1">Table13345678[[#This Row],[Call D1]]-Table13345678[[#This Row],[IV Calc C]]*SQRT(Table13345678[[#This Row],[T]])</f>
        <v>#DIV/0!</v>
      </c>
      <c r="AL1454" t="e">
        <f ca="1">Table13345678[[#This Row],[Put D1]]-Table13345678[[#This Row],[IV Calc P]]*SQRT(Table13345678[[#This Row],[T]])</f>
        <v>#DIV/0!</v>
      </c>
      <c r="AM1454" t="e">
        <f ca="1">EXP(-0.5*Table13345678[[#This Row],[Call D1]]^2)/SQRT(2*PI())</f>
        <v>#DIV/0!</v>
      </c>
      <c r="AN1454" t="e">
        <f ca="1">EXP(-0.5*Table13345678[[#This Row],[Put D1]]^2)/SQRT(2*PI())</f>
        <v>#DIV/0!</v>
      </c>
      <c r="AO145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4">
        <f ca="1">((Table13345678[[#This Row],[call vanna]]+Table13345678[[#This Row],[put vanna]])*$A$4)</f>
        <v>0</v>
      </c>
      <c r="AR145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4" s="9" t="str" cm="1">
        <f t="array" ref="AT1454">_xlfn.IFS(     $M$1="SPX","SPXW",     $M$1="RUT","RUTW",  $M$1="NDX","NDXP",   TRUE,$M$1 )</f>
        <v>SPXW</v>
      </c>
      <c r="AU1454" s="2">
        <f t="shared" si="147"/>
        <v>6915</v>
      </c>
      <c r="AV1454" t="str">
        <f t="shared" si="148"/>
        <v>000100</v>
      </c>
      <c r="AY145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4">
        <f>((Table13345678[[#This Row],[High C]]+Table13345678[[#This Row],[Low C]])/2)*Table13345678[[#This Row],[gammac]]*Table13345678[[#This Row],[Volume]]</f>
        <v>0</v>
      </c>
      <c r="BD1454">
        <f>((Table13345678[[#This Row],[High P]]+Table13345678[[#This Row],[Low P]])/2)*Table13345678[[#This Row],[gammap]]*Table13345678[[#This Row],[Volume9]]*-1</f>
        <v>0</v>
      </c>
      <c r="BE1454">
        <f>(Table13345678[[#This Row],[SgammaC]]+Table13345678[[#This Row],[SgammaP]])*$A$4*-100</f>
        <v>0</v>
      </c>
      <c r="BF1454">
        <f>Table13345678[[#This Row],[DEXc]]+Table13345678[[#This Row],[DEXp]]</f>
        <v>0</v>
      </c>
      <c r="BG1454" s="78">
        <f>IFERROR(Table13345678[[#This Row],[DeltaC]]*Table13345678[[#This Row],[Open.Int]]*$A$4,0)</f>
        <v>0</v>
      </c>
      <c r="BH1454">
        <f>IFERROR(Table13345678[[#This Row],[DeltaP]]*Table13345678[[#This Row],[Open.Int8]]*$A$4,0)</f>
        <v>0</v>
      </c>
      <c r="BI145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4">
        <f ca="1">Table13345678[[#This Row],[charmc]]+Table13345678[[#This Row],[charmp]]</f>
        <v>0</v>
      </c>
      <c r="BL145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4" s="78">
        <f ca="1">Table13345678[[#This Row],[call helper]]+Table13345678[[#This Row],[put helper]]</f>
        <v>0</v>
      </c>
      <c r="BP145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5" spans="1:68" x14ac:dyDescent="0.25">
      <c r="A1455" s="14">
        <f t="shared" ca="1" si="144"/>
        <v>-126.14810350076104</v>
      </c>
      <c r="C1455" s="17"/>
      <c r="D1455" t="str">
        <f>RTD("tos.rtd", , "OPEN_INT", "."&amp;Table13345678[[#This Row],[Ticker]]&amp;Table13345678[[#This Row],[Expiry]]&amp;""&amp;"C"&amp;Table13345678[[#This Row],[Spot]]+Table13345678[[#This Row],[step]])</f>
        <v>N/A</v>
      </c>
      <c r="E145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5" s="17" cm="1">
        <f t="array" aca="1" ref="H1455" ca="1">IndividualLegIVCore($A$4, Table13345678[[#This Row],[Strike]], 0.0411, Table13345678[[#This Row],[T]], ((Table13345678[[#This Row],[BIDC]]+Table13345678[[#This Row],[ASKC]])/2), TRUE)</f>
        <v>0.01</v>
      </c>
      <c r="I145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5" s="17"/>
      <c r="M1455" s="1">
        <f t="shared" si="145"/>
        <v>0</v>
      </c>
      <c r="N1455" t="b">
        <f t="shared" si="146"/>
        <v>0</v>
      </c>
      <c r="P1455" s="17" cm="1">
        <f t="array" aca="1" ref="P1455" ca="1">IndividualLegIVCore($A$4, Table13345678[[#This Row],[Strike]], 0.0411, Table13345678[[#This Row],[T]], ((Table13345678[[#This Row],[BIDP]]+Table13345678[[#This Row],[ASKP]])/2), FALSE)</f>
        <v>0.01</v>
      </c>
      <c r="Q145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5" s="17"/>
      <c r="T145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5" s="19">
        <f>-38* IF($M$1="NDX", 10, IF(OR($M$1="SPX", $M$1="RUT"), 2, 1))</f>
        <v>-76</v>
      </c>
      <c r="Z1455">
        <f ca="1">IFERROR(Table13345678[[#This Row],[call gamma]]*(Table13345678[[#This Row],[Open.Int]])*$A$4^2,0)</f>
        <v>0</v>
      </c>
      <c r="AA1455">
        <f ca="1">IFERROR(((Table13345678[[#This Row],[Open.Int8]])*Table13345678[[#This Row],[Put gamma]])*-1*$A$4^2,0)</f>
        <v>0</v>
      </c>
      <c r="AB1455">
        <f ca="1">(Table13345678[[#This Row],[Call Gex]]+Table13345678[[#This Row],[Put Gex]])</f>
        <v>0</v>
      </c>
      <c r="AC1455">
        <f ca="1">Table13345678[[#This Row],[put delta adj]]+Table13345678[[#This Row],[call delta adj]]</f>
        <v>0</v>
      </c>
      <c r="AD1455">
        <f ca="1">Table13345678[[#This Row],[Put Gex]]*Table13345678[[#This Row],[DeltaP]]*-1</f>
        <v>0</v>
      </c>
      <c r="AE1455">
        <f ca="1">Table13345678[[#This Row],[Call Gex]]*Table13345678[[#This Row],[DeltaC]]</f>
        <v>0</v>
      </c>
      <c r="AF1455">
        <f>IF(Table13345678[[#This Row],[DeltaC]]-ABS(Table13345678[[#This Row],[DeltaP]])="0","0.01",Table13345678[[#This Row],[DeltaC]]-ABS(Table13345678[[#This Row],[DeltaP]]))</f>
        <v>0</v>
      </c>
      <c r="AG145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5" t="e">
        <f ca="1">(EXP(-(AG1455^2)/2)/SQRT(2*PI())*EXP(0*SQRT(Table13345678[[#This Row],[T]]))/$A$4*18%*SQRT(SQRT(Table13345678[[#This Row],[T]])))</f>
        <v>#DIV/0!</v>
      </c>
      <c r="AJ1455" t="e">
        <f ca="1">(EXP(-(AH1455^2)/2)/SQRT(2*PI())*EXP(0*SQRT(Table13345678[[#This Row],[T]]))/$A$4*18%*SQRT(SQRT(Table13345678[[#This Row],[T]])))</f>
        <v>#DIV/0!</v>
      </c>
      <c r="AK1455" t="e">
        <f ca="1">Table13345678[[#This Row],[Call D1]]-Table13345678[[#This Row],[IV Calc C]]*SQRT(Table13345678[[#This Row],[T]])</f>
        <v>#DIV/0!</v>
      </c>
      <c r="AL1455" t="e">
        <f ca="1">Table13345678[[#This Row],[Put D1]]-Table13345678[[#This Row],[IV Calc P]]*SQRT(Table13345678[[#This Row],[T]])</f>
        <v>#DIV/0!</v>
      </c>
      <c r="AM1455" t="e">
        <f ca="1">EXP(-0.5*Table13345678[[#This Row],[Call D1]]^2)/SQRT(2*PI())</f>
        <v>#DIV/0!</v>
      </c>
      <c r="AN1455" t="e">
        <f ca="1">EXP(-0.5*Table13345678[[#This Row],[Put D1]]^2)/SQRT(2*PI())</f>
        <v>#DIV/0!</v>
      </c>
      <c r="AO145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5">
        <f ca="1">((Table13345678[[#This Row],[call vanna]]+Table13345678[[#This Row],[put vanna]])*$A$4)</f>
        <v>0</v>
      </c>
      <c r="AR145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5" s="9" t="str" cm="1">
        <f t="array" ref="AT1455">_xlfn.IFS(     $M$1="SPX","SPXW",     $M$1="RUT","RUTW",  $M$1="NDX","NDXP",   TRUE,$M$1 )</f>
        <v>SPXW</v>
      </c>
      <c r="AU1455" s="2">
        <f t="shared" si="147"/>
        <v>6915</v>
      </c>
      <c r="AV1455" t="str">
        <f t="shared" si="148"/>
        <v>000100</v>
      </c>
      <c r="AY145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5">
        <f>((Table13345678[[#This Row],[High C]]+Table13345678[[#This Row],[Low C]])/2)*Table13345678[[#This Row],[gammac]]*Table13345678[[#This Row],[Volume]]</f>
        <v>0</v>
      </c>
      <c r="BD1455">
        <f>((Table13345678[[#This Row],[High P]]+Table13345678[[#This Row],[Low P]])/2)*Table13345678[[#This Row],[gammap]]*Table13345678[[#This Row],[Volume9]]*-1</f>
        <v>0</v>
      </c>
      <c r="BE1455">
        <f>(Table13345678[[#This Row],[SgammaC]]+Table13345678[[#This Row],[SgammaP]])*$A$4*-100</f>
        <v>0</v>
      </c>
      <c r="BF1455">
        <f>Table13345678[[#This Row],[DEXc]]+Table13345678[[#This Row],[DEXp]]</f>
        <v>0</v>
      </c>
      <c r="BG1455" s="78">
        <f>IFERROR(Table13345678[[#This Row],[DeltaC]]*Table13345678[[#This Row],[Open.Int]]*$A$4,0)</f>
        <v>0</v>
      </c>
      <c r="BH1455">
        <f>IFERROR(Table13345678[[#This Row],[DeltaP]]*Table13345678[[#This Row],[Open.Int8]]*$A$4,0)</f>
        <v>0</v>
      </c>
      <c r="BI145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5">
        <f ca="1">Table13345678[[#This Row],[charmc]]+Table13345678[[#This Row],[charmp]]</f>
        <v>0</v>
      </c>
      <c r="BL145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5" s="78">
        <f ca="1">Table13345678[[#This Row],[call helper]]+Table13345678[[#This Row],[put helper]]</f>
        <v>0</v>
      </c>
      <c r="BP145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6" spans="1:68" x14ac:dyDescent="0.25">
      <c r="A1456" s="14">
        <f t="shared" ca="1" si="144"/>
        <v>-126.14810350076104</v>
      </c>
      <c r="C1456" s="17"/>
      <c r="D1456" t="str">
        <f>RTD("tos.rtd", , "OPEN_INT", "."&amp;Table13345678[[#This Row],[Ticker]]&amp;Table13345678[[#This Row],[Expiry]]&amp;""&amp;"C"&amp;Table13345678[[#This Row],[Spot]]+Table13345678[[#This Row],[step]])</f>
        <v>N/A</v>
      </c>
      <c r="E145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6" s="17" cm="1">
        <f t="array" aca="1" ref="H1456" ca="1">IndividualLegIVCore($A$4, Table13345678[[#This Row],[Strike]], 0.0411, Table13345678[[#This Row],[T]], ((Table13345678[[#This Row],[BIDC]]+Table13345678[[#This Row],[ASKC]])/2), TRUE)</f>
        <v>0.01</v>
      </c>
      <c r="I145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6" s="17"/>
      <c r="M1456" s="1">
        <f t="shared" si="145"/>
        <v>0</v>
      </c>
      <c r="N1456" t="b">
        <f t="shared" si="146"/>
        <v>0</v>
      </c>
      <c r="P1456" s="17" cm="1">
        <f t="array" aca="1" ref="P1456" ca="1">IndividualLegIVCore($A$4, Table13345678[[#This Row],[Strike]], 0.0411, Table13345678[[#This Row],[T]], ((Table13345678[[#This Row],[BIDP]]+Table13345678[[#This Row],[ASKP]])/2), FALSE)</f>
        <v>0.01</v>
      </c>
      <c r="Q145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6" s="17"/>
      <c r="T145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6" s="19">
        <f>-37.5* IF($M$1="NDX", 10, IF(OR($M$1="SPX", $M$1="RUT"), 2, 1))</f>
        <v>-75</v>
      </c>
      <c r="Z1456">
        <f ca="1">IFERROR(Table13345678[[#This Row],[call gamma]]*(Table13345678[[#This Row],[Open.Int]])*$A$4^2,0)</f>
        <v>0</v>
      </c>
      <c r="AA1456">
        <f ca="1">IFERROR(((Table13345678[[#This Row],[Open.Int8]])*Table13345678[[#This Row],[Put gamma]])*-1*$A$4^2,0)</f>
        <v>0</v>
      </c>
      <c r="AB1456">
        <f ca="1">(Table13345678[[#This Row],[Call Gex]]+Table13345678[[#This Row],[Put Gex]])</f>
        <v>0</v>
      </c>
      <c r="AC1456">
        <f ca="1">Table13345678[[#This Row],[put delta adj]]+Table13345678[[#This Row],[call delta adj]]</f>
        <v>0</v>
      </c>
      <c r="AD1456">
        <f ca="1">Table13345678[[#This Row],[Put Gex]]*Table13345678[[#This Row],[DeltaP]]*-1</f>
        <v>0</v>
      </c>
      <c r="AE1456">
        <f ca="1">Table13345678[[#This Row],[Call Gex]]*Table13345678[[#This Row],[DeltaC]]</f>
        <v>0</v>
      </c>
      <c r="AF1456">
        <f>IF(Table13345678[[#This Row],[DeltaC]]-ABS(Table13345678[[#This Row],[DeltaP]])="0","0.01",Table13345678[[#This Row],[DeltaC]]-ABS(Table13345678[[#This Row],[DeltaP]]))</f>
        <v>0</v>
      </c>
      <c r="AG145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6" t="e">
        <f ca="1">(EXP(-(AG1456^2)/2)/SQRT(2*PI())*EXP(0*SQRT(Table13345678[[#This Row],[T]]))/$A$4*18%*SQRT(SQRT(Table13345678[[#This Row],[T]])))</f>
        <v>#DIV/0!</v>
      </c>
      <c r="AJ1456" t="e">
        <f ca="1">(EXP(-(AH1456^2)/2)/SQRT(2*PI())*EXP(0*SQRT(Table13345678[[#This Row],[T]]))/$A$4*18%*SQRT(SQRT(Table13345678[[#This Row],[T]])))</f>
        <v>#DIV/0!</v>
      </c>
      <c r="AK1456" t="e">
        <f ca="1">Table13345678[[#This Row],[Call D1]]-Table13345678[[#This Row],[IV Calc C]]*SQRT(Table13345678[[#This Row],[T]])</f>
        <v>#DIV/0!</v>
      </c>
      <c r="AL1456" t="e">
        <f ca="1">Table13345678[[#This Row],[Put D1]]-Table13345678[[#This Row],[IV Calc P]]*SQRT(Table13345678[[#This Row],[T]])</f>
        <v>#DIV/0!</v>
      </c>
      <c r="AM1456" t="e">
        <f ca="1">EXP(-0.5*Table13345678[[#This Row],[Call D1]]^2)/SQRT(2*PI())</f>
        <v>#DIV/0!</v>
      </c>
      <c r="AN1456" t="e">
        <f ca="1">EXP(-0.5*Table13345678[[#This Row],[Put D1]]^2)/SQRT(2*PI())</f>
        <v>#DIV/0!</v>
      </c>
      <c r="AO145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6">
        <f ca="1">((Table13345678[[#This Row],[call vanna]]+Table13345678[[#This Row],[put vanna]])*$A$4)</f>
        <v>0</v>
      </c>
      <c r="AR145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6" s="9" t="str" cm="1">
        <f t="array" ref="AT1456">_xlfn.IFS(     $M$1="SPX","SPXW",     $M$1="RUT","RUTW",  $M$1="NDX","NDXP",   TRUE,$M$1 )</f>
        <v>SPXW</v>
      </c>
      <c r="AU1456" s="2">
        <f t="shared" si="147"/>
        <v>6915</v>
      </c>
      <c r="AV1456" t="str">
        <f t="shared" si="148"/>
        <v>000100</v>
      </c>
      <c r="AY145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6">
        <f>((Table13345678[[#This Row],[High C]]+Table13345678[[#This Row],[Low C]])/2)*Table13345678[[#This Row],[gammac]]*Table13345678[[#This Row],[Volume]]</f>
        <v>0</v>
      </c>
      <c r="BD1456">
        <f>((Table13345678[[#This Row],[High P]]+Table13345678[[#This Row],[Low P]])/2)*Table13345678[[#This Row],[gammap]]*Table13345678[[#This Row],[Volume9]]*-1</f>
        <v>0</v>
      </c>
      <c r="BE1456">
        <f>(Table13345678[[#This Row],[SgammaC]]+Table13345678[[#This Row],[SgammaP]])*$A$4*-100</f>
        <v>0</v>
      </c>
      <c r="BF1456">
        <f>Table13345678[[#This Row],[DEXc]]+Table13345678[[#This Row],[DEXp]]</f>
        <v>0</v>
      </c>
      <c r="BG1456" s="78">
        <f>IFERROR(Table13345678[[#This Row],[DeltaC]]*Table13345678[[#This Row],[Open.Int]]*$A$4,0)</f>
        <v>0</v>
      </c>
      <c r="BH1456">
        <f>IFERROR(Table13345678[[#This Row],[DeltaP]]*Table13345678[[#This Row],[Open.Int8]]*$A$4,0)</f>
        <v>0</v>
      </c>
      <c r="BI145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6">
        <f ca="1">Table13345678[[#This Row],[charmc]]+Table13345678[[#This Row],[charmp]]</f>
        <v>0</v>
      </c>
      <c r="BL145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6" s="78">
        <f ca="1">Table13345678[[#This Row],[call helper]]+Table13345678[[#This Row],[put helper]]</f>
        <v>0</v>
      </c>
      <c r="BP145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7" spans="1:68" x14ac:dyDescent="0.25">
      <c r="A1457" s="14">
        <f t="shared" ca="1" si="144"/>
        <v>-126.14810350076104</v>
      </c>
      <c r="C1457" s="17"/>
      <c r="D1457" t="str">
        <f>RTD("tos.rtd", , "OPEN_INT", "."&amp;Table13345678[[#This Row],[Ticker]]&amp;Table13345678[[#This Row],[Expiry]]&amp;""&amp;"C"&amp;Table13345678[[#This Row],[Spot]]+Table13345678[[#This Row],[step]])</f>
        <v>N/A</v>
      </c>
      <c r="E145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7" s="17" cm="1">
        <f t="array" aca="1" ref="H1457" ca="1">IndividualLegIVCore($A$4, Table13345678[[#This Row],[Strike]], 0.0411, Table13345678[[#This Row],[T]], ((Table13345678[[#This Row],[BIDC]]+Table13345678[[#This Row],[ASKC]])/2), TRUE)</f>
        <v>0.01</v>
      </c>
      <c r="I145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7" s="17"/>
      <c r="M1457" s="1">
        <f t="shared" si="145"/>
        <v>0</v>
      </c>
      <c r="N1457" t="b">
        <f t="shared" si="146"/>
        <v>0</v>
      </c>
      <c r="P1457" s="17" cm="1">
        <f t="array" aca="1" ref="P1457" ca="1">IndividualLegIVCore($A$4, Table13345678[[#This Row],[Strike]], 0.0411, Table13345678[[#This Row],[T]], ((Table13345678[[#This Row],[BIDP]]+Table13345678[[#This Row],[ASKP]])/2), FALSE)</f>
        <v>0.01</v>
      </c>
      <c r="Q145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7" s="17"/>
      <c r="T145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7" s="19">
        <f xml:space="preserve"> -37 * IF($M$1="NDX", 10, IF(OR($M$1="SPX", $M$1="RUT"), 2, 1))</f>
        <v>-74</v>
      </c>
      <c r="Z1457">
        <f ca="1">IFERROR(Table13345678[[#This Row],[call gamma]]*(Table13345678[[#This Row],[Open.Int]])*$A$4^2,0)</f>
        <v>0</v>
      </c>
      <c r="AA1457">
        <f ca="1">IFERROR(((Table13345678[[#This Row],[Open.Int8]])*Table13345678[[#This Row],[Put gamma]])*-1*$A$4^2,0)</f>
        <v>0</v>
      </c>
      <c r="AB1457">
        <f ca="1">(Table13345678[[#This Row],[Call Gex]]+Table13345678[[#This Row],[Put Gex]])</f>
        <v>0</v>
      </c>
      <c r="AC1457">
        <f ca="1">Table13345678[[#This Row],[put delta adj]]+Table13345678[[#This Row],[call delta adj]]</f>
        <v>0</v>
      </c>
      <c r="AD1457">
        <f ca="1">Table13345678[[#This Row],[Put Gex]]*Table13345678[[#This Row],[DeltaP]]*-1</f>
        <v>0</v>
      </c>
      <c r="AE1457">
        <f ca="1">Table13345678[[#This Row],[Call Gex]]*Table13345678[[#This Row],[DeltaC]]</f>
        <v>0</v>
      </c>
      <c r="AF1457">
        <f>IF(Table13345678[[#This Row],[DeltaC]]-ABS(Table13345678[[#This Row],[DeltaP]])="0","0.01",Table13345678[[#This Row],[DeltaC]]-ABS(Table13345678[[#This Row],[DeltaP]]))</f>
        <v>0</v>
      </c>
      <c r="AG145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7" t="e">
        <f ca="1">(EXP(-(AG1457^2)/2)/SQRT(2*PI())*EXP(0*SQRT(Table13345678[[#This Row],[T]]))/$A$4*18%*SQRT(SQRT(Table13345678[[#This Row],[T]])))</f>
        <v>#DIV/0!</v>
      </c>
      <c r="AJ1457" t="e">
        <f ca="1">(EXP(-(AH1457^2)/2)/SQRT(2*PI())*EXP(0*SQRT(Table13345678[[#This Row],[T]]))/$A$4*18%*SQRT(SQRT(Table13345678[[#This Row],[T]])))</f>
        <v>#DIV/0!</v>
      </c>
      <c r="AK1457" t="e">
        <f ca="1">Table13345678[[#This Row],[Call D1]]-Table13345678[[#This Row],[IV Calc C]]*SQRT(Table13345678[[#This Row],[T]])</f>
        <v>#DIV/0!</v>
      </c>
      <c r="AL1457" t="e">
        <f ca="1">Table13345678[[#This Row],[Put D1]]-Table13345678[[#This Row],[IV Calc P]]*SQRT(Table13345678[[#This Row],[T]])</f>
        <v>#DIV/0!</v>
      </c>
      <c r="AM1457" t="e">
        <f ca="1">EXP(-0.5*Table13345678[[#This Row],[Call D1]]^2)/SQRT(2*PI())</f>
        <v>#DIV/0!</v>
      </c>
      <c r="AN1457" t="e">
        <f ca="1">EXP(-0.5*Table13345678[[#This Row],[Put D1]]^2)/SQRT(2*PI())</f>
        <v>#DIV/0!</v>
      </c>
      <c r="AO145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7">
        <f ca="1">((Table13345678[[#This Row],[call vanna]]+Table13345678[[#This Row],[put vanna]])*$A$4)</f>
        <v>0</v>
      </c>
      <c r="AR145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7" s="9" t="str" cm="1">
        <f t="array" ref="AT1457">_xlfn.IFS(     $M$1="SPX","SPXW",     $M$1="RUT","RUTW",  $M$1="NDX","NDXP",   TRUE,$M$1 )</f>
        <v>SPXW</v>
      </c>
      <c r="AU1457" s="2">
        <f t="shared" si="147"/>
        <v>6915</v>
      </c>
      <c r="AV1457" t="str">
        <f t="shared" si="148"/>
        <v>000100</v>
      </c>
      <c r="AY145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7">
        <f>((Table13345678[[#This Row],[High C]]+Table13345678[[#This Row],[Low C]])/2)*Table13345678[[#This Row],[gammac]]*Table13345678[[#This Row],[Volume]]</f>
        <v>0</v>
      </c>
      <c r="BD1457">
        <f>((Table13345678[[#This Row],[High P]]+Table13345678[[#This Row],[Low P]])/2)*Table13345678[[#This Row],[gammap]]*Table13345678[[#This Row],[Volume9]]*-1</f>
        <v>0</v>
      </c>
      <c r="BE1457">
        <f>(Table13345678[[#This Row],[SgammaC]]+Table13345678[[#This Row],[SgammaP]])*$A$4*-100</f>
        <v>0</v>
      </c>
      <c r="BF1457">
        <f>Table13345678[[#This Row],[DEXc]]+Table13345678[[#This Row],[DEXp]]</f>
        <v>0</v>
      </c>
      <c r="BG1457" s="78">
        <f>IFERROR(Table13345678[[#This Row],[DeltaC]]*Table13345678[[#This Row],[Open.Int]]*$A$4,0)</f>
        <v>0</v>
      </c>
      <c r="BH1457">
        <f>IFERROR(Table13345678[[#This Row],[DeltaP]]*Table13345678[[#This Row],[Open.Int8]]*$A$4,0)</f>
        <v>0</v>
      </c>
      <c r="BI145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7">
        <f ca="1">Table13345678[[#This Row],[charmc]]+Table13345678[[#This Row],[charmp]]</f>
        <v>0</v>
      </c>
      <c r="BL145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7" s="78">
        <f ca="1">Table13345678[[#This Row],[call helper]]+Table13345678[[#This Row],[put helper]]</f>
        <v>0</v>
      </c>
      <c r="BP145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8" spans="1:68" x14ac:dyDescent="0.25">
      <c r="A1458" s="14">
        <f t="shared" ca="1" si="144"/>
        <v>-126.14810350076104</v>
      </c>
      <c r="C1458" s="17"/>
      <c r="D1458" t="str">
        <f>RTD("tos.rtd", , "OPEN_INT", "."&amp;Table13345678[[#This Row],[Ticker]]&amp;Table13345678[[#This Row],[Expiry]]&amp;""&amp;"C"&amp;Table13345678[[#This Row],[Spot]]+Table13345678[[#This Row],[step]])</f>
        <v>N/A</v>
      </c>
      <c r="E145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8" s="17" cm="1">
        <f t="array" aca="1" ref="H1458" ca="1">IndividualLegIVCore($A$4, Table13345678[[#This Row],[Strike]], 0.0411, Table13345678[[#This Row],[T]], ((Table13345678[[#This Row],[BIDC]]+Table13345678[[#This Row],[ASKC]])/2), TRUE)</f>
        <v>0.01</v>
      </c>
      <c r="I145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8" s="17"/>
      <c r="M1458" s="1">
        <f t="shared" si="145"/>
        <v>0</v>
      </c>
      <c r="N1458" t="b">
        <f t="shared" si="146"/>
        <v>0</v>
      </c>
      <c r="P1458" s="17" cm="1">
        <f t="array" aca="1" ref="P1458" ca="1">IndividualLegIVCore($A$4, Table13345678[[#This Row],[Strike]], 0.0411, Table13345678[[#This Row],[T]], ((Table13345678[[#This Row],[BIDP]]+Table13345678[[#This Row],[ASKP]])/2), FALSE)</f>
        <v>0.01</v>
      </c>
      <c r="Q145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8" s="17"/>
      <c r="T145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8" s="19">
        <f>-36.5 * IF($M$1="NDX", 10, IF(OR($M$1="SPX", $M$1="RUT"), 2, 1))</f>
        <v>-73</v>
      </c>
      <c r="Z1458">
        <f ca="1">IFERROR(Table13345678[[#This Row],[call gamma]]*(Table13345678[[#This Row],[Open.Int]])*$A$4^2,0)</f>
        <v>0</v>
      </c>
      <c r="AA1458">
        <f ca="1">IFERROR(((Table13345678[[#This Row],[Open.Int8]])*Table13345678[[#This Row],[Put gamma]])*-1*$A$4^2,0)</f>
        <v>0</v>
      </c>
      <c r="AB1458">
        <f ca="1">(Table13345678[[#This Row],[Call Gex]]+Table13345678[[#This Row],[Put Gex]])</f>
        <v>0</v>
      </c>
      <c r="AC1458">
        <f ca="1">Table13345678[[#This Row],[put delta adj]]+Table13345678[[#This Row],[call delta adj]]</f>
        <v>0</v>
      </c>
      <c r="AD1458">
        <f ca="1">Table13345678[[#This Row],[Put Gex]]*Table13345678[[#This Row],[DeltaP]]*-1</f>
        <v>0</v>
      </c>
      <c r="AE1458">
        <f ca="1">Table13345678[[#This Row],[Call Gex]]*Table13345678[[#This Row],[DeltaC]]</f>
        <v>0</v>
      </c>
      <c r="AF1458">
        <f>IF(Table13345678[[#This Row],[DeltaC]]-ABS(Table13345678[[#This Row],[DeltaP]])="0","0.01",Table13345678[[#This Row],[DeltaC]]-ABS(Table13345678[[#This Row],[DeltaP]]))</f>
        <v>0</v>
      </c>
      <c r="AG145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8" t="e">
        <f ca="1">(EXP(-(AG1458^2)/2)/SQRT(2*PI())*EXP(0*SQRT(Table13345678[[#This Row],[T]]))/$A$4*18%*SQRT(SQRT(Table13345678[[#This Row],[T]])))</f>
        <v>#DIV/0!</v>
      </c>
      <c r="AJ1458" t="e">
        <f ca="1">(EXP(-(AH1458^2)/2)/SQRT(2*PI())*EXP(0*SQRT(Table13345678[[#This Row],[T]]))/$A$4*18%*SQRT(SQRT(Table13345678[[#This Row],[T]])))</f>
        <v>#DIV/0!</v>
      </c>
      <c r="AK1458" t="e">
        <f ca="1">Table13345678[[#This Row],[Call D1]]-Table13345678[[#This Row],[IV Calc C]]*SQRT(Table13345678[[#This Row],[T]])</f>
        <v>#DIV/0!</v>
      </c>
      <c r="AL1458" t="e">
        <f ca="1">Table13345678[[#This Row],[Put D1]]-Table13345678[[#This Row],[IV Calc P]]*SQRT(Table13345678[[#This Row],[T]])</f>
        <v>#DIV/0!</v>
      </c>
      <c r="AM1458" t="e">
        <f ca="1">EXP(-0.5*Table13345678[[#This Row],[Call D1]]^2)/SQRT(2*PI())</f>
        <v>#DIV/0!</v>
      </c>
      <c r="AN1458" t="e">
        <f ca="1">EXP(-0.5*Table13345678[[#This Row],[Put D1]]^2)/SQRT(2*PI())</f>
        <v>#DIV/0!</v>
      </c>
      <c r="AO145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8">
        <f ca="1">((Table13345678[[#This Row],[call vanna]]+Table13345678[[#This Row],[put vanna]])*$A$4)</f>
        <v>0</v>
      </c>
      <c r="AR145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8" s="9" t="str" cm="1">
        <f t="array" ref="AT1458">_xlfn.IFS(     $M$1="SPX","SPXW",     $M$1="RUT","RUTW",  $M$1="NDX","NDXP",   TRUE,$M$1 )</f>
        <v>SPXW</v>
      </c>
      <c r="AU1458" s="2">
        <f t="shared" si="147"/>
        <v>6915</v>
      </c>
      <c r="AV1458" t="str">
        <f t="shared" si="148"/>
        <v>000100</v>
      </c>
      <c r="AY145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8">
        <f>((Table13345678[[#This Row],[High C]]+Table13345678[[#This Row],[Low C]])/2)*Table13345678[[#This Row],[gammac]]*Table13345678[[#This Row],[Volume]]</f>
        <v>0</v>
      </c>
      <c r="BD1458">
        <f>((Table13345678[[#This Row],[High P]]+Table13345678[[#This Row],[Low P]])/2)*Table13345678[[#This Row],[gammap]]*Table13345678[[#This Row],[Volume9]]*-1</f>
        <v>0</v>
      </c>
      <c r="BE1458">
        <f>(Table13345678[[#This Row],[SgammaC]]+Table13345678[[#This Row],[SgammaP]])*$A$4*-100</f>
        <v>0</v>
      </c>
      <c r="BF1458">
        <f>Table13345678[[#This Row],[DEXc]]+Table13345678[[#This Row],[DEXp]]</f>
        <v>0</v>
      </c>
      <c r="BG1458" s="78">
        <f>IFERROR(Table13345678[[#This Row],[DeltaC]]*Table13345678[[#This Row],[Open.Int]]*$A$4,0)</f>
        <v>0</v>
      </c>
      <c r="BH1458">
        <f>IFERROR(Table13345678[[#This Row],[DeltaP]]*Table13345678[[#This Row],[Open.Int8]]*$A$4,0)</f>
        <v>0</v>
      </c>
      <c r="BI145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8">
        <f ca="1">Table13345678[[#This Row],[charmc]]+Table13345678[[#This Row],[charmp]]</f>
        <v>0</v>
      </c>
      <c r="BL145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8" s="78">
        <f ca="1">Table13345678[[#This Row],[call helper]]+Table13345678[[#This Row],[put helper]]</f>
        <v>0</v>
      </c>
      <c r="BP145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9" spans="1:68" x14ac:dyDescent="0.25">
      <c r="A1459" s="14">
        <f t="shared" ca="1" si="144"/>
        <v>-126.14810350076104</v>
      </c>
      <c r="C1459" s="17"/>
      <c r="D1459" t="str">
        <f>RTD("tos.rtd", , "OPEN_INT", "."&amp;Table13345678[[#This Row],[Ticker]]&amp;Table13345678[[#This Row],[Expiry]]&amp;""&amp;"C"&amp;Table13345678[[#This Row],[Spot]]+Table13345678[[#This Row],[step]])</f>
        <v>N/A</v>
      </c>
      <c r="E145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9" s="17" cm="1">
        <f t="array" aca="1" ref="H1459" ca="1">IndividualLegIVCore($A$4, Table13345678[[#This Row],[Strike]], 0.0411, Table13345678[[#This Row],[T]], ((Table13345678[[#This Row],[BIDC]]+Table13345678[[#This Row],[ASKC]])/2), TRUE)</f>
        <v>0.01</v>
      </c>
      <c r="I145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9" s="17"/>
      <c r="M1459" s="1">
        <f t="shared" si="145"/>
        <v>0</v>
      </c>
      <c r="N1459" t="b">
        <f t="shared" si="146"/>
        <v>0</v>
      </c>
      <c r="P1459" s="17" cm="1">
        <f t="array" aca="1" ref="P1459" ca="1">IndividualLegIVCore($A$4, Table13345678[[#This Row],[Strike]], 0.0411, Table13345678[[#This Row],[T]], ((Table13345678[[#This Row],[BIDP]]+Table13345678[[#This Row],[ASKP]])/2), FALSE)</f>
        <v>0.01</v>
      </c>
      <c r="Q145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9" s="17"/>
      <c r="T145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9" s="19">
        <f>-36 * IF($M$1="NDX", 10, IF(OR($M$1="SPX", $M$1="RUT"), 2, 1))</f>
        <v>-72</v>
      </c>
      <c r="Z1459">
        <f ca="1">IFERROR(Table13345678[[#This Row],[call gamma]]*(Table13345678[[#This Row],[Open.Int]])*$A$4^2,0)</f>
        <v>0</v>
      </c>
      <c r="AA1459">
        <f ca="1">IFERROR(((Table13345678[[#This Row],[Open.Int8]])*Table13345678[[#This Row],[Put gamma]])*-1*$A$4^2,0)</f>
        <v>0</v>
      </c>
      <c r="AB1459">
        <f ca="1">(Table13345678[[#This Row],[Call Gex]]+Table13345678[[#This Row],[Put Gex]])</f>
        <v>0</v>
      </c>
      <c r="AC1459">
        <f ca="1">Table13345678[[#This Row],[put delta adj]]+Table13345678[[#This Row],[call delta adj]]</f>
        <v>0</v>
      </c>
      <c r="AD1459">
        <f ca="1">Table13345678[[#This Row],[Put Gex]]*Table13345678[[#This Row],[DeltaP]]*-1</f>
        <v>0</v>
      </c>
      <c r="AE1459">
        <f ca="1">Table13345678[[#This Row],[Call Gex]]*Table13345678[[#This Row],[DeltaC]]</f>
        <v>0</v>
      </c>
      <c r="AF1459">
        <f>IF(Table13345678[[#This Row],[DeltaC]]-ABS(Table13345678[[#This Row],[DeltaP]])="0","0.01",Table13345678[[#This Row],[DeltaC]]-ABS(Table13345678[[#This Row],[DeltaP]]))</f>
        <v>0</v>
      </c>
      <c r="AG145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9" t="e">
        <f ca="1">(EXP(-(AG1459^2)/2)/SQRT(2*PI())*EXP(0*SQRT(Table13345678[[#This Row],[T]]))/$A$4*18%*SQRT(SQRT(Table13345678[[#This Row],[T]])))</f>
        <v>#DIV/0!</v>
      </c>
      <c r="AJ1459" t="e">
        <f ca="1">(EXP(-(AH1459^2)/2)/SQRT(2*PI())*EXP(0*SQRT(Table13345678[[#This Row],[T]]))/$A$4*18%*SQRT(SQRT(Table13345678[[#This Row],[T]])))</f>
        <v>#DIV/0!</v>
      </c>
      <c r="AK1459" t="e">
        <f ca="1">Table13345678[[#This Row],[Call D1]]-Table13345678[[#This Row],[IV Calc C]]*SQRT(Table13345678[[#This Row],[T]])</f>
        <v>#DIV/0!</v>
      </c>
      <c r="AL1459" t="e">
        <f ca="1">Table13345678[[#This Row],[Put D1]]-Table13345678[[#This Row],[IV Calc P]]*SQRT(Table13345678[[#This Row],[T]])</f>
        <v>#DIV/0!</v>
      </c>
      <c r="AM1459" t="e">
        <f ca="1">EXP(-0.5*Table13345678[[#This Row],[Call D1]]^2)/SQRT(2*PI())</f>
        <v>#DIV/0!</v>
      </c>
      <c r="AN1459" t="e">
        <f ca="1">EXP(-0.5*Table13345678[[#This Row],[Put D1]]^2)/SQRT(2*PI())</f>
        <v>#DIV/0!</v>
      </c>
      <c r="AO145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9">
        <f ca="1">((Table13345678[[#This Row],[call vanna]]+Table13345678[[#This Row],[put vanna]])*$A$4)</f>
        <v>0</v>
      </c>
      <c r="AR145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9" s="9" t="str" cm="1">
        <f t="array" ref="AT1459">_xlfn.IFS(     $M$1="SPX","SPXW",     $M$1="RUT","RUTW",  $M$1="NDX","NDXP",   TRUE,$M$1 )</f>
        <v>SPXW</v>
      </c>
      <c r="AU1459" s="2">
        <f t="shared" si="147"/>
        <v>6915</v>
      </c>
      <c r="AV1459" t="str">
        <f t="shared" si="148"/>
        <v>000100</v>
      </c>
      <c r="AY145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9">
        <f>((Table13345678[[#This Row],[High C]]+Table13345678[[#This Row],[Low C]])/2)*Table13345678[[#This Row],[gammac]]*Table13345678[[#This Row],[Volume]]</f>
        <v>0</v>
      </c>
      <c r="BD1459">
        <f>((Table13345678[[#This Row],[High P]]+Table13345678[[#This Row],[Low P]])/2)*Table13345678[[#This Row],[gammap]]*Table13345678[[#This Row],[Volume9]]*-1</f>
        <v>0</v>
      </c>
      <c r="BE1459">
        <f>(Table13345678[[#This Row],[SgammaC]]+Table13345678[[#This Row],[SgammaP]])*$A$4*-100</f>
        <v>0</v>
      </c>
      <c r="BF1459">
        <f>Table13345678[[#This Row],[DEXc]]+Table13345678[[#This Row],[DEXp]]</f>
        <v>0</v>
      </c>
      <c r="BG1459" s="78">
        <f>IFERROR(Table13345678[[#This Row],[DeltaC]]*Table13345678[[#This Row],[Open.Int]]*$A$4,0)</f>
        <v>0</v>
      </c>
      <c r="BH1459">
        <f>IFERROR(Table13345678[[#This Row],[DeltaP]]*Table13345678[[#This Row],[Open.Int8]]*$A$4,0)</f>
        <v>0</v>
      </c>
      <c r="BI145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9">
        <f ca="1">Table13345678[[#This Row],[charmc]]+Table13345678[[#This Row],[charmp]]</f>
        <v>0</v>
      </c>
      <c r="BL145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9" s="78">
        <f ca="1">Table13345678[[#This Row],[call helper]]+Table13345678[[#This Row],[put helper]]</f>
        <v>0</v>
      </c>
      <c r="BP145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0" spans="1:68" x14ac:dyDescent="0.25">
      <c r="A1460" s="14">
        <f t="shared" ca="1" si="144"/>
        <v>-126.14810350076104</v>
      </c>
      <c r="C1460" s="17"/>
      <c r="D1460" t="str">
        <f>RTD("tos.rtd", , "OPEN_INT", "."&amp;Table13345678[[#This Row],[Ticker]]&amp;Table13345678[[#This Row],[Expiry]]&amp;""&amp;"C"&amp;Table13345678[[#This Row],[Spot]]+Table13345678[[#This Row],[step]])</f>
        <v>N/A</v>
      </c>
      <c r="E146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0" s="17" cm="1">
        <f t="array" aca="1" ref="H1460" ca="1">IndividualLegIVCore($A$4, Table13345678[[#This Row],[Strike]], 0.0411, Table13345678[[#This Row],[T]], ((Table13345678[[#This Row],[BIDC]]+Table13345678[[#This Row],[ASKC]])/2), TRUE)</f>
        <v>0.01</v>
      </c>
      <c r="I146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0" s="17"/>
      <c r="M1460" s="1">
        <f t="shared" si="145"/>
        <v>0</v>
      </c>
      <c r="N1460" t="b">
        <f t="shared" si="146"/>
        <v>0</v>
      </c>
      <c r="P1460" s="17" cm="1">
        <f t="array" aca="1" ref="P1460" ca="1">IndividualLegIVCore($A$4, Table13345678[[#This Row],[Strike]], 0.0411, Table13345678[[#This Row],[T]], ((Table13345678[[#This Row],[BIDP]]+Table13345678[[#This Row],[ASKP]])/2), FALSE)</f>
        <v>0.01</v>
      </c>
      <c r="Q146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0" s="17"/>
      <c r="T146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0" s="19">
        <f>-35.5 * IF($M$1="NDX", 10, IF(OR($M$1="SPX", $M$1="RUT"), 2, 1))</f>
        <v>-71</v>
      </c>
      <c r="Z1460">
        <f ca="1">IFERROR(Table13345678[[#This Row],[call gamma]]*(Table13345678[[#This Row],[Open.Int]])*$A$4^2,0)</f>
        <v>0</v>
      </c>
      <c r="AA1460">
        <f ca="1">IFERROR(((Table13345678[[#This Row],[Open.Int8]])*Table13345678[[#This Row],[Put gamma]])*-1*$A$4^2,0)</f>
        <v>0</v>
      </c>
      <c r="AB1460">
        <f ca="1">(Table13345678[[#This Row],[Call Gex]]+Table13345678[[#This Row],[Put Gex]])</f>
        <v>0</v>
      </c>
      <c r="AC1460">
        <f ca="1">Table13345678[[#This Row],[put delta adj]]+Table13345678[[#This Row],[call delta adj]]</f>
        <v>0</v>
      </c>
      <c r="AD1460">
        <f ca="1">Table13345678[[#This Row],[Put Gex]]*Table13345678[[#This Row],[DeltaP]]*-1</f>
        <v>0</v>
      </c>
      <c r="AE1460">
        <f ca="1">Table13345678[[#This Row],[Call Gex]]*Table13345678[[#This Row],[DeltaC]]</f>
        <v>0</v>
      </c>
      <c r="AF1460">
        <f>IF(Table13345678[[#This Row],[DeltaC]]-ABS(Table13345678[[#This Row],[DeltaP]])="0","0.01",Table13345678[[#This Row],[DeltaC]]-ABS(Table13345678[[#This Row],[DeltaP]]))</f>
        <v>0</v>
      </c>
      <c r="AG146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0" t="e">
        <f ca="1">(EXP(-(AG1460^2)/2)/SQRT(2*PI())*EXP(0*SQRT(Table13345678[[#This Row],[T]]))/$A$4*18%*SQRT(SQRT(Table13345678[[#This Row],[T]])))</f>
        <v>#DIV/0!</v>
      </c>
      <c r="AJ1460" t="e">
        <f ca="1">(EXP(-(AH1460^2)/2)/SQRT(2*PI())*EXP(0*SQRT(Table13345678[[#This Row],[T]]))/$A$4*18%*SQRT(SQRT(Table13345678[[#This Row],[T]])))</f>
        <v>#DIV/0!</v>
      </c>
      <c r="AK1460" t="e">
        <f ca="1">Table13345678[[#This Row],[Call D1]]-Table13345678[[#This Row],[IV Calc C]]*SQRT(Table13345678[[#This Row],[T]])</f>
        <v>#DIV/0!</v>
      </c>
      <c r="AL1460" t="e">
        <f ca="1">Table13345678[[#This Row],[Put D1]]-Table13345678[[#This Row],[IV Calc P]]*SQRT(Table13345678[[#This Row],[T]])</f>
        <v>#DIV/0!</v>
      </c>
      <c r="AM1460" t="e">
        <f ca="1">EXP(-0.5*Table13345678[[#This Row],[Call D1]]^2)/SQRT(2*PI())</f>
        <v>#DIV/0!</v>
      </c>
      <c r="AN1460" t="e">
        <f ca="1">EXP(-0.5*Table13345678[[#This Row],[Put D1]]^2)/SQRT(2*PI())</f>
        <v>#DIV/0!</v>
      </c>
      <c r="AO146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0">
        <f ca="1">((Table13345678[[#This Row],[call vanna]]+Table13345678[[#This Row],[put vanna]])*$A$4)</f>
        <v>0</v>
      </c>
      <c r="AR146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0" s="9" t="str" cm="1">
        <f t="array" ref="AT1460">_xlfn.IFS(     $M$1="SPX","SPXW",     $M$1="RUT","RUTW",  $M$1="NDX","NDXP",   TRUE,$M$1 )</f>
        <v>SPXW</v>
      </c>
      <c r="AU1460" s="2">
        <f t="shared" si="147"/>
        <v>6915</v>
      </c>
      <c r="AV1460" t="str">
        <f t="shared" si="148"/>
        <v>000100</v>
      </c>
      <c r="AY146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0">
        <f>((Table13345678[[#This Row],[High C]]+Table13345678[[#This Row],[Low C]])/2)*Table13345678[[#This Row],[gammac]]*Table13345678[[#This Row],[Volume]]</f>
        <v>0</v>
      </c>
      <c r="BD1460">
        <f>((Table13345678[[#This Row],[High P]]+Table13345678[[#This Row],[Low P]])/2)*Table13345678[[#This Row],[gammap]]*Table13345678[[#This Row],[Volume9]]*-1</f>
        <v>0</v>
      </c>
      <c r="BE1460">
        <f>(Table13345678[[#This Row],[SgammaC]]+Table13345678[[#This Row],[SgammaP]])*$A$4*-100</f>
        <v>0</v>
      </c>
      <c r="BF1460">
        <f>Table13345678[[#This Row],[DEXc]]+Table13345678[[#This Row],[DEXp]]</f>
        <v>0</v>
      </c>
      <c r="BG1460" s="78">
        <f>IFERROR(Table13345678[[#This Row],[DeltaC]]*Table13345678[[#This Row],[Open.Int]]*$A$4,0)</f>
        <v>0</v>
      </c>
      <c r="BH1460">
        <f>IFERROR(Table13345678[[#This Row],[DeltaP]]*Table13345678[[#This Row],[Open.Int8]]*$A$4,0)</f>
        <v>0</v>
      </c>
      <c r="BI146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0">
        <f ca="1">Table13345678[[#This Row],[charmc]]+Table13345678[[#This Row],[charmp]]</f>
        <v>0</v>
      </c>
      <c r="BL146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0" s="78">
        <f ca="1">Table13345678[[#This Row],[call helper]]+Table13345678[[#This Row],[put helper]]</f>
        <v>0</v>
      </c>
      <c r="BP146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1" spans="1:68" x14ac:dyDescent="0.25">
      <c r="A1461" s="14">
        <f t="shared" ca="1" si="144"/>
        <v>-126.14810350076104</v>
      </c>
      <c r="C1461" s="17"/>
      <c r="D1461" t="str">
        <f>RTD("tos.rtd", , "OPEN_INT", "."&amp;Table13345678[[#This Row],[Ticker]]&amp;Table13345678[[#This Row],[Expiry]]&amp;""&amp;"C"&amp;Table13345678[[#This Row],[Spot]]+Table13345678[[#This Row],[step]])</f>
        <v>N/A</v>
      </c>
      <c r="E146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1" s="17" cm="1">
        <f t="array" aca="1" ref="H1461" ca="1">IndividualLegIVCore($A$4, Table13345678[[#This Row],[Strike]], 0.0411, Table13345678[[#This Row],[T]], ((Table13345678[[#This Row],[BIDC]]+Table13345678[[#This Row],[ASKC]])/2), TRUE)</f>
        <v>0.01</v>
      </c>
      <c r="I146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1" s="17"/>
      <c r="M1461" s="1">
        <f t="shared" si="145"/>
        <v>0</v>
      </c>
      <c r="N1461" t="b">
        <f t="shared" si="146"/>
        <v>0</v>
      </c>
      <c r="P1461" s="17" cm="1">
        <f t="array" aca="1" ref="P1461" ca="1">IndividualLegIVCore($A$4, Table13345678[[#This Row],[Strike]], 0.0411, Table13345678[[#This Row],[T]], ((Table13345678[[#This Row],[BIDP]]+Table13345678[[#This Row],[ASKP]])/2), FALSE)</f>
        <v>0.01</v>
      </c>
      <c r="Q146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1" s="17"/>
      <c r="T146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1" s="19">
        <f>-35 * IF($M$1="NDX", 10, IF(OR($M$1="SPX", $M$1="RUT"), 2, 1))</f>
        <v>-70</v>
      </c>
      <c r="Z1461">
        <f ca="1">IFERROR(Table13345678[[#This Row],[call gamma]]*(Table13345678[[#This Row],[Open.Int]])*$A$4^2,0)</f>
        <v>0</v>
      </c>
      <c r="AA1461">
        <f ca="1">IFERROR(((Table13345678[[#This Row],[Open.Int8]])*Table13345678[[#This Row],[Put gamma]])*-1*$A$4^2,0)</f>
        <v>0</v>
      </c>
      <c r="AB1461">
        <f ca="1">(Table13345678[[#This Row],[Call Gex]]+Table13345678[[#This Row],[Put Gex]])</f>
        <v>0</v>
      </c>
      <c r="AC1461">
        <f ca="1">Table13345678[[#This Row],[put delta adj]]+Table13345678[[#This Row],[call delta adj]]</f>
        <v>0</v>
      </c>
      <c r="AD1461">
        <f ca="1">Table13345678[[#This Row],[Put Gex]]*Table13345678[[#This Row],[DeltaP]]*-1</f>
        <v>0</v>
      </c>
      <c r="AE1461">
        <f ca="1">Table13345678[[#This Row],[Call Gex]]*Table13345678[[#This Row],[DeltaC]]</f>
        <v>0</v>
      </c>
      <c r="AF1461">
        <f>IF(Table13345678[[#This Row],[DeltaC]]-ABS(Table13345678[[#This Row],[DeltaP]])="0","0.01",Table13345678[[#This Row],[DeltaC]]-ABS(Table13345678[[#This Row],[DeltaP]]))</f>
        <v>0</v>
      </c>
      <c r="AG146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1" t="e">
        <f ca="1">(EXP(-(AG1461^2)/2)/SQRT(2*PI())*EXP(0*SQRT(Table13345678[[#This Row],[T]]))/$A$4*18%*SQRT(SQRT(Table13345678[[#This Row],[T]])))</f>
        <v>#DIV/0!</v>
      </c>
      <c r="AJ1461" t="e">
        <f ca="1">(EXP(-(AH1461^2)/2)/SQRT(2*PI())*EXP(0*SQRT(Table13345678[[#This Row],[T]]))/$A$4*18%*SQRT(SQRT(Table13345678[[#This Row],[T]])))</f>
        <v>#DIV/0!</v>
      </c>
      <c r="AK1461" t="e">
        <f ca="1">Table13345678[[#This Row],[Call D1]]-Table13345678[[#This Row],[IV Calc C]]*SQRT(Table13345678[[#This Row],[T]])</f>
        <v>#DIV/0!</v>
      </c>
      <c r="AL1461" t="e">
        <f ca="1">Table13345678[[#This Row],[Put D1]]-Table13345678[[#This Row],[IV Calc P]]*SQRT(Table13345678[[#This Row],[T]])</f>
        <v>#DIV/0!</v>
      </c>
      <c r="AM1461" t="e">
        <f ca="1">EXP(-0.5*Table13345678[[#This Row],[Call D1]]^2)/SQRT(2*PI())</f>
        <v>#DIV/0!</v>
      </c>
      <c r="AN1461" t="e">
        <f ca="1">EXP(-0.5*Table13345678[[#This Row],[Put D1]]^2)/SQRT(2*PI())</f>
        <v>#DIV/0!</v>
      </c>
      <c r="AO146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1">
        <f ca="1">((Table13345678[[#This Row],[call vanna]]+Table13345678[[#This Row],[put vanna]])*$A$4)</f>
        <v>0</v>
      </c>
      <c r="AR146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1" s="9" t="str" cm="1">
        <f t="array" ref="AT1461">_xlfn.IFS(     $M$1="SPX","SPXW",     $M$1="RUT","RUTW",  $M$1="NDX","NDXP",   TRUE,$M$1 )</f>
        <v>SPXW</v>
      </c>
      <c r="AU1461" s="2">
        <f t="shared" si="147"/>
        <v>6915</v>
      </c>
      <c r="AV1461" t="str">
        <f t="shared" si="148"/>
        <v>000100</v>
      </c>
      <c r="AY146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1">
        <f>((Table13345678[[#This Row],[High C]]+Table13345678[[#This Row],[Low C]])/2)*Table13345678[[#This Row],[gammac]]*Table13345678[[#This Row],[Volume]]</f>
        <v>0</v>
      </c>
      <c r="BD1461">
        <f>((Table13345678[[#This Row],[High P]]+Table13345678[[#This Row],[Low P]])/2)*Table13345678[[#This Row],[gammap]]*Table13345678[[#This Row],[Volume9]]*-1</f>
        <v>0</v>
      </c>
      <c r="BE1461">
        <f>(Table13345678[[#This Row],[SgammaC]]+Table13345678[[#This Row],[SgammaP]])*$A$4*-100</f>
        <v>0</v>
      </c>
      <c r="BF1461">
        <f>Table13345678[[#This Row],[DEXc]]+Table13345678[[#This Row],[DEXp]]</f>
        <v>0</v>
      </c>
      <c r="BG1461" s="78">
        <f>IFERROR(Table13345678[[#This Row],[DeltaC]]*Table13345678[[#This Row],[Open.Int]]*$A$4,0)</f>
        <v>0</v>
      </c>
      <c r="BH1461">
        <f>IFERROR(Table13345678[[#This Row],[DeltaP]]*Table13345678[[#This Row],[Open.Int8]]*$A$4,0)</f>
        <v>0</v>
      </c>
      <c r="BI146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1">
        <f ca="1">Table13345678[[#This Row],[charmc]]+Table13345678[[#This Row],[charmp]]</f>
        <v>0</v>
      </c>
      <c r="BL146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1" s="78">
        <f ca="1">Table13345678[[#This Row],[call helper]]+Table13345678[[#This Row],[put helper]]</f>
        <v>0</v>
      </c>
      <c r="BP146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2" spans="1:68" x14ac:dyDescent="0.25">
      <c r="A1462" s="14">
        <f t="shared" ca="1" si="144"/>
        <v>-126.14810350076104</v>
      </c>
      <c r="C1462" s="17"/>
      <c r="D1462" t="str">
        <f>RTD("tos.rtd", , "OPEN_INT", "."&amp;Table13345678[[#This Row],[Ticker]]&amp;Table13345678[[#This Row],[Expiry]]&amp;""&amp;"C"&amp;Table13345678[[#This Row],[Spot]]+Table13345678[[#This Row],[step]])</f>
        <v>N/A</v>
      </c>
      <c r="E146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2" s="17" cm="1">
        <f t="array" aca="1" ref="H1462" ca="1">IndividualLegIVCore($A$4, Table13345678[[#This Row],[Strike]], 0.0411, Table13345678[[#This Row],[T]], ((Table13345678[[#This Row],[BIDC]]+Table13345678[[#This Row],[ASKC]])/2), TRUE)</f>
        <v>0.01</v>
      </c>
      <c r="I146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2" s="17"/>
      <c r="M1462" s="1">
        <f t="shared" si="145"/>
        <v>0</v>
      </c>
      <c r="N1462" t="b">
        <f t="shared" si="146"/>
        <v>0</v>
      </c>
      <c r="P1462" s="17" cm="1">
        <f t="array" aca="1" ref="P1462" ca="1">IndividualLegIVCore($A$4, Table13345678[[#This Row],[Strike]], 0.0411, Table13345678[[#This Row],[T]], ((Table13345678[[#This Row],[BIDP]]+Table13345678[[#This Row],[ASKP]])/2), FALSE)</f>
        <v>0.01</v>
      </c>
      <c r="Q146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2" s="17"/>
      <c r="T146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2" s="19">
        <f>-34.5 * IF($M$1="NDX", 10, IF(OR($M$1="SPX", $M$1="RUT"), 2, 1))</f>
        <v>-69</v>
      </c>
      <c r="Z1462">
        <f ca="1">IFERROR(Table13345678[[#This Row],[call gamma]]*(Table13345678[[#This Row],[Open.Int]])*$A$4^2,0)</f>
        <v>0</v>
      </c>
      <c r="AA1462">
        <f ca="1">IFERROR(((Table13345678[[#This Row],[Open.Int8]])*Table13345678[[#This Row],[Put gamma]])*-1*$A$4^2,0)</f>
        <v>0</v>
      </c>
      <c r="AB1462">
        <f ca="1">(Table13345678[[#This Row],[Call Gex]]+Table13345678[[#This Row],[Put Gex]])</f>
        <v>0</v>
      </c>
      <c r="AC1462">
        <f ca="1">Table13345678[[#This Row],[put delta adj]]+Table13345678[[#This Row],[call delta adj]]</f>
        <v>0</v>
      </c>
      <c r="AD1462">
        <f ca="1">Table13345678[[#This Row],[Put Gex]]*Table13345678[[#This Row],[DeltaP]]*-1</f>
        <v>0</v>
      </c>
      <c r="AE1462">
        <f ca="1">Table13345678[[#This Row],[Call Gex]]*Table13345678[[#This Row],[DeltaC]]</f>
        <v>0</v>
      </c>
      <c r="AF1462">
        <f>IF(Table13345678[[#This Row],[DeltaC]]-ABS(Table13345678[[#This Row],[DeltaP]])="0","0.01",Table13345678[[#This Row],[DeltaC]]-ABS(Table13345678[[#This Row],[DeltaP]]))</f>
        <v>0</v>
      </c>
      <c r="AG146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2" t="e">
        <f ca="1">(EXP(-(AG1462^2)/2)/SQRT(2*PI())*EXP(0*SQRT(Table13345678[[#This Row],[T]]))/$A$4*18%*SQRT(SQRT(Table13345678[[#This Row],[T]])))</f>
        <v>#DIV/0!</v>
      </c>
      <c r="AJ1462" t="e">
        <f ca="1">(EXP(-(AH1462^2)/2)/SQRT(2*PI())*EXP(0*SQRT(Table13345678[[#This Row],[T]]))/$A$4*18%*SQRT(SQRT(Table13345678[[#This Row],[T]])))</f>
        <v>#DIV/0!</v>
      </c>
      <c r="AK1462" t="e">
        <f ca="1">Table13345678[[#This Row],[Call D1]]-Table13345678[[#This Row],[IV Calc C]]*SQRT(Table13345678[[#This Row],[T]])</f>
        <v>#DIV/0!</v>
      </c>
      <c r="AL1462" t="e">
        <f ca="1">Table13345678[[#This Row],[Put D1]]-Table13345678[[#This Row],[IV Calc P]]*SQRT(Table13345678[[#This Row],[T]])</f>
        <v>#DIV/0!</v>
      </c>
      <c r="AM1462" t="e">
        <f ca="1">EXP(-0.5*Table13345678[[#This Row],[Call D1]]^2)/SQRT(2*PI())</f>
        <v>#DIV/0!</v>
      </c>
      <c r="AN1462" t="e">
        <f ca="1">EXP(-0.5*Table13345678[[#This Row],[Put D1]]^2)/SQRT(2*PI())</f>
        <v>#DIV/0!</v>
      </c>
      <c r="AO146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2">
        <f ca="1">((Table13345678[[#This Row],[call vanna]]+Table13345678[[#This Row],[put vanna]])*$A$4)</f>
        <v>0</v>
      </c>
      <c r="AR146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2" s="9" t="str" cm="1">
        <f t="array" ref="AT1462">_xlfn.IFS(     $M$1="SPX","SPXW",     $M$1="RUT","RUTW",  $M$1="NDX","NDXP",   TRUE,$M$1 )</f>
        <v>SPXW</v>
      </c>
      <c r="AU1462" s="2">
        <f t="shared" si="147"/>
        <v>6915</v>
      </c>
      <c r="AV1462" t="str">
        <f t="shared" si="148"/>
        <v>000100</v>
      </c>
      <c r="AY146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2">
        <f>((Table13345678[[#This Row],[High C]]+Table13345678[[#This Row],[Low C]])/2)*Table13345678[[#This Row],[gammac]]*Table13345678[[#This Row],[Volume]]</f>
        <v>0</v>
      </c>
      <c r="BD1462">
        <f>((Table13345678[[#This Row],[High P]]+Table13345678[[#This Row],[Low P]])/2)*Table13345678[[#This Row],[gammap]]*Table13345678[[#This Row],[Volume9]]*-1</f>
        <v>0</v>
      </c>
      <c r="BE1462">
        <f>(Table13345678[[#This Row],[SgammaC]]+Table13345678[[#This Row],[SgammaP]])*$A$4*-100</f>
        <v>0</v>
      </c>
      <c r="BF1462">
        <f>Table13345678[[#This Row],[DEXc]]+Table13345678[[#This Row],[DEXp]]</f>
        <v>0</v>
      </c>
      <c r="BG1462" s="78">
        <f>IFERROR(Table13345678[[#This Row],[DeltaC]]*Table13345678[[#This Row],[Open.Int]]*$A$4,0)</f>
        <v>0</v>
      </c>
      <c r="BH1462">
        <f>IFERROR(Table13345678[[#This Row],[DeltaP]]*Table13345678[[#This Row],[Open.Int8]]*$A$4,0)</f>
        <v>0</v>
      </c>
      <c r="BI146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2">
        <f ca="1">Table13345678[[#This Row],[charmc]]+Table13345678[[#This Row],[charmp]]</f>
        <v>0</v>
      </c>
      <c r="BL146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2" s="78">
        <f ca="1">Table13345678[[#This Row],[call helper]]+Table13345678[[#This Row],[put helper]]</f>
        <v>0</v>
      </c>
      <c r="BP146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3" spans="1:68" x14ac:dyDescent="0.25">
      <c r="A1463" s="14">
        <f t="shared" ca="1" si="144"/>
        <v>-126.14810350076104</v>
      </c>
      <c r="C1463" s="17"/>
      <c r="D1463" t="str">
        <f>RTD("tos.rtd", , "OPEN_INT", "."&amp;Table13345678[[#This Row],[Ticker]]&amp;Table13345678[[#This Row],[Expiry]]&amp;""&amp;"C"&amp;Table13345678[[#This Row],[Spot]]+Table13345678[[#This Row],[step]])</f>
        <v>N/A</v>
      </c>
      <c r="E146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3" s="17" cm="1">
        <f t="array" aca="1" ref="H1463" ca="1">IndividualLegIVCore($A$4, Table13345678[[#This Row],[Strike]], 0.0411, Table13345678[[#This Row],[T]], ((Table13345678[[#This Row],[BIDC]]+Table13345678[[#This Row],[ASKC]])/2), TRUE)</f>
        <v>0.01</v>
      </c>
      <c r="I146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3" s="17"/>
      <c r="M1463" s="1">
        <f t="shared" si="145"/>
        <v>0</v>
      </c>
      <c r="N1463" t="b">
        <f t="shared" si="146"/>
        <v>0</v>
      </c>
      <c r="P1463" s="17" cm="1">
        <f t="array" aca="1" ref="P1463" ca="1">IndividualLegIVCore($A$4, Table13345678[[#This Row],[Strike]], 0.0411, Table13345678[[#This Row],[T]], ((Table13345678[[#This Row],[BIDP]]+Table13345678[[#This Row],[ASKP]])/2), FALSE)</f>
        <v>0.01</v>
      </c>
      <c r="Q146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3" s="17"/>
      <c r="T146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3" s="19">
        <f>-34 * IF($M$1="NDX", 10, IF(OR($M$1="SPX", $M$1="RUT"), 2, 1))</f>
        <v>-68</v>
      </c>
      <c r="Z1463">
        <f ca="1">IFERROR(Table13345678[[#This Row],[call gamma]]*(Table13345678[[#This Row],[Open.Int]])*$A$4^2,0)</f>
        <v>0</v>
      </c>
      <c r="AA1463">
        <f ca="1">IFERROR(((Table13345678[[#This Row],[Open.Int8]])*Table13345678[[#This Row],[Put gamma]])*-1*$A$4^2,0)</f>
        <v>0</v>
      </c>
      <c r="AB1463">
        <f ca="1">(Table13345678[[#This Row],[Call Gex]]+Table13345678[[#This Row],[Put Gex]])</f>
        <v>0</v>
      </c>
      <c r="AC1463">
        <f ca="1">Table13345678[[#This Row],[put delta adj]]+Table13345678[[#This Row],[call delta adj]]</f>
        <v>0</v>
      </c>
      <c r="AD1463">
        <f ca="1">Table13345678[[#This Row],[Put Gex]]*Table13345678[[#This Row],[DeltaP]]*-1</f>
        <v>0</v>
      </c>
      <c r="AE1463">
        <f ca="1">Table13345678[[#This Row],[Call Gex]]*Table13345678[[#This Row],[DeltaC]]</f>
        <v>0</v>
      </c>
      <c r="AF1463">
        <f>IF(Table13345678[[#This Row],[DeltaC]]-ABS(Table13345678[[#This Row],[DeltaP]])="0","0.01",Table13345678[[#This Row],[DeltaC]]-ABS(Table13345678[[#This Row],[DeltaP]]))</f>
        <v>0</v>
      </c>
      <c r="AG146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3" t="e">
        <f ca="1">(EXP(-(AG1463^2)/2)/SQRT(2*PI())*EXP(0*SQRT(Table13345678[[#This Row],[T]]))/$A$4*18%*SQRT(SQRT(Table13345678[[#This Row],[T]])))</f>
        <v>#DIV/0!</v>
      </c>
      <c r="AJ1463" t="e">
        <f ca="1">(EXP(-(AH1463^2)/2)/SQRT(2*PI())*EXP(0*SQRT(Table13345678[[#This Row],[T]]))/$A$4*18%*SQRT(SQRT(Table13345678[[#This Row],[T]])))</f>
        <v>#DIV/0!</v>
      </c>
      <c r="AK1463" t="e">
        <f ca="1">Table13345678[[#This Row],[Call D1]]-Table13345678[[#This Row],[IV Calc C]]*SQRT(Table13345678[[#This Row],[T]])</f>
        <v>#DIV/0!</v>
      </c>
      <c r="AL1463" t="e">
        <f ca="1">Table13345678[[#This Row],[Put D1]]-Table13345678[[#This Row],[IV Calc P]]*SQRT(Table13345678[[#This Row],[T]])</f>
        <v>#DIV/0!</v>
      </c>
      <c r="AM1463" t="e">
        <f ca="1">EXP(-0.5*Table13345678[[#This Row],[Call D1]]^2)/SQRT(2*PI())</f>
        <v>#DIV/0!</v>
      </c>
      <c r="AN1463" t="e">
        <f ca="1">EXP(-0.5*Table13345678[[#This Row],[Put D1]]^2)/SQRT(2*PI())</f>
        <v>#DIV/0!</v>
      </c>
      <c r="AO146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3">
        <f ca="1">((Table13345678[[#This Row],[call vanna]]+Table13345678[[#This Row],[put vanna]])*$A$4)</f>
        <v>0</v>
      </c>
      <c r="AR146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3" s="9" t="str" cm="1">
        <f t="array" ref="AT1463">_xlfn.IFS(     $M$1="SPX","SPXW",     $M$1="RUT","RUTW",  $M$1="NDX","NDXP",   TRUE,$M$1 )</f>
        <v>SPXW</v>
      </c>
      <c r="AU1463" s="2">
        <f t="shared" si="147"/>
        <v>6915</v>
      </c>
      <c r="AV1463" t="str">
        <f t="shared" si="148"/>
        <v>000100</v>
      </c>
      <c r="AY146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3">
        <f>((Table13345678[[#This Row],[High C]]+Table13345678[[#This Row],[Low C]])/2)*Table13345678[[#This Row],[gammac]]*Table13345678[[#This Row],[Volume]]</f>
        <v>0</v>
      </c>
      <c r="BD1463">
        <f>((Table13345678[[#This Row],[High P]]+Table13345678[[#This Row],[Low P]])/2)*Table13345678[[#This Row],[gammap]]*Table13345678[[#This Row],[Volume9]]*-1</f>
        <v>0</v>
      </c>
      <c r="BE1463">
        <f>(Table13345678[[#This Row],[SgammaC]]+Table13345678[[#This Row],[SgammaP]])*$A$4*-100</f>
        <v>0</v>
      </c>
      <c r="BF1463">
        <f>Table13345678[[#This Row],[DEXc]]+Table13345678[[#This Row],[DEXp]]</f>
        <v>0</v>
      </c>
      <c r="BG1463" s="78">
        <f>IFERROR(Table13345678[[#This Row],[DeltaC]]*Table13345678[[#This Row],[Open.Int]]*$A$4,0)</f>
        <v>0</v>
      </c>
      <c r="BH1463">
        <f>IFERROR(Table13345678[[#This Row],[DeltaP]]*Table13345678[[#This Row],[Open.Int8]]*$A$4,0)</f>
        <v>0</v>
      </c>
      <c r="BI146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3">
        <f ca="1">Table13345678[[#This Row],[charmc]]+Table13345678[[#This Row],[charmp]]</f>
        <v>0</v>
      </c>
      <c r="BL146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3" s="78">
        <f ca="1">Table13345678[[#This Row],[call helper]]+Table13345678[[#This Row],[put helper]]</f>
        <v>0</v>
      </c>
      <c r="BP146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4" spans="1:68" x14ac:dyDescent="0.25">
      <c r="A1464" s="14">
        <f t="shared" ca="1" si="144"/>
        <v>-126.14810350076104</v>
      </c>
      <c r="C1464" s="17"/>
      <c r="D1464" t="str">
        <f>RTD("tos.rtd", , "OPEN_INT", "."&amp;Table13345678[[#This Row],[Ticker]]&amp;Table13345678[[#This Row],[Expiry]]&amp;""&amp;"C"&amp;Table13345678[[#This Row],[Spot]]+Table13345678[[#This Row],[step]])</f>
        <v>N/A</v>
      </c>
      <c r="E146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4" s="17" cm="1">
        <f t="array" aca="1" ref="H1464" ca="1">IndividualLegIVCore($A$4, Table13345678[[#This Row],[Strike]], 0.0411, Table13345678[[#This Row],[T]], ((Table13345678[[#This Row],[BIDC]]+Table13345678[[#This Row],[ASKC]])/2), TRUE)</f>
        <v>0.01</v>
      </c>
      <c r="I146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4" s="17"/>
      <c r="M1464" s="1">
        <f t="shared" si="145"/>
        <v>0</v>
      </c>
      <c r="N1464" t="b">
        <f t="shared" si="146"/>
        <v>0</v>
      </c>
      <c r="P1464" s="17" cm="1">
        <f t="array" aca="1" ref="P1464" ca="1">IndividualLegIVCore($A$4, Table13345678[[#This Row],[Strike]], 0.0411, Table13345678[[#This Row],[T]], ((Table13345678[[#This Row],[BIDP]]+Table13345678[[#This Row],[ASKP]])/2), FALSE)</f>
        <v>0.01</v>
      </c>
      <c r="Q146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4" s="17"/>
      <c r="T146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4" s="19">
        <f>-33.5 * IF($M$1="NDX", 10, IF(OR($M$1="SPX", $M$1="RUT"), 2, 1))</f>
        <v>-67</v>
      </c>
      <c r="Z1464">
        <f ca="1">IFERROR(Table13345678[[#This Row],[call gamma]]*(Table13345678[[#This Row],[Open.Int]])*$A$4^2,0)</f>
        <v>0</v>
      </c>
      <c r="AA1464">
        <f ca="1">IFERROR(((Table13345678[[#This Row],[Open.Int8]])*Table13345678[[#This Row],[Put gamma]])*-1*$A$4^2,0)</f>
        <v>0</v>
      </c>
      <c r="AB1464">
        <f ca="1">(Table13345678[[#This Row],[Call Gex]]+Table13345678[[#This Row],[Put Gex]])</f>
        <v>0</v>
      </c>
      <c r="AC1464">
        <f ca="1">Table13345678[[#This Row],[put delta adj]]+Table13345678[[#This Row],[call delta adj]]</f>
        <v>0</v>
      </c>
      <c r="AD1464">
        <f ca="1">Table13345678[[#This Row],[Put Gex]]*Table13345678[[#This Row],[DeltaP]]*-1</f>
        <v>0</v>
      </c>
      <c r="AE1464">
        <f ca="1">Table13345678[[#This Row],[Call Gex]]*Table13345678[[#This Row],[DeltaC]]</f>
        <v>0</v>
      </c>
      <c r="AF1464">
        <f>IF(Table13345678[[#This Row],[DeltaC]]-ABS(Table13345678[[#This Row],[DeltaP]])="0","0.01",Table13345678[[#This Row],[DeltaC]]-ABS(Table13345678[[#This Row],[DeltaP]]))</f>
        <v>0</v>
      </c>
      <c r="AG146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4" t="e">
        <f ca="1">(EXP(-(AG1464^2)/2)/SQRT(2*PI())*EXP(0*SQRT(Table13345678[[#This Row],[T]]))/$A$4*18%*SQRT(SQRT(Table13345678[[#This Row],[T]])))</f>
        <v>#DIV/0!</v>
      </c>
      <c r="AJ1464" t="e">
        <f ca="1">(EXP(-(AH1464^2)/2)/SQRT(2*PI())*EXP(0*SQRT(Table13345678[[#This Row],[T]]))/$A$4*18%*SQRT(SQRT(Table13345678[[#This Row],[T]])))</f>
        <v>#DIV/0!</v>
      </c>
      <c r="AK1464" t="e">
        <f ca="1">Table13345678[[#This Row],[Call D1]]-Table13345678[[#This Row],[IV Calc C]]*SQRT(Table13345678[[#This Row],[T]])</f>
        <v>#DIV/0!</v>
      </c>
      <c r="AL1464" t="e">
        <f ca="1">Table13345678[[#This Row],[Put D1]]-Table13345678[[#This Row],[IV Calc P]]*SQRT(Table13345678[[#This Row],[T]])</f>
        <v>#DIV/0!</v>
      </c>
      <c r="AM1464" t="e">
        <f ca="1">EXP(-0.5*Table13345678[[#This Row],[Call D1]]^2)/SQRT(2*PI())</f>
        <v>#DIV/0!</v>
      </c>
      <c r="AN1464" t="e">
        <f ca="1">EXP(-0.5*Table13345678[[#This Row],[Put D1]]^2)/SQRT(2*PI())</f>
        <v>#DIV/0!</v>
      </c>
      <c r="AO146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4">
        <f ca="1">((Table13345678[[#This Row],[call vanna]]+Table13345678[[#This Row],[put vanna]])*$A$4)</f>
        <v>0</v>
      </c>
      <c r="AR146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4" s="9" t="str" cm="1">
        <f t="array" ref="AT1464">_xlfn.IFS(     $M$1="SPX","SPXW",     $M$1="RUT","RUTW",  $M$1="NDX","NDXP",   TRUE,$M$1 )</f>
        <v>SPXW</v>
      </c>
      <c r="AU1464" s="2">
        <f t="shared" si="147"/>
        <v>6915</v>
      </c>
      <c r="AV1464" t="str">
        <f t="shared" si="148"/>
        <v>000100</v>
      </c>
      <c r="AY146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4">
        <f>((Table13345678[[#This Row],[High C]]+Table13345678[[#This Row],[Low C]])/2)*Table13345678[[#This Row],[gammac]]*Table13345678[[#This Row],[Volume]]</f>
        <v>0</v>
      </c>
      <c r="BD1464">
        <f>((Table13345678[[#This Row],[High P]]+Table13345678[[#This Row],[Low P]])/2)*Table13345678[[#This Row],[gammap]]*Table13345678[[#This Row],[Volume9]]*-1</f>
        <v>0</v>
      </c>
      <c r="BE1464">
        <f>(Table13345678[[#This Row],[SgammaC]]+Table13345678[[#This Row],[SgammaP]])*$A$4*-100</f>
        <v>0</v>
      </c>
      <c r="BF1464">
        <f>Table13345678[[#This Row],[DEXc]]+Table13345678[[#This Row],[DEXp]]</f>
        <v>0</v>
      </c>
      <c r="BG1464" s="78">
        <f>IFERROR(Table13345678[[#This Row],[DeltaC]]*Table13345678[[#This Row],[Open.Int]]*$A$4,0)</f>
        <v>0</v>
      </c>
      <c r="BH1464">
        <f>IFERROR(Table13345678[[#This Row],[DeltaP]]*Table13345678[[#This Row],[Open.Int8]]*$A$4,0)</f>
        <v>0</v>
      </c>
      <c r="BI146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4">
        <f ca="1">Table13345678[[#This Row],[charmc]]+Table13345678[[#This Row],[charmp]]</f>
        <v>0</v>
      </c>
      <c r="BL146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4" s="78">
        <f ca="1">Table13345678[[#This Row],[call helper]]+Table13345678[[#This Row],[put helper]]</f>
        <v>0</v>
      </c>
      <c r="BP146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5" spans="1:68" x14ac:dyDescent="0.25">
      <c r="A1465" s="14">
        <f t="shared" ca="1" si="144"/>
        <v>-126.14810350076104</v>
      </c>
      <c r="C1465" s="17"/>
      <c r="D1465" t="str">
        <f>RTD("tos.rtd", , "OPEN_INT", "."&amp;Table13345678[[#This Row],[Ticker]]&amp;Table13345678[[#This Row],[Expiry]]&amp;""&amp;"C"&amp;Table13345678[[#This Row],[Spot]]+Table13345678[[#This Row],[step]])</f>
        <v>N/A</v>
      </c>
      <c r="E146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5" s="17" cm="1">
        <f t="array" aca="1" ref="H1465" ca="1">IndividualLegIVCore($A$4, Table13345678[[#This Row],[Strike]], 0.0411, Table13345678[[#This Row],[T]], ((Table13345678[[#This Row],[BIDC]]+Table13345678[[#This Row],[ASKC]])/2), TRUE)</f>
        <v>0.01</v>
      </c>
      <c r="I146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5" s="17"/>
      <c r="M1465" s="1">
        <f t="shared" si="145"/>
        <v>0</v>
      </c>
      <c r="N1465" t="b">
        <f t="shared" si="146"/>
        <v>0</v>
      </c>
      <c r="P1465" s="17" cm="1">
        <f t="array" aca="1" ref="P1465" ca="1">IndividualLegIVCore($A$4, Table13345678[[#This Row],[Strike]], 0.0411, Table13345678[[#This Row],[T]], ((Table13345678[[#This Row],[BIDP]]+Table13345678[[#This Row],[ASKP]])/2), FALSE)</f>
        <v>0.01</v>
      </c>
      <c r="Q146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5" s="17"/>
      <c r="T146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5" s="19">
        <f>-33 * IF($M$1="NDX", 10, IF(OR($M$1="SPX", $M$1="RUT"), 2, 1))</f>
        <v>-66</v>
      </c>
      <c r="Z1465">
        <f ca="1">IFERROR(Table13345678[[#This Row],[call gamma]]*(Table13345678[[#This Row],[Open.Int]])*$A$4^2,0)</f>
        <v>0</v>
      </c>
      <c r="AA1465">
        <f ca="1">IFERROR(((Table13345678[[#This Row],[Open.Int8]])*Table13345678[[#This Row],[Put gamma]])*-1*$A$4^2,0)</f>
        <v>0</v>
      </c>
      <c r="AB1465">
        <f ca="1">(Table13345678[[#This Row],[Call Gex]]+Table13345678[[#This Row],[Put Gex]])</f>
        <v>0</v>
      </c>
      <c r="AC1465">
        <f ca="1">Table13345678[[#This Row],[put delta adj]]+Table13345678[[#This Row],[call delta adj]]</f>
        <v>0</v>
      </c>
      <c r="AD1465">
        <f ca="1">Table13345678[[#This Row],[Put Gex]]*Table13345678[[#This Row],[DeltaP]]*-1</f>
        <v>0</v>
      </c>
      <c r="AE1465">
        <f ca="1">Table13345678[[#This Row],[Call Gex]]*Table13345678[[#This Row],[DeltaC]]</f>
        <v>0</v>
      </c>
      <c r="AF1465">
        <f>IF(Table13345678[[#This Row],[DeltaC]]-ABS(Table13345678[[#This Row],[DeltaP]])="0","0.01",Table13345678[[#This Row],[DeltaC]]-ABS(Table13345678[[#This Row],[DeltaP]]))</f>
        <v>0</v>
      </c>
      <c r="AG146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5" t="e">
        <f ca="1">(EXP(-(AG1465^2)/2)/SQRT(2*PI())*EXP(0*SQRT(Table13345678[[#This Row],[T]]))/$A$4*18%*SQRT(SQRT(Table13345678[[#This Row],[T]])))</f>
        <v>#DIV/0!</v>
      </c>
      <c r="AJ1465" t="e">
        <f ca="1">(EXP(-(AH1465^2)/2)/SQRT(2*PI())*EXP(0*SQRT(Table13345678[[#This Row],[T]]))/$A$4*18%*SQRT(SQRT(Table13345678[[#This Row],[T]])))</f>
        <v>#DIV/0!</v>
      </c>
      <c r="AK1465" t="e">
        <f ca="1">Table13345678[[#This Row],[Call D1]]-Table13345678[[#This Row],[IV Calc C]]*SQRT(Table13345678[[#This Row],[T]])</f>
        <v>#DIV/0!</v>
      </c>
      <c r="AL1465" t="e">
        <f ca="1">Table13345678[[#This Row],[Put D1]]-Table13345678[[#This Row],[IV Calc P]]*SQRT(Table13345678[[#This Row],[T]])</f>
        <v>#DIV/0!</v>
      </c>
      <c r="AM1465" t="e">
        <f ca="1">EXP(-0.5*Table13345678[[#This Row],[Call D1]]^2)/SQRT(2*PI())</f>
        <v>#DIV/0!</v>
      </c>
      <c r="AN1465" t="e">
        <f ca="1">EXP(-0.5*Table13345678[[#This Row],[Put D1]]^2)/SQRT(2*PI())</f>
        <v>#DIV/0!</v>
      </c>
      <c r="AO146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5">
        <f ca="1">((Table13345678[[#This Row],[call vanna]]+Table13345678[[#This Row],[put vanna]])*$A$4)</f>
        <v>0</v>
      </c>
      <c r="AR146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5" s="9" t="str" cm="1">
        <f t="array" ref="AT1465">_xlfn.IFS(     $M$1="SPX","SPXW",     $M$1="RUT","RUTW",  $M$1="NDX","NDXP",   TRUE,$M$1 )</f>
        <v>SPXW</v>
      </c>
      <c r="AU1465" s="2">
        <f t="shared" si="147"/>
        <v>6915</v>
      </c>
      <c r="AV1465" t="str">
        <f t="shared" si="148"/>
        <v>000100</v>
      </c>
      <c r="AY146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5">
        <f>((Table13345678[[#This Row],[High C]]+Table13345678[[#This Row],[Low C]])/2)*Table13345678[[#This Row],[gammac]]*Table13345678[[#This Row],[Volume]]</f>
        <v>0</v>
      </c>
      <c r="BD1465">
        <f>((Table13345678[[#This Row],[High P]]+Table13345678[[#This Row],[Low P]])/2)*Table13345678[[#This Row],[gammap]]*Table13345678[[#This Row],[Volume9]]*-1</f>
        <v>0</v>
      </c>
      <c r="BE1465">
        <f>(Table13345678[[#This Row],[SgammaC]]+Table13345678[[#This Row],[SgammaP]])*$A$4*-100</f>
        <v>0</v>
      </c>
      <c r="BF1465">
        <f>Table13345678[[#This Row],[DEXc]]+Table13345678[[#This Row],[DEXp]]</f>
        <v>0</v>
      </c>
      <c r="BG1465" s="78">
        <f>IFERROR(Table13345678[[#This Row],[DeltaC]]*Table13345678[[#This Row],[Open.Int]]*$A$4,0)</f>
        <v>0</v>
      </c>
      <c r="BH1465">
        <f>IFERROR(Table13345678[[#This Row],[DeltaP]]*Table13345678[[#This Row],[Open.Int8]]*$A$4,0)</f>
        <v>0</v>
      </c>
      <c r="BI146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5">
        <f ca="1">Table13345678[[#This Row],[charmc]]+Table13345678[[#This Row],[charmp]]</f>
        <v>0</v>
      </c>
      <c r="BL146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5" s="78">
        <f ca="1">Table13345678[[#This Row],[call helper]]+Table13345678[[#This Row],[put helper]]</f>
        <v>0</v>
      </c>
      <c r="BP146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6" spans="1:68" x14ac:dyDescent="0.25">
      <c r="A1466" s="14">
        <f t="shared" ca="1" si="144"/>
        <v>-126.14810350076104</v>
      </c>
      <c r="C1466" s="17"/>
      <c r="D1466" t="str">
        <f>RTD("tos.rtd", , "OPEN_INT", "."&amp;Table13345678[[#This Row],[Ticker]]&amp;Table13345678[[#This Row],[Expiry]]&amp;""&amp;"C"&amp;Table13345678[[#This Row],[Spot]]+Table13345678[[#This Row],[step]])</f>
        <v>N/A</v>
      </c>
      <c r="E146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6" s="17" cm="1">
        <f t="array" aca="1" ref="H1466" ca="1">IndividualLegIVCore($A$4, Table13345678[[#This Row],[Strike]], 0.0411, Table13345678[[#This Row],[T]], ((Table13345678[[#This Row],[BIDC]]+Table13345678[[#This Row],[ASKC]])/2), TRUE)</f>
        <v>0.01</v>
      </c>
      <c r="I146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6" s="17"/>
      <c r="M1466" s="1">
        <f t="shared" si="145"/>
        <v>0</v>
      </c>
      <c r="N1466" t="b">
        <f t="shared" si="146"/>
        <v>0</v>
      </c>
      <c r="P1466" s="17" cm="1">
        <f t="array" aca="1" ref="P1466" ca="1">IndividualLegIVCore($A$4, Table13345678[[#This Row],[Strike]], 0.0411, Table13345678[[#This Row],[T]], ((Table13345678[[#This Row],[BIDP]]+Table13345678[[#This Row],[ASKP]])/2), FALSE)</f>
        <v>0.01</v>
      </c>
      <c r="Q146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6" s="17"/>
      <c r="T146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6" s="19">
        <f>-32.5 * IF($M$1="NDX", 10, IF(OR($M$1="SPX", $M$1="RUT"), 2, 1))</f>
        <v>-65</v>
      </c>
      <c r="Z1466">
        <f ca="1">IFERROR(Table13345678[[#This Row],[call gamma]]*(Table13345678[[#This Row],[Open.Int]])*$A$4^2,0)</f>
        <v>0</v>
      </c>
      <c r="AA1466">
        <f ca="1">IFERROR(((Table13345678[[#This Row],[Open.Int8]])*Table13345678[[#This Row],[Put gamma]])*-1*$A$4^2,0)</f>
        <v>0</v>
      </c>
      <c r="AB1466">
        <f ca="1">(Table13345678[[#This Row],[Call Gex]]+Table13345678[[#This Row],[Put Gex]])</f>
        <v>0</v>
      </c>
      <c r="AC1466">
        <f ca="1">Table13345678[[#This Row],[put delta adj]]+Table13345678[[#This Row],[call delta adj]]</f>
        <v>0</v>
      </c>
      <c r="AD1466">
        <f ca="1">Table13345678[[#This Row],[Put Gex]]*Table13345678[[#This Row],[DeltaP]]*-1</f>
        <v>0</v>
      </c>
      <c r="AE1466">
        <f ca="1">Table13345678[[#This Row],[Call Gex]]*Table13345678[[#This Row],[DeltaC]]</f>
        <v>0</v>
      </c>
      <c r="AF1466">
        <f>IF(Table13345678[[#This Row],[DeltaC]]-ABS(Table13345678[[#This Row],[DeltaP]])="0","0.01",Table13345678[[#This Row],[DeltaC]]-ABS(Table13345678[[#This Row],[DeltaP]]))</f>
        <v>0</v>
      </c>
      <c r="AG146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6" t="e">
        <f ca="1">(EXP(-(AG1466^2)/2)/SQRT(2*PI())*EXP(0*SQRT(Table13345678[[#This Row],[T]]))/$A$4*18%*SQRT(SQRT(Table13345678[[#This Row],[T]])))</f>
        <v>#DIV/0!</v>
      </c>
      <c r="AJ1466" t="e">
        <f ca="1">(EXP(-(AH1466^2)/2)/SQRT(2*PI())*EXP(0*SQRT(Table13345678[[#This Row],[T]]))/$A$4*18%*SQRT(SQRT(Table13345678[[#This Row],[T]])))</f>
        <v>#DIV/0!</v>
      </c>
      <c r="AK1466" t="e">
        <f ca="1">Table13345678[[#This Row],[Call D1]]-Table13345678[[#This Row],[IV Calc C]]*SQRT(Table13345678[[#This Row],[T]])</f>
        <v>#DIV/0!</v>
      </c>
      <c r="AL1466" t="e">
        <f ca="1">Table13345678[[#This Row],[Put D1]]-Table13345678[[#This Row],[IV Calc P]]*SQRT(Table13345678[[#This Row],[T]])</f>
        <v>#DIV/0!</v>
      </c>
      <c r="AM1466" t="e">
        <f ca="1">EXP(-0.5*Table13345678[[#This Row],[Call D1]]^2)/SQRT(2*PI())</f>
        <v>#DIV/0!</v>
      </c>
      <c r="AN1466" t="e">
        <f ca="1">EXP(-0.5*Table13345678[[#This Row],[Put D1]]^2)/SQRT(2*PI())</f>
        <v>#DIV/0!</v>
      </c>
      <c r="AO146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6">
        <f ca="1">((Table13345678[[#This Row],[call vanna]]+Table13345678[[#This Row],[put vanna]])*$A$4)</f>
        <v>0</v>
      </c>
      <c r="AR146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6" s="9" t="str" cm="1">
        <f t="array" ref="AT1466">_xlfn.IFS(     $M$1="SPX","SPXW",     $M$1="RUT","RUTW",  $M$1="NDX","NDXP",   TRUE,$M$1 )</f>
        <v>SPXW</v>
      </c>
      <c r="AU1466" s="2">
        <f t="shared" si="147"/>
        <v>6915</v>
      </c>
      <c r="AV1466" t="str">
        <f t="shared" si="148"/>
        <v>000100</v>
      </c>
      <c r="AY146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6">
        <f>((Table13345678[[#This Row],[High C]]+Table13345678[[#This Row],[Low C]])/2)*Table13345678[[#This Row],[gammac]]*Table13345678[[#This Row],[Volume]]</f>
        <v>0</v>
      </c>
      <c r="BD1466">
        <f>((Table13345678[[#This Row],[High P]]+Table13345678[[#This Row],[Low P]])/2)*Table13345678[[#This Row],[gammap]]*Table13345678[[#This Row],[Volume9]]*-1</f>
        <v>0</v>
      </c>
      <c r="BE1466">
        <f>(Table13345678[[#This Row],[SgammaC]]+Table13345678[[#This Row],[SgammaP]])*$A$4*-100</f>
        <v>0</v>
      </c>
      <c r="BF1466">
        <f>Table13345678[[#This Row],[DEXc]]+Table13345678[[#This Row],[DEXp]]</f>
        <v>0</v>
      </c>
      <c r="BG1466" s="78">
        <f>IFERROR(Table13345678[[#This Row],[DeltaC]]*Table13345678[[#This Row],[Open.Int]]*$A$4,0)</f>
        <v>0</v>
      </c>
      <c r="BH1466">
        <f>IFERROR(Table13345678[[#This Row],[DeltaP]]*Table13345678[[#This Row],[Open.Int8]]*$A$4,0)</f>
        <v>0</v>
      </c>
      <c r="BI146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6">
        <f ca="1">Table13345678[[#This Row],[charmc]]+Table13345678[[#This Row],[charmp]]</f>
        <v>0</v>
      </c>
      <c r="BL146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6" s="78">
        <f ca="1">Table13345678[[#This Row],[call helper]]+Table13345678[[#This Row],[put helper]]</f>
        <v>0</v>
      </c>
      <c r="BP146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7" spans="1:68" x14ac:dyDescent="0.25">
      <c r="A1467" s="14">
        <f t="shared" ca="1" si="144"/>
        <v>-126.14810350076104</v>
      </c>
      <c r="C1467" s="17"/>
      <c r="D1467" t="str">
        <f>RTD("tos.rtd", , "OPEN_INT", "."&amp;Table13345678[[#This Row],[Ticker]]&amp;Table13345678[[#This Row],[Expiry]]&amp;""&amp;"C"&amp;Table13345678[[#This Row],[Spot]]+Table13345678[[#This Row],[step]])</f>
        <v>N/A</v>
      </c>
      <c r="E146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7" s="17" cm="1">
        <f t="array" aca="1" ref="H1467" ca="1">IndividualLegIVCore($A$4, Table13345678[[#This Row],[Strike]], 0.0411, Table13345678[[#This Row],[T]], ((Table13345678[[#This Row],[BIDC]]+Table13345678[[#This Row],[ASKC]])/2), TRUE)</f>
        <v>0.01</v>
      </c>
      <c r="I146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7" s="17"/>
      <c r="M1467" s="1">
        <f t="shared" si="145"/>
        <v>0</v>
      </c>
      <c r="N1467" t="b">
        <f t="shared" si="146"/>
        <v>0</v>
      </c>
      <c r="P1467" s="17" cm="1">
        <f t="array" aca="1" ref="P1467" ca="1">IndividualLegIVCore($A$4, Table13345678[[#This Row],[Strike]], 0.0411, Table13345678[[#This Row],[T]], ((Table13345678[[#This Row],[BIDP]]+Table13345678[[#This Row],[ASKP]])/2), FALSE)</f>
        <v>0.01</v>
      </c>
      <c r="Q146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7" s="17"/>
      <c r="T146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7" s="19">
        <f>-32 * IF($M$1="NDX", 10, IF(OR($M$1="SPX", $M$1="RUT"), 2, 1))</f>
        <v>-64</v>
      </c>
      <c r="Z1467">
        <f ca="1">IFERROR(Table13345678[[#This Row],[call gamma]]*(Table13345678[[#This Row],[Open.Int]])*$A$4^2,0)</f>
        <v>0</v>
      </c>
      <c r="AA1467">
        <f ca="1">IFERROR(((Table13345678[[#This Row],[Open.Int8]])*Table13345678[[#This Row],[Put gamma]])*-1*$A$4^2,0)</f>
        <v>0</v>
      </c>
      <c r="AB1467">
        <f ca="1">(Table13345678[[#This Row],[Call Gex]]+Table13345678[[#This Row],[Put Gex]])</f>
        <v>0</v>
      </c>
      <c r="AC1467">
        <f ca="1">Table13345678[[#This Row],[put delta adj]]+Table13345678[[#This Row],[call delta adj]]</f>
        <v>0</v>
      </c>
      <c r="AD1467">
        <f ca="1">Table13345678[[#This Row],[Put Gex]]*Table13345678[[#This Row],[DeltaP]]*-1</f>
        <v>0</v>
      </c>
      <c r="AE1467">
        <f ca="1">Table13345678[[#This Row],[Call Gex]]*Table13345678[[#This Row],[DeltaC]]</f>
        <v>0</v>
      </c>
      <c r="AF1467">
        <f>IF(Table13345678[[#This Row],[DeltaC]]-ABS(Table13345678[[#This Row],[DeltaP]])="0","0.01",Table13345678[[#This Row],[DeltaC]]-ABS(Table13345678[[#This Row],[DeltaP]]))</f>
        <v>0</v>
      </c>
      <c r="AG146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7" t="e">
        <f ca="1">(EXP(-(AG1467^2)/2)/SQRT(2*PI())*EXP(0*SQRT(Table13345678[[#This Row],[T]]))/$A$4*18%*SQRT(SQRT(Table13345678[[#This Row],[T]])))</f>
        <v>#DIV/0!</v>
      </c>
      <c r="AJ1467" t="e">
        <f ca="1">(EXP(-(AH1467^2)/2)/SQRT(2*PI())*EXP(0*SQRT(Table13345678[[#This Row],[T]]))/$A$4*18%*SQRT(SQRT(Table13345678[[#This Row],[T]])))</f>
        <v>#DIV/0!</v>
      </c>
      <c r="AK1467" t="e">
        <f ca="1">Table13345678[[#This Row],[Call D1]]-Table13345678[[#This Row],[IV Calc C]]*SQRT(Table13345678[[#This Row],[T]])</f>
        <v>#DIV/0!</v>
      </c>
      <c r="AL1467" t="e">
        <f ca="1">Table13345678[[#This Row],[Put D1]]-Table13345678[[#This Row],[IV Calc P]]*SQRT(Table13345678[[#This Row],[T]])</f>
        <v>#DIV/0!</v>
      </c>
      <c r="AM1467" t="e">
        <f ca="1">EXP(-0.5*Table13345678[[#This Row],[Call D1]]^2)/SQRT(2*PI())</f>
        <v>#DIV/0!</v>
      </c>
      <c r="AN1467" t="e">
        <f ca="1">EXP(-0.5*Table13345678[[#This Row],[Put D1]]^2)/SQRT(2*PI())</f>
        <v>#DIV/0!</v>
      </c>
      <c r="AO146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7">
        <f ca="1">((Table13345678[[#This Row],[call vanna]]+Table13345678[[#This Row],[put vanna]])*$A$4)</f>
        <v>0</v>
      </c>
      <c r="AR146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7" s="9" t="str" cm="1">
        <f t="array" ref="AT1467">_xlfn.IFS(     $M$1="SPX","SPXW",     $M$1="RUT","RUTW",  $M$1="NDX","NDXP",   TRUE,$M$1 )</f>
        <v>SPXW</v>
      </c>
      <c r="AU1467" s="2">
        <f t="shared" si="147"/>
        <v>6915</v>
      </c>
      <c r="AV1467" t="str">
        <f t="shared" si="148"/>
        <v>000100</v>
      </c>
      <c r="AY146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7">
        <f>((Table13345678[[#This Row],[High C]]+Table13345678[[#This Row],[Low C]])/2)*Table13345678[[#This Row],[gammac]]*Table13345678[[#This Row],[Volume]]</f>
        <v>0</v>
      </c>
      <c r="BD1467">
        <f>((Table13345678[[#This Row],[High P]]+Table13345678[[#This Row],[Low P]])/2)*Table13345678[[#This Row],[gammap]]*Table13345678[[#This Row],[Volume9]]*-1</f>
        <v>0</v>
      </c>
      <c r="BE1467">
        <f>(Table13345678[[#This Row],[SgammaC]]+Table13345678[[#This Row],[SgammaP]])*$A$4*-100</f>
        <v>0</v>
      </c>
      <c r="BF1467">
        <f>Table13345678[[#This Row],[DEXc]]+Table13345678[[#This Row],[DEXp]]</f>
        <v>0</v>
      </c>
      <c r="BG1467" s="78">
        <f>IFERROR(Table13345678[[#This Row],[DeltaC]]*Table13345678[[#This Row],[Open.Int]]*$A$4,0)</f>
        <v>0</v>
      </c>
      <c r="BH1467">
        <f>IFERROR(Table13345678[[#This Row],[DeltaP]]*Table13345678[[#This Row],[Open.Int8]]*$A$4,0)</f>
        <v>0</v>
      </c>
      <c r="BI146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7">
        <f ca="1">Table13345678[[#This Row],[charmc]]+Table13345678[[#This Row],[charmp]]</f>
        <v>0</v>
      </c>
      <c r="BL146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7" s="78">
        <f ca="1">Table13345678[[#This Row],[call helper]]+Table13345678[[#This Row],[put helper]]</f>
        <v>0</v>
      </c>
      <c r="BP146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8" spans="1:68" x14ac:dyDescent="0.25">
      <c r="A1468" s="14">
        <f t="shared" ca="1" si="144"/>
        <v>-126.14810350076104</v>
      </c>
      <c r="C1468" s="17"/>
      <c r="D1468" t="str">
        <f>RTD("tos.rtd", , "OPEN_INT", "."&amp;Table13345678[[#This Row],[Ticker]]&amp;Table13345678[[#This Row],[Expiry]]&amp;""&amp;"C"&amp;Table13345678[[#This Row],[Spot]]+Table13345678[[#This Row],[step]])</f>
        <v>N/A</v>
      </c>
      <c r="E146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8" s="17" cm="1">
        <f t="array" aca="1" ref="H1468" ca="1">IndividualLegIVCore($A$4, Table13345678[[#This Row],[Strike]], 0.0411, Table13345678[[#This Row],[T]], ((Table13345678[[#This Row],[BIDC]]+Table13345678[[#This Row],[ASKC]])/2), TRUE)</f>
        <v>0.01</v>
      </c>
      <c r="I146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8" s="17"/>
      <c r="M1468" s="1">
        <f t="shared" si="145"/>
        <v>0</v>
      </c>
      <c r="N1468" t="b">
        <f t="shared" si="146"/>
        <v>0</v>
      </c>
      <c r="P1468" s="17" cm="1">
        <f t="array" aca="1" ref="P1468" ca="1">IndividualLegIVCore($A$4, Table13345678[[#This Row],[Strike]], 0.0411, Table13345678[[#This Row],[T]], ((Table13345678[[#This Row],[BIDP]]+Table13345678[[#This Row],[ASKP]])/2), FALSE)</f>
        <v>0.01</v>
      </c>
      <c r="Q146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8" s="17"/>
      <c r="T146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8" s="19">
        <f>-31.5 * IF($M$1="NDX", 10, IF(OR($M$1="SPX", $M$1="RUT"), 2, 1))</f>
        <v>-63</v>
      </c>
      <c r="Z1468">
        <f ca="1">IFERROR(Table13345678[[#This Row],[call gamma]]*(Table13345678[[#This Row],[Open.Int]])*$A$4^2,0)</f>
        <v>0</v>
      </c>
      <c r="AA1468">
        <f ca="1">IFERROR(((Table13345678[[#This Row],[Open.Int8]])*Table13345678[[#This Row],[Put gamma]])*-1*$A$4^2,0)</f>
        <v>0</v>
      </c>
      <c r="AB1468">
        <f ca="1">(Table13345678[[#This Row],[Call Gex]]+Table13345678[[#This Row],[Put Gex]])</f>
        <v>0</v>
      </c>
      <c r="AC1468">
        <f ca="1">Table13345678[[#This Row],[put delta adj]]+Table13345678[[#This Row],[call delta adj]]</f>
        <v>0</v>
      </c>
      <c r="AD1468">
        <f ca="1">Table13345678[[#This Row],[Put Gex]]*Table13345678[[#This Row],[DeltaP]]*-1</f>
        <v>0</v>
      </c>
      <c r="AE1468">
        <f ca="1">Table13345678[[#This Row],[Call Gex]]*Table13345678[[#This Row],[DeltaC]]</f>
        <v>0</v>
      </c>
      <c r="AF1468">
        <f>IF(Table13345678[[#This Row],[DeltaC]]-ABS(Table13345678[[#This Row],[DeltaP]])="0","0.01",Table13345678[[#This Row],[DeltaC]]-ABS(Table13345678[[#This Row],[DeltaP]]))</f>
        <v>0</v>
      </c>
      <c r="AG146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8" t="e">
        <f ca="1">(EXP(-(AG1468^2)/2)/SQRT(2*PI())*EXP(0*SQRT(Table13345678[[#This Row],[T]]))/$A$4*18%*SQRT(SQRT(Table13345678[[#This Row],[T]])))</f>
        <v>#DIV/0!</v>
      </c>
      <c r="AJ1468" t="e">
        <f ca="1">(EXP(-(AH1468^2)/2)/SQRT(2*PI())*EXP(0*SQRT(Table13345678[[#This Row],[T]]))/$A$4*18%*SQRT(SQRT(Table13345678[[#This Row],[T]])))</f>
        <v>#DIV/0!</v>
      </c>
      <c r="AK1468" t="e">
        <f ca="1">Table13345678[[#This Row],[Call D1]]-Table13345678[[#This Row],[IV Calc C]]*SQRT(Table13345678[[#This Row],[T]])</f>
        <v>#DIV/0!</v>
      </c>
      <c r="AL1468" t="e">
        <f ca="1">Table13345678[[#This Row],[Put D1]]-Table13345678[[#This Row],[IV Calc P]]*SQRT(Table13345678[[#This Row],[T]])</f>
        <v>#DIV/0!</v>
      </c>
      <c r="AM1468" t="e">
        <f ca="1">EXP(-0.5*Table13345678[[#This Row],[Call D1]]^2)/SQRT(2*PI())</f>
        <v>#DIV/0!</v>
      </c>
      <c r="AN1468" t="e">
        <f ca="1">EXP(-0.5*Table13345678[[#This Row],[Put D1]]^2)/SQRT(2*PI())</f>
        <v>#DIV/0!</v>
      </c>
      <c r="AO146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8">
        <f ca="1">((Table13345678[[#This Row],[call vanna]]+Table13345678[[#This Row],[put vanna]])*$A$4)</f>
        <v>0</v>
      </c>
      <c r="AR146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8" s="9" t="str" cm="1">
        <f t="array" ref="AT1468">_xlfn.IFS(     $M$1="SPX","SPXW",     $M$1="RUT","RUTW",  $M$1="NDX","NDXP",   TRUE,$M$1 )</f>
        <v>SPXW</v>
      </c>
      <c r="AU1468" s="2">
        <f t="shared" si="147"/>
        <v>6915</v>
      </c>
      <c r="AV1468" t="str">
        <f t="shared" si="148"/>
        <v>000100</v>
      </c>
      <c r="AY146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8">
        <f>((Table13345678[[#This Row],[High C]]+Table13345678[[#This Row],[Low C]])/2)*Table13345678[[#This Row],[gammac]]*Table13345678[[#This Row],[Volume]]</f>
        <v>0</v>
      </c>
      <c r="BD1468">
        <f>((Table13345678[[#This Row],[High P]]+Table13345678[[#This Row],[Low P]])/2)*Table13345678[[#This Row],[gammap]]*Table13345678[[#This Row],[Volume9]]*-1</f>
        <v>0</v>
      </c>
      <c r="BE1468">
        <f>(Table13345678[[#This Row],[SgammaC]]+Table13345678[[#This Row],[SgammaP]])*$A$4*-100</f>
        <v>0</v>
      </c>
      <c r="BF1468">
        <f>Table13345678[[#This Row],[DEXc]]+Table13345678[[#This Row],[DEXp]]</f>
        <v>0</v>
      </c>
      <c r="BG1468" s="78">
        <f>IFERROR(Table13345678[[#This Row],[DeltaC]]*Table13345678[[#This Row],[Open.Int]]*$A$4,0)</f>
        <v>0</v>
      </c>
      <c r="BH1468">
        <f>IFERROR(Table13345678[[#This Row],[DeltaP]]*Table13345678[[#This Row],[Open.Int8]]*$A$4,0)</f>
        <v>0</v>
      </c>
      <c r="BI146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8">
        <f ca="1">Table13345678[[#This Row],[charmc]]+Table13345678[[#This Row],[charmp]]</f>
        <v>0</v>
      </c>
      <c r="BL146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8" s="78">
        <f ca="1">Table13345678[[#This Row],[call helper]]+Table13345678[[#This Row],[put helper]]</f>
        <v>0</v>
      </c>
      <c r="BP146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9" spans="1:68" x14ac:dyDescent="0.25">
      <c r="A1469" s="14">
        <f t="shared" ca="1" si="144"/>
        <v>-126.14810350076104</v>
      </c>
      <c r="C1469" s="17"/>
      <c r="D1469" t="str">
        <f>RTD("tos.rtd", , "OPEN_INT", "."&amp;Table13345678[[#This Row],[Ticker]]&amp;Table13345678[[#This Row],[Expiry]]&amp;""&amp;"C"&amp;Table13345678[[#This Row],[Spot]]+Table13345678[[#This Row],[step]])</f>
        <v>N/A</v>
      </c>
      <c r="E146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9" s="17" cm="1">
        <f t="array" aca="1" ref="H1469" ca="1">IndividualLegIVCore($A$4, Table13345678[[#This Row],[Strike]], 0.0411, Table13345678[[#This Row],[T]], ((Table13345678[[#This Row],[BIDC]]+Table13345678[[#This Row],[ASKC]])/2), TRUE)</f>
        <v>0.01</v>
      </c>
      <c r="I146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9" s="17"/>
      <c r="M1469" s="1">
        <f t="shared" si="145"/>
        <v>0</v>
      </c>
      <c r="N1469" t="b">
        <f t="shared" si="146"/>
        <v>0</v>
      </c>
      <c r="P1469" s="17" cm="1">
        <f t="array" aca="1" ref="P1469" ca="1">IndividualLegIVCore($A$4, Table13345678[[#This Row],[Strike]], 0.0411, Table13345678[[#This Row],[T]], ((Table13345678[[#This Row],[BIDP]]+Table13345678[[#This Row],[ASKP]])/2), FALSE)</f>
        <v>0.01</v>
      </c>
      <c r="Q146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9" s="17"/>
      <c r="T146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9" s="19">
        <f>-31 * IF($M$1="NDX", 10, IF(OR($M$1="SPX", $M$1="RUT"), 2, 1))</f>
        <v>-62</v>
      </c>
      <c r="Z1469">
        <f ca="1">IFERROR(Table13345678[[#This Row],[call gamma]]*(Table13345678[[#This Row],[Open.Int]])*$A$4^2,0)</f>
        <v>0</v>
      </c>
      <c r="AA1469">
        <f ca="1">IFERROR(((Table13345678[[#This Row],[Open.Int8]])*Table13345678[[#This Row],[Put gamma]])*-1*$A$4^2,0)</f>
        <v>0</v>
      </c>
      <c r="AB1469">
        <f ca="1">(Table13345678[[#This Row],[Call Gex]]+Table13345678[[#This Row],[Put Gex]])</f>
        <v>0</v>
      </c>
      <c r="AC1469">
        <f ca="1">Table13345678[[#This Row],[put delta adj]]+Table13345678[[#This Row],[call delta adj]]</f>
        <v>0</v>
      </c>
      <c r="AD1469">
        <f ca="1">Table13345678[[#This Row],[Put Gex]]*Table13345678[[#This Row],[DeltaP]]*-1</f>
        <v>0</v>
      </c>
      <c r="AE1469">
        <f ca="1">Table13345678[[#This Row],[Call Gex]]*Table13345678[[#This Row],[DeltaC]]</f>
        <v>0</v>
      </c>
      <c r="AF1469">
        <f>IF(Table13345678[[#This Row],[DeltaC]]-ABS(Table13345678[[#This Row],[DeltaP]])="0","0.01",Table13345678[[#This Row],[DeltaC]]-ABS(Table13345678[[#This Row],[DeltaP]]))</f>
        <v>0</v>
      </c>
      <c r="AG146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9" t="e">
        <f ca="1">(EXP(-(AG1469^2)/2)/SQRT(2*PI())*EXP(0*SQRT(Table13345678[[#This Row],[T]]))/$A$4*18%*SQRT(SQRT(Table13345678[[#This Row],[T]])))</f>
        <v>#DIV/0!</v>
      </c>
      <c r="AJ1469" t="e">
        <f ca="1">(EXP(-(AH1469^2)/2)/SQRT(2*PI())*EXP(0*SQRT(Table13345678[[#This Row],[T]]))/$A$4*18%*SQRT(SQRT(Table13345678[[#This Row],[T]])))</f>
        <v>#DIV/0!</v>
      </c>
      <c r="AK1469" t="e">
        <f ca="1">Table13345678[[#This Row],[Call D1]]-Table13345678[[#This Row],[IV Calc C]]*SQRT(Table13345678[[#This Row],[T]])</f>
        <v>#DIV/0!</v>
      </c>
      <c r="AL1469" t="e">
        <f ca="1">Table13345678[[#This Row],[Put D1]]-Table13345678[[#This Row],[IV Calc P]]*SQRT(Table13345678[[#This Row],[T]])</f>
        <v>#DIV/0!</v>
      </c>
      <c r="AM1469" t="e">
        <f ca="1">EXP(-0.5*Table13345678[[#This Row],[Call D1]]^2)/SQRT(2*PI())</f>
        <v>#DIV/0!</v>
      </c>
      <c r="AN1469" t="e">
        <f ca="1">EXP(-0.5*Table13345678[[#This Row],[Put D1]]^2)/SQRT(2*PI())</f>
        <v>#DIV/0!</v>
      </c>
      <c r="AO146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9">
        <f ca="1">((Table13345678[[#This Row],[call vanna]]+Table13345678[[#This Row],[put vanna]])*$A$4)</f>
        <v>0</v>
      </c>
      <c r="AR146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9" s="9" t="str" cm="1">
        <f t="array" ref="AT1469">_xlfn.IFS(     $M$1="SPX","SPXW",     $M$1="RUT","RUTW",  $M$1="NDX","NDXP",   TRUE,$M$1 )</f>
        <v>SPXW</v>
      </c>
      <c r="AU1469" s="2">
        <f t="shared" si="147"/>
        <v>6915</v>
      </c>
      <c r="AV1469" t="str">
        <f t="shared" si="148"/>
        <v>000100</v>
      </c>
      <c r="AY146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9">
        <f>((Table13345678[[#This Row],[High C]]+Table13345678[[#This Row],[Low C]])/2)*Table13345678[[#This Row],[gammac]]*Table13345678[[#This Row],[Volume]]</f>
        <v>0</v>
      </c>
      <c r="BD1469">
        <f>((Table13345678[[#This Row],[High P]]+Table13345678[[#This Row],[Low P]])/2)*Table13345678[[#This Row],[gammap]]*Table13345678[[#This Row],[Volume9]]*-1</f>
        <v>0</v>
      </c>
      <c r="BE1469">
        <f>(Table13345678[[#This Row],[SgammaC]]+Table13345678[[#This Row],[SgammaP]])*$A$4*-100</f>
        <v>0</v>
      </c>
      <c r="BF1469">
        <f>Table13345678[[#This Row],[DEXc]]+Table13345678[[#This Row],[DEXp]]</f>
        <v>0</v>
      </c>
      <c r="BG1469" s="78">
        <f>IFERROR(Table13345678[[#This Row],[DeltaC]]*Table13345678[[#This Row],[Open.Int]]*$A$4,0)</f>
        <v>0</v>
      </c>
      <c r="BH1469">
        <f>IFERROR(Table13345678[[#This Row],[DeltaP]]*Table13345678[[#This Row],[Open.Int8]]*$A$4,0)</f>
        <v>0</v>
      </c>
      <c r="BI146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9">
        <f ca="1">Table13345678[[#This Row],[charmc]]+Table13345678[[#This Row],[charmp]]</f>
        <v>0</v>
      </c>
      <c r="BL146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9" s="78">
        <f ca="1">Table13345678[[#This Row],[call helper]]+Table13345678[[#This Row],[put helper]]</f>
        <v>0</v>
      </c>
      <c r="BP146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0" spans="1:68" x14ac:dyDescent="0.25">
      <c r="A1470" s="14">
        <f t="shared" ca="1" si="144"/>
        <v>-126.14810350076104</v>
      </c>
      <c r="C1470" s="17"/>
      <c r="D1470" t="str">
        <f>RTD("tos.rtd", , "OPEN_INT", "."&amp;Table13345678[[#This Row],[Ticker]]&amp;Table13345678[[#This Row],[Expiry]]&amp;""&amp;"C"&amp;Table13345678[[#This Row],[Spot]]+Table13345678[[#This Row],[step]])</f>
        <v>N/A</v>
      </c>
      <c r="E147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0" s="17" cm="1">
        <f t="array" aca="1" ref="H1470" ca="1">IndividualLegIVCore($A$4, Table13345678[[#This Row],[Strike]], 0.0411, Table13345678[[#This Row],[T]], ((Table13345678[[#This Row],[BIDC]]+Table13345678[[#This Row],[ASKC]])/2), TRUE)</f>
        <v>0.01</v>
      </c>
      <c r="I147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0" s="17"/>
      <c r="M1470" s="1">
        <f t="shared" si="145"/>
        <v>0</v>
      </c>
      <c r="N1470" t="b">
        <f t="shared" si="146"/>
        <v>0</v>
      </c>
      <c r="P1470" s="17" cm="1">
        <f t="array" aca="1" ref="P1470" ca="1">IndividualLegIVCore($A$4, Table13345678[[#This Row],[Strike]], 0.0411, Table13345678[[#This Row],[T]], ((Table13345678[[#This Row],[BIDP]]+Table13345678[[#This Row],[ASKP]])/2), FALSE)</f>
        <v>0.01</v>
      </c>
      <c r="Q147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0" s="17"/>
      <c r="T147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0" s="19">
        <f>-30.5* IF($M$1="NDX", 10, IF(OR($M$1="SPX", $M$1="RUT"), 2, 1))</f>
        <v>-61</v>
      </c>
      <c r="Z1470">
        <f ca="1">IFERROR(Table13345678[[#This Row],[call gamma]]*(Table13345678[[#This Row],[Open.Int]])*$A$4^2,0)</f>
        <v>0</v>
      </c>
      <c r="AA1470">
        <f ca="1">IFERROR(((Table13345678[[#This Row],[Open.Int8]])*Table13345678[[#This Row],[Put gamma]])*-1*$A$4^2,0)</f>
        <v>0</v>
      </c>
      <c r="AB1470">
        <f ca="1">(Table13345678[[#This Row],[Call Gex]]+Table13345678[[#This Row],[Put Gex]])</f>
        <v>0</v>
      </c>
      <c r="AC1470">
        <f ca="1">Table13345678[[#This Row],[put delta adj]]+Table13345678[[#This Row],[call delta adj]]</f>
        <v>0</v>
      </c>
      <c r="AD1470">
        <f ca="1">Table13345678[[#This Row],[Put Gex]]*Table13345678[[#This Row],[DeltaP]]*-1</f>
        <v>0</v>
      </c>
      <c r="AE1470">
        <f ca="1">Table13345678[[#This Row],[Call Gex]]*Table13345678[[#This Row],[DeltaC]]</f>
        <v>0</v>
      </c>
      <c r="AF1470">
        <f>IF(Table13345678[[#This Row],[DeltaC]]-ABS(Table13345678[[#This Row],[DeltaP]])="0","0.01",Table13345678[[#This Row],[DeltaC]]-ABS(Table13345678[[#This Row],[DeltaP]]))</f>
        <v>0</v>
      </c>
      <c r="AG147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0" t="e">
        <f ca="1">(EXP(-(AG1470^2)/2)/SQRT(2*PI())*EXP(0*SQRT(Table13345678[[#This Row],[T]]))/$A$4*18%*SQRT(SQRT(Table13345678[[#This Row],[T]])))</f>
        <v>#DIV/0!</v>
      </c>
      <c r="AJ1470" t="e">
        <f ca="1">(EXP(-(AH1470^2)/2)/SQRT(2*PI())*EXP(0*SQRT(Table13345678[[#This Row],[T]]))/$A$4*18%*SQRT(SQRT(Table13345678[[#This Row],[T]])))</f>
        <v>#DIV/0!</v>
      </c>
      <c r="AK1470" t="e">
        <f ca="1">Table13345678[[#This Row],[Call D1]]-Table13345678[[#This Row],[IV Calc C]]*SQRT(Table13345678[[#This Row],[T]])</f>
        <v>#DIV/0!</v>
      </c>
      <c r="AL1470" t="e">
        <f ca="1">Table13345678[[#This Row],[Put D1]]-Table13345678[[#This Row],[IV Calc P]]*SQRT(Table13345678[[#This Row],[T]])</f>
        <v>#DIV/0!</v>
      </c>
      <c r="AM1470" t="e">
        <f ca="1">EXP(-0.5*Table13345678[[#This Row],[Call D1]]^2)/SQRT(2*PI())</f>
        <v>#DIV/0!</v>
      </c>
      <c r="AN1470" t="e">
        <f ca="1">EXP(-0.5*Table13345678[[#This Row],[Put D1]]^2)/SQRT(2*PI())</f>
        <v>#DIV/0!</v>
      </c>
      <c r="AO147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0">
        <f ca="1">((Table13345678[[#This Row],[call vanna]]+Table13345678[[#This Row],[put vanna]])*$A$4)</f>
        <v>0</v>
      </c>
      <c r="AR147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0" s="9" t="str" cm="1">
        <f t="array" ref="AT1470">_xlfn.IFS(     $M$1="SPX","SPXW",     $M$1="RUT","RUTW",  $M$1="NDX","NDXP",   TRUE,$M$1 )</f>
        <v>SPXW</v>
      </c>
      <c r="AU1470" s="2">
        <f t="shared" si="147"/>
        <v>6915</v>
      </c>
      <c r="AV1470" t="str">
        <f t="shared" si="148"/>
        <v>000100</v>
      </c>
      <c r="AY147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0">
        <f>((Table13345678[[#This Row],[High C]]+Table13345678[[#This Row],[Low C]])/2)*Table13345678[[#This Row],[gammac]]*Table13345678[[#This Row],[Volume]]</f>
        <v>0</v>
      </c>
      <c r="BD1470">
        <f>((Table13345678[[#This Row],[High P]]+Table13345678[[#This Row],[Low P]])/2)*Table13345678[[#This Row],[gammap]]*Table13345678[[#This Row],[Volume9]]*-1</f>
        <v>0</v>
      </c>
      <c r="BE1470">
        <f>(Table13345678[[#This Row],[SgammaC]]+Table13345678[[#This Row],[SgammaP]])*$A$4*-100</f>
        <v>0</v>
      </c>
      <c r="BF1470">
        <f>Table13345678[[#This Row],[DEXc]]+Table13345678[[#This Row],[DEXp]]</f>
        <v>0</v>
      </c>
      <c r="BG1470" s="78">
        <f>IFERROR(Table13345678[[#This Row],[DeltaC]]*Table13345678[[#This Row],[Open.Int]]*$A$4,0)</f>
        <v>0</v>
      </c>
      <c r="BH1470">
        <f>IFERROR(Table13345678[[#This Row],[DeltaP]]*Table13345678[[#This Row],[Open.Int8]]*$A$4,0)</f>
        <v>0</v>
      </c>
      <c r="BI147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0">
        <f ca="1">Table13345678[[#This Row],[charmc]]+Table13345678[[#This Row],[charmp]]</f>
        <v>0</v>
      </c>
      <c r="BL147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0" s="78">
        <f ca="1">Table13345678[[#This Row],[call helper]]+Table13345678[[#This Row],[put helper]]</f>
        <v>0</v>
      </c>
      <c r="BP147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1" spans="1:68" x14ac:dyDescent="0.25">
      <c r="A1471" s="14">
        <f t="shared" ca="1" si="144"/>
        <v>-126.14810350076104</v>
      </c>
      <c r="C1471" s="17"/>
      <c r="D1471" t="str">
        <f>RTD("tos.rtd", , "OPEN_INT", "."&amp;Table13345678[[#This Row],[Ticker]]&amp;Table13345678[[#This Row],[Expiry]]&amp;""&amp;"C"&amp;Table13345678[[#This Row],[Spot]]+Table13345678[[#This Row],[step]])</f>
        <v>N/A</v>
      </c>
      <c r="E147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1" s="17" cm="1">
        <f t="array" aca="1" ref="H1471" ca="1">IndividualLegIVCore($A$4, Table13345678[[#This Row],[Strike]], 0.0411, Table13345678[[#This Row],[T]], ((Table13345678[[#This Row],[BIDC]]+Table13345678[[#This Row],[ASKC]])/2), TRUE)</f>
        <v>0.01</v>
      </c>
      <c r="I147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1" s="17"/>
      <c r="M1471" s="1">
        <f t="shared" si="145"/>
        <v>0</v>
      </c>
      <c r="N1471" t="b">
        <f t="shared" si="146"/>
        <v>0</v>
      </c>
      <c r="P1471" s="17" cm="1">
        <f t="array" aca="1" ref="P1471" ca="1">IndividualLegIVCore($A$4, Table13345678[[#This Row],[Strike]], 0.0411, Table13345678[[#This Row],[T]], ((Table13345678[[#This Row],[BIDP]]+Table13345678[[#This Row],[ASKP]])/2), FALSE)</f>
        <v>0.01</v>
      </c>
      <c r="Q147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1" s="17"/>
      <c r="T147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1" s="19">
        <f>-30* IF($M$1="NDX", 10, IF(OR($M$1="SPX", $M$1="RUT"), 2, 1))</f>
        <v>-60</v>
      </c>
      <c r="Z1471">
        <f ca="1">IFERROR(Table13345678[[#This Row],[call gamma]]*(Table13345678[[#This Row],[Open.Int]])*$A$4^2,0)</f>
        <v>0</v>
      </c>
      <c r="AA1471">
        <f ca="1">IFERROR(((Table13345678[[#This Row],[Open.Int8]])*Table13345678[[#This Row],[Put gamma]])*-1*$A$4^2,0)</f>
        <v>0</v>
      </c>
      <c r="AB1471">
        <f ca="1">(Table13345678[[#This Row],[Call Gex]]+Table13345678[[#This Row],[Put Gex]])</f>
        <v>0</v>
      </c>
      <c r="AC1471">
        <f ca="1">Table13345678[[#This Row],[put delta adj]]+Table13345678[[#This Row],[call delta adj]]</f>
        <v>0</v>
      </c>
      <c r="AD1471">
        <f ca="1">Table13345678[[#This Row],[Put Gex]]*Table13345678[[#This Row],[DeltaP]]*-1</f>
        <v>0</v>
      </c>
      <c r="AE1471">
        <f ca="1">Table13345678[[#This Row],[Call Gex]]*Table13345678[[#This Row],[DeltaC]]</f>
        <v>0</v>
      </c>
      <c r="AF1471">
        <f>IF(Table13345678[[#This Row],[DeltaC]]-ABS(Table13345678[[#This Row],[DeltaP]])="0","0.01",Table13345678[[#This Row],[DeltaC]]-ABS(Table13345678[[#This Row],[DeltaP]]))</f>
        <v>0</v>
      </c>
      <c r="AG147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1" t="e">
        <f ca="1">(EXP(-(AG1471^2)/2)/SQRT(2*PI())*EXP(0*SQRT(Table13345678[[#This Row],[T]]))/$A$4*18%*SQRT(SQRT(Table13345678[[#This Row],[T]])))</f>
        <v>#DIV/0!</v>
      </c>
      <c r="AJ1471" t="e">
        <f ca="1">(EXP(-(AH1471^2)/2)/SQRT(2*PI())*EXP(0*SQRT(Table13345678[[#This Row],[T]]))/$A$4*18%*SQRT(SQRT(Table13345678[[#This Row],[T]])))</f>
        <v>#DIV/0!</v>
      </c>
      <c r="AK1471" t="e">
        <f ca="1">Table13345678[[#This Row],[Call D1]]-Table13345678[[#This Row],[IV Calc C]]*SQRT(Table13345678[[#This Row],[T]])</f>
        <v>#DIV/0!</v>
      </c>
      <c r="AL1471" t="e">
        <f ca="1">Table13345678[[#This Row],[Put D1]]-Table13345678[[#This Row],[IV Calc P]]*SQRT(Table13345678[[#This Row],[T]])</f>
        <v>#DIV/0!</v>
      </c>
      <c r="AM1471" t="e">
        <f ca="1">EXP(-0.5*Table13345678[[#This Row],[Call D1]]^2)/SQRT(2*PI())</f>
        <v>#DIV/0!</v>
      </c>
      <c r="AN1471" t="e">
        <f ca="1">EXP(-0.5*Table13345678[[#This Row],[Put D1]]^2)/SQRT(2*PI())</f>
        <v>#DIV/0!</v>
      </c>
      <c r="AO147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1">
        <f ca="1">((Table13345678[[#This Row],[call vanna]]+Table13345678[[#This Row],[put vanna]])*$A$4)</f>
        <v>0</v>
      </c>
      <c r="AR147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1" s="9" t="str" cm="1">
        <f t="array" ref="AT1471">_xlfn.IFS(     $M$1="SPX","SPXW",     $M$1="RUT","RUTW",  $M$1="NDX","NDXP",   TRUE,$M$1 )</f>
        <v>SPXW</v>
      </c>
      <c r="AU1471" s="2">
        <f t="shared" si="147"/>
        <v>6915</v>
      </c>
      <c r="AV1471" t="str">
        <f t="shared" si="148"/>
        <v>000100</v>
      </c>
      <c r="AY147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1">
        <f>((Table13345678[[#This Row],[High C]]+Table13345678[[#This Row],[Low C]])/2)*Table13345678[[#This Row],[gammac]]*Table13345678[[#This Row],[Volume]]</f>
        <v>0</v>
      </c>
      <c r="BD1471">
        <f>((Table13345678[[#This Row],[High P]]+Table13345678[[#This Row],[Low P]])/2)*Table13345678[[#This Row],[gammap]]*Table13345678[[#This Row],[Volume9]]*-1</f>
        <v>0</v>
      </c>
      <c r="BE1471">
        <f>(Table13345678[[#This Row],[SgammaC]]+Table13345678[[#This Row],[SgammaP]])*$A$4*-100</f>
        <v>0</v>
      </c>
      <c r="BF1471">
        <f>Table13345678[[#This Row],[DEXc]]+Table13345678[[#This Row],[DEXp]]</f>
        <v>0</v>
      </c>
      <c r="BG1471" s="78">
        <f>IFERROR(Table13345678[[#This Row],[DeltaC]]*Table13345678[[#This Row],[Open.Int]]*$A$4,0)</f>
        <v>0</v>
      </c>
      <c r="BH1471">
        <f>IFERROR(Table13345678[[#This Row],[DeltaP]]*Table13345678[[#This Row],[Open.Int8]]*$A$4,0)</f>
        <v>0</v>
      </c>
      <c r="BI147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1">
        <f ca="1">Table13345678[[#This Row],[charmc]]+Table13345678[[#This Row],[charmp]]</f>
        <v>0</v>
      </c>
      <c r="BL147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1" s="78">
        <f ca="1">Table13345678[[#This Row],[call helper]]+Table13345678[[#This Row],[put helper]]</f>
        <v>0</v>
      </c>
      <c r="BP147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2" spans="1:68" x14ac:dyDescent="0.25">
      <c r="A1472" s="14">
        <f t="shared" ca="1" si="144"/>
        <v>-126.14810350076104</v>
      </c>
      <c r="C1472" s="17"/>
      <c r="D1472" t="str">
        <f>RTD("tos.rtd", , "OPEN_INT", "."&amp;Table13345678[[#This Row],[Ticker]]&amp;Table13345678[[#This Row],[Expiry]]&amp;""&amp;"C"&amp;Table13345678[[#This Row],[Spot]]+Table13345678[[#This Row],[step]])</f>
        <v>N/A</v>
      </c>
      <c r="E147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2" s="17" cm="1">
        <f t="array" aca="1" ref="H1472" ca="1">IndividualLegIVCore($A$4, Table13345678[[#This Row],[Strike]], 0.0411, Table13345678[[#This Row],[T]], ((Table13345678[[#This Row],[BIDC]]+Table13345678[[#This Row],[ASKC]])/2), TRUE)</f>
        <v>0.01</v>
      </c>
      <c r="I147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2" s="17"/>
      <c r="M1472" s="1">
        <f t="shared" si="145"/>
        <v>0</v>
      </c>
      <c r="N1472" t="b">
        <f t="shared" si="146"/>
        <v>0</v>
      </c>
      <c r="P1472" s="17" cm="1">
        <f t="array" aca="1" ref="P1472" ca="1">IndividualLegIVCore($A$4, Table13345678[[#This Row],[Strike]], 0.0411, Table13345678[[#This Row],[T]], ((Table13345678[[#This Row],[BIDP]]+Table13345678[[#This Row],[ASKP]])/2), FALSE)</f>
        <v>0.01</v>
      </c>
      <c r="Q147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2" s="17"/>
      <c r="T147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2" s="19">
        <f>-29.5* IF($M$1="NDX", 10, IF(OR($M$1="SPX", $M$1="RUT"), 2, 1))</f>
        <v>-59</v>
      </c>
      <c r="Z1472">
        <f ca="1">IFERROR(Table13345678[[#This Row],[call gamma]]*(Table13345678[[#This Row],[Open.Int]])*$A$4^2,0)</f>
        <v>0</v>
      </c>
      <c r="AA1472">
        <f ca="1">IFERROR(((Table13345678[[#This Row],[Open.Int8]])*Table13345678[[#This Row],[Put gamma]])*-1*$A$4^2,0)</f>
        <v>0</v>
      </c>
      <c r="AB1472">
        <f ca="1">(Table13345678[[#This Row],[Call Gex]]+Table13345678[[#This Row],[Put Gex]])</f>
        <v>0</v>
      </c>
      <c r="AC1472">
        <f ca="1">Table13345678[[#This Row],[put delta adj]]+Table13345678[[#This Row],[call delta adj]]</f>
        <v>0</v>
      </c>
      <c r="AD1472">
        <f ca="1">Table13345678[[#This Row],[Put Gex]]*Table13345678[[#This Row],[DeltaP]]*-1</f>
        <v>0</v>
      </c>
      <c r="AE1472">
        <f ca="1">Table13345678[[#This Row],[Call Gex]]*Table13345678[[#This Row],[DeltaC]]</f>
        <v>0</v>
      </c>
      <c r="AF1472">
        <f>IF(Table13345678[[#This Row],[DeltaC]]-ABS(Table13345678[[#This Row],[DeltaP]])="0","0.01",Table13345678[[#This Row],[DeltaC]]-ABS(Table13345678[[#This Row],[DeltaP]]))</f>
        <v>0</v>
      </c>
      <c r="AG147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2" t="e">
        <f ca="1">(EXP(-(AG1472^2)/2)/SQRT(2*PI())*EXP(0*SQRT(Table13345678[[#This Row],[T]]))/$A$4*18%*SQRT(SQRT(Table13345678[[#This Row],[T]])))</f>
        <v>#DIV/0!</v>
      </c>
      <c r="AJ1472" t="e">
        <f ca="1">(EXP(-(AH1472^2)/2)/SQRT(2*PI())*EXP(0*SQRT(Table13345678[[#This Row],[T]]))/$A$4*18%*SQRT(SQRT(Table13345678[[#This Row],[T]])))</f>
        <v>#DIV/0!</v>
      </c>
      <c r="AK1472" t="e">
        <f ca="1">Table13345678[[#This Row],[Call D1]]-Table13345678[[#This Row],[IV Calc C]]*SQRT(Table13345678[[#This Row],[T]])</f>
        <v>#DIV/0!</v>
      </c>
      <c r="AL1472" t="e">
        <f ca="1">Table13345678[[#This Row],[Put D1]]-Table13345678[[#This Row],[IV Calc P]]*SQRT(Table13345678[[#This Row],[T]])</f>
        <v>#DIV/0!</v>
      </c>
      <c r="AM1472" t="e">
        <f ca="1">EXP(-0.5*Table13345678[[#This Row],[Call D1]]^2)/SQRT(2*PI())</f>
        <v>#DIV/0!</v>
      </c>
      <c r="AN1472" t="e">
        <f ca="1">EXP(-0.5*Table13345678[[#This Row],[Put D1]]^2)/SQRT(2*PI())</f>
        <v>#DIV/0!</v>
      </c>
      <c r="AO147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2">
        <f ca="1">((Table13345678[[#This Row],[call vanna]]+Table13345678[[#This Row],[put vanna]])*$A$4)</f>
        <v>0</v>
      </c>
      <c r="AR147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2" s="9" t="str" cm="1">
        <f t="array" ref="AT1472">_xlfn.IFS(     $M$1="SPX","SPXW",     $M$1="RUT","RUTW",  $M$1="NDX","NDXP",   TRUE,$M$1 )</f>
        <v>SPXW</v>
      </c>
      <c r="AU1472" s="2">
        <f t="shared" si="147"/>
        <v>6915</v>
      </c>
      <c r="AV1472" t="str">
        <f t="shared" si="148"/>
        <v>000100</v>
      </c>
      <c r="AY147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2">
        <f>((Table13345678[[#This Row],[High C]]+Table13345678[[#This Row],[Low C]])/2)*Table13345678[[#This Row],[gammac]]*Table13345678[[#This Row],[Volume]]</f>
        <v>0</v>
      </c>
      <c r="BD1472">
        <f>((Table13345678[[#This Row],[High P]]+Table13345678[[#This Row],[Low P]])/2)*Table13345678[[#This Row],[gammap]]*Table13345678[[#This Row],[Volume9]]*-1</f>
        <v>0</v>
      </c>
      <c r="BE1472">
        <f>(Table13345678[[#This Row],[SgammaC]]+Table13345678[[#This Row],[SgammaP]])*$A$4*-100</f>
        <v>0</v>
      </c>
      <c r="BF1472">
        <f>Table13345678[[#This Row],[DEXc]]+Table13345678[[#This Row],[DEXp]]</f>
        <v>0</v>
      </c>
      <c r="BG1472" s="78">
        <f>IFERROR(Table13345678[[#This Row],[DeltaC]]*Table13345678[[#This Row],[Open.Int]]*$A$4,0)</f>
        <v>0</v>
      </c>
      <c r="BH1472">
        <f>IFERROR(Table13345678[[#This Row],[DeltaP]]*Table13345678[[#This Row],[Open.Int8]]*$A$4,0)</f>
        <v>0</v>
      </c>
      <c r="BI147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2">
        <f ca="1">Table13345678[[#This Row],[charmc]]+Table13345678[[#This Row],[charmp]]</f>
        <v>0</v>
      </c>
      <c r="BL147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2" s="78">
        <f ca="1">Table13345678[[#This Row],[call helper]]+Table13345678[[#This Row],[put helper]]</f>
        <v>0</v>
      </c>
      <c r="BP147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3" spans="1:68" x14ac:dyDescent="0.25">
      <c r="A1473" s="14">
        <f t="shared" ca="1" si="144"/>
        <v>-126.14810350076104</v>
      </c>
      <c r="C1473" s="17"/>
      <c r="D1473" t="str">
        <f>RTD("tos.rtd", , "OPEN_INT", "."&amp;Table13345678[[#This Row],[Ticker]]&amp;Table13345678[[#This Row],[Expiry]]&amp;""&amp;"C"&amp;Table13345678[[#This Row],[Spot]]+Table13345678[[#This Row],[step]])</f>
        <v>N/A</v>
      </c>
      <c r="E147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3" s="17" cm="1">
        <f t="array" aca="1" ref="H1473" ca="1">IndividualLegIVCore($A$4, Table13345678[[#This Row],[Strike]], 0.0411, Table13345678[[#This Row],[T]], ((Table13345678[[#This Row],[BIDC]]+Table13345678[[#This Row],[ASKC]])/2), TRUE)</f>
        <v>0.01</v>
      </c>
      <c r="I147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3" s="17"/>
      <c r="M1473" s="1">
        <f t="shared" si="145"/>
        <v>0</v>
      </c>
      <c r="N1473" t="b">
        <f t="shared" si="146"/>
        <v>0</v>
      </c>
      <c r="P1473" s="17" cm="1">
        <f t="array" aca="1" ref="P1473" ca="1">IndividualLegIVCore($A$4, Table13345678[[#This Row],[Strike]], 0.0411, Table13345678[[#This Row],[T]], ((Table13345678[[#This Row],[BIDP]]+Table13345678[[#This Row],[ASKP]])/2), FALSE)</f>
        <v>0.01</v>
      </c>
      <c r="Q147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3" s="17"/>
      <c r="T147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3" s="19">
        <f>-29* IF($M$1="NDX", 10, IF(OR($M$1="SPX", $M$1="RUT"), 2, 1))</f>
        <v>-58</v>
      </c>
      <c r="Z1473">
        <f ca="1">IFERROR(Table13345678[[#This Row],[call gamma]]*(Table13345678[[#This Row],[Open.Int]])*$A$4^2,0)</f>
        <v>0</v>
      </c>
      <c r="AA1473">
        <f ca="1">IFERROR(((Table13345678[[#This Row],[Open.Int8]])*Table13345678[[#This Row],[Put gamma]])*-1*$A$4^2,0)</f>
        <v>0</v>
      </c>
      <c r="AB1473">
        <f ca="1">(Table13345678[[#This Row],[Call Gex]]+Table13345678[[#This Row],[Put Gex]])</f>
        <v>0</v>
      </c>
      <c r="AC1473">
        <f ca="1">Table13345678[[#This Row],[put delta adj]]+Table13345678[[#This Row],[call delta adj]]</f>
        <v>0</v>
      </c>
      <c r="AD1473">
        <f ca="1">Table13345678[[#This Row],[Put Gex]]*Table13345678[[#This Row],[DeltaP]]*-1</f>
        <v>0</v>
      </c>
      <c r="AE1473">
        <f ca="1">Table13345678[[#This Row],[Call Gex]]*Table13345678[[#This Row],[DeltaC]]</f>
        <v>0</v>
      </c>
      <c r="AF1473">
        <f>IF(Table13345678[[#This Row],[DeltaC]]-ABS(Table13345678[[#This Row],[DeltaP]])="0","0.01",Table13345678[[#This Row],[DeltaC]]-ABS(Table13345678[[#This Row],[DeltaP]]))</f>
        <v>0</v>
      </c>
      <c r="AG147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3" t="e">
        <f ca="1">(EXP(-(AG1473^2)/2)/SQRT(2*PI())*EXP(0*SQRT(Table13345678[[#This Row],[T]]))/$A$4*18%*SQRT(SQRT(Table13345678[[#This Row],[T]])))</f>
        <v>#DIV/0!</v>
      </c>
      <c r="AJ1473" t="e">
        <f ca="1">(EXP(-(AH1473^2)/2)/SQRT(2*PI())*EXP(0*SQRT(Table13345678[[#This Row],[T]]))/$A$4*18%*SQRT(SQRT(Table13345678[[#This Row],[T]])))</f>
        <v>#DIV/0!</v>
      </c>
      <c r="AK1473" t="e">
        <f ca="1">Table13345678[[#This Row],[Call D1]]-Table13345678[[#This Row],[IV Calc C]]*SQRT(Table13345678[[#This Row],[T]])</f>
        <v>#DIV/0!</v>
      </c>
      <c r="AL1473" t="e">
        <f ca="1">Table13345678[[#This Row],[Put D1]]-Table13345678[[#This Row],[IV Calc P]]*SQRT(Table13345678[[#This Row],[T]])</f>
        <v>#DIV/0!</v>
      </c>
      <c r="AM1473" t="e">
        <f ca="1">EXP(-0.5*Table13345678[[#This Row],[Call D1]]^2)/SQRT(2*PI())</f>
        <v>#DIV/0!</v>
      </c>
      <c r="AN1473" t="e">
        <f ca="1">EXP(-0.5*Table13345678[[#This Row],[Put D1]]^2)/SQRT(2*PI())</f>
        <v>#DIV/0!</v>
      </c>
      <c r="AO147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3">
        <f ca="1">((Table13345678[[#This Row],[call vanna]]+Table13345678[[#This Row],[put vanna]])*$A$4)</f>
        <v>0</v>
      </c>
      <c r="AR147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3" s="9" t="str" cm="1">
        <f t="array" ref="AT1473">_xlfn.IFS(     $M$1="SPX","SPXW",     $M$1="RUT","RUTW",  $M$1="NDX","NDXP",   TRUE,$M$1 )</f>
        <v>SPXW</v>
      </c>
      <c r="AU1473" s="2">
        <f t="shared" si="147"/>
        <v>6915</v>
      </c>
      <c r="AV1473" t="str">
        <f t="shared" si="148"/>
        <v>000100</v>
      </c>
      <c r="AY147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3">
        <f>((Table13345678[[#This Row],[High C]]+Table13345678[[#This Row],[Low C]])/2)*Table13345678[[#This Row],[gammac]]*Table13345678[[#This Row],[Volume]]</f>
        <v>0</v>
      </c>
      <c r="BD1473">
        <f>((Table13345678[[#This Row],[High P]]+Table13345678[[#This Row],[Low P]])/2)*Table13345678[[#This Row],[gammap]]*Table13345678[[#This Row],[Volume9]]*-1</f>
        <v>0</v>
      </c>
      <c r="BE1473">
        <f>(Table13345678[[#This Row],[SgammaC]]+Table13345678[[#This Row],[SgammaP]])*$A$4*-100</f>
        <v>0</v>
      </c>
      <c r="BF1473">
        <f>Table13345678[[#This Row],[DEXc]]+Table13345678[[#This Row],[DEXp]]</f>
        <v>0</v>
      </c>
      <c r="BG1473" s="78">
        <f>IFERROR(Table13345678[[#This Row],[DeltaC]]*Table13345678[[#This Row],[Open.Int]]*$A$4,0)</f>
        <v>0</v>
      </c>
      <c r="BH1473">
        <f>IFERROR(Table13345678[[#This Row],[DeltaP]]*Table13345678[[#This Row],[Open.Int8]]*$A$4,0)</f>
        <v>0</v>
      </c>
      <c r="BI147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3">
        <f ca="1">Table13345678[[#This Row],[charmc]]+Table13345678[[#This Row],[charmp]]</f>
        <v>0</v>
      </c>
      <c r="BL147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3" s="78">
        <f ca="1">Table13345678[[#This Row],[call helper]]+Table13345678[[#This Row],[put helper]]</f>
        <v>0</v>
      </c>
      <c r="BP147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4" spans="1:68" x14ac:dyDescent="0.25">
      <c r="A1474" s="14">
        <f t="shared" ca="1" si="144"/>
        <v>-126.14810350076104</v>
      </c>
      <c r="C1474" s="17"/>
      <c r="D1474" t="str">
        <f>RTD("tos.rtd", , "OPEN_INT", "."&amp;Table13345678[[#This Row],[Ticker]]&amp;Table13345678[[#This Row],[Expiry]]&amp;""&amp;"C"&amp;Table13345678[[#This Row],[Spot]]+Table13345678[[#This Row],[step]])</f>
        <v>N/A</v>
      </c>
      <c r="E147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4" s="17" cm="1">
        <f t="array" aca="1" ref="H1474" ca="1">IndividualLegIVCore($A$4, Table13345678[[#This Row],[Strike]], 0.0411, Table13345678[[#This Row],[T]], ((Table13345678[[#This Row],[BIDC]]+Table13345678[[#This Row],[ASKC]])/2), TRUE)</f>
        <v>0.01</v>
      </c>
      <c r="I147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4" s="17"/>
      <c r="M1474" s="1">
        <f t="shared" si="145"/>
        <v>0</v>
      </c>
      <c r="N1474" t="b">
        <f t="shared" si="146"/>
        <v>0</v>
      </c>
      <c r="P1474" s="17" cm="1">
        <f t="array" aca="1" ref="P1474" ca="1">IndividualLegIVCore($A$4, Table13345678[[#This Row],[Strike]], 0.0411, Table13345678[[#This Row],[T]], ((Table13345678[[#This Row],[BIDP]]+Table13345678[[#This Row],[ASKP]])/2), FALSE)</f>
        <v>0.01</v>
      </c>
      <c r="Q147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4" s="17"/>
      <c r="T147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4" s="19">
        <f>-28.5* IF($M$1="NDX", 10, IF(OR($M$1="SPX", $M$1="RUT"), 2, 1))</f>
        <v>-57</v>
      </c>
      <c r="Z1474">
        <f ca="1">IFERROR(Table13345678[[#This Row],[call gamma]]*(Table13345678[[#This Row],[Open.Int]])*$A$4^2,0)</f>
        <v>0</v>
      </c>
      <c r="AA1474">
        <f ca="1">IFERROR(((Table13345678[[#This Row],[Open.Int8]])*Table13345678[[#This Row],[Put gamma]])*-1*$A$4^2,0)</f>
        <v>0</v>
      </c>
      <c r="AB1474">
        <f ca="1">(Table13345678[[#This Row],[Call Gex]]+Table13345678[[#This Row],[Put Gex]])</f>
        <v>0</v>
      </c>
      <c r="AC1474">
        <f ca="1">Table13345678[[#This Row],[put delta adj]]+Table13345678[[#This Row],[call delta adj]]</f>
        <v>0</v>
      </c>
      <c r="AD1474">
        <f ca="1">Table13345678[[#This Row],[Put Gex]]*Table13345678[[#This Row],[DeltaP]]*-1</f>
        <v>0</v>
      </c>
      <c r="AE1474">
        <f ca="1">Table13345678[[#This Row],[Call Gex]]*Table13345678[[#This Row],[DeltaC]]</f>
        <v>0</v>
      </c>
      <c r="AF1474">
        <f>IF(Table13345678[[#This Row],[DeltaC]]-ABS(Table13345678[[#This Row],[DeltaP]])="0","0.01",Table13345678[[#This Row],[DeltaC]]-ABS(Table13345678[[#This Row],[DeltaP]]))</f>
        <v>0</v>
      </c>
      <c r="AG147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4" t="e">
        <f ca="1">(EXP(-(AG1474^2)/2)/SQRT(2*PI())*EXP(0*SQRT(Table13345678[[#This Row],[T]]))/$A$4*18%*SQRT(SQRT(Table13345678[[#This Row],[T]])))</f>
        <v>#DIV/0!</v>
      </c>
      <c r="AJ1474" t="e">
        <f ca="1">(EXP(-(AH1474^2)/2)/SQRT(2*PI())*EXP(0*SQRT(Table13345678[[#This Row],[T]]))/$A$4*18%*SQRT(SQRT(Table13345678[[#This Row],[T]])))</f>
        <v>#DIV/0!</v>
      </c>
      <c r="AK1474" t="e">
        <f ca="1">Table13345678[[#This Row],[Call D1]]-Table13345678[[#This Row],[IV Calc C]]*SQRT(Table13345678[[#This Row],[T]])</f>
        <v>#DIV/0!</v>
      </c>
      <c r="AL1474" t="e">
        <f ca="1">Table13345678[[#This Row],[Put D1]]-Table13345678[[#This Row],[IV Calc P]]*SQRT(Table13345678[[#This Row],[T]])</f>
        <v>#DIV/0!</v>
      </c>
      <c r="AM1474" t="e">
        <f ca="1">EXP(-0.5*Table13345678[[#This Row],[Call D1]]^2)/SQRT(2*PI())</f>
        <v>#DIV/0!</v>
      </c>
      <c r="AN1474" t="e">
        <f ca="1">EXP(-0.5*Table13345678[[#This Row],[Put D1]]^2)/SQRT(2*PI())</f>
        <v>#DIV/0!</v>
      </c>
      <c r="AO147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4">
        <f ca="1">((Table13345678[[#This Row],[call vanna]]+Table13345678[[#This Row],[put vanna]])*$A$4)</f>
        <v>0</v>
      </c>
      <c r="AR147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4" s="9" t="str" cm="1">
        <f t="array" ref="AT1474">_xlfn.IFS(     $M$1="SPX","SPXW",     $M$1="RUT","RUTW",  $M$1="NDX","NDXP",   TRUE,$M$1 )</f>
        <v>SPXW</v>
      </c>
      <c r="AU1474" s="2">
        <f t="shared" si="147"/>
        <v>6915</v>
      </c>
      <c r="AV1474" t="str">
        <f t="shared" si="148"/>
        <v>000100</v>
      </c>
      <c r="AY147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4">
        <f>((Table13345678[[#This Row],[High C]]+Table13345678[[#This Row],[Low C]])/2)*Table13345678[[#This Row],[gammac]]*Table13345678[[#This Row],[Volume]]</f>
        <v>0</v>
      </c>
      <c r="BD1474">
        <f>((Table13345678[[#This Row],[High P]]+Table13345678[[#This Row],[Low P]])/2)*Table13345678[[#This Row],[gammap]]*Table13345678[[#This Row],[Volume9]]*-1</f>
        <v>0</v>
      </c>
      <c r="BE1474">
        <f>(Table13345678[[#This Row],[SgammaC]]+Table13345678[[#This Row],[SgammaP]])*$A$4*-100</f>
        <v>0</v>
      </c>
      <c r="BF1474">
        <f>Table13345678[[#This Row],[DEXc]]+Table13345678[[#This Row],[DEXp]]</f>
        <v>0</v>
      </c>
      <c r="BG1474" s="78">
        <f>IFERROR(Table13345678[[#This Row],[DeltaC]]*Table13345678[[#This Row],[Open.Int]]*$A$4,0)</f>
        <v>0</v>
      </c>
      <c r="BH1474">
        <f>IFERROR(Table13345678[[#This Row],[DeltaP]]*Table13345678[[#This Row],[Open.Int8]]*$A$4,0)</f>
        <v>0</v>
      </c>
      <c r="BI147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4">
        <f ca="1">Table13345678[[#This Row],[charmc]]+Table13345678[[#This Row],[charmp]]</f>
        <v>0</v>
      </c>
      <c r="BL147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4" s="78">
        <f ca="1">Table13345678[[#This Row],[call helper]]+Table13345678[[#This Row],[put helper]]</f>
        <v>0</v>
      </c>
      <c r="BP147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5" spans="1:68" x14ac:dyDescent="0.25">
      <c r="A1475" s="14">
        <f t="shared" ca="1" si="144"/>
        <v>-126.14810350076104</v>
      </c>
      <c r="C1475" s="17"/>
      <c r="D1475" t="str">
        <f>RTD("tos.rtd", , "OPEN_INT", "."&amp;Table13345678[[#This Row],[Ticker]]&amp;Table13345678[[#This Row],[Expiry]]&amp;""&amp;"C"&amp;Table13345678[[#This Row],[Spot]]+Table13345678[[#This Row],[step]])</f>
        <v>N/A</v>
      </c>
      <c r="E147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5" s="17" cm="1">
        <f t="array" aca="1" ref="H1475" ca="1">IndividualLegIVCore($A$4, Table13345678[[#This Row],[Strike]], 0.0411, Table13345678[[#This Row],[T]], ((Table13345678[[#This Row],[BIDC]]+Table13345678[[#This Row],[ASKC]])/2), TRUE)</f>
        <v>0.01</v>
      </c>
      <c r="I147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5" s="17"/>
      <c r="M1475" s="1">
        <f t="shared" si="145"/>
        <v>0</v>
      </c>
      <c r="N1475" t="b">
        <f t="shared" si="146"/>
        <v>0</v>
      </c>
      <c r="P1475" s="17" cm="1">
        <f t="array" aca="1" ref="P1475" ca="1">IndividualLegIVCore($A$4, Table13345678[[#This Row],[Strike]], 0.0411, Table13345678[[#This Row],[T]], ((Table13345678[[#This Row],[BIDP]]+Table13345678[[#This Row],[ASKP]])/2), FALSE)</f>
        <v>0.01</v>
      </c>
      <c r="Q147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5" s="17"/>
      <c r="T147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5" s="19">
        <f>-28* IF($M$1="NDX", 10, IF(OR($M$1="SPX", $M$1="RUT"), 2, 1))</f>
        <v>-56</v>
      </c>
      <c r="Z1475">
        <f ca="1">IFERROR(Table13345678[[#This Row],[call gamma]]*(Table13345678[[#This Row],[Open.Int]])*$A$4^2,0)</f>
        <v>0</v>
      </c>
      <c r="AA1475">
        <f ca="1">IFERROR(((Table13345678[[#This Row],[Open.Int8]])*Table13345678[[#This Row],[Put gamma]])*-1*$A$4^2,0)</f>
        <v>0</v>
      </c>
      <c r="AB1475">
        <f ca="1">(Table13345678[[#This Row],[Call Gex]]+Table13345678[[#This Row],[Put Gex]])</f>
        <v>0</v>
      </c>
      <c r="AC1475">
        <f ca="1">Table13345678[[#This Row],[put delta adj]]+Table13345678[[#This Row],[call delta adj]]</f>
        <v>0</v>
      </c>
      <c r="AD1475">
        <f ca="1">Table13345678[[#This Row],[Put Gex]]*Table13345678[[#This Row],[DeltaP]]*-1</f>
        <v>0</v>
      </c>
      <c r="AE1475">
        <f ca="1">Table13345678[[#This Row],[Call Gex]]*Table13345678[[#This Row],[DeltaC]]</f>
        <v>0</v>
      </c>
      <c r="AF1475">
        <f>IF(Table13345678[[#This Row],[DeltaC]]-ABS(Table13345678[[#This Row],[DeltaP]])="0","0.01",Table13345678[[#This Row],[DeltaC]]-ABS(Table13345678[[#This Row],[DeltaP]]))</f>
        <v>0</v>
      </c>
      <c r="AG147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5" t="e">
        <f ca="1">(EXP(-(AG1475^2)/2)/SQRT(2*PI())*EXP(0*SQRT(Table13345678[[#This Row],[T]]))/$A$4*18%*SQRT(SQRT(Table13345678[[#This Row],[T]])))</f>
        <v>#DIV/0!</v>
      </c>
      <c r="AJ1475" t="e">
        <f ca="1">(EXP(-(AH1475^2)/2)/SQRT(2*PI())*EXP(0*SQRT(Table13345678[[#This Row],[T]]))/$A$4*18%*SQRT(SQRT(Table13345678[[#This Row],[T]])))</f>
        <v>#DIV/0!</v>
      </c>
      <c r="AK1475" t="e">
        <f ca="1">Table13345678[[#This Row],[Call D1]]-Table13345678[[#This Row],[IV Calc C]]*SQRT(Table13345678[[#This Row],[T]])</f>
        <v>#DIV/0!</v>
      </c>
      <c r="AL1475" t="e">
        <f ca="1">Table13345678[[#This Row],[Put D1]]-Table13345678[[#This Row],[IV Calc P]]*SQRT(Table13345678[[#This Row],[T]])</f>
        <v>#DIV/0!</v>
      </c>
      <c r="AM1475" t="e">
        <f ca="1">EXP(-0.5*Table13345678[[#This Row],[Call D1]]^2)/SQRT(2*PI())</f>
        <v>#DIV/0!</v>
      </c>
      <c r="AN1475" t="e">
        <f ca="1">EXP(-0.5*Table13345678[[#This Row],[Put D1]]^2)/SQRT(2*PI())</f>
        <v>#DIV/0!</v>
      </c>
      <c r="AO147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5">
        <f ca="1">((Table13345678[[#This Row],[call vanna]]+Table13345678[[#This Row],[put vanna]])*$A$4)</f>
        <v>0</v>
      </c>
      <c r="AR147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5" s="9" t="str" cm="1">
        <f t="array" ref="AT1475">_xlfn.IFS(     $M$1="SPX","SPXW",     $M$1="RUT","RUTW",  $M$1="NDX","NDXP",   TRUE,$M$1 )</f>
        <v>SPXW</v>
      </c>
      <c r="AU1475" s="2">
        <f t="shared" si="147"/>
        <v>6915</v>
      </c>
      <c r="AV1475" t="str">
        <f t="shared" si="148"/>
        <v>000100</v>
      </c>
      <c r="AY147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5">
        <f>((Table13345678[[#This Row],[High C]]+Table13345678[[#This Row],[Low C]])/2)*Table13345678[[#This Row],[gammac]]*Table13345678[[#This Row],[Volume]]</f>
        <v>0</v>
      </c>
      <c r="BD1475">
        <f>((Table13345678[[#This Row],[High P]]+Table13345678[[#This Row],[Low P]])/2)*Table13345678[[#This Row],[gammap]]*Table13345678[[#This Row],[Volume9]]*-1</f>
        <v>0</v>
      </c>
      <c r="BE1475">
        <f>(Table13345678[[#This Row],[SgammaC]]+Table13345678[[#This Row],[SgammaP]])*$A$4*-100</f>
        <v>0</v>
      </c>
      <c r="BF1475">
        <f>Table13345678[[#This Row],[DEXc]]+Table13345678[[#This Row],[DEXp]]</f>
        <v>0</v>
      </c>
      <c r="BG1475" s="78">
        <f>IFERROR(Table13345678[[#This Row],[DeltaC]]*Table13345678[[#This Row],[Open.Int]]*$A$4,0)</f>
        <v>0</v>
      </c>
      <c r="BH1475">
        <f>IFERROR(Table13345678[[#This Row],[DeltaP]]*Table13345678[[#This Row],[Open.Int8]]*$A$4,0)</f>
        <v>0</v>
      </c>
      <c r="BI147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5">
        <f ca="1">Table13345678[[#This Row],[charmc]]+Table13345678[[#This Row],[charmp]]</f>
        <v>0</v>
      </c>
      <c r="BL147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5" s="78">
        <f ca="1">Table13345678[[#This Row],[call helper]]+Table13345678[[#This Row],[put helper]]</f>
        <v>0</v>
      </c>
      <c r="BP147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6" spans="1:68" x14ac:dyDescent="0.25">
      <c r="A1476" s="14">
        <f t="shared" ca="1" si="144"/>
        <v>-126.14810350076104</v>
      </c>
      <c r="C1476" s="17"/>
      <c r="D1476" t="str">
        <f>RTD("tos.rtd", , "OPEN_INT", "."&amp;Table13345678[[#This Row],[Ticker]]&amp;Table13345678[[#This Row],[Expiry]]&amp;""&amp;"C"&amp;Table13345678[[#This Row],[Spot]]+Table13345678[[#This Row],[step]])</f>
        <v>N/A</v>
      </c>
      <c r="E147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6" s="17" cm="1">
        <f t="array" aca="1" ref="H1476" ca="1">IndividualLegIVCore($A$4, Table13345678[[#This Row],[Strike]], 0.0411, Table13345678[[#This Row],[T]], ((Table13345678[[#This Row],[BIDC]]+Table13345678[[#This Row],[ASKC]])/2), TRUE)</f>
        <v>0.01</v>
      </c>
      <c r="I147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6" s="17"/>
      <c r="M1476" s="1">
        <f t="shared" si="145"/>
        <v>0</v>
      </c>
      <c r="N1476" t="b">
        <f t="shared" si="146"/>
        <v>0</v>
      </c>
      <c r="P1476" s="17" cm="1">
        <f t="array" aca="1" ref="P1476" ca="1">IndividualLegIVCore($A$4, Table13345678[[#This Row],[Strike]], 0.0411, Table13345678[[#This Row],[T]], ((Table13345678[[#This Row],[BIDP]]+Table13345678[[#This Row],[ASKP]])/2), FALSE)</f>
        <v>0.01</v>
      </c>
      <c r="Q147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6" s="17"/>
      <c r="T147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6" s="19">
        <f>-27.5* IF($M$1="NDX", 10, IF(OR($M$1="SPX", $M$1="RUT"), 2, 1))</f>
        <v>-55</v>
      </c>
      <c r="Z1476">
        <f ca="1">IFERROR(Table13345678[[#This Row],[call gamma]]*(Table13345678[[#This Row],[Open.Int]])*$A$4^2,0)</f>
        <v>0</v>
      </c>
      <c r="AA1476">
        <f ca="1">IFERROR(((Table13345678[[#This Row],[Open.Int8]])*Table13345678[[#This Row],[Put gamma]])*-1*$A$4^2,0)</f>
        <v>0</v>
      </c>
      <c r="AB1476">
        <f ca="1">(Table13345678[[#This Row],[Call Gex]]+Table13345678[[#This Row],[Put Gex]])</f>
        <v>0</v>
      </c>
      <c r="AC1476">
        <f ca="1">Table13345678[[#This Row],[put delta adj]]+Table13345678[[#This Row],[call delta adj]]</f>
        <v>0</v>
      </c>
      <c r="AD1476">
        <f ca="1">Table13345678[[#This Row],[Put Gex]]*Table13345678[[#This Row],[DeltaP]]*-1</f>
        <v>0</v>
      </c>
      <c r="AE1476">
        <f ca="1">Table13345678[[#This Row],[Call Gex]]*Table13345678[[#This Row],[DeltaC]]</f>
        <v>0</v>
      </c>
      <c r="AF1476">
        <f>IF(Table13345678[[#This Row],[DeltaC]]-ABS(Table13345678[[#This Row],[DeltaP]])="0","0.01",Table13345678[[#This Row],[DeltaC]]-ABS(Table13345678[[#This Row],[DeltaP]]))</f>
        <v>0</v>
      </c>
      <c r="AG147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6" t="e">
        <f ca="1">(EXP(-(AG1476^2)/2)/SQRT(2*PI())*EXP(0*SQRT(Table13345678[[#This Row],[T]]))/$A$4*18%*SQRT(SQRT(Table13345678[[#This Row],[T]])))</f>
        <v>#DIV/0!</v>
      </c>
      <c r="AJ1476" t="e">
        <f ca="1">(EXP(-(AH1476^2)/2)/SQRT(2*PI())*EXP(0*SQRT(Table13345678[[#This Row],[T]]))/$A$4*18%*SQRT(SQRT(Table13345678[[#This Row],[T]])))</f>
        <v>#DIV/0!</v>
      </c>
      <c r="AK1476" t="e">
        <f ca="1">Table13345678[[#This Row],[Call D1]]-Table13345678[[#This Row],[IV Calc C]]*SQRT(Table13345678[[#This Row],[T]])</f>
        <v>#DIV/0!</v>
      </c>
      <c r="AL1476" t="e">
        <f ca="1">Table13345678[[#This Row],[Put D1]]-Table13345678[[#This Row],[IV Calc P]]*SQRT(Table13345678[[#This Row],[T]])</f>
        <v>#DIV/0!</v>
      </c>
      <c r="AM1476" t="e">
        <f ca="1">EXP(-0.5*Table13345678[[#This Row],[Call D1]]^2)/SQRT(2*PI())</f>
        <v>#DIV/0!</v>
      </c>
      <c r="AN1476" t="e">
        <f ca="1">EXP(-0.5*Table13345678[[#This Row],[Put D1]]^2)/SQRT(2*PI())</f>
        <v>#DIV/0!</v>
      </c>
      <c r="AO147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6">
        <f ca="1">((Table13345678[[#This Row],[call vanna]]+Table13345678[[#This Row],[put vanna]])*$A$4)</f>
        <v>0</v>
      </c>
      <c r="AR147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6" s="9" t="str" cm="1">
        <f t="array" ref="AT1476">_xlfn.IFS(     $M$1="SPX","SPXW",     $M$1="RUT","RUTW",  $M$1="NDX","NDXP",   TRUE,$M$1 )</f>
        <v>SPXW</v>
      </c>
      <c r="AU1476" s="2">
        <f t="shared" si="147"/>
        <v>6915</v>
      </c>
      <c r="AV1476" t="str">
        <f t="shared" si="148"/>
        <v>000100</v>
      </c>
      <c r="AY147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6">
        <f>((Table13345678[[#This Row],[High C]]+Table13345678[[#This Row],[Low C]])/2)*Table13345678[[#This Row],[gammac]]*Table13345678[[#This Row],[Volume]]</f>
        <v>0</v>
      </c>
      <c r="BD1476">
        <f>((Table13345678[[#This Row],[High P]]+Table13345678[[#This Row],[Low P]])/2)*Table13345678[[#This Row],[gammap]]*Table13345678[[#This Row],[Volume9]]*-1</f>
        <v>0</v>
      </c>
      <c r="BE1476">
        <f>(Table13345678[[#This Row],[SgammaC]]+Table13345678[[#This Row],[SgammaP]])*$A$4*-100</f>
        <v>0</v>
      </c>
      <c r="BF1476">
        <f>Table13345678[[#This Row],[DEXc]]+Table13345678[[#This Row],[DEXp]]</f>
        <v>0</v>
      </c>
      <c r="BG1476" s="78">
        <f>IFERROR(Table13345678[[#This Row],[DeltaC]]*Table13345678[[#This Row],[Open.Int]]*$A$4,0)</f>
        <v>0</v>
      </c>
      <c r="BH1476">
        <f>IFERROR(Table13345678[[#This Row],[DeltaP]]*Table13345678[[#This Row],[Open.Int8]]*$A$4,0)</f>
        <v>0</v>
      </c>
      <c r="BI147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6">
        <f ca="1">Table13345678[[#This Row],[charmc]]+Table13345678[[#This Row],[charmp]]</f>
        <v>0</v>
      </c>
      <c r="BL147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6" s="78">
        <f ca="1">Table13345678[[#This Row],[call helper]]+Table13345678[[#This Row],[put helper]]</f>
        <v>0</v>
      </c>
      <c r="BP147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7" spans="1:68" x14ac:dyDescent="0.25">
      <c r="A1477" s="14">
        <f t="shared" ca="1" si="144"/>
        <v>-126.14810350076104</v>
      </c>
      <c r="C1477" s="17"/>
      <c r="D1477" t="str">
        <f>RTD("tos.rtd", , "OPEN_INT", "."&amp;Table13345678[[#This Row],[Ticker]]&amp;Table13345678[[#This Row],[Expiry]]&amp;""&amp;"C"&amp;Table13345678[[#This Row],[Spot]]+Table13345678[[#This Row],[step]])</f>
        <v>N/A</v>
      </c>
      <c r="E147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7" s="17" cm="1">
        <f t="array" aca="1" ref="H1477" ca="1">IndividualLegIVCore($A$4, Table13345678[[#This Row],[Strike]], 0.0411, Table13345678[[#This Row],[T]], ((Table13345678[[#This Row],[BIDC]]+Table13345678[[#This Row],[ASKC]])/2), TRUE)</f>
        <v>0.01</v>
      </c>
      <c r="I147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7" s="17"/>
      <c r="M1477" s="1">
        <f t="shared" si="145"/>
        <v>0</v>
      </c>
      <c r="N1477" t="b">
        <f t="shared" si="146"/>
        <v>0</v>
      </c>
      <c r="P1477" s="17" cm="1">
        <f t="array" aca="1" ref="P1477" ca="1">IndividualLegIVCore($A$4, Table13345678[[#This Row],[Strike]], 0.0411, Table13345678[[#This Row],[T]], ((Table13345678[[#This Row],[BIDP]]+Table13345678[[#This Row],[ASKP]])/2), FALSE)</f>
        <v>0.01</v>
      </c>
      <c r="Q147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7" s="17"/>
      <c r="T147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7" s="19">
        <f>-27* IF($M$1="NDX", 10, IF(OR($M$1="SPX", $M$1="RUT"), 2, 1))</f>
        <v>-54</v>
      </c>
      <c r="Z1477">
        <f ca="1">IFERROR(Table13345678[[#This Row],[call gamma]]*(Table13345678[[#This Row],[Open.Int]])*$A$4^2,0)</f>
        <v>0</v>
      </c>
      <c r="AA1477">
        <f ca="1">IFERROR(((Table13345678[[#This Row],[Open.Int8]])*Table13345678[[#This Row],[Put gamma]])*-1*$A$4^2,0)</f>
        <v>0</v>
      </c>
      <c r="AB1477">
        <f ca="1">(Table13345678[[#This Row],[Call Gex]]+Table13345678[[#This Row],[Put Gex]])</f>
        <v>0</v>
      </c>
      <c r="AC1477">
        <f ca="1">Table13345678[[#This Row],[put delta adj]]+Table13345678[[#This Row],[call delta adj]]</f>
        <v>0</v>
      </c>
      <c r="AD1477">
        <f ca="1">Table13345678[[#This Row],[Put Gex]]*Table13345678[[#This Row],[DeltaP]]*-1</f>
        <v>0</v>
      </c>
      <c r="AE1477">
        <f ca="1">Table13345678[[#This Row],[Call Gex]]*Table13345678[[#This Row],[DeltaC]]</f>
        <v>0</v>
      </c>
      <c r="AF1477">
        <f>IF(Table13345678[[#This Row],[DeltaC]]-ABS(Table13345678[[#This Row],[DeltaP]])="0","0.01",Table13345678[[#This Row],[DeltaC]]-ABS(Table13345678[[#This Row],[DeltaP]]))</f>
        <v>0</v>
      </c>
      <c r="AG147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7" t="e">
        <f ca="1">(EXP(-(AG1477^2)/2)/SQRT(2*PI())*EXP(0*SQRT(Table13345678[[#This Row],[T]]))/$A$4*18%*SQRT(SQRT(Table13345678[[#This Row],[T]])))</f>
        <v>#DIV/0!</v>
      </c>
      <c r="AJ1477" t="e">
        <f ca="1">(EXP(-(AH1477^2)/2)/SQRT(2*PI())*EXP(0*SQRT(Table13345678[[#This Row],[T]]))/$A$4*18%*SQRT(SQRT(Table13345678[[#This Row],[T]])))</f>
        <v>#DIV/0!</v>
      </c>
      <c r="AK1477" t="e">
        <f ca="1">Table13345678[[#This Row],[Call D1]]-Table13345678[[#This Row],[IV Calc C]]*SQRT(Table13345678[[#This Row],[T]])</f>
        <v>#DIV/0!</v>
      </c>
      <c r="AL1477" t="e">
        <f ca="1">Table13345678[[#This Row],[Put D1]]-Table13345678[[#This Row],[IV Calc P]]*SQRT(Table13345678[[#This Row],[T]])</f>
        <v>#DIV/0!</v>
      </c>
      <c r="AM1477" t="e">
        <f ca="1">EXP(-0.5*Table13345678[[#This Row],[Call D1]]^2)/SQRT(2*PI())</f>
        <v>#DIV/0!</v>
      </c>
      <c r="AN1477" t="e">
        <f ca="1">EXP(-0.5*Table13345678[[#This Row],[Put D1]]^2)/SQRT(2*PI())</f>
        <v>#DIV/0!</v>
      </c>
      <c r="AO147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7">
        <f ca="1">((Table13345678[[#This Row],[call vanna]]+Table13345678[[#This Row],[put vanna]])*$A$4)</f>
        <v>0</v>
      </c>
      <c r="AR147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7" s="9" t="str" cm="1">
        <f t="array" ref="AT1477">_xlfn.IFS(     $M$1="SPX","SPXW",     $M$1="RUT","RUTW",  $M$1="NDX","NDXP",   TRUE,$M$1 )</f>
        <v>SPXW</v>
      </c>
      <c r="AU1477" s="2">
        <f t="shared" si="147"/>
        <v>6915</v>
      </c>
      <c r="AV1477" t="str">
        <f t="shared" si="148"/>
        <v>000100</v>
      </c>
      <c r="AY147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7">
        <f>((Table13345678[[#This Row],[High C]]+Table13345678[[#This Row],[Low C]])/2)*Table13345678[[#This Row],[gammac]]*Table13345678[[#This Row],[Volume]]</f>
        <v>0</v>
      </c>
      <c r="BD1477">
        <f>((Table13345678[[#This Row],[High P]]+Table13345678[[#This Row],[Low P]])/2)*Table13345678[[#This Row],[gammap]]*Table13345678[[#This Row],[Volume9]]*-1</f>
        <v>0</v>
      </c>
      <c r="BE1477">
        <f>(Table13345678[[#This Row],[SgammaC]]+Table13345678[[#This Row],[SgammaP]])*$A$4*-100</f>
        <v>0</v>
      </c>
      <c r="BF1477">
        <f>Table13345678[[#This Row],[DEXc]]+Table13345678[[#This Row],[DEXp]]</f>
        <v>0</v>
      </c>
      <c r="BG1477" s="78">
        <f>IFERROR(Table13345678[[#This Row],[DeltaC]]*Table13345678[[#This Row],[Open.Int]]*$A$4,0)</f>
        <v>0</v>
      </c>
      <c r="BH1477">
        <f>IFERROR(Table13345678[[#This Row],[DeltaP]]*Table13345678[[#This Row],[Open.Int8]]*$A$4,0)</f>
        <v>0</v>
      </c>
      <c r="BI147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7">
        <f ca="1">Table13345678[[#This Row],[charmc]]+Table13345678[[#This Row],[charmp]]</f>
        <v>0</v>
      </c>
      <c r="BL147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7" s="78">
        <f ca="1">Table13345678[[#This Row],[call helper]]+Table13345678[[#This Row],[put helper]]</f>
        <v>0</v>
      </c>
      <c r="BP147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8" spans="1:68" x14ac:dyDescent="0.25">
      <c r="A1478" s="14">
        <f t="shared" ca="1" si="144"/>
        <v>-126.14810350076104</v>
      </c>
      <c r="C1478" s="17"/>
      <c r="D1478" t="str">
        <f>RTD("tos.rtd", , "OPEN_INT", "."&amp;Table13345678[[#This Row],[Ticker]]&amp;Table13345678[[#This Row],[Expiry]]&amp;""&amp;"C"&amp;Table13345678[[#This Row],[Spot]]+Table13345678[[#This Row],[step]])</f>
        <v>N/A</v>
      </c>
      <c r="E147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8" s="17" cm="1">
        <f t="array" aca="1" ref="H1478" ca="1">IndividualLegIVCore($A$4, Table13345678[[#This Row],[Strike]], 0.0411, Table13345678[[#This Row],[T]], ((Table13345678[[#This Row],[BIDC]]+Table13345678[[#This Row],[ASKC]])/2), TRUE)</f>
        <v>0.01</v>
      </c>
      <c r="I147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8" s="17"/>
      <c r="M1478" s="1">
        <f t="shared" si="145"/>
        <v>0</v>
      </c>
      <c r="N1478" t="b">
        <f t="shared" si="146"/>
        <v>0</v>
      </c>
      <c r="P1478" s="17" cm="1">
        <f t="array" aca="1" ref="P1478" ca="1">IndividualLegIVCore($A$4, Table13345678[[#This Row],[Strike]], 0.0411, Table13345678[[#This Row],[T]], ((Table13345678[[#This Row],[BIDP]]+Table13345678[[#This Row],[ASKP]])/2), FALSE)</f>
        <v>0.01</v>
      </c>
      <c r="Q147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8" s="17"/>
      <c r="T147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8" s="19">
        <f>-26.5* IF($M$1="NDX", 10, IF(OR($M$1="SPX", $M$1="RUT"), 2, 1))</f>
        <v>-53</v>
      </c>
      <c r="Z1478">
        <f ca="1">IFERROR(Table13345678[[#This Row],[call gamma]]*(Table13345678[[#This Row],[Open.Int]])*$A$4^2,0)</f>
        <v>0</v>
      </c>
      <c r="AA1478">
        <f ca="1">IFERROR(((Table13345678[[#This Row],[Open.Int8]])*Table13345678[[#This Row],[Put gamma]])*-1*$A$4^2,0)</f>
        <v>0</v>
      </c>
      <c r="AB1478">
        <f ca="1">(Table13345678[[#This Row],[Call Gex]]+Table13345678[[#This Row],[Put Gex]])</f>
        <v>0</v>
      </c>
      <c r="AC1478">
        <f ca="1">Table13345678[[#This Row],[put delta adj]]+Table13345678[[#This Row],[call delta adj]]</f>
        <v>0</v>
      </c>
      <c r="AD1478">
        <f ca="1">Table13345678[[#This Row],[Put Gex]]*Table13345678[[#This Row],[DeltaP]]*-1</f>
        <v>0</v>
      </c>
      <c r="AE1478">
        <f ca="1">Table13345678[[#This Row],[Call Gex]]*Table13345678[[#This Row],[DeltaC]]</f>
        <v>0</v>
      </c>
      <c r="AF1478">
        <f>IF(Table13345678[[#This Row],[DeltaC]]-ABS(Table13345678[[#This Row],[DeltaP]])="0","0.01",Table13345678[[#This Row],[DeltaC]]-ABS(Table13345678[[#This Row],[DeltaP]]))</f>
        <v>0</v>
      </c>
      <c r="AG147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8" t="e">
        <f ca="1">(EXP(-(AG1478^2)/2)/SQRT(2*PI())*EXP(0*SQRT(Table13345678[[#This Row],[T]]))/$A$4*18%*SQRT(SQRT(Table13345678[[#This Row],[T]])))</f>
        <v>#DIV/0!</v>
      </c>
      <c r="AJ1478" t="e">
        <f ca="1">(EXP(-(AH1478^2)/2)/SQRT(2*PI())*EXP(0*SQRT(Table13345678[[#This Row],[T]]))/$A$4*18%*SQRT(SQRT(Table13345678[[#This Row],[T]])))</f>
        <v>#DIV/0!</v>
      </c>
      <c r="AK1478" t="e">
        <f ca="1">Table13345678[[#This Row],[Call D1]]-Table13345678[[#This Row],[IV Calc C]]*SQRT(Table13345678[[#This Row],[T]])</f>
        <v>#DIV/0!</v>
      </c>
      <c r="AL1478" t="e">
        <f ca="1">Table13345678[[#This Row],[Put D1]]-Table13345678[[#This Row],[IV Calc P]]*SQRT(Table13345678[[#This Row],[T]])</f>
        <v>#DIV/0!</v>
      </c>
      <c r="AM1478" t="e">
        <f ca="1">EXP(-0.5*Table13345678[[#This Row],[Call D1]]^2)/SQRT(2*PI())</f>
        <v>#DIV/0!</v>
      </c>
      <c r="AN1478" t="e">
        <f ca="1">EXP(-0.5*Table13345678[[#This Row],[Put D1]]^2)/SQRT(2*PI())</f>
        <v>#DIV/0!</v>
      </c>
      <c r="AO147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8">
        <f ca="1">((Table13345678[[#This Row],[call vanna]]+Table13345678[[#This Row],[put vanna]])*$A$4)</f>
        <v>0</v>
      </c>
      <c r="AR147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8" s="9" t="str" cm="1">
        <f t="array" ref="AT1478">_xlfn.IFS(     $M$1="SPX","SPXW",     $M$1="RUT","RUTW",  $M$1="NDX","NDXP",   TRUE,$M$1 )</f>
        <v>SPXW</v>
      </c>
      <c r="AU1478" s="2">
        <f t="shared" si="147"/>
        <v>6915</v>
      </c>
      <c r="AV1478" t="str">
        <f t="shared" si="148"/>
        <v>000100</v>
      </c>
      <c r="AY147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8">
        <f>((Table13345678[[#This Row],[High C]]+Table13345678[[#This Row],[Low C]])/2)*Table13345678[[#This Row],[gammac]]*Table13345678[[#This Row],[Volume]]</f>
        <v>0</v>
      </c>
      <c r="BD1478">
        <f>((Table13345678[[#This Row],[High P]]+Table13345678[[#This Row],[Low P]])/2)*Table13345678[[#This Row],[gammap]]*Table13345678[[#This Row],[Volume9]]*-1</f>
        <v>0</v>
      </c>
      <c r="BE1478">
        <f>(Table13345678[[#This Row],[SgammaC]]+Table13345678[[#This Row],[SgammaP]])*$A$4*-100</f>
        <v>0</v>
      </c>
      <c r="BF1478">
        <f>Table13345678[[#This Row],[DEXc]]+Table13345678[[#This Row],[DEXp]]</f>
        <v>0</v>
      </c>
      <c r="BG1478" s="78">
        <f>IFERROR(Table13345678[[#This Row],[DeltaC]]*Table13345678[[#This Row],[Open.Int]]*$A$4,0)</f>
        <v>0</v>
      </c>
      <c r="BH1478">
        <f>IFERROR(Table13345678[[#This Row],[DeltaP]]*Table13345678[[#This Row],[Open.Int8]]*$A$4,0)</f>
        <v>0</v>
      </c>
      <c r="BI147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8">
        <f ca="1">Table13345678[[#This Row],[charmc]]+Table13345678[[#This Row],[charmp]]</f>
        <v>0</v>
      </c>
      <c r="BL147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8" s="78">
        <f ca="1">Table13345678[[#This Row],[call helper]]+Table13345678[[#This Row],[put helper]]</f>
        <v>0</v>
      </c>
      <c r="BP147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9" spans="1:68" x14ac:dyDescent="0.25">
      <c r="A1479" s="14">
        <f t="shared" ca="1" si="144"/>
        <v>-126.14810350076104</v>
      </c>
      <c r="C1479" s="17"/>
      <c r="D1479" t="str">
        <f>RTD("tos.rtd", , "OPEN_INT", "."&amp;Table13345678[[#This Row],[Ticker]]&amp;Table13345678[[#This Row],[Expiry]]&amp;""&amp;"C"&amp;Table13345678[[#This Row],[Spot]]+Table13345678[[#This Row],[step]])</f>
        <v>N/A</v>
      </c>
      <c r="E147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9" s="17" cm="1">
        <f t="array" aca="1" ref="H1479" ca="1">IndividualLegIVCore($A$4, Table13345678[[#This Row],[Strike]], 0.0411, Table13345678[[#This Row],[T]], ((Table13345678[[#This Row],[BIDC]]+Table13345678[[#This Row],[ASKC]])/2), TRUE)</f>
        <v>0.01</v>
      </c>
      <c r="I147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9" s="17"/>
      <c r="M1479" s="1">
        <f t="shared" si="145"/>
        <v>0</v>
      </c>
      <c r="N1479" t="b">
        <f t="shared" si="146"/>
        <v>0</v>
      </c>
      <c r="P1479" s="17" cm="1">
        <f t="array" aca="1" ref="P1479" ca="1">IndividualLegIVCore($A$4, Table13345678[[#This Row],[Strike]], 0.0411, Table13345678[[#This Row],[T]], ((Table13345678[[#This Row],[BIDP]]+Table13345678[[#This Row],[ASKP]])/2), FALSE)</f>
        <v>0.01</v>
      </c>
      <c r="Q147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9" s="17"/>
      <c r="T147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9" s="19">
        <f>-26* IF($M$1="NDX", 10, IF(OR($M$1="SPX", $M$1="RUT"), 2, 1))</f>
        <v>-52</v>
      </c>
      <c r="Z1479">
        <f ca="1">IFERROR(Table13345678[[#This Row],[call gamma]]*(Table13345678[[#This Row],[Open.Int]])*$A$4^2,0)</f>
        <v>0</v>
      </c>
      <c r="AA1479">
        <f ca="1">IFERROR(((Table13345678[[#This Row],[Open.Int8]])*Table13345678[[#This Row],[Put gamma]])*-1*$A$4^2,0)</f>
        <v>0</v>
      </c>
      <c r="AB1479">
        <f ca="1">(Table13345678[[#This Row],[Call Gex]]+Table13345678[[#This Row],[Put Gex]])</f>
        <v>0</v>
      </c>
      <c r="AC1479">
        <f ca="1">Table13345678[[#This Row],[put delta adj]]+Table13345678[[#This Row],[call delta adj]]</f>
        <v>0</v>
      </c>
      <c r="AD1479">
        <f ca="1">Table13345678[[#This Row],[Put Gex]]*Table13345678[[#This Row],[DeltaP]]*-1</f>
        <v>0</v>
      </c>
      <c r="AE1479">
        <f ca="1">Table13345678[[#This Row],[Call Gex]]*Table13345678[[#This Row],[DeltaC]]</f>
        <v>0</v>
      </c>
      <c r="AF1479">
        <f>IF(Table13345678[[#This Row],[DeltaC]]-ABS(Table13345678[[#This Row],[DeltaP]])="0","0.01",Table13345678[[#This Row],[DeltaC]]-ABS(Table13345678[[#This Row],[DeltaP]]))</f>
        <v>0</v>
      </c>
      <c r="AG147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9" t="e">
        <f ca="1">(EXP(-(AG1479^2)/2)/SQRT(2*PI())*EXP(0*SQRT(Table13345678[[#This Row],[T]]))/$A$4*18%*SQRT(SQRT(Table13345678[[#This Row],[T]])))</f>
        <v>#DIV/0!</v>
      </c>
      <c r="AJ1479" t="e">
        <f ca="1">(EXP(-(AH1479^2)/2)/SQRT(2*PI())*EXP(0*SQRT(Table13345678[[#This Row],[T]]))/$A$4*18%*SQRT(SQRT(Table13345678[[#This Row],[T]])))</f>
        <v>#DIV/0!</v>
      </c>
      <c r="AK1479" t="e">
        <f ca="1">Table13345678[[#This Row],[Call D1]]-Table13345678[[#This Row],[IV Calc C]]*SQRT(Table13345678[[#This Row],[T]])</f>
        <v>#DIV/0!</v>
      </c>
      <c r="AL1479" t="e">
        <f ca="1">Table13345678[[#This Row],[Put D1]]-Table13345678[[#This Row],[IV Calc P]]*SQRT(Table13345678[[#This Row],[T]])</f>
        <v>#DIV/0!</v>
      </c>
      <c r="AM1479" t="e">
        <f ca="1">EXP(-0.5*Table13345678[[#This Row],[Call D1]]^2)/SQRT(2*PI())</f>
        <v>#DIV/0!</v>
      </c>
      <c r="AN1479" t="e">
        <f ca="1">EXP(-0.5*Table13345678[[#This Row],[Put D1]]^2)/SQRT(2*PI())</f>
        <v>#DIV/0!</v>
      </c>
      <c r="AO147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9">
        <f ca="1">((Table13345678[[#This Row],[call vanna]]+Table13345678[[#This Row],[put vanna]])*$A$4)</f>
        <v>0</v>
      </c>
      <c r="AR147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9" s="9" t="str" cm="1">
        <f t="array" ref="AT1479">_xlfn.IFS(     $M$1="SPX","SPXW",     $M$1="RUT","RUTW",  $M$1="NDX","NDXP",   TRUE,$M$1 )</f>
        <v>SPXW</v>
      </c>
      <c r="AU1479" s="2">
        <f t="shared" si="147"/>
        <v>6915</v>
      </c>
      <c r="AV1479" t="str">
        <f t="shared" si="148"/>
        <v>000100</v>
      </c>
      <c r="AY147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9">
        <f>((Table13345678[[#This Row],[High C]]+Table13345678[[#This Row],[Low C]])/2)*Table13345678[[#This Row],[gammac]]*Table13345678[[#This Row],[Volume]]</f>
        <v>0</v>
      </c>
      <c r="BD1479">
        <f>((Table13345678[[#This Row],[High P]]+Table13345678[[#This Row],[Low P]])/2)*Table13345678[[#This Row],[gammap]]*Table13345678[[#This Row],[Volume9]]*-1</f>
        <v>0</v>
      </c>
      <c r="BE1479">
        <f>(Table13345678[[#This Row],[SgammaC]]+Table13345678[[#This Row],[SgammaP]])*$A$4*-100</f>
        <v>0</v>
      </c>
      <c r="BF1479">
        <f>Table13345678[[#This Row],[DEXc]]+Table13345678[[#This Row],[DEXp]]</f>
        <v>0</v>
      </c>
      <c r="BG1479" s="78">
        <f>IFERROR(Table13345678[[#This Row],[DeltaC]]*Table13345678[[#This Row],[Open.Int]]*$A$4,0)</f>
        <v>0</v>
      </c>
      <c r="BH1479">
        <f>IFERROR(Table13345678[[#This Row],[DeltaP]]*Table13345678[[#This Row],[Open.Int8]]*$A$4,0)</f>
        <v>0</v>
      </c>
      <c r="BI147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9">
        <f ca="1">Table13345678[[#This Row],[charmc]]+Table13345678[[#This Row],[charmp]]</f>
        <v>0</v>
      </c>
      <c r="BL147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9" s="78">
        <f ca="1">Table13345678[[#This Row],[call helper]]+Table13345678[[#This Row],[put helper]]</f>
        <v>0</v>
      </c>
      <c r="BP147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0" spans="1:68" x14ac:dyDescent="0.25">
      <c r="A1480" s="14">
        <f t="shared" ca="1" si="144"/>
        <v>-126.14810350076104</v>
      </c>
      <c r="C1480" s="17"/>
      <c r="D1480" t="str">
        <f>RTD("tos.rtd", , "OPEN_INT", "."&amp;Table13345678[[#This Row],[Ticker]]&amp;Table13345678[[#This Row],[Expiry]]&amp;""&amp;"C"&amp;Table13345678[[#This Row],[Spot]]+Table13345678[[#This Row],[step]])</f>
        <v>N/A</v>
      </c>
      <c r="E148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0" s="17" cm="1">
        <f t="array" aca="1" ref="H1480" ca="1">IndividualLegIVCore($A$4, Table13345678[[#This Row],[Strike]], 0.0411, Table13345678[[#This Row],[T]], ((Table13345678[[#This Row],[BIDC]]+Table13345678[[#This Row],[ASKC]])/2), TRUE)</f>
        <v>0.01</v>
      </c>
      <c r="I148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0" s="17"/>
      <c r="M1480" s="1">
        <f t="shared" si="145"/>
        <v>0</v>
      </c>
      <c r="N1480" t="b">
        <f t="shared" si="146"/>
        <v>0</v>
      </c>
      <c r="P1480" s="17" cm="1">
        <f t="array" aca="1" ref="P1480" ca="1">IndividualLegIVCore($A$4, Table13345678[[#This Row],[Strike]], 0.0411, Table13345678[[#This Row],[T]], ((Table13345678[[#This Row],[BIDP]]+Table13345678[[#This Row],[ASKP]])/2), FALSE)</f>
        <v>0.01</v>
      </c>
      <c r="Q148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0" s="17"/>
      <c r="T148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0" s="19">
        <f>-25.5* IF($M$1="NDX", 10, IF(OR($M$1="SPX", $M$1="RUT"), 2, 1))</f>
        <v>-51</v>
      </c>
      <c r="Z1480">
        <f ca="1">IFERROR(Table13345678[[#This Row],[call gamma]]*(Table13345678[[#This Row],[Open.Int]])*$A$4^2,0)</f>
        <v>0</v>
      </c>
      <c r="AA1480">
        <f ca="1">IFERROR(((Table13345678[[#This Row],[Open.Int8]])*Table13345678[[#This Row],[Put gamma]])*-1*$A$4^2,0)</f>
        <v>0</v>
      </c>
      <c r="AB1480">
        <f ca="1">(Table13345678[[#This Row],[Call Gex]]+Table13345678[[#This Row],[Put Gex]])</f>
        <v>0</v>
      </c>
      <c r="AC1480">
        <f ca="1">Table13345678[[#This Row],[put delta adj]]+Table13345678[[#This Row],[call delta adj]]</f>
        <v>0</v>
      </c>
      <c r="AD1480">
        <f ca="1">Table13345678[[#This Row],[Put Gex]]*Table13345678[[#This Row],[DeltaP]]*-1</f>
        <v>0</v>
      </c>
      <c r="AE1480">
        <f ca="1">Table13345678[[#This Row],[Call Gex]]*Table13345678[[#This Row],[DeltaC]]</f>
        <v>0</v>
      </c>
      <c r="AF1480">
        <f>IF(Table13345678[[#This Row],[DeltaC]]-ABS(Table13345678[[#This Row],[DeltaP]])="0","0.01",Table13345678[[#This Row],[DeltaC]]-ABS(Table13345678[[#This Row],[DeltaP]]))</f>
        <v>0</v>
      </c>
      <c r="AG148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0" t="e">
        <f ca="1">(EXP(-(AG1480^2)/2)/SQRT(2*PI())*EXP(0*SQRT(Table13345678[[#This Row],[T]]))/$A$4*18%*SQRT(SQRT(Table13345678[[#This Row],[T]])))</f>
        <v>#DIV/0!</v>
      </c>
      <c r="AJ1480" t="e">
        <f ca="1">(EXP(-(AH1480^2)/2)/SQRT(2*PI())*EXP(0*SQRT(Table13345678[[#This Row],[T]]))/$A$4*18%*SQRT(SQRT(Table13345678[[#This Row],[T]])))</f>
        <v>#DIV/0!</v>
      </c>
      <c r="AK1480" t="e">
        <f ca="1">Table13345678[[#This Row],[Call D1]]-Table13345678[[#This Row],[IV Calc C]]*SQRT(Table13345678[[#This Row],[T]])</f>
        <v>#DIV/0!</v>
      </c>
      <c r="AL1480" t="e">
        <f ca="1">Table13345678[[#This Row],[Put D1]]-Table13345678[[#This Row],[IV Calc P]]*SQRT(Table13345678[[#This Row],[T]])</f>
        <v>#DIV/0!</v>
      </c>
      <c r="AM1480" t="e">
        <f ca="1">EXP(-0.5*Table13345678[[#This Row],[Call D1]]^2)/SQRT(2*PI())</f>
        <v>#DIV/0!</v>
      </c>
      <c r="AN1480" t="e">
        <f ca="1">EXP(-0.5*Table13345678[[#This Row],[Put D1]]^2)/SQRT(2*PI())</f>
        <v>#DIV/0!</v>
      </c>
      <c r="AO148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0">
        <f ca="1">((Table13345678[[#This Row],[call vanna]]+Table13345678[[#This Row],[put vanna]])*$A$4)</f>
        <v>0</v>
      </c>
      <c r="AR148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0" s="9" t="str" cm="1">
        <f t="array" ref="AT1480">_xlfn.IFS(     $M$1="SPX","SPXW",     $M$1="RUT","RUTW",  $M$1="NDX","NDXP",   TRUE,$M$1 )</f>
        <v>SPXW</v>
      </c>
      <c r="AU1480" s="2">
        <f t="shared" si="147"/>
        <v>6915</v>
      </c>
      <c r="AV1480" t="str">
        <f t="shared" si="148"/>
        <v>000100</v>
      </c>
      <c r="AY148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0">
        <f>((Table13345678[[#This Row],[High C]]+Table13345678[[#This Row],[Low C]])/2)*Table13345678[[#This Row],[gammac]]*Table13345678[[#This Row],[Volume]]</f>
        <v>0</v>
      </c>
      <c r="BD1480">
        <f>((Table13345678[[#This Row],[High P]]+Table13345678[[#This Row],[Low P]])/2)*Table13345678[[#This Row],[gammap]]*Table13345678[[#This Row],[Volume9]]*-1</f>
        <v>0</v>
      </c>
      <c r="BE1480">
        <f>(Table13345678[[#This Row],[SgammaC]]+Table13345678[[#This Row],[SgammaP]])*$A$4*-100</f>
        <v>0</v>
      </c>
      <c r="BF1480">
        <f>Table13345678[[#This Row],[DEXc]]+Table13345678[[#This Row],[DEXp]]</f>
        <v>0</v>
      </c>
      <c r="BG1480" s="78">
        <f>IFERROR(Table13345678[[#This Row],[DeltaC]]*Table13345678[[#This Row],[Open.Int]]*$A$4,0)</f>
        <v>0</v>
      </c>
      <c r="BH1480">
        <f>IFERROR(Table13345678[[#This Row],[DeltaP]]*Table13345678[[#This Row],[Open.Int8]]*$A$4,0)</f>
        <v>0</v>
      </c>
      <c r="BI148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0">
        <f ca="1">Table13345678[[#This Row],[charmc]]+Table13345678[[#This Row],[charmp]]</f>
        <v>0</v>
      </c>
      <c r="BL148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0" s="78">
        <f ca="1">Table13345678[[#This Row],[call helper]]+Table13345678[[#This Row],[put helper]]</f>
        <v>0</v>
      </c>
      <c r="BP148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1" spans="1:68" x14ac:dyDescent="0.25">
      <c r="A1481" s="14">
        <f t="shared" ca="1" si="144"/>
        <v>-126.14810350076104</v>
      </c>
      <c r="C1481" s="17"/>
      <c r="D1481" t="str">
        <f>RTD("tos.rtd", , "OPEN_INT", "."&amp;Table13345678[[#This Row],[Ticker]]&amp;Table13345678[[#This Row],[Expiry]]&amp;""&amp;"C"&amp;Table13345678[[#This Row],[Spot]]+Table13345678[[#This Row],[step]])</f>
        <v>N/A</v>
      </c>
      <c r="E148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1" s="17" cm="1">
        <f t="array" aca="1" ref="H1481" ca="1">IndividualLegIVCore($A$4, Table13345678[[#This Row],[Strike]], 0.0411, Table13345678[[#This Row],[T]], ((Table13345678[[#This Row],[BIDC]]+Table13345678[[#This Row],[ASKC]])/2), TRUE)</f>
        <v>0.01</v>
      </c>
      <c r="I148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1" s="17"/>
      <c r="M1481" s="1">
        <f t="shared" si="145"/>
        <v>0</v>
      </c>
      <c r="N1481" t="b">
        <f t="shared" si="146"/>
        <v>0</v>
      </c>
      <c r="P1481" s="17" cm="1">
        <f t="array" aca="1" ref="P1481" ca="1">IndividualLegIVCore($A$4, Table13345678[[#This Row],[Strike]], 0.0411, Table13345678[[#This Row],[T]], ((Table13345678[[#This Row],[BIDP]]+Table13345678[[#This Row],[ASKP]])/2), FALSE)</f>
        <v>0.01</v>
      </c>
      <c r="Q148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1" s="17"/>
      <c r="T148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1" s="19">
        <f>-25* IF($M$1="NDX", 10, IF(OR($M$1="SPX", $M$1="RUT"), 2, 1))</f>
        <v>-50</v>
      </c>
      <c r="Z1481">
        <f ca="1">IFERROR(Table13345678[[#This Row],[call gamma]]*(Table13345678[[#This Row],[Open.Int]])*$A$4^2,0)</f>
        <v>0</v>
      </c>
      <c r="AA1481">
        <f ca="1">IFERROR(((Table13345678[[#This Row],[Open.Int8]])*Table13345678[[#This Row],[Put gamma]])*-1*$A$4^2,0)</f>
        <v>0</v>
      </c>
      <c r="AB1481">
        <f ca="1">(Table13345678[[#This Row],[Call Gex]]+Table13345678[[#This Row],[Put Gex]])</f>
        <v>0</v>
      </c>
      <c r="AC1481">
        <f ca="1">Table13345678[[#This Row],[put delta adj]]+Table13345678[[#This Row],[call delta adj]]</f>
        <v>0</v>
      </c>
      <c r="AD1481">
        <f ca="1">Table13345678[[#This Row],[Put Gex]]*Table13345678[[#This Row],[DeltaP]]*-1</f>
        <v>0</v>
      </c>
      <c r="AE1481">
        <f ca="1">Table13345678[[#This Row],[Call Gex]]*Table13345678[[#This Row],[DeltaC]]</f>
        <v>0</v>
      </c>
      <c r="AF1481">
        <f>IF(Table13345678[[#This Row],[DeltaC]]-ABS(Table13345678[[#This Row],[DeltaP]])="0","0.01",Table13345678[[#This Row],[DeltaC]]-ABS(Table13345678[[#This Row],[DeltaP]]))</f>
        <v>0</v>
      </c>
      <c r="AG148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1" t="e">
        <f ca="1">(EXP(-(AG1481^2)/2)/SQRT(2*PI())*EXP(0*SQRT(Table13345678[[#This Row],[T]]))/$A$4*18%*SQRT(SQRT(Table13345678[[#This Row],[T]])))</f>
        <v>#DIV/0!</v>
      </c>
      <c r="AJ1481" t="e">
        <f ca="1">(EXP(-(AH1481^2)/2)/SQRT(2*PI())*EXP(0*SQRT(Table13345678[[#This Row],[T]]))/$A$4*18%*SQRT(SQRT(Table13345678[[#This Row],[T]])))</f>
        <v>#DIV/0!</v>
      </c>
      <c r="AK1481" t="e">
        <f ca="1">Table13345678[[#This Row],[Call D1]]-Table13345678[[#This Row],[IV Calc C]]*SQRT(Table13345678[[#This Row],[T]])</f>
        <v>#DIV/0!</v>
      </c>
      <c r="AL1481" t="e">
        <f ca="1">Table13345678[[#This Row],[Put D1]]-Table13345678[[#This Row],[IV Calc P]]*SQRT(Table13345678[[#This Row],[T]])</f>
        <v>#DIV/0!</v>
      </c>
      <c r="AM1481" t="e">
        <f ca="1">EXP(-0.5*Table13345678[[#This Row],[Call D1]]^2)/SQRT(2*PI())</f>
        <v>#DIV/0!</v>
      </c>
      <c r="AN1481" t="e">
        <f ca="1">EXP(-0.5*Table13345678[[#This Row],[Put D1]]^2)/SQRT(2*PI())</f>
        <v>#DIV/0!</v>
      </c>
      <c r="AO148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1">
        <f ca="1">((Table13345678[[#This Row],[call vanna]]+Table13345678[[#This Row],[put vanna]])*$A$4)</f>
        <v>0</v>
      </c>
      <c r="AR148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1" s="9" t="str" cm="1">
        <f t="array" ref="AT1481">_xlfn.IFS(     $M$1="SPX","SPXW",     $M$1="RUT","RUTW",  $M$1="NDX","NDXP",   TRUE,$M$1 )</f>
        <v>SPXW</v>
      </c>
      <c r="AU1481" s="2">
        <f t="shared" si="147"/>
        <v>6915</v>
      </c>
      <c r="AV1481" t="str">
        <f t="shared" si="148"/>
        <v>000100</v>
      </c>
      <c r="AY148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1">
        <f>((Table13345678[[#This Row],[High C]]+Table13345678[[#This Row],[Low C]])/2)*Table13345678[[#This Row],[gammac]]*Table13345678[[#This Row],[Volume]]</f>
        <v>0</v>
      </c>
      <c r="BD1481">
        <f>((Table13345678[[#This Row],[High P]]+Table13345678[[#This Row],[Low P]])/2)*Table13345678[[#This Row],[gammap]]*Table13345678[[#This Row],[Volume9]]*-1</f>
        <v>0</v>
      </c>
      <c r="BE1481">
        <f>(Table13345678[[#This Row],[SgammaC]]+Table13345678[[#This Row],[SgammaP]])*$A$4*-100</f>
        <v>0</v>
      </c>
      <c r="BF1481">
        <f>Table13345678[[#This Row],[DEXc]]+Table13345678[[#This Row],[DEXp]]</f>
        <v>0</v>
      </c>
      <c r="BG1481" s="78">
        <f>IFERROR(Table13345678[[#This Row],[DeltaC]]*Table13345678[[#This Row],[Open.Int]]*$A$4,0)</f>
        <v>0</v>
      </c>
      <c r="BH1481">
        <f>IFERROR(Table13345678[[#This Row],[DeltaP]]*Table13345678[[#This Row],[Open.Int8]]*$A$4,0)</f>
        <v>0</v>
      </c>
      <c r="BI148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1">
        <f ca="1">Table13345678[[#This Row],[charmc]]+Table13345678[[#This Row],[charmp]]</f>
        <v>0</v>
      </c>
      <c r="BL148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1" s="78">
        <f ca="1">Table13345678[[#This Row],[call helper]]+Table13345678[[#This Row],[put helper]]</f>
        <v>0</v>
      </c>
      <c r="BP148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2" spans="1:68" x14ac:dyDescent="0.25">
      <c r="A1482" s="14">
        <f t="shared" ca="1" si="144"/>
        <v>-126.14810350076104</v>
      </c>
      <c r="C1482" s="17"/>
      <c r="D1482" t="str">
        <f>RTD("tos.rtd", , "OPEN_INT", "."&amp;Table13345678[[#This Row],[Ticker]]&amp;Table13345678[[#This Row],[Expiry]]&amp;""&amp;"C"&amp;Table13345678[[#This Row],[Spot]]+Table13345678[[#This Row],[step]])</f>
        <v>N/A</v>
      </c>
      <c r="E148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2" s="17" cm="1">
        <f t="array" aca="1" ref="H1482" ca="1">IndividualLegIVCore($A$4, Table13345678[[#This Row],[Strike]], 0.0411, Table13345678[[#This Row],[T]], ((Table13345678[[#This Row],[BIDC]]+Table13345678[[#This Row],[ASKC]])/2), TRUE)</f>
        <v>0.01</v>
      </c>
      <c r="I148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2" s="17"/>
      <c r="M1482" s="1">
        <f t="shared" si="145"/>
        <v>0</v>
      </c>
      <c r="N1482" t="b">
        <f t="shared" si="146"/>
        <v>0</v>
      </c>
      <c r="P1482" s="17" cm="1">
        <f t="array" aca="1" ref="P1482" ca="1">IndividualLegIVCore($A$4, Table13345678[[#This Row],[Strike]], 0.0411, Table13345678[[#This Row],[T]], ((Table13345678[[#This Row],[BIDP]]+Table13345678[[#This Row],[ASKP]])/2), FALSE)</f>
        <v>0.01</v>
      </c>
      <c r="Q148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2" s="17"/>
      <c r="T148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2" s="19">
        <f>-24.5* IF($M$1="NDX", 10, IF(OR($M$1="SPX", $M$1="RUT"), 2, 1))</f>
        <v>-49</v>
      </c>
      <c r="Z1482">
        <f ca="1">IFERROR(Table13345678[[#This Row],[call gamma]]*(Table13345678[[#This Row],[Open.Int]])*$A$4^2,0)</f>
        <v>0</v>
      </c>
      <c r="AA1482">
        <f ca="1">IFERROR(((Table13345678[[#This Row],[Open.Int8]])*Table13345678[[#This Row],[Put gamma]])*-1*$A$4^2,0)</f>
        <v>0</v>
      </c>
      <c r="AB1482">
        <f ca="1">(Table13345678[[#This Row],[Call Gex]]+Table13345678[[#This Row],[Put Gex]])</f>
        <v>0</v>
      </c>
      <c r="AC1482">
        <f ca="1">Table13345678[[#This Row],[put delta adj]]+Table13345678[[#This Row],[call delta adj]]</f>
        <v>0</v>
      </c>
      <c r="AD1482">
        <f ca="1">Table13345678[[#This Row],[Put Gex]]*Table13345678[[#This Row],[DeltaP]]*-1</f>
        <v>0</v>
      </c>
      <c r="AE1482">
        <f ca="1">Table13345678[[#This Row],[Call Gex]]*Table13345678[[#This Row],[DeltaC]]</f>
        <v>0</v>
      </c>
      <c r="AF1482">
        <f>IF(Table13345678[[#This Row],[DeltaC]]-ABS(Table13345678[[#This Row],[DeltaP]])="0","0.01",Table13345678[[#This Row],[DeltaC]]-ABS(Table13345678[[#This Row],[DeltaP]]))</f>
        <v>0</v>
      </c>
      <c r="AG148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2" t="e">
        <f ca="1">(EXP(-(AG1482^2)/2)/SQRT(2*PI())*EXP(0*SQRT(Table13345678[[#This Row],[T]]))/$A$4*18%*SQRT(SQRT(Table13345678[[#This Row],[T]])))</f>
        <v>#DIV/0!</v>
      </c>
      <c r="AJ1482" t="e">
        <f ca="1">(EXP(-(AH1482^2)/2)/SQRT(2*PI())*EXP(0*SQRT(Table13345678[[#This Row],[T]]))/$A$4*18%*SQRT(SQRT(Table13345678[[#This Row],[T]])))</f>
        <v>#DIV/0!</v>
      </c>
      <c r="AK1482" t="e">
        <f ca="1">Table13345678[[#This Row],[Call D1]]-Table13345678[[#This Row],[IV Calc C]]*SQRT(Table13345678[[#This Row],[T]])</f>
        <v>#DIV/0!</v>
      </c>
      <c r="AL1482" t="e">
        <f ca="1">Table13345678[[#This Row],[Put D1]]-Table13345678[[#This Row],[IV Calc P]]*SQRT(Table13345678[[#This Row],[T]])</f>
        <v>#DIV/0!</v>
      </c>
      <c r="AM1482" t="e">
        <f ca="1">EXP(-0.5*Table13345678[[#This Row],[Call D1]]^2)/SQRT(2*PI())</f>
        <v>#DIV/0!</v>
      </c>
      <c r="AN1482" t="e">
        <f ca="1">EXP(-0.5*Table13345678[[#This Row],[Put D1]]^2)/SQRT(2*PI())</f>
        <v>#DIV/0!</v>
      </c>
      <c r="AO148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2">
        <f ca="1">((Table13345678[[#This Row],[call vanna]]+Table13345678[[#This Row],[put vanna]])*$A$4)</f>
        <v>0</v>
      </c>
      <c r="AR148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2" s="9" t="str" cm="1">
        <f t="array" ref="AT1482">_xlfn.IFS(     $M$1="SPX","SPXW",     $M$1="RUT","RUTW",  $M$1="NDX","NDXP",   TRUE,$M$1 )</f>
        <v>SPXW</v>
      </c>
      <c r="AU1482" s="2">
        <f t="shared" si="147"/>
        <v>6915</v>
      </c>
      <c r="AV1482" t="str">
        <f t="shared" si="148"/>
        <v>000100</v>
      </c>
      <c r="AY148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2">
        <f>((Table13345678[[#This Row],[High C]]+Table13345678[[#This Row],[Low C]])/2)*Table13345678[[#This Row],[gammac]]*Table13345678[[#This Row],[Volume]]</f>
        <v>0</v>
      </c>
      <c r="BD1482">
        <f>((Table13345678[[#This Row],[High P]]+Table13345678[[#This Row],[Low P]])/2)*Table13345678[[#This Row],[gammap]]*Table13345678[[#This Row],[Volume9]]*-1</f>
        <v>0</v>
      </c>
      <c r="BE1482">
        <f>(Table13345678[[#This Row],[SgammaC]]+Table13345678[[#This Row],[SgammaP]])*$A$4*-100</f>
        <v>0</v>
      </c>
      <c r="BF1482">
        <f>Table13345678[[#This Row],[DEXc]]+Table13345678[[#This Row],[DEXp]]</f>
        <v>0</v>
      </c>
      <c r="BG1482" s="78">
        <f>IFERROR(Table13345678[[#This Row],[DeltaC]]*Table13345678[[#This Row],[Open.Int]]*$A$4,0)</f>
        <v>0</v>
      </c>
      <c r="BH1482">
        <f>IFERROR(Table13345678[[#This Row],[DeltaP]]*Table13345678[[#This Row],[Open.Int8]]*$A$4,0)</f>
        <v>0</v>
      </c>
      <c r="BI148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2">
        <f ca="1">Table13345678[[#This Row],[charmc]]+Table13345678[[#This Row],[charmp]]</f>
        <v>0</v>
      </c>
      <c r="BL148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2" s="78">
        <f ca="1">Table13345678[[#This Row],[call helper]]+Table13345678[[#This Row],[put helper]]</f>
        <v>0</v>
      </c>
      <c r="BP148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3" spans="1:68" x14ac:dyDescent="0.25">
      <c r="A1483" s="14">
        <f t="shared" ca="1" si="144"/>
        <v>-126.14810350076104</v>
      </c>
      <c r="C1483" s="17"/>
      <c r="D1483" t="str">
        <f>RTD("tos.rtd", , "OPEN_INT", "."&amp;Table13345678[[#This Row],[Ticker]]&amp;Table13345678[[#This Row],[Expiry]]&amp;""&amp;"C"&amp;Table13345678[[#This Row],[Spot]]+Table13345678[[#This Row],[step]])</f>
        <v>N/A</v>
      </c>
      <c r="E148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3" s="17" cm="1">
        <f t="array" aca="1" ref="H1483" ca="1">IndividualLegIVCore($A$4, Table13345678[[#This Row],[Strike]], 0.0411, Table13345678[[#This Row],[T]], ((Table13345678[[#This Row],[BIDC]]+Table13345678[[#This Row],[ASKC]])/2), TRUE)</f>
        <v>0.01</v>
      </c>
      <c r="I148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3" s="17"/>
      <c r="M1483" s="1">
        <f t="shared" si="145"/>
        <v>0</v>
      </c>
      <c r="N1483" t="b">
        <f t="shared" si="146"/>
        <v>0</v>
      </c>
      <c r="P1483" s="17" cm="1">
        <f t="array" aca="1" ref="P1483" ca="1">IndividualLegIVCore($A$4, Table13345678[[#This Row],[Strike]], 0.0411, Table13345678[[#This Row],[T]], ((Table13345678[[#This Row],[BIDP]]+Table13345678[[#This Row],[ASKP]])/2), FALSE)</f>
        <v>0.01</v>
      </c>
      <c r="Q148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3" s="17"/>
      <c r="T148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3" s="19">
        <f>-24* IF($M$1="NDX", 10, IF(OR($M$1="SPX", $M$1="RUT"), 2, 1))</f>
        <v>-48</v>
      </c>
      <c r="Z1483">
        <f ca="1">IFERROR(Table13345678[[#This Row],[call gamma]]*(Table13345678[[#This Row],[Open.Int]])*$A$4^2,0)</f>
        <v>0</v>
      </c>
      <c r="AA1483">
        <f ca="1">IFERROR(((Table13345678[[#This Row],[Open.Int8]])*Table13345678[[#This Row],[Put gamma]])*-1*$A$4^2,0)</f>
        <v>0</v>
      </c>
      <c r="AB1483">
        <f ca="1">(Table13345678[[#This Row],[Call Gex]]+Table13345678[[#This Row],[Put Gex]])</f>
        <v>0</v>
      </c>
      <c r="AC1483">
        <f ca="1">Table13345678[[#This Row],[put delta adj]]+Table13345678[[#This Row],[call delta adj]]</f>
        <v>0</v>
      </c>
      <c r="AD1483">
        <f ca="1">Table13345678[[#This Row],[Put Gex]]*Table13345678[[#This Row],[DeltaP]]*-1</f>
        <v>0</v>
      </c>
      <c r="AE1483">
        <f ca="1">Table13345678[[#This Row],[Call Gex]]*Table13345678[[#This Row],[DeltaC]]</f>
        <v>0</v>
      </c>
      <c r="AF1483">
        <f>IF(Table13345678[[#This Row],[DeltaC]]-ABS(Table13345678[[#This Row],[DeltaP]])="0","0.01",Table13345678[[#This Row],[DeltaC]]-ABS(Table13345678[[#This Row],[DeltaP]]))</f>
        <v>0</v>
      </c>
      <c r="AG148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3" t="e">
        <f ca="1">(EXP(-(AG1483^2)/2)/SQRT(2*PI())*EXP(0*SQRT(Table13345678[[#This Row],[T]]))/$A$4*18%*SQRT(SQRT(Table13345678[[#This Row],[T]])))</f>
        <v>#DIV/0!</v>
      </c>
      <c r="AJ1483" t="e">
        <f ca="1">(EXP(-(AH1483^2)/2)/SQRT(2*PI())*EXP(0*SQRT(Table13345678[[#This Row],[T]]))/$A$4*18%*SQRT(SQRT(Table13345678[[#This Row],[T]])))</f>
        <v>#DIV/0!</v>
      </c>
      <c r="AK1483" t="e">
        <f ca="1">Table13345678[[#This Row],[Call D1]]-Table13345678[[#This Row],[IV Calc C]]*SQRT(Table13345678[[#This Row],[T]])</f>
        <v>#DIV/0!</v>
      </c>
      <c r="AL1483" t="e">
        <f ca="1">Table13345678[[#This Row],[Put D1]]-Table13345678[[#This Row],[IV Calc P]]*SQRT(Table13345678[[#This Row],[T]])</f>
        <v>#DIV/0!</v>
      </c>
      <c r="AM1483" t="e">
        <f ca="1">EXP(-0.5*Table13345678[[#This Row],[Call D1]]^2)/SQRT(2*PI())</f>
        <v>#DIV/0!</v>
      </c>
      <c r="AN1483" t="e">
        <f ca="1">EXP(-0.5*Table13345678[[#This Row],[Put D1]]^2)/SQRT(2*PI())</f>
        <v>#DIV/0!</v>
      </c>
      <c r="AO148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3">
        <f ca="1">((Table13345678[[#This Row],[call vanna]]+Table13345678[[#This Row],[put vanna]])*$A$4)</f>
        <v>0</v>
      </c>
      <c r="AR148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3" s="9" t="str" cm="1">
        <f t="array" ref="AT1483">_xlfn.IFS(     $M$1="SPX","SPXW",     $M$1="RUT","RUTW",  $M$1="NDX","NDXP",   TRUE,$M$1 )</f>
        <v>SPXW</v>
      </c>
      <c r="AU1483" s="2">
        <f t="shared" si="147"/>
        <v>6915</v>
      </c>
      <c r="AV1483" t="str">
        <f t="shared" si="148"/>
        <v>000100</v>
      </c>
      <c r="AY148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3">
        <f>((Table13345678[[#This Row],[High C]]+Table13345678[[#This Row],[Low C]])/2)*Table13345678[[#This Row],[gammac]]*Table13345678[[#This Row],[Volume]]</f>
        <v>0</v>
      </c>
      <c r="BD1483">
        <f>((Table13345678[[#This Row],[High P]]+Table13345678[[#This Row],[Low P]])/2)*Table13345678[[#This Row],[gammap]]*Table13345678[[#This Row],[Volume9]]*-1</f>
        <v>0</v>
      </c>
      <c r="BE1483">
        <f>(Table13345678[[#This Row],[SgammaC]]+Table13345678[[#This Row],[SgammaP]])*$A$4*-100</f>
        <v>0</v>
      </c>
      <c r="BF1483">
        <f>Table13345678[[#This Row],[DEXc]]+Table13345678[[#This Row],[DEXp]]</f>
        <v>0</v>
      </c>
      <c r="BG1483" s="78">
        <f>IFERROR(Table13345678[[#This Row],[DeltaC]]*Table13345678[[#This Row],[Open.Int]]*$A$4,0)</f>
        <v>0</v>
      </c>
      <c r="BH1483">
        <f>IFERROR(Table13345678[[#This Row],[DeltaP]]*Table13345678[[#This Row],[Open.Int8]]*$A$4,0)</f>
        <v>0</v>
      </c>
      <c r="BI148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3">
        <f ca="1">Table13345678[[#This Row],[charmc]]+Table13345678[[#This Row],[charmp]]</f>
        <v>0</v>
      </c>
      <c r="BL148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3" s="78">
        <f ca="1">Table13345678[[#This Row],[call helper]]+Table13345678[[#This Row],[put helper]]</f>
        <v>0</v>
      </c>
      <c r="BP148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4" spans="1:68" x14ac:dyDescent="0.25">
      <c r="A1484" s="14">
        <f t="shared" ca="1" si="144"/>
        <v>-126.14810350076104</v>
      </c>
      <c r="C1484" s="17"/>
      <c r="D1484" t="str">
        <f>RTD("tos.rtd", , "OPEN_INT", "."&amp;Table13345678[[#This Row],[Ticker]]&amp;Table13345678[[#This Row],[Expiry]]&amp;""&amp;"C"&amp;Table13345678[[#This Row],[Spot]]+Table13345678[[#This Row],[step]])</f>
        <v>N/A</v>
      </c>
      <c r="E148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4" s="17" cm="1">
        <f t="array" aca="1" ref="H1484" ca="1">IndividualLegIVCore($A$4, Table13345678[[#This Row],[Strike]], 0.0411, Table13345678[[#This Row],[T]], ((Table13345678[[#This Row],[BIDC]]+Table13345678[[#This Row],[ASKC]])/2), TRUE)</f>
        <v>0.01</v>
      </c>
      <c r="I148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4" s="17"/>
      <c r="M1484" s="1">
        <f t="shared" si="145"/>
        <v>0</v>
      </c>
      <c r="N1484" t="b">
        <f t="shared" si="146"/>
        <v>0</v>
      </c>
      <c r="P1484" s="17" cm="1">
        <f t="array" aca="1" ref="P1484" ca="1">IndividualLegIVCore($A$4, Table13345678[[#This Row],[Strike]], 0.0411, Table13345678[[#This Row],[T]], ((Table13345678[[#This Row],[BIDP]]+Table13345678[[#This Row],[ASKP]])/2), FALSE)</f>
        <v>0.01</v>
      </c>
      <c r="Q148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4" s="17"/>
      <c r="T148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4" s="19">
        <f>-23.5* IF($M$1="NDX", 10, IF(OR($M$1="SPX", $M$1="RUT"), 2, 1))</f>
        <v>-47</v>
      </c>
      <c r="Z1484">
        <f ca="1">IFERROR(Table13345678[[#This Row],[call gamma]]*(Table13345678[[#This Row],[Open.Int]])*$A$4^2,0)</f>
        <v>0</v>
      </c>
      <c r="AA1484">
        <f ca="1">IFERROR(((Table13345678[[#This Row],[Open.Int8]])*Table13345678[[#This Row],[Put gamma]])*-1*$A$4^2,0)</f>
        <v>0</v>
      </c>
      <c r="AB1484">
        <f ca="1">(Table13345678[[#This Row],[Call Gex]]+Table13345678[[#This Row],[Put Gex]])</f>
        <v>0</v>
      </c>
      <c r="AC1484">
        <f ca="1">Table13345678[[#This Row],[put delta adj]]+Table13345678[[#This Row],[call delta adj]]</f>
        <v>0</v>
      </c>
      <c r="AD1484">
        <f ca="1">Table13345678[[#This Row],[Put Gex]]*Table13345678[[#This Row],[DeltaP]]*-1</f>
        <v>0</v>
      </c>
      <c r="AE1484">
        <f ca="1">Table13345678[[#This Row],[Call Gex]]*Table13345678[[#This Row],[DeltaC]]</f>
        <v>0</v>
      </c>
      <c r="AF1484">
        <f>IF(Table13345678[[#This Row],[DeltaC]]-ABS(Table13345678[[#This Row],[DeltaP]])="0","0.01",Table13345678[[#This Row],[DeltaC]]-ABS(Table13345678[[#This Row],[DeltaP]]))</f>
        <v>0</v>
      </c>
      <c r="AG148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4" t="e">
        <f ca="1">(EXP(-(AG1484^2)/2)/SQRT(2*PI())*EXP(0*SQRT(Table13345678[[#This Row],[T]]))/$A$4*18%*SQRT(SQRT(Table13345678[[#This Row],[T]])))</f>
        <v>#DIV/0!</v>
      </c>
      <c r="AJ1484" t="e">
        <f ca="1">(EXP(-(AH1484^2)/2)/SQRT(2*PI())*EXP(0*SQRT(Table13345678[[#This Row],[T]]))/$A$4*18%*SQRT(SQRT(Table13345678[[#This Row],[T]])))</f>
        <v>#DIV/0!</v>
      </c>
      <c r="AK1484" t="e">
        <f ca="1">Table13345678[[#This Row],[Call D1]]-Table13345678[[#This Row],[IV Calc C]]*SQRT(Table13345678[[#This Row],[T]])</f>
        <v>#DIV/0!</v>
      </c>
      <c r="AL1484" t="e">
        <f ca="1">Table13345678[[#This Row],[Put D1]]-Table13345678[[#This Row],[IV Calc P]]*SQRT(Table13345678[[#This Row],[T]])</f>
        <v>#DIV/0!</v>
      </c>
      <c r="AM1484" t="e">
        <f ca="1">EXP(-0.5*Table13345678[[#This Row],[Call D1]]^2)/SQRT(2*PI())</f>
        <v>#DIV/0!</v>
      </c>
      <c r="AN1484" t="e">
        <f ca="1">EXP(-0.5*Table13345678[[#This Row],[Put D1]]^2)/SQRT(2*PI())</f>
        <v>#DIV/0!</v>
      </c>
      <c r="AO148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4">
        <f ca="1">((Table13345678[[#This Row],[call vanna]]+Table13345678[[#This Row],[put vanna]])*$A$4)</f>
        <v>0</v>
      </c>
      <c r="AR148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4" s="9" t="str" cm="1">
        <f t="array" ref="AT1484">_xlfn.IFS(     $M$1="SPX","SPXW",     $M$1="RUT","RUTW",  $M$1="NDX","NDXP",   TRUE,$M$1 )</f>
        <v>SPXW</v>
      </c>
      <c r="AU1484" s="2">
        <f t="shared" si="147"/>
        <v>6915</v>
      </c>
      <c r="AV1484" t="str">
        <f t="shared" si="148"/>
        <v>000100</v>
      </c>
      <c r="AY148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4">
        <f>((Table13345678[[#This Row],[High C]]+Table13345678[[#This Row],[Low C]])/2)*Table13345678[[#This Row],[gammac]]*Table13345678[[#This Row],[Volume]]</f>
        <v>0</v>
      </c>
      <c r="BD1484">
        <f>((Table13345678[[#This Row],[High P]]+Table13345678[[#This Row],[Low P]])/2)*Table13345678[[#This Row],[gammap]]*Table13345678[[#This Row],[Volume9]]*-1</f>
        <v>0</v>
      </c>
      <c r="BE1484">
        <f>(Table13345678[[#This Row],[SgammaC]]+Table13345678[[#This Row],[SgammaP]])*$A$4*-100</f>
        <v>0</v>
      </c>
      <c r="BF1484">
        <f>Table13345678[[#This Row],[DEXc]]+Table13345678[[#This Row],[DEXp]]</f>
        <v>0</v>
      </c>
      <c r="BG1484" s="78">
        <f>IFERROR(Table13345678[[#This Row],[DeltaC]]*Table13345678[[#This Row],[Open.Int]]*$A$4,0)</f>
        <v>0</v>
      </c>
      <c r="BH1484">
        <f>IFERROR(Table13345678[[#This Row],[DeltaP]]*Table13345678[[#This Row],[Open.Int8]]*$A$4,0)</f>
        <v>0</v>
      </c>
      <c r="BI148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4">
        <f ca="1">Table13345678[[#This Row],[charmc]]+Table13345678[[#This Row],[charmp]]</f>
        <v>0</v>
      </c>
      <c r="BL148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4" s="78">
        <f ca="1">Table13345678[[#This Row],[call helper]]+Table13345678[[#This Row],[put helper]]</f>
        <v>0</v>
      </c>
      <c r="BP148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5" spans="1:68" x14ac:dyDescent="0.25">
      <c r="A1485" s="14">
        <f t="shared" ca="1" si="144"/>
        <v>-126.14810350076104</v>
      </c>
      <c r="C1485" s="17"/>
      <c r="D1485" t="str">
        <f>RTD("tos.rtd", , "OPEN_INT", "."&amp;Table13345678[[#This Row],[Ticker]]&amp;Table13345678[[#This Row],[Expiry]]&amp;""&amp;"C"&amp;Table13345678[[#This Row],[Spot]]+Table13345678[[#This Row],[step]])</f>
        <v>N/A</v>
      </c>
      <c r="E148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5" s="17" cm="1">
        <f t="array" aca="1" ref="H1485" ca="1">IndividualLegIVCore($A$4, Table13345678[[#This Row],[Strike]], 0.0411, Table13345678[[#This Row],[T]], ((Table13345678[[#This Row],[BIDC]]+Table13345678[[#This Row],[ASKC]])/2), TRUE)</f>
        <v>0.01</v>
      </c>
      <c r="I148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5" s="17"/>
      <c r="M1485" s="1">
        <f t="shared" si="145"/>
        <v>0</v>
      </c>
      <c r="N1485" t="b">
        <f t="shared" si="146"/>
        <v>0</v>
      </c>
      <c r="P1485" s="17" cm="1">
        <f t="array" aca="1" ref="P1485" ca="1">IndividualLegIVCore($A$4, Table13345678[[#This Row],[Strike]], 0.0411, Table13345678[[#This Row],[T]], ((Table13345678[[#This Row],[BIDP]]+Table13345678[[#This Row],[ASKP]])/2), FALSE)</f>
        <v>0.01</v>
      </c>
      <c r="Q148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5" s="17"/>
      <c r="T148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5" s="19">
        <f>-23* IF($M$1="NDX", 10, IF(OR($M$1="SPX", $M$1="RUT"), 2, 1))</f>
        <v>-46</v>
      </c>
      <c r="Z1485">
        <f ca="1">IFERROR(Table13345678[[#This Row],[call gamma]]*(Table13345678[[#This Row],[Open.Int]])*$A$4^2,0)</f>
        <v>0</v>
      </c>
      <c r="AA1485">
        <f ca="1">IFERROR(((Table13345678[[#This Row],[Open.Int8]])*Table13345678[[#This Row],[Put gamma]])*-1*$A$4^2,0)</f>
        <v>0</v>
      </c>
      <c r="AB1485">
        <f ca="1">(Table13345678[[#This Row],[Call Gex]]+Table13345678[[#This Row],[Put Gex]])</f>
        <v>0</v>
      </c>
      <c r="AC1485">
        <f ca="1">Table13345678[[#This Row],[put delta adj]]+Table13345678[[#This Row],[call delta adj]]</f>
        <v>0</v>
      </c>
      <c r="AD1485">
        <f ca="1">Table13345678[[#This Row],[Put Gex]]*Table13345678[[#This Row],[DeltaP]]*-1</f>
        <v>0</v>
      </c>
      <c r="AE1485">
        <f ca="1">Table13345678[[#This Row],[Call Gex]]*Table13345678[[#This Row],[DeltaC]]</f>
        <v>0</v>
      </c>
      <c r="AF1485">
        <f>IF(Table13345678[[#This Row],[DeltaC]]-ABS(Table13345678[[#This Row],[DeltaP]])="0","0.01",Table13345678[[#This Row],[DeltaC]]-ABS(Table13345678[[#This Row],[DeltaP]]))</f>
        <v>0</v>
      </c>
      <c r="AG148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5" t="e">
        <f ca="1">(EXP(-(AG1485^2)/2)/SQRT(2*PI())*EXP(0*SQRT(Table13345678[[#This Row],[T]]))/$A$4*18%*SQRT(SQRT(Table13345678[[#This Row],[T]])))</f>
        <v>#DIV/0!</v>
      </c>
      <c r="AJ1485" t="e">
        <f ca="1">(EXP(-(AH1485^2)/2)/SQRT(2*PI())*EXP(0*SQRT(Table13345678[[#This Row],[T]]))/$A$4*18%*SQRT(SQRT(Table13345678[[#This Row],[T]])))</f>
        <v>#DIV/0!</v>
      </c>
      <c r="AK1485" t="e">
        <f ca="1">Table13345678[[#This Row],[Call D1]]-Table13345678[[#This Row],[IV Calc C]]*SQRT(Table13345678[[#This Row],[T]])</f>
        <v>#DIV/0!</v>
      </c>
      <c r="AL1485" t="e">
        <f ca="1">Table13345678[[#This Row],[Put D1]]-Table13345678[[#This Row],[IV Calc P]]*SQRT(Table13345678[[#This Row],[T]])</f>
        <v>#DIV/0!</v>
      </c>
      <c r="AM1485" t="e">
        <f ca="1">EXP(-0.5*Table13345678[[#This Row],[Call D1]]^2)/SQRT(2*PI())</f>
        <v>#DIV/0!</v>
      </c>
      <c r="AN1485" t="e">
        <f ca="1">EXP(-0.5*Table13345678[[#This Row],[Put D1]]^2)/SQRT(2*PI())</f>
        <v>#DIV/0!</v>
      </c>
      <c r="AO148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5">
        <f ca="1">((Table13345678[[#This Row],[call vanna]]+Table13345678[[#This Row],[put vanna]])*$A$4)</f>
        <v>0</v>
      </c>
      <c r="AR148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5" s="9" t="str" cm="1">
        <f t="array" ref="AT1485">_xlfn.IFS(     $M$1="SPX","SPXW",     $M$1="RUT","RUTW",  $M$1="NDX","NDXP",   TRUE,$M$1 )</f>
        <v>SPXW</v>
      </c>
      <c r="AU1485" s="2">
        <f t="shared" si="147"/>
        <v>6915</v>
      </c>
      <c r="AV1485" t="str">
        <f t="shared" si="148"/>
        <v>000100</v>
      </c>
      <c r="AY148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5">
        <f>((Table13345678[[#This Row],[High C]]+Table13345678[[#This Row],[Low C]])/2)*Table13345678[[#This Row],[gammac]]*Table13345678[[#This Row],[Volume]]</f>
        <v>0</v>
      </c>
      <c r="BD1485">
        <f>((Table13345678[[#This Row],[High P]]+Table13345678[[#This Row],[Low P]])/2)*Table13345678[[#This Row],[gammap]]*Table13345678[[#This Row],[Volume9]]*-1</f>
        <v>0</v>
      </c>
      <c r="BE1485">
        <f>(Table13345678[[#This Row],[SgammaC]]+Table13345678[[#This Row],[SgammaP]])*$A$4*-100</f>
        <v>0</v>
      </c>
      <c r="BF1485">
        <f>Table13345678[[#This Row],[DEXc]]+Table13345678[[#This Row],[DEXp]]</f>
        <v>0</v>
      </c>
      <c r="BG1485" s="78">
        <f>IFERROR(Table13345678[[#This Row],[DeltaC]]*Table13345678[[#This Row],[Open.Int]]*$A$4,0)</f>
        <v>0</v>
      </c>
      <c r="BH1485">
        <f>IFERROR(Table13345678[[#This Row],[DeltaP]]*Table13345678[[#This Row],[Open.Int8]]*$A$4,0)</f>
        <v>0</v>
      </c>
      <c r="BI148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5">
        <f ca="1">Table13345678[[#This Row],[charmc]]+Table13345678[[#This Row],[charmp]]</f>
        <v>0</v>
      </c>
      <c r="BL148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5" s="78">
        <f ca="1">Table13345678[[#This Row],[call helper]]+Table13345678[[#This Row],[put helper]]</f>
        <v>0</v>
      </c>
      <c r="BP148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6" spans="1:68" x14ac:dyDescent="0.25">
      <c r="A1486" s="14">
        <f t="shared" ca="1" si="144"/>
        <v>-126.14810350076104</v>
      </c>
      <c r="C1486" s="17"/>
      <c r="D1486" t="str">
        <f>RTD("tos.rtd", , "OPEN_INT", "."&amp;Table13345678[[#This Row],[Ticker]]&amp;Table13345678[[#This Row],[Expiry]]&amp;""&amp;"C"&amp;Table13345678[[#This Row],[Spot]]+Table13345678[[#This Row],[step]])</f>
        <v>N/A</v>
      </c>
      <c r="E148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6" s="17" cm="1">
        <f t="array" aca="1" ref="H1486" ca="1">IndividualLegIVCore($A$4, Table13345678[[#This Row],[Strike]], 0.0411, Table13345678[[#This Row],[T]], ((Table13345678[[#This Row],[BIDC]]+Table13345678[[#This Row],[ASKC]])/2), TRUE)</f>
        <v>0.01</v>
      </c>
      <c r="I148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6" s="17"/>
      <c r="M1486" s="1">
        <f t="shared" si="145"/>
        <v>0</v>
      </c>
      <c r="N1486" t="b">
        <f t="shared" si="146"/>
        <v>0</v>
      </c>
      <c r="P1486" s="17" cm="1">
        <f t="array" aca="1" ref="P1486" ca="1">IndividualLegIVCore($A$4, Table13345678[[#This Row],[Strike]], 0.0411, Table13345678[[#This Row],[T]], ((Table13345678[[#This Row],[BIDP]]+Table13345678[[#This Row],[ASKP]])/2), FALSE)</f>
        <v>0.01</v>
      </c>
      <c r="Q148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6" s="17"/>
      <c r="T148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6" s="19">
        <f>-22.5* IF($M$1="NDX", 10, IF(OR($M$1="SPX", $M$1="RUT"), 2, 1))</f>
        <v>-45</v>
      </c>
      <c r="Z1486">
        <f ca="1">IFERROR(Table13345678[[#This Row],[call gamma]]*(Table13345678[[#This Row],[Open.Int]])*$A$4^2,0)</f>
        <v>0</v>
      </c>
      <c r="AA1486">
        <f ca="1">IFERROR(((Table13345678[[#This Row],[Open.Int8]])*Table13345678[[#This Row],[Put gamma]])*-1*$A$4^2,0)</f>
        <v>0</v>
      </c>
      <c r="AB1486">
        <f ca="1">(Table13345678[[#This Row],[Call Gex]]+Table13345678[[#This Row],[Put Gex]])</f>
        <v>0</v>
      </c>
      <c r="AC1486">
        <f ca="1">Table13345678[[#This Row],[put delta adj]]+Table13345678[[#This Row],[call delta adj]]</f>
        <v>0</v>
      </c>
      <c r="AD1486">
        <f ca="1">Table13345678[[#This Row],[Put Gex]]*Table13345678[[#This Row],[DeltaP]]*-1</f>
        <v>0</v>
      </c>
      <c r="AE1486">
        <f ca="1">Table13345678[[#This Row],[Call Gex]]*Table13345678[[#This Row],[DeltaC]]</f>
        <v>0</v>
      </c>
      <c r="AF1486">
        <f>IF(Table13345678[[#This Row],[DeltaC]]-ABS(Table13345678[[#This Row],[DeltaP]])="0","0.01",Table13345678[[#This Row],[DeltaC]]-ABS(Table13345678[[#This Row],[DeltaP]]))</f>
        <v>0</v>
      </c>
      <c r="AG148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6" t="e">
        <f ca="1">(EXP(-(AG1486^2)/2)/SQRT(2*PI())*EXP(0*SQRT(Table13345678[[#This Row],[T]]))/$A$4*18%*SQRT(SQRT(Table13345678[[#This Row],[T]])))</f>
        <v>#DIV/0!</v>
      </c>
      <c r="AJ1486" t="e">
        <f ca="1">(EXP(-(AH1486^2)/2)/SQRT(2*PI())*EXP(0*SQRT(Table13345678[[#This Row],[T]]))/$A$4*18%*SQRT(SQRT(Table13345678[[#This Row],[T]])))</f>
        <v>#DIV/0!</v>
      </c>
      <c r="AK1486" t="e">
        <f ca="1">Table13345678[[#This Row],[Call D1]]-Table13345678[[#This Row],[IV Calc C]]*SQRT(Table13345678[[#This Row],[T]])</f>
        <v>#DIV/0!</v>
      </c>
      <c r="AL1486" t="e">
        <f ca="1">Table13345678[[#This Row],[Put D1]]-Table13345678[[#This Row],[IV Calc P]]*SQRT(Table13345678[[#This Row],[T]])</f>
        <v>#DIV/0!</v>
      </c>
      <c r="AM1486" t="e">
        <f ca="1">EXP(-0.5*Table13345678[[#This Row],[Call D1]]^2)/SQRT(2*PI())</f>
        <v>#DIV/0!</v>
      </c>
      <c r="AN1486" t="e">
        <f ca="1">EXP(-0.5*Table13345678[[#This Row],[Put D1]]^2)/SQRT(2*PI())</f>
        <v>#DIV/0!</v>
      </c>
      <c r="AO148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6">
        <f ca="1">((Table13345678[[#This Row],[call vanna]]+Table13345678[[#This Row],[put vanna]])*$A$4)</f>
        <v>0</v>
      </c>
      <c r="AR148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6" s="9" t="str" cm="1">
        <f t="array" ref="AT1486">_xlfn.IFS(     $M$1="SPX","SPXW",     $M$1="RUT","RUTW",  $M$1="NDX","NDXP",   TRUE,$M$1 )</f>
        <v>SPXW</v>
      </c>
      <c r="AU1486" s="2">
        <f t="shared" si="147"/>
        <v>6915</v>
      </c>
      <c r="AV1486" t="str">
        <f t="shared" si="148"/>
        <v>000100</v>
      </c>
      <c r="AY148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6">
        <f>((Table13345678[[#This Row],[High C]]+Table13345678[[#This Row],[Low C]])/2)*Table13345678[[#This Row],[gammac]]*Table13345678[[#This Row],[Volume]]</f>
        <v>0</v>
      </c>
      <c r="BD1486">
        <f>((Table13345678[[#This Row],[High P]]+Table13345678[[#This Row],[Low P]])/2)*Table13345678[[#This Row],[gammap]]*Table13345678[[#This Row],[Volume9]]*-1</f>
        <v>0</v>
      </c>
      <c r="BE1486">
        <f>(Table13345678[[#This Row],[SgammaC]]+Table13345678[[#This Row],[SgammaP]])*$A$4*-100</f>
        <v>0</v>
      </c>
      <c r="BF1486">
        <f>Table13345678[[#This Row],[DEXc]]+Table13345678[[#This Row],[DEXp]]</f>
        <v>0</v>
      </c>
      <c r="BG1486" s="78">
        <f>IFERROR(Table13345678[[#This Row],[DeltaC]]*Table13345678[[#This Row],[Open.Int]]*$A$4,0)</f>
        <v>0</v>
      </c>
      <c r="BH1486">
        <f>IFERROR(Table13345678[[#This Row],[DeltaP]]*Table13345678[[#This Row],[Open.Int8]]*$A$4,0)</f>
        <v>0</v>
      </c>
      <c r="BI148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6">
        <f ca="1">Table13345678[[#This Row],[charmc]]+Table13345678[[#This Row],[charmp]]</f>
        <v>0</v>
      </c>
      <c r="BL148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6" s="78">
        <f ca="1">Table13345678[[#This Row],[call helper]]+Table13345678[[#This Row],[put helper]]</f>
        <v>0</v>
      </c>
      <c r="BP148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7" spans="1:68" x14ac:dyDescent="0.25">
      <c r="A1487" s="14">
        <f t="shared" ca="1" si="144"/>
        <v>-126.14810350076104</v>
      </c>
      <c r="C1487" s="17"/>
      <c r="D1487" t="str">
        <f>RTD("tos.rtd", , "OPEN_INT", "."&amp;Table13345678[[#This Row],[Ticker]]&amp;Table13345678[[#This Row],[Expiry]]&amp;""&amp;"C"&amp;Table13345678[[#This Row],[Spot]]+Table13345678[[#This Row],[step]])</f>
        <v>N/A</v>
      </c>
      <c r="E148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7" s="17" cm="1">
        <f t="array" aca="1" ref="H1487" ca="1">IndividualLegIVCore($A$4, Table13345678[[#This Row],[Strike]], 0.0411, Table13345678[[#This Row],[T]], ((Table13345678[[#This Row],[BIDC]]+Table13345678[[#This Row],[ASKC]])/2), TRUE)</f>
        <v>0.01</v>
      </c>
      <c r="I148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7" s="17"/>
      <c r="M1487" s="1">
        <f t="shared" si="145"/>
        <v>0</v>
      </c>
      <c r="N1487" t="b">
        <f t="shared" si="146"/>
        <v>0</v>
      </c>
      <c r="P1487" s="17" cm="1">
        <f t="array" aca="1" ref="P1487" ca="1">IndividualLegIVCore($A$4, Table13345678[[#This Row],[Strike]], 0.0411, Table13345678[[#This Row],[T]], ((Table13345678[[#This Row],[BIDP]]+Table13345678[[#This Row],[ASKP]])/2), FALSE)</f>
        <v>0.01</v>
      </c>
      <c r="Q148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7" s="17"/>
      <c r="T148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7" s="19">
        <f>-22* IF($M$1="NDX", 10, IF(OR($M$1="SPX", $M$1="RUT"), 2, 1))</f>
        <v>-44</v>
      </c>
      <c r="Z1487">
        <f ca="1">IFERROR(Table13345678[[#This Row],[call gamma]]*(Table13345678[[#This Row],[Open.Int]])*$A$4^2,0)</f>
        <v>0</v>
      </c>
      <c r="AA1487">
        <f ca="1">IFERROR(((Table13345678[[#This Row],[Open.Int8]])*Table13345678[[#This Row],[Put gamma]])*-1*$A$4^2,0)</f>
        <v>0</v>
      </c>
      <c r="AB1487">
        <f ca="1">(Table13345678[[#This Row],[Call Gex]]+Table13345678[[#This Row],[Put Gex]])</f>
        <v>0</v>
      </c>
      <c r="AC1487">
        <f ca="1">Table13345678[[#This Row],[put delta adj]]+Table13345678[[#This Row],[call delta adj]]</f>
        <v>0</v>
      </c>
      <c r="AD1487">
        <f ca="1">Table13345678[[#This Row],[Put Gex]]*Table13345678[[#This Row],[DeltaP]]*-1</f>
        <v>0</v>
      </c>
      <c r="AE1487">
        <f ca="1">Table13345678[[#This Row],[Call Gex]]*Table13345678[[#This Row],[DeltaC]]</f>
        <v>0</v>
      </c>
      <c r="AF1487">
        <f>IF(Table13345678[[#This Row],[DeltaC]]-ABS(Table13345678[[#This Row],[DeltaP]])="0","0.01",Table13345678[[#This Row],[DeltaC]]-ABS(Table13345678[[#This Row],[DeltaP]]))</f>
        <v>0</v>
      </c>
      <c r="AG148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7" t="e">
        <f ca="1">(EXP(-(AG1487^2)/2)/SQRT(2*PI())*EXP(0*SQRT(Table13345678[[#This Row],[T]]))/$A$4*18%*SQRT(SQRT(Table13345678[[#This Row],[T]])))</f>
        <v>#DIV/0!</v>
      </c>
      <c r="AJ1487" t="e">
        <f ca="1">(EXP(-(AH1487^2)/2)/SQRT(2*PI())*EXP(0*SQRT(Table13345678[[#This Row],[T]]))/$A$4*18%*SQRT(SQRT(Table13345678[[#This Row],[T]])))</f>
        <v>#DIV/0!</v>
      </c>
      <c r="AK1487" t="e">
        <f ca="1">Table13345678[[#This Row],[Call D1]]-Table13345678[[#This Row],[IV Calc C]]*SQRT(Table13345678[[#This Row],[T]])</f>
        <v>#DIV/0!</v>
      </c>
      <c r="AL1487" t="e">
        <f ca="1">Table13345678[[#This Row],[Put D1]]-Table13345678[[#This Row],[IV Calc P]]*SQRT(Table13345678[[#This Row],[T]])</f>
        <v>#DIV/0!</v>
      </c>
      <c r="AM1487" t="e">
        <f ca="1">EXP(-0.5*Table13345678[[#This Row],[Call D1]]^2)/SQRT(2*PI())</f>
        <v>#DIV/0!</v>
      </c>
      <c r="AN1487" t="e">
        <f ca="1">EXP(-0.5*Table13345678[[#This Row],[Put D1]]^2)/SQRT(2*PI())</f>
        <v>#DIV/0!</v>
      </c>
      <c r="AO148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7">
        <f ca="1">((Table13345678[[#This Row],[call vanna]]+Table13345678[[#This Row],[put vanna]])*$A$4)</f>
        <v>0</v>
      </c>
      <c r="AR148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7" s="9" t="str" cm="1">
        <f t="array" ref="AT1487">_xlfn.IFS(     $M$1="SPX","SPXW",     $M$1="RUT","RUTW",  $M$1="NDX","NDXP",   TRUE,$M$1 )</f>
        <v>SPXW</v>
      </c>
      <c r="AU1487" s="2">
        <f t="shared" si="147"/>
        <v>6915</v>
      </c>
      <c r="AV1487" t="str">
        <f t="shared" si="148"/>
        <v>000100</v>
      </c>
      <c r="AY148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7">
        <f>((Table13345678[[#This Row],[High C]]+Table13345678[[#This Row],[Low C]])/2)*Table13345678[[#This Row],[gammac]]*Table13345678[[#This Row],[Volume]]</f>
        <v>0</v>
      </c>
      <c r="BD1487">
        <f>((Table13345678[[#This Row],[High P]]+Table13345678[[#This Row],[Low P]])/2)*Table13345678[[#This Row],[gammap]]*Table13345678[[#This Row],[Volume9]]*-1</f>
        <v>0</v>
      </c>
      <c r="BE1487">
        <f>(Table13345678[[#This Row],[SgammaC]]+Table13345678[[#This Row],[SgammaP]])*$A$4*-100</f>
        <v>0</v>
      </c>
      <c r="BF1487">
        <f>Table13345678[[#This Row],[DEXc]]+Table13345678[[#This Row],[DEXp]]</f>
        <v>0</v>
      </c>
      <c r="BG1487" s="78">
        <f>IFERROR(Table13345678[[#This Row],[DeltaC]]*Table13345678[[#This Row],[Open.Int]]*$A$4,0)</f>
        <v>0</v>
      </c>
      <c r="BH1487">
        <f>IFERROR(Table13345678[[#This Row],[DeltaP]]*Table13345678[[#This Row],[Open.Int8]]*$A$4,0)</f>
        <v>0</v>
      </c>
      <c r="BI148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7">
        <f ca="1">Table13345678[[#This Row],[charmc]]+Table13345678[[#This Row],[charmp]]</f>
        <v>0</v>
      </c>
      <c r="BL148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7" s="78">
        <f ca="1">Table13345678[[#This Row],[call helper]]+Table13345678[[#This Row],[put helper]]</f>
        <v>0</v>
      </c>
      <c r="BP148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8" spans="1:68" x14ac:dyDescent="0.25">
      <c r="A1488" s="14">
        <f t="shared" ca="1" si="144"/>
        <v>-126.14810350076104</v>
      </c>
      <c r="C1488" s="17"/>
      <c r="D1488" t="str">
        <f>RTD("tos.rtd", , "OPEN_INT", "."&amp;Table13345678[[#This Row],[Ticker]]&amp;Table13345678[[#This Row],[Expiry]]&amp;""&amp;"C"&amp;Table13345678[[#This Row],[Spot]]+Table13345678[[#This Row],[step]])</f>
        <v>N/A</v>
      </c>
      <c r="E148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8" s="17" cm="1">
        <f t="array" aca="1" ref="H1488" ca="1">IndividualLegIVCore($A$4, Table13345678[[#This Row],[Strike]], 0.0411, Table13345678[[#This Row],[T]], ((Table13345678[[#This Row],[BIDC]]+Table13345678[[#This Row],[ASKC]])/2), TRUE)</f>
        <v>0.01</v>
      </c>
      <c r="I148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8" s="17"/>
      <c r="M1488" s="1">
        <f t="shared" si="145"/>
        <v>0</v>
      </c>
      <c r="N1488" t="b">
        <f t="shared" si="146"/>
        <v>0</v>
      </c>
      <c r="P1488" s="17" cm="1">
        <f t="array" aca="1" ref="P1488" ca="1">IndividualLegIVCore($A$4, Table13345678[[#This Row],[Strike]], 0.0411, Table13345678[[#This Row],[T]], ((Table13345678[[#This Row],[BIDP]]+Table13345678[[#This Row],[ASKP]])/2), FALSE)</f>
        <v>0.01</v>
      </c>
      <c r="Q148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8" s="17"/>
      <c r="T148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8" s="19">
        <f>-21.5* IF($M$1="NDX", 10, IF(OR($M$1="SPX", $M$1="RUT"), 2, 1))</f>
        <v>-43</v>
      </c>
      <c r="Z1488">
        <f ca="1">IFERROR(Table13345678[[#This Row],[call gamma]]*(Table13345678[[#This Row],[Open.Int]])*$A$4^2,0)</f>
        <v>0</v>
      </c>
      <c r="AA1488">
        <f ca="1">IFERROR(((Table13345678[[#This Row],[Open.Int8]])*Table13345678[[#This Row],[Put gamma]])*-1*$A$4^2,0)</f>
        <v>0</v>
      </c>
      <c r="AB1488">
        <f ca="1">(Table13345678[[#This Row],[Call Gex]]+Table13345678[[#This Row],[Put Gex]])</f>
        <v>0</v>
      </c>
      <c r="AC1488">
        <f ca="1">Table13345678[[#This Row],[put delta adj]]+Table13345678[[#This Row],[call delta adj]]</f>
        <v>0</v>
      </c>
      <c r="AD1488">
        <f ca="1">Table13345678[[#This Row],[Put Gex]]*Table13345678[[#This Row],[DeltaP]]*-1</f>
        <v>0</v>
      </c>
      <c r="AE1488">
        <f ca="1">Table13345678[[#This Row],[Call Gex]]*Table13345678[[#This Row],[DeltaC]]</f>
        <v>0</v>
      </c>
      <c r="AF1488">
        <f>IF(Table13345678[[#This Row],[DeltaC]]-ABS(Table13345678[[#This Row],[DeltaP]])="0","0.01",Table13345678[[#This Row],[DeltaC]]-ABS(Table13345678[[#This Row],[DeltaP]]))</f>
        <v>0</v>
      </c>
      <c r="AG148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8" t="e">
        <f ca="1">(EXP(-(AG1488^2)/2)/SQRT(2*PI())*EXP(0*SQRT(Table13345678[[#This Row],[T]]))/$A$4*18%*SQRT(SQRT(Table13345678[[#This Row],[T]])))</f>
        <v>#DIV/0!</v>
      </c>
      <c r="AJ1488" t="e">
        <f ca="1">(EXP(-(AH1488^2)/2)/SQRT(2*PI())*EXP(0*SQRT(Table13345678[[#This Row],[T]]))/$A$4*18%*SQRT(SQRT(Table13345678[[#This Row],[T]])))</f>
        <v>#DIV/0!</v>
      </c>
      <c r="AK1488" t="e">
        <f ca="1">Table13345678[[#This Row],[Call D1]]-Table13345678[[#This Row],[IV Calc C]]*SQRT(Table13345678[[#This Row],[T]])</f>
        <v>#DIV/0!</v>
      </c>
      <c r="AL1488" t="e">
        <f ca="1">Table13345678[[#This Row],[Put D1]]-Table13345678[[#This Row],[IV Calc P]]*SQRT(Table13345678[[#This Row],[T]])</f>
        <v>#DIV/0!</v>
      </c>
      <c r="AM1488" t="e">
        <f ca="1">EXP(-0.5*Table13345678[[#This Row],[Call D1]]^2)/SQRT(2*PI())</f>
        <v>#DIV/0!</v>
      </c>
      <c r="AN1488" t="e">
        <f ca="1">EXP(-0.5*Table13345678[[#This Row],[Put D1]]^2)/SQRT(2*PI())</f>
        <v>#DIV/0!</v>
      </c>
      <c r="AO148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8">
        <f ca="1">((Table13345678[[#This Row],[call vanna]]+Table13345678[[#This Row],[put vanna]])*$A$4)</f>
        <v>0</v>
      </c>
      <c r="AR148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8" s="9" t="str" cm="1">
        <f t="array" ref="AT1488">_xlfn.IFS(     $M$1="SPX","SPXW",     $M$1="RUT","RUTW",  $M$1="NDX","NDXP",   TRUE,$M$1 )</f>
        <v>SPXW</v>
      </c>
      <c r="AU1488" s="2">
        <f t="shared" si="147"/>
        <v>6915</v>
      </c>
      <c r="AV1488" t="str">
        <f t="shared" si="148"/>
        <v>000100</v>
      </c>
      <c r="AY148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8">
        <f>((Table13345678[[#This Row],[High C]]+Table13345678[[#This Row],[Low C]])/2)*Table13345678[[#This Row],[gammac]]*Table13345678[[#This Row],[Volume]]</f>
        <v>0</v>
      </c>
      <c r="BD1488">
        <f>((Table13345678[[#This Row],[High P]]+Table13345678[[#This Row],[Low P]])/2)*Table13345678[[#This Row],[gammap]]*Table13345678[[#This Row],[Volume9]]*-1</f>
        <v>0</v>
      </c>
      <c r="BE1488">
        <f>(Table13345678[[#This Row],[SgammaC]]+Table13345678[[#This Row],[SgammaP]])*$A$4*-100</f>
        <v>0</v>
      </c>
      <c r="BF1488">
        <f>Table13345678[[#This Row],[DEXc]]+Table13345678[[#This Row],[DEXp]]</f>
        <v>0</v>
      </c>
      <c r="BG1488" s="78">
        <f>IFERROR(Table13345678[[#This Row],[DeltaC]]*Table13345678[[#This Row],[Open.Int]]*$A$4,0)</f>
        <v>0</v>
      </c>
      <c r="BH1488">
        <f>IFERROR(Table13345678[[#This Row],[DeltaP]]*Table13345678[[#This Row],[Open.Int8]]*$A$4,0)</f>
        <v>0</v>
      </c>
      <c r="BI148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8">
        <f ca="1">Table13345678[[#This Row],[charmc]]+Table13345678[[#This Row],[charmp]]</f>
        <v>0</v>
      </c>
      <c r="BL148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8" s="78">
        <f ca="1">Table13345678[[#This Row],[call helper]]+Table13345678[[#This Row],[put helper]]</f>
        <v>0</v>
      </c>
      <c r="BP148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9" spans="1:68" x14ac:dyDescent="0.25">
      <c r="A1489" s="14">
        <f t="shared" ca="1" si="144"/>
        <v>-126.14810350076104</v>
      </c>
      <c r="C1489" s="17"/>
      <c r="D1489" t="str">
        <f>RTD("tos.rtd", , "OPEN_INT", "."&amp;Table13345678[[#This Row],[Ticker]]&amp;Table13345678[[#This Row],[Expiry]]&amp;""&amp;"C"&amp;Table13345678[[#This Row],[Spot]]+Table13345678[[#This Row],[step]])</f>
        <v>N/A</v>
      </c>
      <c r="E148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9" s="17" cm="1">
        <f t="array" aca="1" ref="H1489" ca="1">IndividualLegIVCore($A$4, Table13345678[[#This Row],[Strike]], 0.0411, Table13345678[[#This Row],[T]], ((Table13345678[[#This Row],[BIDC]]+Table13345678[[#This Row],[ASKC]])/2), TRUE)</f>
        <v>0.01</v>
      </c>
      <c r="I148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9" s="17"/>
      <c r="M1489" s="1">
        <f t="shared" si="145"/>
        <v>0</v>
      </c>
      <c r="N1489" t="b">
        <f t="shared" si="146"/>
        <v>0</v>
      </c>
      <c r="P1489" s="17" cm="1">
        <f t="array" aca="1" ref="P1489" ca="1">IndividualLegIVCore($A$4, Table13345678[[#This Row],[Strike]], 0.0411, Table13345678[[#This Row],[T]], ((Table13345678[[#This Row],[BIDP]]+Table13345678[[#This Row],[ASKP]])/2), FALSE)</f>
        <v>0.01</v>
      </c>
      <c r="Q148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9" s="17"/>
      <c r="T148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9" s="19">
        <f>-21* IF($M$1="NDX", 10, IF(OR($M$1="SPX", $M$1="RUT"), 2, 1))</f>
        <v>-42</v>
      </c>
      <c r="Z1489">
        <f ca="1">IFERROR(Table13345678[[#This Row],[call gamma]]*(Table13345678[[#This Row],[Open.Int]])*$A$4^2,0)</f>
        <v>0</v>
      </c>
      <c r="AA1489">
        <f ca="1">IFERROR(((Table13345678[[#This Row],[Open.Int8]])*Table13345678[[#This Row],[Put gamma]])*-1*$A$4^2,0)</f>
        <v>0</v>
      </c>
      <c r="AB1489">
        <f ca="1">(Table13345678[[#This Row],[Call Gex]]+Table13345678[[#This Row],[Put Gex]])</f>
        <v>0</v>
      </c>
      <c r="AC1489">
        <f ca="1">Table13345678[[#This Row],[put delta adj]]+Table13345678[[#This Row],[call delta adj]]</f>
        <v>0</v>
      </c>
      <c r="AD1489">
        <f ca="1">Table13345678[[#This Row],[Put Gex]]*Table13345678[[#This Row],[DeltaP]]*-1</f>
        <v>0</v>
      </c>
      <c r="AE1489">
        <f ca="1">Table13345678[[#This Row],[Call Gex]]*Table13345678[[#This Row],[DeltaC]]</f>
        <v>0</v>
      </c>
      <c r="AF1489">
        <f>IF(Table13345678[[#This Row],[DeltaC]]-ABS(Table13345678[[#This Row],[DeltaP]])="0","0.01",Table13345678[[#This Row],[DeltaC]]-ABS(Table13345678[[#This Row],[DeltaP]]))</f>
        <v>0</v>
      </c>
      <c r="AG148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9" t="e">
        <f ca="1">(EXP(-(AG1489^2)/2)/SQRT(2*PI())*EXP(0*SQRT(Table13345678[[#This Row],[T]]))/$A$4*18%*SQRT(SQRT(Table13345678[[#This Row],[T]])))</f>
        <v>#DIV/0!</v>
      </c>
      <c r="AJ1489" t="e">
        <f ca="1">(EXP(-(AH1489^2)/2)/SQRT(2*PI())*EXP(0*SQRT(Table13345678[[#This Row],[T]]))/$A$4*18%*SQRT(SQRT(Table13345678[[#This Row],[T]])))</f>
        <v>#DIV/0!</v>
      </c>
      <c r="AK1489" t="e">
        <f ca="1">Table13345678[[#This Row],[Call D1]]-Table13345678[[#This Row],[IV Calc C]]*SQRT(Table13345678[[#This Row],[T]])</f>
        <v>#DIV/0!</v>
      </c>
      <c r="AL1489" t="e">
        <f ca="1">Table13345678[[#This Row],[Put D1]]-Table13345678[[#This Row],[IV Calc P]]*SQRT(Table13345678[[#This Row],[T]])</f>
        <v>#DIV/0!</v>
      </c>
      <c r="AM1489" t="e">
        <f ca="1">EXP(-0.5*Table13345678[[#This Row],[Call D1]]^2)/SQRT(2*PI())</f>
        <v>#DIV/0!</v>
      </c>
      <c r="AN1489" t="e">
        <f ca="1">EXP(-0.5*Table13345678[[#This Row],[Put D1]]^2)/SQRT(2*PI())</f>
        <v>#DIV/0!</v>
      </c>
      <c r="AO148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9">
        <f ca="1">((Table13345678[[#This Row],[call vanna]]+Table13345678[[#This Row],[put vanna]])*$A$4)</f>
        <v>0</v>
      </c>
      <c r="AR148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9" s="9" t="str" cm="1">
        <f t="array" ref="AT1489">_xlfn.IFS(     $M$1="SPX","SPXW",     $M$1="RUT","RUTW",  $M$1="NDX","NDXP",   TRUE,$M$1 )</f>
        <v>SPXW</v>
      </c>
      <c r="AU1489" s="2">
        <f t="shared" si="147"/>
        <v>6915</v>
      </c>
      <c r="AV1489" t="str">
        <f t="shared" si="148"/>
        <v>000100</v>
      </c>
      <c r="AY148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9">
        <f>((Table13345678[[#This Row],[High C]]+Table13345678[[#This Row],[Low C]])/2)*Table13345678[[#This Row],[gammac]]*Table13345678[[#This Row],[Volume]]</f>
        <v>0</v>
      </c>
      <c r="BD1489">
        <f>((Table13345678[[#This Row],[High P]]+Table13345678[[#This Row],[Low P]])/2)*Table13345678[[#This Row],[gammap]]*Table13345678[[#This Row],[Volume9]]*-1</f>
        <v>0</v>
      </c>
      <c r="BE1489">
        <f>(Table13345678[[#This Row],[SgammaC]]+Table13345678[[#This Row],[SgammaP]])*$A$4*-100</f>
        <v>0</v>
      </c>
      <c r="BF1489">
        <f>Table13345678[[#This Row],[DEXc]]+Table13345678[[#This Row],[DEXp]]</f>
        <v>0</v>
      </c>
      <c r="BG1489" s="78">
        <f>IFERROR(Table13345678[[#This Row],[DeltaC]]*Table13345678[[#This Row],[Open.Int]]*$A$4,0)</f>
        <v>0</v>
      </c>
      <c r="BH1489">
        <f>IFERROR(Table13345678[[#This Row],[DeltaP]]*Table13345678[[#This Row],[Open.Int8]]*$A$4,0)</f>
        <v>0</v>
      </c>
      <c r="BI148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9">
        <f ca="1">Table13345678[[#This Row],[charmc]]+Table13345678[[#This Row],[charmp]]</f>
        <v>0</v>
      </c>
      <c r="BL148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9" s="78">
        <f ca="1">Table13345678[[#This Row],[call helper]]+Table13345678[[#This Row],[put helper]]</f>
        <v>0</v>
      </c>
      <c r="BP148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0" spans="1:68" x14ac:dyDescent="0.25">
      <c r="A1490" s="24">
        <f t="shared" ca="1" si="144"/>
        <v>-126.14810350076104</v>
      </c>
      <c r="B1490" s="13"/>
      <c r="C1490" s="17"/>
      <c r="D1490" t="str">
        <f>RTD("tos.rtd", , "OPEN_INT", "."&amp;Table13345678[[#This Row],[Ticker]]&amp;Table13345678[[#This Row],[Expiry]]&amp;""&amp;"C"&amp;Table13345678[[#This Row],[Spot]]+Table13345678[[#This Row],[step]])</f>
        <v>N/A</v>
      </c>
      <c r="E149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0" s="17" cm="1">
        <f t="array" aca="1" ref="H1490" ca="1">IndividualLegIVCore($A$4, Table13345678[[#This Row],[Strike]], 0.0411, Table13345678[[#This Row],[T]], ((Table13345678[[#This Row],[BIDC]]+Table13345678[[#This Row],[ASKC]])/2), TRUE)</f>
        <v>0.01</v>
      </c>
      <c r="I149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0" s="17"/>
      <c r="M1490" s="1">
        <f t="shared" si="145"/>
        <v>0</v>
      </c>
      <c r="N1490" t="b">
        <f t="shared" si="146"/>
        <v>0</v>
      </c>
      <c r="P1490" s="17" cm="1">
        <f t="array" aca="1" ref="P1490" ca="1">IndividualLegIVCore($A$4, Table13345678[[#This Row],[Strike]], 0.0411, Table13345678[[#This Row],[T]], ((Table13345678[[#This Row],[BIDP]]+Table13345678[[#This Row],[ASKP]])/2), FALSE)</f>
        <v>0.01</v>
      </c>
      <c r="Q149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0" s="17"/>
      <c r="T149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490" s="13"/>
      <c r="Y1490" s="19">
        <f>-20.5* IF($M$1="NDX", 10, IF(OR($M$1="SPX", $M$1="RUT"), 2, 1))</f>
        <v>-41</v>
      </c>
      <c r="Z1490">
        <f ca="1">IFERROR(Table13345678[[#This Row],[call gamma]]*(Table13345678[[#This Row],[Open.Int]])*$A$4^2,0)</f>
        <v>0</v>
      </c>
      <c r="AA1490">
        <f ca="1">IFERROR(((Table13345678[[#This Row],[Open.Int8]])*Table13345678[[#This Row],[Put gamma]])*-1*$A$4^2,0)</f>
        <v>0</v>
      </c>
      <c r="AB1490">
        <f ca="1">(Table13345678[[#This Row],[Call Gex]]+Table13345678[[#This Row],[Put Gex]])</f>
        <v>0</v>
      </c>
      <c r="AC1490">
        <f ca="1">Table13345678[[#This Row],[put delta adj]]+Table13345678[[#This Row],[call delta adj]]</f>
        <v>0</v>
      </c>
      <c r="AD1490">
        <f ca="1">Table13345678[[#This Row],[Put Gex]]*Table13345678[[#This Row],[DeltaP]]*-1</f>
        <v>0</v>
      </c>
      <c r="AE1490">
        <f ca="1">Table13345678[[#This Row],[Call Gex]]*Table13345678[[#This Row],[DeltaC]]</f>
        <v>0</v>
      </c>
      <c r="AF1490">
        <f>IF(Table13345678[[#This Row],[DeltaC]]-ABS(Table13345678[[#This Row],[DeltaP]])="0","0.01",Table13345678[[#This Row],[DeltaC]]-ABS(Table13345678[[#This Row],[DeltaP]]))</f>
        <v>0</v>
      </c>
      <c r="AG149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0" t="e">
        <f ca="1">(EXP(-(AG1490^2)/2)/SQRT(2*PI())*EXP(0*SQRT(Table13345678[[#This Row],[T]]))/$A$4*18%*SQRT(SQRT(Table13345678[[#This Row],[T]])))</f>
        <v>#DIV/0!</v>
      </c>
      <c r="AJ1490" t="e">
        <f ca="1">(EXP(-(AH1490^2)/2)/SQRT(2*PI())*EXP(0*SQRT(Table13345678[[#This Row],[T]]))/$A$4*18%*SQRT(SQRT(Table13345678[[#This Row],[T]])))</f>
        <v>#DIV/0!</v>
      </c>
      <c r="AK1490" t="e">
        <f ca="1">Table13345678[[#This Row],[Call D1]]-Table13345678[[#This Row],[IV Calc C]]*SQRT(Table13345678[[#This Row],[T]])</f>
        <v>#DIV/0!</v>
      </c>
      <c r="AL1490" t="e">
        <f ca="1">Table13345678[[#This Row],[Put D1]]-Table13345678[[#This Row],[IV Calc P]]*SQRT(Table13345678[[#This Row],[T]])</f>
        <v>#DIV/0!</v>
      </c>
      <c r="AM1490" t="e">
        <f ca="1">EXP(-0.5*Table13345678[[#This Row],[Call D1]]^2)/SQRT(2*PI())</f>
        <v>#DIV/0!</v>
      </c>
      <c r="AN1490" t="e">
        <f ca="1">EXP(-0.5*Table13345678[[#This Row],[Put D1]]^2)/SQRT(2*PI())</f>
        <v>#DIV/0!</v>
      </c>
      <c r="AO149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0">
        <f ca="1">((Table13345678[[#This Row],[call vanna]]+Table13345678[[#This Row],[put vanna]])*$A$4)</f>
        <v>0</v>
      </c>
      <c r="AR149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0" s="22" t="str" cm="1">
        <f t="array" ref="AT1490">_xlfn.IFS(     $M$1="SPX","SPXW",     $M$1="RUT","RUTW",  $M$1="NDX","NDXP",   TRUE,$M$1 )</f>
        <v>SPXW</v>
      </c>
      <c r="AU1490" s="2">
        <f t="shared" si="147"/>
        <v>6915</v>
      </c>
      <c r="AV1490" t="str">
        <f t="shared" si="148"/>
        <v>000100</v>
      </c>
      <c r="AY149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0">
        <f>((Table13345678[[#This Row],[High C]]+Table13345678[[#This Row],[Low C]])/2)*Table13345678[[#This Row],[gammac]]*Table13345678[[#This Row],[Volume]]</f>
        <v>0</v>
      </c>
      <c r="BD1490">
        <f>((Table13345678[[#This Row],[High P]]+Table13345678[[#This Row],[Low P]])/2)*Table13345678[[#This Row],[gammap]]*Table13345678[[#This Row],[Volume9]]*-1</f>
        <v>0</v>
      </c>
      <c r="BE1490">
        <f>(Table13345678[[#This Row],[SgammaC]]+Table13345678[[#This Row],[SgammaP]])*$A$4*-100</f>
        <v>0</v>
      </c>
      <c r="BF1490">
        <f>Table13345678[[#This Row],[DEXc]]+Table13345678[[#This Row],[DEXp]]</f>
        <v>0</v>
      </c>
      <c r="BG1490" s="78">
        <f>IFERROR(Table13345678[[#This Row],[DeltaC]]*Table13345678[[#This Row],[Open.Int]]*$A$4,0)</f>
        <v>0</v>
      </c>
      <c r="BH1490">
        <f>IFERROR(Table13345678[[#This Row],[DeltaP]]*Table13345678[[#This Row],[Open.Int8]]*$A$4,0)</f>
        <v>0</v>
      </c>
      <c r="BI149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0">
        <f ca="1">Table13345678[[#This Row],[charmc]]+Table13345678[[#This Row],[charmp]]</f>
        <v>0</v>
      </c>
      <c r="BL149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0" s="78">
        <f ca="1">Table13345678[[#This Row],[call helper]]+Table13345678[[#This Row],[put helper]]</f>
        <v>0</v>
      </c>
      <c r="BP149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1" spans="1:68" x14ac:dyDescent="0.25">
      <c r="A1491" s="14">
        <f t="shared" ca="1" si="144"/>
        <v>-126.14810350076104</v>
      </c>
      <c r="C1491" s="17"/>
      <c r="D1491" t="str">
        <f>RTD("tos.rtd", , "OPEN_INT", "."&amp;Table13345678[[#This Row],[Ticker]]&amp;Table13345678[[#This Row],[Expiry]]&amp;""&amp;"C"&amp;Table13345678[[#This Row],[Spot]]+Table13345678[[#This Row],[step]])</f>
        <v>N/A</v>
      </c>
      <c r="E149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1" s="17" cm="1">
        <f t="array" aca="1" ref="H1491" ca="1">IndividualLegIVCore($A$4, Table13345678[[#This Row],[Strike]], 0.0411, Table13345678[[#This Row],[T]], ((Table13345678[[#This Row],[BIDC]]+Table13345678[[#This Row],[ASKC]])/2), TRUE)</f>
        <v>0.01</v>
      </c>
      <c r="I149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1" s="17"/>
      <c r="M1491" s="1">
        <f t="shared" si="145"/>
        <v>0</v>
      </c>
      <c r="N1491" t="b">
        <f t="shared" si="146"/>
        <v>0</v>
      </c>
      <c r="P1491" s="17" cm="1">
        <f t="array" aca="1" ref="P1491" ca="1">IndividualLegIVCore($A$4, Table13345678[[#This Row],[Strike]], 0.0411, Table13345678[[#This Row],[T]], ((Table13345678[[#This Row],[BIDP]]+Table13345678[[#This Row],[ASKP]])/2), FALSE)</f>
        <v>0.01</v>
      </c>
      <c r="Q149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1" s="17"/>
      <c r="T149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1" s="19">
        <f>-20* IF($M$1="NDX", 10, IF(OR($M$1="SPX", $M$1="RUT"), 2, 1))</f>
        <v>-40</v>
      </c>
      <c r="Z1491">
        <f ca="1">IFERROR(Table13345678[[#This Row],[call gamma]]*(Table13345678[[#This Row],[Open.Int]])*$A$4^2,0)</f>
        <v>0</v>
      </c>
      <c r="AA1491">
        <f ca="1">IFERROR(((Table13345678[[#This Row],[Open.Int8]])*Table13345678[[#This Row],[Put gamma]])*-1*$A$4^2,0)</f>
        <v>0</v>
      </c>
      <c r="AB1491">
        <f ca="1">(Table13345678[[#This Row],[Call Gex]]+Table13345678[[#This Row],[Put Gex]])</f>
        <v>0</v>
      </c>
      <c r="AC1491">
        <f ca="1">Table13345678[[#This Row],[put delta adj]]+Table13345678[[#This Row],[call delta adj]]</f>
        <v>0</v>
      </c>
      <c r="AD1491">
        <f ca="1">Table13345678[[#This Row],[Put Gex]]*Table13345678[[#This Row],[DeltaP]]*-1</f>
        <v>0</v>
      </c>
      <c r="AE1491">
        <f ca="1">Table13345678[[#This Row],[Call Gex]]*Table13345678[[#This Row],[DeltaC]]</f>
        <v>0</v>
      </c>
      <c r="AF1491">
        <f>IF(Table13345678[[#This Row],[DeltaC]]-ABS(Table13345678[[#This Row],[DeltaP]])="0","0.01",Table13345678[[#This Row],[DeltaC]]-ABS(Table13345678[[#This Row],[DeltaP]]))</f>
        <v>0</v>
      </c>
      <c r="AG149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1" t="e">
        <f ca="1">(EXP(-(AG1491^2)/2)/SQRT(2*PI())*EXP(0*SQRT(Table13345678[[#This Row],[T]]))/$A$4*18%*SQRT(SQRT(Table13345678[[#This Row],[T]])))</f>
        <v>#DIV/0!</v>
      </c>
      <c r="AJ1491" t="e">
        <f ca="1">(EXP(-(AH1491^2)/2)/SQRT(2*PI())*EXP(0*SQRT(Table13345678[[#This Row],[T]]))/$A$4*18%*SQRT(SQRT(Table13345678[[#This Row],[T]])))</f>
        <v>#DIV/0!</v>
      </c>
      <c r="AK1491" t="e">
        <f ca="1">Table13345678[[#This Row],[Call D1]]-Table13345678[[#This Row],[IV Calc C]]*SQRT(Table13345678[[#This Row],[T]])</f>
        <v>#DIV/0!</v>
      </c>
      <c r="AL1491" t="e">
        <f ca="1">Table13345678[[#This Row],[Put D1]]-Table13345678[[#This Row],[IV Calc P]]*SQRT(Table13345678[[#This Row],[T]])</f>
        <v>#DIV/0!</v>
      </c>
      <c r="AM1491" t="e">
        <f ca="1">EXP(-0.5*Table13345678[[#This Row],[Call D1]]^2)/SQRT(2*PI())</f>
        <v>#DIV/0!</v>
      </c>
      <c r="AN1491" t="e">
        <f ca="1">EXP(-0.5*Table13345678[[#This Row],[Put D1]]^2)/SQRT(2*PI())</f>
        <v>#DIV/0!</v>
      </c>
      <c r="AO149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1">
        <f ca="1">((Table13345678[[#This Row],[call vanna]]+Table13345678[[#This Row],[put vanna]])*$A$4)</f>
        <v>0</v>
      </c>
      <c r="AR149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1" s="9" t="str" cm="1">
        <f t="array" ref="AT1491">_xlfn.IFS(     $M$1="SPX","SPXW",     $M$1="RUT","RUTW",  $M$1="NDX","NDXP",   TRUE,$M$1 )</f>
        <v>SPXW</v>
      </c>
      <c r="AU1491" s="2">
        <f t="shared" si="147"/>
        <v>6915</v>
      </c>
      <c r="AV1491" t="str">
        <f t="shared" si="148"/>
        <v>000100</v>
      </c>
      <c r="AY149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1">
        <f>((Table13345678[[#This Row],[High C]]+Table13345678[[#This Row],[Low C]])/2)*Table13345678[[#This Row],[gammac]]*Table13345678[[#This Row],[Volume]]</f>
        <v>0</v>
      </c>
      <c r="BD1491">
        <f>((Table13345678[[#This Row],[High P]]+Table13345678[[#This Row],[Low P]])/2)*Table13345678[[#This Row],[gammap]]*Table13345678[[#This Row],[Volume9]]*-1</f>
        <v>0</v>
      </c>
      <c r="BE1491">
        <f>(Table13345678[[#This Row],[SgammaC]]+Table13345678[[#This Row],[SgammaP]])*$A$4*-100</f>
        <v>0</v>
      </c>
      <c r="BF1491">
        <f>Table13345678[[#This Row],[DEXc]]+Table13345678[[#This Row],[DEXp]]</f>
        <v>0</v>
      </c>
      <c r="BG1491" s="78">
        <f>IFERROR(Table13345678[[#This Row],[DeltaC]]*Table13345678[[#This Row],[Open.Int]]*$A$4,0)</f>
        <v>0</v>
      </c>
      <c r="BH1491">
        <f>IFERROR(Table13345678[[#This Row],[DeltaP]]*Table13345678[[#This Row],[Open.Int8]]*$A$4,0)</f>
        <v>0</v>
      </c>
      <c r="BI149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1">
        <f ca="1">Table13345678[[#This Row],[charmc]]+Table13345678[[#This Row],[charmp]]</f>
        <v>0</v>
      </c>
      <c r="BL149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1" s="78">
        <f ca="1">Table13345678[[#This Row],[call helper]]+Table13345678[[#This Row],[put helper]]</f>
        <v>0</v>
      </c>
      <c r="BP149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2" spans="1:68" x14ac:dyDescent="0.25">
      <c r="A1492" s="14">
        <f t="shared" ca="1" si="144"/>
        <v>-126.14810350076104</v>
      </c>
      <c r="C1492" s="17"/>
      <c r="D1492" t="str">
        <f>RTD("tos.rtd", , "OPEN_INT", "."&amp;Table13345678[[#This Row],[Ticker]]&amp;Table13345678[[#This Row],[Expiry]]&amp;""&amp;"C"&amp;Table13345678[[#This Row],[Spot]]+Table13345678[[#This Row],[step]])</f>
        <v>N/A</v>
      </c>
      <c r="E149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2" s="17" cm="1">
        <f t="array" aca="1" ref="H1492" ca="1">IndividualLegIVCore($A$4, Table13345678[[#This Row],[Strike]], 0.0411, Table13345678[[#This Row],[T]], ((Table13345678[[#This Row],[BIDC]]+Table13345678[[#This Row],[ASKC]])/2), TRUE)</f>
        <v>0.01</v>
      </c>
      <c r="I149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2" s="17"/>
      <c r="M1492" s="1">
        <f t="shared" si="145"/>
        <v>0</v>
      </c>
      <c r="N1492" t="b">
        <f t="shared" si="146"/>
        <v>0</v>
      </c>
      <c r="P1492" s="17" cm="1">
        <f t="array" aca="1" ref="P1492" ca="1">IndividualLegIVCore($A$4, Table13345678[[#This Row],[Strike]], 0.0411, Table13345678[[#This Row],[T]], ((Table13345678[[#This Row],[BIDP]]+Table13345678[[#This Row],[ASKP]])/2), FALSE)</f>
        <v>0.01</v>
      </c>
      <c r="Q149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2" s="17"/>
      <c r="T149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2" s="19">
        <f>-19.5* IF($M$1="NDX", 10, IF(OR($M$1="SPX", $M$1="RUT"), 2, 1))</f>
        <v>-39</v>
      </c>
      <c r="Z1492">
        <f ca="1">IFERROR(Table13345678[[#This Row],[call gamma]]*(Table13345678[[#This Row],[Open.Int]])*$A$4^2,0)</f>
        <v>0</v>
      </c>
      <c r="AA1492">
        <f ca="1">IFERROR(((Table13345678[[#This Row],[Open.Int8]])*Table13345678[[#This Row],[Put gamma]])*-1*$A$4^2,0)</f>
        <v>0</v>
      </c>
      <c r="AB1492">
        <f ca="1">(Table13345678[[#This Row],[Call Gex]]+Table13345678[[#This Row],[Put Gex]])</f>
        <v>0</v>
      </c>
      <c r="AC1492">
        <f ca="1">Table13345678[[#This Row],[put delta adj]]+Table13345678[[#This Row],[call delta adj]]</f>
        <v>0</v>
      </c>
      <c r="AD1492">
        <f ca="1">Table13345678[[#This Row],[Put Gex]]*Table13345678[[#This Row],[DeltaP]]*-1</f>
        <v>0</v>
      </c>
      <c r="AE1492">
        <f ca="1">Table13345678[[#This Row],[Call Gex]]*Table13345678[[#This Row],[DeltaC]]</f>
        <v>0</v>
      </c>
      <c r="AF1492">
        <f>IF(Table13345678[[#This Row],[DeltaC]]-ABS(Table13345678[[#This Row],[DeltaP]])="0","0.01",Table13345678[[#This Row],[DeltaC]]-ABS(Table13345678[[#This Row],[DeltaP]]))</f>
        <v>0</v>
      </c>
      <c r="AG149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2" t="e">
        <f ca="1">(EXP(-(AG1492^2)/2)/SQRT(2*PI())*EXP(0*SQRT(Table13345678[[#This Row],[T]]))/$A$4*18%*SQRT(SQRT(Table13345678[[#This Row],[T]])))</f>
        <v>#DIV/0!</v>
      </c>
      <c r="AJ1492" t="e">
        <f ca="1">(EXP(-(AH1492^2)/2)/SQRT(2*PI())*EXP(0*SQRT(Table13345678[[#This Row],[T]]))/$A$4*18%*SQRT(SQRT(Table13345678[[#This Row],[T]])))</f>
        <v>#DIV/0!</v>
      </c>
      <c r="AK1492" t="e">
        <f ca="1">Table13345678[[#This Row],[Call D1]]-Table13345678[[#This Row],[IV Calc C]]*SQRT(Table13345678[[#This Row],[T]])</f>
        <v>#DIV/0!</v>
      </c>
      <c r="AL1492" t="e">
        <f ca="1">Table13345678[[#This Row],[Put D1]]-Table13345678[[#This Row],[IV Calc P]]*SQRT(Table13345678[[#This Row],[T]])</f>
        <v>#DIV/0!</v>
      </c>
      <c r="AM1492" t="e">
        <f ca="1">EXP(-0.5*Table13345678[[#This Row],[Call D1]]^2)/SQRT(2*PI())</f>
        <v>#DIV/0!</v>
      </c>
      <c r="AN1492" t="e">
        <f ca="1">EXP(-0.5*Table13345678[[#This Row],[Put D1]]^2)/SQRT(2*PI())</f>
        <v>#DIV/0!</v>
      </c>
      <c r="AO149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2">
        <f ca="1">((Table13345678[[#This Row],[call vanna]]+Table13345678[[#This Row],[put vanna]])*$A$4)</f>
        <v>0</v>
      </c>
      <c r="AR149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2" s="9" t="str" cm="1">
        <f t="array" ref="AT1492">_xlfn.IFS(     $M$1="SPX","SPXW",     $M$1="RUT","RUTW",  $M$1="NDX","NDXP",   TRUE,$M$1 )</f>
        <v>SPXW</v>
      </c>
      <c r="AU1492" s="2">
        <f t="shared" si="147"/>
        <v>6915</v>
      </c>
      <c r="AV1492" t="str">
        <f t="shared" si="148"/>
        <v>000100</v>
      </c>
      <c r="AY149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2">
        <f>((Table13345678[[#This Row],[High C]]+Table13345678[[#This Row],[Low C]])/2)*Table13345678[[#This Row],[gammac]]*Table13345678[[#This Row],[Volume]]</f>
        <v>0</v>
      </c>
      <c r="BD1492">
        <f>((Table13345678[[#This Row],[High P]]+Table13345678[[#This Row],[Low P]])/2)*Table13345678[[#This Row],[gammap]]*Table13345678[[#This Row],[Volume9]]*-1</f>
        <v>0</v>
      </c>
      <c r="BE1492">
        <f>(Table13345678[[#This Row],[SgammaC]]+Table13345678[[#This Row],[SgammaP]])*$A$4*-100</f>
        <v>0</v>
      </c>
      <c r="BF1492">
        <f>Table13345678[[#This Row],[DEXc]]+Table13345678[[#This Row],[DEXp]]</f>
        <v>0</v>
      </c>
      <c r="BG1492" s="78">
        <f>IFERROR(Table13345678[[#This Row],[DeltaC]]*Table13345678[[#This Row],[Open.Int]]*$A$4,0)</f>
        <v>0</v>
      </c>
      <c r="BH1492">
        <f>IFERROR(Table13345678[[#This Row],[DeltaP]]*Table13345678[[#This Row],[Open.Int8]]*$A$4,0)</f>
        <v>0</v>
      </c>
      <c r="BI149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2">
        <f ca="1">Table13345678[[#This Row],[charmc]]+Table13345678[[#This Row],[charmp]]</f>
        <v>0</v>
      </c>
      <c r="BL149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2" s="78">
        <f ca="1">Table13345678[[#This Row],[call helper]]+Table13345678[[#This Row],[put helper]]</f>
        <v>0</v>
      </c>
      <c r="BP149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3" spans="1:68" x14ac:dyDescent="0.25">
      <c r="A1493" s="14">
        <f t="shared" ca="1" si="144"/>
        <v>-126.14810350076104</v>
      </c>
      <c r="C1493" s="17"/>
      <c r="D1493" t="str">
        <f>RTD("tos.rtd", , "OPEN_INT", "."&amp;Table13345678[[#This Row],[Ticker]]&amp;Table13345678[[#This Row],[Expiry]]&amp;""&amp;"C"&amp;Table13345678[[#This Row],[Spot]]+Table13345678[[#This Row],[step]])</f>
        <v>N/A</v>
      </c>
      <c r="E149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3" s="17" cm="1">
        <f t="array" aca="1" ref="H1493" ca="1">IndividualLegIVCore($A$4, Table13345678[[#This Row],[Strike]], 0.0411, Table13345678[[#This Row],[T]], ((Table13345678[[#This Row],[BIDC]]+Table13345678[[#This Row],[ASKC]])/2), TRUE)</f>
        <v>0.01</v>
      </c>
      <c r="I149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3" s="17"/>
      <c r="M1493" s="1">
        <f t="shared" si="145"/>
        <v>0</v>
      </c>
      <c r="N1493" t="b">
        <f t="shared" si="146"/>
        <v>0</v>
      </c>
      <c r="P1493" s="17" cm="1">
        <f t="array" aca="1" ref="P1493" ca="1">IndividualLegIVCore($A$4, Table13345678[[#This Row],[Strike]], 0.0411, Table13345678[[#This Row],[T]], ((Table13345678[[#This Row],[BIDP]]+Table13345678[[#This Row],[ASKP]])/2), FALSE)</f>
        <v>0.01</v>
      </c>
      <c r="Q149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3" s="17"/>
      <c r="T149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3" s="19">
        <f>-19* IF($M$1="NDX", 10, IF(OR($M$1="SPX", $M$1="RUT"), 2, 1))</f>
        <v>-38</v>
      </c>
      <c r="Z1493">
        <f ca="1">IFERROR(Table13345678[[#This Row],[call gamma]]*(Table13345678[[#This Row],[Open.Int]])*$A$4^2,0)</f>
        <v>0</v>
      </c>
      <c r="AA1493">
        <f ca="1">IFERROR(((Table13345678[[#This Row],[Open.Int8]])*Table13345678[[#This Row],[Put gamma]])*-1*$A$4^2,0)</f>
        <v>0</v>
      </c>
      <c r="AB1493">
        <f ca="1">(Table13345678[[#This Row],[Call Gex]]+Table13345678[[#This Row],[Put Gex]])</f>
        <v>0</v>
      </c>
      <c r="AC1493">
        <f ca="1">Table13345678[[#This Row],[put delta adj]]+Table13345678[[#This Row],[call delta adj]]</f>
        <v>0</v>
      </c>
      <c r="AD1493">
        <f ca="1">Table13345678[[#This Row],[Put Gex]]*Table13345678[[#This Row],[DeltaP]]*-1</f>
        <v>0</v>
      </c>
      <c r="AE1493">
        <f ca="1">Table13345678[[#This Row],[Call Gex]]*Table13345678[[#This Row],[DeltaC]]</f>
        <v>0</v>
      </c>
      <c r="AF1493">
        <f>IF(Table13345678[[#This Row],[DeltaC]]-ABS(Table13345678[[#This Row],[DeltaP]])="0","0.01",Table13345678[[#This Row],[DeltaC]]-ABS(Table13345678[[#This Row],[DeltaP]]))</f>
        <v>0</v>
      </c>
      <c r="AG149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3" t="e">
        <f ca="1">(EXP(-(AG1493^2)/2)/SQRT(2*PI())*EXP(0*SQRT(Table13345678[[#This Row],[T]]))/$A$4*18%*SQRT(SQRT(Table13345678[[#This Row],[T]])))</f>
        <v>#DIV/0!</v>
      </c>
      <c r="AJ1493" t="e">
        <f ca="1">(EXP(-(AH1493^2)/2)/SQRT(2*PI())*EXP(0*SQRT(Table13345678[[#This Row],[T]]))/$A$4*18%*SQRT(SQRT(Table13345678[[#This Row],[T]])))</f>
        <v>#DIV/0!</v>
      </c>
      <c r="AK1493" t="e">
        <f ca="1">Table13345678[[#This Row],[Call D1]]-Table13345678[[#This Row],[IV Calc C]]*SQRT(Table13345678[[#This Row],[T]])</f>
        <v>#DIV/0!</v>
      </c>
      <c r="AL1493" t="e">
        <f ca="1">Table13345678[[#This Row],[Put D1]]-Table13345678[[#This Row],[IV Calc P]]*SQRT(Table13345678[[#This Row],[T]])</f>
        <v>#DIV/0!</v>
      </c>
      <c r="AM1493" t="e">
        <f ca="1">EXP(-0.5*Table13345678[[#This Row],[Call D1]]^2)/SQRT(2*PI())</f>
        <v>#DIV/0!</v>
      </c>
      <c r="AN1493" t="e">
        <f ca="1">EXP(-0.5*Table13345678[[#This Row],[Put D1]]^2)/SQRT(2*PI())</f>
        <v>#DIV/0!</v>
      </c>
      <c r="AO149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3">
        <f ca="1">((Table13345678[[#This Row],[call vanna]]+Table13345678[[#This Row],[put vanna]])*$A$4)</f>
        <v>0</v>
      </c>
      <c r="AR149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3" s="9" t="str" cm="1">
        <f t="array" ref="AT1493">_xlfn.IFS(     $M$1="SPX","SPXW",     $M$1="RUT","RUTW",  $M$1="NDX","NDXP",   TRUE,$M$1 )</f>
        <v>SPXW</v>
      </c>
      <c r="AU1493" s="2">
        <f t="shared" si="147"/>
        <v>6915</v>
      </c>
      <c r="AV1493" t="str">
        <f t="shared" si="148"/>
        <v>000100</v>
      </c>
      <c r="AY149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3">
        <f>((Table13345678[[#This Row],[High C]]+Table13345678[[#This Row],[Low C]])/2)*Table13345678[[#This Row],[gammac]]*Table13345678[[#This Row],[Volume]]</f>
        <v>0</v>
      </c>
      <c r="BD1493">
        <f>((Table13345678[[#This Row],[High P]]+Table13345678[[#This Row],[Low P]])/2)*Table13345678[[#This Row],[gammap]]*Table13345678[[#This Row],[Volume9]]*-1</f>
        <v>0</v>
      </c>
      <c r="BE1493">
        <f>(Table13345678[[#This Row],[SgammaC]]+Table13345678[[#This Row],[SgammaP]])*$A$4*-100</f>
        <v>0</v>
      </c>
      <c r="BF1493">
        <f>Table13345678[[#This Row],[DEXc]]+Table13345678[[#This Row],[DEXp]]</f>
        <v>0</v>
      </c>
      <c r="BG1493" s="78">
        <f>IFERROR(Table13345678[[#This Row],[DeltaC]]*Table13345678[[#This Row],[Open.Int]]*$A$4,0)</f>
        <v>0</v>
      </c>
      <c r="BH1493">
        <f>IFERROR(Table13345678[[#This Row],[DeltaP]]*Table13345678[[#This Row],[Open.Int8]]*$A$4,0)</f>
        <v>0</v>
      </c>
      <c r="BI149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3">
        <f ca="1">Table13345678[[#This Row],[charmc]]+Table13345678[[#This Row],[charmp]]</f>
        <v>0</v>
      </c>
      <c r="BL149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3" s="78">
        <f ca="1">Table13345678[[#This Row],[call helper]]+Table13345678[[#This Row],[put helper]]</f>
        <v>0</v>
      </c>
      <c r="BP149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4" spans="1:68" x14ac:dyDescent="0.25">
      <c r="A1494" s="14">
        <f t="shared" ca="1" si="144"/>
        <v>-126.14810350076104</v>
      </c>
      <c r="C1494" s="17"/>
      <c r="D1494" t="str">
        <f>RTD("tos.rtd", , "OPEN_INT", "."&amp;Table13345678[[#This Row],[Ticker]]&amp;Table13345678[[#This Row],[Expiry]]&amp;""&amp;"C"&amp;Table13345678[[#This Row],[Spot]]+Table13345678[[#This Row],[step]])</f>
        <v>N/A</v>
      </c>
      <c r="E149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4" s="17" cm="1">
        <f t="array" aca="1" ref="H1494" ca="1">IndividualLegIVCore($A$4, Table13345678[[#This Row],[Strike]], 0.0411, Table13345678[[#This Row],[T]], ((Table13345678[[#This Row],[BIDC]]+Table13345678[[#This Row],[ASKC]])/2), TRUE)</f>
        <v>0.01</v>
      </c>
      <c r="I149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4" s="17"/>
      <c r="M1494" s="1">
        <f t="shared" si="145"/>
        <v>0</v>
      </c>
      <c r="N1494" t="b">
        <f t="shared" si="146"/>
        <v>0</v>
      </c>
      <c r="P1494" s="17" cm="1">
        <f t="array" aca="1" ref="P1494" ca="1">IndividualLegIVCore($A$4, Table13345678[[#This Row],[Strike]], 0.0411, Table13345678[[#This Row],[T]], ((Table13345678[[#This Row],[BIDP]]+Table13345678[[#This Row],[ASKP]])/2), FALSE)</f>
        <v>0.01</v>
      </c>
      <c r="Q149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4" s="17"/>
      <c r="T149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4" s="19">
        <f>-18.5* IF($M$1="NDX", 10, IF(OR($M$1="SPX", $M$1="RUT"), 2, 1))</f>
        <v>-37</v>
      </c>
      <c r="Z1494">
        <f ca="1">IFERROR(Table13345678[[#This Row],[call gamma]]*(Table13345678[[#This Row],[Open.Int]])*$A$4^2,0)</f>
        <v>0</v>
      </c>
      <c r="AA1494">
        <f ca="1">IFERROR(((Table13345678[[#This Row],[Open.Int8]])*Table13345678[[#This Row],[Put gamma]])*-1*$A$4^2,0)</f>
        <v>0</v>
      </c>
      <c r="AB1494">
        <f ca="1">(Table13345678[[#This Row],[Call Gex]]+Table13345678[[#This Row],[Put Gex]])</f>
        <v>0</v>
      </c>
      <c r="AC1494">
        <f ca="1">Table13345678[[#This Row],[put delta adj]]+Table13345678[[#This Row],[call delta adj]]</f>
        <v>0</v>
      </c>
      <c r="AD1494">
        <f ca="1">Table13345678[[#This Row],[Put Gex]]*Table13345678[[#This Row],[DeltaP]]*-1</f>
        <v>0</v>
      </c>
      <c r="AE1494">
        <f ca="1">Table13345678[[#This Row],[Call Gex]]*Table13345678[[#This Row],[DeltaC]]</f>
        <v>0</v>
      </c>
      <c r="AF1494">
        <f>IF(Table13345678[[#This Row],[DeltaC]]-ABS(Table13345678[[#This Row],[DeltaP]])="0","0.01",Table13345678[[#This Row],[DeltaC]]-ABS(Table13345678[[#This Row],[DeltaP]]))</f>
        <v>0</v>
      </c>
      <c r="AG149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4" t="e">
        <f ca="1">(EXP(-(AG1494^2)/2)/SQRT(2*PI())*EXP(0*SQRT(Table13345678[[#This Row],[T]]))/$A$4*18%*SQRT(SQRT(Table13345678[[#This Row],[T]])))</f>
        <v>#DIV/0!</v>
      </c>
      <c r="AJ1494" t="e">
        <f ca="1">(EXP(-(AH1494^2)/2)/SQRT(2*PI())*EXP(0*SQRT(Table13345678[[#This Row],[T]]))/$A$4*18%*SQRT(SQRT(Table13345678[[#This Row],[T]])))</f>
        <v>#DIV/0!</v>
      </c>
      <c r="AK1494" t="e">
        <f ca="1">Table13345678[[#This Row],[Call D1]]-Table13345678[[#This Row],[IV Calc C]]*SQRT(Table13345678[[#This Row],[T]])</f>
        <v>#DIV/0!</v>
      </c>
      <c r="AL1494" t="e">
        <f ca="1">Table13345678[[#This Row],[Put D1]]-Table13345678[[#This Row],[IV Calc P]]*SQRT(Table13345678[[#This Row],[T]])</f>
        <v>#DIV/0!</v>
      </c>
      <c r="AM1494" t="e">
        <f ca="1">EXP(-0.5*Table13345678[[#This Row],[Call D1]]^2)/SQRT(2*PI())</f>
        <v>#DIV/0!</v>
      </c>
      <c r="AN1494" t="e">
        <f ca="1">EXP(-0.5*Table13345678[[#This Row],[Put D1]]^2)/SQRT(2*PI())</f>
        <v>#DIV/0!</v>
      </c>
      <c r="AO149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4">
        <f ca="1">((Table13345678[[#This Row],[call vanna]]+Table13345678[[#This Row],[put vanna]])*$A$4)</f>
        <v>0</v>
      </c>
      <c r="AR149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4" s="9" t="str" cm="1">
        <f t="array" ref="AT1494">_xlfn.IFS(     $M$1="SPX","SPXW",     $M$1="RUT","RUTW",  $M$1="NDX","NDXP",   TRUE,$M$1 )</f>
        <v>SPXW</v>
      </c>
      <c r="AU1494" s="2">
        <f t="shared" si="147"/>
        <v>6915</v>
      </c>
      <c r="AV1494" t="str">
        <f t="shared" si="148"/>
        <v>000100</v>
      </c>
      <c r="AY149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4">
        <f>((Table13345678[[#This Row],[High C]]+Table13345678[[#This Row],[Low C]])/2)*Table13345678[[#This Row],[gammac]]*Table13345678[[#This Row],[Volume]]</f>
        <v>0</v>
      </c>
      <c r="BD1494">
        <f>((Table13345678[[#This Row],[High P]]+Table13345678[[#This Row],[Low P]])/2)*Table13345678[[#This Row],[gammap]]*Table13345678[[#This Row],[Volume9]]*-1</f>
        <v>0</v>
      </c>
      <c r="BE1494">
        <f>(Table13345678[[#This Row],[SgammaC]]+Table13345678[[#This Row],[SgammaP]])*$A$4*-100</f>
        <v>0</v>
      </c>
      <c r="BF1494">
        <f>Table13345678[[#This Row],[DEXc]]+Table13345678[[#This Row],[DEXp]]</f>
        <v>0</v>
      </c>
      <c r="BG1494" s="78">
        <f>IFERROR(Table13345678[[#This Row],[DeltaC]]*Table13345678[[#This Row],[Open.Int]]*$A$4,0)</f>
        <v>0</v>
      </c>
      <c r="BH1494">
        <f>IFERROR(Table13345678[[#This Row],[DeltaP]]*Table13345678[[#This Row],[Open.Int8]]*$A$4,0)</f>
        <v>0</v>
      </c>
      <c r="BI149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4">
        <f ca="1">Table13345678[[#This Row],[charmc]]+Table13345678[[#This Row],[charmp]]</f>
        <v>0</v>
      </c>
      <c r="BL149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4" s="78">
        <f ca="1">Table13345678[[#This Row],[call helper]]+Table13345678[[#This Row],[put helper]]</f>
        <v>0</v>
      </c>
      <c r="BP149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5" spans="1:68" x14ac:dyDescent="0.25">
      <c r="A1495" s="14">
        <f t="shared" ref="A1495:A1558" ca="1" si="149">$V$3</f>
        <v>-126.14810350076104</v>
      </c>
      <c r="C1495" s="17"/>
      <c r="D1495" t="str">
        <f>RTD("tos.rtd", , "OPEN_INT", "."&amp;Table13345678[[#This Row],[Ticker]]&amp;Table13345678[[#This Row],[Expiry]]&amp;""&amp;"C"&amp;Table13345678[[#This Row],[Spot]]+Table13345678[[#This Row],[step]])</f>
        <v>N/A</v>
      </c>
      <c r="E149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5" s="17" cm="1">
        <f t="array" aca="1" ref="H1495" ca="1">IndividualLegIVCore($A$4, Table13345678[[#This Row],[Strike]], 0.0411, Table13345678[[#This Row],[T]], ((Table13345678[[#This Row],[BIDC]]+Table13345678[[#This Row],[ASKC]])/2), TRUE)</f>
        <v>0.01</v>
      </c>
      <c r="I149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5" s="17"/>
      <c r="M1495" s="1">
        <f t="shared" ref="M1495:M1558" si="150">$V$1</f>
        <v>0</v>
      </c>
      <c r="N1495" t="b">
        <f t="shared" ref="N1495:N1558" si="151">IF(ISNUMBER($BP1495), $BP1495, FALSE)</f>
        <v>0</v>
      </c>
      <c r="P1495" s="17" cm="1">
        <f t="array" aca="1" ref="P1495" ca="1">IndividualLegIVCore($A$4, Table13345678[[#This Row],[Strike]], 0.0411, Table13345678[[#This Row],[T]], ((Table13345678[[#This Row],[BIDP]]+Table13345678[[#This Row],[ASKP]])/2), FALSE)</f>
        <v>0.01</v>
      </c>
      <c r="Q149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5" s="17"/>
      <c r="T149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5" s="19">
        <f>-18* IF($M$1="NDX", 10, IF(OR($M$1="SPX", $M$1="RUT"), 2, 1))</f>
        <v>-36</v>
      </c>
      <c r="Z1495">
        <f ca="1">IFERROR(Table13345678[[#This Row],[call gamma]]*(Table13345678[[#This Row],[Open.Int]])*$A$4^2,0)</f>
        <v>0</v>
      </c>
      <c r="AA1495">
        <f ca="1">IFERROR(((Table13345678[[#This Row],[Open.Int8]])*Table13345678[[#This Row],[Put gamma]])*-1*$A$4^2,0)</f>
        <v>0</v>
      </c>
      <c r="AB1495">
        <f ca="1">(Table13345678[[#This Row],[Call Gex]]+Table13345678[[#This Row],[Put Gex]])</f>
        <v>0</v>
      </c>
      <c r="AC1495">
        <f ca="1">Table13345678[[#This Row],[put delta adj]]+Table13345678[[#This Row],[call delta adj]]</f>
        <v>0</v>
      </c>
      <c r="AD1495">
        <f ca="1">Table13345678[[#This Row],[Put Gex]]*Table13345678[[#This Row],[DeltaP]]*-1</f>
        <v>0</v>
      </c>
      <c r="AE1495">
        <f ca="1">Table13345678[[#This Row],[Call Gex]]*Table13345678[[#This Row],[DeltaC]]</f>
        <v>0</v>
      </c>
      <c r="AF1495">
        <f>IF(Table13345678[[#This Row],[DeltaC]]-ABS(Table13345678[[#This Row],[DeltaP]])="0","0.01",Table13345678[[#This Row],[DeltaC]]-ABS(Table13345678[[#This Row],[DeltaP]]))</f>
        <v>0</v>
      </c>
      <c r="AG149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5" t="e">
        <f ca="1">(EXP(-(AG1495^2)/2)/SQRT(2*PI())*EXP(0*SQRT(Table13345678[[#This Row],[T]]))/$A$4*18%*SQRT(SQRT(Table13345678[[#This Row],[T]])))</f>
        <v>#DIV/0!</v>
      </c>
      <c r="AJ1495" t="e">
        <f ca="1">(EXP(-(AH1495^2)/2)/SQRT(2*PI())*EXP(0*SQRT(Table13345678[[#This Row],[T]]))/$A$4*18%*SQRT(SQRT(Table13345678[[#This Row],[T]])))</f>
        <v>#DIV/0!</v>
      </c>
      <c r="AK1495" t="e">
        <f ca="1">Table13345678[[#This Row],[Call D1]]-Table13345678[[#This Row],[IV Calc C]]*SQRT(Table13345678[[#This Row],[T]])</f>
        <v>#DIV/0!</v>
      </c>
      <c r="AL1495" t="e">
        <f ca="1">Table13345678[[#This Row],[Put D1]]-Table13345678[[#This Row],[IV Calc P]]*SQRT(Table13345678[[#This Row],[T]])</f>
        <v>#DIV/0!</v>
      </c>
      <c r="AM1495" t="e">
        <f ca="1">EXP(-0.5*Table13345678[[#This Row],[Call D1]]^2)/SQRT(2*PI())</f>
        <v>#DIV/0!</v>
      </c>
      <c r="AN1495" t="e">
        <f ca="1">EXP(-0.5*Table13345678[[#This Row],[Put D1]]^2)/SQRT(2*PI())</f>
        <v>#DIV/0!</v>
      </c>
      <c r="AO149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5">
        <f ca="1">((Table13345678[[#This Row],[call vanna]]+Table13345678[[#This Row],[put vanna]])*$A$4)</f>
        <v>0</v>
      </c>
      <c r="AR149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5" s="9" t="str" cm="1">
        <f t="array" ref="AT1495">_xlfn.IFS(     $M$1="SPX","SPXW",     $M$1="RUT","RUTW",  $M$1="NDX","NDXP",   TRUE,$M$1 )</f>
        <v>SPXW</v>
      </c>
      <c r="AU1495" s="2">
        <f t="shared" ref="AU1495:AU1558" si="152">$N$1</f>
        <v>6915</v>
      </c>
      <c r="AV1495" t="str">
        <f t="shared" ref="AV1495:AV1558" si="153">$V$2</f>
        <v>000100</v>
      </c>
      <c r="AY149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5">
        <f>((Table13345678[[#This Row],[High C]]+Table13345678[[#This Row],[Low C]])/2)*Table13345678[[#This Row],[gammac]]*Table13345678[[#This Row],[Volume]]</f>
        <v>0</v>
      </c>
      <c r="BD1495">
        <f>((Table13345678[[#This Row],[High P]]+Table13345678[[#This Row],[Low P]])/2)*Table13345678[[#This Row],[gammap]]*Table13345678[[#This Row],[Volume9]]*-1</f>
        <v>0</v>
      </c>
      <c r="BE1495">
        <f>(Table13345678[[#This Row],[SgammaC]]+Table13345678[[#This Row],[SgammaP]])*$A$4*-100</f>
        <v>0</v>
      </c>
      <c r="BF1495">
        <f>Table13345678[[#This Row],[DEXc]]+Table13345678[[#This Row],[DEXp]]</f>
        <v>0</v>
      </c>
      <c r="BG1495" s="78">
        <f>IFERROR(Table13345678[[#This Row],[DeltaC]]*Table13345678[[#This Row],[Open.Int]]*$A$4,0)</f>
        <v>0</v>
      </c>
      <c r="BH1495">
        <f>IFERROR(Table13345678[[#This Row],[DeltaP]]*Table13345678[[#This Row],[Open.Int8]]*$A$4,0)</f>
        <v>0</v>
      </c>
      <c r="BI149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5">
        <f ca="1">Table13345678[[#This Row],[charmc]]+Table13345678[[#This Row],[charmp]]</f>
        <v>0</v>
      </c>
      <c r="BL149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5" s="78">
        <f ca="1">Table13345678[[#This Row],[call helper]]+Table13345678[[#This Row],[put helper]]</f>
        <v>0</v>
      </c>
      <c r="BP149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6" spans="1:68" x14ac:dyDescent="0.25">
      <c r="A1496" s="14">
        <f t="shared" ca="1" si="149"/>
        <v>-126.14810350076104</v>
      </c>
      <c r="C1496" s="17"/>
      <c r="D1496" t="str">
        <f>RTD("tos.rtd", , "OPEN_INT", "."&amp;Table13345678[[#This Row],[Ticker]]&amp;Table13345678[[#This Row],[Expiry]]&amp;""&amp;"C"&amp;Table13345678[[#This Row],[Spot]]+Table13345678[[#This Row],[step]])</f>
        <v>N/A</v>
      </c>
      <c r="E149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6" s="17" cm="1">
        <f t="array" aca="1" ref="H1496" ca="1">IndividualLegIVCore($A$4, Table13345678[[#This Row],[Strike]], 0.0411, Table13345678[[#This Row],[T]], ((Table13345678[[#This Row],[BIDC]]+Table13345678[[#This Row],[ASKC]])/2), TRUE)</f>
        <v>0.01</v>
      </c>
      <c r="I149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6" s="17"/>
      <c r="M1496" s="1">
        <f t="shared" si="150"/>
        <v>0</v>
      </c>
      <c r="N1496" t="b">
        <f t="shared" si="151"/>
        <v>0</v>
      </c>
      <c r="P1496" s="17" cm="1">
        <f t="array" aca="1" ref="P1496" ca="1">IndividualLegIVCore($A$4, Table13345678[[#This Row],[Strike]], 0.0411, Table13345678[[#This Row],[T]], ((Table13345678[[#This Row],[BIDP]]+Table13345678[[#This Row],[ASKP]])/2), FALSE)</f>
        <v>0.01</v>
      </c>
      <c r="Q149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6" s="17"/>
      <c r="T149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6" s="19">
        <f>-17.5* IF($M$1="NDX", 10, IF(OR($M$1="SPX", $M$1="RUT"), 2, 1))</f>
        <v>-35</v>
      </c>
      <c r="Z1496">
        <f ca="1">IFERROR(Table13345678[[#This Row],[call gamma]]*(Table13345678[[#This Row],[Open.Int]])*$A$4^2,0)</f>
        <v>0</v>
      </c>
      <c r="AA1496">
        <f ca="1">IFERROR(((Table13345678[[#This Row],[Open.Int8]])*Table13345678[[#This Row],[Put gamma]])*-1*$A$4^2,0)</f>
        <v>0</v>
      </c>
      <c r="AB1496">
        <f ca="1">(Table13345678[[#This Row],[Call Gex]]+Table13345678[[#This Row],[Put Gex]])</f>
        <v>0</v>
      </c>
      <c r="AC1496">
        <f ca="1">Table13345678[[#This Row],[put delta adj]]+Table13345678[[#This Row],[call delta adj]]</f>
        <v>0</v>
      </c>
      <c r="AD1496">
        <f ca="1">Table13345678[[#This Row],[Put Gex]]*Table13345678[[#This Row],[DeltaP]]*-1</f>
        <v>0</v>
      </c>
      <c r="AE1496">
        <f ca="1">Table13345678[[#This Row],[Call Gex]]*Table13345678[[#This Row],[DeltaC]]</f>
        <v>0</v>
      </c>
      <c r="AF1496">
        <f>IF(Table13345678[[#This Row],[DeltaC]]-ABS(Table13345678[[#This Row],[DeltaP]])="0","0.01",Table13345678[[#This Row],[DeltaC]]-ABS(Table13345678[[#This Row],[DeltaP]]))</f>
        <v>0</v>
      </c>
      <c r="AG149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6" t="e">
        <f ca="1">(EXP(-(AG1496^2)/2)/SQRT(2*PI())*EXP(0*SQRT(Table13345678[[#This Row],[T]]))/$A$4*18%*SQRT(SQRT(Table13345678[[#This Row],[T]])))</f>
        <v>#DIV/0!</v>
      </c>
      <c r="AJ1496" t="e">
        <f ca="1">(EXP(-(AH1496^2)/2)/SQRT(2*PI())*EXP(0*SQRT(Table13345678[[#This Row],[T]]))/$A$4*18%*SQRT(SQRT(Table13345678[[#This Row],[T]])))</f>
        <v>#DIV/0!</v>
      </c>
      <c r="AK1496" t="e">
        <f ca="1">Table13345678[[#This Row],[Call D1]]-Table13345678[[#This Row],[IV Calc C]]*SQRT(Table13345678[[#This Row],[T]])</f>
        <v>#DIV/0!</v>
      </c>
      <c r="AL1496" t="e">
        <f ca="1">Table13345678[[#This Row],[Put D1]]-Table13345678[[#This Row],[IV Calc P]]*SQRT(Table13345678[[#This Row],[T]])</f>
        <v>#DIV/0!</v>
      </c>
      <c r="AM1496" t="e">
        <f ca="1">EXP(-0.5*Table13345678[[#This Row],[Call D1]]^2)/SQRT(2*PI())</f>
        <v>#DIV/0!</v>
      </c>
      <c r="AN1496" t="e">
        <f ca="1">EXP(-0.5*Table13345678[[#This Row],[Put D1]]^2)/SQRT(2*PI())</f>
        <v>#DIV/0!</v>
      </c>
      <c r="AO149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6">
        <f ca="1">((Table13345678[[#This Row],[call vanna]]+Table13345678[[#This Row],[put vanna]])*$A$4)</f>
        <v>0</v>
      </c>
      <c r="AR149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6" s="9" t="str" cm="1">
        <f t="array" ref="AT1496">_xlfn.IFS(     $M$1="SPX","SPXW",     $M$1="RUT","RUTW",  $M$1="NDX","NDXP",   TRUE,$M$1 )</f>
        <v>SPXW</v>
      </c>
      <c r="AU1496" s="2">
        <f t="shared" si="152"/>
        <v>6915</v>
      </c>
      <c r="AV1496" t="str">
        <f t="shared" si="153"/>
        <v>000100</v>
      </c>
      <c r="AY149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6">
        <f>((Table13345678[[#This Row],[High C]]+Table13345678[[#This Row],[Low C]])/2)*Table13345678[[#This Row],[gammac]]*Table13345678[[#This Row],[Volume]]</f>
        <v>0</v>
      </c>
      <c r="BD1496">
        <f>((Table13345678[[#This Row],[High P]]+Table13345678[[#This Row],[Low P]])/2)*Table13345678[[#This Row],[gammap]]*Table13345678[[#This Row],[Volume9]]*-1</f>
        <v>0</v>
      </c>
      <c r="BE1496">
        <f>(Table13345678[[#This Row],[SgammaC]]+Table13345678[[#This Row],[SgammaP]])*$A$4*-100</f>
        <v>0</v>
      </c>
      <c r="BF1496">
        <f>Table13345678[[#This Row],[DEXc]]+Table13345678[[#This Row],[DEXp]]</f>
        <v>0</v>
      </c>
      <c r="BG1496" s="78">
        <f>IFERROR(Table13345678[[#This Row],[DeltaC]]*Table13345678[[#This Row],[Open.Int]]*$A$4,0)</f>
        <v>0</v>
      </c>
      <c r="BH1496">
        <f>IFERROR(Table13345678[[#This Row],[DeltaP]]*Table13345678[[#This Row],[Open.Int8]]*$A$4,0)</f>
        <v>0</v>
      </c>
      <c r="BI149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6">
        <f ca="1">Table13345678[[#This Row],[charmc]]+Table13345678[[#This Row],[charmp]]</f>
        <v>0</v>
      </c>
      <c r="BL149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6" s="78">
        <f ca="1">Table13345678[[#This Row],[call helper]]+Table13345678[[#This Row],[put helper]]</f>
        <v>0</v>
      </c>
      <c r="BP149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7" spans="1:68" x14ac:dyDescent="0.25">
      <c r="A1497" s="14">
        <f t="shared" ca="1" si="149"/>
        <v>-126.14810350076104</v>
      </c>
      <c r="C1497" s="17"/>
      <c r="D1497" t="str">
        <f>RTD("tos.rtd", , "OPEN_INT", "."&amp;Table13345678[[#This Row],[Ticker]]&amp;Table13345678[[#This Row],[Expiry]]&amp;""&amp;"C"&amp;Table13345678[[#This Row],[Spot]]+Table13345678[[#This Row],[step]])</f>
        <v>N/A</v>
      </c>
      <c r="E149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7" s="17" cm="1">
        <f t="array" aca="1" ref="H1497" ca="1">IndividualLegIVCore($A$4, Table13345678[[#This Row],[Strike]], 0.0411, Table13345678[[#This Row],[T]], ((Table13345678[[#This Row],[BIDC]]+Table13345678[[#This Row],[ASKC]])/2), TRUE)</f>
        <v>0.01</v>
      </c>
      <c r="I149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7" s="17"/>
      <c r="M1497" s="1">
        <f t="shared" si="150"/>
        <v>0</v>
      </c>
      <c r="N1497" t="b">
        <f t="shared" si="151"/>
        <v>0</v>
      </c>
      <c r="P1497" s="17" cm="1">
        <f t="array" aca="1" ref="P1497" ca="1">IndividualLegIVCore($A$4, Table13345678[[#This Row],[Strike]], 0.0411, Table13345678[[#This Row],[T]], ((Table13345678[[#This Row],[BIDP]]+Table13345678[[#This Row],[ASKP]])/2), FALSE)</f>
        <v>0.01</v>
      </c>
      <c r="Q149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7" s="17"/>
      <c r="T149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7" s="19">
        <f>-17* IF($M$1="NDX", 10, IF(OR($M$1="SPX", $M$1="RUT"), 2, 1))</f>
        <v>-34</v>
      </c>
      <c r="Z1497">
        <f ca="1">IFERROR(Table13345678[[#This Row],[call gamma]]*(Table13345678[[#This Row],[Open.Int]])*$A$4^2,0)</f>
        <v>0</v>
      </c>
      <c r="AA1497">
        <f ca="1">IFERROR(((Table13345678[[#This Row],[Open.Int8]])*Table13345678[[#This Row],[Put gamma]])*-1*$A$4^2,0)</f>
        <v>0</v>
      </c>
      <c r="AB1497">
        <f ca="1">(Table13345678[[#This Row],[Call Gex]]+Table13345678[[#This Row],[Put Gex]])</f>
        <v>0</v>
      </c>
      <c r="AC1497">
        <f ca="1">Table13345678[[#This Row],[put delta adj]]+Table13345678[[#This Row],[call delta adj]]</f>
        <v>0</v>
      </c>
      <c r="AD1497">
        <f ca="1">Table13345678[[#This Row],[Put Gex]]*Table13345678[[#This Row],[DeltaP]]*-1</f>
        <v>0</v>
      </c>
      <c r="AE1497">
        <f ca="1">Table13345678[[#This Row],[Call Gex]]*Table13345678[[#This Row],[DeltaC]]</f>
        <v>0</v>
      </c>
      <c r="AF1497">
        <f>IF(Table13345678[[#This Row],[DeltaC]]-ABS(Table13345678[[#This Row],[DeltaP]])="0","0.01",Table13345678[[#This Row],[DeltaC]]-ABS(Table13345678[[#This Row],[DeltaP]]))</f>
        <v>0</v>
      </c>
      <c r="AG149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7" t="e">
        <f ca="1">(EXP(-(AG1497^2)/2)/SQRT(2*PI())*EXP(0*SQRT(Table13345678[[#This Row],[T]]))/$A$4*18%*SQRT(SQRT(Table13345678[[#This Row],[T]])))</f>
        <v>#DIV/0!</v>
      </c>
      <c r="AJ1497" t="e">
        <f ca="1">(EXP(-(AH1497^2)/2)/SQRT(2*PI())*EXP(0*SQRT(Table13345678[[#This Row],[T]]))/$A$4*18%*SQRT(SQRT(Table13345678[[#This Row],[T]])))</f>
        <v>#DIV/0!</v>
      </c>
      <c r="AK1497" t="e">
        <f ca="1">Table13345678[[#This Row],[Call D1]]-Table13345678[[#This Row],[IV Calc C]]*SQRT(Table13345678[[#This Row],[T]])</f>
        <v>#DIV/0!</v>
      </c>
      <c r="AL1497" t="e">
        <f ca="1">Table13345678[[#This Row],[Put D1]]-Table13345678[[#This Row],[IV Calc P]]*SQRT(Table13345678[[#This Row],[T]])</f>
        <v>#DIV/0!</v>
      </c>
      <c r="AM1497" t="e">
        <f ca="1">EXP(-0.5*Table13345678[[#This Row],[Call D1]]^2)/SQRT(2*PI())</f>
        <v>#DIV/0!</v>
      </c>
      <c r="AN1497" t="e">
        <f ca="1">EXP(-0.5*Table13345678[[#This Row],[Put D1]]^2)/SQRT(2*PI())</f>
        <v>#DIV/0!</v>
      </c>
      <c r="AO149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7">
        <f ca="1">((Table13345678[[#This Row],[call vanna]]+Table13345678[[#This Row],[put vanna]])*$A$4)</f>
        <v>0</v>
      </c>
      <c r="AR149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7" s="9" t="str" cm="1">
        <f t="array" ref="AT1497">_xlfn.IFS(     $M$1="SPX","SPXW",     $M$1="RUT","RUTW",  $M$1="NDX","NDXP",   TRUE,$M$1 )</f>
        <v>SPXW</v>
      </c>
      <c r="AU1497" s="2">
        <f t="shared" si="152"/>
        <v>6915</v>
      </c>
      <c r="AV1497" t="str">
        <f t="shared" si="153"/>
        <v>000100</v>
      </c>
      <c r="AY149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7">
        <f>((Table13345678[[#This Row],[High C]]+Table13345678[[#This Row],[Low C]])/2)*Table13345678[[#This Row],[gammac]]*Table13345678[[#This Row],[Volume]]</f>
        <v>0</v>
      </c>
      <c r="BD1497">
        <f>((Table13345678[[#This Row],[High P]]+Table13345678[[#This Row],[Low P]])/2)*Table13345678[[#This Row],[gammap]]*Table13345678[[#This Row],[Volume9]]*-1</f>
        <v>0</v>
      </c>
      <c r="BE1497">
        <f>(Table13345678[[#This Row],[SgammaC]]+Table13345678[[#This Row],[SgammaP]])*$A$4*-100</f>
        <v>0</v>
      </c>
      <c r="BF1497">
        <f>Table13345678[[#This Row],[DEXc]]+Table13345678[[#This Row],[DEXp]]</f>
        <v>0</v>
      </c>
      <c r="BG1497" s="78">
        <f>IFERROR(Table13345678[[#This Row],[DeltaC]]*Table13345678[[#This Row],[Open.Int]]*$A$4,0)</f>
        <v>0</v>
      </c>
      <c r="BH1497">
        <f>IFERROR(Table13345678[[#This Row],[DeltaP]]*Table13345678[[#This Row],[Open.Int8]]*$A$4,0)</f>
        <v>0</v>
      </c>
      <c r="BI149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7">
        <f ca="1">Table13345678[[#This Row],[charmc]]+Table13345678[[#This Row],[charmp]]</f>
        <v>0</v>
      </c>
      <c r="BL149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7" s="78">
        <f ca="1">Table13345678[[#This Row],[call helper]]+Table13345678[[#This Row],[put helper]]</f>
        <v>0</v>
      </c>
      <c r="BP149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8" spans="1:68" x14ac:dyDescent="0.25">
      <c r="A1498" s="14">
        <f t="shared" ca="1" si="149"/>
        <v>-126.14810350076104</v>
      </c>
      <c r="C1498" s="17"/>
      <c r="D1498" t="str">
        <f>RTD("tos.rtd", , "OPEN_INT", "."&amp;Table13345678[[#This Row],[Ticker]]&amp;Table13345678[[#This Row],[Expiry]]&amp;""&amp;"C"&amp;Table13345678[[#This Row],[Spot]]+Table13345678[[#This Row],[step]])</f>
        <v>N/A</v>
      </c>
      <c r="E149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8" s="17" cm="1">
        <f t="array" aca="1" ref="H1498" ca="1">IndividualLegIVCore($A$4, Table13345678[[#This Row],[Strike]], 0.0411, Table13345678[[#This Row],[T]], ((Table13345678[[#This Row],[BIDC]]+Table13345678[[#This Row],[ASKC]])/2), TRUE)</f>
        <v>0.01</v>
      </c>
      <c r="I149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8" s="17"/>
      <c r="M1498" s="1">
        <f t="shared" si="150"/>
        <v>0</v>
      </c>
      <c r="N1498" t="b">
        <f t="shared" si="151"/>
        <v>0</v>
      </c>
      <c r="P1498" s="17" cm="1">
        <f t="array" aca="1" ref="P1498" ca="1">IndividualLegIVCore($A$4, Table13345678[[#This Row],[Strike]], 0.0411, Table13345678[[#This Row],[T]], ((Table13345678[[#This Row],[BIDP]]+Table13345678[[#This Row],[ASKP]])/2), FALSE)</f>
        <v>0.01</v>
      </c>
      <c r="Q149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8" s="17"/>
      <c r="T149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8" s="19">
        <f>-16.5* IF($M$1="NDX", 10, IF(OR($M$1="SPX", $M$1="RUT"), 2, 1))</f>
        <v>-33</v>
      </c>
      <c r="Z1498">
        <f ca="1">IFERROR(Table13345678[[#This Row],[call gamma]]*(Table13345678[[#This Row],[Open.Int]])*$A$4^2,0)</f>
        <v>0</v>
      </c>
      <c r="AA1498">
        <f ca="1">IFERROR(((Table13345678[[#This Row],[Open.Int8]])*Table13345678[[#This Row],[Put gamma]])*-1*$A$4^2,0)</f>
        <v>0</v>
      </c>
      <c r="AB1498">
        <f ca="1">(Table13345678[[#This Row],[Call Gex]]+Table13345678[[#This Row],[Put Gex]])</f>
        <v>0</v>
      </c>
      <c r="AC1498">
        <f ca="1">Table13345678[[#This Row],[put delta adj]]+Table13345678[[#This Row],[call delta adj]]</f>
        <v>0</v>
      </c>
      <c r="AD1498">
        <f ca="1">Table13345678[[#This Row],[Put Gex]]*Table13345678[[#This Row],[DeltaP]]*-1</f>
        <v>0</v>
      </c>
      <c r="AE1498">
        <f ca="1">Table13345678[[#This Row],[Call Gex]]*Table13345678[[#This Row],[DeltaC]]</f>
        <v>0</v>
      </c>
      <c r="AF1498">
        <f>IF(Table13345678[[#This Row],[DeltaC]]-ABS(Table13345678[[#This Row],[DeltaP]])="0","0.01",Table13345678[[#This Row],[DeltaC]]-ABS(Table13345678[[#This Row],[DeltaP]]))</f>
        <v>0</v>
      </c>
      <c r="AG149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8" t="e">
        <f ca="1">(EXP(-(AG1498^2)/2)/SQRT(2*PI())*EXP(0*SQRT(Table13345678[[#This Row],[T]]))/$A$4*18%*SQRT(SQRT(Table13345678[[#This Row],[T]])))</f>
        <v>#DIV/0!</v>
      </c>
      <c r="AJ1498" t="e">
        <f ca="1">(EXP(-(AH1498^2)/2)/SQRT(2*PI())*EXP(0*SQRT(Table13345678[[#This Row],[T]]))/$A$4*18%*SQRT(SQRT(Table13345678[[#This Row],[T]])))</f>
        <v>#DIV/0!</v>
      </c>
      <c r="AK1498" t="e">
        <f ca="1">Table13345678[[#This Row],[Call D1]]-Table13345678[[#This Row],[IV Calc C]]*SQRT(Table13345678[[#This Row],[T]])</f>
        <v>#DIV/0!</v>
      </c>
      <c r="AL1498" t="e">
        <f ca="1">Table13345678[[#This Row],[Put D1]]-Table13345678[[#This Row],[IV Calc P]]*SQRT(Table13345678[[#This Row],[T]])</f>
        <v>#DIV/0!</v>
      </c>
      <c r="AM1498" t="e">
        <f ca="1">EXP(-0.5*Table13345678[[#This Row],[Call D1]]^2)/SQRT(2*PI())</f>
        <v>#DIV/0!</v>
      </c>
      <c r="AN1498" t="e">
        <f ca="1">EXP(-0.5*Table13345678[[#This Row],[Put D1]]^2)/SQRT(2*PI())</f>
        <v>#DIV/0!</v>
      </c>
      <c r="AO149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8">
        <f ca="1">((Table13345678[[#This Row],[call vanna]]+Table13345678[[#This Row],[put vanna]])*$A$4)</f>
        <v>0</v>
      </c>
      <c r="AR149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8" s="9" t="str" cm="1">
        <f t="array" ref="AT1498">_xlfn.IFS(     $M$1="SPX","SPXW",     $M$1="RUT","RUTW",  $M$1="NDX","NDXP",   TRUE,$M$1 )</f>
        <v>SPXW</v>
      </c>
      <c r="AU1498" s="2">
        <f t="shared" si="152"/>
        <v>6915</v>
      </c>
      <c r="AV1498" t="str">
        <f t="shared" si="153"/>
        <v>000100</v>
      </c>
      <c r="AY149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8">
        <f>((Table13345678[[#This Row],[High C]]+Table13345678[[#This Row],[Low C]])/2)*Table13345678[[#This Row],[gammac]]*Table13345678[[#This Row],[Volume]]</f>
        <v>0</v>
      </c>
      <c r="BD1498">
        <f>((Table13345678[[#This Row],[High P]]+Table13345678[[#This Row],[Low P]])/2)*Table13345678[[#This Row],[gammap]]*Table13345678[[#This Row],[Volume9]]*-1</f>
        <v>0</v>
      </c>
      <c r="BE1498">
        <f>(Table13345678[[#This Row],[SgammaC]]+Table13345678[[#This Row],[SgammaP]])*$A$4*-100</f>
        <v>0</v>
      </c>
      <c r="BF1498">
        <f>Table13345678[[#This Row],[DEXc]]+Table13345678[[#This Row],[DEXp]]</f>
        <v>0</v>
      </c>
      <c r="BG1498" s="78">
        <f>IFERROR(Table13345678[[#This Row],[DeltaC]]*Table13345678[[#This Row],[Open.Int]]*$A$4,0)</f>
        <v>0</v>
      </c>
      <c r="BH1498">
        <f>IFERROR(Table13345678[[#This Row],[DeltaP]]*Table13345678[[#This Row],[Open.Int8]]*$A$4,0)</f>
        <v>0</v>
      </c>
      <c r="BI149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8">
        <f ca="1">Table13345678[[#This Row],[charmc]]+Table13345678[[#This Row],[charmp]]</f>
        <v>0</v>
      </c>
      <c r="BL149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8" s="78">
        <f ca="1">Table13345678[[#This Row],[call helper]]+Table13345678[[#This Row],[put helper]]</f>
        <v>0</v>
      </c>
      <c r="BP149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9" spans="1:68" x14ac:dyDescent="0.25">
      <c r="A1499" s="14">
        <f t="shared" ca="1" si="149"/>
        <v>-126.14810350076104</v>
      </c>
      <c r="C1499" s="17"/>
      <c r="D1499" t="str">
        <f>RTD("tos.rtd", , "OPEN_INT", "."&amp;Table13345678[[#This Row],[Ticker]]&amp;Table13345678[[#This Row],[Expiry]]&amp;""&amp;"C"&amp;Table13345678[[#This Row],[Spot]]+Table13345678[[#This Row],[step]])</f>
        <v>N/A</v>
      </c>
      <c r="E149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9" s="17" cm="1">
        <f t="array" aca="1" ref="H1499" ca="1">IndividualLegIVCore($A$4, Table13345678[[#This Row],[Strike]], 0.0411, Table13345678[[#This Row],[T]], ((Table13345678[[#This Row],[BIDC]]+Table13345678[[#This Row],[ASKC]])/2), TRUE)</f>
        <v>0.01</v>
      </c>
      <c r="I149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9" s="17"/>
      <c r="M1499" s="1">
        <f t="shared" si="150"/>
        <v>0</v>
      </c>
      <c r="N1499" t="b">
        <f t="shared" si="151"/>
        <v>0</v>
      </c>
      <c r="P1499" s="17" cm="1">
        <f t="array" aca="1" ref="P1499" ca="1">IndividualLegIVCore($A$4, Table13345678[[#This Row],[Strike]], 0.0411, Table13345678[[#This Row],[T]], ((Table13345678[[#This Row],[BIDP]]+Table13345678[[#This Row],[ASKP]])/2), FALSE)</f>
        <v>0.01</v>
      </c>
      <c r="Q149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9" s="17"/>
      <c r="T149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9" s="19">
        <f>-16* IF($M$1="NDX", 10, IF(OR($M$1="SPX", $M$1="RUT"), 2, 1))</f>
        <v>-32</v>
      </c>
      <c r="Z1499">
        <f ca="1">IFERROR(Table13345678[[#This Row],[call gamma]]*(Table13345678[[#This Row],[Open.Int]])*$A$4^2,0)</f>
        <v>0</v>
      </c>
      <c r="AA1499">
        <f ca="1">IFERROR(((Table13345678[[#This Row],[Open.Int8]])*Table13345678[[#This Row],[Put gamma]])*-1*$A$4^2,0)</f>
        <v>0</v>
      </c>
      <c r="AB1499">
        <f ca="1">(Table13345678[[#This Row],[Call Gex]]+Table13345678[[#This Row],[Put Gex]])</f>
        <v>0</v>
      </c>
      <c r="AC1499">
        <f ca="1">Table13345678[[#This Row],[put delta adj]]+Table13345678[[#This Row],[call delta adj]]</f>
        <v>0</v>
      </c>
      <c r="AD1499">
        <f ca="1">Table13345678[[#This Row],[Put Gex]]*Table13345678[[#This Row],[DeltaP]]*-1</f>
        <v>0</v>
      </c>
      <c r="AE1499">
        <f ca="1">Table13345678[[#This Row],[Call Gex]]*Table13345678[[#This Row],[DeltaC]]</f>
        <v>0</v>
      </c>
      <c r="AF1499">
        <f>IF(Table13345678[[#This Row],[DeltaC]]-ABS(Table13345678[[#This Row],[DeltaP]])="0","0.01",Table13345678[[#This Row],[DeltaC]]-ABS(Table13345678[[#This Row],[DeltaP]]))</f>
        <v>0</v>
      </c>
      <c r="AG149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9" t="e">
        <f ca="1">(EXP(-(AG1499^2)/2)/SQRT(2*PI())*EXP(0*SQRT(Table13345678[[#This Row],[T]]))/$A$4*18%*SQRT(SQRT(Table13345678[[#This Row],[T]])))</f>
        <v>#DIV/0!</v>
      </c>
      <c r="AJ1499" t="e">
        <f ca="1">(EXP(-(AH1499^2)/2)/SQRT(2*PI())*EXP(0*SQRT(Table13345678[[#This Row],[T]]))/$A$4*18%*SQRT(SQRT(Table13345678[[#This Row],[T]])))</f>
        <v>#DIV/0!</v>
      </c>
      <c r="AK1499" t="e">
        <f ca="1">Table13345678[[#This Row],[Call D1]]-Table13345678[[#This Row],[IV Calc C]]*SQRT(Table13345678[[#This Row],[T]])</f>
        <v>#DIV/0!</v>
      </c>
      <c r="AL1499" t="e">
        <f ca="1">Table13345678[[#This Row],[Put D1]]-Table13345678[[#This Row],[IV Calc P]]*SQRT(Table13345678[[#This Row],[T]])</f>
        <v>#DIV/0!</v>
      </c>
      <c r="AM1499" t="e">
        <f ca="1">EXP(-0.5*Table13345678[[#This Row],[Call D1]]^2)/SQRT(2*PI())</f>
        <v>#DIV/0!</v>
      </c>
      <c r="AN1499" t="e">
        <f ca="1">EXP(-0.5*Table13345678[[#This Row],[Put D1]]^2)/SQRT(2*PI())</f>
        <v>#DIV/0!</v>
      </c>
      <c r="AO149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9">
        <f ca="1">((Table13345678[[#This Row],[call vanna]]+Table13345678[[#This Row],[put vanna]])*$A$4)</f>
        <v>0</v>
      </c>
      <c r="AR149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9" s="9" t="str" cm="1">
        <f t="array" ref="AT1499">_xlfn.IFS(     $M$1="SPX","SPXW",     $M$1="RUT","RUTW",  $M$1="NDX","NDXP",   TRUE,$M$1 )</f>
        <v>SPXW</v>
      </c>
      <c r="AU1499" s="2">
        <f t="shared" si="152"/>
        <v>6915</v>
      </c>
      <c r="AV1499" t="str">
        <f t="shared" si="153"/>
        <v>000100</v>
      </c>
      <c r="AY149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9">
        <f>((Table13345678[[#This Row],[High C]]+Table13345678[[#This Row],[Low C]])/2)*Table13345678[[#This Row],[gammac]]*Table13345678[[#This Row],[Volume]]</f>
        <v>0</v>
      </c>
      <c r="BD1499">
        <f>((Table13345678[[#This Row],[High P]]+Table13345678[[#This Row],[Low P]])/2)*Table13345678[[#This Row],[gammap]]*Table13345678[[#This Row],[Volume9]]*-1</f>
        <v>0</v>
      </c>
      <c r="BE1499">
        <f>(Table13345678[[#This Row],[SgammaC]]+Table13345678[[#This Row],[SgammaP]])*$A$4*-100</f>
        <v>0</v>
      </c>
      <c r="BF1499">
        <f>Table13345678[[#This Row],[DEXc]]+Table13345678[[#This Row],[DEXp]]</f>
        <v>0</v>
      </c>
      <c r="BG1499" s="78">
        <f>IFERROR(Table13345678[[#This Row],[DeltaC]]*Table13345678[[#This Row],[Open.Int]]*$A$4,0)</f>
        <v>0</v>
      </c>
      <c r="BH1499">
        <f>IFERROR(Table13345678[[#This Row],[DeltaP]]*Table13345678[[#This Row],[Open.Int8]]*$A$4,0)</f>
        <v>0</v>
      </c>
      <c r="BI149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9">
        <f ca="1">Table13345678[[#This Row],[charmc]]+Table13345678[[#This Row],[charmp]]</f>
        <v>0</v>
      </c>
      <c r="BL149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9" s="78">
        <f ca="1">Table13345678[[#This Row],[call helper]]+Table13345678[[#This Row],[put helper]]</f>
        <v>0</v>
      </c>
      <c r="BP149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0" spans="1:68" x14ac:dyDescent="0.25">
      <c r="A1500" s="14">
        <f t="shared" ca="1" si="149"/>
        <v>-126.14810350076104</v>
      </c>
      <c r="C1500" s="17"/>
      <c r="D1500" t="str">
        <f>RTD("tos.rtd", , "OPEN_INT", "."&amp;Table13345678[[#This Row],[Ticker]]&amp;Table13345678[[#This Row],[Expiry]]&amp;""&amp;"C"&amp;Table13345678[[#This Row],[Spot]]+Table13345678[[#This Row],[step]])</f>
        <v>N/A</v>
      </c>
      <c r="E150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0" s="17" cm="1">
        <f t="array" aca="1" ref="H1500" ca="1">IndividualLegIVCore($A$4, Table13345678[[#This Row],[Strike]], 0.0411, Table13345678[[#This Row],[T]], ((Table13345678[[#This Row],[BIDC]]+Table13345678[[#This Row],[ASKC]])/2), TRUE)</f>
        <v>0.01</v>
      </c>
      <c r="I150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0" s="17"/>
      <c r="M1500" s="1">
        <f t="shared" si="150"/>
        <v>0</v>
      </c>
      <c r="N1500" t="b">
        <f t="shared" si="151"/>
        <v>0</v>
      </c>
      <c r="P1500" s="17" cm="1">
        <f t="array" aca="1" ref="P1500" ca="1">IndividualLegIVCore($A$4, Table13345678[[#This Row],[Strike]], 0.0411, Table13345678[[#This Row],[T]], ((Table13345678[[#This Row],[BIDP]]+Table13345678[[#This Row],[ASKP]])/2), FALSE)</f>
        <v>0.01</v>
      </c>
      <c r="Q150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0" s="17"/>
      <c r="T150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0" s="21">
        <f>-15.5* IF($M$1="NDX", 10, IF(OR($M$1="SPX", $M$1="RUT"), 2, 1))</f>
        <v>-31</v>
      </c>
      <c r="Z1500">
        <f ca="1">IFERROR(Table13345678[[#This Row],[call gamma]]*(Table13345678[[#This Row],[Open.Int]])*$A$4^2,0)</f>
        <v>0</v>
      </c>
      <c r="AA1500">
        <f ca="1">IFERROR(((Table13345678[[#This Row],[Open.Int8]])*Table13345678[[#This Row],[Put gamma]])*-1*$A$4^2,0)</f>
        <v>0</v>
      </c>
      <c r="AB1500">
        <f ca="1">(Table13345678[[#This Row],[Call Gex]]+Table13345678[[#This Row],[Put Gex]])</f>
        <v>0</v>
      </c>
      <c r="AC1500">
        <f ca="1">Table13345678[[#This Row],[put delta adj]]+Table13345678[[#This Row],[call delta adj]]</f>
        <v>0</v>
      </c>
      <c r="AD1500">
        <f ca="1">Table13345678[[#This Row],[Put Gex]]*Table13345678[[#This Row],[DeltaP]]*-1</f>
        <v>0</v>
      </c>
      <c r="AE1500">
        <f ca="1">Table13345678[[#This Row],[Call Gex]]*Table13345678[[#This Row],[DeltaC]]</f>
        <v>0</v>
      </c>
      <c r="AF1500">
        <f>IF(Table13345678[[#This Row],[DeltaC]]-ABS(Table13345678[[#This Row],[DeltaP]])="0","0.01",Table13345678[[#This Row],[DeltaC]]-ABS(Table13345678[[#This Row],[DeltaP]]))</f>
        <v>0</v>
      </c>
      <c r="AG150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0" t="e">
        <f ca="1">(EXP(-(AG1500^2)/2)/SQRT(2*PI())*EXP(0*SQRT(Table13345678[[#This Row],[T]]))/$A$4*18%*SQRT(SQRT(Table13345678[[#This Row],[T]])))</f>
        <v>#DIV/0!</v>
      </c>
      <c r="AJ1500" t="e">
        <f ca="1">(EXP(-(AH1500^2)/2)/SQRT(2*PI())*EXP(0*SQRT(Table13345678[[#This Row],[T]]))/$A$4*18%*SQRT(SQRT(Table13345678[[#This Row],[T]])))</f>
        <v>#DIV/0!</v>
      </c>
      <c r="AK1500" t="e">
        <f ca="1">Table13345678[[#This Row],[Call D1]]-Table13345678[[#This Row],[IV Calc C]]*SQRT(Table13345678[[#This Row],[T]])</f>
        <v>#DIV/0!</v>
      </c>
      <c r="AL1500" t="e">
        <f ca="1">Table13345678[[#This Row],[Put D1]]-Table13345678[[#This Row],[IV Calc P]]*SQRT(Table13345678[[#This Row],[T]])</f>
        <v>#DIV/0!</v>
      </c>
      <c r="AM1500" t="e">
        <f ca="1">EXP(-0.5*Table13345678[[#This Row],[Call D1]]^2)/SQRT(2*PI())</f>
        <v>#DIV/0!</v>
      </c>
      <c r="AN1500" t="e">
        <f ca="1">EXP(-0.5*Table13345678[[#This Row],[Put D1]]^2)/SQRT(2*PI())</f>
        <v>#DIV/0!</v>
      </c>
      <c r="AO150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0">
        <f ca="1">((Table13345678[[#This Row],[call vanna]]+Table13345678[[#This Row],[put vanna]])*$A$4)</f>
        <v>0</v>
      </c>
      <c r="AR150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0" s="9" t="str" cm="1">
        <f t="array" ref="AT1500">_xlfn.IFS(     $M$1="SPX","SPXW",     $M$1="RUT","RUTW",  $M$1="NDX","NDXP",   TRUE,$M$1 )</f>
        <v>SPXW</v>
      </c>
      <c r="AU1500" s="2">
        <f t="shared" si="152"/>
        <v>6915</v>
      </c>
      <c r="AV1500" t="str">
        <f t="shared" si="153"/>
        <v>000100</v>
      </c>
      <c r="AY150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0">
        <f>((Table13345678[[#This Row],[High C]]+Table13345678[[#This Row],[Low C]])/2)*Table13345678[[#This Row],[gammac]]*Table13345678[[#This Row],[Volume]]</f>
        <v>0</v>
      </c>
      <c r="BD1500">
        <f>((Table13345678[[#This Row],[High P]]+Table13345678[[#This Row],[Low P]])/2)*Table13345678[[#This Row],[gammap]]*Table13345678[[#This Row],[Volume9]]*-1</f>
        <v>0</v>
      </c>
      <c r="BE1500">
        <f>(Table13345678[[#This Row],[SgammaC]]+Table13345678[[#This Row],[SgammaP]])*$A$4*-100</f>
        <v>0</v>
      </c>
      <c r="BF1500">
        <f>Table13345678[[#This Row],[DEXc]]+Table13345678[[#This Row],[DEXp]]</f>
        <v>0</v>
      </c>
      <c r="BG1500" s="78">
        <f>IFERROR(Table13345678[[#This Row],[DeltaC]]*Table13345678[[#This Row],[Open.Int]]*$A$4,0)</f>
        <v>0</v>
      </c>
      <c r="BH1500">
        <f>IFERROR(Table13345678[[#This Row],[DeltaP]]*Table13345678[[#This Row],[Open.Int8]]*$A$4,0)</f>
        <v>0</v>
      </c>
      <c r="BI150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0">
        <f ca="1">Table13345678[[#This Row],[charmc]]+Table13345678[[#This Row],[charmp]]</f>
        <v>0</v>
      </c>
      <c r="BL150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0" s="78">
        <f ca="1">Table13345678[[#This Row],[call helper]]+Table13345678[[#This Row],[put helper]]</f>
        <v>0</v>
      </c>
      <c r="BP150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1" spans="1:68" x14ac:dyDescent="0.25">
      <c r="A1501" s="14">
        <f t="shared" ca="1" si="149"/>
        <v>-126.14810350076104</v>
      </c>
      <c r="C1501" s="17"/>
      <c r="D1501" t="str">
        <f>RTD("tos.rtd", , "OPEN_INT", "."&amp;Table13345678[[#This Row],[Ticker]]&amp;Table13345678[[#This Row],[Expiry]]&amp;""&amp;"C"&amp;Table13345678[[#This Row],[Spot]]+Table13345678[[#This Row],[step]])</f>
        <v>N/A</v>
      </c>
      <c r="E150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1" s="17" cm="1">
        <f t="array" aca="1" ref="H1501" ca="1">IndividualLegIVCore($A$4, Table13345678[[#This Row],[Strike]], 0.0411, Table13345678[[#This Row],[T]], ((Table13345678[[#This Row],[BIDC]]+Table13345678[[#This Row],[ASKC]])/2), TRUE)</f>
        <v>0.01</v>
      </c>
      <c r="I150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1" s="17"/>
      <c r="M1501" s="1">
        <f t="shared" si="150"/>
        <v>0</v>
      </c>
      <c r="N1501" t="b">
        <f t="shared" si="151"/>
        <v>0</v>
      </c>
      <c r="P1501" s="17" cm="1">
        <f t="array" aca="1" ref="P1501" ca="1">IndividualLegIVCore($A$4, Table13345678[[#This Row],[Strike]], 0.0411, Table13345678[[#This Row],[T]], ((Table13345678[[#This Row],[BIDP]]+Table13345678[[#This Row],[ASKP]])/2), FALSE)</f>
        <v>0.01</v>
      </c>
      <c r="Q150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1" s="17"/>
      <c r="T150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1" s="19">
        <f>-15* IF($M$1="NDX", 10, IF(OR($M$1="SPX", $M$1="RUT"), 2, 1))</f>
        <v>-30</v>
      </c>
      <c r="Z1501">
        <f ca="1">IFERROR(Table13345678[[#This Row],[call gamma]]*(Table13345678[[#This Row],[Open.Int]])*$A$4^2,0)</f>
        <v>0</v>
      </c>
      <c r="AA1501">
        <f ca="1">IFERROR(((Table13345678[[#This Row],[Open.Int8]])*Table13345678[[#This Row],[Put gamma]])*-1*$A$4^2,0)</f>
        <v>0</v>
      </c>
      <c r="AB1501">
        <f ca="1">(Table13345678[[#This Row],[Call Gex]]+Table13345678[[#This Row],[Put Gex]])</f>
        <v>0</v>
      </c>
      <c r="AC1501">
        <f ca="1">Table13345678[[#This Row],[put delta adj]]+Table13345678[[#This Row],[call delta adj]]</f>
        <v>0</v>
      </c>
      <c r="AD1501">
        <f ca="1">Table13345678[[#This Row],[Put Gex]]*Table13345678[[#This Row],[DeltaP]]*-1</f>
        <v>0</v>
      </c>
      <c r="AE1501">
        <f ca="1">Table13345678[[#This Row],[Call Gex]]*Table13345678[[#This Row],[DeltaC]]</f>
        <v>0</v>
      </c>
      <c r="AF1501">
        <f>IF(Table13345678[[#This Row],[DeltaC]]-ABS(Table13345678[[#This Row],[DeltaP]])="0","0.01",Table13345678[[#This Row],[DeltaC]]-ABS(Table13345678[[#This Row],[DeltaP]]))</f>
        <v>0</v>
      </c>
      <c r="AG150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1" t="e">
        <f ca="1">(EXP(-(AG1501^2)/2)/SQRT(2*PI())*EXP(0*SQRT(Table13345678[[#This Row],[T]]))/$A$4*18%*SQRT(SQRT(Table13345678[[#This Row],[T]])))</f>
        <v>#DIV/0!</v>
      </c>
      <c r="AJ1501" t="e">
        <f ca="1">(EXP(-(AH1501^2)/2)/SQRT(2*PI())*EXP(0*SQRT(Table13345678[[#This Row],[T]]))/$A$4*18%*SQRT(SQRT(Table13345678[[#This Row],[T]])))</f>
        <v>#DIV/0!</v>
      </c>
      <c r="AK1501" t="e">
        <f ca="1">Table13345678[[#This Row],[Call D1]]-Table13345678[[#This Row],[IV Calc C]]*SQRT(Table13345678[[#This Row],[T]])</f>
        <v>#DIV/0!</v>
      </c>
      <c r="AL1501" t="e">
        <f ca="1">Table13345678[[#This Row],[Put D1]]-Table13345678[[#This Row],[IV Calc P]]*SQRT(Table13345678[[#This Row],[T]])</f>
        <v>#DIV/0!</v>
      </c>
      <c r="AM1501" t="e">
        <f ca="1">EXP(-0.5*Table13345678[[#This Row],[Call D1]]^2)/SQRT(2*PI())</f>
        <v>#DIV/0!</v>
      </c>
      <c r="AN1501" t="e">
        <f ca="1">EXP(-0.5*Table13345678[[#This Row],[Put D1]]^2)/SQRT(2*PI())</f>
        <v>#DIV/0!</v>
      </c>
      <c r="AO150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1">
        <f ca="1">((Table13345678[[#This Row],[call vanna]]+Table13345678[[#This Row],[put vanna]])*$A$4)</f>
        <v>0</v>
      </c>
      <c r="AR150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1" s="9" t="str" cm="1">
        <f t="array" ref="AT1501">_xlfn.IFS(     $M$1="SPX","SPXW",     $M$1="RUT","RUTW",  $M$1="NDX","NDXP",   TRUE,$M$1 )</f>
        <v>SPXW</v>
      </c>
      <c r="AU1501" s="2">
        <f t="shared" si="152"/>
        <v>6915</v>
      </c>
      <c r="AV1501" t="str">
        <f t="shared" si="153"/>
        <v>000100</v>
      </c>
      <c r="AY150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1">
        <f>((Table13345678[[#This Row],[High C]]+Table13345678[[#This Row],[Low C]])/2)*Table13345678[[#This Row],[gammac]]*Table13345678[[#This Row],[Volume]]</f>
        <v>0</v>
      </c>
      <c r="BD1501">
        <f>((Table13345678[[#This Row],[High P]]+Table13345678[[#This Row],[Low P]])/2)*Table13345678[[#This Row],[gammap]]*Table13345678[[#This Row],[Volume9]]*-1</f>
        <v>0</v>
      </c>
      <c r="BE1501">
        <f>(Table13345678[[#This Row],[SgammaC]]+Table13345678[[#This Row],[SgammaP]])*$A$4*-100</f>
        <v>0</v>
      </c>
      <c r="BF1501">
        <f>Table13345678[[#This Row],[DEXc]]+Table13345678[[#This Row],[DEXp]]</f>
        <v>0</v>
      </c>
      <c r="BG1501" s="78">
        <f>IFERROR(Table13345678[[#This Row],[DeltaC]]*Table13345678[[#This Row],[Open.Int]]*$A$4,0)</f>
        <v>0</v>
      </c>
      <c r="BH1501">
        <f>IFERROR(Table13345678[[#This Row],[DeltaP]]*Table13345678[[#This Row],[Open.Int8]]*$A$4,0)</f>
        <v>0</v>
      </c>
      <c r="BI150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1">
        <f ca="1">Table13345678[[#This Row],[charmc]]+Table13345678[[#This Row],[charmp]]</f>
        <v>0</v>
      </c>
      <c r="BL150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1" s="78">
        <f ca="1">Table13345678[[#This Row],[call helper]]+Table13345678[[#This Row],[put helper]]</f>
        <v>0</v>
      </c>
      <c r="BP150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2" spans="1:68" x14ac:dyDescent="0.25">
      <c r="A1502" s="24">
        <f t="shared" ca="1" si="149"/>
        <v>-126.14810350076104</v>
      </c>
      <c r="B1502" s="13"/>
      <c r="C1502" s="17"/>
      <c r="D1502" t="str">
        <f>RTD("tos.rtd", , "OPEN_INT", "."&amp;Table13345678[[#This Row],[Ticker]]&amp;Table13345678[[#This Row],[Expiry]]&amp;""&amp;"C"&amp;Table13345678[[#This Row],[Spot]]+Table13345678[[#This Row],[step]])</f>
        <v>N/A</v>
      </c>
      <c r="E150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2" s="17" cm="1">
        <f t="array" aca="1" ref="H1502" ca="1">IndividualLegIVCore($A$4, Table13345678[[#This Row],[Strike]], 0.0411, Table13345678[[#This Row],[T]], ((Table13345678[[#This Row],[BIDC]]+Table13345678[[#This Row],[ASKC]])/2), TRUE)</f>
        <v>0.01</v>
      </c>
      <c r="I150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2" s="17"/>
      <c r="M1502" s="1">
        <f t="shared" si="150"/>
        <v>0</v>
      </c>
      <c r="N1502" t="b">
        <f t="shared" si="151"/>
        <v>0</v>
      </c>
      <c r="P1502" s="17" cm="1">
        <f t="array" aca="1" ref="P1502" ca="1">IndividualLegIVCore($A$4, Table13345678[[#This Row],[Strike]], 0.0411, Table13345678[[#This Row],[T]], ((Table13345678[[#This Row],[BIDP]]+Table13345678[[#This Row],[ASKP]])/2), FALSE)</f>
        <v>0.01</v>
      </c>
      <c r="Q150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2" s="17"/>
      <c r="T150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502" s="13"/>
      <c r="Y1502" s="19">
        <f>-14.5* IF($M$1="NDX", 10, IF(OR($M$1="SPX", $M$1="RUT"), 2, 1))</f>
        <v>-29</v>
      </c>
      <c r="Z1502">
        <f ca="1">IFERROR(Table13345678[[#This Row],[call gamma]]*(Table13345678[[#This Row],[Open.Int]])*$A$4^2,0)</f>
        <v>0</v>
      </c>
      <c r="AA1502">
        <f ca="1">IFERROR(((Table13345678[[#This Row],[Open.Int8]])*Table13345678[[#This Row],[Put gamma]])*-1*$A$4^2,0)</f>
        <v>0</v>
      </c>
      <c r="AB1502">
        <f ca="1">(Table13345678[[#This Row],[Call Gex]]+Table13345678[[#This Row],[Put Gex]])</f>
        <v>0</v>
      </c>
      <c r="AC1502">
        <f ca="1">Table13345678[[#This Row],[put delta adj]]+Table13345678[[#This Row],[call delta adj]]</f>
        <v>0</v>
      </c>
      <c r="AD1502">
        <f ca="1">Table13345678[[#This Row],[Put Gex]]*Table13345678[[#This Row],[DeltaP]]*-1</f>
        <v>0</v>
      </c>
      <c r="AE1502">
        <f ca="1">Table13345678[[#This Row],[Call Gex]]*Table13345678[[#This Row],[DeltaC]]</f>
        <v>0</v>
      </c>
      <c r="AF1502">
        <f>IF(Table13345678[[#This Row],[DeltaC]]-ABS(Table13345678[[#This Row],[DeltaP]])="0","0.01",Table13345678[[#This Row],[DeltaC]]-ABS(Table13345678[[#This Row],[DeltaP]]))</f>
        <v>0</v>
      </c>
      <c r="AG150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2" t="e">
        <f ca="1">(EXP(-(AG1502^2)/2)/SQRT(2*PI())*EXP(0*SQRT(Table13345678[[#This Row],[T]]))/$A$4*18%*SQRT(SQRT(Table13345678[[#This Row],[T]])))</f>
        <v>#DIV/0!</v>
      </c>
      <c r="AJ1502" t="e">
        <f ca="1">(EXP(-(AH1502^2)/2)/SQRT(2*PI())*EXP(0*SQRT(Table13345678[[#This Row],[T]]))/$A$4*18%*SQRT(SQRT(Table13345678[[#This Row],[T]])))</f>
        <v>#DIV/0!</v>
      </c>
      <c r="AK1502" t="e">
        <f ca="1">Table13345678[[#This Row],[Call D1]]-Table13345678[[#This Row],[IV Calc C]]*SQRT(Table13345678[[#This Row],[T]])</f>
        <v>#DIV/0!</v>
      </c>
      <c r="AL1502" t="e">
        <f ca="1">Table13345678[[#This Row],[Put D1]]-Table13345678[[#This Row],[IV Calc P]]*SQRT(Table13345678[[#This Row],[T]])</f>
        <v>#DIV/0!</v>
      </c>
      <c r="AM1502" t="e">
        <f ca="1">EXP(-0.5*Table13345678[[#This Row],[Call D1]]^2)/SQRT(2*PI())</f>
        <v>#DIV/0!</v>
      </c>
      <c r="AN1502" t="e">
        <f ca="1">EXP(-0.5*Table13345678[[#This Row],[Put D1]]^2)/SQRT(2*PI())</f>
        <v>#DIV/0!</v>
      </c>
      <c r="AO150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2">
        <f ca="1">((Table13345678[[#This Row],[call vanna]]+Table13345678[[#This Row],[put vanna]])*$A$4)</f>
        <v>0</v>
      </c>
      <c r="AR150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2" s="22" t="str" cm="1">
        <f t="array" ref="AT1502">_xlfn.IFS(     $M$1="SPX","SPXW",     $M$1="RUT","RUTW",  $M$1="NDX","NDXP",   TRUE,$M$1 )</f>
        <v>SPXW</v>
      </c>
      <c r="AU1502" s="2">
        <f t="shared" si="152"/>
        <v>6915</v>
      </c>
      <c r="AV1502" t="str">
        <f t="shared" si="153"/>
        <v>000100</v>
      </c>
      <c r="AY150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2">
        <f>((Table13345678[[#This Row],[High C]]+Table13345678[[#This Row],[Low C]])/2)*Table13345678[[#This Row],[gammac]]*Table13345678[[#This Row],[Volume]]</f>
        <v>0</v>
      </c>
      <c r="BD1502">
        <f>((Table13345678[[#This Row],[High P]]+Table13345678[[#This Row],[Low P]])/2)*Table13345678[[#This Row],[gammap]]*Table13345678[[#This Row],[Volume9]]*-1</f>
        <v>0</v>
      </c>
      <c r="BE1502">
        <f>(Table13345678[[#This Row],[SgammaC]]+Table13345678[[#This Row],[SgammaP]])*$A$4*-100</f>
        <v>0</v>
      </c>
      <c r="BF1502">
        <f>Table13345678[[#This Row],[DEXc]]+Table13345678[[#This Row],[DEXp]]</f>
        <v>0</v>
      </c>
      <c r="BG1502" s="78">
        <f>IFERROR(Table13345678[[#This Row],[DeltaC]]*Table13345678[[#This Row],[Open.Int]]*$A$4,0)</f>
        <v>0</v>
      </c>
      <c r="BH1502">
        <f>IFERROR(Table13345678[[#This Row],[DeltaP]]*Table13345678[[#This Row],[Open.Int8]]*$A$4,0)</f>
        <v>0</v>
      </c>
      <c r="BI150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2">
        <f ca="1">Table13345678[[#This Row],[charmc]]+Table13345678[[#This Row],[charmp]]</f>
        <v>0</v>
      </c>
      <c r="BL150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2" s="78">
        <f ca="1">Table13345678[[#This Row],[call helper]]+Table13345678[[#This Row],[put helper]]</f>
        <v>0</v>
      </c>
      <c r="BP150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3" spans="1:68" x14ac:dyDescent="0.25">
      <c r="A1503" s="14">
        <f t="shared" ca="1" si="149"/>
        <v>-126.14810350076104</v>
      </c>
      <c r="C1503" s="17"/>
      <c r="D1503" t="str">
        <f>RTD("tos.rtd", , "OPEN_INT", "."&amp;Table13345678[[#This Row],[Ticker]]&amp;Table13345678[[#This Row],[Expiry]]&amp;""&amp;"C"&amp;Table13345678[[#This Row],[Spot]]+Table13345678[[#This Row],[step]])</f>
        <v>N/A</v>
      </c>
      <c r="E150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3" s="17" cm="1">
        <f t="array" aca="1" ref="H1503" ca="1">IndividualLegIVCore($A$4, Table13345678[[#This Row],[Strike]], 0.0411, Table13345678[[#This Row],[T]], ((Table13345678[[#This Row],[BIDC]]+Table13345678[[#This Row],[ASKC]])/2), TRUE)</f>
        <v>0.01</v>
      </c>
      <c r="I150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3" s="17"/>
      <c r="M1503" s="1">
        <f t="shared" si="150"/>
        <v>0</v>
      </c>
      <c r="N1503" t="b">
        <f t="shared" si="151"/>
        <v>0</v>
      </c>
      <c r="P1503" s="17" cm="1">
        <f t="array" aca="1" ref="P1503" ca="1">IndividualLegIVCore($A$4, Table13345678[[#This Row],[Strike]], 0.0411, Table13345678[[#This Row],[T]], ((Table13345678[[#This Row],[BIDP]]+Table13345678[[#This Row],[ASKP]])/2), FALSE)</f>
        <v>0.01</v>
      </c>
      <c r="Q150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3" s="17"/>
      <c r="T150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3" s="19">
        <f>-14* IF($M$1="NDX", 10, IF(OR($M$1="SPX", $M$1="RUT"), 2, 1))</f>
        <v>-28</v>
      </c>
      <c r="Z1503">
        <f ca="1">IFERROR(Table13345678[[#This Row],[call gamma]]*(Table13345678[[#This Row],[Open.Int]])*$A$4^2,0)</f>
        <v>0</v>
      </c>
      <c r="AA1503">
        <f ca="1">IFERROR(((Table13345678[[#This Row],[Open.Int8]])*Table13345678[[#This Row],[Put gamma]])*-1*$A$4^2,0)</f>
        <v>0</v>
      </c>
      <c r="AB1503">
        <f ca="1">(Table13345678[[#This Row],[Call Gex]]+Table13345678[[#This Row],[Put Gex]])</f>
        <v>0</v>
      </c>
      <c r="AC1503">
        <f ca="1">Table13345678[[#This Row],[put delta adj]]+Table13345678[[#This Row],[call delta adj]]</f>
        <v>0</v>
      </c>
      <c r="AD1503">
        <f ca="1">Table13345678[[#This Row],[Put Gex]]*Table13345678[[#This Row],[DeltaP]]*-1</f>
        <v>0</v>
      </c>
      <c r="AE1503">
        <f ca="1">Table13345678[[#This Row],[Call Gex]]*Table13345678[[#This Row],[DeltaC]]</f>
        <v>0</v>
      </c>
      <c r="AF1503">
        <f>IF(Table13345678[[#This Row],[DeltaC]]-ABS(Table13345678[[#This Row],[DeltaP]])="0","0.01",Table13345678[[#This Row],[DeltaC]]-ABS(Table13345678[[#This Row],[DeltaP]]))</f>
        <v>0</v>
      </c>
      <c r="AG150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3" t="e">
        <f ca="1">(EXP(-(AG1503^2)/2)/SQRT(2*PI())*EXP(0*SQRT(Table13345678[[#This Row],[T]]))/$A$4*18%*SQRT(SQRT(Table13345678[[#This Row],[T]])))</f>
        <v>#DIV/0!</v>
      </c>
      <c r="AJ1503" t="e">
        <f ca="1">(EXP(-(AH1503^2)/2)/SQRT(2*PI())*EXP(0*SQRT(Table13345678[[#This Row],[T]]))/$A$4*18%*SQRT(SQRT(Table13345678[[#This Row],[T]])))</f>
        <v>#DIV/0!</v>
      </c>
      <c r="AK1503" t="e">
        <f ca="1">Table13345678[[#This Row],[Call D1]]-Table13345678[[#This Row],[IV Calc C]]*SQRT(Table13345678[[#This Row],[T]])</f>
        <v>#DIV/0!</v>
      </c>
      <c r="AL1503" t="e">
        <f ca="1">Table13345678[[#This Row],[Put D1]]-Table13345678[[#This Row],[IV Calc P]]*SQRT(Table13345678[[#This Row],[T]])</f>
        <v>#DIV/0!</v>
      </c>
      <c r="AM1503" t="e">
        <f ca="1">EXP(-0.5*Table13345678[[#This Row],[Call D1]]^2)/SQRT(2*PI())</f>
        <v>#DIV/0!</v>
      </c>
      <c r="AN1503" t="e">
        <f ca="1">EXP(-0.5*Table13345678[[#This Row],[Put D1]]^2)/SQRT(2*PI())</f>
        <v>#DIV/0!</v>
      </c>
      <c r="AO150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3">
        <f ca="1">((Table13345678[[#This Row],[call vanna]]+Table13345678[[#This Row],[put vanna]])*$A$4)</f>
        <v>0</v>
      </c>
      <c r="AR150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3" s="9" t="str" cm="1">
        <f t="array" ref="AT1503">_xlfn.IFS(     $M$1="SPX","SPXW",     $M$1="RUT","RUTW",  $M$1="NDX","NDXP",   TRUE,$M$1 )</f>
        <v>SPXW</v>
      </c>
      <c r="AU1503" s="2">
        <f t="shared" si="152"/>
        <v>6915</v>
      </c>
      <c r="AV1503" t="str">
        <f t="shared" si="153"/>
        <v>000100</v>
      </c>
      <c r="AY150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3">
        <f>((Table13345678[[#This Row],[High C]]+Table13345678[[#This Row],[Low C]])/2)*Table13345678[[#This Row],[gammac]]*Table13345678[[#This Row],[Volume]]</f>
        <v>0</v>
      </c>
      <c r="BD1503">
        <f>((Table13345678[[#This Row],[High P]]+Table13345678[[#This Row],[Low P]])/2)*Table13345678[[#This Row],[gammap]]*Table13345678[[#This Row],[Volume9]]*-1</f>
        <v>0</v>
      </c>
      <c r="BE1503">
        <f>(Table13345678[[#This Row],[SgammaC]]+Table13345678[[#This Row],[SgammaP]])*$A$4*-100</f>
        <v>0</v>
      </c>
      <c r="BF1503">
        <f>Table13345678[[#This Row],[DEXc]]+Table13345678[[#This Row],[DEXp]]</f>
        <v>0</v>
      </c>
      <c r="BG1503" s="78">
        <f>IFERROR(Table13345678[[#This Row],[DeltaC]]*Table13345678[[#This Row],[Open.Int]]*$A$4,0)</f>
        <v>0</v>
      </c>
      <c r="BH1503">
        <f>IFERROR(Table13345678[[#This Row],[DeltaP]]*Table13345678[[#This Row],[Open.Int8]]*$A$4,0)</f>
        <v>0</v>
      </c>
      <c r="BI150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3">
        <f ca="1">Table13345678[[#This Row],[charmc]]+Table13345678[[#This Row],[charmp]]</f>
        <v>0</v>
      </c>
      <c r="BL150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3" s="78">
        <f ca="1">Table13345678[[#This Row],[call helper]]+Table13345678[[#This Row],[put helper]]</f>
        <v>0</v>
      </c>
      <c r="BP150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4" spans="1:68" x14ac:dyDescent="0.25">
      <c r="A1504" s="14">
        <f t="shared" ca="1" si="149"/>
        <v>-126.14810350076104</v>
      </c>
      <c r="C1504" s="17"/>
      <c r="D1504" t="str">
        <f>RTD("tos.rtd", , "OPEN_INT", "."&amp;Table13345678[[#This Row],[Ticker]]&amp;Table13345678[[#This Row],[Expiry]]&amp;""&amp;"C"&amp;Table13345678[[#This Row],[Spot]]+Table13345678[[#This Row],[step]])</f>
        <v>N/A</v>
      </c>
      <c r="E150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4" s="17" cm="1">
        <f t="array" aca="1" ref="H1504" ca="1">IndividualLegIVCore($A$4, Table13345678[[#This Row],[Strike]], 0.0411, Table13345678[[#This Row],[T]], ((Table13345678[[#This Row],[BIDC]]+Table13345678[[#This Row],[ASKC]])/2), TRUE)</f>
        <v>0.01</v>
      </c>
      <c r="I150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4" s="17"/>
      <c r="M1504" s="1">
        <f t="shared" si="150"/>
        <v>0</v>
      </c>
      <c r="N1504" t="b">
        <f t="shared" si="151"/>
        <v>0</v>
      </c>
      <c r="P1504" s="17" cm="1">
        <f t="array" aca="1" ref="P1504" ca="1">IndividualLegIVCore($A$4, Table13345678[[#This Row],[Strike]], 0.0411, Table13345678[[#This Row],[T]], ((Table13345678[[#This Row],[BIDP]]+Table13345678[[#This Row],[ASKP]])/2), FALSE)</f>
        <v>0.01</v>
      </c>
      <c r="Q150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4" s="17"/>
      <c r="T150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4" s="19">
        <f>-13.5* IF($M$1="NDX", 10, IF(OR($M$1="SPX", $M$1="RUT"), 2, 1))</f>
        <v>-27</v>
      </c>
      <c r="Z1504">
        <f ca="1">IFERROR(Table13345678[[#This Row],[call gamma]]*(Table13345678[[#This Row],[Open.Int]])*$A$4^2,0)</f>
        <v>0</v>
      </c>
      <c r="AA1504">
        <f ca="1">IFERROR(((Table13345678[[#This Row],[Open.Int8]])*Table13345678[[#This Row],[Put gamma]])*-1*$A$4^2,0)</f>
        <v>0</v>
      </c>
      <c r="AB1504">
        <f ca="1">(Table13345678[[#This Row],[Call Gex]]+Table13345678[[#This Row],[Put Gex]])</f>
        <v>0</v>
      </c>
      <c r="AC1504">
        <f ca="1">Table13345678[[#This Row],[put delta adj]]+Table13345678[[#This Row],[call delta adj]]</f>
        <v>0</v>
      </c>
      <c r="AD1504">
        <f ca="1">Table13345678[[#This Row],[Put Gex]]*Table13345678[[#This Row],[DeltaP]]*-1</f>
        <v>0</v>
      </c>
      <c r="AE1504">
        <f ca="1">Table13345678[[#This Row],[Call Gex]]*Table13345678[[#This Row],[DeltaC]]</f>
        <v>0</v>
      </c>
      <c r="AF1504">
        <f>IF(Table13345678[[#This Row],[DeltaC]]-ABS(Table13345678[[#This Row],[DeltaP]])="0","0.01",Table13345678[[#This Row],[DeltaC]]-ABS(Table13345678[[#This Row],[DeltaP]]))</f>
        <v>0</v>
      </c>
      <c r="AG150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4" t="e">
        <f ca="1">(EXP(-(AG1504^2)/2)/SQRT(2*PI())*EXP(0*SQRT(Table13345678[[#This Row],[T]]))/$A$4*18%*SQRT(SQRT(Table13345678[[#This Row],[T]])))</f>
        <v>#DIV/0!</v>
      </c>
      <c r="AJ1504" t="e">
        <f ca="1">(EXP(-(AH1504^2)/2)/SQRT(2*PI())*EXP(0*SQRT(Table13345678[[#This Row],[T]]))/$A$4*18%*SQRT(SQRT(Table13345678[[#This Row],[T]])))</f>
        <v>#DIV/0!</v>
      </c>
      <c r="AK1504" t="e">
        <f ca="1">Table13345678[[#This Row],[Call D1]]-Table13345678[[#This Row],[IV Calc C]]*SQRT(Table13345678[[#This Row],[T]])</f>
        <v>#DIV/0!</v>
      </c>
      <c r="AL1504" t="e">
        <f ca="1">Table13345678[[#This Row],[Put D1]]-Table13345678[[#This Row],[IV Calc P]]*SQRT(Table13345678[[#This Row],[T]])</f>
        <v>#DIV/0!</v>
      </c>
      <c r="AM1504" t="e">
        <f ca="1">EXP(-0.5*Table13345678[[#This Row],[Call D1]]^2)/SQRT(2*PI())</f>
        <v>#DIV/0!</v>
      </c>
      <c r="AN1504" t="e">
        <f ca="1">EXP(-0.5*Table13345678[[#This Row],[Put D1]]^2)/SQRT(2*PI())</f>
        <v>#DIV/0!</v>
      </c>
      <c r="AO150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4">
        <f ca="1">((Table13345678[[#This Row],[call vanna]]+Table13345678[[#This Row],[put vanna]])*$A$4)</f>
        <v>0</v>
      </c>
      <c r="AR150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4" s="9" t="str" cm="1">
        <f t="array" ref="AT1504">_xlfn.IFS(     $M$1="SPX","SPXW",     $M$1="RUT","RUTW",  $M$1="NDX","NDXP",   TRUE,$M$1 )</f>
        <v>SPXW</v>
      </c>
      <c r="AU1504" s="2">
        <f t="shared" si="152"/>
        <v>6915</v>
      </c>
      <c r="AV1504" t="str">
        <f t="shared" si="153"/>
        <v>000100</v>
      </c>
      <c r="AY150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4">
        <f>((Table13345678[[#This Row],[High C]]+Table13345678[[#This Row],[Low C]])/2)*Table13345678[[#This Row],[gammac]]*Table13345678[[#This Row],[Volume]]</f>
        <v>0</v>
      </c>
      <c r="BD1504">
        <f>((Table13345678[[#This Row],[High P]]+Table13345678[[#This Row],[Low P]])/2)*Table13345678[[#This Row],[gammap]]*Table13345678[[#This Row],[Volume9]]*-1</f>
        <v>0</v>
      </c>
      <c r="BE1504">
        <f>(Table13345678[[#This Row],[SgammaC]]+Table13345678[[#This Row],[SgammaP]])*$A$4*-100</f>
        <v>0</v>
      </c>
      <c r="BF1504">
        <f>Table13345678[[#This Row],[DEXc]]+Table13345678[[#This Row],[DEXp]]</f>
        <v>0</v>
      </c>
      <c r="BG1504" s="78">
        <f>IFERROR(Table13345678[[#This Row],[DeltaC]]*Table13345678[[#This Row],[Open.Int]]*$A$4,0)</f>
        <v>0</v>
      </c>
      <c r="BH1504">
        <f>IFERROR(Table13345678[[#This Row],[DeltaP]]*Table13345678[[#This Row],[Open.Int8]]*$A$4,0)</f>
        <v>0</v>
      </c>
      <c r="BI150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4">
        <f ca="1">Table13345678[[#This Row],[charmc]]+Table13345678[[#This Row],[charmp]]</f>
        <v>0</v>
      </c>
      <c r="BL150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4" s="78">
        <f ca="1">Table13345678[[#This Row],[call helper]]+Table13345678[[#This Row],[put helper]]</f>
        <v>0</v>
      </c>
      <c r="BP150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5" spans="1:68" x14ac:dyDescent="0.25">
      <c r="A1505" s="14">
        <f t="shared" ca="1" si="149"/>
        <v>-126.14810350076104</v>
      </c>
      <c r="C1505" s="17"/>
      <c r="D1505" t="str">
        <f>RTD("tos.rtd", , "OPEN_INT", "."&amp;Table13345678[[#This Row],[Ticker]]&amp;Table13345678[[#This Row],[Expiry]]&amp;""&amp;"C"&amp;Table13345678[[#This Row],[Spot]]+Table13345678[[#This Row],[step]])</f>
        <v>N/A</v>
      </c>
      <c r="E150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5" s="17" cm="1">
        <f t="array" aca="1" ref="H1505" ca="1">IndividualLegIVCore($A$4, Table13345678[[#This Row],[Strike]], 0.0411, Table13345678[[#This Row],[T]], ((Table13345678[[#This Row],[BIDC]]+Table13345678[[#This Row],[ASKC]])/2), TRUE)</f>
        <v>0.01</v>
      </c>
      <c r="I150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5" s="17"/>
      <c r="M1505" s="1">
        <f t="shared" si="150"/>
        <v>0</v>
      </c>
      <c r="N1505" t="b">
        <f t="shared" si="151"/>
        <v>0</v>
      </c>
      <c r="P1505" s="17" cm="1">
        <f t="array" aca="1" ref="P1505" ca="1">IndividualLegIVCore($A$4, Table13345678[[#This Row],[Strike]], 0.0411, Table13345678[[#This Row],[T]], ((Table13345678[[#This Row],[BIDP]]+Table13345678[[#This Row],[ASKP]])/2), FALSE)</f>
        <v>0.01</v>
      </c>
      <c r="Q150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5" s="17"/>
      <c r="T150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5" s="19">
        <f>-13* IF($M$1="NDX", 10, IF(OR($M$1="SPX", $M$1="RUT"), 2, 1))</f>
        <v>-26</v>
      </c>
      <c r="Z1505">
        <f ca="1">IFERROR(Table13345678[[#This Row],[call gamma]]*(Table13345678[[#This Row],[Open.Int]])*$A$4^2,0)</f>
        <v>0</v>
      </c>
      <c r="AA1505">
        <f ca="1">IFERROR(((Table13345678[[#This Row],[Open.Int8]])*Table13345678[[#This Row],[Put gamma]])*-1*$A$4^2,0)</f>
        <v>0</v>
      </c>
      <c r="AB1505">
        <f ca="1">(Table13345678[[#This Row],[Call Gex]]+Table13345678[[#This Row],[Put Gex]])</f>
        <v>0</v>
      </c>
      <c r="AC1505">
        <f ca="1">Table13345678[[#This Row],[put delta adj]]+Table13345678[[#This Row],[call delta adj]]</f>
        <v>0</v>
      </c>
      <c r="AD1505">
        <f ca="1">Table13345678[[#This Row],[Put Gex]]*Table13345678[[#This Row],[DeltaP]]*-1</f>
        <v>0</v>
      </c>
      <c r="AE1505">
        <f ca="1">Table13345678[[#This Row],[Call Gex]]*Table13345678[[#This Row],[DeltaC]]</f>
        <v>0</v>
      </c>
      <c r="AF1505">
        <f>IF(Table13345678[[#This Row],[DeltaC]]-ABS(Table13345678[[#This Row],[DeltaP]])="0","0.01",Table13345678[[#This Row],[DeltaC]]-ABS(Table13345678[[#This Row],[DeltaP]]))</f>
        <v>0</v>
      </c>
      <c r="AG150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5" t="e">
        <f ca="1">(EXP(-(AG1505^2)/2)/SQRT(2*PI())*EXP(0*SQRT(Table13345678[[#This Row],[T]]))/$A$4*18%*SQRT(SQRT(Table13345678[[#This Row],[T]])))</f>
        <v>#DIV/0!</v>
      </c>
      <c r="AJ1505" t="e">
        <f ca="1">(EXP(-(AH1505^2)/2)/SQRT(2*PI())*EXP(0*SQRT(Table13345678[[#This Row],[T]]))/$A$4*18%*SQRT(SQRT(Table13345678[[#This Row],[T]])))</f>
        <v>#DIV/0!</v>
      </c>
      <c r="AK1505" t="e">
        <f ca="1">Table13345678[[#This Row],[Call D1]]-Table13345678[[#This Row],[IV Calc C]]*SQRT(Table13345678[[#This Row],[T]])</f>
        <v>#DIV/0!</v>
      </c>
      <c r="AL1505" t="e">
        <f ca="1">Table13345678[[#This Row],[Put D1]]-Table13345678[[#This Row],[IV Calc P]]*SQRT(Table13345678[[#This Row],[T]])</f>
        <v>#DIV/0!</v>
      </c>
      <c r="AM1505" t="e">
        <f ca="1">EXP(-0.5*Table13345678[[#This Row],[Call D1]]^2)/SQRT(2*PI())</f>
        <v>#DIV/0!</v>
      </c>
      <c r="AN1505" t="e">
        <f ca="1">EXP(-0.5*Table13345678[[#This Row],[Put D1]]^2)/SQRT(2*PI())</f>
        <v>#DIV/0!</v>
      </c>
      <c r="AO150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5">
        <f ca="1">((Table13345678[[#This Row],[call vanna]]+Table13345678[[#This Row],[put vanna]])*$A$4)</f>
        <v>0</v>
      </c>
      <c r="AR150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5" s="9" t="str" cm="1">
        <f t="array" ref="AT1505">_xlfn.IFS(     $M$1="SPX","SPXW",     $M$1="RUT","RUTW",  $M$1="NDX","NDXP",   TRUE,$M$1 )</f>
        <v>SPXW</v>
      </c>
      <c r="AU1505" s="2">
        <f t="shared" si="152"/>
        <v>6915</v>
      </c>
      <c r="AV1505" t="str">
        <f t="shared" si="153"/>
        <v>000100</v>
      </c>
      <c r="AY150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5">
        <f>((Table13345678[[#This Row],[High C]]+Table13345678[[#This Row],[Low C]])/2)*Table13345678[[#This Row],[gammac]]*Table13345678[[#This Row],[Volume]]</f>
        <v>0</v>
      </c>
      <c r="BD1505">
        <f>((Table13345678[[#This Row],[High P]]+Table13345678[[#This Row],[Low P]])/2)*Table13345678[[#This Row],[gammap]]*Table13345678[[#This Row],[Volume9]]*-1</f>
        <v>0</v>
      </c>
      <c r="BE1505">
        <f>(Table13345678[[#This Row],[SgammaC]]+Table13345678[[#This Row],[SgammaP]])*$A$4*-100</f>
        <v>0</v>
      </c>
      <c r="BF1505">
        <f>Table13345678[[#This Row],[DEXc]]+Table13345678[[#This Row],[DEXp]]</f>
        <v>0</v>
      </c>
      <c r="BG1505" s="78">
        <f>IFERROR(Table13345678[[#This Row],[DeltaC]]*Table13345678[[#This Row],[Open.Int]]*$A$4,0)</f>
        <v>0</v>
      </c>
      <c r="BH1505">
        <f>IFERROR(Table13345678[[#This Row],[DeltaP]]*Table13345678[[#This Row],[Open.Int8]]*$A$4,0)</f>
        <v>0</v>
      </c>
      <c r="BI150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5">
        <f ca="1">Table13345678[[#This Row],[charmc]]+Table13345678[[#This Row],[charmp]]</f>
        <v>0</v>
      </c>
      <c r="BL150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5" s="78">
        <f ca="1">Table13345678[[#This Row],[call helper]]+Table13345678[[#This Row],[put helper]]</f>
        <v>0</v>
      </c>
      <c r="BP150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6" spans="1:68" x14ac:dyDescent="0.25">
      <c r="A1506" s="14">
        <f t="shared" ca="1" si="149"/>
        <v>-126.14810350076104</v>
      </c>
      <c r="C1506" s="17"/>
      <c r="D1506" t="str">
        <f>RTD("tos.rtd", , "OPEN_INT", "."&amp;Table13345678[[#This Row],[Ticker]]&amp;Table13345678[[#This Row],[Expiry]]&amp;""&amp;"C"&amp;Table13345678[[#This Row],[Spot]]+Table13345678[[#This Row],[step]])</f>
        <v>N/A</v>
      </c>
      <c r="E150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6" s="17" cm="1">
        <f t="array" aca="1" ref="H1506" ca="1">IndividualLegIVCore($A$4, Table13345678[[#This Row],[Strike]], 0.0411, Table13345678[[#This Row],[T]], ((Table13345678[[#This Row],[BIDC]]+Table13345678[[#This Row],[ASKC]])/2), TRUE)</f>
        <v>0.01</v>
      </c>
      <c r="I150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6" s="17"/>
      <c r="M1506" s="1">
        <f t="shared" si="150"/>
        <v>0</v>
      </c>
      <c r="N1506" t="b">
        <f t="shared" si="151"/>
        <v>0</v>
      </c>
      <c r="P1506" s="17" cm="1">
        <f t="array" aca="1" ref="P1506" ca="1">IndividualLegIVCore($A$4, Table13345678[[#This Row],[Strike]], 0.0411, Table13345678[[#This Row],[T]], ((Table13345678[[#This Row],[BIDP]]+Table13345678[[#This Row],[ASKP]])/2), FALSE)</f>
        <v>0.01</v>
      </c>
      <c r="Q150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6" s="17"/>
      <c r="T150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6" s="19">
        <f>-12.5* IF($M$1="NDX", 10, IF(OR($M$1="SPX", $M$1="RUT"), 2, 1))</f>
        <v>-25</v>
      </c>
      <c r="Z1506">
        <f ca="1">IFERROR(Table13345678[[#This Row],[call gamma]]*(Table13345678[[#This Row],[Open.Int]])*$A$4^2,0)</f>
        <v>0</v>
      </c>
      <c r="AA1506">
        <f ca="1">IFERROR(((Table13345678[[#This Row],[Open.Int8]])*Table13345678[[#This Row],[Put gamma]])*-1*$A$4^2,0)</f>
        <v>0</v>
      </c>
      <c r="AB1506">
        <f ca="1">(Table13345678[[#This Row],[Call Gex]]+Table13345678[[#This Row],[Put Gex]])</f>
        <v>0</v>
      </c>
      <c r="AC1506">
        <f ca="1">Table13345678[[#This Row],[put delta adj]]+Table13345678[[#This Row],[call delta adj]]</f>
        <v>0</v>
      </c>
      <c r="AD1506">
        <f ca="1">Table13345678[[#This Row],[Put Gex]]*Table13345678[[#This Row],[DeltaP]]*-1</f>
        <v>0</v>
      </c>
      <c r="AE1506">
        <f ca="1">Table13345678[[#This Row],[Call Gex]]*Table13345678[[#This Row],[DeltaC]]</f>
        <v>0</v>
      </c>
      <c r="AF1506">
        <f>IF(Table13345678[[#This Row],[DeltaC]]-ABS(Table13345678[[#This Row],[DeltaP]])="0","0.01",Table13345678[[#This Row],[DeltaC]]-ABS(Table13345678[[#This Row],[DeltaP]]))</f>
        <v>0</v>
      </c>
      <c r="AG150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6" t="e">
        <f ca="1">(EXP(-(AG1506^2)/2)/SQRT(2*PI())*EXP(0*SQRT(Table13345678[[#This Row],[T]]))/$A$4*18%*SQRT(SQRT(Table13345678[[#This Row],[T]])))</f>
        <v>#DIV/0!</v>
      </c>
      <c r="AJ1506" t="e">
        <f ca="1">(EXP(-(AH1506^2)/2)/SQRT(2*PI())*EXP(0*SQRT(Table13345678[[#This Row],[T]]))/$A$4*18%*SQRT(SQRT(Table13345678[[#This Row],[T]])))</f>
        <v>#DIV/0!</v>
      </c>
      <c r="AK1506" t="e">
        <f ca="1">Table13345678[[#This Row],[Call D1]]-Table13345678[[#This Row],[IV Calc C]]*SQRT(Table13345678[[#This Row],[T]])</f>
        <v>#DIV/0!</v>
      </c>
      <c r="AL1506" t="e">
        <f ca="1">Table13345678[[#This Row],[Put D1]]-Table13345678[[#This Row],[IV Calc P]]*SQRT(Table13345678[[#This Row],[T]])</f>
        <v>#DIV/0!</v>
      </c>
      <c r="AM1506" t="e">
        <f ca="1">EXP(-0.5*Table13345678[[#This Row],[Call D1]]^2)/SQRT(2*PI())</f>
        <v>#DIV/0!</v>
      </c>
      <c r="AN1506" t="e">
        <f ca="1">EXP(-0.5*Table13345678[[#This Row],[Put D1]]^2)/SQRT(2*PI())</f>
        <v>#DIV/0!</v>
      </c>
      <c r="AO150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6">
        <f ca="1">((Table13345678[[#This Row],[call vanna]]+Table13345678[[#This Row],[put vanna]])*$A$4)</f>
        <v>0</v>
      </c>
      <c r="AR150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6" s="9" t="str" cm="1">
        <f t="array" ref="AT1506">_xlfn.IFS(     $M$1="SPX","SPXW",     $M$1="RUT","RUTW",  $M$1="NDX","NDXP",   TRUE,$M$1 )</f>
        <v>SPXW</v>
      </c>
      <c r="AU1506" s="2">
        <f t="shared" si="152"/>
        <v>6915</v>
      </c>
      <c r="AV1506" t="str">
        <f t="shared" si="153"/>
        <v>000100</v>
      </c>
      <c r="AY150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6">
        <f>((Table13345678[[#This Row],[High C]]+Table13345678[[#This Row],[Low C]])/2)*Table13345678[[#This Row],[gammac]]*Table13345678[[#This Row],[Volume]]</f>
        <v>0</v>
      </c>
      <c r="BD1506">
        <f>((Table13345678[[#This Row],[High P]]+Table13345678[[#This Row],[Low P]])/2)*Table13345678[[#This Row],[gammap]]*Table13345678[[#This Row],[Volume9]]*-1</f>
        <v>0</v>
      </c>
      <c r="BE1506">
        <f>(Table13345678[[#This Row],[SgammaC]]+Table13345678[[#This Row],[SgammaP]])*$A$4*-100</f>
        <v>0</v>
      </c>
      <c r="BF1506">
        <f>Table13345678[[#This Row],[DEXc]]+Table13345678[[#This Row],[DEXp]]</f>
        <v>0</v>
      </c>
      <c r="BG1506" s="78">
        <f>IFERROR(Table13345678[[#This Row],[DeltaC]]*Table13345678[[#This Row],[Open.Int]]*$A$4,0)</f>
        <v>0</v>
      </c>
      <c r="BH1506">
        <f>IFERROR(Table13345678[[#This Row],[DeltaP]]*Table13345678[[#This Row],[Open.Int8]]*$A$4,0)</f>
        <v>0</v>
      </c>
      <c r="BI150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6">
        <f ca="1">Table13345678[[#This Row],[charmc]]+Table13345678[[#This Row],[charmp]]</f>
        <v>0</v>
      </c>
      <c r="BL150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6" s="78">
        <f ca="1">Table13345678[[#This Row],[call helper]]+Table13345678[[#This Row],[put helper]]</f>
        <v>0</v>
      </c>
      <c r="BP150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7" spans="1:68" x14ac:dyDescent="0.25">
      <c r="A1507" s="14">
        <f t="shared" ca="1" si="149"/>
        <v>-126.14810350076104</v>
      </c>
      <c r="C1507" s="17"/>
      <c r="D1507" t="str">
        <f>RTD("tos.rtd", , "OPEN_INT", "."&amp;Table13345678[[#This Row],[Ticker]]&amp;Table13345678[[#This Row],[Expiry]]&amp;""&amp;"C"&amp;Table13345678[[#This Row],[Spot]]+Table13345678[[#This Row],[step]])</f>
        <v>N/A</v>
      </c>
      <c r="E150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7" s="17" cm="1">
        <f t="array" aca="1" ref="H1507" ca="1">IndividualLegIVCore($A$4, Table13345678[[#This Row],[Strike]], 0.0411, Table13345678[[#This Row],[T]], ((Table13345678[[#This Row],[BIDC]]+Table13345678[[#This Row],[ASKC]])/2), TRUE)</f>
        <v>0.01</v>
      </c>
      <c r="I150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7" s="17"/>
      <c r="M1507" s="1">
        <f t="shared" si="150"/>
        <v>0</v>
      </c>
      <c r="N1507" t="b">
        <f t="shared" si="151"/>
        <v>0</v>
      </c>
      <c r="P1507" s="17" cm="1">
        <f t="array" aca="1" ref="P1507" ca="1">IndividualLegIVCore($A$4, Table13345678[[#This Row],[Strike]], 0.0411, Table13345678[[#This Row],[T]], ((Table13345678[[#This Row],[BIDP]]+Table13345678[[#This Row],[ASKP]])/2), FALSE)</f>
        <v>0.01</v>
      </c>
      <c r="Q150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7" s="17"/>
      <c r="T150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7" s="19">
        <f>-12* IF($M$1="NDX", 10, IF(OR($M$1="SPX", $M$1="RUT"), 2, 1))</f>
        <v>-24</v>
      </c>
      <c r="Z1507">
        <f ca="1">IFERROR(Table13345678[[#This Row],[call gamma]]*(Table13345678[[#This Row],[Open.Int]])*$A$4^2,0)</f>
        <v>0</v>
      </c>
      <c r="AA1507">
        <f ca="1">IFERROR(((Table13345678[[#This Row],[Open.Int8]])*Table13345678[[#This Row],[Put gamma]])*-1*$A$4^2,0)</f>
        <v>0</v>
      </c>
      <c r="AB1507">
        <f ca="1">(Table13345678[[#This Row],[Call Gex]]+Table13345678[[#This Row],[Put Gex]])</f>
        <v>0</v>
      </c>
      <c r="AC1507">
        <f ca="1">Table13345678[[#This Row],[put delta adj]]+Table13345678[[#This Row],[call delta adj]]</f>
        <v>0</v>
      </c>
      <c r="AD1507">
        <f ca="1">Table13345678[[#This Row],[Put Gex]]*Table13345678[[#This Row],[DeltaP]]*-1</f>
        <v>0</v>
      </c>
      <c r="AE1507">
        <f ca="1">Table13345678[[#This Row],[Call Gex]]*Table13345678[[#This Row],[DeltaC]]</f>
        <v>0</v>
      </c>
      <c r="AF1507">
        <f>IF(Table13345678[[#This Row],[DeltaC]]-ABS(Table13345678[[#This Row],[DeltaP]])="0","0.01",Table13345678[[#This Row],[DeltaC]]-ABS(Table13345678[[#This Row],[DeltaP]]))</f>
        <v>0</v>
      </c>
      <c r="AG150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7" t="e">
        <f ca="1">(EXP(-(AG1507^2)/2)/SQRT(2*PI())*EXP(0*SQRT(Table13345678[[#This Row],[T]]))/$A$4*18%*SQRT(SQRT(Table13345678[[#This Row],[T]])))</f>
        <v>#DIV/0!</v>
      </c>
      <c r="AJ1507" t="e">
        <f ca="1">(EXP(-(AH1507^2)/2)/SQRT(2*PI())*EXP(0*SQRT(Table13345678[[#This Row],[T]]))/$A$4*18%*SQRT(SQRT(Table13345678[[#This Row],[T]])))</f>
        <v>#DIV/0!</v>
      </c>
      <c r="AK1507" t="e">
        <f ca="1">Table13345678[[#This Row],[Call D1]]-Table13345678[[#This Row],[IV Calc C]]*SQRT(Table13345678[[#This Row],[T]])</f>
        <v>#DIV/0!</v>
      </c>
      <c r="AL1507" t="e">
        <f ca="1">Table13345678[[#This Row],[Put D1]]-Table13345678[[#This Row],[IV Calc P]]*SQRT(Table13345678[[#This Row],[T]])</f>
        <v>#DIV/0!</v>
      </c>
      <c r="AM1507" t="e">
        <f ca="1">EXP(-0.5*Table13345678[[#This Row],[Call D1]]^2)/SQRT(2*PI())</f>
        <v>#DIV/0!</v>
      </c>
      <c r="AN1507" t="e">
        <f ca="1">EXP(-0.5*Table13345678[[#This Row],[Put D1]]^2)/SQRT(2*PI())</f>
        <v>#DIV/0!</v>
      </c>
      <c r="AO150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7">
        <f ca="1">((Table13345678[[#This Row],[call vanna]]+Table13345678[[#This Row],[put vanna]])*$A$4)</f>
        <v>0</v>
      </c>
      <c r="AR150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7" s="9" t="str" cm="1">
        <f t="array" ref="AT1507">_xlfn.IFS(     $M$1="SPX","SPXW",     $M$1="RUT","RUTW",  $M$1="NDX","NDXP",   TRUE,$M$1 )</f>
        <v>SPXW</v>
      </c>
      <c r="AU1507" s="2">
        <f t="shared" si="152"/>
        <v>6915</v>
      </c>
      <c r="AV1507" t="str">
        <f t="shared" si="153"/>
        <v>000100</v>
      </c>
      <c r="AY150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7">
        <f>((Table13345678[[#This Row],[High C]]+Table13345678[[#This Row],[Low C]])/2)*Table13345678[[#This Row],[gammac]]*Table13345678[[#This Row],[Volume]]</f>
        <v>0</v>
      </c>
      <c r="BD1507">
        <f>((Table13345678[[#This Row],[High P]]+Table13345678[[#This Row],[Low P]])/2)*Table13345678[[#This Row],[gammap]]*Table13345678[[#This Row],[Volume9]]*-1</f>
        <v>0</v>
      </c>
      <c r="BE1507">
        <f>(Table13345678[[#This Row],[SgammaC]]+Table13345678[[#This Row],[SgammaP]])*$A$4*-100</f>
        <v>0</v>
      </c>
      <c r="BF1507">
        <f>Table13345678[[#This Row],[DEXc]]+Table13345678[[#This Row],[DEXp]]</f>
        <v>0</v>
      </c>
      <c r="BG1507" s="78">
        <f>IFERROR(Table13345678[[#This Row],[DeltaC]]*Table13345678[[#This Row],[Open.Int]]*$A$4,0)</f>
        <v>0</v>
      </c>
      <c r="BH1507">
        <f>IFERROR(Table13345678[[#This Row],[DeltaP]]*Table13345678[[#This Row],[Open.Int8]]*$A$4,0)</f>
        <v>0</v>
      </c>
      <c r="BI150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7">
        <f ca="1">Table13345678[[#This Row],[charmc]]+Table13345678[[#This Row],[charmp]]</f>
        <v>0</v>
      </c>
      <c r="BL150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7" s="78">
        <f ca="1">Table13345678[[#This Row],[call helper]]+Table13345678[[#This Row],[put helper]]</f>
        <v>0</v>
      </c>
      <c r="BP150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8" spans="1:68" x14ac:dyDescent="0.25">
      <c r="A1508" s="14">
        <f t="shared" ca="1" si="149"/>
        <v>-126.14810350076104</v>
      </c>
      <c r="C1508" s="17"/>
      <c r="D1508" t="str">
        <f>RTD("tos.rtd", , "OPEN_INT", "."&amp;Table13345678[[#This Row],[Ticker]]&amp;Table13345678[[#This Row],[Expiry]]&amp;""&amp;"C"&amp;Table13345678[[#This Row],[Spot]]+Table13345678[[#This Row],[step]])</f>
        <v>N/A</v>
      </c>
      <c r="E150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8" s="17" cm="1">
        <f t="array" aca="1" ref="H1508" ca="1">IndividualLegIVCore($A$4, Table13345678[[#This Row],[Strike]], 0.0411, Table13345678[[#This Row],[T]], ((Table13345678[[#This Row],[BIDC]]+Table13345678[[#This Row],[ASKC]])/2), TRUE)</f>
        <v>0.01</v>
      </c>
      <c r="I150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8" s="17"/>
      <c r="M1508" s="1">
        <f t="shared" si="150"/>
        <v>0</v>
      </c>
      <c r="N1508" t="b">
        <f t="shared" si="151"/>
        <v>0</v>
      </c>
      <c r="P1508" s="17" cm="1">
        <f t="array" aca="1" ref="P1508" ca="1">IndividualLegIVCore($A$4, Table13345678[[#This Row],[Strike]], 0.0411, Table13345678[[#This Row],[T]], ((Table13345678[[#This Row],[BIDP]]+Table13345678[[#This Row],[ASKP]])/2), FALSE)</f>
        <v>0.01</v>
      </c>
      <c r="Q150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8" s="17"/>
      <c r="T150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8" s="19">
        <f>-11.5* IF($M$1="NDX", 10, IF(OR($M$1="SPX", $M$1="RUT"), 2, 1))</f>
        <v>-23</v>
      </c>
      <c r="Z1508">
        <f ca="1">IFERROR(Table13345678[[#This Row],[call gamma]]*(Table13345678[[#This Row],[Open.Int]])*$A$4^2,0)</f>
        <v>0</v>
      </c>
      <c r="AA1508">
        <f ca="1">IFERROR(((Table13345678[[#This Row],[Open.Int8]])*Table13345678[[#This Row],[Put gamma]])*-1*$A$4^2,0)</f>
        <v>0</v>
      </c>
      <c r="AB1508">
        <f ca="1">(Table13345678[[#This Row],[Call Gex]]+Table13345678[[#This Row],[Put Gex]])</f>
        <v>0</v>
      </c>
      <c r="AC1508">
        <f ca="1">Table13345678[[#This Row],[put delta adj]]+Table13345678[[#This Row],[call delta adj]]</f>
        <v>0</v>
      </c>
      <c r="AD1508">
        <f ca="1">Table13345678[[#This Row],[Put Gex]]*Table13345678[[#This Row],[DeltaP]]*-1</f>
        <v>0</v>
      </c>
      <c r="AE1508">
        <f ca="1">Table13345678[[#This Row],[Call Gex]]*Table13345678[[#This Row],[DeltaC]]</f>
        <v>0</v>
      </c>
      <c r="AF1508">
        <f>IF(Table13345678[[#This Row],[DeltaC]]-ABS(Table13345678[[#This Row],[DeltaP]])="0","0.01",Table13345678[[#This Row],[DeltaC]]-ABS(Table13345678[[#This Row],[DeltaP]]))</f>
        <v>0</v>
      </c>
      <c r="AG150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8" t="e">
        <f ca="1">(EXP(-(AG1508^2)/2)/SQRT(2*PI())*EXP(0*SQRT(Table13345678[[#This Row],[T]]))/$A$4*18%*SQRT(SQRT(Table13345678[[#This Row],[T]])))</f>
        <v>#DIV/0!</v>
      </c>
      <c r="AJ1508" t="e">
        <f ca="1">(EXP(-(AH1508^2)/2)/SQRT(2*PI())*EXP(0*SQRT(Table13345678[[#This Row],[T]]))/$A$4*18%*SQRT(SQRT(Table13345678[[#This Row],[T]])))</f>
        <v>#DIV/0!</v>
      </c>
      <c r="AK1508" t="e">
        <f ca="1">Table13345678[[#This Row],[Call D1]]-Table13345678[[#This Row],[IV Calc C]]*SQRT(Table13345678[[#This Row],[T]])</f>
        <v>#DIV/0!</v>
      </c>
      <c r="AL1508" t="e">
        <f ca="1">Table13345678[[#This Row],[Put D1]]-Table13345678[[#This Row],[IV Calc P]]*SQRT(Table13345678[[#This Row],[T]])</f>
        <v>#DIV/0!</v>
      </c>
      <c r="AM1508" t="e">
        <f ca="1">EXP(-0.5*Table13345678[[#This Row],[Call D1]]^2)/SQRT(2*PI())</f>
        <v>#DIV/0!</v>
      </c>
      <c r="AN1508" t="e">
        <f ca="1">EXP(-0.5*Table13345678[[#This Row],[Put D1]]^2)/SQRT(2*PI())</f>
        <v>#DIV/0!</v>
      </c>
      <c r="AO150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8">
        <f ca="1">((Table13345678[[#This Row],[call vanna]]+Table13345678[[#This Row],[put vanna]])*$A$4)</f>
        <v>0</v>
      </c>
      <c r="AR150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8" s="9" t="str" cm="1">
        <f t="array" ref="AT1508">_xlfn.IFS(     $M$1="SPX","SPXW",     $M$1="RUT","RUTW",  $M$1="NDX","NDXP",   TRUE,$M$1 )</f>
        <v>SPXW</v>
      </c>
      <c r="AU1508" s="2">
        <f t="shared" si="152"/>
        <v>6915</v>
      </c>
      <c r="AV1508" t="str">
        <f t="shared" si="153"/>
        <v>000100</v>
      </c>
      <c r="AY150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8">
        <f>((Table13345678[[#This Row],[High C]]+Table13345678[[#This Row],[Low C]])/2)*Table13345678[[#This Row],[gammac]]*Table13345678[[#This Row],[Volume]]</f>
        <v>0</v>
      </c>
      <c r="BD1508">
        <f>((Table13345678[[#This Row],[High P]]+Table13345678[[#This Row],[Low P]])/2)*Table13345678[[#This Row],[gammap]]*Table13345678[[#This Row],[Volume9]]*-1</f>
        <v>0</v>
      </c>
      <c r="BE1508">
        <f>(Table13345678[[#This Row],[SgammaC]]+Table13345678[[#This Row],[SgammaP]])*$A$4*-100</f>
        <v>0</v>
      </c>
      <c r="BF1508">
        <f>Table13345678[[#This Row],[DEXc]]+Table13345678[[#This Row],[DEXp]]</f>
        <v>0</v>
      </c>
      <c r="BG1508" s="78">
        <f>IFERROR(Table13345678[[#This Row],[DeltaC]]*Table13345678[[#This Row],[Open.Int]]*$A$4,0)</f>
        <v>0</v>
      </c>
      <c r="BH1508">
        <f>IFERROR(Table13345678[[#This Row],[DeltaP]]*Table13345678[[#This Row],[Open.Int8]]*$A$4,0)</f>
        <v>0</v>
      </c>
      <c r="BI150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8">
        <f ca="1">Table13345678[[#This Row],[charmc]]+Table13345678[[#This Row],[charmp]]</f>
        <v>0</v>
      </c>
      <c r="BL150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8" s="78">
        <f ca="1">Table13345678[[#This Row],[call helper]]+Table13345678[[#This Row],[put helper]]</f>
        <v>0</v>
      </c>
      <c r="BP150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9" spans="1:68" x14ac:dyDescent="0.25">
      <c r="A1509" s="14">
        <f t="shared" ca="1" si="149"/>
        <v>-126.14810350076104</v>
      </c>
      <c r="C1509" s="17"/>
      <c r="D1509" t="str">
        <f>RTD("tos.rtd", , "OPEN_INT", "."&amp;Table13345678[[#This Row],[Ticker]]&amp;Table13345678[[#This Row],[Expiry]]&amp;""&amp;"C"&amp;Table13345678[[#This Row],[Spot]]+Table13345678[[#This Row],[step]])</f>
        <v>N/A</v>
      </c>
      <c r="E150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9" s="17" cm="1">
        <f t="array" aca="1" ref="H1509" ca="1">IndividualLegIVCore($A$4, Table13345678[[#This Row],[Strike]], 0.0411, Table13345678[[#This Row],[T]], ((Table13345678[[#This Row],[BIDC]]+Table13345678[[#This Row],[ASKC]])/2), TRUE)</f>
        <v>0.01</v>
      </c>
      <c r="I150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9" s="17"/>
      <c r="M1509" s="1">
        <f t="shared" si="150"/>
        <v>0</v>
      </c>
      <c r="N1509" t="b">
        <f t="shared" si="151"/>
        <v>0</v>
      </c>
      <c r="P1509" s="17" cm="1">
        <f t="array" aca="1" ref="P1509" ca="1">IndividualLegIVCore($A$4, Table13345678[[#This Row],[Strike]], 0.0411, Table13345678[[#This Row],[T]], ((Table13345678[[#This Row],[BIDP]]+Table13345678[[#This Row],[ASKP]])/2), FALSE)</f>
        <v>0.01</v>
      </c>
      <c r="Q150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9" s="17"/>
      <c r="T150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9" s="19">
        <f>-11* IF($M$1="NDX", 10, IF(OR($M$1="SPX", $M$1="RUT"), 2, 1))</f>
        <v>-22</v>
      </c>
      <c r="Z1509">
        <f ca="1">IFERROR(Table13345678[[#This Row],[call gamma]]*(Table13345678[[#This Row],[Open.Int]])*$A$4^2,0)</f>
        <v>0</v>
      </c>
      <c r="AA1509">
        <f ca="1">IFERROR(((Table13345678[[#This Row],[Open.Int8]])*Table13345678[[#This Row],[Put gamma]])*-1*$A$4^2,0)</f>
        <v>0</v>
      </c>
      <c r="AB1509">
        <f ca="1">(Table13345678[[#This Row],[Call Gex]]+Table13345678[[#This Row],[Put Gex]])</f>
        <v>0</v>
      </c>
      <c r="AC1509">
        <f ca="1">Table13345678[[#This Row],[put delta adj]]+Table13345678[[#This Row],[call delta adj]]</f>
        <v>0</v>
      </c>
      <c r="AD1509">
        <f ca="1">Table13345678[[#This Row],[Put Gex]]*Table13345678[[#This Row],[DeltaP]]*-1</f>
        <v>0</v>
      </c>
      <c r="AE1509">
        <f ca="1">Table13345678[[#This Row],[Call Gex]]*Table13345678[[#This Row],[DeltaC]]</f>
        <v>0</v>
      </c>
      <c r="AF1509">
        <f>IF(Table13345678[[#This Row],[DeltaC]]-ABS(Table13345678[[#This Row],[DeltaP]])="0","0.01",Table13345678[[#This Row],[DeltaC]]-ABS(Table13345678[[#This Row],[DeltaP]]))</f>
        <v>0</v>
      </c>
      <c r="AG150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9" t="e">
        <f ca="1">(EXP(-(AG1509^2)/2)/SQRT(2*PI())*EXP(0*SQRT(Table13345678[[#This Row],[T]]))/$A$4*18%*SQRT(SQRT(Table13345678[[#This Row],[T]])))</f>
        <v>#DIV/0!</v>
      </c>
      <c r="AJ1509" t="e">
        <f ca="1">(EXP(-(AH1509^2)/2)/SQRT(2*PI())*EXP(0*SQRT(Table13345678[[#This Row],[T]]))/$A$4*18%*SQRT(SQRT(Table13345678[[#This Row],[T]])))</f>
        <v>#DIV/0!</v>
      </c>
      <c r="AK1509" t="e">
        <f ca="1">Table13345678[[#This Row],[Call D1]]-Table13345678[[#This Row],[IV Calc C]]*SQRT(Table13345678[[#This Row],[T]])</f>
        <v>#DIV/0!</v>
      </c>
      <c r="AL1509" t="e">
        <f ca="1">Table13345678[[#This Row],[Put D1]]-Table13345678[[#This Row],[IV Calc P]]*SQRT(Table13345678[[#This Row],[T]])</f>
        <v>#DIV/0!</v>
      </c>
      <c r="AM1509" t="e">
        <f ca="1">EXP(-0.5*Table13345678[[#This Row],[Call D1]]^2)/SQRT(2*PI())</f>
        <v>#DIV/0!</v>
      </c>
      <c r="AN1509" t="e">
        <f ca="1">EXP(-0.5*Table13345678[[#This Row],[Put D1]]^2)/SQRT(2*PI())</f>
        <v>#DIV/0!</v>
      </c>
      <c r="AO150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9">
        <f ca="1">((Table13345678[[#This Row],[call vanna]]+Table13345678[[#This Row],[put vanna]])*$A$4)</f>
        <v>0</v>
      </c>
      <c r="AR150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9" s="9" t="str" cm="1">
        <f t="array" ref="AT1509">_xlfn.IFS(     $M$1="SPX","SPXW",     $M$1="RUT","RUTW",  $M$1="NDX","NDXP",   TRUE,$M$1 )</f>
        <v>SPXW</v>
      </c>
      <c r="AU1509" s="2">
        <f t="shared" si="152"/>
        <v>6915</v>
      </c>
      <c r="AV1509" t="str">
        <f t="shared" si="153"/>
        <v>000100</v>
      </c>
      <c r="AY150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9">
        <f>((Table13345678[[#This Row],[High C]]+Table13345678[[#This Row],[Low C]])/2)*Table13345678[[#This Row],[gammac]]*Table13345678[[#This Row],[Volume]]</f>
        <v>0</v>
      </c>
      <c r="BD1509">
        <f>((Table13345678[[#This Row],[High P]]+Table13345678[[#This Row],[Low P]])/2)*Table13345678[[#This Row],[gammap]]*Table13345678[[#This Row],[Volume9]]*-1</f>
        <v>0</v>
      </c>
      <c r="BE1509">
        <f>(Table13345678[[#This Row],[SgammaC]]+Table13345678[[#This Row],[SgammaP]])*$A$4*-100</f>
        <v>0</v>
      </c>
      <c r="BF1509">
        <f>Table13345678[[#This Row],[DEXc]]+Table13345678[[#This Row],[DEXp]]</f>
        <v>0</v>
      </c>
      <c r="BG1509" s="78">
        <f>IFERROR(Table13345678[[#This Row],[DeltaC]]*Table13345678[[#This Row],[Open.Int]]*$A$4,0)</f>
        <v>0</v>
      </c>
      <c r="BH1509">
        <f>IFERROR(Table13345678[[#This Row],[DeltaP]]*Table13345678[[#This Row],[Open.Int8]]*$A$4,0)</f>
        <v>0</v>
      </c>
      <c r="BI150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9">
        <f ca="1">Table13345678[[#This Row],[charmc]]+Table13345678[[#This Row],[charmp]]</f>
        <v>0</v>
      </c>
      <c r="BL150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9" s="78">
        <f ca="1">Table13345678[[#This Row],[call helper]]+Table13345678[[#This Row],[put helper]]</f>
        <v>0</v>
      </c>
      <c r="BP150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0" spans="1:68" x14ac:dyDescent="0.25">
      <c r="A1510" s="14">
        <f t="shared" ca="1" si="149"/>
        <v>-126.14810350076104</v>
      </c>
      <c r="C1510" s="17"/>
      <c r="D1510" t="str">
        <f>RTD("tos.rtd", , "OPEN_INT", "."&amp;Table13345678[[#This Row],[Ticker]]&amp;Table13345678[[#This Row],[Expiry]]&amp;""&amp;"C"&amp;Table13345678[[#This Row],[Spot]]+Table13345678[[#This Row],[step]])</f>
        <v>N/A</v>
      </c>
      <c r="E151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0" s="17" cm="1">
        <f t="array" aca="1" ref="H1510" ca="1">IndividualLegIVCore($A$4, Table13345678[[#This Row],[Strike]], 0.0411, Table13345678[[#This Row],[T]], ((Table13345678[[#This Row],[BIDC]]+Table13345678[[#This Row],[ASKC]])/2), TRUE)</f>
        <v>0.01</v>
      </c>
      <c r="I151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0" s="17"/>
      <c r="M1510" s="1">
        <f t="shared" si="150"/>
        <v>0</v>
      </c>
      <c r="N1510" t="b">
        <f t="shared" si="151"/>
        <v>0</v>
      </c>
      <c r="P1510" s="17" cm="1">
        <f t="array" aca="1" ref="P1510" ca="1">IndividualLegIVCore($A$4, Table13345678[[#This Row],[Strike]], 0.0411, Table13345678[[#This Row],[T]], ((Table13345678[[#This Row],[BIDP]]+Table13345678[[#This Row],[ASKP]])/2), FALSE)</f>
        <v>0.01</v>
      </c>
      <c r="Q151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0" s="17"/>
      <c r="T151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0" s="19">
        <f>-10.5* IF($M$1="NDX", 10, IF(OR($M$1="SPX", $M$1="RUT"), 2, 1))</f>
        <v>-21</v>
      </c>
      <c r="Z1510">
        <f ca="1">IFERROR(Table13345678[[#This Row],[call gamma]]*(Table13345678[[#This Row],[Open.Int]])*$A$4^2,0)</f>
        <v>0</v>
      </c>
      <c r="AA1510">
        <f ca="1">IFERROR(((Table13345678[[#This Row],[Open.Int8]])*Table13345678[[#This Row],[Put gamma]])*-1*$A$4^2,0)</f>
        <v>0</v>
      </c>
      <c r="AB1510">
        <f ca="1">(Table13345678[[#This Row],[Call Gex]]+Table13345678[[#This Row],[Put Gex]])</f>
        <v>0</v>
      </c>
      <c r="AC1510">
        <f ca="1">Table13345678[[#This Row],[put delta adj]]+Table13345678[[#This Row],[call delta adj]]</f>
        <v>0</v>
      </c>
      <c r="AD1510">
        <f ca="1">Table13345678[[#This Row],[Put Gex]]*Table13345678[[#This Row],[DeltaP]]*-1</f>
        <v>0</v>
      </c>
      <c r="AE1510">
        <f ca="1">Table13345678[[#This Row],[Call Gex]]*Table13345678[[#This Row],[DeltaC]]</f>
        <v>0</v>
      </c>
      <c r="AF1510">
        <f>IF(Table13345678[[#This Row],[DeltaC]]-ABS(Table13345678[[#This Row],[DeltaP]])="0","0.01",Table13345678[[#This Row],[DeltaC]]-ABS(Table13345678[[#This Row],[DeltaP]]))</f>
        <v>0</v>
      </c>
      <c r="AG151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0" t="e">
        <f ca="1">(EXP(-(AG1510^2)/2)/SQRT(2*PI())*EXP(0*SQRT(Table13345678[[#This Row],[T]]))/$A$4*18%*SQRT(SQRT(Table13345678[[#This Row],[T]])))</f>
        <v>#DIV/0!</v>
      </c>
      <c r="AJ1510" t="e">
        <f ca="1">(EXP(-(AH1510^2)/2)/SQRT(2*PI())*EXP(0*SQRT(Table13345678[[#This Row],[T]]))/$A$4*18%*SQRT(SQRT(Table13345678[[#This Row],[T]])))</f>
        <v>#DIV/0!</v>
      </c>
      <c r="AK1510" t="e">
        <f ca="1">Table13345678[[#This Row],[Call D1]]-Table13345678[[#This Row],[IV Calc C]]*SQRT(Table13345678[[#This Row],[T]])</f>
        <v>#DIV/0!</v>
      </c>
      <c r="AL1510" t="e">
        <f ca="1">Table13345678[[#This Row],[Put D1]]-Table13345678[[#This Row],[IV Calc P]]*SQRT(Table13345678[[#This Row],[T]])</f>
        <v>#DIV/0!</v>
      </c>
      <c r="AM1510" t="e">
        <f ca="1">EXP(-0.5*Table13345678[[#This Row],[Call D1]]^2)/SQRT(2*PI())</f>
        <v>#DIV/0!</v>
      </c>
      <c r="AN1510" t="e">
        <f ca="1">EXP(-0.5*Table13345678[[#This Row],[Put D1]]^2)/SQRT(2*PI())</f>
        <v>#DIV/0!</v>
      </c>
      <c r="AO151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0">
        <f ca="1">((Table13345678[[#This Row],[call vanna]]+Table13345678[[#This Row],[put vanna]])*$A$4)</f>
        <v>0</v>
      </c>
      <c r="AR151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0" s="9" t="str" cm="1">
        <f t="array" ref="AT1510">_xlfn.IFS(     $M$1="SPX","SPXW",     $M$1="RUT","RUTW",  $M$1="NDX","NDXP",   TRUE,$M$1 )</f>
        <v>SPXW</v>
      </c>
      <c r="AU1510" s="2">
        <f t="shared" si="152"/>
        <v>6915</v>
      </c>
      <c r="AV1510" t="str">
        <f t="shared" si="153"/>
        <v>000100</v>
      </c>
      <c r="AY151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0">
        <f>((Table13345678[[#This Row],[High C]]+Table13345678[[#This Row],[Low C]])/2)*Table13345678[[#This Row],[gammac]]*Table13345678[[#This Row],[Volume]]</f>
        <v>0</v>
      </c>
      <c r="BD1510">
        <f>((Table13345678[[#This Row],[High P]]+Table13345678[[#This Row],[Low P]])/2)*Table13345678[[#This Row],[gammap]]*Table13345678[[#This Row],[Volume9]]*-1</f>
        <v>0</v>
      </c>
      <c r="BE1510">
        <f>(Table13345678[[#This Row],[SgammaC]]+Table13345678[[#This Row],[SgammaP]])*$A$4*-100</f>
        <v>0</v>
      </c>
      <c r="BF1510">
        <f>Table13345678[[#This Row],[DEXc]]+Table13345678[[#This Row],[DEXp]]</f>
        <v>0</v>
      </c>
      <c r="BG1510" s="78">
        <f>IFERROR(Table13345678[[#This Row],[DeltaC]]*Table13345678[[#This Row],[Open.Int]]*$A$4,0)</f>
        <v>0</v>
      </c>
      <c r="BH1510">
        <f>IFERROR(Table13345678[[#This Row],[DeltaP]]*Table13345678[[#This Row],[Open.Int8]]*$A$4,0)</f>
        <v>0</v>
      </c>
      <c r="BI151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0">
        <f ca="1">Table13345678[[#This Row],[charmc]]+Table13345678[[#This Row],[charmp]]</f>
        <v>0</v>
      </c>
      <c r="BL151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0" s="78">
        <f ca="1">Table13345678[[#This Row],[call helper]]+Table13345678[[#This Row],[put helper]]</f>
        <v>0</v>
      </c>
      <c r="BP151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1" spans="1:68" x14ac:dyDescent="0.25">
      <c r="A1511" s="14">
        <f t="shared" ca="1" si="149"/>
        <v>-126.14810350076104</v>
      </c>
      <c r="C1511" s="17"/>
      <c r="D1511" t="str">
        <f>RTD("tos.rtd", , "OPEN_INT", "."&amp;Table13345678[[#This Row],[Ticker]]&amp;Table13345678[[#This Row],[Expiry]]&amp;""&amp;"C"&amp;Table13345678[[#This Row],[Spot]]+Table13345678[[#This Row],[step]])</f>
        <v>N/A</v>
      </c>
      <c r="E151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1" s="17" cm="1">
        <f t="array" aca="1" ref="H1511" ca="1">IndividualLegIVCore($A$4, Table13345678[[#This Row],[Strike]], 0.0411, Table13345678[[#This Row],[T]], ((Table13345678[[#This Row],[BIDC]]+Table13345678[[#This Row],[ASKC]])/2), TRUE)</f>
        <v>0.01</v>
      </c>
      <c r="I151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1" s="17"/>
      <c r="M1511" s="1">
        <f t="shared" si="150"/>
        <v>0</v>
      </c>
      <c r="N1511" t="b">
        <f t="shared" si="151"/>
        <v>0</v>
      </c>
      <c r="P1511" s="17" cm="1">
        <f t="array" aca="1" ref="P1511" ca="1">IndividualLegIVCore($A$4, Table13345678[[#This Row],[Strike]], 0.0411, Table13345678[[#This Row],[T]], ((Table13345678[[#This Row],[BIDP]]+Table13345678[[#This Row],[ASKP]])/2), FALSE)</f>
        <v>0.01</v>
      </c>
      <c r="Q151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1" s="17"/>
      <c r="T151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1" s="19">
        <f>-10* IF($M$1="NDX", 10, IF(OR($M$1="SPX", $M$1="RUT"), 2, 1))</f>
        <v>-20</v>
      </c>
      <c r="Z1511">
        <f ca="1">IFERROR(Table13345678[[#This Row],[call gamma]]*(Table13345678[[#This Row],[Open.Int]])*$A$4^2,0)</f>
        <v>0</v>
      </c>
      <c r="AA1511">
        <f ca="1">IFERROR(((Table13345678[[#This Row],[Open.Int8]])*Table13345678[[#This Row],[Put gamma]])*-1*$A$4^2,0)</f>
        <v>0</v>
      </c>
      <c r="AB1511">
        <f ca="1">(Table13345678[[#This Row],[Call Gex]]+Table13345678[[#This Row],[Put Gex]])</f>
        <v>0</v>
      </c>
      <c r="AC1511">
        <f ca="1">Table13345678[[#This Row],[put delta adj]]+Table13345678[[#This Row],[call delta adj]]</f>
        <v>0</v>
      </c>
      <c r="AD1511">
        <f ca="1">Table13345678[[#This Row],[Put Gex]]*Table13345678[[#This Row],[DeltaP]]*-1</f>
        <v>0</v>
      </c>
      <c r="AE1511">
        <f ca="1">Table13345678[[#This Row],[Call Gex]]*Table13345678[[#This Row],[DeltaC]]</f>
        <v>0</v>
      </c>
      <c r="AF1511">
        <f>IF(Table13345678[[#This Row],[DeltaC]]-ABS(Table13345678[[#This Row],[DeltaP]])="0","0.01",Table13345678[[#This Row],[DeltaC]]-ABS(Table13345678[[#This Row],[DeltaP]]))</f>
        <v>0</v>
      </c>
      <c r="AG151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1" t="e">
        <f ca="1">(EXP(-(AG1511^2)/2)/SQRT(2*PI())*EXP(0*SQRT(Table13345678[[#This Row],[T]]))/$A$4*18%*SQRT(SQRT(Table13345678[[#This Row],[T]])))</f>
        <v>#DIV/0!</v>
      </c>
      <c r="AJ1511" t="e">
        <f ca="1">(EXP(-(AH1511^2)/2)/SQRT(2*PI())*EXP(0*SQRT(Table13345678[[#This Row],[T]]))/$A$4*18%*SQRT(SQRT(Table13345678[[#This Row],[T]])))</f>
        <v>#DIV/0!</v>
      </c>
      <c r="AK1511" t="e">
        <f ca="1">Table13345678[[#This Row],[Call D1]]-Table13345678[[#This Row],[IV Calc C]]*SQRT(Table13345678[[#This Row],[T]])</f>
        <v>#DIV/0!</v>
      </c>
      <c r="AL1511" t="e">
        <f ca="1">Table13345678[[#This Row],[Put D1]]-Table13345678[[#This Row],[IV Calc P]]*SQRT(Table13345678[[#This Row],[T]])</f>
        <v>#DIV/0!</v>
      </c>
      <c r="AM1511" t="e">
        <f ca="1">EXP(-0.5*Table13345678[[#This Row],[Call D1]]^2)/SQRT(2*PI())</f>
        <v>#DIV/0!</v>
      </c>
      <c r="AN1511" t="e">
        <f ca="1">EXP(-0.5*Table13345678[[#This Row],[Put D1]]^2)/SQRT(2*PI())</f>
        <v>#DIV/0!</v>
      </c>
      <c r="AO151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1">
        <f ca="1">((Table13345678[[#This Row],[call vanna]]+Table13345678[[#This Row],[put vanna]])*$A$4)</f>
        <v>0</v>
      </c>
      <c r="AR151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1" s="9" t="str" cm="1">
        <f t="array" ref="AT1511">_xlfn.IFS(     $M$1="SPX","SPXW",     $M$1="RUT","RUTW",  $M$1="NDX","NDXP",   TRUE,$M$1 )</f>
        <v>SPXW</v>
      </c>
      <c r="AU1511" s="2">
        <f t="shared" si="152"/>
        <v>6915</v>
      </c>
      <c r="AV1511" t="str">
        <f t="shared" si="153"/>
        <v>000100</v>
      </c>
      <c r="AY151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1">
        <f>((Table13345678[[#This Row],[High C]]+Table13345678[[#This Row],[Low C]])/2)*Table13345678[[#This Row],[gammac]]*Table13345678[[#This Row],[Volume]]</f>
        <v>0</v>
      </c>
      <c r="BD1511">
        <f>((Table13345678[[#This Row],[High P]]+Table13345678[[#This Row],[Low P]])/2)*Table13345678[[#This Row],[gammap]]*Table13345678[[#This Row],[Volume9]]*-1</f>
        <v>0</v>
      </c>
      <c r="BE1511">
        <f>(Table13345678[[#This Row],[SgammaC]]+Table13345678[[#This Row],[SgammaP]])*$A$4*-100</f>
        <v>0</v>
      </c>
      <c r="BF1511">
        <f>Table13345678[[#This Row],[DEXc]]+Table13345678[[#This Row],[DEXp]]</f>
        <v>0</v>
      </c>
      <c r="BG1511" s="78">
        <f>IFERROR(Table13345678[[#This Row],[DeltaC]]*Table13345678[[#This Row],[Open.Int]]*$A$4,0)</f>
        <v>0</v>
      </c>
      <c r="BH1511">
        <f>IFERROR(Table13345678[[#This Row],[DeltaP]]*Table13345678[[#This Row],[Open.Int8]]*$A$4,0)</f>
        <v>0</v>
      </c>
      <c r="BI151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1">
        <f ca="1">Table13345678[[#This Row],[charmc]]+Table13345678[[#This Row],[charmp]]</f>
        <v>0</v>
      </c>
      <c r="BL151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1" s="78">
        <f ca="1">Table13345678[[#This Row],[call helper]]+Table13345678[[#This Row],[put helper]]</f>
        <v>0</v>
      </c>
      <c r="BP151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2" spans="1:68" x14ac:dyDescent="0.25">
      <c r="A1512" s="14">
        <f t="shared" ca="1" si="149"/>
        <v>-126.14810350076104</v>
      </c>
      <c r="C1512" s="17"/>
      <c r="D1512" t="str">
        <f>RTD("tos.rtd", , "OPEN_INT", "."&amp;Table13345678[[#This Row],[Ticker]]&amp;Table13345678[[#This Row],[Expiry]]&amp;""&amp;"C"&amp;Table13345678[[#This Row],[Spot]]+Table13345678[[#This Row],[step]])</f>
        <v>N/A</v>
      </c>
      <c r="E151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2" s="17" cm="1">
        <f t="array" aca="1" ref="H1512" ca="1">IndividualLegIVCore($A$4, Table13345678[[#This Row],[Strike]], 0.0411, Table13345678[[#This Row],[T]], ((Table13345678[[#This Row],[BIDC]]+Table13345678[[#This Row],[ASKC]])/2), TRUE)</f>
        <v>0.01</v>
      </c>
      <c r="I151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2" s="17"/>
      <c r="M1512" s="1">
        <f t="shared" si="150"/>
        <v>0</v>
      </c>
      <c r="N1512" t="b">
        <f t="shared" si="151"/>
        <v>0</v>
      </c>
      <c r="P1512" s="17" cm="1">
        <f t="array" aca="1" ref="P1512" ca="1">IndividualLegIVCore($A$4, Table13345678[[#This Row],[Strike]], 0.0411, Table13345678[[#This Row],[T]], ((Table13345678[[#This Row],[BIDP]]+Table13345678[[#This Row],[ASKP]])/2), FALSE)</f>
        <v>0.01</v>
      </c>
      <c r="Q151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2" s="17"/>
      <c r="T151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2" s="21">
        <f>-9.5* IF($M$1="NDX", 10, IF(OR($M$1="SPX", $M$1="RUT"), 2, 1))</f>
        <v>-19</v>
      </c>
      <c r="Z1512">
        <f ca="1">IFERROR(Table13345678[[#This Row],[call gamma]]*(Table13345678[[#This Row],[Open.Int]])*$A$4^2,0)</f>
        <v>0</v>
      </c>
      <c r="AA1512">
        <f ca="1">IFERROR(((Table13345678[[#This Row],[Open.Int8]])*Table13345678[[#This Row],[Put gamma]])*-1*$A$4^2,0)</f>
        <v>0</v>
      </c>
      <c r="AB1512">
        <f ca="1">(Table13345678[[#This Row],[Call Gex]]+Table13345678[[#This Row],[Put Gex]])</f>
        <v>0</v>
      </c>
      <c r="AC1512">
        <f ca="1">Table13345678[[#This Row],[put delta adj]]+Table13345678[[#This Row],[call delta adj]]</f>
        <v>0</v>
      </c>
      <c r="AD1512">
        <f ca="1">Table13345678[[#This Row],[Put Gex]]*Table13345678[[#This Row],[DeltaP]]*-1</f>
        <v>0</v>
      </c>
      <c r="AE1512">
        <f ca="1">Table13345678[[#This Row],[Call Gex]]*Table13345678[[#This Row],[DeltaC]]</f>
        <v>0</v>
      </c>
      <c r="AF1512">
        <f>IF(Table13345678[[#This Row],[DeltaC]]-ABS(Table13345678[[#This Row],[DeltaP]])="0","0.01",Table13345678[[#This Row],[DeltaC]]-ABS(Table13345678[[#This Row],[DeltaP]]))</f>
        <v>0</v>
      </c>
      <c r="AG151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2" t="e">
        <f ca="1">(EXP(-(AG1512^2)/2)/SQRT(2*PI())*EXP(0*SQRT(Table13345678[[#This Row],[T]]))/$A$4*18%*SQRT(SQRT(Table13345678[[#This Row],[T]])))</f>
        <v>#DIV/0!</v>
      </c>
      <c r="AJ1512" t="e">
        <f ca="1">(EXP(-(AH1512^2)/2)/SQRT(2*PI())*EXP(0*SQRT(Table13345678[[#This Row],[T]]))/$A$4*18%*SQRT(SQRT(Table13345678[[#This Row],[T]])))</f>
        <v>#DIV/0!</v>
      </c>
      <c r="AK1512" t="e">
        <f ca="1">Table13345678[[#This Row],[Call D1]]-Table13345678[[#This Row],[IV Calc C]]*SQRT(Table13345678[[#This Row],[T]])</f>
        <v>#DIV/0!</v>
      </c>
      <c r="AL1512" t="e">
        <f ca="1">Table13345678[[#This Row],[Put D1]]-Table13345678[[#This Row],[IV Calc P]]*SQRT(Table13345678[[#This Row],[T]])</f>
        <v>#DIV/0!</v>
      </c>
      <c r="AM1512" t="e">
        <f ca="1">EXP(-0.5*Table13345678[[#This Row],[Call D1]]^2)/SQRT(2*PI())</f>
        <v>#DIV/0!</v>
      </c>
      <c r="AN1512" t="e">
        <f ca="1">EXP(-0.5*Table13345678[[#This Row],[Put D1]]^2)/SQRT(2*PI())</f>
        <v>#DIV/0!</v>
      </c>
      <c r="AO151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2">
        <f ca="1">((Table13345678[[#This Row],[call vanna]]+Table13345678[[#This Row],[put vanna]])*$A$4)</f>
        <v>0</v>
      </c>
      <c r="AR151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2" s="9" t="str" cm="1">
        <f t="array" ref="AT1512">_xlfn.IFS(     $M$1="SPX","SPXW",     $M$1="RUT","RUTW",  $M$1="NDX","NDXP",   TRUE,$M$1 )</f>
        <v>SPXW</v>
      </c>
      <c r="AU1512" s="2">
        <f t="shared" si="152"/>
        <v>6915</v>
      </c>
      <c r="AV1512" t="str">
        <f t="shared" si="153"/>
        <v>000100</v>
      </c>
      <c r="AY151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2">
        <f>((Table13345678[[#This Row],[High C]]+Table13345678[[#This Row],[Low C]])/2)*Table13345678[[#This Row],[gammac]]*Table13345678[[#This Row],[Volume]]</f>
        <v>0</v>
      </c>
      <c r="BD1512">
        <f>((Table13345678[[#This Row],[High P]]+Table13345678[[#This Row],[Low P]])/2)*Table13345678[[#This Row],[gammap]]*Table13345678[[#This Row],[Volume9]]*-1</f>
        <v>0</v>
      </c>
      <c r="BE1512">
        <f>(Table13345678[[#This Row],[SgammaC]]+Table13345678[[#This Row],[SgammaP]])*$A$4*-100</f>
        <v>0</v>
      </c>
      <c r="BF1512">
        <f>Table13345678[[#This Row],[DEXc]]+Table13345678[[#This Row],[DEXp]]</f>
        <v>0</v>
      </c>
      <c r="BG1512" s="78">
        <f>IFERROR(Table13345678[[#This Row],[DeltaC]]*Table13345678[[#This Row],[Open.Int]]*$A$4,0)</f>
        <v>0</v>
      </c>
      <c r="BH1512">
        <f>IFERROR(Table13345678[[#This Row],[DeltaP]]*Table13345678[[#This Row],[Open.Int8]]*$A$4,0)</f>
        <v>0</v>
      </c>
      <c r="BI151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2">
        <f ca="1">Table13345678[[#This Row],[charmc]]+Table13345678[[#This Row],[charmp]]</f>
        <v>0</v>
      </c>
      <c r="BL151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2" s="78">
        <f ca="1">Table13345678[[#This Row],[call helper]]+Table13345678[[#This Row],[put helper]]</f>
        <v>0</v>
      </c>
      <c r="BP151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3" spans="1:68" x14ac:dyDescent="0.25">
      <c r="A1513" s="14">
        <f t="shared" ca="1" si="149"/>
        <v>-126.14810350076104</v>
      </c>
      <c r="C1513" s="17"/>
      <c r="D1513" t="str">
        <f>RTD("tos.rtd", , "OPEN_INT", "."&amp;Table13345678[[#This Row],[Ticker]]&amp;Table13345678[[#This Row],[Expiry]]&amp;""&amp;"C"&amp;Table13345678[[#This Row],[Spot]]+Table13345678[[#This Row],[step]])</f>
        <v>N/A</v>
      </c>
      <c r="E151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3" s="17" cm="1">
        <f t="array" aca="1" ref="H1513" ca="1">IndividualLegIVCore($A$4, Table13345678[[#This Row],[Strike]], 0.0411, Table13345678[[#This Row],[T]], ((Table13345678[[#This Row],[BIDC]]+Table13345678[[#This Row],[ASKC]])/2), TRUE)</f>
        <v>0.01</v>
      </c>
      <c r="I151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3" s="17"/>
      <c r="M1513" s="1">
        <f t="shared" si="150"/>
        <v>0</v>
      </c>
      <c r="N1513" t="b">
        <f t="shared" si="151"/>
        <v>0</v>
      </c>
      <c r="P1513" s="17" cm="1">
        <f t="array" aca="1" ref="P1513" ca="1">IndividualLegIVCore($A$4, Table13345678[[#This Row],[Strike]], 0.0411, Table13345678[[#This Row],[T]], ((Table13345678[[#This Row],[BIDP]]+Table13345678[[#This Row],[ASKP]])/2), FALSE)</f>
        <v>0.01</v>
      </c>
      <c r="Q151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3" s="17"/>
      <c r="T151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3" s="19">
        <f>-9* IF($M$1="NDX", 10, IF(OR($M$1="SPX", $M$1="RUT"), 2, 1))</f>
        <v>-18</v>
      </c>
      <c r="Z1513">
        <f ca="1">IFERROR(Table13345678[[#This Row],[call gamma]]*(Table13345678[[#This Row],[Open.Int]])*$A$4^2,0)</f>
        <v>0</v>
      </c>
      <c r="AA1513">
        <f ca="1">IFERROR(((Table13345678[[#This Row],[Open.Int8]])*Table13345678[[#This Row],[Put gamma]])*-1*$A$4^2,0)</f>
        <v>0</v>
      </c>
      <c r="AB1513">
        <f ca="1">(Table13345678[[#This Row],[Call Gex]]+Table13345678[[#This Row],[Put Gex]])</f>
        <v>0</v>
      </c>
      <c r="AC1513">
        <f ca="1">Table13345678[[#This Row],[put delta adj]]+Table13345678[[#This Row],[call delta adj]]</f>
        <v>0</v>
      </c>
      <c r="AD1513">
        <f ca="1">Table13345678[[#This Row],[Put Gex]]*Table13345678[[#This Row],[DeltaP]]*-1</f>
        <v>0</v>
      </c>
      <c r="AE1513">
        <f ca="1">Table13345678[[#This Row],[Call Gex]]*Table13345678[[#This Row],[DeltaC]]</f>
        <v>0</v>
      </c>
      <c r="AF1513">
        <f>IF(Table13345678[[#This Row],[DeltaC]]-ABS(Table13345678[[#This Row],[DeltaP]])="0","0.01",Table13345678[[#This Row],[DeltaC]]-ABS(Table13345678[[#This Row],[DeltaP]]))</f>
        <v>0</v>
      </c>
      <c r="AG151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3" t="e">
        <f ca="1">(EXP(-(AG1513^2)/2)/SQRT(2*PI())*EXP(0*SQRT(Table13345678[[#This Row],[T]]))/$A$4*18%*SQRT(SQRT(Table13345678[[#This Row],[T]])))</f>
        <v>#DIV/0!</v>
      </c>
      <c r="AJ1513" t="e">
        <f ca="1">(EXP(-(AH1513^2)/2)/SQRT(2*PI())*EXP(0*SQRT(Table13345678[[#This Row],[T]]))/$A$4*18%*SQRT(SQRT(Table13345678[[#This Row],[T]])))</f>
        <v>#DIV/0!</v>
      </c>
      <c r="AK1513" t="e">
        <f ca="1">Table13345678[[#This Row],[Call D1]]-Table13345678[[#This Row],[IV Calc C]]*SQRT(Table13345678[[#This Row],[T]])</f>
        <v>#DIV/0!</v>
      </c>
      <c r="AL1513" t="e">
        <f ca="1">Table13345678[[#This Row],[Put D1]]-Table13345678[[#This Row],[IV Calc P]]*SQRT(Table13345678[[#This Row],[T]])</f>
        <v>#DIV/0!</v>
      </c>
      <c r="AM1513" t="e">
        <f ca="1">EXP(-0.5*Table13345678[[#This Row],[Call D1]]^2)/SQRT(2*PI())</f>
        <v>#DIV/0!</v>
      </c>
      <c r="AN1513" t="e">
        <f ca="1">EXP(-0.5*Table13345678[[#This Row],[Put D1]]^2)/SQRT(2*PI())</f>
        <v>#DIV/0!</v>
      </c>
      <c r="AO151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3">
        <f ca="1">((Table13345678[[#This Row],[call vanna]]+Table13345678[[#This Row],[put vanna]])*$A$4)</f>
        <v>0</v>
      </c>
      <c r="AR151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3" s="9" t="str" cm="1">
        <f t="array" ref="AT1513">_xlfn.IFS(     $M$1="SPX","SPXW",     $M$1="RUT","RUTW",  $M$1="NDX","NDXP",   TRUE,$M$1 )</f>
        <v>SPXW</v>
      </c>
      <c r="AU1513" s="2">
        <f t="shared" si="152"/>
        <v>6915</v>
      </c>
      <c r="AV1513" t="str">
        <f t="shared" si="153"/>
        <v>000100</v>
      </c>
      <c r="AY151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3">
        <f>((Table13345678[[#This Row],[High C]]+Table13345678[[#This Row],[Low C]])/2)*Table13345678[[#This Row],[gammac]]*Table13345678[[#This Row],[Volume]]</f>
        <v>0</v>
      </c>
      <c r="BD1513">
        <f>((Table13345678[[#This Row],[High P]]+Table13345678[[#This Row],[Low P]])/2)*Table13345678[[#This Row],[gammap]]*Table13345678[[#This Row],[Volume9]]*-1</f>
        <v>0</v>
      </c>
      <c r="BE1513">
        <f>(Table13345678[[#This Row],[SgammaC]]+Table13345678[[#This Row],[SgammaP]])*$A$4*-100</f>
        <v>0</v>
      </c>
      <c r="BF1513">
        <f>Table13345678[[#This Row],[DEXc]]+Table13345678[[#This Row],[DEXp]]</f>
        <v>0</v>
      </c>
      <c r="BG1513" s="78">
        <f>IFERROR(Table13345678[[#This Row],[DeltaC]]*Table13345678[[#This Row],[Open.Int]]*$A$4,0)</f>
        <v>0</v>
      </c>
      <c r="BH1513">
        <f>IFERROR(Table13345678[[#This Row],[DeltaP]]*Table13345678[[#This Row],[Open.Int8]]*$A$4,0)</f>
        <v>0</v>
      </c>
      <c r="BI151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3">
        <f ca="1">Table13345678[[#This Row],[charmc]]+Table13345678[[#This Row],[charmp]]</f>
        <v>0</v>
      </c>
      <c r="BL151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3" s="78">
        <f ca="1">Table13345678[[#This Row],[call helper]]+Table13345678[[#This Row],[put helper]]</f>
        <v>0</v>
      </c>
      <c r="BP151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4" spans="1:68" x14ac:dyDescent="0.25">
      <c r="A1514" s="14">
        <f t="shared" ca="1" si="149"/>
        <v>-126.14810350076104</v>
      </c>
      <c r="C1514" s="17"/>
      <c r="D1514" t="str">
        <f>RTD("tos.rtd", , "OPEN_INT", "."&amp;Table13345678[[#This Row],[Ticker]]&amp;Table13345678[[#This Row],[Expiry]]&amp;""&amp;"C"&amp;Table13345678[[#This Row],[Spot]]+Table13345678[[#This Row],[step]])</f>
        <v>N/A</v>
      </c>
      <c r="E151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4" s="17" cm="1">
        <f t="array" aca="1" ref="H1514" ca="1">IndividualLegIVCore($A$4, Table13345678[[#This Row],[Strike]], 0.0411, Table13345678[[#This Row],[T]], ((Table13345678[[#This Row],[BIDC]]+Table13345678[[#This Row],[ASKC]])/2), TRUE)</f>
        <v>0.01</v>
      </c>
      <c r="I151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4" s="17"/>
      <c r="M1514" s="1">
        <f t="shared" si="150"/>
        <v>0</v>
      </c>
      <c r="N1514" t="b">
        <f t="shared" si="151"/>
        <v>0</v>
      </c>
      <c r="P1514" s="17" cm="1">
        <f t="array" aca="1" ref="P1514" ca="1">IndividualLegIVCore($A$4, Table13345678[[#This Row],[Strike]], 0.0411, Table13345678[[#This Row],[T]], ((Table13345678[[#This Row],[BIDP]]+Table13345678[[#This Row],[ASKP]])/2), FALSE)</f>
        <v>0.01</v>
      </c>
      <c r="Q151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4" s="17"/>
      <c r="T151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4" s="19">
        <f>-8.5* IF($M$1="NDX", 10, IF(OR($M$1="SPX", $M$1="RUT"), 2, 1))</f>
        <v>-17</v>
      </c>
      <c r="Z1514">
        <f ca="1">IFERROR(Table13345678[[#This Row],[call gamma]]*(Table13345678[[#This Row],[Open.Int]])*$A$4^2,0)</f>
        <v>0</v>
      </c>
      <c r="AA1514">
        <f ca="1">IFERROR(((Table13345678[[#This Row],[Open.Int8]])*Table13345678[[#This Row],[Put gamma]])*-1*$A$4^2,0)</f>
        <v>0</v>
      </c>
      <c r="AB1514">
        <f ca="1">(Table13345678[[#This Row],[Call Gex]]+Table13345678[[#This Row],[Put Gex]])</f>
        <v>0</v>
      </c>
      <c r="AC1514">
        <f ca="1">Table13345678[[#This Row],[put delta adj]]+Table13345678[[#This Row],[call delta adj]]</f>
        <v>0</v>
      </c>
      <c r="AD1514">
        <f ca="1">Table13345678[[#This Row],[Put Gex]]*Table13345678[[#This Row],[DeltaP]]*-1</f>
        <v>0</v>
      </c>
      <c r="AE1514">
        <f ca="1">Table13345678[[#This Row],[Call Gex]]*Table13345678[[#This Row],[DeltaC]]</f>
        <v>0</v>
      </c>
      <c r="AF1514">
        <f>IF(Table13345678[[#This Row],[DeltaC]]-ABS(Table13345678[[#This Row],[DeltaP]])="0","0.01",Table13345678[[#This Row],[DeltaC]]-ABS(Table13345678[[#This Row],[DeltaP]]))</f>
        <v>0</v>
      </c>
      <c r="AG151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4" t="e">
        <f ca="1">(EXP(-(AG1514^2)/2)/SQRT(2*PI())*EXP(0*SQRT(Table13345678[[#This Row],[T]]))/$A$4*18%*SQRT(SQRT(Table13345678[[#This Row],[T]])))</f>
        <v>#DIV/0!</v>
      </c>
      <c r="AJ1514" t="e">
        <f ca="1">(EXP(-(AH1514^2)/2)/SQRT(2*PI())*EXP(0*SQRT(Table13345678[[#This Row],[T]]))/$A$4*18%*SQRT(SQRT(Table13345678[[#This Row],[T]])))</f>
        <v>#DIV/0!</v>
      </c>
      <c r="AK1514" t="e">
        <f ca="1">Table13345678[[#This Row],[Call D1]]-Table13345678[[#This Row],[IV Calc C]]*SQRT(Table13345678[[#This Row],[T]])</f>
        <v>#DIV/0!</v>
      </c>
      <c r="AL1514" t="e">
        <f ca="1">Table13345678[[#This Row],[Put D1]]-Table13345678[[#This Row],[IV Calc P]]*SQRT(Table13345678[[#This Row],[T]])</f>
        <v>#DIV/0!</v>
      </c>
      <c r="AM1514" t="e">
        <f ca="1">EXP(-0.5*Table13345678[[#This Row],[Call D1]]^2)/SQRT(2*PI())</f>
        <v>#DIV/0!</v>
      </c>
      <c r="AN1514" t="e">
        <f ca="1">EXP(-0.5*Table13345678[[#This Row],[Put D1]]^2)/SQRT(2*PI())</f>
        <v>#DIV/0!</v>
      </c>
      <c r="AO151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4">
        <f ca="1">((Table13345678[[#This Row],[call vanna]]+Table13345678[[#This Row],[put vanna]])*$A$4)</f>
        <v>0</v>
      </c>
      <c r="AR151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4" s="9" t="str" cm="1">
        <f t="array" ref="AT1514">_xlfn.IFS(     $M$1="SPX","SPXW",     $M$1="RUT","RUTW",  $M$1="NDX","NDXP",   TRUE,$M$1 )</f>
        <v>SPXW</v>
      </c>
      <c r="AU1514" s="2">
        <f t="shared" si="152"/>
        <v>6915</v>
      </c>
      <c r="AV1514" t="str">
        <f t="shared" si="153"/>
        <v>000100</v>
      </c>
      <c r="AY151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4">
        <f>((Table13345678[[#This Row],[High C]]+Table13345678[[#This Row],[Low C]])/2)*Table13345678[[#This Row],[gammac]]*Table13345678[[#This Row],[Volume]]</f>
        <v>0</v>
      </c>
      <c r="BD1514">
        <f>((Table13345678[[#This Row],[High P]]+Table13345678[[#This Row],[Low P]])/2)*Table13345678[[#This Row],[gammap]]*Table13345678[[#This Row],[Volume9]]*-1</f>
        <v>0</v>
      </c>
      <c r="BE1514">
        <f>(Table13345678[[#This Row],[SgammaC]]+Table13345678[[#This Row],[SgammaP]])*$A$4*-100</f>
        <v>0</v>
      </c>
      <c r="BF1514">
        <f>Table13345678[[#This Row],[DEXc]]+Table13345678[[#This Row],[DEXp]]</f>
        <v>0</v>
      </c>
      <c r="BG1514" s="78">
        <f>IFERROR(Table13345678[[#This Row],[DeltaC]]*Table13345678[[#This Row],[Open.Int]]*$A$4,0)</f>
        <v>0</v>
      </c>
      <c r="BH1514">
        <f>IFERROR(Table13345678[[#This Row],[DeltaP]]*Table13345678[[#This Row],[Open.Int8]]*$A$4,0)</f>
        <v>0</v>
      </c>
      <c r="BI151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4">
        <f ca="1">Table13345678[[#This Row],[charmc]]+Table13345678[[#This Row],[charmp]]</f>
        <v>0</v>
      </c>
      <c r="BL151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4" s="78">
        <f ca="1">Table13345678[[#This Row],[call helper]]+Table13345678[[#This Row],[put helper]]</f>
        <v>0</v>
      </c>
      <c r="BP151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5" spans="1:68" x14ac:dyDescent="0.25">
      <c r="A1515" s="14">
        <f t="shared" ca="1" si="149"/>
        <v>-126.14810350076104</v>
      </c>
      <c r="C1515" s="17"/>
      <c r="D1515" t="str">
        <f>RTD("tos.rtd", , "OPEN_INT", "."&amp;Table13345678[[#This Row],[Ticker]]&amp;Table13345678[[#This Row],[Expiry]]&amp;""&amp;"C"&amp;Table13345678[[#This Row],[Spot]]+Table13345678[[#This Row],[step]])</f>
        <v>N/A</v>
      </c>
      <c r="E151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5" s="17" cm="1">
        <f t="array" aca="1" ref="H1515" ca="1">IndividualLegIVCore($A$4, Table13345678[[#This Row],[Strike]], 0.0411, Table13345678[[#This Row],[T]], ((Table13345678[[#This Row],[BIDC]]+Table13345678[[#This Row],[ASKC]])/2), TRUE)</f>
        <v>0.01</v>
      </c>
      <c r="I151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5" s="17"/>
      <c r="M1515" s="1">
        <f t="shared" si="150"/>
        <v>0</v>
      </c>
      <c r="N1515" t="b">
        <f t="shared" si="151"/>
        <v>0</v>
      </c>
      <c r="P1515" s="17" cm="1">
        <f t="array" aca="1" ref="P1515" ca="1">IndividualLegIVCore($A$4, Table13345678[[#This Row],[Strike]], 0.0411, Table13345678[[#This Row],[T]], ((Table13345678[[#This Row],[BIDP]]+Table13345678[[#This Row],[ASKP]])/2), FALSE)</f>
        <v>0.01</v>
      </c>
      <c r="Q151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5" s="17"/>
      <c r="T151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5" s="19">
        <f>-8* IF($M$1="NDX", 10, IF(OR($M$1="SPX", $M$1="RUT"), 2, 1))</f>
        <v>-16</v>
      </c>
      <c r="Z1515">
        <f ca="1">IFERROR(Table13345678[[#This Row],[call gamma]]*(Table13345678[[#This Row],[Open.Int]])*$A$4^2,0)</f>
        <v>0</v>
      </c>
      <c r="AA1515">
        <f ca="1">IFERROR(((Table13345678[[#This Row],[Open.Int8]])*Table13345678[[#This Row],[Put gamma]])*-1*$A$4^2,0)</f>
        <v>0</v>
      </c>
      <c r="AB1515">
        <f ca="1">(Table13345678[[#This Row],[Call Gex]]+Table13345678[[#This Row],[Put Gex]])</f>
        <v>0</v>
      </c>
      <c r="AC1515">
        <f ca="1">Table13345678[[#This Row],[put delta adj]]+Table13345678[[#This Row],[call delta adj]]</f>
        <v>0</v>
      </c>
      <c r="AD1515">
        <f ca="1">Table13345678[[#This Row],[Put Gex]]*Table13345678[[#This Row],[DeltaP]]*-1</f>
        <v>0</v>
      </c>
      <c r="AE1515">
        <f ca="1">Table13345678[[#This Row],[Call Gex]]*Table13345678[[#This Row],[DeltaC]]</f>
        <v>0</v>
      </c>
      <c r="AF1515">
        <f>IF(Table13345678[[#This Row],[DeltaC]]-ABS(Table13345678[[#This Row],[DeltaP]])="0","0.01",Table13345678[[#This Row],[DeltaC]]-ABS(Table13345678[[#This Row],[DeltaP]]))</f>
        <v>0</v>
      </c>
      <c r="AG151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5" t="e">
        <f ca="1">(EXP(-(AG1515^2)/2)/SQRT(2*PI())*EXP(0*SQRT(Table13345678[[#This Row],[T]]))/$A$4*18%*SQRT(SQRT(Table13345678[[#This Row],[T]])))</f>
        <v>#DIV/0!</v>
      </c>
      <c r="AJ1515" t="e">
        <f ca="1">(EXP(-(AH1515^2)/2)/SQRT(2*PI())*EXP(0*SQRT(Table13345678[[#This Row],[T]]))/$A$4*18%*SQRT(SQRT(Table13345678[[#This Row],[T]])))</f>
        <v>#DIV/0!</v>
      </c>
      <c r="AK1515" t="e">
        <f ca="1">Table13345678[[#This Row],[Call D1]]-Table13345678[[#This Row],[IV Calc C]]*SQRT(Table13345678[[#This Row],[T]])</f>
        <v>#DIV/0!</v>
      </c>
      <c r="AL1515" t="e">
        <f ca="1">Table13345678[[#This Row],[Put D1]]-Table13345678[[#This Row],[IV Calc P]]*SQRT(Table13345678[[#This Row],[T]])</f>
        <v>#DIV/0!</v>
      </c>
      <c r="AM1515" t="e">
        <f ca="1">EXP(-0.5*Table13345678[[#This Row],[Call D1]]^2)/SQRT(2*PI())</f>
        <v>#DIV/0!</v>
      </c>
      <c r="AN1515" t="e">
        <f ca="1">EXP(-0.5*Table13345678[[#This Row],[Put D1]]^2)/SQRT(2*PI())</f>
        <v>#DIV/0!</v>
      </c>
      <c r="AO151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5">
        <f ca="1">((Table13345678[[#This Row],[call vanna]]+Table13345678[[#This Row],[put vanna]])*$A$4)</f>
        <v>0</v>
      </c>
      <c r="AR151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5" s="9" t="str" cm="1">
        <f t="array" ref="AT1515">_xlfn.IFS(     $M$1="SPX","SPXW",     $M$1="RUT","RUTW",  $M$1="NDX","NDXP",   TRUE,$M$1 )</f>
        <v>SPXW</v>
      </c>
      <c r="AU1515" s="2">
        <f t="shared" si="152"/>
        <v>6915</v>
      </c>
      <c r="AV1515" t="str">
        <f t="shared" si="153"/>
        <v>000100</v>
      </c>
      <c r="AY151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5">
        <f>((Table13345678[[#This Row],[High C]]+Table13345678[[#This Row],[Low C]])/2)*Table13345678[[#This Row],[gammac]]*Table13345678[[#This Row],[Volume]]</f>
        <v>0</v>
      </c>
      <c r="BD1515">
        <f>((Table13345678[[#This Row],[High P]]+Table13345678[[#This Row],[Low P]])/2)*Table13345678[[#This Row],[gammap]]*Table13345678[[#This Row],[Volume9]]*-1</f>
        <v>0</v>
      </c>
      <c r="BE1515">
        <f>(Table13345678[[#This Row],[SgammaC]]+Table13345678[[#This Row],[SgammaP]])*$A$4*-100</f>
        <v>0</v>
      </c>
      <c r="BF1515">
        <f>Table13345678[[#This Row],[DEXc]]+Table13345678[[#This Row],[DEXp]]</f>
        <v>0</v>
      </c>
      <c r="BG1515" s="78">
        <f>IFERROR(Table13345678[[#This Row],[DeltaC]]*Table13345678[[#This Row],[Open.Int]]*$A$4,0)</f>
        <v>0</v>
      </c>
      <c r="BH1515">
        <f>IFERROR(Table13345678[[#This Row],[DeltaP]]*Table13345678[[#This Row],[Open.Int8]]*$A$4,0)</f>
        <v>0</v>
      </c>
      <c r="BI151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5">
        <f ca="1">Table13345678[[#This Row],[charmc]]+Table13345678[[#This Row],[charmp]]</f>
        <v>0</v>
      </c>
      <c r="BL151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5" s="78">
        <f ca="1">Table13345678[[#This Row],[call helper]]+Table13345678[[#This Row],[put helper]]</f>
        <v>0</v>
      </c>
      <c r="BP151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6" spans="1:68" x14ac:dyDescent="0.25">
      <c r="A1516" s="14">
        <f t="shared" ca="1" si="149"/>
        <v>-126.14810350076104</v>
      </c>
      <c r="C1516" s="17"/>
      <c r="D1516" t="str">
        <f>RTD("tos.rtd", , "OPEN_INT", "."&amp;Table13345678[[#This Row],[Ticker]]&amp;Table13345678[[#This Row],[Expiry]]&amp;""&amp;"C"&amp;Table13345678[[#This Row],[Spot]]+Table13345678[[#This Row],[step]])</f>
        <v>N/A</v>
      </c>
      <c r="E151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6" s="17" cm="1">
        <f t="array" aca="1" ref="H1516" ca="1">IndividualLegIVCore($A$4, Table13345678[[#This Row],[Strike]], 0.0411, Table13345678[[#This Row],[T]], ((Table13345678[[#This Row],[BIDC]]+Table13345678[[#This Row],[ASKC]])/2), TRUE)</f>
        <v>0.01</v>
      </c>
      <c r="I151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6" s="17"/>
      <c r="M1516" s="1">
        <f t="shared" si="150"/>
        <v>0</v>
      </c>
      <c r="N1516" t="b">
        <f t="shared" si="151"/>
        <v>0</v>
      </c>
      <c r="P1516" s="17" cm="1">
        <f t="array" aca="1" ref="P1516" ca="1">IndividualLegIVCore($A$4, Table13345678[[#This Row],[Strike]], 0.0411, Table13345678[[#This Row],[T]], ((Table13345678[[#This Row],[BIDP]]+Table13345678[[#This Row],[ASKP]])/2), FALSE)</f>
        <v>0.01</v>
      </c>
      <c r="Q151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6" s="17"/>
      <c r="T151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6" s="19">
        <f>-7.5* IF($M$1="NDX", 10, IF(OR($M$1="SPX", $M$1="RUT"), 2, 1))</f>
        <v>-15</v>
      </c>
      <c r="Z1516">
        <f ca="1">IFERROR(Table13345678[[#This Row],[call gamma]]*(Table13345678[[#This Row],[Open.Int]])*$A$4^2,0)</f>
        <v>0</v>
      </c>
      <c r="AA1516">
        <f ca="1">IFERROR(((Table13345678[[#This Row],[Open.Int8]])*Table13345678[[#This Row],[Put gamma]])*-1*$A$4^2,0)</f>
        <v>0</v>
      </c>
      <c r="AB1516">
        <f ca="1">(Table13345678[[#This Row],[Call Gex]]+Table13345678[[#This Row],[Put Gex]])</f>
        <v>0</v>
      </c>
      <c r="AC1516">
        <f ca="1">Table13345678[[#This Row],[put delta adj]]+Table13345678[[#This Row],[call delta adj]]</f>
        <v>0</v>
      </c>
      <c r="AD1516">
        <f ca="1">Table13345678[[#This Row],[Put Gex]]*Table13345678[[#This Row],[DeltaP]]*-1</f>
        <v>0</v>
      </c>
      <c r="AE1516">
        <f ca="1">Table13345678[[#This Row],[Call Gex]]*Table13345678[[#This Row],[DeltaC]]</f>
        <v>0</v>
      </c>
      <c r="AF1516">
        <f>IF(Table13345678[[#This Row],[DeltaC]]-ABS(Table13345678[[#This Row],[DeltaP]])="0","0.01",Table13345678[[#This Row],[DeltaC]]-ABS(Table13345678[[#This Row],[DeltaP]]))</f>
        <v>0</v>
      </c>
      <c r="AG151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6" t="e">
        <f ca="1">(EXP(-(AG1516^2)/2)/SQRT(2*PI())*EXP(0*SQRT(Table13345678[[#This Row],[T]]))/$A$4*18%*SQRT(SQRT(Table13345678[[#This Row],[T]])))</f>
        <v>#DIV/0!</v>
      </c>
      <c r="AJ1516" t="e">
        <f ca="1">(EXP(-(AH1516^2)/2)/SQRT(2*PI())*EXP(0*SQRT(Table13345678[[#This Row],[T]]))/$A$4*18%*SQRT(SQRT(Table13345678[[#This Row],[T]])))</f>
        <v>#DIV/0!</v>
      </c>
      <c r="AK1516" t="e">
        <f ca="1">Table13345678[[#This Row],[Call D1]]-Table13345678[[#This Row],[IV Calc C]]*SQRT(Table13345678[[#This Row],[T]])</f>
        <v>#DIV/0!</v>
      </c>
      <c r="AL1516" t="e">
        <f ca="1">Table13345678[[#This Row],[Put D1]]-Table13345678[[#This Row],[IV Calc P]]*SQRT(Table13345678[[#This Row],[T]])</f>
        <v>#DIV/0!</v>
      </c>
      <c r="AM1516" t="e">
        <f ca="1">EXP(-0.5*Table13345678[[#This Row],[Call D1]]^2)/SQRT(2*PI())</f>
        <v>#DIV/0!</v>
      </c>
      <c r="AN1516" t="e">
        <f ca="1">EXP(-0.5*Table13345678[[#This Row],[Put D1]]^2)/SQRT(2*PI())</f>
        <v>#DIV/0!</v>
      </c>
      <c r="AO151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6">
        <f ca="1">((Table13345678[[#This Row],[call vanna]]+Table13345678[[#This Row],[put vanna]])*$A$4)</f>
        <v>0</v>
      </c>
      <c r="AR151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6" s="9" t="str" cm="1">
        <f t="array" ref="AT1516">_xlfn.IFS(     $M$1="SPX","SPXW",     $M$1="RUT","RUTW",  $M$1="NDX","NDXP",   TRUE,$M$1 )</f>
        <v>SPXW</v>
      </c>
      <c r="AU1516" s="2">
        <f t="shared" si="152"/>
        <v>6915</v>
      </c>
      <c r="AV1516" t="str">
        <f t="shared" si="153"/>
        <v>000100</v>
      </c>
      <c r="AY151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6">
        <f>((Table13345678[[#This Row],[High C]]+Table13345678[[#This Row],[Low C]])/2)*Table13345678[[#This Row],[gammac]]*Table13345678[[#This Row],[Volume]]</f>
        <v>0</v>
      </c>
      <c r="BD1516">
        <f>((Table13345678[[#This Row],[High P]]+Table13345678[[#This Row],[Low P]])/2)*Table13345678[[#This Row],[gammap]]*Table13345678[[#This Row],[Volume9]]*-1</f>
        <v>0</v>
      </c>
      <c r="BE1516">
        <f>(Table13345678[[#This Row],[SgammaC]]+Table13345678[[#This Row],[SgammaP]])*$A$4*-100</f>
        <v>0</v>
      </c>
      <c r="BF1516">
        <f>Table13345678[[#This Row],[DEXc]]+Table13345678[[#This Row],[DEXp]]</f>
        <v>0</v>
      </c>
      <c r="BG1516" s="78">
        <f>IFERROR(Table13345678[[#This Row],[DeltaC]]*Table13345678[[#This Row],[Open.Int]]*$A$4,0)</f>
        <v>0</v>
      </c>
      <c r="BH1516">
        <f>IFERROR(Table13345678[[#This Row],[DeltaP]]*Table13345678[[#This Row],[Open.Int8]]*$A$4,0)</f>
        <v>0</v>
      </c>
      <c r="BI151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6">
        <f ca="1">Table13345678[[#This Row],[charmc]]+Table13345678[[#This Row],[charmp]]</f>
        <v>0</v>
      </c>
      <c r="BL151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6" s="78">
        <f ca="1">Table13345678[[#This Row],[call helper]]+Table13345678[[#This Row],[put helper]]</f>
        <v>0</v>
      </c>
      <c r="BP151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7" spans="1:68" x14ac:dyDescent="0.25">
      <c r="A1517" s="14">
        <f t="shared" ca="1" si="149"/>
        <v>-126.14810350076104</v>
      </c>
      <c r="C1517" s="17"/>
      <c r="D1517" t="str">
        <f>RTD("tos.rtd", , "OPEN_INT", "."&amp;Table13345678[[#This Row],[Ticker]]&amp;Table13345678[[#This Row],[Expiry]]&amp;""&amp;"C"&amp;Table13345678[[#This Row],[Spot]]+Table13345678[[#This Row],[step]])</f>
        <v>N/A</v>
      </c>
      <c r="E151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7" s="17" cm="1">
        <f t="array" aca="1" ref="H1517" ca="1">IndividualLegIVCore($A$4, Table13345678[[#This Row],[Strike]], 0.0411, Table13345678[[#This Row],[T]], ((Table13345678[[#This Row],[BIDC]]+Table13345678[[#This Row],[ASKC]])/2), TRUE)</f>
        <v>0.01</v>
      </c>
      <c r="I151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7" s="17"/>
      <c r="M1517" s="1">
        <f t="shared" si="150"/>
        <v>0</v>
      </c>
      <c r="N1517" t="b">
        <f t="shared" si="151"/>
        <v>0</v>
      </c>
      <c r="P1517" s="17" cm="1">
        <f t="array" aca="1" ref="P1517" ca="1">IndividualLegIVCore($A$4, Table13345678[[#This Row],[Strike]], 0.0411, Table13345678[[#This Row],[T]], ((Table13345678[[#This Row],[BIDP]]+Table13345678[[#This Row],[ASKP]])/2), FALSE)</f>
        <v>0.01</v>
      </c>
      <c r="Q151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7" s="17"/>
      <c r="T151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7" s="19">
        <f>-7* IF($M$1="NDX", 10, IF(OR($M$1="SPX", $M$1="RUT"), 2, 1))</f>
        <v>-14</v>
      </c>
      <c r="Z1517">
        <f ca="1">IFERROR(Table13345678[[#This Row],[call gamma]]*(Table13345678[[#This Row],[Open.Int]])*$A$4^2,0)</f>
        <v>0</v>
      </c>
      <c r="AA1517">
        <f ca="1">IFERROR(((Table13345678[[#This Row],[Open.Int8]])*Table13345678[[#This Row],[Put gamma]])*-1*$A$4^2,0)</f>
        <v>0</v>
      </c>
      <c r="AB1517">
        <f ca="1">(Table13345678[[#This Row],[Call Gex]]+Table13345678[[#This Row],[Put Gex]])</f>
        <v>0</v>
      </c>
      <c r="AC1517">
        <f ca="1">Table13345678[[#This Row],[put delta adj]]+Table13345678[[#This Row],[call delta adj]]</f>
        <v>0</v>
      </c>
      <c r="AD1517">
        <f ca="1">Table13345678[[#This Row],[Put Gex]]*Table13345678[[#This Row],[DeltaP]]*-1</f>
        <v>0</v>
      </c>
      <c r="AE1517">
        <f ca="1">Table13345678[[#This Row],[Call Gex]]*Table13345678[[#This Row],[DeltaC]]</f>
        <v>0</v>
      </c>
      <c r="AF1517">
        <f>IF(Table13345678[[#This Row],[DeltaC]]-ABS(Table13345678[[#This Row],[DeltaP]])="0","0.01",Table13345678[[#This Row],[DeltaC]]-ABS(Table13345678[[#This Row],[DeltaP]]))</f>
        <v>0</v>
      </c>
      <c r="AG151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7" t="e">
        <f ca="1">(EXP(-(AG1517^2)/2)/SQRT(2*PI())*EXP(0*SQRT(Table13345678[[#This Row],[T]]))/$A$4*18%*SQRT(SQRT(Table13345678[[#This Row],[T]])))</f>
        <v>#DIV/0!</v>
      </c>
      <c r="AJ1517" t="e">
        <f ca="1">(EXP(-(AH1517^2)/2)/SQRT(2*PI())*EXP(0*SQRT(Table13345678[[#This Row],[T]]))/$A$4*18%*SQRT(SQRT(Table13345678[[#This Row],[T]])))</f>
        <v>#DIV/0!</v>
      </c>
      <c r="AK1517" t="e">
        <f ca="1">Table13345678[[#This Row],[Call D1]]-Table13345678[[#This Row],[IV Calc C]]*SQRT(Table13345678[[#This Row],[T]])</f>
        <v>#DIV/0!</v>
      </c>
      <c r="AL1517" t="e">
        <f ca="1">Table13345678[[#This Row],[Put D1]]-Table13345678[[#This Row],[IV Calc P]]*SQRT(Table13345678[[#This Row],[T]])</f>
        <v>#DIV/0!</v>
      </c>
      <c r="AM1517" t="e">
        <f ca="1">EXP(-0.5*Table13345678[[#This Row],[Call D1]]^2)/SQRT(2*PI())</f>
        <v>#DIV/0!</v>
      </c>
      <c r="AN1517" t="e">
        <f ca="1">EXP(-0.5*Table13345678[[#This Row],[Put D1]]^2)/SQRT(2*PI())</f>
        <v>#DIV/0!</v>
      </c>
      <c r="AO151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7">
        <f ca="1">((Table13345678[[#This Row],[call vanna]]+Table13345678[[#This Row],[put vanna]])*$A$4)</f>
        <v>0</v>
      </c>
      <c r="AR151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7" s="9" t="str" cm="1">
        <f t="array" ref="AT1517">_xlfn.IFS(     $M$1="SPX","SPXW",     $M$1="RUT","RUTW",  $M$1="NDX","NDXP",   TRUE,$M$1 )</f>
        <v>SPXW</v>
      </c>
      <c r="AU1517" s="2">
        <f t="shared" si="152"/>
        <v>6915</v>
      </c>
      <c r="AV1517" t="str">
        <f t="shared" si="153"/>
        <v>000100</v>
      </c>
      <c r="AY151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7">
        <f>((Table13345678[[#This Row],[High C]]+Table13345678[[#This Row],[Low C]])/2)*Table13345678[[#This Row],[gammac]]*Table13345678[[#This Row],[Volume]]</f>
        <v>0</v>
      </c>
      <c r="BD1517">
        <f>((Table13345678[[#This Row],[High P]]+Table13345678[[#This Row],[Low P]])/2)*Table13345678[[#This Row],[gammap]]*Table13345678[[#This Row],[Volume9]]*-1</f>
        <v>0</v>
      </c>
      <c r="BE1517">
        <f>(Table13345678[[#This Row],[SgammaC]]+Table13345678[[#This Row],[SgammaP]])*$A$4*-100</f>
        <v>0</v>
      </c>
      <c r="BF1517">
        <f>Table13345678[[#This Row],[DEXc]]+Table13345678[[#This Row],[DEXp]]</f>
        <v>0</v>
      </c>
      <c r="BG1517" s="78">
        <f>IFERROR(Table13345678[[#This Row],[DeltaC]]*Table13345678[[#This Row],[Open.Int]]*$A$4,0)</f>
        <v>0</v>
      </c>
      <c r="BH1517">
        <f>IFERROR(Table13345678[[#This Row],[DeltaP]]*Table13345678[[#This Row],[Open.Int8]]*$A$4,0)</f>
        <v>0</v>
      </c>
      <c r="BI151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7">
        <f ca="1">Table13345678[[#This Row],[charmc]]+Table13345678[[#This Row],[charmp]]</f>
        <v>0</v>
      </c>
      <c r="BL151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7" s="78">
        <f ca="1">Table13345678[[#This Row],[call helper]]+Table13345678[[#This Row],[put helper]]</f>
        <v>0</v>
      </c>
      <c r="BP151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8" spans="1:68" x14ac:dyDescent="0.25">
      <c r="A1518" s="14">
        <f t="shared" ca="1" si="149"/>
        <v>-126.14810350076104</v>
      </c>
      <c r="C1518" s="17"/>
      <c r="D1518" t="str">
        <f>RTD("tos.rtd", , "OPEN_INT", "."&amp;Table13345678[[#This Row],[Ticker]]&amp;Table13345678[[#This Row],[Expiry]]&amp;""&amp;"C"&amp;Table13345678[[#This Row],[Spot]]+Table13345678[[#This Row],[step]])</f>
        <v>N/A</v>
      </c>
      <c r="E151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8" s="17" cm="1">
        <f t="array" aca="1" ref="H1518" ca="1">IndividualLegIVCore($A$4, Table13345678[[#This Row],[Strike]], 0.0411, Table13345678[[#This Row],[T]], ((Table13345678[[#This Row],[BIDC]]+Table13345678[[#This Row],[ASKC]])/2), TRUE)</f>
        <v>0.01</v>
      </c>
      <c r="I151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8" s="17"/>
      <c r="M1518" s="1">
        <f t="shared" si="150"/>
        <v>0</v>
      </c>
      <c r="N1518" t="b">
        <f t="shared" si="151"/>
        <v>0</v>
      </c>
      <c r="P1518" s="17" cm="1">
        <f t="array" aca="1" ref="P1518" ca="1">IndividualLegIVCore($A$4, Table13345678[[#This Row],[Strike]], 0.0411, Table13345678[[#This Row],[T]], ((Table13345678[[#This Row],[BIDP]]+Table13345678[[#This Row],[ASKP]])/2), FALSE)</f>
        <v>0.01</v>
      </c>
      <c r="Q151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8" s="17"/>
      <c r="T151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8" s="19">
        <f>-6.5* IF($M$1="NDX", 10, IF(OR($M$1="SPX", $M$1="RUT"), 2, 1))</f>
        <v>-13</v>
      </c>
      <c r="Z1518">
        <f ca="1">IFERROR(Table13345678[[#This Row],[call gamma]]*(Table13345678[[#This Row],[Open.Int]])*$A$4^2,0)</f>
        <v>0</v>
      </c>
      <c r="AA1518">
        <f ca="1">IFERROR(((Table13345678[[#This Row],[Open.Int8]])*Table13345678[[#This Row],[Put gamma]])*-1*$A$4^2,0)</f>
        <v>0</v>
      </c>
      <c r="AB1518">
        <f ca="1">(Table13345678[[#This Row],[Call Gex]]+Table13345678[[#This Row],[Put Gex]])</f>
        <v>0</v>
      </c>
      <c r="AC1518">
        <f ca="1">Table13345678[[#This Row],[put delta adj]]+Table13345678[[#This Row],[call delta adj]]</f>
        <v>0</v>
      </c>
      <c r="AD1518">
        <f ca="1">Table13345678[[#This Row],[Put Gex]]*Table13345678[[#This Row],[DeltaP]]*-1</f>
        <v>0</v>
      </c>
      <c r="AE1518">
        <f ca="1">Table13345678[[#This Row],[Call Gex]]*Table13345678[[#This Row],[DeltaC]]</f>
        <v>0</v>
      </c>
      <c r="AF1518">
        <f>IF(Table13345678[[#This Row],[DeltaC]]-ABS(Table13345678[[#This Row],[DeltaP]])="0","0.01",Table13345678[[#This Row],[DeltaC]]-ABS(Table13345678[[#This Row],[DeltaP]]))</f>
        <v>0</v>
      </c>
      <c r="AG151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8" t="e">
        <f ca="1">(EXP(-(AG1518^2)/2)/SQRT(2*PI())*EXP(0*SQRT(Table13345678[[#This Row],[T]]))/$A$4*18%*SQRT(SQRT(Table13345678[[#This Row],[T]])))</f>
        <v>#DIV/0!</v>
      </c>
      <c r="AJ1518" t="e">
        <f ca="1">(EXP(-(AH1518^2)/2)/SQRT(2*PI())*EXP(0*SQRT(Table13345678[[#This Row],[T]]))/$A$4*18%*SQRT(SQRT(Table13345678[[#This Row],[T]])))</f>
        <v>#DIV/0!</v>
      </c>
      <c r="AK1518" t="e">
        <f ca="1">Table13345678[[#This Row],[Call D1]]-Table13345678[[#This Row],[IV Calc C]]*SQRT(Table13345678[[#This Row],[T]])</f>
        <v>#DIV/0!</v>
      </c>
      <c r="AL1518" t="e">
        <f ca="1">Table13345678[[#This Row],[Put D1]]-Table13345678[[#This Row],[IV Calc P]]*SQRT(Table13345678[[#This Row],[T]])</f>
        <v>#DIV/0!</v>
      </c>
      <c r="AM1518" t="e">
        <f ca="1">EXP(-0.5*Table13345678[[#This Row],[Call D1]]^2)/SQRT(2*PI())</f>
        <v>#DIV/0!</v>
      </c>
      <c r="AN1518" t="e">
        <f ca="1">EXP(-0.5*Table13345678[[#This Row],[Put D1]]^2)/SQRT(2*PI())</f>
        <v>#DIV/0!</v>
      </c>
      <c r="AO151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8">
        <f ca="1">((Table13345678[[#This Row],[call vanna]]+Table13345678[[#This Row],[put vanna]])*$A$4)</f>
        <v>0</v>
      </c>
      <c r="AR151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8" s="9" t="str" cm="1">
        <f t="array" ref="AT1518">_xlfn.IFS(     $M$1="SPX","SPXW",     $M$1="RUT","RUTW",  $M$1="NDX","NDXP",   TRUE,$M$1 )</f>
        <v>SPXW</v>
      </c>
      <c r="AU1518" s="2">
        <f t="shared" si="152"/>
        <v>6915</v>
      </c>
      <c r="AV1518" t="str">
        <f t="shared" si="153"/>
        <v>000100</v>
      </c>
      <c r="AY151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8">
        <f>((Table13345678[[#This Row],[High C]]+Table13345678[[#This Row],[Low C]])/2)*Table13345678[[#This Row],[gammac]]*Table13345678[[#This Row],[Volume]]</f>
        <v>0</v>
      </c>
      <c r="BD1518">
        <f>((Table13345678[[#This Row],[High P]]+Table13345678[[#This Row],[Low P]])/2)*Table13345678[[#This Row],[gammap]]*Table13345678[[#This Row],[Volume9]]*-1</f>
        <v>0</v>
      </c>
      <c r="BE1518">
        <f>(Table13345678[[#This Row],[SgammaC]]+Table13345678[[#This Row],[SgammaP]])*$A$4*-100</f>
        <v>0</v>
      </c>
      <c r="BF1518">
        <f>Table13345678[[#This Row],[DEXc]]+Table13345678[[#This Row],[DEXp]]</f>
        <v>0</v>
      </c>
      <c r="BG1518" s="78">
        <f>IFERROR(Table13345678[[#This Row],[DeltaC]]*Table13345678[[#This Row],[Open.Int]]*$A$4,0)</f>
        <v>0</v>
      </c>
      <c r="BH1518">
        <f>IFERROR(Table13345678[[#This Row],[DeltaP]]*Table13345678[[#This Row],[Open.Int8]]*$A$4,0)</f>
        <v>0</v>
      </c>
      <c r="BI151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8">
        <f ca="1">Table13345678[[#This Row],[charmc]]+Table13345678[[#This Row],[charmp]]</f>
        <v>0</v>
      </c>
      <c r="BL151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8" s="78">
        <f ca="1">Table13345678[[#This Row],[call helper]]+Table13345678[[#This Row],[put helper]]</f>
        <v>0</v>
      </c>
      <c r="BP151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9" spans="1:68" x14ac:dyDescent="0.25">
      <c r="A1519" s="14">
        <f t="shared" ca="1" si="149"/>
        <v>-126.14810350076104</v>
      </c>
      <c r="C1519" s="17"/>
      <c r="D1519" t="str">
        <f>RTD("tos.rtd", , "OPEN_INT", "."&amp;Table13345678[[#This Row],[Ticker]]&amp;Table13345678[[#This Row],[Expiry]]&amp;""&amp;"C"&amp;Table13345678[[#This Row],[Spot]]+Table13345678[[#This Row],[step]])</f>
        <v>N/A</v>
      </c>
      <c r="E151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9" s="17" cm="1">
        <f t="array" aca="1" ref="H1519" ca="1">IndividualLegIVCore($A$4, Table13345678[[#This Row],[Strike]], 0.0411, Table13345678[[#This Row],[T]], ((Table13345678[[#This Row],[BIDC]]+Table13345678[[#This Row],[ASKC]])/2), TRUE)</f>
        <v>0.01</v>
      </c>
      <c r="I151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9" s="17"/>
      <c r="M1519" s="1">
        <f t="shared" si="150"/>
        <v>0</v>
      </c>
      <c r="N1519" t="b">
        <f t="shared" si="151"/>
        <v>0</v>
      </c>
      <c r="P1519" s="17" cm="1">
        <f t="array" aca="1" ref="P1519" ca="1">IndividualLegIVCore($A$4, Table13345678[[#This Row],[Strike]], 0.0411, Table13345678[[#This Row],[T]], ((Table13345678[[#This Row],[BIDP]]+Table13345678[[#This Row],[ASKP]])/2), FALSE)</f>
        <v>0.01</v>
      </c>
      <c r="Q151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9" s="17"/>
      <c r="T151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9" s="19">
        <f>-6* IF($M$1="NDX", 10, IF(OR($M$1="SPX", $M$1="RUT"), 2, 1))</f>
        <v>-12</v>
      </c>
      <c r="Z1519">
        <f ca="1">IFERROR(Table13345678[[#This Row],[call gamma]]*(Table13345678[[#This Row],[Open.Int]])*$A$4^2,0)</f>
        <v>0</v>
      </c>
      <c r="AA1519">
        <f ca="1">IFERROR(((Table13345678[[#This Row],[Open.Int8]])*Table13345678[[#This Row],[Put gamma]])*-1*$A$4^2,0)</f>
        <v>0</v>
      </c>
      <c r="AB1519">
        <f ca="1">(Table13345678[[#This Row],[Call Gex]]+Table13345678[[#This Row],[Put Gex]])</f>
        <v>0</v>
      </c>
      <c r="AC1519">
        <f ca="1">Table13345678[[#This Row],[put delta adj]]+Table13345678[[#This Row],[call delta adj]]</f>
        <v>0</v>
      </c>
      <c r="AD1519">
        <f ca="1">Table13345678[[#This Row],[Put Gex]]*Table13345678[[#This Row],[DeltaP]]*-1</f>
        <v>0</v>
      </c>
      <c r="AE1519">
        <f ca="1">Table13345678[[#This Row],[Call Gex]]*Table13345678[[#This Row],[DeltaC]]</f>
        <v>0</v>
      </c>
      <c r="AF1519">
        <f>IF(Table13345678[[#This Row],[DeltaC]]-ABS(Table13345678[[#This Row],[DeltaP]])="0","0.01",Table13345678[[#This Row],[DeltaC]]-ABS(Table13345678[[#This Row],[DeltaP]]))</f>
        <v>0</v>
      </c>
      <c r="AG151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9" t="e">
        <f ca="1">(EXP(-(AG1519^2)/2)/SQRT(2*PI())*EXP(0*SQRT(Table13345678[[#This Row],[T]]))/$A$4*18%*SQRT(SQRT(Table13345678[[#This Row],[T]])))</f>
        <v>#DIV/0!</v>
      </c>
      <c r="AJ1519" t="e">
        <f ca="1">(EXP(-(AH1519^2)/2)/SQRT(2*PI())*EXP(0*SQRT(Table13345678[[#This Row],[T]]))/$A$4*18%*SQRT(SQRT(Table13345678[[#This Row],[T]])))</f>
        <v>#DIV/0!</v>
      </c>
      <c r="AK1519" t="e">
        <f ca="1">Table13345678[[#This Row],[Call D1]]-Table13345678[[#This Row],[IV Calc C]]*SQRT(Table13345678[[#This Row],[T]])</f>
        <v>#DIV/0!</v>
      </c>
      <c r="AL1519" t="e">
        <f ca="1">Table13345678[[#This Row],[Put D1]]-Table13345678[[#This Row],[IV Calc P]]*SQRT(Table13345678[[#This Row],[T]])</f>
        <v>#DIV/0!</v>
      </c>
      <c r="AM1519" t="e">
        <f ca="1">EXP(-0.5*Table13345678[[#This Row],[Call D1]]^2)/SQRT(2*PI())</f>
        <v>#DIV/0!</v>
      </c>
      <c r="AN1519" t="e">
        <f ca="1">EXP(-0.5*Table13345678[[#This Row],[Put D1]]^2)/SQRT(2*PI())</f>
        <v>#DIV/0!</v>
      </c>
      <c r="AO151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9">
        <f ca="1">((Table13345678[[#This Row],[call vanna]]+Table13345678[[#This Row],[put vanna]])*$A$4)</f>
        <v>0</v>
      </c>
      <c r="AR151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9" s="9" t="str" cm="1">
        <f t="array" ref="AT1519">_xlfn.IFS(     $M$1="SPX","SPXW",     $M$1="RUT","RUTW",  $M$1="NDX","NDXP",   TRUE,$M$1 )</f>
        <v>SPXW</v>
      </c>
      <c r="AU1519" s="2">
        <f t="shared" si="152"/>
        <v>6915</v>
      </c>
      <c r="AV1519" t="str">
        <f t="shared" si="153"/>
        <v>000100</v>
      </c>
      <c r="AY151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9">
        <f>((Table13345678[[#This Row],[High C]]+Table13345678[[#This Row],[Low C]])/2)*Table13345678[[#This Row],[gammac]]*Table13345678[[#This Row],[Volume]]</f>
        <v>0</v>
      </c>
      <c r="BD1519">
        <f>((Table13345678[[#This Row],[High P]]+Table13345678[[#This Row],[Low P]])/2)*Table13345678[[#This Row],[gammap]]*Table13345678[[#This Row],[Volume9]]*-1</f>
        <v>0</v>
      </c>
      <c r="BE1519">
        <f>(Table13345678[[#This Row],[SgammaC]]+Table13345678[[#This Row],[SgammaP]])*$A$4*-100</f>
        <v>0</v>
      </c>
      <c r="BF1519">
        <f>Table13345678[[#This Row],[DEXc]]+Table13345678[[#This Row],[DEXp]]</f>
        <v>0</v>
      </c>
      <c r="BG1519" s="78">
        <f>IFERROR(Table13345678[[#This Row],[DeltaC]]*Table13345678[[#This Row],[Open.Int]]*$A$4,0)</f>
        <v>0</v>
      </c>
      <c r="BH1519">
        <f>IFERROR(Table13345678[[#This Row],[DeltaP]]*Table13345678[[#This Row],[Open.Int8]]*$A$4,0)</f>
        <v>0</v>
      </c>
      <c r="BI151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9">
        <f ca="1">Table13345678[[#This Row],[charmc]]+Table13345678[[#This Row],[charmp]]</f>
        <v>0</v>
      </c>
      <c r="BL151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9" s="78">
        <f ca="1">Table13345678[[#This Row],[call helper]]+Table13345678[[#This Row],[put helper]]</f>
        <v>0</v>
      </c>
      <c r="BP151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0" spans="1:68" x14ac:dyDescent="0.25">
      <c r="A1520" s="14">
        <f t="shared" ca="1" si="149"/>
        <v>-126.14810350076104</v>
      </c>
      <c r="C1520" s="17"/>
      <c r="D1520" t="str">
        <f>RTD("tos.rtd", , "OPEN_INT", "."&amp;Table13345678[[#This Row],[Ticker]]&amp;Table13345678[[#This Row],[Expiry]]&amp;""&amp;"C"&amp;Table13345678[[#This Row],[Spot]]+Table13345678[[#This Row],[step]])</f>
        <v>N/A</v>
      </c>
      <c r="E152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0" s="17" cm="1">
        <f t="array" aca="1" ref="H1520" ca="1">IndividualLegIVCore($A$4, Table13345678[[#This Row],[Strike]], 0.0411, Table13345678[[#This Row],[T]], ((Table13345678[[#This Row],[BIDC]]+Table13345678[[#This Row],[ASKC]])/2), TRUE)</f>
        <v>0.01</v>
      </c>
      <c r="I152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0" s="17"/>
      <c r="M1520" s="1">
        <f t="shared" si="150"/>
        <v>0</v>
      </c>
      <c r="N1520" t="b">
        <f t="shared" si="151"/>
        <v>0</v>
      </c>
      <c r="P1520" s="17" cm="1">
        <f t="array" aca="1" ref="P1520" ca="1">IndividualLegIVCore($A$4, Table13345678[[#This Row],[Strike]], 0.0411, Table13345678[[#This Row],[T]], ((Table13345678[[#This Row],[BIDP]]+Table13345678[[#This Row],[ASKP]])/2), FALSE)</f>
        <v>0.01</v>
      </c>
      <c r="Q152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0" s="17"/>
      <c r="T152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0" s="19">
        <f>-5.5* IF($M$1="NDX", 10, IF(OR($M$1="SPX", $M$1="RUT"), 2, 1))</f>
        <v>-11</v>
      </c>
      <c r="Z1520">
        <f ca="1">IFERROR(Table13345678[[#This Row],[call gamma]]*(Table13345678[[#This Row],[Open.Int]])*$A$4^2,0)</f>
        <v>0</v>
      </c>
      <c r="AA1520">
        <f ca="1">IFERROR(((Table13345678[[#This Row],[Open.Int8]])*Table13345678[[#This Row],[Put gamma]])*-1*$A$4^2,0)</f>
        <v>0</v>
      </c>
      <c r="AB1520">
        <f ca="1">(Table13345678[[#This Row],[Call Gex]]+Table13345678[[#This Row],[Put Gex]])</f>
        <v>0</v>
      </c>
      <c r="AC1520">
        <f ca="1">Table13345678[[#This Row],[put delta adj]]+Table13345678[[#This Row],[call delta adj]]</f>
        <v>0</v>
      </c>
      <c r="AD1520">
        <f ca="1">Table13345678[[#This Row],[Put Gex]]*Table13345678[[#This Row],[DeltaP]]*-1</f>
        <v>0</v>
      </c>
      <c r="AE1520">
        <f ca="1">Table13345678[[#This Row],[Call Gex]]*Table13345678[[#This Row],[DeltaC]]</f>
        <v>0</v>
      </c>
      <c r="AF1520">
        <f>IF(Table13345678[[#This Row],[DeltaC]]-ABS(Table13345678[[#This Row],[DeltaP]])="0","0.01",Table13345678[[#This Row],[DeltaC]]-ABS(Table13345678[[#This Row],[DeltaP]]))</f>
        <v>0</v>
      </c>
      <c r="AG152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0" t="e">
        <f ca="1">(EXP(-(AG1520^2)/2)/SQRT(2*PI())*EXP(0*SQRT(Table13345678[[#This Row],[T]]))/$A$4*18%*SQRT(SQRT(Table13345678[[#This Row],[T]])))</f>
        <v>#DIV/0!</v>
      </c>
      <c r="AJ1520" t="e">
        <f ca="1">(EXP(-(AH1520^2)/2)/SQRT(2*PI())*EXP(0*SQRT(Table13345678[[#This Row],[T]]))/$A$4*18%*SQRT(SQRT(Table13345678[[#This Row],[T]])))</f>
        <v>#DIV/0!</v>
      </c>
      <c r="AK1520" t="e">
        <f ca="1">Table13345678[[#This Row],[Call D1]]-Table13345678[[#This Row],[IV Calc C]]*SQRT(Table13345678[[#This Row],[T]])</f>
        <v>#DIV/0!</v>
      </c>
      <c r="AL1520" t="e">
        <f ca="1">Table13345678[[#This Row],[Put D1]]-Table13345678[[#This Row],[IV Calc P]]*SQRT(Table13345678[[#This Row],[T]])</f>
        <v>#DIV/0!</v>
      </c>
      <c r="AM1520" t="e">
        <f ca="1">EXP(-0.5*Table13345678[[#This Row],[Call D1]]^2)/SQRT(2*PI())</f>
        <v>#DIV/0!</v>
      </c>
      <c r="AN1520" t="e">
        <f ca="1">EXP(-0.5*Table13345678[[#This Row],[Put D1]]^2)/SQRT(2*PI())</f>
        <v>#DIV/0!</v>
      </c>
      <c r="AO152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0">
        <f ca="1">((Table13345678[[#This Row],[call vanna]]+Table13345678[[#This Row],[put vanna]])*$A$4)</f>
        <v>0</v>
      </c>
      <c r="AR152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0" s="9" t="str" cm="1">
        <f t="array" ref="AT1520">_xlfn.IFS(     $M$1="SPX","SPXW",     $M$1="RUT","RUTW",  $M$1="NDX","NDXP",   TRUE,$M$1 )</f>
        <v>SPXW</v>
      </c>
      <c r="AU1520" s="2">
        <f t="shared" si="152"/>
        <v>6915</v>
      </c>
      <c r="AV1520" t="str">
        <f t="shared" si="153"/>
        <v>000100</v>
      </c>
      <c r="AY152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0">
        <f>((Table13345678[[#This Row],[High C]]+Table13345678[[#This Row],[Low C]])/2)*Table13345678[[#This Row],[gammac]]*Table13345678[[#This Row],[Volume]]</f>
        <v>0</v>
      </c>
      <c r="BD1520">
        <f>((Table13345678[[#This Row],[High P]]+Table13345678[[#This Row],[Low P]])/2)*Table13345678[[#This Row],[gammap]]*Table13345678[[#This Row],[Volume9]]*-1</f>
        <v>0</v>
      </c>
      <c r="BE1520">
        <f>(Table13345678[[#This Row],[SgammaC]]+Table13345678[[#This Row],[SgammaP]])*$A$4*-100</f>
        <v>0</v>
      </c>
      <c r="BF1520">
        <f>Table13345678[[#This Row],[DEXc]]+Table13345678[[#This Row],[DEXp]]</f>
        <v>0</v>
      </c>
      <c r="BG1520" s="78">
        <f>IFERROR(Table13345678[[#This Row],[DeltaC]]*Table13345678[[#This Row],[Open.Int]]*$A$4,0)</f>
        <v>0</v>
      </c>
      <c r="BH1520">
        <f>IFERROR(Table13345678[[#This Row],[DeltaP]]*Table13345678[[#This Row],[Open.Int8]]*$A$4,0)</f>
        <v>0</v>
      </c>
      <c r="BI152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0">
        <f ca="1">Table13345678[[#This Row],[charmc]]+Table13345678[[#This Row],[charmp]]</f>
        <v>0</v>
      </c>
      <c r="BL152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0" s="78">
        <f ca="1">Table13345678[[#This Row],[call helper]]+Table13345678[[#This Row],[put helper]]</f>
        <v>0</v>
      </c>
      <c r="BP152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1" spans="1:68" x14ac:dyDescent="0.25">
      <c r="A1521" s="14">
        <f t="shared" ca="1" si="149"/>
        <v>-126.14810350076104</v>
      </c>
      <c r="C1521" s="17"/>
      <c r="D1521" t="str">
        <f>RTD("tos.rtd", , "OPEN_INT", "."&amp;Table13345678[[#This Row],[Ticker]]&amp;Table13345678[[#This Row],[Expiry]]&amp;""&amp;"C"&amp;Table13345678[[#This Row],[Spot]]+Table13345678[[#This Row],[step]])</f>
        <v>N/A</v>
      </c>
      <c r="E152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1" s="17" cm="1">
        <f t="array" aca="1" ref="H1521" ca="1">IndividualLegIVCore($A$4, Table13345678[[#This Row],[Strike]], 0.0411, Table13345678[[#This Row],[T]], ((Table13345678[[#This Row],[BIDC]]+Table13345678[[#This Row],[ASKC]])/2), TRUE)</f>
        <v>0.01</v>
      </c>
      <c r="I152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1" s="17"/>
      <c r="M1521" s="1">
        <f t="shared" si="150"/>
        <v>0</v>
      </c>
      <c r="N1521" t="b">
        <f t="shared" si="151"/>
        <v>0</v>
      </c>
      <c r="P1521" s="17" cm="1">
        <f t="array" aca="1" ref="P1521" ca="1">IndividualLegIVCore($A$4, Table13345678[[#This Row],[Strike]], 0.0411, Table13345678[[#This Row],[T]], ((Table13345678[[#This Row],[BIDP]]+Table13345678[[#This Row],[ASKP]])/2), FALSE)</f>
        <v>0.01</v>
      </c>
      <c r="Q152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1" s="17"/>
      <c r="T152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1" s="19">
        <f>-5* IF($M$1="NDX", 10, IF(OR($M$1="SPX", $M$1="RUT"), 2, 1))</f>
        <v>-10</v>
      </c>
      <c r="Z1521">
        <f ca="1">IFERROR(Table13345678[[#This Row],[call gamma]]*(Table13345678[[#This Row],[Open.Int]])*$A$4^2,0)</f>
        <v>0</v>
      </c>
      <c r="AA1521">
        <f ca="1">IFERROR(((Table13345678[[#This Row],[Open.Int8]])*Table13345678[[#This Row],[Put gamma]])*-1*$A$4^2,0)</f>
        <v>0</v>
      </c>
      <c r="AB1521">
        <f ca="1">(Table13345678[[#This Row],[Call Gex]]+Table13345678[[#This Row],[Put Gex]])</f>
        <v>0</v>
      </c>
      <c r="AC1521">
        <f ca="1">Table13345678[[#This Row],[put delta adj]]+Table13345678[[#This Row],[call delta adj]]</f>
        <v>0</v>
      </c>
      <c r="AD1521">
        <f ca="1">Table13345678[[#This Row],[Put Gex]]*Table13345678[[#This Row],[DeltaP]]*-1</f>
        <v>0</v>
      </c>
      <c r="AE1521">
        <f ca="1">Table13345678[[#This Row],[Call Gex]]*Table13345678[[#This Row],[DeltaC]]</f>
        <v>0</v>
      </c>
      <c r="AF1521">
        <f>IF(Table13345678[[#This Row],[DeltaC]]-ABS(Table13345678[[#This Row],[DeltaP]])="0","0.01",Table13345678[[#This Row],[DeltaC]]-ABS(Table13345678[[#This Row],[DeltaP]]))</f>
        <v>0</v>
      </c>
      <c r="AG152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1" t="e">
        <f ca="1">(EXP(-(AG1521^2)/2)/SQRT(2*PI())*EXP(0*SQRT(Table13345678[[#This Row],[T]]))/$A$4*18%*SQRT(SQRT(Table13345678[[#This Row],[T]])))</f>
        <v>#DIV/0!</v>
      </c>
      <c r="AJ1521" t="e">
        <f ca="1">(EXP(-(AH1521^2)/2)/SQRT(2*PI())*EXP(0*SQRT(Table13345678[[#This Row],[T]]))/$A$4*18%*SQRT(SQRT(Table13345678[[#This Row],[T]])))</f>
        <v>#DIV/0!</v>
      </c>
      <c r="AK1521" t="e">
        <f ca="1">Table13345678[[#This Row],[Call D1]]-Table13345678[[#This Row],[IV Calc C]]*SQRT(Table13345678[[#This Row],[T]])</f>
        <v>#DIV/0!</v>
      </c>
      <c r="AL1521" t="e">
        <f ca="1">Table13345678[[#This Row],[Put D1]]-Table13345678[[#This Row],[IV Calc P]]*SQRT(Table13345678[[#This Row],[T]])</f>
        <v>#DIV/0!</v>
      </c>
      <c r="AM1521" t="e">
        <f ca="1">EXP(-0.5*Table13345678[[#This Row],[Call D1]]^2)/SQRT(2*PI())</f>
        <v>#DIV/0!</v>
      </c>
      <c r="AN1521" t="e">
        <f ca="1">EXP(-0.5*Table13345678[[#This Row],[Put D1]]^2)/SQRT(2*PI())</f>
        <v>#DIV/0!</v>
      </c>
      <c r="AO152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1">
        <f ca="1">((Table13345678[[#This Row],[call vanna]]+Table13345678[[#This Row],[put vanna]])*$A$4)</f>
        <v>0</v>
      </c>
      <c r="AR152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1" s="9" t="str" cm="1">
        <f t="array" ref="AT1521">_xlfn.IFS(     $M$1="SPX","SPXW",     $M$1="RUT","RUTW",  $M$1="NDX","NDXP",   TRUE,$M$1 )</f>
        <v>SPXW</v>
      </c>
      <c r="AU1521" s="2">
        <f t="shared" si="152"/>
        <v>6915</v>
      </c>
      <c r="AV1521" t="str">
        <f t="shared" si="153"/>
        <v>000100</v>
      </c>
      <c r="AY152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1">
        <f>((Table13345678[[#This Row],[High C]]+Table13345678[[#This Row],[Low C]])/2)*Table13345678[[#This Row],[gammac]]*Table13345678[[#This Row],[Volume]]</f>
        <v>0</v>
      </c>
      <c r="BD1521">
        <f>((Table13345678[[#This Row],[High P]]+Table13345678[[#This Row],[Low P]])/2)*Table13345678[[#This Row],[gammap]]*Table13345678[[#This Row],[Volume9]]*-1</f>
        <v>0</v>
      </c>
      <c r="BE1521">
        <f>(Table13345678[[#This Row],[SgammaC]]+Table13345678[[#This Row],[SgammaP]])*$A$4*-100</f>
        <v>0</v>
      </c>
      <c r="BF1521">
        <f>Table13345678[[#This Row],[DEXc]]+Table13345678[[#This Row],[DEXp]]</f>
        <v>0</v>
      </c>
      <c r="BG1521" s="78">
        <f>IFERROR(Table13345678[[#This Row],[DeltaC]]*Table13345678[[#This Row],[Open.Int]]*$A$4,0)</f>
        <v>0</v>
      </c>
      <c r="BH1521">
        <f>IFERROR(Table13345678[[#This Row],[DeltaP]]*Table13345678[[#This Row],[Open.Int8]]*$A$4,0)</f>
        <v>0</v>
      </c>
      <c r="BI152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1">
        <f ca="1">Table13345678[[#This Row],[charmc]]+Table13345678[[#This Row],[charmp]]</f>
        <v>0</v>
      </c>
      <c r="BL152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1" s="78">
        <f ca="1">Table13345678[[#This Row],[call helper]]+Table13345678[[#This Row],[put helper]]</f>
        <v>0</v>
      </c>
      <c r="BP152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2" spans="1:68" x14ac:dyDescent="0.25">
      <c r="A1522" s="14">
        <f t="shared" ca="1" si="149"/>
        <v>-126.14810350076104</v>
      </c>
      <c r="C1522" s="17"/>
      <c r="D1522" t="str">
        <f>RTD("tos.rtd", , "OPEN_INT", "."&amp;Table13345678[[#This Row],[Ticker]]&amp;Table13345678[[#This Row],[Expiry]]&amp;""&amp;"C"&amp;Table13345678[[#This Row],[Spot]]+Table13345678[[#This Row],[step]])</f>
        <v>N/A</v>
      </c>
      <c r="E152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2" s="17" cm="1">
        <f t="array" aca="1" ref="H1522" ca="1">IndividualLegIVCore($A$4, Table13345678[[#This Row],[Strike]], 0.0411, Table13345678[[#This Row],[T]], ((Table13345678[[#This Row],[BIDC]]+Table13345678[[#This Row],[ASKC]])/2), TRUE)</f>
        <v>0.01</v>
      </c>
      <c r="I152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2" s="17"/>
      <c r="M1522" s="1">
        <f t="shared" si="150"/>
        <v>0</v>
      </c>
      <c r="N1522" t="b">
        <f t="shared" si="151"/>
        <v>0</v>
      </c>
      <c r="P1522" s="17" cm="1">
        <f t="array" aca="1" ref="P1522" ca="1">IndividualLegIVCore($A$4, Table13345678[[#This Row],[Strike]], 0.0411, Table13345678[[#This Row],[T]], ((Table13345678[[#This Row],[BIDP]]+Table13345678[[#This Row],[ASKP]])/2), FALSE)</f>
        <v>0.01</v>
      </c>
      <c r="Q152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2" s="17"/>
      <c r="T152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2" s="19">
        <f>-4.5* IF($M$1="NDX", 10, IF(OR($M$1="SPX", $M$1="RUT"), 2, 1))</f>
        <v>-9</v>
      </c>
      <c r="Z1522">
        <f ca="1">IFERROR(Table13345678[[#This Row],[call gamma]]*(Table13345678[[#This Row],[Open.Int]])*$A$4^2,0)</f>
        <v>0</v>
      </c>
      <c r="AA1522">
        <f ca="1">IFERROR(((Table13345678[[#This Row],[Open.Int8]])*Table13345678[[#This Row],[Put gamma]])*-1*$A$4^2,0)</f>
        <v>0</v>
      </c>
      <c r="AB1522">
        <f ca="1">(Table13345678[[#This Row],[Call Gex]]+Table13345678[[#This Row],[Put Gex]])</f>
        <v>0</v>
      </c>
      <c r="AC1522">
        <f ca="1">Table13345678[[#This Row],[put delta adj]]+Table13345678[[#This Row],[call delta adj]]</f>
        <v>0</v>
      </c>
      <c r="AD1522">
        <f ca="1">Table13345678[[#This Row],[Put Gex]]*Table13345678[[#This Row],[DeltaP]]*-1</f>
        <v>0</v>
      </c>
      <c r="AE1522">
        <f ca="1">Table13345678[[#This Row],[Call Gex]]*Table13345678[[#This Row],[DeltaC]]</f>
        <v>0</v>
      </c>
      <c r="AF1522">
        <f>IF(Table13345678[[#This Row],[DeltaC]]-ABS(Table13345678[[#This Row],[DeltaP]])="0","0.01",Table13345678[[#This Row],[DeltaC]]-ABS(Table13345678[[#This Row],[DeltaP]]))</f>
        <v>0</v>
      </c>
      <c r="AG152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2" t="e">
        <f ca="1">(EXP(-(AG1522^2)/2)/SQRT(2*PI())*EXP(0*SQRT(Table13345678[[#This Row],[T]]))/$A$4*18%*SQRT(SQRT(Table13345678[[#This Row],[T]])))</f>
        <v>#DIV/0!</v>
      </c>
      <c r="AJ1522" t="e">
        <f ca="1">(EXP(-(AH1522^2)/2)/SQRT(2*PI())*EXP(0*SQRT(Table13345678[[#This Row],[T]]))/$A$4*18%*SQRT(SQRT(Table13345678[[#This Row],[T]])))</f>
        <v>#DIV/0!</v>
      </c>
      <c r="AK1522" t="e">
        <f ca="1">Table13345678[[#This Row],[Call D1]]-Table13345678[[#This Row],[IV Calc C]]*SQRT(Table13345678[[#This Row],[T]])</f>
        <v>#DIV/0!</v>
      </c>
      <c r="AL1522" t="e">
        <f ca="1">Table13345678[[#This Row],[Put D1]]-Table13345678[[#This Row],[IV Calc P]]*SQRT(Table13345678[[#This Row],[T]])</f>
        <v>#DIV/0!</v>
      </c>
      <c r="AM1522" t="e">
        <f ca="1">EXP(-0.5*Table13345678[[#This Row],[Call D1]]^2)/SQRT(2*PI())</f>
        <v>#DIV/0!</v>
      </c>
      <c r="AN1522" t="e">
        <f ca="1">EXP(-0.5*Table13345678[[#This Row],[Put D1]]^2)/SQRT(2*PI())</f>
        <v>#DIV/0!</v>
      </c>
      <c r="AO152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2">
        <f ca="1">((Table13345678[[#This Row],[call vanna]]+Table13345678[[#This Row],[put vanna]])*$A$4)</f>
        <v>0</v>
      </c>
      <c r="AR152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2" s="9" t="str" cm="1">
        <f t="array" ref="AT1522">_xlfn.IFS(     $M$1="SPX","SPXW",     $M$1="RUT","RUTW",  $M$1="NDX","NDXP",   TRUE,$M$1 )</f>
        <v>SPXW</v>
      </c>
      <c r="AU1522" s="2">
        <f t="shared" si="152"/>
        <v>6915</v>
      </c>
      <c r="AV1522" t="str">
        <f t="shared" si="153"/>
        <v>000100</v>
      </c>
      <c r="AY152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2">
        <f>((Table13345678[[#This Row],[High C]]+Table13345678[[#This Row],[Low C]])/2)*Table13345678[[#This Row],[gammac]]*Table13345678[[#This Row],[Volume]]</f>
        <v>0</v>
      </c>
      <c r="BD1522">
        <f>((Table13345678[[#This Row],[High P]]+Table13345678[[#This Row],[Low P]])/2)*Table13345678[[#This Row],[gammap]]*Table13345678[[#This Row],[Volume9]]*-1</f>
        <v>0</v>
      </c>
      <c r="BE1522">
        <f>(Table13345678[[#This Row],[SgammaC]]+Table13345678[[#This Row],[SgammaP]])*$A$4*-100</f>
        <v>0</v>
      </c>
      <c r="BF1522">
        <f>Table13345678[[#This Row],[DEXc]]+Table13345678[[#This Row],[DEXp]]</f>
        <v>0</v>
      </c>
      <c r="BG1522" s="78">
        <f>IFERROR(Table13345678[[#This Row],[DeltaC]]*Table13345678[[#This Row],[Open.Int]]*$A$4,0)</f>
        <v>0</v>
      </c>
      <c r="BH1522">
        <f>IFERROR(Table13345678[[#This Row],[DeltaP]]*Table13345678[[#This Row],[Open.Int8]]*$A$4,0)</f>
        <v>0</v>
      </c>
      <c r="BI152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2">
        <f ca="1">Table13345678[[#This Row],[charmc]]+Table13345678[[#This Row],[charmp]]</f>
        <v>0</v>
      </c>
      <c r="BL152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2" s="78">
        <f ca="1">Table13345678[[#This Row],[call helper]]+Table13345678[[#This Row],[put helper]]</f>
        <v>0</v>
      </c>
      <c r="BP152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3" spans="1:68" x14ac:dyDescent="0.25">
      <c r="A1523" s="14">
        <f t="shared" ca="1" si="149"/>
        <v>-126.14810350076104</v>
      </c>
      <c r="C1523" s="17"/>
      <c r="D1523" t="str">
        <f>RTD("tos.rtd", , "OPEN_INT", "."&amp;Table13345678[[#This Row],[Ticker]]&amp;Table13345678[[#This Row],[Expiry]]&amp;""&amp;"C"&amp;Table13345678[[#This Row],[Spot]]+Table13345678[[#This Row],[step]])</f>
        <v>N/A</v>
      </c>
      <c r="E152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3" s="17" cm="1">
        <f t="array" aca="1" ref="H1523" ca="1">IndividualLegIVCore($A$4, Table13345678[[#This Row],[Strike]], 0.0411, Table13345678[[#This Row],[T]], ((Table13345678[[#This Row],[BIDC]]+Table13345678[[#This Row],[ASKC]])/2), TRUE)</f>
        <v>0.01</v>
      </c>
      <c r="I152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3" s="17"/>
      <c r="M1523" s="1">
        <f t="shared" si="150"/>
        <v>0</v>
      </c>
      <c r="N1523" t="b">
        <f t="shared" si="151"/>
        <v>0</v>
      </c>
      <c r="P1523" s="17" cm="1">
        <f t="array" aca="1" ref="P1523" ca="1">IndividualLegIVCore($A$4, Table13345678[[#This Row],[Strike]], 0.0411, Table13345678[[#This Row],[T]], ((Table13345678[[#This Row],[BIDP]]+Table13345678[[#This Row],[ASKP]])/2), FALSE)</f>
        <v>0.01</v>
      </c>
      <c r="Q152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3" s="17"/>
      <c r="T152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3" s="19">
        <f>-4* IF($M$1="NDX", 10, IF(OR($M$1="SPX", $M$1="RUT"), 2, 1))</f>
        <v>-8</v>
      </c>
      <c r="Z1523">
        <f ca="1">IFERROR(Table13345678[[#This Row],[call gamma]]*(Table13345678[[#This Row],[Open.Int]])*$A$4^2,0)</f>
        <v>0</v>
      </c>
      <c r="AA1523">
        <f ca="1">IFERROR(((Table13345678[[#This Row],[Open.Int8]])*Table13345678[[#This Row],[Put gamma]])*-1*$A$4^2,0)</f>
        <v>0</v>
      </c>
      <c r="AB1523">
        <f ca="1">(Table13345678[[#This Row],[Call Gex]]+Table13345678[[#This Row],[Put Gex]])</f>
        <v>0</v>
      </c>
      <c r="AC1523">
        <f ca="1">Table13345678[[#This Row],[put delta adj]]+Table13345678[[#This Row],[call delta adj]]</f>
        <v>0</v>
      </c>
      <c r="AD1523">
        <f ca="1">Table13345678[[#This Row],[Put Gex]]*Table13345678[[#This Row],[DeltaP]]*-1</f>
        <v>0</v>
      </c>
      <c r="AE1523">
        <f ca="1">Table13345678[[#This Row],[Call Gex]]*Table13345678[[#This Row],[DeltaC]]</f>
        <v>0</v>
      </c>
      <c r="AF1523">
        <f>IF(Table13345678[[#This Row],[DeltaC]]-ABS(Table13345678[[#This Row],[DeltaP]])="0","0.01",Table13345678[[#This Row],[DeltaC]]-ABS(Table13345678[[#This Row],[DeltaP]]))</f>
        <v>0</v>
      </c>
      <c r="AG152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3" t="e">
        <f ca="1">(EXP(-(AG1523^2)/2)/SQRT(2*PI())*EXP(0*SQRT(Table13345678[[#This Row],[T]]))/$A$4*18%*SQRT(SQRT(Table13345678[[#This Row],[T]])))</f>
        <v>#DIV/0!</v>
      </c>
      <c r="AJ1523" t="e">
        <f ca="1">(EXP(-(AH1523^2)/2)/SQRT(2*PI())*EXP(0*SQRT(Table13345678[[#This Row],[T]]))/$A$4*18%*SQRT(SQRT(Table13345678[[#This Row],[T]])))</f>
        <v>#DIV/0!</v>
      </c>
      <c r="AK1523" t="e">
        <f ca="1">Table13345678[[#This Row],[Call D1]]-Table13345678[[#This Row],[IV Calc C]]*SQRT(Table13345678[[#This Row],[T]])</f>
        <v>#DIV/0!</v>
      </c>
      <c r="AL1523" t="e">
        <f ca="1">Table13345678[[#This Row],[Put D1]]-Table13345678[[#This Row],[IV Calc P]]*SQRT(Table13345678[[#This Row],[T]])</f>
        <v>#DIV/0!</v>
      </c>
      <c r="AM1523" t="e">
        <f ca="1">EXP(-0.5*Table13345678[[#This Row],[Call D1]]^2)/SQRT(2*PI())</f>
        <v>#DIV/0!</v>
      </c>
      <c r="AN1523" t="e">
        <f ca="1">EXP(-0.5*Table13345678[[#This Row],[Put D1]]^2)/SQRT(2*PI())</f>
        <v>#DIV/0!</v>
      </c>
      <c r="AO152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3">
        <f ca="1">((Table13345678[[#This Row],[call vanna]]+Table13345678[[#This Row],[put vanna]])*$A$4)</f>
        <v>0</v>
      </c>
      <c r="AR152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3" s="9" t="str" cm="1">
        <f t="array" ref="AT1523">_xlfn.IFS(     $M$1="SPX","SPXW",     $M$1="RUT","RUTW",  $M$1="NDX","NDXP",   TRUE,$M$1 )</f>
        <v>SPXW</v>
      </c>
      <c r="AU1523" s="2">
        <f t="shared" si="152"/>
        <v>6915</v>
      </c>
      <c r="AV1523" t="str">
        <f t="shared" si="153"/>
        <v>000100</v>
      </c>
      <c r="AY152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3">
        <f>((Table13345678[[#This Row],[High C]]+Table13345678[[#This Row],[Low C]])/2)*Table13345678[[#This Row],[gammac]]*Table13345678[[#This Row],[Volume]]</f>
        <v>0</v>
      </c>
      <c r="BD1523">
        <f>((Table13345678[[#This Row],[High P]]+Table13345678[[#This Row],[Low P]])/2)*Table13345678[[#This Row],[gammap]]*Table13345678[[#This Row],[Volume9]]*-1</f>
        <v>0</v>
      </c>
      <c r="BE1523">
        <f>(Table13345678[[#This Row],[SgammaC]]+Table13345678[[#This Row],[SgammaP]])*$A$4*-100</f>
        <v>0</v>
      </c>
      <c r="BF1523">
        <f>Table13345678[[#This Row],[DEXc]]+Table13345678[[#This Row],[DEXp]]</f>
        <v>0</v>
      </c>
      <c r="BG1523" s="78">
        <f>IFERROR(Table13345678[[#This Row],[DeltaC]]*Table13345678[[#This Row],[Open.Int]]*$A$4,0)</f>
        <v>0</v>
      </c>
      <c r="BH1523">
        <f>IFERROR(Table13345678[[#This Row],[DeltaP]]*Table13345678[[#This Row],[Open.Int8]]*$A$4,0)</f>
        <v>0</v>
      </c>
      <c r="BI152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3">
        <f ca="1">Table13345678[[#This Row],[charmc]]+Table13345678[[#This Row],[charmp]]</f>
        <v>0</v>
      </c>
      <c r="BL152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3" s="78">
        <f ca="1">Table13345678[[#This Row],[call helper]]+Table13345678[[#This Row],[put helper]]</f>
        <v>0</v>
      </c>
      <c r="BP152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4" spans="1:68" x14ac:dyDescent="0.25">
      <c r="A1524" s="14">
        <f t="shared" ca="1" si="149"/>
        <v>-126.14810350076104</v>
      </c>
      <c r="C1524" s="17"/>
      <c r="D1524" t="str">
        <f>RTD("tos.rtd", , "OPEN_INT", "."&amp;Table13345678[[#This Row],[Ticker]]&amp;Table13345678[[#This Row],[Expiry]]&amp;""&amp;"C"&amp;Table13345678[[#This Row],[Spot]]+Table13345678[[#This Row],[step]])</f>
        <v>N/A</v>
      </c>
      <c r="E152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4" s="17" cm="1">
        <f t="array" aca="1" ref="H1524" ca="1">IndividualLegIVCore($A$4, Table13345678[[#This Row],[Strike]], 0.0411, Table13345678[[#This Row],[T]], ((Table13345678[[#This Row],[BIDC]]+Table13345678[[#This Row],[ASKC]])/2), TRUE)</f>
        <v>0.01</v>
      </c>
      <c r="I152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4" s="17"/>
      <c r="M1524" s="1">
        <f t="shared" si="150"/>
        <v>0</v>
      </c>
      <c r="N1524" t="b">
        <f t="shared" si="151"/>
        <v>0</v>
      </c>
      <c r="P1524" s="17" cm="1">
        <f t="array" aca="1" ref="P1524" ca="1">IndividualLegIVCore($A$4, Table13345678[[#This Row],[Strike]], 0.0411, Table13345678[[#This Row],[T]], ((Table13345678[[#This Row],[BIDP]]+Table13345678[[#This Row],[ASKP]])/2), FALSE)</f>
        <v>0.01</v>
      </c>
      <c r="Q152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4" s="17"/>
      <c r="T152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4" s="19">
        <f>-3.5* IF($M$1="NDX", 10, IF(OR($M$1="SPX", $M$1="RUT"), 2, 1))</f>
        <v>-7</v>
      </c>
      <c r="Z1524">
        <f ca="1">IFERROR(Table13345678[[#This Row],[call gamma]]*(Table13345678[[#This Row],[Open.Int]])*$A$4^2,0)</f>
        <v>0</v>
      </c>
      <c r="AA1524">
        <f ca="1">IFERROR(((Table13345678[[#This Row],[Open.Int8]])*Table13345678[[#This Row],[Put gamma]])*-1*$A$4^2,0)</f>
        <v>0</v>
      </c>
      <c r="AB1524">
        <f ca="1">(Table13345678[[#This Row],[Call Gex]]+Table13345678[[#This Row],[Put Gex]])</f>
        <v>0</v>
      </c>
      <c r="AC1524">
        <f ca="1">Table13345678[[#This Row],[put delta adj]]+Table13345678[[#This Row],[call delta adj]]</f>
        <v>0</v>
      </c>
      <c r="AD1524">
        <f ca="1">Table13345678[[#This Row],[Put Gex]]*Table13345678[[#This Row],[DeltaP]]*-1</f>
        <v>0</v>
      </c>
      <c r="AE1524">
        <f ca="1">Table13345678[[#This Row],[Call Gex]]*Table13345678[[#This Row],[DeltaC]]</f>
        <v>0</v>
      </c>
      <c r="AF1524">
        <f>IF(Table13345678[[#This Row],[DeltaC]]-ABS(Table13345678[[#This Row],[DeltaP]])="0","0.01",Table13345678[[#This Row],[DeltaC]]-ABS(Table13345678[[#This Row],[DeltaP]]))</f>
        <v>0</v>
      </c>
      <c r="AG152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4" t="e">
        <f ca="1">(EXP(-(AG1524^2)/2)/SQRT(2*PI())*EXP(0*SQRT(Table13345678[[#This Row],[T]]))/$A$4*18%*SQRT(SQRT(Table13345678[[#This Row],[T]])))</f>
        <v>#DIV/0!</v>
      </c>
      <c r="AJ1524" t="e">
        <f ca="1">(EXP(-(AH1524^2)/2)/SQRT(2*PI())*EXP(0*SQRT(Table13345678[[#This Row],[T]]))/$A$4*18%*SQRT(SQRT(Table13345678[[#This Row],[T]])))</f>
        <v>#DIV/0!</v>
      </c>
      <c r="AK1524" t="e">
        <f ca="1">Table13345678[[#This Row],[Call D1]]-Table13345678[[#This Row],[IV Calc C]]*SQRT(Table13345678[[#This Row],[T]])</f>
        <v>#DIV/0!</v>
      </c>
      <c r="AL1524" t="e">
        <f ca="1">Table13345678[[#This Row],[Put D1]]-Table13345678[[#This Row],[IV Calc P]]*SQRT(Table13345678[[#This Row],[T]])</f>
        <v>#DIV/0!</v>
      </c>
      <c r="AM1524" t="e">
        <f ca="1">EXP(-0.5*Table13345678[[#This Row],[Call D1]]^2)/SQRT(2*PI())</f>
        <v>#DIV/0!</v>
      </c>
      <c r="AN1524" t="e">
        <f ca="1">EXP(-0.5*Table13345678[[#This Row],[Put D1]]^2)/SQRT(2*PI())</f>
        <v>#DIV/0!</v>
      </c>
      <c r="AO152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4">
        <f ca="1">((Table13345678[[#This Row],[call vanna]]+Table13345678[[#This Row],[put vanna]])*$A$4)</f>
        <v>0</v>
      </c>
      <c r="AR152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4" s="9" t="str" cm="1">
        <f t="array" ref="AT1524">_xlfn.IFS(     $M$1="SPX","SPXW",     $M$1="RUT","RUTW",  $M$1="NDX","NDXP",   TRUE,$M$1 )</f>
        <v>SPXW</v>
      </c>
      <c r="AU1524" s="2">
        <f t="shared" si="152"/>
        <v>6915</v>
      </c>
      <c r="AV1524" t="str">
        <f t="shared" si="153"/>
        <v>000100</v>
      </c>
      <c r="AY152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4">
        <f>((Table13345678[[#This Row],[High C]]+Table13345678[[#This Row],[Low C]])/2)*Table13345678[[#This Row],[gammac]]*Table13345678[[#This Row],[Volume]]</f>
        <v>0</v>
      </c>
      <c r="BD1524">
        <f>((Table13345678[[#This Row],[High P]]+Table13345678[[#This Row],[Low P]])/2)*Table13345678[[#This Row],[gammap]]*Table13345678[[#This Row],[Volume9]]*-1</f>
        <v>0</v>
      </c>
      <c r="BE1524">
        <f>(Table13345678[[#This Row],[SgammaC]]+Table13345678[[#This Row],[SgammaP]])*$A$4*-100</f>
        <v>0</v>
      </c>
      <c r="BF1524">
        <f>Table13345678[[#This Row],[DEXc]]+Table13345678[[#This Row],[DEXp]]</f>
        <v>0</v>
      </c>
      <c r="BG1524" s="78">
        <f>IFERROR(Table13345678[[#This Row],[DeltaC]]*Table13345678[[#This Row],[Open.Int]]*$A$4,0)</f>
        <v>0</v>
      </c>
      <c r="BH1524">
        <f>IFERROR(Table13345678[[#This Row],[DeltaP]]*Table13345678[[#This Row],[Open.Int8]]*$A$4,0)</f>
        <v>0</v>
      </c>
      <c r="BI152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4">
        <f ca="1">Table13345678[[#This Row],[charmc]]+Table13345678[[#This Row],[charmp]]</f>
        <v>0</v>
      </c>
      <c r="BL152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4" s="78">
        <f ca="1">Table13345678[[#This Row],[call helper]]+Table13345678[[#This Row],[put helper]]</f>
        <v>0</v>
      </c>
      <c r="BP152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5" spans="1:68" x14ac:dyDescent="0.25">
      <c r="A1525" s="14">
        <f t="shared" ca="1" si="149"/>
        <v>-126.14810350076104</v>
      </c>
      <c r="C1525" s="17"/>
      <c r="D1525" t="str">
        <f>RTD("tos.rtd", , "OPEN_INT", "."&amp;Table13345678[[#This Row],[Ticker]]&amp;Table13345678[[#This Row],[Expiry]]&amp;""&amp;"C"&amp;Table13345678[[#This Row],[Spot]]+Table13345678[[#This Row],[step]])</f>
        <v>N/A</v>
      </c>
      <c r="E152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5" s="17" cm="1">
        <f t="array" aca="1" ref="H1525" ca="1">IndividualLegIVCore($A$4, Table13345678[[#This Row],[Strike]], 0.0411, Table13345678[[#This Row],[T]], ((Table13345678[[#This Row],[BIDC]]+Table13345678[[#This Row],[ASKC]])/2), TRUE)</f>
        <v>0.01</v>
      </c>
      <c r="I152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5" s="17"/>
      <c r="M1525" s="1">
        <f t="shared" si="150"/>
        <v>0</v>
      </c>
      <c r="N1525" t="b">
        <f t="shared" si="151"/>
        <v>0</v>
      </c>
      <c r="P1525" s="17" cm="1">
        <f t="array" aca="1" ref="P1525" ca="1">IndividualLegIVCore($A$4, Table13345678[[#This Row],[Strike]], 0.0411, Table13345678[[#This Row],[T]], ((Table13345678[[#This Row],[BIDP]]+Table13345678[[#This Row],[ASKP]])/2), FALSE)</f>
        <v>0.01</v>
      </c>
      <c r="Q152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5" s="17"/>
      <c r="T152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5" s="19">
        <f>-3* IF($M$1="NDX", 10, IF(OR($M$1="SPX", $M$1="RUT"), 2, 1))</f>
        <v>-6</v>
      </c>
      <c r="Z1525">
        <f ca="1">IFERROR(Table13345678[[#This Row],[call gamma]]*(Table13345678[[#This Row],[Open.Int]])*$A$4^2,0)</f>
        <v>0</v>
      </c>
      <c r="AA1525">
        <f ca="1">IFERROR(((Table13345678[[#This Row],[Open.Int8]])*Table13345678[[#This Row],[Put gamma]])*-1*$A$4^2,0)</f>
        <v>0</v>
      </c>
      <c r="AB1525">
        <f ca="1">(Table13345678[[#This Row],[Call Gex]]+Table13345678[[#This Row],[Put Gex]])</f>
        <v>0</v>
      </c>
      <c r="AC1525">
        <f ca="1">Table13345678[[#This Row],[put delta adj]]+Table13345678[[#This Row],[call delta adj]]</f>
        <v>0</v>
      </c>
      <c r="AD1525">
        <f ca="1">Table13345678[[#This Row],[Put Gex]]*Table13345678[[#This Row],[DeltaP]]*-1</f>
        <v>0</v>
      </c>
      <c r="AE1525">
        <f ca="1">Table13345678[[#This Row],[Call Gex]]*Table13345678[[#This Row],[DeltaC]]</f>
        <v>0</v>
      </c>
      <c r="AF1525">
        <f>IF(Table13345678[[#This Row],[DeltaC]]-ABS(Table13345678[[#This Row],[DeltaP]])="0","0.01",Table13345678[[#This Row],[DeltaC]]-ABS(Table13345678[[#This Row],[DeltaP]]))</f>
        <v>0</v>
      </c>
      <c r="AG152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5" t="e">
        <f ca="1">(EXP(-(AG1525^2)/2)/SQRT(2*PI())*EXP(0*SQRT(Table13345678[[#This Row],[T]]))/$A$4*18%*SQRT(SQRT(Table13345678[[#This Row],[T]])))</f>
        <v>#DIV/0!</v>
      </c>
      <c r="AJ1525" t="e">
        <f ca="1">(EXP(-(AH1525^2)/2)/SQRT(2*PI())*EXP(0*SQRT(Table13345678[[#This Row],[T]]))/$A$4*18%*SQRT(SQRT(Table13345678[[#This Row],[T]])))</f>
        <v>#DIV/0!</v>
      </c>
      <c r="AK1525" t="e">
        <f ca="1">Table13345678[[#This Row],[Call D1]]-Table13345678[[#This Row],[IV Calc C]]*SQRT(Table13345678[[#This Row],[T]])</f>
        <v>#DIV/0!</v>
      </c>
      <c r="AL1525" t="e">
        <f ca="1">Table13345678[[#This Row],[Put D1]]-Table13345678[[#This Row],[IV Calc P]]*SQRT(Table13345678[[#This Row],[T]])</f>
        <v>#DIV/0!</v>
      </c>
      <c r="AM1525" t="e">
        <f ca="1">EXP(-0.5*Table13345678[[#This Row],[Call D1]]^2)/SQRT(2*PI())</f>
        <v>#DIV/0!</v>
      </c>
      <c r="AN1525" t="e">
        <f ca="1">EXP(-0.5*Table13345678[[#This Row],[Put D1]]^2)/SQRT(2*PI())</f>
        <v>#DIV/0!</v>
      </c>
      <c r="AO152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5">
        <f ca="1">((Table13345678[[#This Row],[call vanna]]+Table13345678[[#This Row],[put vanna]])*$A$4)</f>
        <v>0</v>
      </c>
      <c r="AR152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5" s="9" t="str" cm="1">
        <f t="array" ref="AT1525">_xlfn.IFS(     $M$1="SPX","SPXW",     $M$1="RUT","RUTW",  $M$1="NDX","NDXP",   TRUE,$M$1 )</f>
        <v>SPXW</v>
      </c>
      <c r="AU1525" s="2">
        <f t="shared" si="152"/>
        <v>6915</v>
      </c>
      <c r="AV1525" t="str">
        <f t="shared" si="153"/>
        <v>000100</v>
      </c>
      <c r="AY152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5">
        <f>((Table13345678[[#This Row],[High C]]+Table13345678[[#This Row],[Low C]])/2)*Table13345678[[#This Row],[gammac]]*Table13345678[[#This Row],[Volume]]</f>
        <v>0</v>
      </c>
      <c r="BD1525">
        <f>((Table13345678[[#This Row],[High P]]+Table13345678[[#This Row],[Low P]])/2)*Table13345678[[#This Row],[gammap]]*Table13345678[[#This Row],[Volume9]]*-1</f>
        <v>0</v>
      </c>
      <c r="BE1525">
        <f>(Table13345678[[#This Row],[SgammaC]]+Table13345678[[#This Row],[SgammaP]])*$A$4*-100</f>
        <v>0</v>
      </c>
      <c r="BF1525">
        <f>Table13345678[[#This Row],[DEXc]]+Table13345678[[#This Row],[DEXp]]</f>
        <v>0</v>
      </c>
      <c r="BG1525" s="78">
        <f>IFERROR(Table13345678[[#This Row],[DeltaC]]*Table13345678[[#This Row],[Open.Int]]*$A$4,0)</f>
        <v>0</v>
      </c>
      <c r="BH1525">
        <f>IFERROR(Table13345678[[#This Row],[DeltaP]]*Table13345678[[#This Row],[Open.Int8]]*$A$4,0)</f>
        <v>0</v>
      </c>
      <c r="BI152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5">
        <f ca="1">Table13345678[[#This Row],[charmc]]+Table13345678[[#This Row],[charmp]]</f>
        <v>0</v>
      </c>
      <c r="BL152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5" s="78">
        <f ca="1">Table13345678[[#This Row],[call helper]]+Table13345678[[#This Row],[put helper]]</f>
        <v>0</v>
      </c>
      <c r="BP152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6" spans="1:68" x14ac:dyDescent="0.25">
      <c r="A1526" s="14">
        <f t="shared" ca="1" si="149"/>
        <v>-126.14810350076104</v>
      </c>
      <c r="C1526" s="17"/>
      <c r="D1526" t="str">
        <f>RTD("tos.rtd", , "OPEN_INT", "."&amp;Table13345678[[#This Row],[Ticker]]&amp;Table13345678[[#This Row],[Expiry]]&amp;""&amp;"C"&amp;Table13345678[[#This Row],[Spot]]+Table13345678[[#This Row],[step]])</f>
        <v>N/A</v>
      </c>
      <c r="E152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6" s="17" cm="1">
        <f t="array" aca="1" ref="H1526" ca="1">IndividualLegIVCore($A$4, Table13345678[[#This Row],[Strike]], 0.0411, Table13345678[[#This Row],[T]], ((Table13345678[[#This Row],[BIDC]]+Table13345678[[#This Row],[ASKC]])/2), TRUE)</f>
        <v>0.01</v>
      </c>
      <c r="I152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6" s="17"/>
      <c r="M1526" s="1">
        <f t="shared" si="150"/>
        <v>0</v>
      </c>
      <c r="N1526" t="b">
        <f t="shared" si="151"/>
        <v>0</v>
      </c>
      <c r="P1526" s="17" cm="1">
        <f t="array" aca="1" ref="P1526" ca="1">IndividualLegIVCore($A$4, Table13345678[[#This Row],[Strike]], 0.0411, Table13345678[[#This Row],[T]], ((Table13345678[[#This Row],[BIDP]]+Table13345678[[#This Row],[ASKP]])/2), FALSE)</f>
        <v>0.01</v>
      </c>
      <c r="Q152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6" s="17"/>
      <c r="T152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6" s="19">
        <f>-2.5* IF($M$1="NDX", 10, IF(OR($M$1="SPX", $M$1="RUT"), 2, 1))</f>
        <v>-5</v>
      </c>
      <c r="Z1526">
        <f ca="1">IFERROR(Table13345678[[#This Row],[call gamma]]*(Table13345678[[#This Row],[Open.Int]])*$A$4^2,0)</f>
        <v>0</v>
      </c>
      <c r="AA1526">
        <f ca="1">IFERROR(((Table13345678[[#This Row],[Open.Int8]])*Table13345678[[#This Row],[Put gamma]])*-1*$A$4^2,0)</f>
        <v>0</v>
      </c>
      <c r="AB1526">
        <f ca="1">(Table13345678[[#This Row],[Call Gex]]+Table13345678[[#This Row],[Put Gex]])</f>
        <v>0</v>
      </c>
      <c r="AC1526">
        <f ca="1">Table13345678[[#This Row],[put delta adj]]+Table13345678[[#This Row],[call delta adj]]</f>
        <v>0</v>
      </c>
      <c r="AD1526">
        <f ca="1">Table13345678[[#This Row],[Put Gex]]*Table13345678[[#This Row],[DeltaP]]*-1</f>
        <v>0</v>
      </c>
      <c r="AE1526">
        <f ca="1">Table13345678[[#This Row],[Call Gex]]*Table13345678[[#This Row],[DeltaC]]</f>
        <v>0</v>
      </c>
      <c r="AF1526">
        <f>IF(Table13345678[[#This Row],[DeltaC]]-ABS(Table13345678[[#This Row],[DeltaP]])="0","0.01",Table13345678[[#This Row],[DeltaC]]-ABS(Table13345678[[#This Row],[DeltaP]]))</f>
        <v>0</v>
      </c>
      <c r="AG152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6" t="e">
        <f ca="1">(EXP(-(AG1526^2)/2)/SQRT(2*PI())*EXP(0*SQRT(Table13345678[[#This Row],[T]]))/$A$4*18%*SQRT(SQRT(Table13345678[[#This Row],[T]])))</f>
        <v>#DIV/0!</v>
      </c>
      <c r="AJ1526" t="e">
        <f ca="1">(EXP(-(AH1526^2)/2)/SQRT(2*PI())*EXP(0*SQRT(Table13345678[[#This Row],[T]]))/$A$4*18%*SQRT(SQRT(Table13345678[[#This Row],[T]])))</f>
        <v>#DIV/0!</v>
      </c>
      <c r="AK1526" t="e">
        <f ca="1">Table13345678[[#This Row],[Call D1]]-Table13345678[[#This Row],[IV Calc C]]*SQRT(Table13345678[[#This Row],[T]])</f>
        <v>#DIV/0!</v>
      </c>
      <c r="AL1526" t="e">
        <f ca="1">Table13345678[[#This Row],[Put D1]]-Table13345678[[#This Row],[IV Calc P]]*SQRT(Table13345678[[#This Row],[T]])</f>
        <v>#DIV/0!</v>
      </c>
      <c r="AM1526" t="e">
        <f ca="1">EXP(-0.5*Table13345678[[#This Row],[Call D1]]^2)/SQRT(2*PI())</f>
        <v>#DIV/0!</v>
      </c>
      <c r="AN1526" t="e">
        <f ca="1">EXP(-0.5*Table13345678[[#This Row],[Put D1]]^2)/SQRT(2*PI())</f>
        <v>#DIV/0!</v>
      </c>
      <c r="AO152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6">
        <f ca="1">((Table13345678[[#This Row],[call vanna]]+Table13345678[[#This Row],[put vanna]])*$A$4)</f>
        <v>0</v>
      </c>
      <c r="AR152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6" s="9" t="str" cm="1">
        <f t="array" ref="AT1526">_xlfn.IFS(     $M$1="SPX","SPXW",     $M$1="RUT","RUTW",  $M$1="NDX","NDXP",   TRUE,$M$1 )</f>
        <v>SPXW</v>
      </c>
      <c r="AU1526" s="2">
        <f t="shared" si="152"/>
        <v>6915</v>
      </c>
      <c r="AV1526" t="str">
        <f t="shared" si="153"/>
        <v>000100</v>
      </c>
      <c r="AY152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6">
        <f>((Table13345678[[#This Row],[High C]]+Table13345678[[#This Row],[Low C]])/2)*Table13345678[[#This Row],[gammac]]*Table13345678[[#This Row],[Volume]]</f>
        <v>0</v>
      </c>
      <c r="BD1526">
        <f>((Table13345678[[#This Row],[High P]]+Table13345678[[#This Row],[Low P]])/2)*Table13345678[[#This Row],[gammap]]*Table13345678[[#This Row],[Volume9]]*-1</f>
        <v>0</v>
      </c>
      <c r="BE1526">
        <f>(Table13345678[[#This Row],[SgammaC]]+Table13345678[[#This Row],[SgammaP]])*$A$4*-100</f>
        <v>0</v>
      </c>
      <c r="BF1526">
        <f>Table13345678[[#This Row],[DEXc]]+Table13345678[[#This Row],[DEXp]]</f>
        <v>0</v>
      </c>
      <c r="BG1526" s="78">
        <f>IFERROR(Table13345678[[#This Row],[DeltaC]]*Table13345678[[#This Row],[Open.Int]]*$A$4,0)</f>
        <v>0</v>
      </c>
      <c r="BH1526">
        <f>IFERROR(Table13345678[[#This Row],[DeltaP]]*Table13345678[[#This Row],[Open.Int8]]*$A$4,0)</f>
        <v>0</v>
      </c>
      <c r="BI152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6">
        <f ca="1">Table13345678[[#This Row],[charmc]]+Table13345678[[#This Row],[charmp]]</f>
        <v>0</v>
      </c>
      <c r="BL152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6" s="78">
        <f ca="1">Table13345678[[#This Row],[call helper]]+Table13345678[[#This Row],[put helper]]</f>
        <v>0</v>
      </c>
      <c r="BP152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7" spans="1:68" x14ac:dyDescent="0.25">
      <c r="A1527" s="14">
        <f t="shared" ca="1" si="149"/>
        <v>-126.14810350076104</v>
      </c>
      <c r="C1527" s="17"/>
      <c r="D1527" t="str">
        <f>RTD("tos.rtd", , "OPEN_INT", "."&amp;Table13345678[[#This Row],[Ticker]]&amp;Table13345678[[#This Row],[Expiry]]&amp;""&amp;"C"&amp;Table13345678[[#This Row],[Spot]]+Table13345678[[#This Row],[step]])</f>
        <v>N/A</v>
      </c>
      <c r="E152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7" s="17" cm="1">
        <f t="array" aca="1" ref="H1527" ca="1">IndividualLegIVCore($A$4, Table13345678[[#This Row],[Strike]], 0.0411, Table13345678[[#This Row],[T]], ((Table13345678[[#This Row],[BIDC]]+Table13345678[[#This Row],[ASKC]])/2), TRUE)</f>
        <v>0.01</v>
      </c>
      <c r="I152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7" s="17"/>
      <c r="M1527" s="1">
        <f t="shared" si="150"/>
        <v>0</v>
      </c>
      <c r="N1527" t="b">
        <f t="shared" si="151"/>
        <v>0</v>
      </c>
      <c r="P1527" s="17" cm="1">
        <f t="array" aca="1" ref="P1527" ca="1">IndividualLegIVCore($A$4, Table13345678[[#This Row],[Strike]], 0.0411, Table13345678[[#This Row],[T]], ((Table13345678[[#This Row],[BIDP]]+Table13345678[[#This Row],[ASKP]])/2), FALSE)</f>
        <v>0.01</v>
      </c>
      <c r="Q152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7" s="17"/>
      <c r="T152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7" s="19">
        <f>-2* IF($M$1="NDX", 10, IF(OR($M$1="SPX", $M$1="RUT"), 2, 1))</f>
        <v>-4</v>
      </c>
      <c r="Z1527">
        <f ca="1">IFERROR(Table13345678[[#This Row],[call gamma]]*(Table13345678[[#This Row],[Open.Int]])*$A$4^2,0)</f>
        <v>0</v>
      </c>
      <c r="AA1527">
        <f ca="1">IFERROR(((Table13345678[[#This Row],[Open.Int8]])*Table13345678[[#This Row],[Put gamma]])*-1*$A$4^2,0)</f>
        <v>0</v>
      </c>
      <c r="AB1527">
        <f ca="1">(Table13345678[[#This Row],[Call Gex]]+Table13345678[[#This Row],[Put Gex]])</f>
        <v>0</v>
      </c>
      <c r="AC1527">
        <f ca="1">Table13345678[[#This Row],[put delta adj]]+Table13345678[[#This Row],[call delta adj]]</f>
        <v>0</v>
      </c>
      <c r="AD1527">
        <f ca="1">Table13345678[[#This Row],[Put Gex]]*Table13345678[[#This Row],[DeltaP]]*-1</f>
        <v>0</v>
      </c>
      <c r="AE1527">
        <f ca="1">Table13345678[[#This Row],[Call Gex]]*Table13345678[[#This Row],[DeltaC]]</f>
        <v>0</v>
      </c>
      <c r="AF1527">
        <f>IF(Table13345678[[#This Row],[DeltaC]]-ABS(Table13345678[[#This Row],[DeltaP]])="0","0.01",Table13345678[[#This Row],[DeltaC]]-ABS(Table13345678[[#This Row],[DeltaP]]))</f>
        <v>0</v>
      </c>
      <c r="AG152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7" t="e">
        <f ca="1">(EXP(-(AG1527^2)/2)/SQRT(2*PI())*EXP(0*SQRT(Table13345678[[#This Row],[T]]))/$A$4*18%*SQRT(SQRT(Table13345678[[#This Row],[T]])))</f>
        <v>#DIV/0!</v>
      </c>
      <c r="AJ1527" t="e">
        <f ca="1">(EXP(-(AH1527^2)/2)/SQRT(2*PI())*EXP(0*SQRT(Table13345678[[#This Row],[T]]))/$A$4*18%*SQRT(SQRT(Table13345678[[#This Row],[T]])))</f>
        <v>#DIV/0!</v>
      </c>
      <c r="AK1527" t="e">
        <f ca="1">Table13345678[[#This Row],[Call D1]]-Table13345678[[#This Row],[IV Calc C]]*SQRT(Table13345678[[#This Row],[T]])</f>
        <v>#DIV/0!</v>
      </c>
      <c r="AL1527" t="e">
        <f ca="1">Table13345678[[#This Row],[Put D1]]-Table13345678[[#This Row],[IV Calc P]]*SQRT(Table13345678[[#This Row],[T]])</f>
        <v>#DIV/0!</v>
      </c>
      <c r="AM1527" t="e">
        <f ca="1">EXP(-0.5*Table13345678[[#This Row],[Call D1]]^2)/SQRT(2*PI())</f>
        <v>#DIV/0!</v>
      </c>
      <c r="AN1527" t="e">
        <f ca="1">EXP(-0.5*Table13345678[[#This Row],[Put D1]]^2)/SQRT(2*PI())</f>
        <v>#DIV/0!</v>
      </c>
      <c r="AO152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7">
        <f ca="1">((Table13345678[[#This Row],[call vanna]]+Table13345678[[#This Row],[put vanna]])*$A$4)</f>
        <v>0</v>
      </c>
      <c r="AR152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7" s="9" t="str" cm="1">
        <f t="array" ref="AT1527">_xlfn.IFS(     $M$1="SPX","SPXW",     $M$1="RUT","RUTW",  $M$1="NDX","NDXP",   TRUE,$M$1 )</f>
        <v>SPXW</v>
      </c>
      <c r="AU1527" s="2">
        <f t="shared" si="152"/>
        <v>6915</v>
      </c>
      <c r="AV1527" t="str">
        <f t="shared" si="153"/>
        <v>000100</v>
      </c>
      <c r="AY152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7">
        <f>((Table13345678[[#This Row],[High C]]+Table13345678[[#This Row],[Low C]])/2)*Table13345678[[#This Row],[gammac]]*Table13345678[[#This Row],[Volume]]</f>
        <v>0</v>
      </c>
      <c r="BD1527">
        <f>((Table13345678[[#This Row],[High P]]+Table13345678[[#This Row],[Low P]])/2)*Table13345678[[#This Row],[gammap]]*Table13345678[[#This Row],[Volume9]]*-1</f>
        <v>0</v>
      </c>
      <c r="BE1527">
        <f>(Table13345678[[#This Row],[SgammaC]]+Table13345678[[#This Row],[SgammaP]])*$A$4*-100</f>
        <v>0</v>
      </c>
      <c r="BF1527">
        <f>Table13345678[[#This Row],[DEXc]]+Table13345678[[#This Row],[DEXp]]</f>
        <v>0</v>
      </c>
      <c r="BG1527" s="78">
        <f>IFERROR(Table13345678[[#This Row],[DeltaC]]*Table13345678[[#This Row],[Open.Int]]*$A$4,0)</f>
        <v>0</v>
      </c>
      <c r="BH1527">
        <f>IFERROR(Table13345678[[#This Row],[DeltaP]]*Table13345678[[#This Row],[Open.Int8]]*$A$4,0)</f>
        <v>0</v>
      </c>
      <c r="BI152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7">
        <f ca="1">Table13345678[[#This Row],[charmc]]+Table13345678[[#This Row],[charmp]]</f>
        <v>0</v>
      </c>
      <c r="BL152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7" s="78">
        <f ca="1">Table13345678[[#This Row],[call helper]]+Table13345678[[#This Row],[put helper]]</f>
        <v>0</v>
      </c>
      <c r="BP152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8" spans="1:68" x14ac:dyDescent="0.25">
      <c r="A1528" s="14">
        <f t="shared" ca="1" si="149"/>
        <v>-126.14810350076104</v>
      </c>
      <c r="C1528" s="17"/>
      <c r="D1528" t="str">
        <f>RTD("tos.rtd", , "OPEN_INT", "."&amp;Table13345678[[#This Row],[Ticker]]&amp;Table13345678[[#This Row],[Expiry]]&amp;""&amp;"C"&amp;Table13345678[[#This Row],[Spot]]+Table13345678[[#This Row],[step]])</f>
        <v>N/A</v>
      </c>
      <c r="E152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8" s="17" cm="1">
        <f t="array" aca="1" ref="H1528" ca="1">IndividualLegIVCore($A$4, Table13345678[[#This Row],[Strike]], 0.0411, Table13345678[[#This Row],[T]], ((Table13345678[[#This Row],[BIDC]]+Table13345678[[#This Row],[ASKC]])/2), TRUE)</f>
        <v>0.01</v>
      </c>
      <c r="I152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8" s="17"/>
      <c r="M1528" s="1">
        <f t="shared" si="150"/>
        <v>0</v>
      </c>
      <c r="N1528" t="b">
        <f t="shared" si="151"/>
        <v>0</v>
      </c>
      <c r="P1528" s="17" cm="1">
        <f t="array" aca="1" ref="P1528" ca="1">IndividualLegIVCore($A$4, Table13345678[[#This Row],[Strike]], 0.0411, Table13345678[[#This Row],[T]], ((Table13345678[[#This Row],[BIDP]]+Table13345678[[#This Row],[ASKP]])/2), FALSE)</f>
        <v>0.01</v>
      </c>
      <c r="Q152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8" s="17"/>
      <c r="T152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8" s="19">
        <f>-1.5* IF($M$1="NDX", 10, IF(OR($M$1="SPX", $M$1="RUT"), 2, 1))</f>
        <v>-3</v>
      </c>
      <c r="Z1528">
        <f ca="1">IFERROR(Table13345678[[#This Row],[call gamma]]*(Table13345678[[#This Row],[Open.Int]])*$A$4^2,0)</f>
        <v>0</v>
      </c>
      <c r="AA1528">
        <f ca="1">IFERROR(((Table13345678[[#This Row],[Open.Int8]])*Table13345678[[#This Row],[Put gamma]])*-1*$A$4^2,0)</f>
        <v>0</v>
      </c>
      <c r="AB1528">
        <f ca="1">(Table13345678[[#This Row],[Call Gex]]+Table13345678[[#This Row],[Put Gex]])</f>
        <v>0</v>
      </c>
      <c r="AC1528">
        <f ca="1">Table13345678[[#This Row],[put delta adj]]+Table13345678[[#This Row],[call delta adj]]</f>
        <v>0</v>
      </c>
      <c r="AD1528">
        <f ca="1">Table13345678[[#This Row],[Put Gex]]*Table13345678[[#This Row],[DeltaP]]*-1</f>
        <v>0</v>
      </c>
      <c r="AE1528">
        <f ca="1">Table13345678[[#This Row],[Call Gex]]*Table13345678[[#This Row],[DeltaC]]</f>
        <v>0</v>
      </c>
      <c r="AF1528">
        <f>IF(Table13345678[[#This Row],[DeltaC]]-ABS(Table13345678[[#This Row],[DeltaP]])="0","0.01",Table13345678[[#This Row],[DeltaC]]-ABS(Table13345678[[#This Row],[DeltaP]]))</f>
        <v>0</v>
      </c>
      <c r="AG152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8" t="e">
        <f ca="1">(EXP(-(AG1528^2)/2)/SQRT(2*PI())*EXP(0*SQRT(Table13345678[[#This Row],[T]]))/$A$4*18%*SQRT(SQRT(Table13345678[[#This Row],[T]])))</f>
        <v>#DIV/0!</v>
      </c>
      <c r="AJ1528" t="e">
        <f ca="1">(EXP(-(AH1528^2)/2)/SQRT(2*PI())*EXP(0*SQRT(Table13345678[[#This Row],[T]]))/$A$4*18%*SQRT(SQRT(Table13345678[[#This Row],[T]])))</f>
        <v>#DIV/0!</v>
      </c>
      <c r="AK1528" t="e">
        <f ca="1">Table13345678[[#This Row],[Call D1]]-Table13345678[[#This Row],[IV Calc C]]*SQRT(Table13345678[[#This Row],[T]])</f>
        <v>#DIV/0!</v>
      </c>
      <c r="AL1528" t="e">
        <f ca="1">Table13345678[[#This Row],[Put D1]]-Table13345678[[#This Row],[IV Calc P]]*SQRT(Table13345678[[#This Row],[T]])</f>
        <v>#DIV/0!</v>
      </c>
      <c r="AM1528" t="e">
        <f ca="1">EXP(-0.5*Table13345678[[#This Row],[Call D1]]^2)/SQRT(2*PI())</f>
        <v>#DIV/0!</v>
      </c>
      <c r="AN1528" t="e">
        <f ca="1">EXP(-0.5*Table13345678[[#This Row],[Put D1]]^2)/SQRT(2*PI())</f>
        <v>#DIV/0!</v>
      </c>
      <c r="AO152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8">
        <f ca="1">((Table13345678[[#This Row],[call vanna]]+Table13345678[[#This Row],[put vanna]])*$A$4)</f>
        <v>0</v>
      </c>
      <c r="AR152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8" s="9" t="str" cm="1">
        <f t="array" ref="AT1528">_xlfn.IFS(     $M$1="SPX","SPXW",     $M$1="RUT","RUTW",  $M$1="NDX","NDXP",   TRUE,$M$1 )</f>
        <v>SPXW</v>
      </c>
      <c r="AU1528" s="2">
        <f t="shared" si="152"/>
        <v>6915</v>
      </c>
      <c r="AV1528" t="str">
        <f t="shared" si="153"/>
        <v>000100</v>
      </c>
      <c r="AY152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8">
        <f>((Table13345678[[#This Row],[High C]]+Table13345678[[#This Row],[Low C]])/2)*Table13345678[[#This Row],[gammac]]*Table13345678[[#This Row],[Volume]]</f>
        <v>0</v>
      </c>
      <c r="BD1528">
        <f>((Table13345678[[#This Row],[High P]]+Table13345678[[#This Row],[Low P]])/2)*Table13345678[[#This Row],[gammap]]*Table13345678[[#This Row],[Volume9]]*-1</f>
        <v>0</v>
      </c>
      <c r="BE1528">
        <f>(Table13345678[[#This Row],[SgammaC]]+Table13345678[[#This Row],[SgammaP]])*$A$4*-100</f>
        <v>0</v>
      </c>
      <c r="BF1528">
        <f>Table13345678[[#This Row],[DEXc]]+Table13345678[[#This Row],[DEXp]]</f>
        <v>0</v>
      </c>
      <c r="BG1528" s="78">
        <f>IFERROR(Table13345678[[#This Row],[DeltaC]]*Table13345678[[#This Row],[Open.Int]]*$A$4,0)</f>
        <v>0</v>
      </c>
      <c r="BH1528">
        <f>IFERROR(Table13345678[[#This Row],[DeltaP]]*Table13345678[[#This Row],[Open.Int8]]*$A$4,0)</f>
        <v>0</v>
      </c>
      <c r="BI152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8">
        <f ca="1">Table13345678[[#This Row],[charmc]]+Table13345678[[#This Row],[charmp]]</f>
        <v>0</v>
      </c>
      <c r="BL152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8" s="78">
        <f ca="1">Table13345678[[#This Row],[call helper]]+Table13345678[[#This Row],[put helper]]</f>
        <v>0</v>
      </c>
      <c r="BP152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9" spans="1:68" x14ac:dyDescent="0.25">
      <c r="A1529" s="14">
        <f t="shared" ca="1" si="149"/>
        <v>-126.14810350076104</v>
      </c>
      <c r="C1529" s="17"/>
      <c r="D1529" t="str">
        <f>RTD("tos.rtd", , "OPEN_INT", "."&amp;Table13345678[[#This Row],[Ticker]]&amp;Table13345678[[#This Row],[Expiry]]&amp;""&amp;"C"&amp;Table13345678[[#This Row],[Spot]]+Table13345678[[#This Row],[step]])</f>
        <v>N/A</v>
      </c>
      <c r="E152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9" s="17" cm="1">
        <f t="array" aca="1" ref="H1529" ca="1">IndividualLegIVCore($A$4, Table13345678[[#This Row],[Strike]], 0.0411, Table13345678[[#This Row],[T]], ((Table13345678[[#This Row],[BIDC]]+Table13345678[[#This Row],[ASKC]])/2), TRUE)</f>
        <v>0.01</v>
      </c>
      <c r="I152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9" s="17"/>
      <c r="M1529" s="1">
        <f t="shared" si="150"/>
        <v>0</v>
      </c>
      <c r="N1529" t="b">
        <f t="shared" si="151"/>
        <v>0</v>
      </c>
      <c r="P1529" s="17" cm="1">
        <f t="array" aca="1" ref="P1529" ca="1">IndividualLegIVCore($A$4, Table13345678[[#This Row],[Strike]], 0.0411, Table13345678[[#This Row],[T]], ((Table13345678[[#This Row],[BIDP]]+Table13345678[[#This Row],[ASKP]])/2), FALSE)</f>
        <v>0.01</v>
      </c>
      <c r="Q152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9" s="17"/>
      <c r="T152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9" s="19">
        <f>-1* IF($M$1="NDX", 10, IF(OR($M$1="SPX", $M$1="RUT"), 2, 1))</f>
        <v>-2</v>
      </c>
      <c r="Z1529">
        <f ca="1">IFERROR(Table13345678[[#This Row],[call gamma]]*(Table13345678[[#This Row],[Open.Int]])*$A$4^2,0)</f>
        <v>0</v>
      </c>
      <c r="AA1529">
        <f ca="1">IFERROR(((Table13345678[[#This Row],[Open.Int8]])*Table13345678[[#This Row],[Put gamma]])*-1*$A$4^2,0)</f>
        <v>0</v>
      </c>
      <c r="AB1529">
        <f ca="1">(Table13345678[[#This Row],[Call Gex]]+Table13345678[[#This Row],[Put Gex]])</f>
        <v>0</v>
      </c>
      <c r="AC1529">
        <f ca="1">Table13345678[[#This Row],[put delta adj]]+Table13345678[[#This Row],[call delta adj]]</f>
        <v>0</v>
      </c>
      <c r="AD1529">
        <f ca="1">Table13345678[[#This Row],[Put Gex]]*Table13345678[[#This Row],[DeltaP]]*-1</f>
        <v>0</v>
      </c>
      <c r="AE1529">
        <f ca="1">Table13345678[[#This Row],[Call Gex]]*Table13345678[[#This Row],[DeltaC]]</f>
        <v>0</v>
      </c>
      <c r="AF1529">
        <f>IF(Table13345678[[#This Row],[DeltaC]]-ABS(Table13345678[[#This Row],[DeltaP]])="0","0.01",Table13345678[[#This Row],[DeltaC]]-ABS(Table13345678[[#This Row],[DeltaP]]))</f>
        <v>0</v>
      </c>
      <c r="AG152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9" t="e">
        <f ca="1">(EXP(-(AG1529^2)/2)/SQRT(2*PI())*EXP(0*SQRT(Table13345678[[#This Row],[T]]))/$A$4*18%*SQRT(SQRT(Table13345678[[#This Row],[T]])))</f>
        <v>#DIV/0!</v>
      </c>
      <c r="AJ1529" t="e">
        <f ca="1">(EXP(-(AH1529^2)/2)/SQRT(2*PI())*EXP(0*SQRT(Table13345678[[#This Row],[T]]))/$A$4*18%*SQRT(SQRT(Table13345678[[#This Row],[T]])))</f>
        <v>#DIV/0!</v>
      </c>
      <c r="AK1529" t="e">
        <f ca="1">Table13345678[[#This Row],[Call D1]]-Table13345678[[#This Row],[IV Calc C]]*SQRT(Table13345678[[#This Row],[T]])</f>
        <v>#DIV/0!</v>
      </c>
      <c r="AL1529" t="e">
        <f ca="1">Table13345678[[#This Row],[Put D1]]-Table13345678[[#This Row],[IV Calc P]]*SQRT(Table13345678[[#This Row],[T]])</f>
        <v>#DIV/0!</v>
      </c>
      <c r="AM1529" t="e">
        <f ca="1">EXP(-0.5*Table13345678[[#This Row],[Call D1]]^2)/SQRT(2*PI())</f>
        <v>#DIV/0!</v>
      </c>
      <c r="AN1529" t="e">
        <f ca="1">EXP(-0.5*Table13345678[[#This Row],[Put D1]]^2)/SQRT(2*PI())</f>
        <v>#DIV/0!</v>
      </c>
      <c r="AO152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9">
        <f ca="1">((Table13345678[[#This Row],[call vanna]]+Table13345678[[#This Row],[put vanna]])*$A$4)</f>
        <v>0</v>
      </c>
      <c r="AR152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9" s="9" t="str" cm="1">
        <f t="array" ref="AT1529">_xlfn.IFS(     $M$1="SPX","SPXW",     $M$1="RUT","RUTW",  $M$1="NDX","NDXP",   TRUE,$M$1 )</f>
        <v>SPXW</v>
      </c>
      <c r="AU1529" s="2">
        <f t="shared" si="152"/>
        <v>6915</v>
      </c>
      <c r="AV1529" t="str">
        <f t="shared" si="153"/>
        <v>000100</v>
      </c>
      <c r="AY152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9">
        <f>((Table13345678[[#This Row],[High C]]+Table13345678[[#This Row],[Low C]])/2)*Table13345678[[#This Row],[gammac]]*Table13345678[[#This Row],[Volume]]</f>
        <v>0</v>
      </c>
      <c r="BD1529">
        <f>((Table13345678[[#This Row],[High P]]+Table13345678[[#This Row],[Low P]])/2)*Table13345678[[#This Row],[gammap]]*Table13345678[[#This Row],[Volume9]]*-1</f>
        <v>0</v>
      </c>
      <c r="BE1529">
        <f>(Table13345678[[#This Row],[SgammaC]]+Table13345678[[#This Row],[SgammaP]])*$A$4*-100</f>
        <v>0</v>
      </c>
      <c r="BF1529">
        <f>Table13345678[[#This Row],[DEXc]]+Table13345678[[#This Row],[DEXp]]</f>
        <v>0</v>
      </c>
      <c r="BG1529" s="78">
        <f>IFERROR(Table13345678[[#This Row],[DeltaC]]*Table13345678[[#This Row],[Open.Int]]*$A$4,0)</f>
        <v>0</v>
      </c>
      <c r="BH1529">
        <f>IFERROR(Table13345678[[#This Row],[DeltaP]]*Table13345678[[#This Row],[Open.Int8]]*$A$4,0)</f>
        <v>0</v>
      </c>
      <c r="BI152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9">
        <f ca="1">Table13345678[[#This Row],[charmc]]+Table13345678[[#This Row],[charmp]]</f>
        <v>0</v>
      </c>
      <c r="BL152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9" s="78">
        <f ca="1">Table13345678[[#This Row],[call helper]]+Table13345678[[#This Row],[put helper]]</f>
        <v>0</v>
      </c>
      <c r="BP152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0" spans="1:68" ht="15.75" thickBot="1" x14ac:dyDescent="0.3">
      <c r="A1530" s="14">
        <f t="shared" ca="1" si="149"/>
        <v>-126.14810350076104</v>
      </c>
      <c r="C1530" s="17"/>
      <c r="D1530" t="str">
        <f>RTD("tos.rtd", , "OPEN_INT", "."&amp;Table13345678[[#This Row],[Ticker]]&amp;Table13345678[[#This Row],[Expiry]]&amp;""&amp;"C"&amp;Table13345678[[#This Row],[Spot]]+Table13345678[[#This Row],[step]])</f>
        <v>N/A</v>
      </c>
      <c r="E153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0" s="17" cm="1">
        <f t="array" aca="1" ref="H1530" ca="1">IndividualLegIVCore($A$4, Table13345678[[#This Row],[Strike]], 0.0411, Table13345678[[#This Row],[T]], ((Table13345678[[#This Row],[BIDC]]+Table13345678[[#This Row],[ASKC]])/2), TRUE)</f>
        <v>0.01</v>
      </c>
      <c r="I153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0" s="17"/>
      <c r="M1530" s="1">
        <f t="shared" si="150"/>
        <v>0</v>
      </c>
      <c r="N1530" t="b">
        <f t="shared" si="151"/>
        <v>0</v>
      </c>
      <c r="P1530" s="17" cm="1">
        <f t="array" aca="1" ref="P1530" ca="1">IndividualLegIVCore($A$4, Table13345678[[#This Row],[Strike]], 0.0411, Table13345678[[#This Row],[T]], ((Table13345678[[#This Row],[BIDP]]+Table13345678[[#This Row],[ASKP]])/2), FALSE)</f>
        <v>0.01</v>
      </c>
      <c r="Q153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0" s="17"/>
      <c r="T153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0" s="19">
        <f>-0.5* IF($M$1="NDX", 10, IF(OR($M$1="SPX", $M$1="RUT"), 2, 1))</f>
        <v>-1</v>
      </c>
      <c r="Z1530">
        <f ca="1">IFERROR(Table13345678[[#This Row],[call gamma]]*(Table13345678[[#This Row],[Open.Int]])*$A$4^2,0)</f>
        <v>0</v>
      </c>
      <c r="AA1530">
        <f ca="1">IFERROR(((Table13345678[[#This Row],[Open.Int8]])*Table13345678[[#This Row],[Put gamma]])*-1*$A$4^2,0)</f>
        <v>0</v>
      </c>
      <c r="AB1530">
        <f ca="1">(Table13345678[[#This Row],[Call Gex]]+Table13345678[[#This Row],[Put Gex]])</f>
        <v>0</v>
      </c>
      <c r="AC1530">
        <f ca="1">Table13345678[[#This Row],[put delta adj]]+Table13345678[[#This Row],[call delta adj]]</f>
        <v>0</v>
      </c>
      <c r="AD1530">
        <f ca="1">Table13345678[[#This Row],[Put Gex]]*Table13345678[[#This Row],[DeltaP]]*-1</f>
        <v>0</v>
      </c>
      <c r="AE1530">
        <f ca="1">Table13345678[[#This Row],[Call Gex]]*Table13345678[[#This Row],[DeltaC]]</f>
        <v>0</v>
      </c>
      <c r="AF1530">
        <f>IF(Table13345678[[#This Row],[DeltaC]]-ABS(Table13345678[[#This Row],[DeltaP]])="0","0.01",Table13345678[[#This Row],[DeltaC]]-ABS(Table13345678[[#This Row],[DeltaP]]))</f>
        <v>0</v>
      </c>
      <c r="AG153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0" t="e">
        <f ca="1">(EXP(-(AG1530^2)/2)/SQRT(2*PI())*EXP(0*SQRT(Table13345678[[#This Row],[T]]))/$A$4*18%*SQRT(SQRT(Table13345678[[#This Row],[T]])))</f>
        <v>#DIV/0!</v>
      </c>
      <c r="AJ1530" t="e">
        <f ca="1">(EXP(-(AH1530^2)/2)/SQRT(2*PI())*EXP(0*SQRT(Table13345678[[#This Row],[T]]))/$A$4*18%*SQRT(SQRT(Table13345678[[#This Row],[T]])))</f>
        <v>#DIV/0!</v>
      </c>
      <c r="AK1530" t="e">
        <f ca="1">Table13345678[[#This Row],[Call D1]]-Table13345678[[#This Row],[IV Calc C]]*SQRT(Table13345678[[#This Row],[T]])</f>
        <v>#DIV/0!</v>
      </c>
      <c r="AL1530" t="e">
        <f ca="1">Table13345678[[#This Row],[Put D1]]-Table13345678[[#This Row],[IV Calc P]]*SQRT(Table13345678[[#This Row],[T]])</f>
        <v>#DIV/0!</v>
      </c>
      <c r="AM1530" t="e">
        <f ca="1">EXP(-0.5*Table13345678[[#This Row],[Call D1]]^2)/SQRT(2*PI())</f>
        <v>#DIV/0!</v>
      </c>
      <c r="AN1530" t="e">
        <f ca="1">EXP(-0.5*Table13345678[[#This Row],[Put D1]]^2)/SQRT(2*PI())</f>
        <v>#DIV/0!</v>
      </c>
      <c r="AO153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0">
        <f ca="1">((Table13345678[[#This Row],[call vanna]]+Table13345678[[#This Row],[put vanna]])*$A$4)</f>
        <v>0</v>
      </c>
      <c r="AR153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0" s="9" t="str" cm="1">
        <f t="array" ref="AT1530">_xlfn.IFS(     $M$1="SPX","SPXW",     $M$1="RUT","RUTW",  $M$1="NDX","NDXP",   TRUE,$M$1 )</f>
        <v>SPXW</v>
      </c>
      <c r="AU1530" s="2">
        <f t="shared" si="152"/>
        <v>6915</v>
      </c>
      <c r="AV1530" t="str">
        <f t="shared" si="153"/>
        <v>000100</v>
      </c>
      <c r="AY153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0">
        <f>((Table13345678[[#This Row],[High C]]+Table13345678[[#This Row],[Low C]])/2)*Table13345678[[#This Row],[gammac]]*Table13345678[[#This Row],[Volume]]</f>
        <v>0</v>
      </c>
      <c r="BD1530">
        <f>((Table13345678[[#This Row],[High P]]+Table13345678[[#This Row],[Low P]])/2)*Table13345678[[#This Row],[gammap]]*Table13345678[[#This Row],[Volume9]]*-1</f>
        <v>0</v>
      </c>
      <c r="BE1530">
        <f>(Table13345678[[#This Row],[SgammaC]]+Table13345678[[#This Row],[SgammaP]])*$A$4*-100</f>
        <v>0</v>
      </c>
      <c r="BF1530">
        <f>Table13345678[[#This Row],[DEXc]]+Table13345678[[#This Row],[DEXp]]</f>
        <v>0</v>
      </c>
      <c r="BG1530" s="78">
        <f>IFERROR(Table13345678[[#This Row],[DeltaC]]*Table13345678[[#This Row],[Open.Int]]*$A$4,0)</f>
        <v>0</v>
      </c>
      <c r="BH1530">
        <f>IFERROR(Table13345678[[#This Row],[DeltaP]]*Table13345678[[#This Row],[Open.Int8]]*$A$4,0)</f>
        <v>0</v>
      </c>
      <c r="BI153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0">
        <f ca="1">Table13345678[[#This Row],[charmc]]+Table13345678[[#This Row],[charmp]]</f>
        <v>0</v>
      </c>
      <c r="BL153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0" s="78">
        <f ca="1">Table13345678[[#This Row],[call helper]]+Table13345678[[#This Row],[put helper]]</f>
        <v>0</v>
      </c>
      <c r="BP153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1" spans="1:68" ht="15.75" thickBot="1" x14ac:dyDescent="0.3">
      <c r="A1531" s="14">
        <f t="shared" ca="1" si="149"/>
        <v>-126.14810350076104</v>
      </c>
      <c r="C1531" s="17"/>
      <c r="D1531" t="str">
        <f>RTD("tos.rtd", , "OPEN_INT", "."&amp;Table13345678[[#This Row],[Ticker]]&amp;Table13345678[[#This Row],[Expiry]]&amp;""&amp;"C"&amp;Table13345678[[#This Row],[Spot]]+Table13345678[[#This Row],[step]])</f>
        <v>N/A</v>
      </c>
      <c r="E15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1" s="17" cm="1">
        <f t="array" aca="1" ref="H1531" ca="1">IndividualLegIVCore($A$4, Table13345678[[#This Row],[Strike]], 0.0411, Table13345678[[#This Row],[T]], ((Table13345678[[#This Row],[BIDC]]+Table13345678[[#This Row],[ASKC]])/2), TRUE)</f>
        <v>0.01</v>
      </c>
      <c r="I15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1" s="17"/>
      <c r="M1531" s="1">
        <f t="shared" si="150"/>
        <v>0</v>
      </c>
      <c r="N1531" t="b">
        <f t="shared" si="151"/>
        <v>0</v>
      </c>
      <c r="P1531" s="17" cm="1">
        <f t="array" aca="1" ref="P1531" ca="1">IndividualLegIVCore($A$4, Table13345678[[#This Row],[Strike]], 0.0411, Table13345678[[#This Row],[T]], ((Table13345678[[#This Row],[BIDP]]+Table13345678[[#This Row],[ASKP]])/2), FALSE)</f>
        <v>0.01</v>
      </c>
      <c r="Q15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1" s="17"/>
      <c r="T15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1" s="55">
        <v>0</v>
      </c>
      <c r="Z1531">
        <f ca="1">IFERROR(Table13345678[[#This Row],[call gamma]]*(Table13345678[[#This Row],[Open.Int]])*$A$4^2,0)</f>
        <v>0</v>
      </c>
      <c r="AA1531">
        <f ca="1">IFERROR(((Table13345678[[#This Row],[Open.Int8]])*Table13345678[[#This Row],[Put gamma]])*-1*$A$4^2,0)</f>
        <v>0</v>
      </c>
      <c r="AB1531">
        <f ca="1">(Table13345678[[#This Row],[Call Gex]]+Table13345678[[#This Row],[Put Gex]])</f>
        <v>0</v>
      </c>
      <c r="AC1531">
        <f ca="1">Table13345678[[#This Row],[put delta adj]]+Table13345678[[#This Row],[call delta adj]]</f>
        <v>0</v>
      </c>
      <c r="AD1531">
        <f ca="1">Table13345678[[#This Row],[Put Gex]]*Table13345678[[#This Row],[DeltaP]]*-1</f>
        <v>0</v>
      </c>
      <c r="AE1531">
        <f ca="1">Table13345678[[#This Row],[Call Gex]]*Table13345678[[#This Row],[DeltaC]]</f>
        <v>0</v>
      </c>
      <c r="AF1531">
        <f>IF(Table13345678[[#This Row],[DeltaC]]-ABS(Table13345678[[#This Row],[DeltaP]])="0","0.01",Table13345678[[#This Row],[DeltaC]]-ABS(Table13345678[[#This Row],[DeltaP]]))</f>
        <v>0</v>
      </c>
      <c r="AG15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1" t="e">
        <f ca="1">(EXP(-(AG1531^2)/2)/SQRT(2*PI())*EXP(0*SQRT(Table13345678[[#This Row],[T]]))/$A$4*18%*SQRT(SQRT(Table13345678[[#This Row],[T]])))</f>
        <v>#DIV/0!</v>
      </c>
      <c r="AJ1531" t="e">
        <f ca="1">(EXP(-(AH1531^2)/2)/SQRT(2*PI())*EXP(0*SQRT(Table13345678[[#This Row],[T]]))/$A$4*18%*SQRT(SQRT(Table13345678[[#This Row],[T]])))</f>
        <v>#DIV/0!</v>
      </c>
      <c r="AK1531" t="e">
        <f ca="1">Table13345678[[#This Row],[Call D1]]-Table13345678[[#This Row],[IV Calc C]]*SQRT(Table13345678[[#This Row],[T]])</f>
        <v>#DIV/0!</v>
      </c>
      <c r="AL1531" t="e">
        <f ca="1">Table13345678[[#This Row],[Put D1]]-Table13345678[[#This Row],[IV Calc P]]*SQRT(Table13345678[[#This Row],[T]])</f>
        <v>#DIV/0!</v>
      </c>
      <c r="AM1531" t="e">
        <f ca="1">EXP(-0.5*Table13345678[[#This Row],[Call D1]]^2)/SQRT(2*PI())</f>
        <v>#DIV/0!</v>
      </c>
      <c r="AN1531" t="e">
        <f ca="1">EXP(-0.5*Table13345678[[#This Row],[Put D1]]^2)/SQRT(2*PI())</f>
        <v>#DIV/0!</v>
      </c>
      <c r="AO15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1">
        <f ca="1">((Table13345678[[#This Row],[call vanna]]+Table13345678[[#This Row],[put vanna]])*$A$4)</f>
        <v>0</v>
      </c>
      <c r="AR15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1" s="9" t="str" cm="1">
        <f t="array" ref="AT1531">_xlfn.IFS(     $M$1="SPX","SPXW",     $M$1="RUT","RUTW",  $M$1="NDX","NDXP",   TRUE,$M$1 )</f>
        <v>SPXW</v>
      </c>
      <c r="AU1531" s="2">
        <f t="shared" si="152"/>
        <v>6915</v>
      </c>
      <c r="AV1531" t="str">
        <f t="shared" si="153"/>
        <v>000100</v>
      </c>
      <c r="AY15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1">
        <f>((Table13345678[[#This Row],[High C]]+Table13345678[[#This Row],[Low C]])/2)*Table13345678[[#This Row],[gammac]]*Table13345678[[#This Row],[Volume]]</f>
        <v>0</v>
      </c>
      <c r="BD1531">
        <f>((Table13345678[[#This Row],[High P]]+Table13345678[[#This Row],[Low P]])/2)*Table13345678[[#This Row],[gammap]]*Table13345678[[#This Row],[Volume9]]*-1</f>
        <v>0</v>
      </c>
      <c r="BE1531">
        <f>(Table13345678[[#This Row],[SgammaC]]+Table13345678[[#This Row],[SgammaP]])*$A$4*-100</f>
        <v>0</v>
      </c>
      <c r="BF1531">
        <f>Table13345678[[#This Row],[DEXc]]+Table13345678[[#This Row],[DEXp]]</f>
        <v>0</v>
      </c>
      <c r="BG1531" s="78">
        <f>IFERROR(Table13345678[[#This Row],[DeltaC]]*Table13345678[[#This Row],[Open.Int]]*$A$4,0)</f>
        <v>0</v>
      </c>
      <c r="BH1531">
        <f>IFERROR(Table13345678[[#This Row],[DeltaP]]*Table13345678[[#This Row],[Open.Int8]]*$A$4,0)</f>
        <v>0</v>
      </c>
      <c r="BI153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1">
        <f ca="1">Table13345678[[#This Row],[charmc]]+Table13345678[[#This Row],[charmp]]</f>
        <v>0</v>
      </c>
      <c r="BL153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1" s="78">
        <f ca="1">Table13345678[[#This Row],[call helper]]+Table13345678[[#This Row],[put helper]]</f>
        <v>0</v>
      </c>
      <c r="BP153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2" spans="1:68" x14ac:dyDescent="0.25">
      <c r="A1532" s="14">
        <f t="shared" ca="1" si="149"/>
        <v>-126.14810350076104</v>
      </c>
      <c r="C1532" s="17"/>
      <c r="D1532" t="str">
        <f>RTD("tos.rtd", , "OPEN_INT", "."&amp;Table13345678[[#This Row],[Ticker]]&amp;Table13345678[[#This Row],[Expiry]]&amp;""&amp;"C"&amp;Table13345678[[#This Row],[Spot]]+Table13345678[[#This Row],[step]])</f>
        <v>N/A</v>
      </c>
      <c r="E153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2" s="17" cm="1">
        <f t="array" aca="1" ref="H1532" ca="1">IndividualLegIVCore($A$4, Table13345678[[#This Row],[Strike]], 0.0411, Table13345678[[#This Row],[T]], ((Table13345678[[#This Row],[BIDC]]+Table13345678[[#This Row],[ASKC]])/2), TRUE)</f>
        <v>0.01</v>
      </c>
      <c r="I153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2" s="17"/>
      <c r="M1532" s="1">
        <f t="shared" si="150"/>
        <v>0</v>
      </c>
      <c r="N1532" t="b">
        <f t="shared" si="151"/>
        <v>0</v>
      </c>
      <c r="P1532" s="17" cm="1">
        <f t="array" aca="1" ref="P1532" ca="1">IndividualLegIVCore($A$4, Table13345678[[#This Row],[Strike]], 0.0411, Table13345678[[#This Row],[T]], ((Table13345678[[#This Row],[BIDP]]+Table13345678[[#This Row],[ASKP]])/2), FALSE)</f>
        <v>0.01</v>
      </c>
      <c r="Q153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2" s="17"/>
      <c r="T153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2">
        <f>0.5* IF($M$1="NDX", 10, IF(OR($M$1="SPX", $M$1="RUT"), 2, 1))</f>
        <v>1</v>
      </c>
      <c r="Z1532">
        <f ca="1">IFERROR(Table13345678[[#This Row],[call gamma]]*(Table13345678[[#This Row],[Open.Int]])*$A$4^2,0)</f>
        <v>0</v>
      </c>
      <c r="AA1532">
        <f ca="1">IFERROR(((Table13345678[[#This Row],[Open.Int8]])*Table13345678[[#This Row],[Put gamma]])*-1*$A$4^2,0)</f>
        <v>0</v>
      </c>
      <c r="AB1532">
        <f ca="1">(Table13345678[[#This Row],[Call Gex]]+Table13345678[[#This Row],[Put Gex]])</f>
        <v>0</v>
      </c>
      <c r="AC1532">
        <f ca="1">Table13345678[[#This Row],[put delta adj]]+Table13345678[[#This Row],[call delta adj]]</f>
        <v>0</v>
      </c>
      <c r="AD1532">
        <f ca="1">Table13345678[[#This Row],[Put Gex]]*Table13345678[[#This Row],[DeltaP]]*-1</f>
        <v>0</v>
      </c>
      <c r="AE1532">
        <f ca="1">Table13345678[[#This Row],[Call Gex]]*Table13345678[[#This Row],[DeltaC]]</f>
        <v>0</v>
      </c>
      <c r="AF1532">
        <f>IF(Table13345678[[#This Row],[DeltaC]]-ABS(Table13345678[[#This Row],[DeltaP]])="0","0.01",Table13345678[[#This Row],[DeltaC]]-ABS(Table13345678[[#This Row],[DeltaP]]))</f>
        <v>0</v>
      </c>
      <c r="AG153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2" t="e">
        <f ca="1">(EXP(-(AG1532^2)/2)/SQRT(2*PI())*EXP(0*SQRT(Table13345678[[#This Row],[T]]))/$A$4*18%*SQRT(SQRT(Table13345678[[#This Row],[T]])))</f>
        <v>#DIV/0!</v>
      </c>
      <c r="AJ1532" t="e">
        <f ca="1">(EXP(-(AH1532^2)/2)/SQRT(2*PI())*EXP(0*SQRT(Table13345678[[#This Row],[T]]))/$A$4*18%*SQRT(SQRT(Table13345678[[#This Row],[T]])))</f>
        <v>#DIV/0!</v>
      </c>
      <c r="AK1532" t="e">
        <f ca="1">Table13345678[[#This Row],[Call D1]]-Table13345678[[#This Row],[IV Calc C]]*SQRT(Table13345678[[#This Row],[T]])</f>
        <v>#DIV/0!</v>
      </c>
      <c r="AL1532" t="e">
        <f ca="1">Table13345678[[#This Row],[Put D1]]-Table13345678[[#This Row],[IV Calc P]]*SQRT(Table13345678[[#This Row],[T]])</f>
        <v>#DIV/0!</v>
      </c>
      <c r="AM1532" t="e">
        <f ca="1">EXP(-0.5*Table13345678[[#This Row],[Call D1]]^2)/SQRT(2*PI())</f>
        <v>#DIV/0!</v>
      </c>
      <c r="AN1532" t="e">
        <f ca="1">EXP(-0.5*Table13345678[[#This Row],[Put D1]]^2)/SQRT(2*PI())</f>
        <v>#DIV/0!</v>
      </c>
      <c r="AO153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2">
        <f ca="1">((Table13345678[[#This Row],[call vanna]]+Table13345678[[#This Row],[put vanna]])*$A$4)</f>
        <v>0</v>
      </c>
      <c r="AR153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2" s="9" t="str" cm="1">
        <f t="array" ref="AT1532">_xlfn.IFS(     $M$1="SPX","SPXW",     $M$1="RUT","RUTW",  $M$1="NDX","NDXP",   TRUE,$M$1 )</f>
        <v>SPXW</v>
      </c>
      <c r="AU1532" s="2">
        <f t="shared" si="152"/>
        <v>6915</v>
      </c>
      <c r="AV1532" t="str">
        <f t="shared" si="153"/>
        <v>000100</v>
      </c>
      <c r="AY153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2">
        <f>((Table13345678[[#This Row],[High C]]+Table13345678[[#This Row],[Low C]])/2)*Table13345678[[#This Row],[gammac]]*Table13345678[[#This Row],[Volume]]</f>
        <v>0</v>
      </c>
      <c r="BD1532">
        <f>((Table13345678[[#This Row],[High P]]+Table13345678[[#This Row],[Low P]])/2)*Table13345678[[#This Row],[gammap]]*Table13345678[[#This Row],[Volume9]]*-1</f>
        <v>0</v>
      </c>
      <c r="BE1532">
        <f>(Table13345678[[#This Row],[SgammaC]]+Table13345678[[#This Row],[SgammaP]])*$A$4*-100</f>
        <v>0</v>
      </c>
      <c r="BF1532">
        <f>Table13345678[[#This Row],[DEXc]]+Table13345678[[#This Row],[DEXp]]</f>
        <v>0</v>
      </c>
      <c r="BG1532" s="78">
        <f>IFERROR(Table13345678[[#This Row],[DeltaC]]*Table13345678[[#This Row],[Open.Int]]*$A$4,0)</f>
        <v>0</v>
      </c>
      <c r="BH1532">
        <f>IFERROR(Table13345678[[#This Row],[DeltaP]]*Table13345678[[#This Row],[Open.Int8]]*$A$4,0)</f>
        <v>0</v>
      </c>
      <c r="BI153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2">
        <f ca="1">Table13345678[[#This Row],[charmc]]+Table13345678[[#This Row],[charmp]]</f>
        <v>0</v>
      </c>
      <c r="BL153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2" s="78">
        <f ca="1">Table13345678[[#This Row],[call helper]]+Table13345678[[#This Row],[put helper]]</f>
        <v>0</v>
      </c>
      <c r="BP153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3" spans="1:68" x14ac:dyDescent="0.25">
      <c r="A1533" s="14">
        <f t="shared" ca="1" si="149"/>
        <v>-126.14810350076104</v>
      </c>
      <c r="C1533" s="17"/>
      <c r="D1533" t="str">
        <f>RTD("tos.rtd", , "OPEN_INT", "."&amp;Table13345678[[#This Row],[Ticker]]&amp;Table13345678[[#This Row],[Expiry]]&amp;""&amp;"C"&amp;Table13345678[[#This Row],[Spot]]+Table13345678[[#This Row],[step]])</f>
        <v>N/A</v>
      </c>
      <c r="E153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3" s="17" cm="1">
        <f t="array" aca="1" ref="H1533" ca="1">IndividualLegIVCore($A$4, Table13345678[[#This Row],[Strike]], 0.0411, Table13345678[[#This Row],[T]], ((Table13345678[[#This Row],[BIDC]]+Table13345678[[#This Row],[ASKC]])/2), TRUE)</f>
        <v>0.01</v>
      </c>
      <c r="I153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3" s="17"/>
      <c r="M1533" s="1">
        <f t="shared" si="150"/>
        <v>0</v>
      </c>
      <c r="N1533" t="b">
        <f t="shared" si="151"/>
        <v>0</v>
      </c>
      <c r="P1533" s="17" cm="1">
        <f t="array" aca="1" ref="P1533" ca="1">IndividualLegIVCore($A$4, Table13345678[[#This Row],[Strike]], 0.0411, Table13345678[[#This Row],[T]], ((Table13345678[[#This Row],[BIDP]]+Table13345678[[#This Row],[ASKP]])/2), FALSE)</f>
        <v>0.01</v>
      </c>
      <c r="Q153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3" s="17"/>
      <c r="T153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3" s="19">
        <f>1* IF($M$1="NDX", 10, IF(OR($M$1="SPX", $M$1="RUT"), 2, 1))</f>
        <v>2</v>
      </c>
      <c r="Z1533">
        <f ca="1">IFERROR(Table13345678[[#This Row],[call gamma]]*(Table13345678[[#This Row],[Open.Int]])*$A$4^2,0)</f>
        <v>0</v>
      </c>
      <c r="AA1533">
        <f ca="1">IFERROR(((Table13345678[[#This Row],[Open.Int8]])*Table13345678[[#This Row],[Put gamma]])*-1*$A$4^2,0)</f>
        <v>0</v>
      </c>
      <c r="AB1533">
        <f ca="1">(Table13345678[[#This Row],[Call Gex]]+Table13345678[[#This Row],[Put Gex]])</f>
        <v>0</v>
      </c>
      <c r="AC1533">
        <f ca="1">Table13345678[[#This Row],[put delta adj]]+Table13345678[[#This Row],[call delta adj]]</f>
        <v>0</v>
      </c>
      <c r="AD1533">
        <f ca="1">Table13345678[[#This Row],[Put Gex]]*Table13345678[[#This Row],[DeltaP]]*-1</f>
        <v>0</v>
      </c>
      <c r="AE1533">
        <f ca="1">Table13345678[[#This Row],[Call Gex]]*Table13345678[[#This Row],[DeltaC]]</f>
        <v>0</v>
      </c>
      <c r="AF1533">
        <f>IF(Table13345678[[#This Row],[DeltaC]]-ABS(Table13345678[[#This Row],[DeltaP]])="0","0.01",Table13345678[[#This Row],[DeltaC]]-ABS(Table13345678[[#This Row],[DeltaP]]))</f>
        <v>0</v>
      </c>
      <c r="AG153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3" t="e">
        <f ca="1">(EXP(-(AG1533^2)/2)/SQRT(2*PI())*EXP(0*SQRT(Table13345678[[#This Row],[T]]))/$A$4*18%*SQRT(SQRT(Table13345678[[#This Row],[T]])))</f>
        <v>#DIV/0!</v>
      </c>
      <c r="AJ1533" t="e">
        <f ca="1">(EXP(-(AH1533^2)/2)/SQRT(2*PI())*EXP(0*SQRT(Table13345678[[#This Row],[T]]))/$A$4*18%*SQRT(SQRT(Table13345678[[#This Row],[T]])))</f>
        <v>#DIV/0!</v>
      </c>
      <c r="AK1533" t="e">
        <f ca="1">Table13345678[[#This Row],[Call D1]]-Table13345678[[#This Row],[IV Calc C]]*SQRT(Table13345678[[#This Row],[T]])</f>
        <v>#DIV/0!</v>
      </c>
      <c r="AL1533" t="e">
        <f ca="1">Table13345678[[#This Row],[Put D1]]-Table13345678[[#This Row],[IV Calc P]]*SQRT(Table13345678[[#This Row],[T]])</f>
        <v>#DIV/0!</v>
      </c>
      <c r="AM1533" t="e">
        <f ca="1">EXP(-0.5*Table13345678[[#This Row],[Call D1]]^2)/SQRT(2*PI())</f>
        <v>#DIV/0!</v>
      </c>
      <c r="AN1533" t="e">
        <f ca="1">EXP(-0.5*Table13345678[[#This Row],[Put D1]]^2)/SQRT(2*PI())</f>
        <v>#DIV/0!</v>
      </c>
      <c r="AO153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3">
        <f ca="1">((Table13345678[[#This Row],[call vanna]]+Table13345678[[#This Row],[put vanna]])*$A$4)</f>
        <v>0</v>
      </c>
      <c r="AR153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3" s="9" t="str" cm="1">
        <f t="array" ref="AT1533">_xlfn.IFS(     $M$1="SPX","SPXW",     $M$1="RUT","RUTW",  $M$1="NDX","NDXP",   TRUE,$M$1 )</f>
        <v>SPXW</v>
      </c>
      <c r="AU1533" s="2">
        <f t="shared" si="152"/>
        <v>6915</v>
      </c>
      <c r="AV1533" t="str">
        <f t="shared" si="153"/>
        <v>000100</v>
      </c>
      <c r="AY153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3">
        <f>((Table13345678[[#This Row],[High C]]+Table13345678[[#This Row],[Low C]])/2)*Table13345678[[#This Row],[gammac]]*Table13345678[[#This Row],[Volume]]</f>
        <v>0</v>
      </c>
      <c r="BD1533">
        <f>((Table13345678[[#This Row],[High P]]+Table13345678[[#This Row],[Low P]])/2)*Table13345678[[#This Row],[gammap]]*Table13345678[[#This Row],[Volume9]]*-1</f>
        <v>0</v>
      </c>
      <c r="BE1533">
        <f>(Table13345678[[#This Row],[SgammaC]]+Table13345678[[#This Row],[SgammaP]])*$A$4*-100</f>
        <v>0</v>
      </c>
      <c r="BF1533">
        <f>Table13345678[[#This Row],[DEXc]]+Table13345678[[#This Row],[DEXp]]</f>
        <v>0</v>
      </c>
      <c r="BG1533" s="78">
        <f>IFERROR(Table13345678[[#This Row],[DeltaC]]*Table13345678[[#This Row],[Open.Int]]*$A$4,0)</f>
        <v>0</v>
      </c>
      <c r="BH1533">
        <f>IFERROR(Table13345678[[#This Row],[DeltaP]]*Table13345678[[#This Row],[Open.Int8]]*$A$4,0)</f>
        <v>0</v>
      </c>
      <c r="BI153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3">
        <f ca="1">Table13345678[[#This Row],[charmc]]+Table13345678[[#This Row],[charmp]]</f>
        <v>0</v>
      </c>
      <c r="BL153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3" s="78">
        <f ca="1">Table13345678[[#This Row],[call helper]]+Table13345678[[#This Row],[put helper]]</f>
        <v>0</v>
      </c>
      <c r="BP153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4" spans="1:68" x14ac:dyDescent="0.25">
      <c r="A1534" s="14">
        <f t="shared" ca="1" si="149"/>
        <v>-126.14810350076104</v>
      </c>
      <c r="C1534" s="17"/>
      <c r="D1534" t="str">
        <f>RTD("tos.rtd", , "OPEN_INT", "."&amp;Table13345678[[#This Row],[Ticker]]&amp;Table13345678[[#This Row],[Expiry]]&amp;""&amp;"C"&amp;Table13345678[[#This Row],[Spot]]+Table13345678[[#This Row],[step]])</f>
        <v>N/A</v>
      </c>
      <c r="E153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4" s="17" cm="1">
        <f t="array" aca="1" ref="H1534" ca="1">IndividualLegIVCore($A$4, Table13345678[[#This Row],[Strike]], 0.0411, Table13345678[[#This Row],[T]], ((Table13345678[[#This Row],[BIDC]]+Table13345678[[#This Row],[ASKC]])/2), TRUE)</f>
        <v>0.01</v>
      </c>
      <c r="I153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4" s="17"/>
      <c r="M1534" s="1">
        <f t="shared" si="150"/>
        <v>0</v>
      </c>
      <c r="N1534" t="b">
        <f t="shared" si="151"/>
        <v>0</v>
      </c>
      <c r="P1534" s="17" cm="1">
        <f t="array" aca="1" ref="P1534" ca="1">IndividualLegIVCore($A$4, Table13345678[[#This Row],[Strike]], 0.0411, Table13345678[[#This Row],[T]], ((Table13345678[[#This Row],[BIDP]]+Table13345678[[#This Row],[ASKP]])/2), FALSE)</f>
        <v>0.01</v>
      </c>
      <c r="Q153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4" s="17"/>
      <c r="T153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4" s="19">
        <f>1.5* IF($M$1="NDX", 10, IF(OR($M$1="SPX", $M$1="RUT"), 2, 1))</f>
        <v>3</v>
      </c>
      <c r="Z1534">
        <f ca="1">IFERROR(Table13345678[[#This Row],[call gamma]]*(Table13345678[[#This Row],[Open.Int]])*$A$4^2,0)</f>
        <v>0</v>
      </c>
      <c r="AA1534">
        <f ca="1">IFERROR(((Table13345678[[#This Row],[Open.Int8]])*Table13345678[[#This Row],[Put gamma]])*-1*$A$4^2,0)</f>
        <v>0</v>
      </c>
      <c r="AB1534">
        <f ca="1">(Table13345678[[#This Row],[Call Gex]]+Table13345678[[#This Row],[Put Gex]])</f>
        <v>0</v>
      </c>
      <c r="AC1534">
        <f ca="1">Table13345678[[#This Row],[put delta adj]]+Table13345678[[#This Row],[call delta adj]]</f>
        <v>0</v>
      </c>
      <c r="AD1534">
        <f ca="1">Table13345678[[#This Row],[Put Gex]]*Table13345678[[#This Row],[DeltaP]]*-1</f>
        <v>0</v>
      </c>
      <c r="AE1534">
        <f ca="1">Table13345678[[#This Row],[Call Gex]]*Table13345678[[#This Row],[DeltaC]]</f>
        <v>0</v>
      </c>
      <c r="AF1534">
        <f>IF(Table13345678[[#This Row],[DeltaC]]-ABS(Table13345678[[#This Row],[DeltaP]])="0","0.01",Table13345678[[#This Row],[DeltaC]]-ABS(Table13345678[[#This Row],[DeltaP]]))</f>
        <v>0</v>
      </c>
      <c r="AG153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4" t="e">
        <f ca="1">(EXP(-(AG1534^2)/2)/SQRT(2*PI())*EXP(0*SQRT(Table13345678[[#This Row],[T]]))/$A$4*18%*SQRT(SQRT(Table13345678[[#This Row],[T]])))</f>
        <v>#DIV/0!</v>
      </c>
      <c r="AJ1534" t="e">
        <f ca="1">(EXP(-(AH1534^2)/2)/SQRT(2*PI())*EXP(0*SQRT(Table13345678[[#This Row],[T]]))/$A$4*18%*SQRT(SQRT(Table13345678[[#This Row],[T]])))</f>
        <v>#DIV/0!</v>
      </c>
      <c r="AK1534" t="e">
        <f ca="1">Table13345678[[#This Row],[Call D1]]-Table13345678[[#This Row],[IV Calc C]]*SQRT(Table13345678[[#This Row],[T]])</f>
        <v>#DIV/0!</v>
      </c>
      <c r="AL1534" t="e">
        <f ca="1">Table13345678[[#This Row],[Put D1]]-Table13345678[[#This Row],[IV Calc P]]*SQRT(Table13345678[[#This Row],[T]])</f>
        <v>#DIV/0!</v>
      </c>
      <c r="AM1534" t="e">
        <f ca="1">EXP(-0.5*Table13345678[[#This Row],[Call D1]]^2)/SQRT(2*PI())</f>
        <v>#DIV/0!</v>
      </c>
      <c r="AN1534" t="e">
        <f ca="1">EXP(-0.5*Table13345678[[#This Row],[Put D1]]^2)/SQRT(2*PI())</f>
        <v>#DIV/0!</v>
      </c>
      <c r="AO153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4">
        <f ca="1">((Table13345678[[#This Row],[call vanna]]+Table13345678[[#This Row],[put vanna]])*$A$4)</f>
        <v>0</v>
      </c>
      <c r="AR153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4" s="9" t="str" cm="1">
        <f t="array" ref="AT1534">_xlfn.IFS(     $M$1="SPX","SPXW",     $M$1="RUT","RUTW",  $M$1="NDX","NDXP",   TRUE,$M$1 )</f>
        <v>SPXW</v>
      </c>
      <c r="AU1534" s="2">
        <f t="shared" si="152"/>
        <v>6915</v>
      </c>
      <c r="AV1534" t="str">
        <f t="shared" si="153"/>
        <v>000100</v>
      </c>
      <c r="AY153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4">
        <f>((Table13345678[[#This Row],[High C]]+Table13345678[[#This Row],[Low C]])/2)*Table13345678[[#This Row],[gammac]]*Table13345678[[#This Row],[Volume]]</f>
        <v>0</v>
      </c>
      <c r="BD1534">
        <f>((Table13345678[[#This Row],[High P]]+Table13345678[[#This Row],[Low P]])/2)*Table13345678[[#This Row],[gammap]]*Table13345678[[#This Row],[Volume9]]*-1</f>
        <v>0</v>
      </c>
      <c r="BE1534">
        <f>(Table13345678[[#This Row],[SgammaC]]+Table13345678[[#This Row],[SgammaP]])*$A$4*-100</f>
        <v>0</v>
      </c>
      <c r="BF1534">
        <f>Table13345678[[#This Row],[DEXc]]+Table13345678[[#This Row],[DEXp]]</f>
        <v>0</v>
      </c>
      <c r="BG1534" s="78">
        <f>IFERROR(Table13345678[[#This Row],[DeltaC]]*Table13345678[[#This Row],[Open.Int]]*$A$4,0)</f>
        <v>0</v>
      </c>
      <c r="BH1534">
        <f>IFERROR(Table13345678[[#This Row],[DeltaP]]*Table13345678[[#This Row],[Open.Int8]]*$A$4,0)</f>
        <v>0</v>
      </c>
      <c r="BI153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4">
        <f ca="1">Table13345678[[#This Row],[charmc]]+Table13345678[[#This Row],[charmp]]</f>
        <v>0</v>
      </c>
      <c r="BL153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4" s="78">
        <f ca="1">Table13345678[[#This Row],[call helper]]+Table13345678[[#This Row],[put helper]]</f>
        <v>0</v>
      </c>
      <c r="BP153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5" spans="1:68" x14ac:dyDescent="0.25">
      <c r="A1535" s="14">
        <f t="shared" ca="1" si="149"/>
        <v>-126.14810350076104</v>
      </c>
      <c r="C1535" s="17"/>
      <c r="D1535" t="str">
        <f>RTD("tos.rtd", , "OPEN_INT", "."&amp;Table13345678[[#This Row],[Ticker]]&amp;Table13345678[[#This Row],[Expiry]]&amp;""&amp;"C"&amp;Table13345678[[#This Row],[Spot]]+Table13345678[[#This Row],[step]])</f>
        <v>N/A</v>
      </c>
      <c r="E153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5" s="17" cm="1">
        <f t="array" aca="1" ref="H1535" ca="1">IndividualLegIVCore($A$4, Table13345678[[#This Row],[Strike]], 0.0411, Table13345678[[#This Row],[T]], ((Table13345678[[#This Row],[BIDC]]+Table13345678[[#This Row],[ASKC]])/2), TRUE)</f>
        <v>0.01</v>
      </c>
      <c r="I153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5" s="17"/>
      <c r="M1535" s="1">
        <f t="shared" si="150"/>
        <v>0</v>
      </c>
      <c r="N1535" t="b">
        <f t="shared" si="151"/>
        <v>0</v>
      </c>
      <c r="P1535" s="17" cm="1">
        <f t="array" aca="1" ref="P1535" ca="1">IndividualLegIVCore($A$4, Table13345678[[#This Row],[Strike]], 0.0411, Table13345678[[#This Row],[T]], ((Table13345678[[#This Row],[BIDP]]+Table13345678[[#This Row],[ASKP]])/2), FALSE)</f>
        <v>0.01</v>
      </c>
      <c r="Q153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5" s="17"/>
      <c r="T153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5" s="19">
        <f>2 * IF($M$1="NDX", 10, IF(OR($M$1="SPX", $M$1="RUT"), 2, 1))</f>
        <v>4</v>
      </c>
      <c r="Z1535">
        <f ca="1">IFERROR(Table13345678[[#This Row],[call gamma]]*(Table13345678[[#This Row],[Open.Int]])*$A$4^2,0)</f>
        <v>0</v>
      </c>
      <c r="AA1535">
        <f ca="1">IFERROR(((Table13345678[[#This Row],[Open.Int8]])*Table13345678[[#This Row],[Put gamma]])*-1*$A$4^2,0)</f>
        <v>0</v>
      </c>
      <c r="AB1535">
        <f ca="1">(Table13345678[[#This Row],[Call Gex]]+Table13345678[[#This Row],[Put Gex]])</f>
        <v>0</v>
      </c>
      <c r="AC1535">
        <f ca="1">Table13345678[[#This Row],[put delta adj]]+Table13345678[[#This Row],[call delta adj]]</f>
        <v>0</v>
      </c>
      <c r="AD1535">
        <f ca="1">Table13345678[[#This Row],[Put Gex]]*Table13345678[[#This Row],[DeltaP]]*-1</f>
        <v>0</v>
      </c>
      <c r="AE1535">
        <f ca="1">Table13345678[[#This Row],[Call Gex]]*Table13345678[[#This Row],[DeltaC]]</f>
        <v>0</v>
      </c>
      <c r="AF1535">
        <f>IF(Table13345678[[#This Row],[DeltaC]]-ABS(Table13345678[[#This Row],[DeltaP]])="0","0.01",Table13345678[[#This Row],[DeltaC]]-ABS(Table13345678[[#This Row],[DeltaP]]))</f>
        <v>0</v>
      </c>
      <c r="AG153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5" t="e">
        <f ca="1">(EXP(-(AG1535^2)/2)/SQRT(2*PI())*EXP(0*SQRT(Table13345678[[#This Row],[T]]))/$A$4*18%*SQRT(SQRT(Table13345678[[#This Row],[T]])))</f>
        <v>#DIV/0!</v>
      </c>
      <c r="AJ1535" t="e">
        <f ca="1">(EXP(-(AH1535^2)/2)/SQRT(2*PI())*EXP(0*SQRT(Table13345678[[#This Row],[T]]))/$A$4*18%*SQRT(SQRT(Table13345678[[#This Row],[T]])))</f>
        <v>#DIV/0!</v>
      </c>
      <c r="AK1535" t="e">
        <f ca="1">Table13345678[[#This Row],[Call D1]]-Table13345678[[#This Row],[IV Calc C]]*SQRT(Table13345678[[#This Row],[T]])</f>
        <v>#DIV/0!</v>
      </c>
      <c r="AL1535" t="e">
        <f ca="1">Table13345678[[#This Row],[Put D1]]-Table13345678[[#This Row],[IV Calc P]]*SQRT(Table13345678[[#This Row],[T]])</f>
        <v>#DIV/0!</v>
      </c>
      <c r="AM1535" t="e">
        <f ca="1">EXP(-0.5*Table13345678[[#This Row],[Call D1]]^2)/SQRT(2*PI())</f>
        <v>#DIV/0!</v>
      </c>
      <c r="AN1535" t="e">
        <f ca="1">EXP(-0.5*Table13345678[[#This Row],[Put D1]]^2)/SQRT(2*PI())</f>
        <v>#DIV/0!</v>
      </c>
      <c r="AO153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5">
        <f ca="1">((Table13345678[[#This Row],[call vanna]]+Table13345678[[#This Row],[put vanna]])*$A$4)</f>
        <v>0</v>
      </c>
      <c r="AR153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5" s="9" t="str" cm="1">
        <f t="array" ref="AT1535">_xlfn.IFS(     $M$1="SPX","SPXW",     $M$1="RUT","RUTW",  $M$1="NDX","NDXP",   TRUE,$M$1 )</f>
        <v>SPXW</v>
      </c>
      <c r="AU1535" s="2">
        <f t="shared" si="152"/>
        <v>6915</v>
      </c>
      <c r="AV1535" t="str">
        <f t="shared" si="153"/>
        <v>000100</v>
      </c>
      <c r="AY153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5">
        <f>((Table13345678[[#This Row],[High C]]+Table13345678[[#This Row],[Low C]])/2)*Table13345678[[#This Row],[gammac]]*Table13345678[[#This Row],[Volume]]</f>
        <v>0</v>
      </c>
      <c r="BD1535">
        <f>((Table13345678[[#This Row],[High P]]+Table13345678[[#This Row],[Low P]])/2)*Table13345678[[#This Row],[gammap]]*Table13345678[[#This Row],[Volume9]]*-1</f>
        <v>0</v>
      </c>
      <c r="BE1535">
        <f>(Table13345678[[#This Row],[SgammaC]]+Table13345678[[#This Row],[SgammaP]])*$A$4*-100</f>
        <v>0</v>
      </c>
      <c r="BF1535">
        <f>Table13345678[[#This Row],[DEXc]]+Table13345678[[#This Row],[DEXp]]</f>
        <v>0</v>
      </c>
      <c r="BG1535" s="78">
        <f>IFERROR(Table13345678[[#This Row],[DeltaC]]*Table13345678[[#This Row],[Open.Int]]*$A$4,0)</f>
        <v>0</v>
      </c>
      <c r="BH1535">
        <f>IFERROR(Table13345678[[#This Row],[DeltaP]]*Table13345678[[#This Row],[Open.Int8]]*$A$4,0)</f>
        <v>0</v>
      </c>
      <c r="BI153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5">
        <f ca="1">Table13345678[[#This Row],[charmc]]+Table13345678[[#This Row],[charmp]]</f>
        <v>0</v>
      </c>
      <c r="BL153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5" s="78">
        <f ca="1">Table13345678[[#This Row],[call helper]]+Table13345678[[#This Row],[put helper]]</f>
        <v>0</v>
      </c>
      <c r="BP153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6" spans="1:68" x14ac:dyDescent="0.25">
      <c r="A1536" s="14">
        <f t="shared" ca="1" si="149"/>
        <v>-126.14810350076104</v>
      </c>
      <c r="C1536" s="17"/>
      <c r="D1536" t="str">
        <f>RTD("tos.rtd", , "OPEN_INT", "."&amp;Table13345678[[#This Row],[Ticker]]&amp;Table13345678[[#This Row],[Expiry]]&amp;""&amp;"C"&amp;Table13345678[[#This Row],[Spot]]+Table13345678[[#This Row],[step]])</f>
        <v>N/A</v>
      </c>
      <c r="E153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6" s="17" cm="1">
        <f t="array" aca="1" ref="H1536" ca="1">IndividualLegIVCore($A$4, Table13345678[[#This Row],[Strike]], 0.0411, Table13345678[[#This Row],[T]], ((Table13345678[[#This Row],[BIDC]]+Table13345678[[#This Row],[ASKC]])/2), TRUE)</f>
        <v>0.01</v>
      </c>
      <c r="I153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6" s="17"/>
      <c r="M1536" s="1">
        <f t="shared" si="150"/>
        <v>0</v>
      </c>
      <c r="N1536" t="b">
        <f t="shared" si="151"/>
        <v>0</v>
      </c>
      <c r="P1536" s="17" cm="1">
        <f t="array" aca="1" ref="P1536" ca="1">IndividualLegIVCore($A$4, Table13345678[[#This Row],[Strike]], 0.0411, Table13345678[[#This Row],[T]], ((Table13345678[[#This Row],[BIDP]]+Table13345678[[#This Row],[ASKP]])/2), FALSE)</f>
        <v>0.01</v>
      </c>
      <c r="Q153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6" s="17"/>
      <c r="T153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6" s="19">
        <f>2.5* IF($M$1="NDX", 10, IF(OR($M$1="SPX", $M$1="RUT"), 2, 1))</f>
        <v>5</v>
      </c>
      <c r="Z1536">
        <f ca="1">IFERROR(Table13345678[[#This Row],[call gamma]]*(Table13345678[[#This Row],[Open.Int]])*$A$4^2,0)</f>
        <v>0</v>
      </c>
      <c r="AA1536">
        <f ca="1">IFERROR(((Table13345678[[#This Row],[Open.Int8]])*Table13345678[[#This Row],[Put gamma]])*-1*$A$4^2,0)</f>
        <v>0</v>
      </c>
      <c r="AB1536">
        <f ca="1">(Table13345678[[#This Row],[Call Gex]]+Table13345678[[#This Row],[Put Gex]])</f>
        <v>0</v>
      </c>
      <c r="AC1536">
        <f ca="1">Table13345678[[#This Row],[put delta adj]]+Table13345678[[#This Row],[call delta adj]]</f>
        <v>0</v>
      </c>
      <c r="AD1536">
        <f ca="1">Table13345678[[#This Row],[Put Gex]]*Table13345678[[#This Row],[DeltaP]]*-1</f>
        <v>0</v>
      </c>
      <c r="AE1536">
        <f ca="1">Table13345678[[#This Row],[Call Gex]]*Table13345678[[#This Row],[DeltaC]]</f>
        <v>0</v>
      </c>
      <c r="AF1536">
        <f>IF(Table13345678[[#This Row],[DeltaC]]-ABS(Table13345678[[#This Row],[DeltaP]])="0","0.01",Table13345678[[#This Row],[DeltaC]]-ABS(Table13345678[[#This Row],[DeltaP]]))</f>
        <v>0</v>
      </c>
      <c r="AG153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6" t="e">
        <f ca="1">(EXP(-(AG1536^2)/2)/SQRT(2*PI())*EXP(0*SQRT(Table13345678[[#This Row],[T]]))/$A$4*18%*SQRT(SQRT(Table13345678[[#This Row],[T]])))</f>
        <v>#DIV/0!</v>
      </c>
      <c r="AJ1536" t="e">
        <f ca="1">(EXP(-(AH1536^2)/2)/SQRT(2*PI())*EXP(0*SQRT(Table13345678[[#This Row],[T]]))/$A$4*18%*SQRT(SQRT(Table13345678[[#This Row],[T]])))</f>
        <v>#DIV/0!</v>
      </c>
      <c r="AK1536" t="e">
        <f ca="1">Table13345678[[#This Row],[Call D1]]-Table13345678[[#This Row],[IV Calc C]]*SQRT(Table13345678[[#This Row],[T]])</f>
        <v>#DIV/0!</v>
      </c>
      <c r="AL1536" t="e">
        <f ca="1">Table13345678[[#This Row],[Put D1]]-Table13345678[[#This Row],[IV Calc P]]*SQRT(Table13345678[[#This Row],[T]])</f>
        <v>#DIV/0!</v>
      </c>
      <c r="AM1536" t="e">
        <f ca="1">EXP(-0.5*Table13345678[[#This Row],[Call D1]]^2)/SQRT(2*PI())</f>
        <v>#DIV/0!</v>
      </c>
      <c r="AN1536" t="e">
        <f ca="1">EXP(-0.5*Table13345678[[#This Row],[Put D1]]^2)/SQRT(2*PI())</f>
        <v>#DIV/0!</v>
      </c>
      <c r="AO153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6">
        <f ca="1">((Table13345678[[#This Row],[call vanna]]+Table13345678[[#This Row],[put vanna]])*$A$4)</f>
        <v>0</v>
      </c>
      <c r="AR153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6" s="9" t="str" cm="1">
        <f t="array" ref="AT1536">_xlfn.IFS(     $M$1="SPX","SPXW",     $M$1="RUT","RUTW",  $M$1="NDX","NDXP",   TRUE,$M$1 )</f>
        <v>SPXW</v>
      </c>
      <c r="AU1536" s="2">
        <f t="shared" si="152"/>
        <v>6915</v>
      </c>
      <c r="AV1536" t="str">
        <f t="shared" si="153"/>
        <v>000100</v>
      </c>
      <c r="AY153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6">
        <f>((Table13345678[[#This Row],[High C]]+Table13345678[[#This Row],[Low C]])/2)*Table13345678[[#This Row],[gammac]]*Table13345678[[#This Row],[Volume]]</f>
        <v>0</v>
      </c>
      <c r="BD1536">
        <f>((Table13345678[[#This Row],[High P]]+Table13345678[[#This Row],[Low P]])/2)*Table13345678[[#This Row],[gammap]]*Table13345678[[#This Row],[Volume9]]*-1</f>
        <v>0</v>
      </c>
      <c r="BE1536">
        <f>(Table13345678[[#This Row],[SgammaC]]+Table13345678[[#This Row],[SgammaP]])*$A$4*-100</f>
        <v>0</v>
      </c>
      <c r="BF1536">
        <f>Table13345678[[#This Row],[DEXc]]+Table13345678[[#This Row],[DEXp]]</f>
        <v>0</v>
      </c>
      <c r="BG1536" s="78">
        <f>IFERROR(Table13345678[[#This Row],[DeltaC]]*Table13345678[[#This Row],[Open.Int]]*$A$4,0)</f>
        <v>0</v>
      </c>
      <c r="BH1536">
        <f>IFERROR(Table13345678[[#This Row],[DeltaP]]*Table13345678[[#This Row],[Open.Int8]]*$A$4,0)</f>
        <v>0</v>
      </c>
      <c r="BI153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6">
        <f ca="1">Table13345678[[#This Row],[charmc]]+Table13345678[[#This Row],[charmp]]</f>
        <v>0</v>
      </c>
      <c r="BL153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6" s="78">
        <f ca="1">Table13345678[[#This Row],[call helper]]+Table13345678[[#This Row],[put helper]]</f>
        <v>0</v>
      </c>
      <c r="BP153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7" spans="1:68" x14ac:dyDescent="0.25">
      <c r="A1537" s="14">
        <f t="shared" ca="1" si="149"/>
        <v>-126.14810350076104</v>
      </c>
      <c r="C1537" s="17"/>
      <c r="D1537" t="str">
        <f>RTD("tos.rtd", , "OPEN_INT", "."&amp;Table13345678[[#This Row],[Ticker]]&amp;Table13345678[[#This Row],[Expiry]]&amp;""&amp;"C"&amp;Table13345678[[#This Row],[Spot]]+Table13345678[[#This Row],[step]])</f>
        <v>N/A</v>
      </c>
      <c r="E153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7" s="17" cm="1">
        <f t="array" aca="1" ref="H1537" ca="1">IndividualLegIVCore($A$4, Table13345678[[#This Row],[Strike]], 0.0411, Table13345678[[#This Row],[T]], ((Table13345678[[#This Row],[BIDC]]+Table13345678[[#This Row],[ASKC]])/2), TRUE)</f>
        <v>0.01</v>
      </c>
      <c r="I153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7" s="17"/>
      <c r="M1537" s="1">
        <f t="shared" si="150"/>
        <v>0</v>
      </c>
      <c r="N1537" t="b">
        <f t="shared" si="151"/>
        <v>0</v>
      </c>
      <c r="P1537" s="17" cm="1">
        <f t="array" aca="1" ref="P1537" ca="1">IndividualLegIVCore($A$4, Table13345678[[#This Row],[Strike]], 0.0411, Table13345678[[#This Row],[T]], ((Table13345678[[#This Row],[BIDP]]+Table13345678[[#This Row],[ASKP]])/2), FALSE)</f>
        <v>0.01</v>
      </c>
      <c r="Q153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7" s="17"/>
      <c r="T153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7" s="19">
        <f>3* IF($M$1="NDX", 10, IF(OR($M$1="SPX", $M$1="RUT"), 2, 1))</f>
        <v>6</v>
      </c>
      <c r="Z1537">
        <f ca="1">IFERROR(Table13345678[[#This Row],[call gamma]]*(Table13345678[[#This Row],[Open.Int]])*$A$4^2,0)</f>
        <v>0</v>
      </c>
      <c r="AA1537">
        <f ca="1">IFERROR(((Table13345678[[#This Row],[Open.Int8]])*Table13345678[[#This Row],[Put gamma]])*-1*$A$4^2,0)</f>
        <v>0</v>
      </c>
      <c r="AB1537">
        <f ca="1">(Table13345678[[#This Row],[Call Gex]]+Table13345678[[#This Row],[Put Gex]])</f>
        <v>0</v>
      </c>
      <c r="AC1537">
        <f ca="1">Table13345678[[#This Row],[put delta adj]]+Table13345678[[#This Row],[call delta adj]]</f>
        <v>0</v>
      </c>
      <c r="AD1537">
        <f ca="1">Table13345678[[#This Row],[Put Gex]]*Table13345678[[#This Row],[DeltaP]]*-1</f>
        <v>0</v>
      </c>
      <c r="AE1537">
        <f ca="1">Table13345678[[#This Row],[Call Gex]]*Table13345678[[#This Row],[DeltaC]]</f>
        <v>0</v>
      </c>
      <c r="AF1537">
        <f>IF(Table13345678[[#This Row],[DeltaC]]-ABS(Table13345678[[#This Row],[DeltaP]])="0","0.01",Table13345678[[#This Row],[DeltaC]]-ABS(Table13345678[[#This Row],[DeltaP]]))</f>
        <v>0</v>
      </c>
      <c r="AG153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7" t="e">
        <f ca="1">(EXP(-(AG1537^2)/2)/SQRT(2*PI())*EXP(0*SQRT(Table13345678[[#This Row],[T]]))/$A$4*18%*SQRT(SQRT(Table13345678[[#This Row],[T]])))</f>
        <v>#DIV/0!</v>
      </c>
      <c r="AJ1537" t="e">
        <f ca="1">(EXP(-(AH1537^2)/2)/SQRT(2*PI())*EXP(0*SQRT(Table13345678[[#This Row],[T]]))/$A$4*18%*SQRT(SQRT(Table13345678[[#This Row],[T]])))</f>
        <v>#DIV/0!</v>
      </c>
      <c r="AK1537" t="e">
        <f ca="1">Table13345678[[#This Row],[Call D1]]-Table13345678[[#This Row],[IV Calc C]]*SQRT(Table13345678[[#This Row],[T]])</f>
        <v>#DIV/0!</v>
      </c>
      <c r="AL1537" t="e">
        <f ca="1">Table13345678[[#This Row],[Put D1]]-Table13345678[[#This Row],[IV Calc P]]*SQRT(Table13345678[[#This Row],[T]])</f>
        <v>#DIV/0!</v>
      </c>
      <c r="AM1537" t="e">
        <f ca="1">EXP(-0.5*Table13345678[[#This Row],[Call D1]]^2)/SQRT(2*PI())</f>
        <v>#DIV/0!</v>
      </c>
      <c r="AN1537" t="e">
        <f ca="1">EXP(-0.5*Table13345678[[#This Row],[Put D1]]^2)/SQRT(2*PI())</f>
        <v>#DIV/0!</v>
      </c>
      <c r="AO153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7">
        <f ca="1">((Table13345678[[#This Row],[call vanna]]+Table13345678[[#This Row],[put vanna]])*$A$4)</f>
        <v>0</v>
      </c>
      <c r="AR153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7" s="9" t="str" cm="1">
        <f t="array" ref="AT1537">_xlfn.IFS(     $M$1="SPX","SPXW",     $M$1="RUT","RUTW",  $M$1="NDX","NDXP",   TRUE,$M$1 )</f>
        <v>SPXW</v>
      </c>
      <c r="AU1537" s="2">
        <f t="shared" si="152"/>
        <v>6915</v>
      </c>
      <c r="AV1537" t="str">
        <f t="shared" si="153"/>
        <v>000100</v>
      </c>
      <c r="AY153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7">
        <f>((Table13345678[[#This Row],[High C]]+Table13345678[[#This Row],[Low C]])/2)*Table13345678[[#This Row],[gammac]]*Table13345678[[#This Row],[Volume]]</f>
        <v>0</v>
      </c>
      <c r="BD1537">
        <f>((Table13345678[[#This Row],[High P]]+Table13345678[[#This Row],[Low P]])/2)*Table13345678[[#This Row],[gammap]]*Table13345678[[#This Row],[Volume9]]*-1</f>
        <v>0</v>
      </c>
      <c r="BE1537">
        <f>(Table13345678[[#This Row],[SgammaC]]+Table13345678[[#This Row],[SgammaP]])*$A$4*-100</f>
        <v>0</v>
      </c>
      <c r="BF1537">
        <f>Table13345678[[#This Row],[DEXc]]+Table13345678[[#This Row],[DEXp]]</f>
        <v>0</v>
      </c>
      <c r="BG1537" s="78">
        <f>IFERROR(Table13345678[[#This Row],[DeltaC]]*Table13345678[[#This Row],[Open.Int]]*$A$4,0)</f>
        <v>0</v>
      </c>
      <c r="BH1537">
        <f>IFERROR(Table13345678[[#This Row],[DeltaP]]*Table13345678[[#This Row],[Open.Int8]]*$A$4,0)</f>
        <v>0</v>
      </c>
      <c r="BI153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7">
        <f ca="1">Table13345678[[#This Row],[charmc]]+Table13345678[[#This Row],[charmp]]</f>
        <v>0</v>
      </c>
      <c r="BL153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7" s="78">
        <f ca="1">Table13345678[[#This Row],[call helper]]+Table13345678[[#This Row],[put helper]]</f>
        <v>0</v>
      </c>
      <c r="BP153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8" spans="1:68" x14ac:dyDescent="0.25">
      <c r="A1538" s="14">
        <f t="shared" ca="1" si="149"/>
        <v>-126.14810350076104</v>
      </c>
      <c r="C1538" s="17"/>
      <c r="D1538" t="str">
        <f>RTD("tos.rtd", , "OPEN_INT", "."&amp;Table13345678[[#This Row],[Ticker]]&amp;Table13345678[[#This Row],[Expiry]]&amp;""&amp;"C"&amp;Table13345678[[#This Row],[Spot]]+Table13345678[[#This Row],[step]])</f>
        <v>N/A</v>
      </c>
      <c r="E153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8" s="17" cm="1">
        <f t="array" aca="1" ref="H1538" ca="1">IndividualLegIVCore($A$4, Table13345678[[#This Row],[Strike]], 0.0411, Table13345678[[#This Row],[T]], ((Table13345678[[#This Row],[BIDC]]+Table13345678[[#This Row],[ASKC]])/2), TRUE)</f>
        <v>0.01</v>
      </c>
      <c r="I153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8" s="17"/>
      <c r="M1538" s="1">
        <f t="shared" si="150"/>
        <v>0</v>
      </c>
      <c r="N1538" t="b">
        <f t="shared" si="151"/>
        <v>0</v>
      </c>
      <c r="P1538" s="17" cm="1">
        <f t="array" aca="1" ref="P1538" ca="1">IndividualLegIVCore($A$4, Table13345678[[#This Row],[Strike]], 0.0411, Table13345678[[#This Row],[T]], ((Table13345678[[#This Row],[BIDP]]+Table13345678[[#This Row],[ASKP]])/2), FALSE)</f>
        <v>0.01</v>
      </c>
      <c r="Q153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8" s="17"/>
      <c r="T153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8" s="19">
        <f>3.5* IF($M$1="NDX", 10, IF(OR($M$1="SPX", $M$1="RUT"), 2, 1))</f>
        <v>7</v>
      </c>
      <c r="Z1538">
        <f ca="1">IFERROR(Table13345678[[#This Row],[call gamma]]*(Table13345678[[#This Row],[Open.Int]])*$A$4^2,0)</f>
        <v>0</v>
      </c>
      <c r="AA1538">
        <f ca="1">IFERROR(((Table13345678[[#This Row],[Open.Int8]])*Table13345678[[#This Row],[Put gamma]])*-1*$A$4^2,0)</f>
        <v>0</v>
      </c>
      <c r="AB1538">
        <f ca="1">(Table13345678[[#This Row],[Call Gex]]+Table13345678[[#This Row],[Put Gex]])</f>
        <v>0</v>
      </c>
      <c r="AC1538">
        <f ca="1">Table13345678[[#This Row],[put delta adj]]+Table13345678[[#This Row],[call delta adj]]</f>
        <v>0</v>
      </c>
      <c r="AD1538">
        <f ca="1">Table13345678[[#This Row],[Put Gex]]*Table13345678[[#This Row],[DeltaP]]*-1</f>
        <v>0</v>
      </c>
      <c r="AE1538">
        <f ca="1">Table13345678[[#This Row],[Call Gex]]*Table13345678[[#This Row],[DeltaC]]</f>
        <v>0</v>
      </c>
      <c r="AF1538">
        <f>IF(Table13345678[[#This Row],[DeltaC]]-ABS(Table13345678[[#This Row],[DeltaP]])="0","0.01",Table13345678[[#This Row],[DeltaC]]-ABS(Table13345678[[#This Row],[DeltaP]]))</f>
        <v>0</v>
      </c>
      <c r="AG153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8" t="e">
        <f ca="1">(EXP(-(AG1538^2)/2)/SQRT(2*PI())*EXP(0*SQRT(Table13345678[[#This Row],[T]]))/$A$4*18%*SQRT(SQRT(Table13345678[[#This Row],[T]])))</f>
        <v>#DIV/0!</v>
      </c>
      <c r="AJ1538" t="e">
        <f ca="1">(EXP(-(AH1538^2)/2)/SQRT(2*PI())*EXP(0*SQRT(Table13345678[[#This Row],[T]]))/$A$4*18%*SQRT(SQRT(Table13345678[[#This Row],[T]])))</f>
        <v>#DIV/0!</v>
      </c>
      <c r="AK1538" t="e">
        <f ca="1">Table13345678[[#This Row],[Call D1]]-Table13345678[[#This Row],[IV Calc C]]*SQRT(Table13345678[[#This Row],[T]])</f>
        <v>#DIV/0!</v>
      </c>
      <c r="AL1538" t="e">
        <f ca="1">Table13345678[[#This Row],[Put D1]]-Table13345678[[#This Row],[IV Calc P]]*SQRT(Table13345678[[#This Row],[T]])</f>
        <v>#DIV/0!</v>
      </c>
      <c r="AM1538" t="e">
        <f ca="1">EXP(-0.5*Table13345678[[#This Row],[Call D1]]^2)/SQRT(2*PI())</f>
        <v>#DIV/0!</v>
      </c>
      <c r="AN1538" t="e">
        <f ca="1">EXP(-0.5*Table13345678[[#This Row],[Put D1]]^2)/SQRT(2*PI())</f>
        <v>#DIV/0!</v>
      </c>
      <c r="AO153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8">
        <f ca="1">((Table13345678[[#This Row],[call vanna]]+Table13345678[[#This Row],[put vanna]])*$A$4)</f>
        <v>0</v>
      </c>
      <c r="AR153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8" s="9" t="str" cm="1">
        <f t="array" ref="AT1538">_xlfn.IFS(     $M$1="SPX","SPXW",     $M$1="RUT","RUTW",  $M$1="NDX","NDXP",   TRUE,$M$1 )</f>
        <v>SPXW</v>
      </c>
      <c r="AU1538" s="2">
        <f t="shared" si="152"/>
        <v>6915</v>
      </c>
      <c r="AV1538" t="str">
        <f t="shared" si="153"/>
        <v>000100</v>
      </c>
      <c r="AY153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8">
        <f>((Table13345678[[#This Row],[High C]]+Table13345678[[#This Row],[Low C]])/2)*Table13345678[[#This Row],[gammac]]*Table13345678[[#This Row],[Volume]]</f>
        <v>0</v>
      </c>
      <c r="BD1538">
        <f>((Table13345678[[#This Row],[High P]]+Table13345678[[#This Row],[Low P]])/2)*Table13345678[[#This Row],[gammap]]*Table13345678[[#This Row],[Volume9]]*-1</f>
        <v>0</v>
      </c>
      <c r="BE1538">
        <f>(Table13345678[[#This Row],[SgammaC]]+Table13345678[[#This Row],[SgammaP]])*$A$4*-100</f>
        <v>0</v>
      </c>
      <c r="BF1538">
        <f>Table13345678[[#This Row],[DEXc]]+Table13345678[[#This Row],[DEXp]]</f>
        <v>0</v>
      </c>
      <c r="BG1538" s="78">
        <f>IFERROR(Table13345678[[#This Row],[DeltaC]]*Table13345678[[#This Row],[Open.Int]]*$A$4,0)</f>
        <v>0</v>
      </c>
      <c r="BH1538">
        <f>IFERROR(Table13345678[[#This Row],[DeltaP]]*Table13345678[[#This Row],[Open.Int8]]*$A$4,0)</f>
        <v>0</v>
      </c>
      <c r="BI153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8">
        <f ca="1">Table13345678[[#This Row],[charmc]]+Table13345678[[#This Row],[charmp]]</f>
        <v>0</v>
      </c>
      <c r="BL153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8" s="78">
        <f ca="1">Table13345678[[#This Row],[call helper]]+Table13345678[[#This Row],[put helper]]</f>
        <v>0</v>
      </c>
      <c r="BP153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9" spans="1:68" x14ac:dyDescent="0.25">
      <c r="A1539" s="14">
        <f t="shared" ca="1" si="149"/>
        <v>-126.14810350076104</v>
      </c>
      <c r="C1539" s="17"/>
      <c r="D1539" t="str">
        <f>RTD("tos.rtd", , "OPEN_INT", "."&amp;Table13345678[[#This Row],[Ticker]]&amp;Table13345678[[#This Row],[Expiry]]&amp;""&amp;"C"&amp;Table13345678[[#This Row],[Spot]]+Table13345678[[#This Row],[step]])</f>
        <v>N/A</v>
      </c>
      <c r="E153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9" s="17" cm="1">
        <f t="array" aca="1" ref="H1539" ca="1">IndividualLegIVCore($A$4, Table13345678[[#This Row],[Strike]], 0.0411, Table13345678[[#This Row],[T]], ((Table13345678[[#This Row],[BIDC]]+Table13345678[[#This Row],[ASKC]])/2), TRUE)</f>
        <v>0.01</v>
      </c>
      <c r="I153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9" s="17"/>
      <c r="M1539" s="1">
        <f t="shared" si="150"/>
        <v>0</v>
      </c>
      <c r="N1539" t="b">
        <f t="shared" si="151"/>
        <v>0</v>
      </c>
      <c r="P1539" s="17" cm="1">
        <f t="array" aca="1" ref="P1539" ca="1">IndividualLegIVCore($A$4, Table13345678[[#This Row],[Strike]], 0.0411, Table13345678[[#This Row],[T]], ((Table13345678[[#This Row],[BIDP]]+Table13345678[[#This Row],[ASKP]])/2), FALSE)</f>
        <v>0.01</v>
      </c>
      <c r="Q153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9" s="17"/>
      <c r="T153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9" s="19">
        <f>4* IF($M$1="NDX", 10, IF(OR($M$1="SPX", $M$1="RUT"), 2, 1))</f>
        <v>8</v>
      </c>
      <c r="Z1539">
        <f ca="1">IFERROR(Table13345678[[#This Row],[call gamma]]*(Table13345678[[#This Row],[Open.Int]])*$A$4^2,0)</f>
        <v>0</v>
      </c>
      <c r="AA1539">
        <f ca="1">IFERROR(((Table13345678[[#This Row],[Open.Int8]])*Table13345678[[#This Row],[Put gamma]])*-1*$A$4^2,0)</f>
        <v>0</v>
      </c>
      <c r="AB1539">
        <f ca="1">(Table13345678[[#This Row],[Call Gex]]+Table13345678[[#This Row],[Put Gex]])</f>
        <v>0</v>
      </c>
      <c r="AC1539">
        <f ca="1">Table13345678[[#This Row],[put delta adj]]+Table13345678[[#This Row],[call delta adj]]</f>
        <v>0</v>
      </c>
      <c r="AD1539">
        <f ca="1">Table13345678[[#This Row],[Put Gex]]*Table13345678[[#This Row],[DeltaP]]*-1</f>
        <v>0</v>
      </c>
      <c r="AE1539">
        <f ca="1">Table13345678[[#This Row],[Call Gex]]*Table13345678[[#This Row],[DeltaC]]</f>
        <v>0</v>
      </c>
      <c r="AF1539">
        <f>IF(Table13345678[[#This Row],[DeltaC]]-ABS(Table13345678[[#This Row],[DeltaP]])="0","0.01",Table13345678[[#This Row],[DeltaC]]-ABS(Table13345678[[#This Row],[DeltaP]]))</f>
        <v>0</v>
      </c>
      <c r="AG153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9" t="e">
        <f ca="1">(EXP(-(AG1539^2)/2)/SQRT(2*PI())*EXP(0*SQRT(Table13345678[[#This Row],[T]]))/$A$4*18%*SQRT(SQRT(Table13345678[[#This Row],[T]])))</f>
        <v>#DIV/0!</v>
      </c>
      <c r="AJ1539" t="e">
        <f ca="1">(EXP(-(AH1539^2)/2)/SQRT(2*PI())*EXP(0*SQRT(Table13345678[[#This Row],[T]]))/$A$4*18%*SQRT(SQRT(Table13345678[[#This Row],[T]])))</f>
        <v>#DIV/0!</v>
      </c>
      <c r="AK1539" t="e">
        <f ca="1">Table13345678[[#This Row],[Call D1]]-Table13345678[[#This Row],[IV Calc C]]*SQRT(Table13345678[[#This Row],[T]])</f>
        <v>#DIV/0!</v>
      </c>
      <c r="AL1539" t="e">
        <f ca="1">Table13345678[[#This Row],[Put D1]]-Table13345678[[#This Row],[IV Calc P]]*SQRT(Table13345678[[#This Row],[T]])</f>
        <v>#DIV/0!</v>
      </c>
      <c r="AM1539" t="e">
        <f ca="1">EXP(-0.5*Table13345678[[#This Row],[Call D1]]^2)/SQRT(2*PI())</f>
        <v>#DIV/0!</v>
      </c>
      <c r="AN1539" t="e">
        <f ca="1">EXP(-0.5*Table13345678[[#This Row],[Put D1]]^2)/SQRT(2*PI())</f>
        <v>#DIV/0!</v>
      </c>
      <c r="AO153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9">
        <f ca="1">((Table13345678[[#This Row],[call vanna]]+Table13345678[[#This Row],[put vanna]])*$A$4)</f>
        <v>0</v>
      </c>
      <c r="AR153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9" s="9" t="str" cm="1">
        <f t="array" ref="AT1539">_xlfn.IFS(     $M$1="SPX","SPXW",     $M$1="RUT","RUTW",  $M$1="NDX","NDXP",   TRUE,$M$1 )</f>
        <v>SPXW</v>
      </c>
      <c r="AU1539" s="2">
        <f t="shared" si="152"/>
        <v>6915</v>
      </c>
      <c r="AV1539" t="str">
        <f t="shared" si="153"/>
        <v>000100</v>
      </c>
      <c r="AY153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9">
        <f>((Table13345678[[#This Row],[High C]]+Table13345678[[#This Row],[Low C]])/2)*Table13345678[[#This Row],[gammac]]*Table13345678[[#This Row],[Volume]]</f>
        <v>0</v>
      </c>
      <c r="BD1539">
        <f>((Table13345678[[#This Row],[High P]]+Table13345678[[#This Row],[Low P]])/2)*Table13345678[[#This Row],[gammap]]*Table13345678[[#This Row],[Volume9]]*-1</f>
        <v>0</v>
      </c>
      <c r="BE1539">
        <f>(Table13345678[[#This Row],[SgammaC]]+Table13345678[[#This Row],[SgammaP]])*$A$4*-100</f>
        <v>0</v>
      </c>
      <c r="BF1539">
        <f>Table13345678[[#This Row],[DEXc]]+Table13345678[[#This Row],[DEXp]]</f>
        <v>0</v>
      </c>
      <c r="BG1539" s="78">
        <f>IFERROR(Table13345678[[#This Row],[DeltaC]]*Table13345678[[#This Row],[Open.Int]]*$A$4,0)</f>
        <v>0</v>
      </c>
      <c r="BH1539">
        <f>IFERROR(Table13345678[[#This Row],[DeltaP]]*Table13345678[[#This Row],[Open.Int8]]*$A$4,0)</f>
        <v>0</v>
      </c>
      <c r="BI153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9">
        <f ca="1">Table13345678[[#This Row],[charmc]]+Table13345678[[#This Row],[charmp]]</f>
        <v>0</v>
      </c>
      <c r="BL153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9" s="78">
        <f ca="1">Table13345678[[#This Row],[call helper]]+Table13345678[[#This Row],[put helper]]</f>
        <v>0</v>
      </c>
      <c r="BP153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0" spans="1:68" x14ac:dyDescent="0.25">
      <c r="A1540" s="14">
        <f t="shared" ca="1" si="149"/>
        <v>-126.14810350076104</v>
      </c>
      <c r="C1540" s="17"/>
      <c r="D1540" t="str">
        <f>RTD("tos.rtd", , "OPEN_INT", "."&amp;Table13345678[[#This Row],[Ticker]]&amp;Table13345678[[#This Row],[Expiry]]&amp;""&amp;"C"&amp;Table13345678[[#This Row],[Spot]]+Table13345678[[#This Row],[step]])</f>
        <v>N/A</v>
      </c>
      <c r="E154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0" s="17" cm="1">
        <f t="array" aca="1" ref="H1540" ca="1">IndividualLegIVCore($A$4, Table13345678[[#This Row],[Strike]], 0.0411, Table13345678[[#This Row],[T]], ((Table13345678[[#This Row],[BIDC]]+Table13345678[[#This Row],[ASKC]])/2), TRUE)</f>
        <v>0.01</v>
      </c>
      <c r="I154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0" s="17"/>
      <c r="M1540" s="1">
        <f t="shared" si="150"/>
        <v>0</v>
      </c>
      <c r="N1540" t="b">
        <f t="shared" si="151"/>
        <v>0</v>
      </c>
      <c r="P1540" s="17" cm="1">
        <f t="array" aca="1" ref="P1540" ca="1">IndividualLegIVCore($A$4, Table13345678[[#This Row],[Strike]], 0.0411, Table13345678[[#This Row],[T]], ((Table13345678[[#This Row],[BIDP]]+Table13345678[[#This Row],[ASKP]])/2), FALSE)</f>
        <v>0.01</v>
      </c>
      <c r="Q154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0" s="17"/>
      <c r="T154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0" s="19">
        <f>4.5* IF($M$1="NDX", 10, IF(OR($M$1="SPX", $M$1="RUT"), 2, 1))</f>
        <v>9</v>
      </c>
      <c r="Z1540">
        <f ca="1">IFERROR(Table13345678[[#This Row],[call gamma]]*(Table13345678[[#This Row],[Open.Int]])*$A$4^2,0)</f>
        <v>0</v>
      </c>
      <c r="AA1540">
        <f ca="1">IFERROR(((Table13345678[[#This Row],[Open.Int8]])*Table13345678[[#This Row],[Put gamma]])*-1*$A$4^2,0)</f>
        <v>0</v>
      </c>
      <c r="AB1540">
        <f ca="1">(Table13345678[[#This Row],[Call Gex]]+Table13345678[[#This Row],[Put Gex]])</f>
        <v>0</v>
      </c>
      <c r="AC1540">
        <f ca="1">Table13345678[[#This Row],[put delta adj]]+Table13345678[[#This Row],[call delta adj]]</f>
        <v>0</v>
      </c>
      <c r="AD1540">
        <f ca="1">Table13345678[[#This Row],[Put Gex]]*Table13345678[[#This Row],[DeltaP]]*-1</f>
        <v>0</v>
      </c>
      <c r="AE1540">
        <f ca="1">Table13345678[[#This Row],[Call Gex]]*Table13345678[[#This Row],[DeltaC]]</f>
        <v>0</v>
      </c>
      <c r="AF1540">
        <f>IF(Table13345678[[#This Row],[DeltaC]]-ABS(Table13345678[[#This Row],[DeltaP]])="0","0.01",Table13345678[[#This Row],[DeltaC]]-ABS(Table13345678[[#This Row],[DeltaP]]))</f>
        <v>0</v>
      </c>
      <c r="AG154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0" t="e">
        <f ca="1">(EXP(-(AG1540^2)/2)/SQRT(2*PI())*EXP(0*SQRT(Table13345678[[#This Row],[T]]))/$A$4*18%*SQRT(SQRT(Table13345678[[#This Row],[T]])))</f>
        <v>#DIV/0!</v>
      </c>
      <c r="AJ1540" t="e">
        <f ca="1">(EXP(-(AH1540^2)/2)/SQRT(2*PI())*EXP(0*SQRT(Table13345678[[#This Row],[T]]))/$A$4*18%*SQRT(SQRT(Table13345678[[#This Row],[T]])))</f>
        <v>#DIV/0!</v>
      </c>
      <c r="AK1540" t="e">
        <f ca="1">Table13345678[[#This Row],[Call D1]]-Table13345678[[#This Row],[IV Calc C]]*SQRT(Table13345678[[#This Row],[T]])</f>
        <v>#DIV/0!</v>
      </c>
      <c r="AL1540" t="e">
        <f ca="1">Table13345678[[#This Row],[Put D1]]-Table13345678[[#This Row],[IV Calc P]]*SQRT(Table13345678[[#This Row],[T]])</f>
        <v>#DIV/0!</v>
      </c>
      <c r="AM1540" t="e">
        <f ca="1">EXP(-0.5*Table13345678[[#This Row],[Call D1]]^2)/SQRT(2*PI())</f>
        <v>#DIV/0!</v>
      </c>
      <c r="AN1540" t="e">
        <f ca="1">EXP(-0.5*Table13345678[[#This Row],[Put D1]]^2)/SQRT(2*PI())</f>
        <v>#DIV/0!</v>
      </c>
      <c r="AO154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0">
        <f ca="1">((Table13345678[[#This Row],[call vanna]]+Table13345678[[#This Row],[put vanna]])*$A$4)</f>
        <v>0</v>
      </c>
      <c r="AR154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0" s="9" t="str" cm="1">
        <f t="array" ref="AT1540">_xlfn.IFS(     $M$1="SPX","SPXW",     $M$1="RUT","RUTW",  $M$1="NDX","NDXP",   TRUE,$M$1 )</f>
        <v>SPXW</v>
      </c>
      <c r="AU1540" s="2">
        <f t="shared" si="152"/>
        <v>6915</v>
      </c>
      <c r="AV1540" t="str">
        <f t="shared" si="153"/>
        <v>000100</v>
      </c>
      <c r="AY154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0">
        <f>((Table13345678[[#This Row],[High C]]+Table13345678[[#This Row],[Low C]])/2)*Table13345678[[#This Row],[gammac]]*Table13345678[[#This Row],[Volume]]</f>
        <v>0</v>
      </c>
      <c r="BD1540">
        <f>((Table13345678[[#This Row],[High P]]+Table13345678[[#This Row],[Low P]])/2)*Table13345678[[#This Row],[gammap]]*Table13345678[[#This Row],[Volume9]]*-1</f>
        <v>0</v>
      </c>
      <c r="BE1540">
        <f>(Table13345678[[#This Row],[SgammaC]]+Table13345678[[#This Row],[SgammaP]])*$A$4*-100</f>
        <v>0</v>
      </c>
      <c r="BF1540">
        <f>Table13345678[[#This Row],[DEXc]]+Table13345678[[#This Row],[DEXp]]</f>
        <v>0</v>
      </c>
      <c r="BG1540" s="78">
        <f>IFERROR(Table13345678[[#This Row],[DeltaC]]*Table13345678[[#This Row],[Open.Int]]*$A$4,0)</f>
        <v>0</v>
      </c>
      <c r="BH1540">
        <f>IFERROR(Table13345678[[#This Row],[DeltaP]]*Table13345678[[#This Row],[Open.Int8]]*$A$4,0)</f>
        <v>0</v>
      </c>
      <c r="BI154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0">
        <f ca="1">Table13345678[[#This Row],[charmc]]+Table13345678[[#This Row],[charmp]]</f>
        <v>0</v>
      </c>
      <c r="BL154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0" s="78">
        <f ca="1">Table13345678[[#This Row],[call helper]]+Table13345678[[#This Row],[put helper]]</f>
        <v>0</v>
      </c>
      <c r="BP154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1" spans="1:68" x14ac:dyDescent="0.25">
      <c r="A1541" s="14">
        <f t="shared" ca="1" si="149"/>
        <v>-126.14810350076104</v>
      </c>
      <c r="C1541" s="17"/>
      <c r="D1541" t="str">
        <f>RTD("tos.rtd", , "OPEN_INT", "."&amp;Table13345678[[#This Row],[Ticker]]&amp;Table13345678[[#This Row],[Expiry]]&amp;""&amp;"C"&amp;Table13345678[[#This Row],[Spot]]+Table13345678[[#This Row],[step]])</f>
        <v>N/A</v>
      </c>
      <c r="E154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1" s="17" cm="1">
        <f t="array" aca="1" ref="H1541" ca="1">IndividualLegIVCore($A$4, Table13345678[[#This Row],[Strike]], 0.0411, Table13345678[[#This Row],[T]], ((Table13345678[[#This Row],[BIDC]]+Table13345678[[#This Row],[ASKC]])/2), TRUE)</f>
        <v>0.01</v>
      </c>
      <c r="I154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1" s="17"/>
      <c r="M1541" s="1">
        <f t="shared" si="150"/>
        <v>0</v>
      </c>
      <c r="N1541" t="b">
        <f t="shared" si="151"/>
        <v>0</v>
      </c>
      <c r="P1541" s="17" cm="1">
        <f t="array" aca="1" ref="P1541" ca="1">IndividualLegIVCore($A$4, Table13345678[[#This Row],[Strike]], 0.0411, Table13345678[[#This Row],[T]], ((Table13345678[[#This Row],[BIDP]]+Table13345678[[#This Row],[ASKP]])/2), FALSE)</f>
        <v>0.01</v>
      </c>
      <c r="Q154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1" s="17"/>
      <c r="T154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1" s="19">
        <f>5* IF($M$1="NDX", 10, IF(OR($M$1="SPX", $M$1="RUT"), 2, 1))</f>
        <v>10</v>
      </c>
      <c r="Z1541">
        <f ca="1">IFERROR(Table13345678[[#This Row],[call gamma]]*(Table13345678[[#This Row],[Open.Int]])*$A$4^2,0)</f>
        <v>0</v>
      </c>
      <c r="AA1541">
        <f ca="1">IFERROR(((Table13345678[[#This Row],[Open.Int8]])*Table13345678[[#This Row],[Put gamma]])*-1*$A$4^2,0)</f>
        <v>0</v>
      </c>
      <c r="AB1541">
        <f ca="1">(Table13345678[[#This Row],[Call Gex]]+Table13345678[[#This Row],[Put Gex]])</f>
        <v>0</v>
      </c>
      <c r="AC1541">
        <f ca="1">Table13345678[[#This Row],[put delta adj]]+Table13345678[[#This Row],[call delta adj]]</f>
        <v>0</v>
      </c>
      <c r="AD1541">
        <f ca="1">Table13345678[[#This Row],[Put Gex]]*Table13345678[[#This Row],[DeltaP]]*-1</f>
        <v>0</v>
      </c>
      <c r="AE1541">
        <f ca="1">Table13345678[[#This Row],[Call Gex]]*Table13345678[[#This Row],[DeltaC]]</f>
        <v>0</v>
      </c>
      <c r="AF1541">
        <f>IF(Table13345678[[#This Row],[DeltaC]]-ABS(Table13345678[[#This Row],[DeltaP]])="0","0.01",Table13345678[[#This Row],[DeltaC]]-ABS(Table13345678[[#This Row],[DeltaP]]))</f>
        <v>0</v>
      </c>
      <c r="AG154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1" t="e">
        <f ca="1">(EXP(-(AG1541^2)/2)/SQRT(2*PI())*EXP(0*SQRT(Table13345678[[#This Row],[T]]))/$A$4*18%*SQRT(SQRT(Table13345678[[#This Row],[T]])))</f>
        <v>#DIV/0!</v>
      </c>
      <c r="AJ1541" t="e">
        <f ca="1">(EXP(-(AH1541^2)/2)/SQRT(2*PI())*EXP(0*SQRT(Table13345678[[#This Row],[T]]))/$A$4*18%*SQRT(SQRT(Table13345678[[#This Row],[T]])))</f>
        <v>#DIV/0!</v>
      </c>
      <c r="AK1541" t="e">
        <f ca="1">Table13345678[[#This Row],[Call D1]]-Table13345678[[#This Row],[IV Calc C]]*SQRT(Table13345678[[#This Row],[T]])</f>
        <v>#DIV/0!</v>
      </c>
      <c r="AL1541" t="e">
        <f ca="1">Table13345678[[#This Row],[Put D1]]-Table13345678[[#This Row],[IV Calc P]]*SQRT(Table13345678[[#This Row],[T]])</f>
        <v>#DIV/0!</v>
      </c>
      <c r="AM1541" t="e">
        <f ca="1">EXP(-0.5*Table13345678[[#This Row],[Call D1]]^2)/SQRT(2*PI())</f>
        <v>#DIV/0!</v>
      </c>
      <c r="AN1541" t="e">
        <f ca="1">EXP(-0.5*Table13345678[[#This Row],[Put D1]]^2)/SQRT(2*PI())</f>
        <v>#DIV/0!</v>
      </c>
      <c r="AO154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1">
        <f ca="1">((Table13345678[[#This Row],[call vanna]]+Table13345678[[#This Row],[put vanna]])*$A$4)</f>
        <v>0</v>
      </c>
      <c r="AR154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1" s="9" t="str" cm="1">
        <f t="array" ref="AT1541">_xlfn.IFS(     $M$1="SPX","SPXW",     $M$1="RUT","RUTW",  $M$1="NDX","NDXP",   TRUE,$M$1 )</f>
        <v>SPXW</v>
      </c>
      <c r="AU1541" s="2">
        <f t="shared" si="152"/>
        <v>6915</v>
      </c>
      <c r="AV1541" t="str">
        <f t="shared" si="153"/>
        <v>000100</v>
      </c>
      <c r="AY154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1">
        <f>((Table13345678[[#This Row],[High C]]+Table13345678[[#This Row],[Low C]])/2)*Table13345678[[#This Row],[gammac]]*Table13345678[[#This Row],[Volume]]</f>
        <v>0</v>
      </c>
      <c r="BD1541">
        <f>((Table13345678[[#This Row],[High P]]+Table13345678[[#This Row],[Low P]])/2)*Table13345678[[#This Row],[gammap]]*Table13345678[[#This Row],[Volume9]]*-1</f>
        <v>0</v>
      </c>
      <c r="BE1541">
        <f>(Table13345678[[#This Row],[SgammaC]]+Table13345678[[#This Row],[SgammaP]])*$A$4*-100</f>
        <v>0</v>
      </c>
      <c r="BF1541">
        <f>Table13345678[[#This Row],[DEXc]]+Table13345678[[#This Row],[DEXp]]</f>
        <v>0</v>
      </c>
      <c r="BG1541" s="78">
        <f>IFERROR(Table13345678[[#This Row],[DeltaC]]*Table13345678[[#This Row],[Open.Int]]*$A$4,0)</f>
        <v>0</v>
      </c>
      <c r="BH1541">
        <f>IFERROR(Table13345678[[#This Row],[DeltaP]]*Table13345678[[#This Row],[Open.Int8]]*$A$4,0)</f>
        <v>0</v>
      </c>
      <c r="BI154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1">
        <f ca="1">Table13345678[[#This Row],[charmc]]+Table13345678[[#This Row],[charmp]]</f>
        <v>0</v>
      </c>
      <c r="BL154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1" s="78">
        <f ca="1">Table13345678[[#This Row],[call helper]]+Table13345678[[#This Row],[put helper]]</f>
        <v>0</v>
      </c>
      <c r="BP154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2" spans="1:68" x14ac:dyDescent="0.25">
      <c r="A1542" s="14">
        <f t="shared" ca="1" si="149"/>
        <v>-126.14810350076104</v>
      </c>
      <c r="C1542" s="17"/>
      <c r="D1542" t="str">
        <f>RTD("tos.rtd", , "OPEN_INT", "."&amp;Table13345678[[#This Row],[Ticker]]&amp;Table13345678[[#This Row],[Expiry]]&amp;""&amp;"C"&amp;Table13345678[[#This Row],[Spot]]+Table13345678[[#This Row],[step]])</f>
        <v>N/A</v>
      </c>
      <c r="E154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2" s="17" cm="1">
        <f t="array" aca="1" ref="H1542" ca="1">IndividualLegIVCore($A$4, Table13345678[[#This Row],[Strike]], 0.0411, Table13345678[[#This Row],[T]], ((Table13345678[[#This Row],[BIDC]]+Table13345678[[#This Row],[ASKC]])/2), TRUE)</f>
        <v>0.01</v>
      </c>
      <c r="I154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2" s="17"/>
      <c r="M1542" s="1">
        <f t="shared" si="150"/>
        <v>0</v>
      </c>
      <c r="N1542" t="b">
        <f t="shared" si="151"/>
        <v>0</v>
      </c>
      <c r="P1542" s="17" cm="1">
        <f t="array" aca="1" ref="P1542" ca="1">IndividualLegIVCore($A$4, Table13345678[[#This Row],[Strike]], 0.0411, Table13345678[[#This Row],[T]], ((Table13345678[[#This Row],[BIDP]]+Table13345678[[#This Row],[ASKP]])/2), FALSE)</f>
        <v>0.01</v>
      </c>
      <c r="Q154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2" s="17"/>
      <c r="T154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2" s="19">
        <f>5.5* IF($M$1="NDX", 10, IF(OR($M$1="SPX", $M$1="RUT"), 2, 1))</f>
        <v>11</v>
      </c>
      <c r="Z1542">
        <f ca="1">IFERROR(Table13345678[[#This Row],[call gamma]]*(Table13345678[[#This Row],[Open.Int]])*$A$4^2,0)</f>
        <v>0</v>
      </c>
      <c r="AA1542">
        <f ca="1">IFERROR(((Table13345678[[#This Row],[Open.Int8]])*Table13345678[[#This Row],[Put gamma]])*-1*$A$4^2,0)</f>
        <v>0</v>
      </c>
      <c r="AB1542">
        <f ca="1">(Table13345678[[#This Row],[Call Gex]]+Table13345678[[#This Row],[Put Gex]])</f>
        <v>0</v>
      </c>
      <c r="AC1542">
        <f ca="1">Table13345678[[#This Row],[put delta adj]]+Table13345678[[#This Row],[call delta adj]]</f>
        <v>0</v>
      </c>
      <c r="AD1542">
        <f ca="1">Table13345678[[#This Row],[Put Gex]]*Table13345678[[#This Row],[DeltaP]]*-1</f>
        <v>0</v>
      </c>
      <c r="AE1542">
        <f ca="1">Table13345678[[#This Row],[Call Gex]]*Table13345678[[#This Row],[DeltaC]]</f>
        <v>0</v>
      </c>
      <c r="AF1542">
        <f>IF(Table13345678[[#This Row],[DeltaC]]-ABS(Table13345678[[#This Row],[DeltaP]])="0","0.01",Table13345678[[#This Row],[DeltaC]]-ABS(Table13345678[[#This Row],[DeltaP]]))</f>
        <v>0</v>
      </c>
      <c r="AG154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2" t="e">
        <f ca="1">(EXP(-(AG1542^2)/2)/SQRT(2*PI())*EXP(0*SQRT(Table13345678[[#This Row],[T]]))/$A$4*18%*SQRT(SQRT(Table13345678[[#This Row],[T]])))</f>
        <v>#DIV/0!</v>
      </c>
      <c r="AJ1542" t="e">
        <f ca="1">(EXP(-(AH1542^2)/2)/SQRT(2*PI())*EXP(0*SQRT(Table13345678[[#This Row],[T]]))/$A$4*18%*SQRT(SQRT(Table13345678[[#This Row],[T]])))</f>
        <v>#DIV/0!</v>
      </c>
      <c r="AK1542" t="e">
        <f ca="1">Table13345678[[#This Row],[Call D1]]-Table13345678[[#This Row],[IV Calc C]]*SQRT(Table13345678[[#This Row],[T]])</f>
        <v>#DIV/0!</v>
      </c>
      <c r="AL1542" t="e">
        <f ca="1">Table13345678[[#This Row],[Put D1]]-Table13345678[[#This Row],[IV Calc P]]*SQRT(Table13345678[[#This Row],[T]])</f>
        <v>#DIV/0!</v>
      </c>
      <c r="AM1542" t="e">
        <f ca="1">EXP(-0.5*Table13345678[[#This Row],[Call D1]]^2)/SQRT(2*PI())</f>
        <v>#DIV/0!</v>
      </c>
      <c r="AN1542" t="e">
        <f ca="1">EXP(-0.5*Table13345678[[#This Row],[Put D1]]^2)/SQRT(2*PI())</f>
        <v>#DIV/0!</v>
      </c>
      <c r="AO154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2">
        <f ca="1">((Table13345678[[#This Row],[call vanna]]+Table13345678[[#This Row],[put vanna]])*$A$4)</f>
        <v>0</v>
      </c>
      <c r="AR154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2" s="9" t="str" cm="1">
        <f t="array" ref="AT1542">_xlfn.IFS(     $M$1="SPX","SPXW",     $M$1="RUT","RUTW",  $M$1="NDX","NDXP",   TRUE,$M$1 )</f>
        <v>SPXW</v>
      </c>
      <c r="AU1542" s="2">
        <f t="shared" si="152"/>
        <v>6915</v>
      </c>
      <c r="AV1542" t="str">
        <f t="shared" si="153"/>
        <v>000100</v>
      </c>
      <c r="AY154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2">
        <f>((Table13345678[[#This Row],[High C]]+Table13345678[[#This Row],[Low C]])/2)*Table13345678[[#This Row],[gammac]]*Table13345678[[#This Row],[Volume]]</f>
        <v>0</v>
      </c>
      <c r="BD1542">
        <f>((Table13345678[[#This Row],[High P]]+Table13345678[[#This Row],[Low P]])/2)*Table13345678[[#This Row],[gammap]]*Table13345678[[#This Row],[Volume9]]*-1</f>
        <v>0</v>
      </c>
      <c r="BE1542">
        <f>(Table13345678[[#This Row],[SgammaC]]+Table13345678[[#This Row],[SgammaP]])*$A$4*-100</f>
        <v>0</v>
      </c>
      <c r="BF1542">
        <f>Table13345678[[#This Row],[DEXc]]+Table13345678[[#This Row],[DEXp]]</f>
        <v>0</v>
      </c>
      <c r="BG1542" s="78">
        <f>IFERROR(Table13345678[[#This Row],[DeltaC]]*Table13345678[[#This Row],[Open.Int]]*$A$4,0)</f>
        <v>0</v>
      </c>
      <c r="BH1542">
        <f>IFERROR(Table13345678[[#This Row],[DeltaP]]*Table13345678[[#This Row],[Open.Int8]]*$A$4,0)</f>
        <v>0</v>
      </c>
      <c r="BI154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2">
        <f ca="1">Table13345678[[#This Row],[charmc]]+Table13345678[[#This Row],[charmp]]</f>
        <v>0</v>
      </c>
      <c r="BL154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2" s="78">
        <f ca="1">Table13345678[[#This Row],[call helper]]+Table13345678[[#This Row],[put helper]]</f>
        <v>0</v>
      </c>
      <c r="BP154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3" spans="1:68" x14ac:dyDescent="0.25">
      <c r="A1543" s="14">
        <f t="shared" ca="1" si="149"/>
        <v>-126.14810350076104</v>
      </c>
      <c r="C1543" s="17"/>
      <c r="D1543" t="str">
        <f>RTD("tos.rtd", , "OPEN_INT", "."&amp;Table13345678[[#This Row],[Ticker]]&amp;Table13345678[[#This Row],[Expiry]]&amp;""&amp;"C"&amp;Table13345678[[#This Row],[Spot]]+Table13345678[[#This Row],[step]])</f>
        <v>N/A</v>
      </c>
      <c r="E154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3" s="17" cm="1">
        <f t="array" aca="1" ref="H1543" ca="1">IndividualLegIVCore($A$4, Table13345678[[#This Row],[Strike]], 0.0411, Table13345678[[#This Row],[T]], ((Table13345678[[#This Row],[BIDC]]+Table13345678[[#This Row],[ASKC]])/2), TRUE)</f>
        <v>0.01</v>
      </c>
      <c r="I154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3" s="17"/>
      <c r="M1543" s="1">
        <f t="shared" si="150"/>
        <v>0</v>
      </c>
      <c r="N1543" t="b">
        <f t="shared" si="151"/>
        <v>0</v>
      </c>
      <c r="P1543" s="17" cm="1">
        <f t="array" aca="1" ref="P1543" ca="1">IndividualLegIVCore($A$4, Table13345678[[#This Row],[Strike]], 0.0411, Table13345678[[#This Row],[T]], ((Table13345678[[#This Row],[BIDP]]+Table13345678[[#This Row],[ASKP]])/2), FALSE)</f>
        <v>0.01</v>
      </c>
      <c r="Q154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3" s="17"/>
      <c r="T154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3" s="19">
        <f>6* IF($M$1="NDX", 10, IF(OR($M$1="SPX", $M$1="RUT"), 2, 1))</f>
        <v>12</v>
      </c>
      <c r="Z1543">
        <f ca="1">IFERROR(Table13345678[[#This Row],[call gamma]]*(Table13345678[[#This Row],[Open.Int]])*$A$4^2,0)</f>
        <v>0</v>
      </c>
      <c r="AA1543">
        <f ca="1">IFERROR(((Table13345678[[#This Row],[Open.Int8]])*Table13345678[[#This Row],[Put gamma]])*-1*$A$4^2,0)</f>
        <v>0</v>
      </c>
      <c r="AB1543">
        <f ca="1">(Table13345678[[#This Row],[Call Gex]]+Table13345678[[#This Row],[Put Gex]])</f>
        <v>0</v>
      </c>
      <c r="AC1543">
        <f ca="1">Table13345678[[#This Row],[put delta adj]]+Table13345678[[#This Row],[call delta adj]]</f>
        <v>0</v>
      </c>
      <c r="AD1543">
        <f ca="1">Table13345678[[#This Row],[Put Gex]]*Table13345678[[#This Row],[DeltaP]]*-1</f>
        <v>0</v>
      </c>
      <c r="AE1543">
        <f ca="1">Table13345678[[#This Row],[Call Gex]]*Table13345678[[#This Row],[DeltaC]]</f>
        <v>0</v>
      </c>
      <c r="AF1543">
        <f>IF(Table13345678[[#This Row],[DeltaC]]-ABS(Table13345678[[#This Row],[DeltaP]])="0","0.01",Table13345678[[#This Row],[DeltaC]]-ABS(Table13345678[[#This Row],[DeltaP]]))</f>
        <v>0</v>
      </c>
      <c r="AG154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3" t="e">
        <f ca="1">(EXP(-(AG1543^2)/2)/SQRT(2*PI())*EXP(0*SQRT(Table13345678[[#This Row],[T]]))/$A$4*18%*SQRT(SQRT(Table13345678[[#This Row],[T]])))</f>
        <v>#DIV/0!</v>
      </c>
      <c r="AJ1543" t="e">
        <f ca="1">(EXP(-(AH1543^2)/2)/SQRT(2*PI())*EXP(0*SQRT(Table13345678[[#This Row],[T]]))/$A$4*18%*SQRT(SQRT(Table13345678[[#This Row],[T]])))</f>
        <v>#DIV/0!</v>
      </c>
      <c r="AK1543" t="e">
        <f ca="1">Table13345678[[#This Row],[Call D1]]-Table13345678[[#This Row],[IV Calc C]]*SQRT(Table13345678[[#This Row],[T]])</f>
        <v>#DIV/0!</v>
      </c>
      <c r="AL1543" t="e">
        <f ca="1">Table13345678[[#This Row],[Put D1]]-Table13345678[[#This Row],[IV Calc P]]*SQRT(Table13345678[[#This Row],[T]])</f>
        <v>#DIV/0!</v>
      </c>
      <c r="AM1543" t="e">
        <f ca="1">EXP(-0.5*Table13345678[[#This Row],[Call D1]]^2)/SQRT(2*PI())</f>
        <v>#DIV/0!</v>
      </c>
      <c r="AN1543" t="e">
        <f ca="1">EXP(-0.5*Table13345678[[#This Row],[Put D1]]^2)/SQRT(2*PI())</f>
        <v>#DIV/0!</v>
      </c>
      <c r="AO154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3">
        <f ca="1">((Table13345678[[#This Row],[call vanna]]+Table13345678[[#This Row],[put vanna]])*$A$4)</f>
        <v>0</v>
      </c>
      <c r="AR154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3" s="9" t="str" cm="1">
        <f t="array" ref="AT1543">_xlfn.IFS(     $M$1="SPX","SPXW",     $M$1="RUT","RUTW",  $M$1="NDX","NDXP",   TRUE,$M$1 )</f>
        <v>SPXW</v>
      </c>
      <c r="AU1543" s="2">
        <f t="shared" si="152"/>
        <v>6915</v>
      </c>
      <c r="AV1543" t="str">
        <f t="shared" si="153"/>
        <v>000100</v>
      </c>
      <c r="AY154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3">
        <f>((Table13345678[[#This Row],[High C]]+Table13345678[[#This Row],[Low C]])/2)*Table13345678[[#This Row],[gammac]]*Table13345678[[#This Row],[Volume]]</f>
        <v>0</v>
      </c>
      <c r="BD1543">
        <f>((Table13345678[[#This Row],[High P]]+Table13345678[[#This Row],[Low P]])/2)*Table13345678[[#This Row],[gammap]]*Table13345678[[#This Row],[Volume9]]*-1</f>
        <v>0</v>
      </c>
      <c r="BE1543">
        <f>(Table13345678[[#This Row],[SgammaC]]+Table13345678[[#This Row],[SgammaP]])*$A$4*-100</f>
        <v>0</v>
      </c>
      <c r="BF1543">
        <f>Table13345678[[#This Row],[DEXc]]+Table13345678[[#This Row],[DEXp]]</f>
        <v>0</v>
      </c>
      <c r="BG1543" s="78">
        <f>IFERROR(Table13345678[[#This Row],[DeltaC]]*Table13345678[[#This Row],[Open.Int]]*$A$4,0)</f>
        <v>0</v>
      </c>
      <c r="BH1543">
        <f>IFERROR(Table13345678[[#This Row],[DeltaP]]*Table13345678[[#This Row],[Open.Int8]]*$A$4,0)</f>
        <v>0</v>
      </c>
      <c r="BI154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3">
        <f ca="1">Table13345678[[#This Row],[charmc]]+Table13345678[[#This Row],[charmp]]</f>
        <v>0</v>
      </c>
      <c r="BL154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3" s="78">
        <f ca="1">Table13345678[[#This Row],[call helper]]+Table13345678[[#This Row],[put helper]]</f>
        <v>0</v>
      </c>
      <c r="BP154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4" spans="1:68" x14ac:dyDescent="0.25">
      <c r="A1544" s="14">
        <f t="shared" ca="1" si="149"/>
        <v>-126.14810350076104</v>
      </c>
      <c r="C1544" s="17"/>
      <c r="D1544" t="str">
        <f>RTD("tos.rtd", , "OPEN_INT", "."&amp;Table13345678[[#This Row],[Ticker]]&amp;Table13345678[[#This Row],[Expiry]]&amp;""&amp;"C"&amp;Table13345678[[#This Row],[Spot]]+Table13345678[[#This Row],[step]])</f>
        <v>N/A</v>
      </c>
      <c r="E154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4" s="17" cm="1">
        <f t="array" aca="1" ref="H1544" ca="1">IndividualLegIVCore($A$4, Table13345678[[#This Row],[Strike]], 0.0411, Table13345678[[#This Row],[T]], ((Table13345678[[#This Row],[BIDC]]+Table13345678[[#This Row],[ASKC]])/2), TRUE)</f>
        <v>0.01</v>
      </c>
      <c r="I154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4" s="17"/>
      <c r="M1544" s="1">
        <f t="shared" si="150"/>
        <v>0</v>
      </c>
      <c r="N1544" t="b">
        <f t="shared" si="151"/>
        <v>0</v>
      </c>
      <c r="P1544" s="17" cm="1">
        <f t="array" aca="1" ref="P1544" ca="1">IndividualLegIVCore($A$4, Table13345678[[#This Row],[Strike]], 0.0411, Table13345678[[#This Row],[T]], ((Table13345678[[#This Row],[BIDP]]+Table13345678[[#This Row],[ASKP]])/2), FALSE)</f>
        <v>0.01</v>
      </c>
      <c r="Q154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4" s="17"/>
      <c r="T154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4" s="19">
        <f>6.5* IF($M$1="NDX", 10, IF(OR($M$1="SPX", $M$1="RUT"), 2, 1))</f>
        <v>13</v>
      </c>
      <c r="Z1544">
        <f ca="1">IFERROR(Table13345678[[#This Row],[call gamma]]*(Table13345678[[#This Row],[Open.Int]])*$A$4^2,0)</f>
        <v>0</v>
      </c>
      <c r="AA1544">
        <f ca="1">IFERROR(((Table13345678[[#This Row],[Open.Int8]])*Table13345678[[#This Row],[Put gamma]])*-1*$A$4^2,0)</f>
        <v>0</v>
      </c>
      <c r="AB1544">
        <f ca="1">(Table13345678[[#This Row],[Call Gex]]+Table13345678[[#This Row],[Put Gex]])</f>
        <v>0</v>
      </c>
      <c r="AC1544">
        <f ca="1">Table13345678[[#This Row],[put delta adj]]+Table13345678[[#This Row],[call delta adj]]</f>
        <v>0</v>
      </c>
      <c r="AD1544">
        <f ca="1">Table13345678[[#This Row],[Put Gex]]*Table13345678[[#This Row],[DeltaP]]*-1</f>
        <v>0</v>
      </c>
      <c r="AE1544">
        <f ca="1">Table13345678[[#This Row],[Call Gex]]*Table13345678[[#This Row],[DeltaC]]</f>
        <v>0</v>
      </c>
      <c r="AF1544">
        <f>IF(Table13345678[[#This Row],[DeltaC]]-ABS(Table13345678[[#This Row],[DeltaP]])="0","0.01",Table13345678[[#This Row],[DeltaC]]-ABS(Table13345678[[#This Row],[DeltaP]]))</f>
        <v>0</v>
      </c>
      <c r="AG154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4" t="e">
        <f ca="1">(EXP(-(AG1544^2)/2)/SQRT(2*PI())*EXP(0*SQRT(Table13345678[[#This Row],[T]]))/$A$4*18%*SQRT(SQRT(Table13345678[[#This Row],[T]])))</f>
        <v>#DIV/0!</v>
      </c>
      <c r="AJ1544" t="e">
        <f ca="1">(EXP(-(AH1544^2)/2)/SQRT(2*PI())*EXP(0*SQRT(Table13345678[[#This Row],[T]]))/$A$4*18%*SQRT(SQRT(Table13345678[[#This Row],[T]])))</f>
        <v>#DIV/0!</v>
      </c>
      <c r="AK1544" t="e">
        <f ca="1">Table13345678[[#This Row],[Call D1]]-Table13345678[[#This Row],[IV Calc C]]*SQRT(Table13345678[[#This Row],[T]])</f>
        <v>#DIV/0!</v>
      </c>
      <c r="AL1544" t="e">
        <f ca="1">Table13345678[[#This Row],[Put D1]]-Table13345678[[#This Row],[IV Calc P]]*SQRT(Table13345678[[#This Row],[T]])</f>
        <v>#DIV/0!</v>
      </c>
      <c r="AM1544" t="e">
        <f ca="1">EXP(-0.5*Table13345678[[#This Row],[Call D1]]^2)/SQRT(2*PI())</f>
        <v>#DIV/0!</v>
      </c>
      <c r="AN1544" t="e">
        <f ca="1">EXP(-0.5*Table13345678[[#This Row],[Put D1]]^2)/SQRT(2*PI())</f>
        <v>#DIV/0!</v>
      </c>
      <c r="AO154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4">
        <f ca="1">((Table13345678[[#This Row],[call vanna]]+Table13345678[[#This Row],[put vanna]])*$A$4)</f>
        <v>0</v>
      </c>
      <c r="AR154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4" s="9" t="str" cm="1">
        <f t="array" ref="AT1544">_xlfn.IFS(     $M$1="SPX","SPXW",     $M$1="RUT","RUTW",  $M$1="NDX","NDXP",   TRUE,$M$1 )</f>
        <v>SPXW</v>
      </c>
      <c r="AU1544" s="2">
        <f t="shared" si="152"/>
        <v>6915</v>
      </c>
      <c r="AV1544" t="str">
        <f t="shared" si="153"/>
        <v>000100</v>
      </c>
      <c r="AY154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4">
        <f>((Table13345678[[#This Row],[High C]]+Table13345678[[#This Row],[Low C]])/2)*Table13345678[[#This Row],[gammac]]*Table13345678[[#This Row],[Volume]]</f>
        <v>0</v>
      </c>
      <c r="BD1544">
        <f>((Table13345678[[#This Row],[High P]]+Table13345678[[#This Row],[Low P]])/2)*Table13345678[[#This Row],[gammap]]*Table13345678[[#This Row],[Volume9]]*-1</f>
        <v>0</v>
      </c>
      <c r="BE1544">
        <f>(Table13345678[[#This Row],[SgammaC]]+Table13345678[[#This Row],[SgammaP]])*$A$4*-100</f>
        <v>0</v>
      </c>
      <c r="BF1544">
        <f>Table13345678[[#This Row],[DEXc]]+Table13345678[[#This Row],[DEXp]]</f>
        <v>0</v>
      </c>
      <c r="BG1544" s="78">
        <f>IFERROR(Table13345678[[#This Row],[DeltaC]]*Table13345678[[#This Row],[Open.Int]]*$A$4,0)</f>
        <v>0</v>
      </c>
      <c r="BH1544">
        <f>IFERROR(Table13345678[[#This Row],[DeltaP]]*Table13345678[[#This Row],[Open.Int8]]*$A$4,0)</f>
        <v>0</v>
      </c>
      <c r="BI154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4">
        <f ca="1">Table13345678[[#This Row],[charmc]]+Table13345678[[#This Row],[charmp]]</f>
        <v>0</v>
      </c>
      <c r="BL154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4" s="78">
        <f ca="1">Table13345678[[#This Row],[call helper]]+Table13345678[[#This Row],[put helper]]</f>
        <v>0</v>
      </c>
      <c r="BP154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5" spans="1:68" x14ac:dyDescent="0.25">
      <c r="A1545" s="14">
        <f t="shared" ca="1" si="149"/>
        <v>-126.14810350076104</v>
      </c>
      <c r="C1545" s="17"/>
      <c r="D1545" t="str">
        <f>RTD("tos.rtd", , "OPEN_INT", "."&amp;Table13345678[[#This Row],[Ticker]]&amp;Table13345678[[#This Row],[Expiry]]&amp;""&amp;"C"&amp;Table13345678[[#This Row],[Spot]]+Table13345678[[#This Row],[step]])</f>
        <v>N/A</v>
      </c>
      <c r="E154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5" s="17" cm="1">
        <f t="array" aca="1" ref="H1545" ca="1">IndividualLegIVCore($A$4, Table13345678[[#This Row],[Strike]], 0.0411, Table13345678[[#This Row],[T]], ((Table13345678[[#This Row],[BIDC]]+Table13345678[[#This Row],[ASKC]])/2), TRUE)</f>
        <v>0.01</v>
      </c>
      <c r="I154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5" s="17"/>
      <c r="M1545" s="1">
        <f t="shared" si="150"/>
        <v>0</v>
      </c>
      <c r="N1545" t="b">
        <f t="shared" si="151"/>
        <v>0</v>
      </c>
      <c r="P1545" s="17" cm="1">
        <f t="array" aca="1" ref="P1545" ca="1">IndividualLegIVCore($A$4, Table13345678[[#This Row],[Strike]], 0.0411, Table13345678[[#This Row],[T]], ((Table13345678[[#This Row],[BIDP]]+Table13345678[[#This Row],[ASKP]])/2), FALSE)</f>
        <v>0.01</v>
      </c>
      <c r="Q154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5" s="17"/>
      <c r="T154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5" s="19">
        <f>7* IF($M$1="NDX", 10, IF(OR($M$1="SPX", $M$1="RUT"), 2, 1))</f>
        <v>14</v>
      </c>
      <c r="Z1545">
        <f ca="1">IFERROR(Table13345678[[#This Row],[call gamma]]*(Table13345678[[#This Row],[Open.Int]])*$A$4^2,0)</f>
        <v>0</v>
      </c>
      <c r="AA1545">
        <f ca="1">IFERROR(((Table13345678[[#This Row],[Open.Int8]])*Table13345678[[#This Row],[Put gamma]])*-1*$A$4^2,0)</f>
        <v>0</v>
      </c>
      <c r="AB1545">
        <f ca="1">(Table13345678[[#This Row],[Call Gex]]+Table13345678[[#This Row],[Put Gex]])</f>
        <v>0</v>
      </c>
      <c r="AC1545">
        <f ca="1">Table13345678[[#This Row],[put delta adj]]+Table13345678[[#This Row],[call delta adj]]</f>
        <v>0</v>
      </c>
      <c r="AD1545">
        <f ca="1">Table13345678[[#This Row],[Put Gex]]*Table13345678[[#This Row],[DeltaP]]*-1</f>
        <v>0</v>
      </c>
      <c r="AE1545">
        <f ca="1">Table13345678[[#This Row],[Call Gex]]*Table13345678[[#This Row],[DeltaC]]</f>
        <v>0</v>
      </c>
      <c r="AF1545">
        <f>IF(Table13345678[[#This Row],[DeltaC]]-ABS(Table13345678[[#This Row],[DeltaP]])="0","0.01",Table13345678[[#This Row],[DeltaC]]-ABS(Table13345678[[#This Row],[DeltaP]]))</f>
        <v>0</v>
      </c>
      <c r="AG154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5" t="e">
        <f ca="1">(EXP(-(AG1545^2)/2)/SQRT(2*PI())*EXP(0*SQRT(Table13345678[[#This Row],[T]]))/$A$4*18%*SQRT(SQRT(Table13345678[[#This Row],[T]])))</f>
        <v>#DIV/0!</v>
      </c>
      <c r="AJ1545" t="e">
        <f ca="1">(EXP(-(AH1545^2)/2)/SQRT(2*PI())*EXP(0*SQRT(Table13345678[[#This Row],[T]]))/$A$4*18%*SQRT(SQRT(Table13345678[[#This Row],[T]])))</f>
        <v>#DIV/0!</v>
      </c>
      <c r="AK1545" t="e">
        <f ca="1">Table13345678[[#This Row],[Call D1]]-Table13345678[[#This Row],[IV Calc C]]*SQRT(Table13345678[[#This Row],[T]])</f>
        <v>#DIV/0!</v>
      </c>
      <c r="AL1545" t="e">
        <f ca="1">Table13345678[[#This Row],[Put D1]]-Table13345678[[#This Row],[IV Calc P]]*SQRT(Table13345678[[#This Row],[T]])</f>
        <v>#DIV/0!</v>
      </c>
      <c r="AM1545" t="e">
        <f ca="1">EXP(-0.5*Table13345678[[#This Row],[Call D1]]^2)/SQRT(2*PI())</f>
        <v>#DIV/0!</v>
      </c>
      <c r="AN1545" t="e">
        <f ca="1">EXP(-0.5*Table13345678[[#This Row],[Put D1]]^2)/SQRT(2*PI())</f>
        <v>#DIV/0!</v>
      </c>
      <c r="AO154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5">
        <f ca="1">((Table13345678[[#This Row],[call vanna]]+Table13345678[[#This Row],[put vanna]])*$A$4)</f>
        <v>0</v>
      </c>
      <c r="AR154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5" s="9" t="str" cm="1">
        <f t="array" ref="AT1545">_xlfn.IFS(     $M$1="SPX","SPXW",     $M$1="RUT","RUTW",  $M$1="NDX","NDXP",   TRUE,$M$1 )</f>
        <v>SPXW</v>
      </c>
      <c r="AU1545" s="2">
        <f t="shared" si="152"/>
        <v>6915</v>
      </c>
      <c r="AV1545" t="str">
        <f t="shared" si="153"/>
        <v>000100</v>
      </c>
      <c r="AY154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5">
        <f>((Table13345678[[#This Row],[High C]]+Table13345678[[#This Row],[Low C]])/2)*Table13345678[[#This Row],[gammac]]*Table13345678[[#This Row],[Volume]]</f>
        <v>0</v>
      </c>
      <c r="BD1545">
        <f>((Table13345678[[#This Row],[High P]]+Table13345678[[#This Row],[Low P]])/2)*Table13345678[[#This Row],[gammap]]*Table13345678[[#This Row],[Volume9]]*-1</f>
        <v>0</v>
      </c>
      <c r="BE1545">
        <f>(Table13345678[[#This Row],[SgammaC]]+Table13345678[[#This Row],[SgammaP]])*$A$4*-100</f>
        <v>0</v>
      </c>
      <c r="BF1545">
        <f>Table13345678[[#This Row],[DEXc]]+Table13345678[[#This Row],[DEXp]]</f>
        <v>0</v>
      </c>
      <c r="BG1545" s="78">
        <f>IFERROR(Table13345678[[#This Row],[DeltaC]]*Table13345678[[#This Row],[Open.Int]]*$A$4,0)</f>
        <v>0</v>
      </c>
      <c r="BH1545">
        <f>IFERROR(Table13345678[[#This Row],[DeltaP]]*Table13345678[[#This Row],[Open.Int8]]*$A$4,0)</f>
        <v>0</v>
      </c>
      <c r="BI154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5">
        <f ca="1">Table13345678[[#This Row],[charmc]]+Table13345678[[#This Row],[charmp]]</f>
        <v>0</v>
      </c>
      <c r="BL154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5" s="78">
        <f ca="1">Table13345678[[#This Row],[call helper]]+Table13345678[[#This Row],[put helper]]</f>
        <v>0</v>
      </c>
      <c r="BP154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6" spans="1:68" x14ac:dyDescent="0.25">
      <c r="A1546" s="14">
        <f t="shared" ca="1" si="149"/>
        <v>-126.14810350076104</v>
      </c>
      <c r="C1546" s="17"/>
      <c r="D1546" t="str">
        <f>RTD("tos.rtd", , "OPEN_INT", "."&amp;Table13345678[[#This Row],[Ticker]]&amp;Table13345678[[#This Row],[Expiry]]&amp;""&amp;"C"&amp;Table13345678[[#This Row],[Spot]]+Table13345678[[#This Row],[step]])</f>
        <v>N/A</v>
      </c>
      <c r="E154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6" s="17" cm="1">
        <f t="array" aca="1" ref="H1546" ca="1">IndividualLegIVCore($A$4, Table13345678[[#This Row],[Strike]], 0.0411, Table13345678[[#This Row],[T]], ((Table13345678[[#This Row],[BIDC]]+Table13345678[[#This Row],[ASKC]])/2), TRUE)</f>
        <v>0.01</v>
      </c>
      <c r="I154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6" s="17"/>
      <c r="M1546" s="1">
        <f t="shared" si="150"/>
        <v>0</v>
      </c>
      <c r="N1546" t="b">
        <f t="shared" si="151"/>
        <v>0</v>
      </c>
      <c r="P1546" s="17" cm="1">
        <f t="array" aca="1" ref="P1546" ca="1">IndividualLegIVCore($A$4, Table13345678[[#This Row],[Strike]], 0.0411, Table13345678[[#This Row],[T]], ((Table13345678[[#This Row],[BIDP]]+Table13345678[[#This Row],[ASKP]])/2), FALSE)</f>
        <v>0.01</v>
      </c>
      <c r="Q154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6" s="17"/>
      <c r="T154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6" s="19">
        <f>7.5* IF($M$1="NDX", 10, IF(OR($M$1="SPX", $M$1="RUT"), 2, 1))</f>
        <v>15</v>
      </c>
      <c r="Z1546">
        <f ca="1">IFERROR(Table13345678[[#This Row],[call gamma]]*(Table13345678[[#This Row],[Open.Int]])*$A$4^2,0)</f>
        <v>0</v>
      </c>
      <c r="AA1546">
        <f ca="1">IFERROR(((Table13345678[[#This Row],[Open.Int8]])*Table13345678[[#This Row],[Put gamma]])*-1*$A$4^2,0)</f>
        <v>0</v>
      </c>
      <c r="AB1546">
        <f ca="1">(Table13345678[[#This Row],[Call Gex]]+Table13345678[[#This Row],[Put Gex]])</f>
        <v>0</v>
      </c>
      <c r="AC1546">
        <f ca="1">Table13345678[[#This Row],[put delta adj]]+Table13345678[[#This Row],[call delta adj]]</f>
        <v>0</v>
      </c>
      <c r="AD1546">
        <f ca="1">Table13345678[[#This Row],[Put Gex]]*Table13345678[[#This Row],[DeltaP]]*-1</f>
        <v>0</v>
      </c>
      <c r="AE1546">
        <f ca="1">Table13345678[[#This Row],[Call Gex]]*Table13345678[[#This Row],[DeltaC]]</f>
        <v>0</v>
      </c>
      <c r="AF1546">
        <f>IF(Table13345678[[#This Row],[DeltaC]]-ABS(Table13345678[[#This Row],[DeltaP]])="0","0.01",Table13345678[[#This Row],[DeltaC]]-ABS(Table13345678[[#This Row],[DeltaP]]))</f>
        <v>0</v>
      </c>
      <c r="AG154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6" t="e">
        <f ca="1">(EXP(-(AG1546^2)/2)/SQRT(2*PI())*EXP(0*SQRT(Table13345678[[#This Row],[T]]))/$A$4*18%*SQRT(SQRT(Table13345678[[#This Row],[T]])))</f>
        <v>#DIV/0!</v>
      </c>
      <c r="AJ1546" t="e">
        <f ca="1">(EXP(-(AH1546^2)/2)/SQRT(2*PI())*EXP(0*SQRT(Table13345678[[#This Row],[T]]))/$A$4*18%*SQRT(SQRT(Table13345678[[#This Row],[T]])))</f>
        <v>#DIV/0!</v>
      </c>
      <c r="AK1546" t="e">
        <f ca="1">Table13345678[[#This Row],[Call D1]]-Table13345678[[#This Row],[IV Calc C]]*SQRT(Table13345678[[#This Row],[T]])</f>
        <v>#DIV/0!</v>
      </c>
      <c r="AL1546" t="e">
        <f ca="1">Table13345678[[#This Row],[Put D1]]-Table13345678[[#This Row],[IV Calc P]]*SQRT(Table13345678[[#This Row],[T]])</f>
        <v>#DIV/0!</v>
      </c>
      <c r="AM1546" t="e">
        <f ca="1">EXP(-0.5*Table13345678[[#This Row],[Call D1]]^2)/SQRT(2*PI())</f>
        <v>#DIV/0!</v>
      </c>
      <c r="AN1546" t="e">
        <f ca="1">EXP(-0.5*Table13345678[[#This Row],[Put D1]]^2)/SQRT(2*PI())</f>
        <v>#DIV/0!</v>
      </c>
      <c r="AO154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6">
        <f ca="1">((Table13345678[[#This Row],[call vanna]]+Table13345678[[#This Row],[put vanna]])*$A$4)</f>
        <v>0</v>
      </c>
      <c r="AR154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6" s="9" t="str" cm="1">
        <f t="array" ref="AT1546">_xlfn.IFS(     $M$1="SPX","SPXW",     $M$1="RUT","RUTW",  $M$1="NDX","NDXP",   TRUE,$M$1 )</f>
        <v>SPXW</v>
      </c>
      <c r="AU1546" s="2">
        <f t="shared" si="152"/>
        <v>6915</v>
      </c>
      <c r="AV1546" t="str">
        <f t="shared" si="153"/>
        <v>000100</v>
      </c>
      <c r="AY154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6">
        <f>((Table13345678[[#This Row],[High C]]+Table13345678[[#This Row],[Low C]])/2)*Table13345678[[#This Row],[gammac]]*Table13345678[[#This Row],[Volume]]</f>
        <v>0</v>
      </c>
      <c r="BD1546">
        <f>((Table13345678[[#This Row],[High P]]+Table13345678[[#This Row],[Low P]])/2)*Table13345678[[#This Row],[gammap]]*Table13345678[[#This Row],[Volume9]]*-1</f>
        <v>0</v>
      </c>
      <c r="BE1546">
        <f>(Table13345678[[#This Row],[SgammaC]]+Table13345678[[#This Row],[SgammaP]])*$A$4*-100</f>
        <v>0</v>
      </c>
      <c r="BF1546">
        <f>Table13345678[[#This Row],[DEXc]]+Table13345678[[#This Row],[DEXp]]</f>
        <v>0</v>
      </c>
      <c r="BG1546" s="78">
        <f>IFERROR(Table13345678[[#This Row],[DeltaC]]*Table13345678[[#This Row],[Open.Int]]*$A$4,0)</f>
        <v>0</v>
      </c>
      <c r="BH1546">
        <f>IFERROR(Table13345678[[#This Row],[DeltaP]]*Table13345678[[#This Row],[Open.Int8]]*$A$4,0)</f>
        <v>0</v>
      </c>
      <c r="BI154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6">
        <f ca="1">Table13345678[[#This Row],[charmc]]+Table13345678[[#This Row],[charmp]]</f>
        <v>0</v>
      </c>
      <c r="BL154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6" s="78">
        <f ca="1">Table13345678[[#This Row],[call helper]]+Table13345678[[#This Row],[put helper]]</f>
        <v>0</v>
      </c>
      <c r="BP154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7" spans="1:68" x14ac:dyDescent="0.25">
      <c r="A1547" s="14">
        <f t="shared" ca="1" si="149"/>
        <v>-126.14810350076104</v>
      </c>
      <c r="C1547" s="17"/>
      <c r="D1547" t="str">
        <f>RTD("tos.rtd", , "OPEN_INT", "."&amp;Table13345678[[#This Row],[Ticker]]&amp;Table13345678[[#This Row],[Expiry]]&amp;""&amp;"C"&amp;Table13345678[[#This Row],[Spot]]+Table13345678[[#This Row],[step]])</f>
        <v>N/A</v>
      </c>
      <c r="E154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7" s="17" cm="1">
        <f t="array" aca="1" ref="H1547" ca="1">IndividualLegIVCore($A$4, Table13345678[[#This Row],[Strike]], 0.0411, Table13345678[[#This Row],[T]], ((Table13345678[[#This Row],[BIDC]]+Table13345678[[#This Row],[ASKC]])/2), TRUE)</f>
        <v>0.01</v>
      </c>
      <c r="I154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7" s="17"/>
      <c r="M1547" s="1">
        <f t="shared" si="150"/>
        <v>0</v>
      </c>
      <c r="N1547" t="b">
        <f t="shared" si="151"/>
        <v>0</v>
      </c>
      <c r="P1547" s="17" cm="1">
        <f t="array" aca="1" ref="P1547" ca="1">IndividualLegIVCore($A$4, Table13345678[[#This Row],[Strike]], 0.0411, Table13345678[[#This Row],[T]], ((Table13345678[[#This Row],[BIDP]]+Table13345678[[#This Row],[ASKP]])/2), FALSE)</f>
        <v>0.01</v>
      </c>
      <c r="Q154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7" s="17"/>
      <c r="T154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7" s="19">
        <f>8* IF($M$1="NDX", 10, IF(OR($M$1="SPX", $M$1="RUT"), 2, 1))</f>
        <v>16</v>
      </c>
      <c r="Z1547">
        <f ca="1">IFERROR(Table13345678[[#This Row],[call gamma]]*(Table13345678[[#This Row],[Open.Int]])*$A$4^2,0)</f>
        <v>0</v>
      </c>
      <c r="AA1547">
        <f ca="1">IFERROR(((Table13345678[[#This Row],[Open.Int8]])*Table13345678[[#This Row],[Put gamma]])*-1*$A$4^2,0)</f>
        <v>0</v>
      </c>
      <c r="AB1547">
        <f ca="1">(Table13345678[[#This Row],[Call Gex]]+Table13345678[[#This Row],[Put Gex]])</f>
        <v>0</v>
      </c>
      <c r="AC1547">
        <f ca="1">Table13345678[[#This Row],[put delta adj]]+Table13345678[[#This Row],[call delta adj]]</f>
        <v>0</v>
      </c>
      <c r="AD1547">
        <f ca="1">Table13345678[[#This Row],[Put Gex]]*Table13345678[[#This Row],[DeltaP]]*-1</f>
        <v>0</v>
      </c>
      <c r="AE1547">
        <f ca="1">Table13345678[[#This Row],[Call Gex]]*Table13345678[[#This Row],[DeltaC]]</f>
        <v>0</v>
      </c>
      <c r="AF1547">
        <f>IF(Table13345678[[#This Row],[DeltaC]]-ABS(Table13345678[[#This Row],[DeltaP]])="0","0.01",Table13345678[[#This Row],[DeltaC]]-ABS(Table13345678[[#This Row],[DeltaP]]))</f>
        <v>0</v>
      </c>
      <c r="AG154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7" t="e">
        <f ca="1">(EXP(-(AG1547^2)/2)/SQRT(2*PI())*EXP(0*SQRT(Table13345678[[#This Row],[T]]))/$A$4*18%*SQRT(SQRT(Table13345678[[#This Row],[T]])))</f>
        <v>#DIV/0!</v>
      </c>
      <c r="AJ1547" t="e">
        <f ca="1">(EXP(-(AH1547^2)/2)/SQRT(2*PI())*EXP(0*SQRT(Table13345678[[#This Row],[T]]))/$A$4*18%*SQRT(SQRT(Table13345678[[#This Row],[T]])))</f>
        <v>#DIV/0!</v>
      </c>
      <c r="AK1547" t="e">
        <f ca="1">Table13345678[[#This Row],[Call D1]]-Table13345678[[#This Row],[IV Calc C]]*SQRT(Table13345678[[#This Row],[T]])</f>
        <v>#DIV/0!</v>
      </c>
      <c r="AL1547" t="e">
        <f ca="1">Table13345678[[#This Row],[Put D1]]-Table13345678[[#This Row],[IV Calc P]]*SQRT(Table13345678[[#This Row],[T]])</f>
        <v>#DIV/0!</v>
      </c>
      <c r="AM1547" t="e">
        <f ca="1">EXP(-0.5*Table13345678[[#This Row],[Call D1]]^2)/SQRT(2*PI())</f>
        <v>#DIV/0!</v>
      </c>
      <c r="AN1547" t="e">
        <f ca="1">EXP(-0.5*Table13345678[[#This Row],[Put D1]]^2)/SQRT(2*PI())</f>
        <v>#DIV/0!</v>
      </c>
      <c r="AO154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7">
        <f ca="1">((Table13345678[[#This Row],[call vanna]]+Table13345678[[#This Row],[put vanna]])*$A$4)</f>
        <v>0</v>
      </c>
      <c r="AR154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7" s="9" t="str" cm="1">
        <f t="array" ref="AT1547">_xlfn.IFS(     $M$1="SPX","SPXW",     $M$1="RUT","RUTW",  $M$1="NDX","NDXP",   TRUE,$M$1 )</f>
        <v>SPXW</v>
      </c>
      <c r="AU1547" s="2">
        <f t="shared" si="152"/>
        <v>6915</v>
      </c>
      <c r="AV1547" t="str">
        <f t="shared" si="153"/>
        <v>000100</v>
      </c>
      <c r="AY154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7">
        <f>((Table13345678[[#This Row],[High C]]+Table13345678[[#This Row],[Low C]])/2)*Table13345678[[#This Row],[gammac]]*Table13345678[[#This Row],[Volume]]</f>
        <v>0</v>
      </c>
      <c r="BD1547">
        <f>((Table13345678[[#This Row],[High P]]+Table13345678[[#This Row],[Low P]])/2)*Table13345678[[#This Row],[gammap]]*Table13345678[[#This Row],[Volume9]]*-1</f>
        <v>0</v>
      </c>
      <c r="BE1547">
        <f>(Table13345678[[#This Row],[SgammaC]]+Table13345678[[#This Row],[SgammaP]])*$A$4*-100</f>
        <v>0</v>
      </c>
      <c r="BF1547">
        <f>Table13345678[[#This Row],[DEXc]]+Table13345678[[#This Row],[DEXp]]</f>
        <v>0</v>
      </c>
      <c r="BG1547" s="78">
        <f>IFERROR(Table13345678[[#This Row],[DeltaC]]*Table13345678[[#This Row],[Open.Int]]*$A$4,0)</f>
        <v>0</v>
      </c>
      <c r="BH1547">
        <f>IFERROR(Table13345678[[#This Row],[DeltaP]]*Table13345678[[#This Row],[Open.Int8]]*$A$4,0)</f>
        <v>0</v>
      </c>
      <c r="BI154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7">
        <f ca="1">Table13345678[[#This Row],[charmc]]+Table13345678[[#This Row],[charmp]]</f>
        <v>0</v>
      </c>
      <c r="BL154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7" s="78">
        <f ca="1">Table13345678[[#This Row],[call helper]]+Table13345678[[#This Row],[put helper]]</f>
        <v>0</v>
      </c>
      <c r="BP154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8" spans="1:68" x14ac:dyDescent="0.25">
      <c r="A1548" s="14">
        <f t="shared" ca="1" si="149"/>
        <v>-126.14810350076104</v>
      </c>
      <c r="C1548" s="17"/>
      <c r="D1548" t="str">
        <f>RTD("tos.rtd", , "OPEN_INT", "."&amp;Table13345678[[#This Row],[Ticker]]&amp;Table13345678[[#This Row],[Expiry]]&amp;""&amp;"C"&amp;Table13345678[[#This Row],[Spot]]+Table13345678[[#This Row],[step]])</f>
        <v>N/A</v>
      </c>
      <c r="E154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8" s="17" cm="1">
        <f t="array" aca="1" ref="H1548" ca="1">IndividualLegIVCore($A$4, Table13345678[[#This Row],[Strike]], 0.0411, Table13345678[[#This Row],[T]], ((Table13345678[[#This Row],[BIDC]]+Table13345678[[#This Row],[ASKC]])/2), TRUE)</f>
        <v>0.01</v>
      </c>
      <c r="I154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8" s="17"/>
      <c r="M1548" s="1">
        <f t="shared" si="150"/>
        <v>0</v>
      </c>
      <c r="N1548" t="b">
        <f t="shared" si="151"/>
        <v>0</v>
      </c>
      <c r="P1548" s="17" cm="1">
        <f t="array" aca="1" ref="P1548" ca="1">IndividualLegIVCore($A$4, Table13345678[[#This Row],[Strike]], 0.0411, Table13345678[[#This Row],[T]], ((Table13345678[[#This Row],[BIDP]]+Table13345678[[#This Row],[ASKP]])/2), FALSE)</f>
        <v>0.01</v>
      </c>
      <c r="Q154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8" s="17"/>
      <c r="T154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8" s="19">
        <f>8.5* IF($M$1="NDX", 10, IF(OR($M$1="SPX", $M$1="RUT"), 2, 1))</f>
        <v>17</v>
      </c>
      <c r="Z1548">
        <f ca="1">IFERROR(Table13345678[[#This Row],[call gamma]]*(Table13345678[[#This Row],[Open.Int]])*$A$4^2,0)</f>
        <v>0</v>
      </c>
      <c r="AA1548">
        <f ca="1">IFERROR(((Table13345678[[#This Row],[Open.Int8]])*Table13345678[[#This Row],[Put gamma]])*-1*$A$4^2,0)</f>
        <v>0</v>
      </c>
      <c r="AB1548">
        <f ca="1">(Table13345678[[#This Row],[Call Gex]]+Table13345678[[#This Row],[Put Gex]])</f>
        <v>0</v>
      </c>
      <c r="AC1548">
        <f ca="1">Table13345678[[#This Row],[put delta adj]]+Table13345678[[#This Row],[call delta adj]]</f>
        <v>0</v>
      </c>
      <c r="AD1548">
        <f ca="1">Table13345678[[#This Row],[Put Gex]]*Table13345678[[#This Row],[DeltaP]]*-1</f>
        <v>0</v>
      </c>
      <c r="AE1548">
        <f ca="1">Table13345678[[#This Row],[Call Gex]]*Table13345678[[#This Row],[DeltaC]]</f>
        <v>0</v>
      </c>
      <c r="AF1548">
        <f>IF(Table13345678[[#This Row],[DeltaC]]-ABS(Table13345678[[#This Row],[DeltaP]])="0","0.01",Table13345678[[#This Row],[DeltaC]]-ABS(Table13345678[[#This Row],[DeltaP]]))</f>
        <v>0</v>
      </c>
      <c r="AG154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8" t="e">
        <f ca="1">(EXP(-(AG1548^2)/2)/SQRT(2*PI())*EXP(0*SQRT(Table13345678[[#This Row],[T]]))/$A$4*18%*SQRT(SQRT(Table13345678[[#This Row],[T]])))</f>
        <v>#DIV/0!</v>
      </c>
      <c r="AJ1548" t="e">
        <f ca="1">(EXP(-(AH1548^2)/2)/SQRT(2*PI())*EXP(0*SQRT(Table13345678[[#This Row],[T]]))/$A$4*18%*SQRT(SQRT(Table13345678[[#This Row],[T]])))</f>
        <v>#DIV/0!</v>
      </c>
      <c r="AK1548" t="e">
        <f ca="1">Table13345678[[#This Row],[Call D1]]-Table13345678[[#This Row],[IV Calc C]]*SQRT(Table13345678[[#This Row],[T]])</f>
        <v>#DIV/0!</v>
      </c>
      <c r="AL1548" t="e">
        <f ca="1">Table13345678[[#This Row],[Put D1]]-Table13345678[[#This Row],[IV Calc P]]*SQRT(Table13345678[[#This Row],[T]])</f>
        <v>#DIV/0!</v>
      </c>
      <c r="AM1548" t="e">
        <f ca="1">EXP(-0.5*Table13345678[[#This Row],[Call D1]]^2)/SQRT(2*PI())</f>
        <v>#DIV/0!</v>
      </c>
      <c r="AN1548" t="e">
        <f ca="1">EXP(-0.5*Table13345678[[#This Row],[Put D1]]^2)/SQRT(2*PI())</f>
        <v>#DIV/0!</v>
      </c>
      <c r="AO154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8">
        <f ca="1">((Table13345678[[#This Row],[call vanna]]+Table13345678[[#This Row],[put vanna]])*$A$4)</f>
        <v>0</v>
      </c>
      <c r="AR154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8" s="9" t="str" cm="1">
        <f t="array" ref="AT1548">_xlfn.IFS(     $M$1="SPX","SPXW",     $M$1="RUT","RUTW",  $M$1="NDX","NDXP",   TRUE,$M$1 )</f>
        <v>SPXW</v>
      </c>
      <c r="AU1548" s="2">
        <f t="shared" si="152"/>
        <v>6915</v>
      </c>
      <c r="AV1548" t="str">
        <f t="shared" si="153"/>
        <v>000100</v>
      </c>
      <c r="AY154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8">
        <f>((Table13345678[[#This Row],[High C]]+Table13345678[[#This Row],[Low C]])/2)*Table13345678[[#This Row],[gammac]]*Table13345678[[#This Row],[Volume]]</f>
        <v>0</v>
      </c>
      <c r="BD1548">
        <f>((Table13345678[[#This Row],[High P]]+Table13345678[[#This Row],[Low P]])/2)*Table13345678[[#This Row],[gammap]]*Table13345678[[#This Row],[Volume9]]*-1</f>
        <v>0</v>
      </c>
      <c r="BE1548">
        <f>(Table13345678[[#This Row],[SgammaC]]+Table13345678[[#This Row],[SgammaP]])*$A$4*-100</f>
        <v>0</v>
      </c>
      <c r="BF1548">
        <f>Table13345678[[#This Row],[DEXc]]+Table13345678[[#This Row],[DEXp]]</f>
        <v>0</v>
      </c>
      <c r="BG1548" s="78">
        <f>IFERROR(Table13345678[[#This Row],[DeltaC]]*Table13345678[[#This Row],[Open.Int]]*$A$4,0)</f>
        <v>0</v>
      </c>
      <c r="BH1548">
        <f>IFERROR(Table13345678[[#This Row],[DeltaP]]*Table13345678[[#This Row],[Open.Int8]]*$A$4,0)</f>
        <v>0</v>
      </c>
      <c r="BI154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8">
        <f ca="1">Table13345678[[#This Row],[charmc]]+Table13345678[[#This Row],[charmp]]</f>
        <v>0</v>
      </c>
      <c r="BL154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8" s="78">
        <f ca="1">Table13345678[[#This Row],[call helper]]+Table13345678[[#This Row],[put helper]]</f>
        <v>0</v>
      </c>
      <c r="BP154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9" spans="1:68" x14ac:dyDescent="0.25">
      <c r="A1549" s="14">
        <f t="shared" ca="1" si="149"/>
        <v>-126.14810350076104</v>
      </c>
      <c r="C1549" s="17"/>
      <c r="D1549" t="str">
        <f>RTD("tos.rtd", , "OPEN_INT", "."&amp;Table13345678[[#This Row],[Ticker]]&amp;Table13345678[[#This Row],[Expiry]]&amp;""&amp;"C"&amp;Table13345678[[#This Row],[Spot]]+Table13345678[[#This Row],[step]])</f>
        <v>N/A</v>
      </c>
      <c r="E154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9" s="17" cm="1">
        <f t="array" aca="1" ref="H1549" ca="1">IndividualLegIVCore($A$4, Table13345678[[#This Row],[Strike]], 0.0411, Table13345678[[#This Row],[T]], ((Table13345678[[#This Row],[BIDC]]+Table13345678[[#This Row],[ASKC]])/2), TRUE)</f>
        <v>0.01</v>
      </c>
      <c r="I154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9" s="17"/>
      <c r="M1549" s="1">
        <f t="shared" si="150"/>
        <v>0</v>
      </c>
      <c r="N1549" t="b">
        <f t="shared" si="151"/>
        <v>0</v>
      </c>
      <c r="P1549" s="17" cm="1">
        <f t="array" aca="1" ref="P1549" ca="1">IndividualLegIVCore($A$4, Table13345678[[#This Row],[Strike]], 0.0411, Table13345678[[#This Row],[T]], ((Table13345678[[#This Row],[BIDP]]+Table13345678[[#This Row],[ASKP]])/2), FALSE)</f>
        <v>0.01</v>
      </c>
      <c r="Q154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9" s="17"/>
      <c r="T154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9" s="19">
        <f>9* IF($M$1="NDX", 10, IF(OR($M$1="SPX", $M$1="RUT"), 2, 1))</f>
        <v>18</v>
      </c>
      <c r="Z1549">
        <f ca="1">IFERROR(Table13345678[[#This Row],[call gamma]]*(Table13345678[[#This Row],[Open.Int]])*$A$4^2,0)</f>
        <v>0</v>
      </c>
      <c r="AA1549">
        <f ca="1">IFERROR(((Table13345678[[#This Row],[Open.Int8]])*Table13345678[[#This Row],[Put gamma]])*-1*$A$4^2,0)</f>
        <v>0</v>
      </c>
      <c r="AB1549">
        <f ca="1">(Table13345678[[#This Row],[Call Gex]]+Table13345678[[#This Row],[Put Gex]])</f>
        <v>0</v>
      </c>
      <c r="AC1549">
        <f ca="1">Table13345678[[#This Row],[put delta adj]]+Table13345678[[#This Row],[call delta adj]]</f>
        <v>0</v>
      </c>
      <c r="AD1549">
        <f ca="1">Table13345678[[#This Row],[Put Gex]]*Table13345678[[#This Row],[DeltaP]]*-1</f>
        <v>0</v>
      </c>
      <c r="AE1549">
        <f ca="1">Table13345678[[#This Row],[Call Gex]]*Table13345678[[#This Row],[DeltaC]]</f>
        <v>0</v>
      </c>
      <c r="AF1549">
        <f>IF(Table13345678[[#This Row],[DeltaC]]-ABS(Table13345678[[#This Row],[DeltaP]])="0","0.01",Table13345678[[#This Row],[DeltaC]]-ABS(Table13345678[[#This Row],[DeltaP]]))</f>
        <v>0</v>
      </c>
      <c r="AG154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9" t="e">
        <f ca="1">(EXP(-(AG1549^2)/2)/SQRT(2*PI())*EXP(0*SQRT(Table13345678[[#This Row],[T]]))/$A$4*18%*SQRT(SQRT(Table13345678[[#This Row],[T]])))</f>
        <v>#DIV/0!</v>
      </c>
      <c r="AJ1549" t="e">
        <f ca="1">(EXP(-(AH1549^2)/2)/SQRT(2*PI())*EXP(0*SQRT(Table13345678[[#This Row],[T]]))/$A$4*18%*SQRT(SQRT(Table13345678[[#This Row],[T]])))</f>
        <v>#DIV/0!</v>
      </c>
      <c r="AK1549" t="e">
        <f ca="1">Table13345678[[#This Row],[Call D1]]-Table13345678[[#This Row],[IV Calc C]]*SQRT(Table13345678[[#This Row],[T]])</f>
        <v>#DIV/0!</v>
      </c>
      <c r="AL1549" t="e">
        <f ca="1">Table13345678[[#This Row],[Put D1]]-Table13345678[[#This Row],[IV Calc P]]*SQRT(Table13345678[[#This Row],[T]])</f>
        <v>#DIV/0!</v>
      </c>
      <c r="AM1549" t="e">
        <f ca="1">EXP(-0.5*Table13345678[[#This Row],[Call D1]]^2)/SQRT(2*PI())</f>
        <v>#DIV/0!</v>
      </c>
      <c r="AN1549" t="e">
        <f ca="1">EXP(-0.5*Table13345678[[#This Row],[Put D1]]^2)/SQRT(2*PI())</f>
        <v>#DIV/0!</v>
      </c>
      <c r="AO154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9">
        <f ca="1">((Table13345678[[#This Row],[call vanna]]+Table13345678[[#This Row],[put vanna]])*$A$4)</f>
        <v>0</v>
      </c>
      <c r="AR154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9" s="9" t="str" cm="1">
        <f t="array" ref="AT1549">_xlfn.IFS(     $M$1="SPX","SPXW",     $M$1="RUT","RUTW",  $M$1="NDX","NDXP",   TRUE,$M$1 )</f>
        <v>SPXW</v>
      </c>
      <c r="AU1549" s="2">
        <f t="shared" si="152"/>
        <v>6915</v>
      </c>
      <c r="AV1549" t="str">
        <f t="shared" si="153"/>
        <v>000100</v>
      </c>
      <c r="AY154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9">
        <f>((Table13345678[[#This Row],[High C]]+Table13345678[[#This Row],[Low C]])/2)*Table13345678[[#This Row],[gammac]]*Table13345678[[#This Row],[Volume]]</f>
        <v>0</v>
      </c>
      <c r="BD1549">
        <f>((Table13345678[[#This Row],[High P]]+Table13345678[[#This Row],[Low P]])/2)*Table13345678[[#This Row],[gammap]]*Table13345678[[#This Row],[Volume9]]*-1</f>
        <v>0</v>
      </c>
      <c r="BE1549">
        <f>(Table13345678[[#This Row],[SgammaC]]+Table13345678[[#This Row],[SgammaP]])*$A$4*-100</f>
        <v>0</v>
      </c>
      <c r="BF1549">
        <f>Table13345678[[#This Row],[DEXc]]+Table13345678[[#This Row],[DEXp]]</f>
        <v>0</v>
      </c>
      <c r="BG1549" s="78">
        <f>IFERROR(Table13345678[[#This Row],[DeltaC]]*Table13345678[[#This Row],[Open.Int]]*$A$4,0)</f>
        <v>0</v>
      </c>
      <c r="BH1549">
        <f>IFERROR(Table13345678[[#This Row],[DeltaP]]*Table13345678[[#This Row],[Open.Int8]]*$A$4,0)</f>
        <v>0</v>
      </c>
      <c r="BI154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9">
        <f ca="1">Table13345678[[#This Row],[charmc]]+Table13345678[[#This Row],[charmp]]</f>
        <v>0</v>
      </c>
      <c r="BL154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9" s="78">
        <f ca="1">Table13345678[[#This Row],[call helper]]+Table13345678[[#This Row],[put helper]]</f>
        <v>0</v>
      </c>
      <c r="BP154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0" spans="1:68" x14ac:dyDescent="0.25">
      <c r="A1550" s="14">
        <f t="shared" ca="1" si="149"/>
        <v>-126.14810350076104</v>
      </c>
      <c r="C1550" s="17"/>
      <c r="D1550" t="str">
        <f>RTD("tos.rtd", , "OPEN_INT", "."&amp;Table13345678[[#This Row],[Ticker]]&amp;Table13345678[[#This Row],[Expiry]]&amp;""&amp;"C"&amp;Table13345678[[#This Row],[Spot]]+Table13345678[[#This Row],[step]])</f>
        <v>N/A</v>
      </c>
      <c r="E155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0" s="17" cm="1">
        <f t="array" aca="1" ref="H1550" ca="1">IndividualLegIVCore($A$4, Table13345678[[#This Row],[Strike]], 0.0411, Table13345678[[#This Row],[T]], ((Table13345678[[#This Row],[BIDC]]+Table13345678[[#This Row],[ASKC]])/2), TRUE)</f>
        <v>0.01</v>
      </c>
      <c r="I155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0" s="17"/>
      <c r="M1550" s="1">
        <f t="shared" si="150"/>
        <v>0</v>
      </c>
      <c r="N1550" t="b">
        <f t="shared" si="151"/>
        <v>0</v>
      </c>
      <c r="P1550" s="17" cm="1">
        <f t="array" aca="1" ref="P1550" ca="1">IndividualLegIVCore($A$4, Table13345678[[#This Row],[Strike]], 0.0411, Table13345678[[#This Row],[T]], ((Table13345678[[#This Row],[BIDP]]+Table13345678[[#This Row],[ASKP]])/2), FALSE)</f>
        <v>0.01</v>
      </c>
      <c r="Q155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0" s="17"/>
      <c r="T155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0" s="19">
        <f>9.5* IF($M$1="NDX", 10, IF(OR($M$1="SPX", $M$1="RUT"), 2, 1))</f>
        <v>19</v>
      </c>
      <c r="Z1550">
        <f ca="1">IFERROR(Table13345678[[#This Row],[call gamma]]*(Table13345678[[#This Row],[Open.Int]])*$A$4^2,0)</f>
        <v>0</v>
      </c>
      <c r="AA1550">
        <f ca="1">IFERROR(((Table13345678[[#This Row],[Open.Int8]])*Table13345678[[#This Row],[Put gamma]])*-1*$A$4^2,0)</f>
        <v>0</v>
      </c>
      <c r="AB1550">
        <f ca="1">(Table13345678[[#This Row],[Call Gex]]+Table13345678[[#This Row],[Put Gex]])</f>
        <v>0</v>
      </c>
      <c r="AC1550">
        <f ca="1">Table13345678[[#This Row],[put delta adj]]+Table13345678[[#This Row],[call delta adj]]</f>
        <v>0</v>
      </c>
      <c r="AD1550">
        <f ca="1">Table13345678[[#This Row],[Put Gex]]*Table13345678[[#This Row],[DeltaP]]*-1</f>
        <v>0</v>
      </c>
      <c r="AE1550">
        <f ca="1">Table13345678[[#This Row],[Call Gex]]*Table13345678[[#This Row],[DeltaC]]</f>
        <v>0</v>
      </c>
      <c r="AF1550">
        <f>IF(Table13345678[[#This Row],[DeltaC]]-ABS(Table13345678[[#This Row],[DeltaP]])="0","0.01",Table13345678[[#This Row],[DeltaC]]-ABS(Table13345678[[#This Row],[DeltaP]]))</f>
        <v>0</v>
      </c>
      <c r="AG155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0" t="e">
        <f ca="1">(EXP(-(AG1550^2)/2)/SQRT(2*PI())*EXP(0*SQRT(Table13345678[[#This Row],[T]]))/$A$4*18%*SQRT(SQRT(Table13345678[[#This Row],[T]])))</f>
        <v>#DIV/0!</v>
      </c>
      <c r="AJ1550" t="e">
        <f ca="1">(EXP(-(AH1550^2)/2)/SQRT(2*PI())*EXP(0*SQRT(Table13345678[[#This Row],[T]]))/$A$4*18%*SQRT(SQRT(Table13345678[[#This Row],[T]])))</f>
        <v>#DIV/0!</v>
      </c>
      <c r="AK1550" t="e">
        <f ca="1">Table13345678[[#This Row],[Call D1]]-Table13345678[[#This Row],[IV Calc C]]*SQRT(Table13345678[[#This Row],[T]])</f>
        <v>#DIV/0!</v>
      </c>
      <c r="AL1550" t="e">
        <f ca="1">Table13345678[[#This Row],[Put D1]]-Table13345678[[#This Row],[IV Calc P]]*SQRT(Table13345678[[#This Row],[T]])</f>
        <v>#DIV/0!</v>
      </c>
      <c r="AM1550" t="e">
        <f ca="1">EXP(-0.5*Table13345678[[#This Row],[Call D1]]^2)/SQRT(2*PI())</f>
        <v>#DIV/0!</v>
      </c>
      <c r="AN1550" t="e">
        <f ca="1">EXP(-0.5*Table13345678[[#This Row],[Put D1]]^2)/SQRT(2*PI())</f>
        <v>#DIV/0!</v>
      </c>
      <c r="AO155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0">
        <f ca="1">((Table13345678[[#This Row],[call vanna]]+Table13345678[[#This Row],[put vanna]])*$A$4)</f>
        <v>0</v>
      </c>
      <c r="AR155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0" s="9" t="str" cm="1">
        <f t="array" ref="AT1550">_xlfn.IFS(     $M$1="SPX","SPXW",     $M$1="RUT","RUTW",  $M$1="NDX","NDXP",   TRUE,$M$1 )</f>
        <v>SPXW</v>
      </c>
      <c r="AU1550" s="2">
        <f t="shared" si="152"/>
        <v>6915</v>
      </c>
      <c r="AV1550" t="str">
        <f t="shared" si="153"/>
        <v>000100</v>
      </c>
      <c r="AY155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0">
        <f>((Table13345678[[#This Row],[High C]]+Table13345678[[#This Row],[Low C]])/2)*Table13345678[[#This Row],[gammac]]*Table13345678[[#This Row],[Volume]]</f>
        <v>0</v>
      </c>
      <c r="BD1550">
        <f>((Table13345678[[#This Row],[High P]]+Table13345678[[#This Row],[Low P]])/2)*Table13345678[[#This Row],[gammap]]*Table13345678[[#This Row],[Volume9]]*-1</f>
        <v>0</v>
      </c>
      <c r="BE1550">
        <f>(Table13345678[[#This Row],[SgammaC]]+Table13345678[[#This Row],[SgammaP]])*$A$4*-100</f>
        <v>0</v>
      </c>
      <c r="BF1550">
        <f>Table13345678[[#This Row],[DEXc]]+Table13345678[[#This Row],[DEXp]]</f>
        <v>0</v>
      </c>
      <c r="BG1550" s="78">
        <f>IFERROR(Table13345678[[#This Row],[DeltaC]]*Table13345678[[#This Row],[Open.Int]]*$A$4,0)</f>
        <v>0</v>
      </c>
      <c r="BH1550">
        <f>IFERROR(Table13345678[[#This Row],[DeltaP]]*Table13345678[[#This Row],[Open.Int8]]*$A$4,0)</f>
        <v>0</v>
      </c>
      <c r="BI155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0">
        <f ca="1">Table13345678[[#This Row],[charmc]]+Table13345678[[#This Row],[charmp]]</f>
        <v>0</v>
      </c>
      <c r="BL155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0" s="78">
        <f ca="1">Table13345678[[#This Row],[call helper]]+Table13345678[[#This Row],[put helper]]</f>
        <v>0</v>
      </c>
      <c r="BP155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1" spans="1:68" x14ac:dyDescent="0.25">
      <c r="A1551" s="14">
        <f t="shared" ca="1" si="149"/>
        <v>-126.14810350076104</v>
      </c>
      <c r="C1551" s="17"/>
      <c r="D1551" t="str">
        <f>RTD("tos.rtd", , "OPEN_INT", "."&amp;Table13345678[[#This Row],[Ticker]]&amp;Table13345678[[#This Row],[Expiry]]&amp;""&amp;"C"&amp;Table13345678[[#This Row],[Spot]]+Table13345678[[#This Row],[step]])</f>
        <v>N/A</v>
      </c>
      <c r="E155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1" s="17" cm="1">
        <f t="array" aca="1" ref="H1551" ca="1">IndividualLegIVCore($A$4, Table13345678[[#This Row],[Strike]], 0.0411, Table13345678[[#This Row],[T]], ((Table13345678[[#This Row],[BIDC]]+Table13345678[[#This Row],[ASKC]])/2), TRUE)</f>
        <v>0.01</v>
      </c>
      <c r="I155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1" s="17"/>
      <c r="M1551" s="1">
        <f t="shared" si="150"/>
        <v>0</v>
      </c>
      <c r="N1551" t="b">
        <f t="shared" si="151"/>
        <v>0</v>
      </c>
      <c r="P1551" s="17" cm="1">
        <f t="array" aca="1" ref="P1551" ca="1">IndividualLegIVCore($A$4, Table13345678[[#This Row],[Strike]], 0.0411, Table13345678[[#This Row],[T]], ((Table13345678[[#This Row],[BIDP]]+Table13345678[[#This Row],[ASKP]])/2), FALSE)</f>
        <v>0.01</v>
      </c>
      <c r="Q155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1" s="17"/>
      <c r="T155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1" s="19">
        <f>10* IF($M$1="NDX", 10, IF(OR($M$1="SPX", $M$1="RUT"), 2, 1))</f>
        <v>20</v>
      </c>
      <c r="Z1551">
        <f ca="1">IFERROR(Table13345678[[#This Row],[call gamma]]*(Table13345678[[#This Row],[Open.Int]])*$A$4^2,0)</f>
        <v>0</v>
      </c>
      <c r="AA1551">
        <f ca="1">IFERROR(((Table13345678[[#This Row],[Open.Int8]])*Table13345678[[#This Row],[Put gamma]])*-1*$A$4^2,0)</f>
        <v>0</v>
      </c>
      <c r="AB1551">
        <f ca="1">(Table13345678[[#This Row],[Call Gex]]+Table13345678[[#This Row],[Put Gex]])</f>
        <v>0</v>
      </c>
      <c r="AC1551">
        <f ca="1">Table13345678[[#This Row],[put delta adj]]+Table13345678[[#This Row],[call delta adj]]</f>
        <v>0</v>
      </c>
      <c r="AD1551">
        <f ca="1">Table13345678[[#This Row],[Put Gex]]*Table13345678[[#This Row],[DeltaP]]*-1</f>
        <v>0</v>
      </c>
      <c r="AE1551">
        <f ca="1">Table13345678[[#This Row],[Call Gex]]*Table13345678[[#This Row],[DeltaC]]</f>
        <v>0</v>
      </c>
      <c r="AF1551">
        <f>IF(Table13345678[[#This Row],[DeltaC]]-ABS(Table13345678[[#This Row],[DeltaP]])="0","0.01",Table13345678[[#This Row],[DeltaC]]-ABS(Table13345678[[#This Row],[DeltaP]]))</f>
        <v>0</v>
      </c>
      <c r="AG155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1" t="e">
        <f ca="1">(EXP(-(AG1551^2)/2)/SQRT(2*PI())*EXP(0*SQRT(Table13345678[[#This Row],[T]]))/$A$4*18%*SQRT(SQRT(Table13345678[[#This Row],[T]])))</f>
        <v>#DIV/0!</v>
      </c>
      <c r="AJ1551" t="e">
        <f ca="1">(EXP(-(AH1551^2)/2)/SQRT(2*PI())*EXP(0*SQRT(Table13345678[[#This Row],[T]]))/$A$4*18%*SQRT(SQRT(Table13345678[[#This Row],[T]])))</f>
        <v>#DIV/0!</v>
      </c>
      <c r="AK1551" t="e">
        <f ca="1">Table13345678[[#This Row],[Call D1]]-Table13345678[[#This Row],[IV Calc C]]*SQRT(Table13345678[[#This Row],[T]])</f>
        <v>#DIV/0!</v>
      </c>
      <c r="AL1551" t="e">
        <f ca="1">Table13345678[[#This Row],[Put D1]]-Table13345678[[#This Row],[IV Calc P]]*SQRT(Table13345678[[#This Row],[T]])</f>
        <v>#DIV/0!</v>
      </c>
      <c r="AM1551" t="e">
        <f ca="1">EXP(-0.5*Table13345678[[#This Row],[Call D1]]^2)/SQRT(2*PI())</f>
        <v>#DIV/0!</v>
      </c>
      <c r="AN1551" t="e">
        <f ca="1">EXP(-0.5*Table13345678[[#This Row],[Put D1]]^2)/SQRT(2*PI())</f>
        <v>#DIV/0!</v>
      </c>
      <c r="AO155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1">
        <f ca="1">((Table13345678[[#This Row],[call vanna]]+Table13345678[[#This Row],[put vanna]])*$A$4)</f>
        <v>0</v>
      </c>
      <c r="AR155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1" s="9" t="str" cm="1">
        <f t="array" ref="AT1551">_xlfn.IFS(     $M$1="SPX","SPXW",     $M$1="RUT","RUTW",  $M$1="NDX","NDXP",   TRUE,$M$1 )</f>
        <v>SPXW</v>
      </c>
      <c r="AU1551" s="2">
        <f t="shared" si="152"/>
        <v>6915</v>
      </c>
      <c r="AV1551" t="str">
        <f t="shared" si="153"/>
        <v>000100</v>
      </c>
      <c r="AY155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1">
        <f>((Table13345678[[#This Row],[High C]]+Table13345678[[#This Row],[Low C]])/2)*Table13345678[[#This Row],[gammac]]*Table13345678[[#This Row],[Volume]]</f>
        <v>0</v>
      </c>
      <c r="BD1551">
        <f>((Table13345678[[#This Row],[High P]]+Table13345678[[#This Row],[Low P]])/2)*Table13345678[[#This Row],[gammap]]*Table13345678[[#This Row],[Volume9]]*-1</f>
        <v>0</v>
      </c>
      <c r="BE1551">
        <f>(Table13345678[[#This Row],[SgammaC]]+Table13345678[[#This Row],[SgammaP]])*$A$4*-100</f>
        <v>0</v>
      </c>
      <c r="BF1551">
        <f>Table13345678[[#This Row],[DEXc]]+Table13345678[[#This Row],[DEXp]]</f>
        <v>0</v>
      </c>
      <c r="BG1551" s="78">
        <f>IFERROR(Table13345678[[#This Row],[DeltaC]]*Table13345678[[#This Row],[Open.Int]]*$A$4,0)</f>
        <v>0</v>
      </c>
      <c r="BH1551">
        <f>IFERROR(Table13345678[[#This Row],[DeltaP]]*Table13345678[[#This Row],[Open.Int8]]*$A$4,0)</f>
        <v>0</v>
      </c>
      <c r="BI155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1">
        <f ca="1">Table13345678[[#This Row],[charmc]]+Table13345678[[#This Row],[charmp]]</f>
        <v>0</v>
      </c>
      <c r="BL155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1" s="78">
        <f ca="1">Table13345678[[#This Row],[call helper]]+Table13345678[[#This Row],[put helper]]</f>
        <v>0</v>
      </c>
      <c r="BP155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2" spans="1:68" x14ac:dyDescent="0.25">
      <c r="A1552" s="14">
        <f t="shared" ca="1" si="149"/>
        <v>-126.14810350076104</v>
      </c>
      <c r="C1552" s="17"/>
      <c r="D1552" t="str">
        <f>RTD("tos.rtd", , "OPEN_INT", "."&amp;Table13345678[[#This Row],[Ticker]]&amp;Table13345678[[#This Row],[Expiry]]&amp;""&amp;"C"&amp;Table13345678[[#This Row],[Spot]]+Table13345678[[#This Row],[step]])</f>
        <v>N/A</v>
      </c>
      <c r="E155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2" s="17" cm="1">
        <f t="array" aca="1" ref="H1552" ca="1">IndividualLegIVCore($A$4, Table13345678[[#This Row],[Strike]], 0.0411, Table13345678[[#This Row],[T]], ((Table13345678[[#This Row],[BIDC]]+Table13345678[[#This Row],[ASKC]])/2), TRUE)</f>
        <v>0.01</v>
      </c>
      <c r="I155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2" s="17"/>
      <c r="M1552" s="1">
        <f t="shared" si="150"/>
        <v>0</v>
      </c>
      <c r="N1552" t="b">
        <f t="shared" si="151"/>
        <v>0</v>
      </c>
      <c r="P1552" s="17" cm="1">
        <f t="array" aca="1" ref="P1552" ca="1">IndividualLegIVCore($A$4, Table13345678[[#This Row],[Strike]], 0.0411, Table13345678[[#This Row],[T]], ((Table13345678[[#This Row],[BIDP]]+Table13345678[[#This Row],[ASKP]])/2), FALSE)</f>
        <v>0.01</v>
      </c>
      <c r="Q155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2" s="17"/>
      <c r="T155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2" s="19">
        <f>10.5* IF($M$1="NDX", 10, IF(OR($M$1="SPX", $M$1="RUT"), 2, 1))</f>
        <v>21</v>
      </c>
      <c r="Z1552">
        <f ca="1">IFERROR(Table13345678[[#This Row],[call gamma]]*(Table13345678[[#This Row],[Open.Int]])*$A$4^2,0)</f>
        <v>0</v>
      </c>
      <c r="AA1552">
        <f ca="1">IFERROR(((Table13345678[[#This Row],[Open.Int8]])*Table13345678[[#This Row],[Put gamma]])*-1*$A$4^2,0)</f>
        <v>0</v>
      </c>
      <c r="AB1552">
        <f ca="1">(Table13345678[[#This Row],[Call Gex]]+Table13345678[[#This Row],[Put Gex]])</f>
        <v>0</v>
      </c>
      <c r="AC1552">
        <f ca="1">Table13345678[[#This Row],[put delta adj]]+Table13345678[[#This Row],[call delta adj]]</f>
        <v>0</v>
      </c>
      <c r="AD1552">
        <f ca="1">Table13345678[[#This Row],[Put Gex]]*Table13345678[[#This Row],[DeltaP]]*-1</f>
        <v>0</v>
      </c>
      <c r="AE1552">
        <f ca="1">Table13345678[[#This Row],[Call Gex]]*Table13345678[[#This Row],[DeltaC]]</f>
        <v>0</v>
      </c>
      <c r="AF1552">
        <f>IF(Table13345678[[#This Row],[DeltaC]]-ABS(Table13345678[[#This Row],[DeltaP]])="0","0.01",Table13345678[[#This Row],[DeltaC]]-ABS(Table13345678[[#This Row],[DeltaP]]))</f>
        <v>0</v>
      </c>
      <c r="AG155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2" t="e">
        <f ca="1">(EXP(-(AG1552^2)/2)/SQRT(2*PI())*EXP(0*SQRT(Table13345678[[#This Row],[T]]))/$A$4*18%*SQRT(SQRT(Table13345678[[#This Row],[T]])))</f>
        <v>#DIV/0!</v>
      </c>
      <c r="AJ1552" t="e">
        <f ca="1">(EXP(-(AH1552^2)/2)/SQRT(2*PI())*EXP(0*SQRT(Table13345678[[#This Row],[T]]))/$A$4*18%*SQRT(SQRT(Table13345678[[#This Row],[T]])))</f>
        <v>#DIV/0!</v>
      </c>
      <c r="AK1552" t="e">
        <f ca="1">Table13345678[[#This Row],[Call D1]]-Table13345678[[#This Row],[IV Calc C]]*SQRT(Table13345678[[#This Row],[T]])</f>
        <v>#DIV/0!</v>
      </c>
      <c r="AL1552" t="e">
        <f ca="1">Table13345678[[#This Row],[Put D1]]-Table13345678[[#This Row],[IV Calc P]]*SQRT(Table13345678[[#This Row],[T]])</f>
        <v>#DIV/0!</v>
      </c>
      <c r="AM1552" t="e">
        <f ca="1">EXP(-0.5*Table13345678[[#This Row],[Call D1]]^2)/SQRT(2*PI())</f>
        <v>#DIV/0!</v>
      </c>
      <c r="AN1552" t="e">
        <f ca="1">EXP(-0.5*Table13345678[[#This Row],[Put D1]]^2)/SQRT(2*PI())</f>
        <v>#DIV/0!</v>
      </c>
      <c r="AO155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2">
        <f ca="1">((Table13345678[[#This Row],[call vanna]]+Table13345678[[#This Row],[put vanna]])*$A$4)</f>
        <v>0</v>
      </c>
      <c r="AR155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2" s="9" t="str" cm="1">
        <f t="array" ref="AT1552">_xlfn.IFS(     $M$1="SPX","SPXW",     $M$1="RUT","RUTW",  $M$1="NDX","NDXP",   TRUE,$M$1 )</f>
        <v>SPXW</v>
      </c>
      <c r="AU1552" s="2">
        <f t="shared" si="152"/>
        <v>6915</v>
      </c>
      <c r="AV1552" t="str">
        <f t="shared" si="153"/>
        <v>000100</v>
      </c>
      <c r="AY155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2">
        <f>((Table13345678[[#This Row],[High C]]+Table13345678[[#This Row],[Low C]])/2)*Table13345678[[#This Row],[gammac]]*Table13345678[[#This Row],[Volume]]</f>
        <v>0</v>
      </c>
      <c r="BD1552">
        <f>((Table13345678[[#This Row],[High P]]+Table13345678[[#This Row],[Low P]])/2)*Table13345678[[#This Row],[gammap]]*Table13345678[[#This Row],[Volume9]]*-1</f>
        <v>0</v>
      </c>
      <c r="BE1552">
        <f>(Table13345678[[#This Row],[SgammaC]]+Table13345678[[#This Row],[SgammaP]])*$A$4*-100</f>
        <v>0</v>
      </c>
      <c r="BF1552">
        <f>Table13345678[[#This Row],[DEXc]]+Table13345678[[#This Row],[DEXp]]</f>
        <v>0</v>
      </c>
      <c r="BG1552" s="78">
        <f>IFERROR(Table13345678[[#This Row],[DeltaC]]*Table13345678[[#This Row],[Open.Int]]*$A$4,0)</f>
        <v>0</v>
      </c>
      <c r="BH1552">
        <f>IFERROR(Table13345678[[#This Row],[DeltaP]]*Table13345678[[#This Row],[Open.Int8]]*$A$4,0)</f>
        <v>0</v>
      </c>
      <c r="BI155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2">
        <f ca="1">Table13345678[[#This Row],[charmc]]+Table13345678[[#This Row],[charmp]]</f>
        <v>0</v>
      </c>
      <c r="BL155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2" s="78">
        <f ca="1">Table13345678[[#This Row],[call helper]]+Table13345678[[#This Row],[put helper]]</f>
        <v>0</v>
      </c>
      <c r="BP155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3" spans="1:68" x14ac:dyDescent="0.25">
      <c r="A1553" s="14">
        <f t="shared" ca="1" si="149"/>
        <v>-126.14810350076104</v>
      </c>
      <c r="C1553" s="17"/>
      <c r="D1553" t="str">
        <f>RTD("tos.rtd", , "OPEN_INT", "."&amp;Table13345678[[#This Row],[Ticker]]&amp;Table13345678[[#This Row],[Expiry]]&amp;""&amp;"C"&amp;Table13345678[[#This Row],[Spot]]+Table13345678[[#This Row],[step]])</f>
        <v>N/A</v>
      </c>
      <c r="E155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3" s="17" cm="1">
        <f t="array" aca="1" ref="H1553" ca="1">IndividualLegIVCore($A$4, Table13345678[[#This Row],[Strike]], 0.0411, Table13345678[[#This Row],[T]], ((Table13345678[[#This Row],[BIDC]]+Table13345678[[#This Row],[ASKC]])/2), TRUE)</f>
        <v>0.01</v>
      </c>
      <c r="I155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3" s="17"/>
      <c r="M1553" s="1">
        <f t="shared" si="150"/>
        <v>0</v>
      </c>
      <c r="N1553" t="b">
        <f t="shared" si="151"/>
        <v>0</v>
      </c>
      <c r="P1553" s="17" cm="1">
        <f t="array" aca="1" ref="P1553" ca="1">IndividualLegIVCore($A$4, Table13345678[[#This Row],[Strike]], 0.0411, Table13345678[[#This Row],[T]], ((Table13345678[[#This Row],[BIDP]]+Table13345678[[#This Row],[ASKP]])/2), FALSE)</f>
        <v>0.01</v>
      </c>
      <c r="Q155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3" s="17"/>
      <c r="T155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3" s="19">
        <f>11* IF($M$1="NDX", 10, IF(OR($M$1="SPX", $M$1="RUT"), 2, 1))</f>
        <v>22</v>
      </c>
      <c r="Z1553">
        <f ca="1">IFERROR(Table13345678[[#This Row],[call gamma]]*(Table13345678[[#This Row],[Open.Int]])*$A$4^2,0)</f>
        <v>0</v>
      </c>
      <c r="AA1553">
        <f ca="1">IFERROR(((Table13345678[[#This Row],[Open.Int8]])*Table13345678[[#This Row],[Put gamma]])*-1*$A$4^2,0)</f>
        <v>0</v>
      </c>
      <c r="AB1553">
        <f ca="1">(Table13345678[[#This Row],[Call Gex]]+Table13345678[[#This Row],[Put Gex]])</f>
        <v>0</v>
      </c>
      <c r="AC1553">
        <f ca="1">Table13345678[[#This Row],[put delta adj]]+Table13345678[[#This Row],[call delta adj]]</f>
        <v>0</v>
      </c>
      <c r="AD1553">
        <f ca="1">Table13345678[[#This Row],[Put Gex]]*Table13345678[[#This Row],[DeltaP]]*-1</f>
        <v>0</v>
      </c>
      <c r="AE1553">
        <f ca="1">Table13345678[[#This Row],[Call Gex]]*Table13345678[[#This Row],[DeltaC]]</f>
        <v>0</v>
      </c>
      <c r="AF1553">
        <f>IF(Table13345678[[#This Row],[DeltaC]]-ABS(Table13345678[[#This Row],[DeltaP]])="0","0.01",Table13345678[[#This Row],[DeltaC]]-ABS(Table13345678[[#This Row],[DeltaP]]))</f>
        <v>0</v>
      </c>
      <c r="AG155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3" t="e">
        <f ca="1">(EXP(-(AG1553^2)/2)/SQRT(2*PI())*EXP(0*SQRT(Table13345678[[#This Row],[T]]))/$A$4*18%*SQRT(SQRT(Table13345678[[#This Row],[T]])))</f>
        <v>#DIV/0!</v>
      </c>
      <c r="AJ1553" t="e">
        <f ca="1">(EXP(-(AH1553^2)/2)/SQRT(2*PI())*EXP(0*SQRT(Table13345678[[#This Row],[T]]))/$A$4*18%*SQRT(SQRT(Table13345678[[#This Row],[T]])))</f>
        <v>#DIV/0!</v>
      </c>
      <c r="AK1553" t="e">
        <f ca="1">Table13345678[[#This Row],[Call D1]]-Table13345678[[#This Row],[IV Calc C]]*SQRT(Table13345678[[#This Row],[T]])</f>
        <v>#DIV/0!</v>
      </c>
      <c r="AL1553" t="e">
        <f ca="1">Table13345678[[#This Row],[Put D1]]-Table13345678[[#This Row],[IV Calc P]]*SQRT(Table13345678[[#This Row],[T]])</f>
        <v>#DIV/0!</v>
      </c>
      <c r="AM1553" t="e">
        <f ca="1">EXP(-0.5*Table13345678[[#This Row],[Call D1]]^2)/SQRT(2*PI())</f>
        <v>#DIV/0!</v>
      </c>
      <c r="AN1553" t="e">
        <f ca="1">EXP(-0.5*Table13345678[[#This Row],[Put D1]]^2)/SQRT(2*PI())</f>
        <v>#DIV/0!</v>
      </c>
      <c r="AO155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3">
        <f ca="1">((Table13345678[[#This Row],[call vanna]]+Table13345678[[#This Row],[put vanna]])*$A$4)</f>
        <v>0</v>
      </c>
      <c r="AR155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3" s="9" t="str" cm="1">
        <f t="array" ref="AT1553">_xlfn.IFS(     $M$1="SPX","SPXW",     $M$1="RUT","RUTW",  $M$1="NDX","NDXP",   TRUE,$M$1 )</f>
        <v>SPXW</v>
      </c>
      <c r="AU1553" s="2">
        <f t="shared" si="152"/>
        <v>6915</v>
      </c>
      <c r="AV1553" t="str">
        <f t="shared" si="153"/>
        <v>000100</v>
      </c>
      <c r="AY155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3">
        <f>((Table13345678[[#This Row],[High C]]+Table13345678[[#This Row],[Low C]])/2)*Table13345678[[#This Row],[gammac]]*Table13345678[[#This Row],[Volume]]</f>
        <v>0</v>
      </c>
      <c r="BD1553">
        <f>((Table13345678[[#This Row],[High P]]+Table13345678[[#This Row],[Low P]])/2)*Table13345678[[#This Row],[gammap]]*Table13345678[[#This Row],[Volume9]]*-1</f>
        <v>0</v>
      </c>
      <c r="BE1553">
        <f>(Table13345678[[#This Row],[SgammaC]]+Table13345678[[#This Row],[SgammaP]])*$A$4*-100</f>
        <v>0</v>
      </c>
      <c r="BF1553">
        <f>Table13345678[[#This Row],[DEXc]]+Table13345678[[#This Row],[DEXp]]</f>
        <v>0</v>
      </c>
      <c r="BG1553" s="78">
        <f>IFERROR(Table13345678[[#This Row],[DeltaC]]*Table13345678[[#This Row],[Open.Int]]*$A$4,0)</f>
        <v>0</v>
      </c>
      <c r="BH1553">
        <f>IFERROR(Table13345678[[#This Row],[DeltaP]]*Table13345678[[#This Row],[Open.Int8]]*$A$4,0)</f>
        <v>0</v>
      </c>
      <c r="BI155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3">
        <f ca="1">Table13345678[[#This Row],[charmc]]+Table13345678[[#This Row],[charmp]]</f>
        <v>0</v>
      </c>
      <c r="BL155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3" s="78">
        <f ca="1">Table13345678[[#This Row],[call helper]]+Table13345678[[#This Row],[put helper]]</f>
        <v>0</v>
      </c>
      <c r="BP155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4" spans="1:68" x14ac:dyDescent="0.25">
      <c r="A1554" s="14">
        <f t="shared" ca="1" si="149"/>
        <v>-126.14810350076104</v>
      </c>
      <c r="C1554" s="17"/>
      <c r="D1554" t="str">
        <f>RTD("tos.rtd", , "OPEN_INT", "."&amp;Table13345678[[#This Row],[Ticker]]&amp;Table13345678[[#This Row],[Expiry]]&amp;""&amp;"C"&amp;Table13345678[[#This Row],[Spot]]+Table13345678[[#This Row],[step]])</f>
        <v>N/A</v>
      </c>
      <c r="E155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4" s="17" cm="1">
        <f t="array" aca="1" ref="H1554" ca="1">IndividualLegIVCore($A$4, Table13345678[[#This Row],[Strike]], 0.0411, Table13345678[[#This Row],[T]], ((Table13345678[[#This Row],[BIDC]]+Table13345678[[#This Row],[ASKC]])/2), TRUE)</f>
        <v>0.01</v>
      </c>
      <c r="I155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4" s="17"/>
      <c r="M1554" s="1">
        <f t="shared" si="150"/>
        <v>0</v>
      </c>
      <c r="N1554" t="b">
        <f t="shared" si="151"/>
        <v>0</v>
      </c>
      <c r="P1554" s="17" cm="1">
        <f t="array" aca="1" ref="P1554" ca="1">IndividualLegIVCore($A$4, Table13345678[[#This Row],[Strike]], 0.0411, Table13345678[[#This Row],[T]], ((Table13345678[[#This Row],[BIDP]]+Table13345678[[#This Row],[ASKP]])/2), FALSE)</f>
        <v>0.01</v>
      </c>
      <c r="Q155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4" s="17"/>
      <c r="T155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4" s="19">
        <f>11.5* IF($M$1="NDX", 10, IF(OR($M$1="SPX", $M$1="RUT"), 2, 1))</f>
        <v>23</v>
      </c>
      <c r="Z1554">
        <f ca="1">IFERROR(Table13345678[[#This Row],[call gamma]]*(Table13345678[[#This Row],[Open.Int]])*$A$4^2,0)</f>
        <v>0</v>
      </c>
      <c r="AA1554">
        <f ca="1">IFERROR(((Table13345678[[#This Row],[Open.Int8]])*Table13345678[[#This Row],[Put gamma]])*-1*$A$4^2,0)</f>
        <v>0</v>
      </c>
      <c r="AB1554">
        <f ca="1">(Table13345678[[#This Row],[Call Gex]]+Table13345678[[#This Row],[Put Gex]])</f>
        <v>0</v>
      </c>
      <c r="AC1554">
        <f ca="1">Table13345678[[#This Row],[put delta adj]]+Table13345678[[#This Row],[call delta adj]]</f>
        <v>0</v>
      </c>
      <c r="AD1554">
        <f ca="1">Table13345678[[#This Row],[Put Gex]]*Table13345678[[#This Row],[DeltaP]]*-1</f>
        <v>0</v>
      </c>
      <c r="AE1554">
        <f ca="1">Table13345678[[#This Row],[Call Gex]]*Table13345678[[#This Row],[DeltaC]]</f>
        <v>0</v>
      </c>
      <c r="AF1554">
        <f>IF(Table13345678[[#This Row],[DeltaC]]-ABS(Table13345678[[#This Row],[DeltaP]])="0","0.01",Table13345678[[#This Row],[DeltaC]]-ABS(Table13345678[[#This Row],[DeltaP]]))</f>
        <v>0</v>
      </c>
      <c r="AG155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4" t="e">
        <f ca="1">(EXP(-(AG1554^2)/2)/SQRT(2*PI())*EXP(0*SQRT(Table13345678[[#This Row],[T]]))/$A$4*18%*SQRT(SQRT(Table13345678[[#This Row],[T]])))</f>
        <v>#DIV/0!</v>
      </c>
      <c r="AJ1554" t="e">
        <f ca="1">(EXP(-(AH1554^2)/2)/SQRT(2*PI())*EXP(0*SQRT(Table13345678[[#This Row],[T]]))/$A$4*18%*SQRT(SQRT(Table13345678[[#This Row],[T]])))</f>
        <v>#DIV/0!</v>
      </c>
      <c r="AK1554" t="e">
        <f ca="1">Table13345678[[#This Row],[Call D1]]-Table13345678[[#This Row],[IV Calc C]]*SQRT(Table13345678[[#This Row],[T]])</f>
        <v>#DIV/0!</v>
      </c>
      <c r="AL1554" t="e">
        <f ca="1">Table13345678[[#This Row],[Put D1]]-Table13345678[[#This Row],[IV Calc P]]*SQRT(Table13345678[[#This Row],[T]])</f>
        <v>#DIV/0!</v>
      </c>
      <c r="AM1554" t="e">
        <f ca="1">EXP(-0.5*Table13345678[[#This Row],[Call D1]]^2)/SQRT(2*PI())</f>
        <v>#DIV/0!</v>
      </c>
      <c r="AN1554" t="e">
        <f ca="1">EXP(-0.5*Table13345678[[#This Row],[Put D1]]^2)/SQRT(2*PI())</f>
        <v>#DIV/0!</v>
      </c>
      <c r="AO155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4">
        <f ca="1">((Table13345678[[#This Row],[call vanna]]+Table13345678[[#This Row],[put vanna]])*$A$4)</f>
        <v>0</v>
      </c>
      <c r="AR155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4" s="9" t="str" cm="1">
        <f t="array" ref="AT1554">_xlfn.IFS(     $M$1="SPX","SPXW",     $M$1="RUT","RUTW",  $M$1="NDX","NDXP",   TRUE,$M$1 )</f>
        <v>SPXW</v>
      </c>
      <c r="AU1554" s="2">
        <f t="shared" si="152"/>
        <v>6915</v>
      </c>
      <c r="AV1554" t="str">
        <f t="shared" si="153"/>
        <v>000100</v>
      </c>
      <c r="AY155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4">
        <f>((Table13345678[[#This Row],[High C]]+Table13345678[[#This Row],[Low C]])/2)*Table13345678[[#This Row],[gammac]]*Table13345678[[#This Row],[Volume]]</f>
        <v>0</v>
      </c>
      <c r="BD1554">
        <f>((Table13345678[[#This Row],[High P]]+Table13345678[[#This Row],[Low P]])/2)*Table13345678[[#This Row],[gammap]]*Table13345678[[#This Row],[Volume9]]*-1</f>
        <v>0</v>
      </c>
      <c r="BE1554">
        <f>(Table13345678[[#This Row],[SgammaC]]+Table13345678[[#This Row],[SgammaP]])*$A$4*-100</f>
        <v>0</v>
      </c>
      <c r="BF1554">
        <f>Table13345678[[#This Row],[DEXc]]+Table13345678[[#This Row],[DEXp]]</f>
        <v>0</v>
      </c>
      <c r="BG1554" s="78">
        <f>IFERROR(Table13345678[[#This Row],[DeltaC]]*Table13345678[[#This Row],[Open.Int]]*$A$4,0)</f>
        <v>0</v>
      </c>
      <c r="BH1554">
        <f>IFERROR(Table13345678[[#This Row],[DeltaP]]*Table13345678[[#This Row],[Open.Int8]]*$A$4,0)</f>
        <v>0</v>
      </c>
      <c r="BI155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4">
        <f ca="1">Table13345678[[#This Row],[charmc]]+Table13345678[[#This Row],[charmp]]</f>
        <v>0</v>
      </c>
      <c r="BL155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4" s="78">
        <f ca="1">Table13345678[[#This Row],[call helper]]+Table13345678[[#This Row],[put helper]]</f>
        <v>0</v>
      </c>
      <c r="BP155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5" spans="1:68" x14ac:dyDescent="0.25">
      <c r="A1555" s="14">
        <f t="shared" ca="1" si="149"/>
        <v>-126.14810350076104</v>
      </c>
      <c r="C1555" s="17"/>
      <c r="D1555" t="str">
        <f>RTD("tos.rtd", , "OPEN_INT", "."&amp;Table13345678[[#This Row],[Ticker]]&amp;Table13345678[[#This Row],[Expiry]]&amp;""&amp;"C"&amp;Table13345678[[#This Row],[Spot]]+Table13345678[[#This Row],[step]])</f>
        <v>N/A</v>
      </c>
      <c r="E155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5" s="17" cm="1">
        <f t="array" aca="1" ref="H1555" ca="1">IndividualLegIVCore($A$4, Table13345678[[#This Row],[Strike]], 0.0411, Table13345678[[#This Row],[T]], ((Table13345678[[#This Row],[BIDC]]+Table13345678[[#This Row],[ASKC]])/2), TRUE)</f>
        <v>0.01</v>
      </c>
      <c r="I155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5" s="17"/>
      <c r="M1555" s="1">
        <f t="shared" si="150"/>
        <v>0</v>
      </c>
      <c r="N1555" t="b">
        <f t="shared" si="151"/>
        <v>0</v>
      </c>
      <c r="P1555" s="17" cm="1">
        <f t="array" aca="1" ref="P1555" ca="1">IndividualLegIVCore($A$4, Table13345678[[#This Row],[Strike]], 0.0411, Table13345678[[#This Row],[T]], ((Table13345678[[#This Row],[BIDP]]+Table13345678[[#This Row],[ASKP]])/2), FALSE)</f>
        <v>0.01</v>
      </c>
      <c r="Q155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5" s="17"/>
      <c r="T155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5" s="19">
        <f>12* IF($M$1="NDX", 10, IF(OR($M$1="SPX", $M$1="RUT"), 2, 1))</f>
        <v>24</v>
      </c>
      <c r="Z1555">
        <f ca="1">IFERROR(Table13345678[[#This Row],[call gamma]]*(Table13345678[[#This Row],[Open.Int]])*$A$4^2,0)</f>
        <v>0</v>
      </c>
      <c r="AA1555">
        <f ca="1">IFERROR(((Table13345678[[#This Row],[Open.Int8]])*Table13345678[[#This Row],[Put gamma]])*-1*$A$4^2,0)</f>
        <v>0</v>
      </c>
      <c r="AB1555">
        <f ca="1">(Table13345678[[#This Row],[Call Gex]]+Table13345678[[#This Row],[Put Gex]])</f>
        <v>0</v>
      </c>
      <c r="AC1555">
        <f ca="1">Table13345678[[#This Row],[put delta adj]]+Table13345678[[#This Row],[call delta adj]]</f>
        <v>0</v>
      </c>
      <c r="AD1555">
        <f ca="1">Table13345678[[#This Row],[Put Gex]]*Table13345678[[#This Row],[DeltaP]]*-1</f>
        <v>0</v>
      </c>
      <c r="AE1555">
        <f ca="1">Table13345678[[#This Row],[Call Gex]]*Table13345678[[#This Row],[DeltaC]]</f>
        <v>0</v>
      </c>
      <c r="AF1555">
        <f>IF(Table13345678[[#This Row],[DeltaC]]-ABS(Table13345678[[#This Row],[DeltaP]])="0","0.01",Table13345678[[#This Row],[DeltaC]]-ABS(Table13345678[[#This Row],[DeltaP]]))</f>
        <v>0</v>
      </c>
      <c r="AG155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5" t="e">
        <f ca="1">(EXP(-(AG1555^2)/2)/SQRT(2*PI())*EXP(0*SQRT(Table13345678[[#This Row],[T]]))/$A$4*18%*SQRT(SQRT(Table13345678[[#This Row],[T]])))</f>
        <v>#DIV/0!</v>
      </c>
      <c r="AJ1555" t="e">
        <f ca="1">(EXP(-(AH1555^2)/2)/SQRT(2*PI())*EXP(0*SQRT(Table13345678[[#This Row],[T]]))/$A$4*18%*SQRT(SQRT(Table13345678[[#This Row],[T]])))</f>
        <v>#DIV/0!</v>
      </c>
      <c r="AK1555" t="e">
        <f ca="1">Table13345678[[#This Row],[Call D1]]-Table13345678[[#This Row],[IV Calc C]]*SQRT(Table13345678[[#This Row],[T]])</f>
        <v>#DIV/0!</v>
      </c>
      <c r="AL1555" t="e">
        <f ca="1">Table13345678[[#This Row],[Put D1]]-Table13345678[[#This Row],[IV Calc P]]*SQRT(Table13345678[[#This Row],[T]])</f>
        <v>#DIV/0!</v>
      </c>
      <c r="AM1555" t="e">
        <f ca="1">EXP(-0.5*Table13345678[[#This Row],[Call D1]]^2)/SQRT(2*PI())</f>
        <v>#DIV/0!</v>
      </c>
      <c r="AN1555" t="e">
        <f ca="1">EXP(-0.5*Table13345678[[#This Row],[Put D1]]^2)/SQRT(2*PI())</f>
        <v>#DIV/0!</v>
      </c>
      <c r="AO155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5">
        <f ca="1">((Table13345678[[#This Row],[call vanna]]+Table13345678[[#This Row],[put vanna]])*$A$4)</f>
        <v>0</v>
      </c>
      <c r="AR155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5" s="9" t="str" cm="1">
        <f t="array" ref="AT1555">_xlfn.IFS(     $M$1="SPX","SPXW",     $M$1="RUT","RUTW",  $M$1="NDX","NDXP",   TRUE,$M$1 )</f>
        <v>SPXW</v>
      </c>
      <c r="AU1555" s="2">
        <f t="shared" si="152"/>
        <v>6915</v>
      </c>
      <c r="AV1555" t="str">
        <f t="shared" si="153"/>
        <v>000100</v>
      </c>
      <c r="AY155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5">
        <f>((Table13345678[[#This Row],[High C]]+Table13345678[[#This Row],[Low C]])/2)*Table13345678[[#This Row],[gammac]]*Table13345678[[#This Row],[Volume]]</f>
        <v>0</v>
      </c>
      <c r="BD1555">
        <f>((Table13345678[[#This Row],[High P]]+Table13345678[[#This Row],[Low P]])/2)*Table13345678[[#This Row],[gammap]]*Table13345678[[#This Row],[Volume9]]*-1</f>
        <v>0</v>
      </c>
      <c r="BE1555">
        <f>(Table13345678[[#This Row],[SgammaC]]+Table13345678[[#This Row],[SgammaP]])*$A$4*-100</f>
        <v>0</v>
      </c>
      <c r="BF1555">
        <f>Table13345678[[#This Row],[DEXc]]+Table13345678[[#This Row],[DEXp]]</f>
        <v>0</v>
      </c>
      <c r="BG1555" s="78">
        <f>IFERROR(Table13345678[[#This Row],[DeltaC]]*Table13345678[[#This Row],[Open.Int]]*$A$4,0)</f>
        <v>0</v>
      </c>
      <c r="BH1555">
        <f>IFERROR(Table13345678[[#This Row],[DeltaP]]*Table13345678[[#This Row],[Open.Int8]]*$A$4,0)</f>
        <v>0</v>
      </c>
      <c r="BI155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5">
        <f ca="1">Table13345678[[#This Row],[charmc]]+Table13345678[[#This Row],[charmp]]</f>
        <v>0</v>
      </c>
      <c r="BL155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5" s="78">
        <f ca="1">Table13345678[[#This Row],[call helper]]+Table13345678[[#This Row],[put helper]]</f>
        <v>0</v>
      </c>
      <c r="BP155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6" spans="1:68" x14ac:dyDescent="0.25">
      <c r="A1556" s="14">
        <f t="shared" ca="1" si="149"/>
        <v>-126.14810350076104</v>
      </c>
      <c r="C1556" s="17"/>
      <c r="D1556" t="str">
        <f>RTD("tos.rtd", , "OPEN_INT", "."&amp;Table13345678[[#This Row],[Ticker]]&amp;Table13345678[[#This Row],[Expiry]]&amp;""&amp;"C"&amp;Table13345678[[#This Row],[Spot]]+Table13345678[[#This Row],[step]])</f>
        <v>N/A</v>
      </c>
      <c r="E155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6" s="17" cm="1">
        <f t="array" aca="1" ref="H1556" ca="1">IndividualLegIVCore($A$4, Table13345678[[#This Row],[Strike]], 0.0411, Table13345678[[#This Row],[T]], ((Table13345678[[#This Row],[BIDC]]+Table13345678[[#This Row],[ASKC]])/2), TRUE)</f>
        <v>0.01</v>
      </c>
      <c r="I155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6" s="17"/>
      <c r="M1556" s="1">
        <f t="shared" si="150"/>
        <v>0</v>
      </c>
      <c r="N1556" t="b">
        <f t="shared" si="151"/>
        <v>0</v>
      </c>
      <c r="P1556" s="17" cm="1">
        <f t="array" aca="1" ref="P1556" ca="1">IndividualLegIVCore($A$4, Table13345678[[#This Row],[Strike]], 0.0411, Table13345678[[#This Row],[T]], ((Table13345678[[#This Row],[BIDP]]+Table13345678[[#This Row],[ASKP]])/2), FALSE)</f>
        <v>0.01</v>
      </c>
      <c r="Q155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6" s="17"/>
      <c r="T155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6" s="19">
        <f>12.5* IF($M$1="NDX", 10, IF(OR($M$1="SPX", $M$1="RUT"), 2, 1))</f>
        <v>25</v>
      </c>
      <c r="Z1556">
        <f ca="1">IFERROR(Table13345678[[#This Row],[call gamma]]*(Table13345678[[#This Row],[Open.Int]])*$A$4^2,0)</f>
        <v>0</v>
      </c>
      <c r="AA1556">
        <f ca="1">IFERROR(((Table13345678[[#This Row],[Open.Int8]])*Table13345678[[#This Row],[Put gamma]])*-1*$A$4^2,0)</f>
        <v>0</v>
      </c>
      <c r="AB1556">
        <f ca="1">(Table13345678[[#This Row],[Call Gex]]+Table13345678[[#This Row],[Put Gex]])</f>
        <v>0</v>
      </c>
      <c r="AC1556">
        <f ca="1">Table13345678[[#This Row],[put delta adj]]+Table13345678[[#This Row],[call delta adj]]</f>
        <v>0</v>
      </c>
      <c r="AD1556">
        <f ca="1">Table13345678[[#This Row],[Put Gex]]*Table13345678[[#This Row],[DeltaP]]*-1</f>
        <v>0</v>
      </c>
      <c r="AE1556">
        <f ca="1">Table13345678[[#This Row],[Call Gex]]*Table13345678[[#This Row],[DeltaC]]</f>
        <v>0</v>
      </c>
      <c r="AF1556">
        <f>IF(Table13345678[[#This Row],[DeltaC]]-ABS(Table13345678[[#This Row],[DeltaP]])="0","0.01",Table13345678[[#This Row],[DeltaC]]-ABS(Table13345678[[#This Row],[DeltaP]]))</f>
        <v>0</v>
      </c>
      <c r="AG155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6" t="e">
        <f ca="1">(EXP(-(AG1556^2)/2)/SQRT(2*PI())*EXP(0*SQRT(Table13345678[[#This Row],[T]]))/$A$4*18%*SQRT(SQRT(Table13345678[[#This Row],[T]])))</f>
        <v>#DIV/0!</v>
      </c>
      <c r="AJ1556" t="e">
        <f ca="1">(EXP(-(AH1556^2)/2)/SQRT(2*PI())*EXP(0*SQRT(Table13345678[[#This Row],[T]]))/$A$4*18%*SQRT(SQRT(Table13345678[[#This Row],[T]])))</f>
        <v>#DIV/0!</v>
      </c>
      <c r="AK1556" t="e">
        <f ca="1">Table13345678[[#This Row],[Call D1]]-Table13345678[[#This Row],[IV Calc C]]*SQRT(Table13345678[[#This Row],[T]])</f>
        <v>#DIV/0!</v>
      </c>
      <c r="AL1556" t="e">
        <f ca="1">Table13345678[[#This Row],[Put D1]]-Table13345678[[#This Row],[IV Calc P]]*SQRT(Table13345678[[#This Row],[T]])</f>
        <v>#DIV/0!</v>
      </c>
      <c r="AM1556" t="e">
        <f ca="1">EXP(-0.5*Table13345678[[#This Row],[Call D1]]^2)/SQRT(2*PI())</f>
        <v>#DIV/0!</v>
      </c>
      <c r="AN1556" t="e">
        <f ca="1">EXP(-0.5*Table13345678[[#This Row],[Put D1]]^2)/SQRT(2*PI())</f>
        <v>#DIV/0!</v>
      </c>
      <c r="AO155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6">
        <f ca="1">((Table13345678[[#This Row],[call vanna]]+Table13345678[[#This Row],[put vanna]])*$A$4)</f>
        <v>0</v>
      </c>
      <c r="AR155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6" s="9" t="str" cm="1">
        <f t="array" ref="AT1556">_xlfn.IFS(     $M$1="SPX","SPXW",     $M$1="RUT","RUTW",  $M$1="NDX","NDXP",   TRUE,$M$1 )</f>
        <v>SPXW</v>
      </c>
      <c r="AU1556" s="2">
        <f t="shared" si="152"/>
        <v>6915</v>
      </c>
      <c r="AV1556" t="str">
        <f t="shared" si="153"/>
        <v>000100</v>
      </c>
      <c r="AY155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6">
        <f>((Table13345678[[#This Row],[High C]]+Table13345678[[#This Row],[Low C]])/2)*Table13345678[[#This Row],[gammac]]*Table13345678[[#This Row],[Volume]]</f>
        <v>0</v>
      </c>
      <c r="BD1556">
        <f>((Table13345678[[#This Row],[High P]]+Table13345678[[#This Row],[Low P]])/2)*Table13345678[[#This Row],[gammap]]*Table13345678[[#This Row],[Volume9]]*-1</f>
        <v>0</v>
      </c>
      <c r="BE1556">
        <f>(Table13345678[[#This Row],[SgammaC]]+Table13345678[[#This Row],[SgammaP]])*$A$4*-100</f>
        <v>0</v>
      </c>
      <c r="BF1556">
        <f>Table13345678[[#This Row],[DEXc]]+Table13345678[[#This Row],[DEXp]]</f>
        <v>0</v>
      </c>
      <c r="BG1556" s="78">
        <f>IFERROR(Table13345678[[#This Row],[DeltaC]]*Table13345678[[#This Row],[Open.Int]]*$A$4,0)</f>
        <v>0</v>
      </c>
      <c r="BH1556">
        <f>IFERROR(Table13345678[[#This Row],[DeltaP]]*Table13345678[[#This Row],[Open.Int8]]*$A$4,0)</f>
        <v>0</v>
      </c>
      <c r="BI155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6">
        <f ca="1">Table13345678[[#This Row],[charmc]]+Table13345678[[#This Row],[charmp]]</f>
        <v>0</v>
      </c>
      <c r="BL155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6" s="78">
        <f ca="1">Table13345678[[#This Row],[call helper]]+Table13345678[[#This Row],[put helper]]</f>
        <v>0</v>
      </c>
      <c r="BP155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7" spans="1:68" x14ac:dyDescent="0.25">
      <c r="A1557" s="14">
        <f t="shared" ca="1" si="149"/>
        <v>-126.14810350076104</v>
      </c>
      <c r="C1557" s="17"/>
      <c r="D1557" t="str">
        <f>RTD("tos.rtd", , "OPEN_INT", "."&amp;Table13345678[[#This Row],[Ticker]]&amp;Table13345678[[#This Row],[Expiry]]&amp;""&amp;"C"&amp;Table13345678[[#This Row],[Spot]]+Table13345678[[#This Row],[step]])</f>
        <v>N/A</v>
      </c>
      <c r="E155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7" s="17" cm="1">
        <f t="array" aca="1" ref="H1557" ca="1">IndividualLegIVCore($A$4, Table13345678[[#This Row],[Strike]], 0.0411, Table13345678[[#This Row],[T]], ((Table13345678[[#This Row],[BIDC]]+Table13345678[[#This Row],[ASKC]])/2), TRUE)</f>
        <v>0.01</v>
      </c>
      <c r="I155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7" s="17"/>
      <c r="M1557" s="1">
        <f t="shared" si="150"/>
        <v>0</v>
      </c>
      <c r="N1557" t="b">
        <f t="shared" si="151"/>
        <v>0</v>
      </c>
      <c r="P1557" s="17" cm="1">
        <f t="array" aca="1" ref="P1557" ca="1">IndividualLegIVCore($A$4, Table13345678[[#This Row],[Strike]], 0.0411, Table13345678[[#This Row],[T]], ((Table13345678[[#This Row],[BIDP]]+Table13345678[[#This Row],[ASKP]])/2), FALSE)</f>
        <v>0.01</v>
      </c>
      <c r="Q155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7" s="17"/>
      <c r="T155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7" s="19">
        <f>13* IF($M$1="NDX", 10, IF(OR($M$1="SPX", $M$1="RUT"), 2, 1))</f>
        <v>26</v>
      </c>
      <c r="Z1557">
        <f ca="1">IFERROR(Table13345678[[#This Row],[call gamma]]*(Table13345678[[#This Row],[Open.Int]])*$A$4^2,0)</f>
        <v>0</v>
      </c>
      <c r="AA1557">
        <f ca="1">IFERROR(((Table13345678[[#This Row],[Open.Int8]])*Table13345678[[#This Row],[Put gamma]])*-1*$A$4^2,0)</f>
        <v>0</v>
      </c>
      <c r="AB1557">
        <f ca="1">(Table13345678[[#This Row],[Call Gex]]+Table13345678[[#This Row],[Put Gex]])</f>
        <v>0</v>
      </c>
      <c r="AC1557">
        <f ca="1">Table13345678[[#This Row],[put delta adj]]+Table13345678[[#This Row],[call delta adj]]</f>
        <v>0</v>
      </c>
      <c r="AD1557">
        <f ca="1">Table13345678[[#This Row],[Put Gex]]*Table13345678[[#This Row],[DeltaP]]*-1</f>
        <v>0</v>
      </c>
      <c r="AE1557">
        <f ca="1">Table13345678[[#This Row],[Call Gex]]*Table13345678[[#This Row],[DeltaC]]</f>
        <v>0</v>
      </c>
      <c r="AF1557">
        <f>IF(Table13345678[[#This Row],[DeltaC]]-ABS(Table13345678[[#This Row],[DeltaP]])="0","0.01",Table13345678[[#This Row],[DeltaC]]-ABS(Table13345678[[#This Row],[DeltaP]]))</f>
        <v>0</v>
      </c>
      <c r="AG155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7" t="e">
        <f ca="1">(EXP(-(AG1557^2)/2)/SQRT(2*PI())*EXP(0*SQRT(Table13345678[[#This Row],[T]]))/$A$4*18%*SQRT(SQRT(Table13345678[[#This Row],[T]])))</f>
        <v>#DIV/0!</v>
      </c>
      <c r="AJ1557" t="e">
        <f ca="1">(EXP(-(AH1557^2)/2)/SQRT(2*PI())*EXP(0*SQRT(Table13345678[[#This Row],[T]]))/$A$4*18%*SQRT(SQRT(Table13345678[[#This Row],[T]])))</f>
        <v>#DIV/0!</v>
      </c>
      <c r="AK1557" t="e">
        <f ca="1">Table13345678[[#This Row],[Call D1]]-Table13345678[[#This Row],[IV Calc C]]*SQRT(Table13345678[[#This Row],[T]])</f>
        <v>#DIV/0!</v>
      </c>
      <c r="AL1557" t="e">
        <f ca="1">Table13345678[[#This Row],[Put D1]]-Table13345678[[#This Row],[IV Calc P]]*SQRT(Table13345678[[#This Row],[T]])</f>
        <v>#DIV/0!</v>
      </c>
      <c r="AM1557" t="e">
        <f ca="1">EXP(-0.5*Table13345678[[#This Row],[Call D1]]^2)/SQRT(2*PI())</f>
        <v>#DIV/0!</v>
      </c>
      <c r="AN1557" t="e">
        <f ca="1">EXP(-0.5*Table13345678[[#This Row],[Put D1]]^2)/SQRT(2*PI())</f>
        <v>#DIV/0!</v>
      </c>
      <c r="AO155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7">
        <f ca="1">((Table13345678[[#This Row],[call vanna]]+Table13345678[[#This Row],[put vanna]])*$A$4)</f>
        <v>0</v>
      </c>
      <c r="AR155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7" s="9" t="str" cm="1">
        <f t="array" ref="AT1557">_xlfn.IFS(     $M$1="SPX","SPXW",     $M$1="RUT","RUTW",  $M$1="NDX","NDXP",   TRUE,$M$1 )</f>
        <v>SPXW</v>
      </c>
      <c r="AU1557" s="2">
        <f t="shared" si="152"/>
        <v>6915</v>
      </c>
      <c r="AV1557" t="str">
        <f t="shared" si="153"/>
        <v>000100</v>
      </c>
      <c r="AY155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7">
        <f>((Table13345678[[#This Row],[High C]]+Table13345678[[#This Row],[Low C]])/2)*Table13345678[[#This Row],[gammac]]*Table13345678[[#This Row],[Volume]]</f>
        <v>0</v>
      </c>
      <c r="BD1557">
        <f>((Table13345678[[#This Row],[High P]]+Table13345678[[#This Row],[Low P]])/2)*Table13345678[[#This Row],[gammap]]*Table13345678[[#This Row],[Volume9]]*-1</f>
        <v>0</v>
      </c>
      <c r="BE1557">
        <f>(Table13345678[[#This Row],[SgammaC]]+Table13345678[[#This Row],[SgammaP]])*$A$4*-100</f>
        <v>0</v>
      </c>
      <c r="BF1557">
        <f>Table13345678[[#This Row],[DEXc]]+Table13345678[[#This Row],[DEXp]]</f>
        <v>0</v>
      </c>
      <c r="BG1557" s="78">
        <f>IFERROR(Table13345678[[#This Row],[DeltaC]]*Table13345678[[#This Row],[Open.Int]]*$A$4,0)</f>
        <v>0</v>
      </c>
      <c r="BH1557">
        <f>IFERROR(Table13345678[[#This Row],[DeltaP]]*Table13345678[[#This Row],[Open.Int8]]*$A$4,0)</f>
        <v>0</v>
      </c>
      <c r="BI155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7">
        <f ca="1">Table13345678[[#This Row],[charmc]]+Table13345678[[#This Row],[charmp]]</f>
        <v>0</v>
      </c>
      <c r="BL155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7" s="78">
        <f ca="1">Table13345678[[#This Row],[call helper]]+Table13345678[[#This Row],[put helper]]</f>
        <v>0</v>
      </c>
      <c r="BP155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8" spans="1:68" x14ac:dyDescent="0.25">
      <c r="A1558" s="14">
        <f t="shared" ca="1" si="149"/>
        <v>-126.14810350076104</v>
      </c>
      <c r="C1558" s="17"/>
      <c r="D1558" t="str">
        <f>RTD("tos.rtd", , "OPEN_INT", "."&amp;Table13345678[[#This Row],[Ticker]]&amp;Table13345678[[#This Row],[Expiry]]&amp;""&amp;"C"&amp;Table13345678[[#This Row],[Spot]]+Table13345678[[#This Row],[step]])</f>
        <v>N/A</v>
      </c>
      <c r="E155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8" s="17" cm="1">
        <f t="array" aca="1" ref="H1558" ca="1">IndividualLegIVCore($A$4, Table13345678[[#This Row],[Strike]], 0.0411, Table13345678[[#This Row],[T]], ((Table13345678[[#This Row],[BIDC]]+Table13345678[[#This Row],[ASKC]])/2), TRUE)</f>
        <v>0.01</v>
      </c>
      <c r="I155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8" s="17"/>
      <c r="M1558" s="1">
        <f t="shared" si="150"/>
        <v>0</v>
      </c>
      <c r="N1558" t="b">
        <f t="shared" si="151"/>
        <v>0</v>
      </c>
      <c r="P1558" s="17" cm="1">
        <f t="array" aca="1" ref="P1558" ca="1">IndividualLegIVCore($A$4, Table13345678[[#This Row],[Strike]], 0.0411, Table13345678[[#This Row],[T]], ((Table13345678[[#This Row],[BIDP]]+Table13345678[[#This Row],[ASKP]])/2), FALSE)</f>
        <v>0.01</v>
      </c>
      <c r="Q155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8" s="17"/>
      <c r="T155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8" s="19">
        <f>13.5* IF($M$1="NDX", 10, IF(OR($M$1="SPX", $M$1="RUT"), 2, 1))</f>
        <v>27</v>
      </c>
      <c r="Z1558">
        <f ca="1">IFERROR(Table13345678[[#This Row],[call gamma]]*(Table13345678[[#This Row],[Open.Int]])*$A$4^2,0)</f>
        <v>0</v>
      </c>
      <c r="AA1558">
        <f ca="1">IFERROR(((Table13345678[[#This Row],[Open.Int8]])*Table13345678[[#This Row],[Put gamma]])*-1*$A$4^2,0)</f>
        <v>0</v>
      </c>
      <c r="AB1558">
        <f ca="1">(Table13345678[[#This Row],[Call Gex]]+Table13345678[[#This Row],[Put Gex]])</f>
        <v>0</v>
      </c>
      <c r="AC1558">
        <f ca="1">Table13345678[[#This Row],[put delta adj]]+Table13345678[[#This Row],[call delta adj]]</f>
        <v>0</v>
      </c>
      <c r="AD1558">
        <f ca="1">Table13345678[[#This Row],[Put Gex]]*Table13345678[[#This Row],[DeltaP]]*-1</f>
        <v>0</v>
      </c>
      <c r="AE1558">
        <f ca="1">Table13345678[[#This Row],[Call Gex]]*Table13345678[[#This Row],[DeltaC]]</f>
        <v>0</v>
      </c>
      <c r="AF1558">
        <f>IF(Table13345678[[#This Row],[DeltaC]]-ABS(Table13345678[[#This Row],[DeltaP]])="0","0.01",Table13345678[[#This Row],[DeltaC]]-ABS(Table13345678[[#This Row],[DeltaP]]))</f>
        <v>0</v>
      </c>
      <c r="AG155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8" t="e">
        <f ca="1">(EXP(-(AG1558^2)/2)/SQRT(2*PI())*EXP(0*SQRT(Table13345678[[#This Row],[T]]))/$A$4*18%*SQRT(SQRT(Table13345678[[#This Row],[T]])))</f>
        <v>#DIV/0!</v>
      </c>
      <c r="AJ1558" t="e">
        <f ca="1">(EXP(-(AH1558^2)/2)/SQRT(2*PI())*EXP(0*SQRT(Table13345678[[#This Row],[T]]))/$A$4*18%*SQRT(SQRT(Table13345678[[#This Row],[T]])))</f>
        <v>#DIV/0!</v>
      </c>
      <c r="AK1558" t="e">
        <f ca="1">Table13345678[[#This Row],[Call D1]]-Table13345678[[#This Row],[IV Calc C]]*SQRT(Table13345678[[#This Row],[T]])</f>
        <v>#DIV/0!</v>
      </c>
      <c r="AL1558" t="e">
        <f ca="1">Table13345678[[#This Row],[Put D1]]-Table13345678[[#This Row],[IV Calc P]]*SQRT(Table13345678[[#This Row],[T]])</f>
        <v>#DIV/0!</v>
      </c>
      <c r="AM1558" t="e">
        <f ca="1">EXP(-0.5*Table13345678[[#This Row],[Call D1]]^2)/SQRT(2*PI())</f>
        <v>#DIV/0!</v>
      </c>
      <c r="AN1558" t="e">
        <f ca="1">EXP(-0.5*Table13345678[[#This Row],[Put D1]]^2)/SQRT(2*PI())</f>
        <v>#DIV/0!</v>
      </c>
      <c r="AO155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8">
        <f ca="1">((Table13345678[[#This Row],[call vanna]]+Table13345678[[#This Row],[put vanna]])*$A$4)</f>
        <v>0</v>
      </c>
      <c r="AR155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8" s="9" t="str" cm="1">
        <f t="array" ref="AT1558">_xlfn.IFS(     $M$1="SPX","SPXW",     $M$1="RUT","RUTW",  $M$1="NDX","NDXP",   TRUE,$M$1 )</f>
        <v>SPXW</v>
      </c>
      <c r="AU1558" s="2">
        <f t="shared" si="152"/>
        <v>6915</v>
      </c>
      <c r="AV1558" t="str">
        <f t="shared" si="153"/>
        <v>000100</v>
      </c>
      <c r="AY155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8">
        <f>((Table13345678[[#This Row],[High C]]+Table13345678[[#This Row],[Low C]])/2)*Table13345678[[#This Row],[gammac]]*Table13345678[[#This Row],[Volume]]</f>
        <v>0</v>
      </c>
      <c r="BD1558">
        <f>((Table13345678[[#This Row],[High P]]+Table13345678[[#This Row],[Low P]])/2)*Table13345678[[#This Row],[gammap]]*Table13345678[[#This Row],[Volume9]]*-1</f>
        <v>0</v>
      </c>
      <c r="BE1558">
        <f>(Table13345678[[#This Row],[SgammaC]]+Table13345678[[#This Row],[SgammaP]])*$A$4*-100</f>
        <v>0</v>
      </c>
      <c r="BF1558">
        <f>Table13345678[[#This Row],[DEXc]]+Table13345678[[#This Row],[DEXp]]</f>
        <v>0</v>
      </c>
      <c r="BG1558" s="78">
        <f>IFERROR(Table13345678[[#This Row],[DeltaC]]*Table13345678[[#This Row],[Open.Int]]*$A$4,0)</f>
        <v>0</v>
      </c>
      <c r="BH1558">
        <f>IFERROR(Table13345678[[#This Row],[DeltaP]]*Table13345678[[#This Row],[Open.Int8]]*$A$4,0)</f>
        <v>0</v>
      </c>
      <c r="BI155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8">
        <f ca="1">Table13345678[[#This Row],[charmc]]+Table13345678[[#This Row],[charmp]]</f>
        <v>0</v>
      </c>
      <c r="BL155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8" s="78">
        <f ca="1">Table13345678[[#This Row],[call helper]]+Table13345678[[#This Row],[put helper]]</f>
        <v>0</v>
      </c>
      <c r="BP155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9" spans="1:68" x14ac:dyDescent="0.25">
      <c r="A1559" s="14">
        <f t="shared" ref="A1559:A1622" ca="1" si="154">$V$3</f>
        <v>-126.14810350076104</v>
      </c>
      <c r="C1559" s="17"/>
      <c r="D1559" t="str">
        <f>RTD("tos.rtd", , "OPEN_INT", "."&amp;Table13345678[[#This Row],[Ticker]]&amp;Table13345678[[#This Row],[Expiry]]&amp;""&amp;"C"&amp;Table13345678[[#This Row],[Spot]]+Table13345678[[#This Row],[step]])</f>
        <v>N/A</v>
      </c>
      <c r="E155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9" s="17" cm="1">
        <f t="array" aca="1" ref="H1559" ca="1">IndividualLegIVCore($A$4, Table13345678[[#This Row],[Strike]], 0.0411, Table13345678[[#This Row],[T]], ((Table13345678[[#This Row],[BIDC]]+Table13345678[[#This Row],[ASKC]])/2), TRUE)</f>
        <v>0.01</v>
      </c>
      <c r="I155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9" s="17"/>
      <c r="M1559" s="1">
        <f t="shared" ref="M1559:M1622" si="155">$V$1</f>
        <v>0</v>
      </c>
      <c r="N1559" t="b">
        <f t="shared" ref="N1559:N1622" si="156">IF(ISNUMBER($BP1559), $BP1559, FALSE)</f>
        <v>0</v>
      </c>
      <c r="P1559" s="17" cm="1">
        <f t="array" aca="1" ref="P1559" ca="1">IndividualLegIVCore($A$4, Table13345678[[#This Row],[Strike]], 0.0411, Table13345678[[#This Row],[T]], ((Table13345678[[#This Row],[BIDP]]+Table13345678[[#This Row],[ASKP]])/2), FALSE)</f>
        <v>0.01</v>
      </c>
      <c r="Q155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9" s="17"/>
      <c r="T155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9" s="19">
        <f>14* IF($M$1="NDX", 10, IF(OR($M$1="SPX", $M$1="RUT"), 2, 1))</f>
        <v>28</v>
      </c>
      <c r="Z1559">
        <f ca="1">IFERROR(Table13345678[[#This Row],[call gamma]]*(Table13345678[[#This Row],[Open.Int]])*$A$4^2,0)</f>
        <v>0</v>
      </c>
      <c r="AA1559">
        <f ca="1">IFERROR(((Table13345678[[#This Row],[Open.Int8]])*Table13345678[[#This Row],[Put gamma]])*-1*$A$4^2,0)</f>
        <v>0</v>
      </c>
      <c r="AB1559">
        <f ca="1">(Table13345678[[#This Row],[Call Gex]]+Table13345678[[#This Row],[Put Gex]])</f>
        <v>0</v>
      </c>
      <c r="AC1559">
        <f ca="1">Table13345678[[#This Row],[put delta adj]]+Table13345678[[#This Row],[call delta adj]]</f>
        <v>0</v>
      </c>
      <c r="AD1559">
        <f ca="1">Table13345678[[#This Row],[Put Gex]]*Table13345678[[#This Row],[DeltaP]]*-1</f>
        <v>0</v>
      </c>
      <c r="AE1559">
        <f ca="1">Table13345678[[#This Row],[Call Gex]]*Table13345678[[#This Row],[DeltaC]]</f>
        <v>0</v>
      </c>
      <c r="AF1559">
        <f>IF(Table13345678[[#This Row],[DeltaC]]-ABS(Table13345678[[#This Row],[DeltaP]])="0","0.01",Table13345678[[#This Row],[DeltaC]]-ABS(Table13345678[[#This Row],[DeltaP]]))</f>
        <v>0</v>
      </c>
      <c r="AG155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9" t="e">
        <f ca="1">(EXP(-(AG1559^2)/2)/SQRT(2*PI())*EXP(0*SQRT(Table13345678[[#This Row],[T]]))/$A$4*18%*SQRT(SQRT(Table13345678[[#This Row],[T]])))</f>
        <v>#DIV/0!</v>
      </c>
      <c r="AJ1559" t="e">
        <f ca="1">(EXP(-(AH1559^2)/2)/SQRT(2*PI())*EXP(0*SQRT(Table13345678[[#This Row],[T]]))/$A$4*18%*SQRT(SQRT(Table13345678[[#This Row],[T]])))</f>
        <v>#DIV/0!</v>
      </c>
      <c r="AK1559" t="e">
        <f ca="1">Table13345678[[#This Row],[Call D1]]-Table13345678[[#This Row],[IV Calc C]]*SQRT(Table13345678[[#This Row],[T]])</f>
        <v>#DIV/0!</v>
      </c>
      <c r="AL1559" t="e">
        <f ca="1">Table13345678[[#This Row],[Put D1]]-Table13345678[[#This Row],[IV Calc P]]*SQRT(Table13345678[[#This Row],[T]])</f>
        <v>#DIV/0!</v>
      </c>
      <c r="AM1559" t="e">
        <f ca="1">EXP(-0.5*Table13345678[[#This Row],[Call D1]]^2)/SQRT(2*PI())</f>
        <v>#DIV/0!</v>
      </c>
      <c r="AN1559" t="e">
        <f ca="1">EXP(-0.5*Table13345678[[#This Row],[Put D1]]^2)/SQRT(2*PI())</f>
        <v>#DIV/0!</v>
      </c>
      <c r="AO155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9">
        <f ca="1">((Table13345678[[#This Row],[call vanna]]+Table13345678[[#This Row],[put vanna]])*$A$4)</f>
        <v>0</v>
      </c>
      <c r="AR155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9" s="9" t="str" cm="1">
        <f t="array" ref="AT1559">_xlfn.IFS(     $M$1="SPX","SPXW",     $M$1="RUT","RUTW",  $M$1="NDX","NDXP",   TRUE,$M$1 )</f>
        <v>SPXW</v>
      </c>
      <c r="AU1559" s="2">
        <f t="shared" ref="AU1559:AU1622" si="157">$N$1</f>
        <v>6915</v>
      </c>
      <c r="AV1559" t="str">
        <f t="shared" ref="AV1559:AV1622" si="158">$V$2</f>
        <v>000100</v>
      </c>
      <c r="AY155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9">
        <f>((Table13345678[[#This Row],[High C]]+Table13345678[[#This Row],[Low C]])/2)*Table13345678[[#This Row],[gammac]]*Table13345678[[#This Row],[Volume]]</f>
        <v>0</v>
      </c>
      <c r="BD1559">
        <f>((Table13345678[[#This Row],[High P]]+Table13345678[[#This Row],[Low P]])/2)*Table13345678[[#This Row],[gammap]]*Table13345678[[#This Row],[Volume9]]*-1</f>
        <v>0</v>
      </c>
      <c r="BE1559">
        <f>(Table13345678[[#This Row],[SgammaC]]+Table13345678[[#This Row],[SgammaP]])*$A$4*-100</f>
        <v>0</v>
      </c>
      <c r="BF1559">
        <f>Table13345678[[#This Row],[DEXc]]+Table13345678[[#This Row],[DEXp]]</f>
        <v>0</v>
      </c>
      <c r="BG1559" s="78">
        <f>IFERROR(Table13345678[[#This Row],[DeltaC]]*Table13345678[[#This Row],[Open.Int]]*$A$4,0)</f>
        <v>0</v>
      </c>
      <c r="BH1559">
        <f>IFERROR(Table13345678[[#This Row],[DeltaP]]*Table13345678[[#This Row],[Open.Int8]]*$A$4,0)</f>
        <v>0</v>
      </c>
      <c r="BI155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9">
        <f ca="1">Table13345678[[#This Row],[charmc]]+Table13345678[[#This Row],[charmp]]</f>
        <v>0</v>
      </c>
      <c r="BL155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9" s="78">
        <f ca="1">Table13345678[[#This Row],[call helper]]+Table13345678[[#This Row],[put helper]]</f>
        <v>0</v>
      </c>
      <c r="BP155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0" spans="1:68" x14ac:dyDescent="0.25">
      <c r="A1560" s="14">
        <f t="shared" ca="1" si="154"/>
        <v>-126.14810350076104</v>
      </c>
      <c r="C1560" s="17"/>
      <c r="D1560" t="str">
        <f>RTD("tos.rtd", , "OPEN_INT", "."&amp;Table13345678[[#This Row],[Ticker]]&amp;Table13345678[[#This Row],[Expiry]]&amp;""&amp;"C"&amp;Table13345678[[#This Row],[Spot]]+Table13345678[[#This Row],[step]])</f>
        <v>N/A</v>
      </c>
      <c r="E156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0" s="17" cm="1">
        <f t="array" aca="1" ref="H1560" ca="1">IndividualLegIVCore($A$4, Table13345678[[#This Row],[Strike]], 0.0411, Table13345678[[#This Row],[T]], ((Table13345678[[#This Row],[BIDC]]+Table13345678[[#This Row],[ASKC]])/2), TRUE)</f>
        <v>0.01</v>
      </c>
      <c r="I156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0" s="17"/>
      <c r="M1560" s="1">
        <f t="shared" si="155"/>
        <v>0</v>
      </c>
      <c r="N1560" t="b">
        <f t="shared" si="156"/>
        <v>0</v>
      </c>
      <c r="P1560" s="17" cm="1">
        <f t="array" aca="1" ref="P1560" ca="1">IndividualLegIVCore($A$4, Table13345678[[#This Row],[Strike]], 0.0411, Table13345678[[#This Row],[T]], ((Table13345678[[#This Row],[BIDP]]+Table13345678[[#This Row],[ASKP]])/2), FALSE)</f>
        <v>0.01</v>
      </c>
      <c r="Q156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0" s="17"/>
      <c r="T156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0" s="19">
        <f>14.5* IF($M$1="NDX", 10, IF(OR($M$1="SPX", $M$1="RUT"), 2, 1))</f>
        <v>29</v>
      </c>
      <c r="Z1560">
        <f ca="1">IFERROR(Table13345678[[#This Row],[call gamma]]*(Table13345678[[#This Row],[Open.Int]])*$A$4^2,0)</f>
        <v>0</v>
      </c>
      <c r="AA1560">
        <f ca="1">IFERROR(((Table13345678[[#This Row],[Open.Int8]])*Table13345678[[#This Row],[Put gamma]])*-1*$A$4^2,0)</f>
        <v>0</v>
      </c>
      <c r="AB1560">
        <f ca="1">(Table13345678[[#This Row],[Call Gex]]+Table13345678[[#This Row],[Put Gex]])</f>
        <v>0</v>
      </c>
      <c r="AC1560">
        <f ca="1">Table13345678[[#This Row],[put delta adj]]+Table13345678[[#This Row],[call delta adj]]</f>
        <v>0</v>
      </c>
      <c r="AD1560">
        <f ca="1">Table13345678[[#This Row],[Put Gex]]*Table13345678[[#This Row],[DeltaP]]*-1</f>
        <v>0</v>
      </c>
      <c r="AE1560">
        <f ca="1">Table13345678[[#This Row],[Call Gex]]*Table13345678[[#This Row],[DeltaC]]</f>
        <v>0</v>
      </c>
      <c r="AF1560">
        <f>IF(Table13345678[[#This Row],[DeltaC]]-ABS(Table13345678[[#This Row],[DeltaP]])="0","0.01",Table13345678[[#This Row],[DeltaC]]-ABS(Table13345678[[#This Row],[DeltaP]]))</f>
        <v>0</v>
      </c>
      <c r="AG156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0" t="e">
        <f ca="1">(EXP(-(AG1560^2)/2)/SQRT(2*PI())*EXP(0*SQRT(Table13345678[[#This Row],[T]]))/$A$4*18%*SQRT(SQRT(Table13345678[[#This Row],[T]])))</f>
        <v>#DIV/0!</v>
      </c>
      <c r="AJ1560" t="e">
        <f ca="1">(EXP(-(AH1560^2)/2)/SQRT(2*PI())*EXP(0*SQRT(Table13345678[[#This Row],[T]]))/$A$4*18%*SQRT(SQRT(Table13345678[[#This Row],[T]])))</f>
        <v>#DIV/0!</v>
      </c>
      <c r="AK1560" t="e">
        <f ca="1">Table13345678[[#This Row],[Call D1]]-Table13345678[[#This Row],[IV Calc C]]*SQRT(Table13345678[[#This Row],[T]])</f>
        <v>#DIV/0!</v>
      </c>
      <c r="AL1560" t="e">
        <f ca="1">Table13345678[[#This Row],[Put D1]]-Table13345678[[#This Row],[IV Calc P]]*SQRT(Table13345678[[#This Row],[T]])</f>
        <v>#DIV/0!</v>
      </c>
      <c r="AM1560" t="e">
        <f ca="1">EXP(-0.5*Table13345678[[#This Row],[Call D1]]^2)/SQRT(2*PI())</f>
        <v>#DIV/0!</v>
      </c>
      <c r="AN1560" t="e">
        <f ca="1">EXP(-0.5*Table13345678[[#This Row],[Put D1]]^2)/SQRT(2*PI())</f>
        <v>#DIV/0!</v>
      </c>
      <c r="AO156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0">
        <f ca="1">((Table13345678[[#This Row],[call vanna]]+Table13345678[[#This Row],[put vanna]])*$A$4)</f>
        <v>0</v>
      </c>
      <c r="AR156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0" s="9" t="str" cm="1">
        <f t="array" ref="AT1560">_xlfn.IFS(     $M$1="SPX","SPXW",     $M$1="RUT","RUTW",  $M$1="NDX","NDXP",   TRUE,$M$1 )</f>
        <v>SPXW</v>
      </c>
      <c r="AU1560" s="2">
        <f t="shared" si="157"/>
        <v>6915</v>
      </c>
      <c r="AV1560" t="str">
        <f t="shared" si="158"/>
        <v>000100</v>
      </c>
      <c r="AY156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0">
        <f>((Table13345678[[#This Row],[High C]]+Table13345678[[#This Row],[Low C]])/2)*Table13345678[[#This Row],[gammac]]*Table13345678[[#This Row],[Volume]]</f>
        <v>0</v>
      </c>
      <c r="BD1560">
        <f>((Table13345678[[#This Row],[High P]]+Table13345678[[#This Row],[Low P]])/2)*Table13345678[[#This Row],[gammap]]*Table13345678[[#This Row],[Volume9]]*-1</f>
        <v>0</v>
      </c>
      <c r="BE1560">
        <f>(Table13345678[[#This Row],[SgammaC]]+Table13345678[[#This Row],[SgammaP]])*$A$4*-100</f>
        <v>0</v>
      </c>
      <c r="BF1560">
        <f>Table13345678[[#This Row],[DEXc]]+Table13345678[[#This Row],[DEXp]]</f>
        <v>0</v>
      </c>
      <c r="BG1560" s="78">
        <f>IFERROR(Table13345678[[#This Row],[DeltaC]]*Table13345678[[#This Row],[Open.Int]]*$A$4,0)</f>
        <v>0</v>
      </c>
      <c r="BH1560">
        <f>IFERROR(Table13345678[[#This Row],[DeltaP]]*Table13345678[[#This Row],[Open.Int8]]*$A$4,0)</f>
        <v>0</v>
      </c>
      <c r="BI156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0">
        <f ca="1">Table13345678[[#This Row],[charmc]]+Table13345678[[#This Row],[charmp]]</f>
        <v>0</v>
      </c>
      <c r="BL156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0" s="78">
        <f ca="1">Table13345678[[#This Row],[call helper]]+Table13345678[[#This Row],[put helper]]</f>
        <v>0</v>
      </c>
      <c r="BP156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1" spans="1:68" x14ac:dyDescent="0.25">
      <c r="A1561" s="14">
        <f t="shared" ca="1" si="154"/>
        <v>-126.14810350076104</v>
      </c>
      <c r="C1561" s="17"/>
      <c r="D1561" t="str">
        <f>RTD("tos.rtd", , "OPEN_INT", "."&amp;Table13345678[[#This Row],[Ticker]]&amp;Table13345678[[#This Row],[Expiry]]&amp;""&amp;"C"&amp;Table13345678[[#This Row],[Spot]]+Table13345678[[#This Row],[step]])</f>
        <v>N/A</v>
      </c>
      <c r="E156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1" s="17" cm="1">
        <f t="array" aca="1" ref="H1561" ca="1">IndividualLegIVCore($A$4, Table13345678[[#This Row],[Strike]], 0.0411, Table13345678[[#This Row],[T]], ((Table13345678[[#This Row],[BIDC]]+Table13345678[[#This Row],[ASKC]])/2), TRUE)</f>
        <v>0.01</v>
      </c>
      <c r="I156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1" s="17"/>
      <c r="M1561" s="1">
        <f t="shared" si="155"/>
        <v>0</v>
      </c>
      <c r="N1561" t="b">
        <f t="shared" si="156"/>
        <v>0</v>
      </c>
      <c r="P1561" s="17" cm="1">
        <f t="array" aca="1" ref="P1561" ca="1">IndividualLegIVCore($A$4, Table13345678[[#This Row],[Strike]], 0.0411, Table13345678[[#This Row],[T]], ((Table13345678[[#This Row],[BIDP]]+Table13345678[[#This Row],[ASKP]])/2), FALSE)</f>
        <v>0.01</v>
      </c>
      <c r="Q156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1" s="17"/>
      <c r="T156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1" s="19">
        <f>15* IF($M$1="NDX", 10, IF(OR($M$1="SPX", $M$1="RUT"), 2, 1))</f>
        <v>30</v>
      </c>
      <c r="Z1561">
        <f ca="1">IFERROR(Table13345678[[#This Row],[call gamma]]*(Table13345678[[#This Row],[Open.Int]])*$A$4^2,0)</f>
        <v>0</v>
      </c>
      <c r="AA1561">
        <f ca="1">IFERROR(((Table13345678[[#This Row],[Open.Int8]])*Table13345678[[#This Row],[Put gamma]])*-1*$A$4^2,0)</f>
        <v>0</v>
      </c>
      <c r="AB1561">
        <f ca="1">(Table13345678[[#This Row],[Call Gex]]+Table13345678[[#This Row],[Put Gex]])</f>
        <v>0</v>
      </c>
      <c r="AC1561">
        <f ca="1">Table13345678[[#This Row],[put delta adj]]+Table13345678[[#This Row],[call delta adj]]</f>
        <v>0</v>
      </c>
      <c r="AD1561">
        <f ca="1">Table13345678[[#This Row],[Put Gex]]*Table13345678[[#This Row],[DeltaP]]*-1</f>
        <v>0</v>
      </c>
      <c r="AE1561">
        <f ca="1">Table13345678[[#This Row],[Call Gex]]*Table13345678[[#This Row],[DeltaC]]</f>
        <v>0</v>
      </c>
      <c r="AF1561">
        <f>IF(Table13345678[[#This Row],[DeltaC]]-ABS(Table13345678[[#This Row],[DeltaP]])="0","0.01",Table13345678[[#This Row],[DeltaC]]-ABS(Table13345678[[#This Row],[DeltaP]]))</f>
        <v>0</v>
      </c>
      <c r="AG156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1" t="e">
        <f ca="1">(EXP(-(AG1561^2)/2)/SQRT(2*PI())*EXP(0*SQRT(Table13345678[[#This Row],[T]]))/$A$4*18%*SQRT(SQRT(Table13345678[[#This Row],[T]])))</f>
        <v>#DIV/0!</v>
      </c>
      <c r="AJ1561" t="e">
        <f ca="1">(EXP(-(AH1561^2)/2)/SQRT(2*PI())*EXP(0*SQRT(Table13345678[[#This Row],[T]]))/$A$4*18%*SQRT(SQRT(Table13345678[[#This Row],[T]])))</f>
        <v>#DIV/0!</v>
      </c>
      <c r="AK1561" t="e">
        <f ca="1">Table13345678[[#This Row],[Call D1]]-Table13345678[[#This Row],[IV Calc C]]*SQRT(Table13345678[[#This Row],[T]])</f>
        <v>#DIV/0!</v>
      </c>
      <c r="AL1561" t="e">
        <f ca="1">Table13345678[[#This Row],[Put D1]]-Table13345678[[#This Row],[IV Calc P]]*SQRT(Table13345678[[#This Row],[T]])</f>
        <v>#DIV/0!</v>
      </c>
      <c r="AM1561" t="e">
        <f ca="1">EXP(-0.5*Table13345678[[#This Row],[Call D1]]^2)/SQRT(2*PI())</f>
        <v>#DIV/0!</v>
      </c>
      <c r="AN1561" t="e">
        <f ca="1">EXP(-0.5*Table13345678[[#This Row],[Put D1]]^2)/SQRT(2*PI())</f>
        <v>#DIV/0!</v>
      </c>
      <c r="AO156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1">
        <f ca="1">((Table13345678[[#This Row],[call vanna]]+Table13345678[[#This Row],[put vanna]])*$A$4)</f>
        <v>0</v>
      </c>
      <c r="AR156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1" s="9" t="str" cm="1">
        <f t="array" ref="AT1561">_xlfn.IFS(     $M$1="SPX","SPXW",     $M$1="RUT","RUTW",  $M$1="NDX","NDXP",   TRUE,$M$1 )</f>
        <v>SPXW</v>
      </c>
      <c r="AU1561" s="2">
        <f t="shared" si="157"/>
        <v>6915</v>
      </c>
      <c r="AV1561" t="str">
        <f t="shared" si="158"/>
        <v>000100</v>
      </c>
      <c r="AY156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1">
        <f>((Table13345678[[#This Row],[High C]]+Table13345678[[#This Row],[Low C]])/2)*Table13345678[[#This Row],[gammac]]*Table13345678[[#This Row],[Volume]]</f>
        <v>0</v>
      </c>
      <c r="BD1561">
        <f>((Table13345678[[#This Row],[High P]]+Table13345678[[#This Row],[Low P]])/2)*Table13345678[[#This Row],[gammap]]*Table13345678[[#This Row],[Volume9]]*-1</f>
        <v>0</v>
      </c>
      <c r="BE1561">
        <f>(Table13345678[[#This Row],[SgammaC]]+Table13345678[[#This Row],[SgammaP]])*$A$4*-100</f>
        <v>0</v>
      </c>
      <c r="BF1561">
        <f>Table13345678[[#This Row],[DEXc]]+Table13345678[[#This Row],[DEXp]]</f>
        <v>0</v>
      </c>
      <c r="BG1561" s="78">
        <f>IFERROR(Table13345678[[#This Row],[DeltaC]]*Table13345678[[#This Row],[Open.Int]]*$A$4,0)</f>
        <v>0</v>
      </c>
      <c r="BH1561">
        <f>IFERROR(Table13345678[[#This Row],[DeltaP]]*Table13345678[[#This Row],[Open.Int8]]*$A$4,0)</f>
        <v>0</v>
      </c>
      <c r="BI156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1">
        <f ca="1">Table13345678[[#This Row],[charmc]]+Table13345678[[#This Row],[charmp]]</f>
        <v>0</v>
      </c>
      <c r="BL156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1" s="78">
        <f ca="1">Table13345678[[#This Row],[call helper]]+Table13345678[[#This Row],[put helper]]</f>
        <v>0</v>
      </c>
      <c r="BP156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2" spans="1:68" x14ac:dyDescent="0.25">
      <c r="A1562" s="14">
        <f t="shared" ca="1" si="154"/>
        <v>-126.14810350076104</v>
      </c>
      <c r="C1562" s="17"/>
      <c r="D1562" t="str">
        <f>RTD("tos.rtd", , "OPEN_INT", "."&amp;Table13345678[[#This Row],[Ticker]]&amp;Table13345678[[#This Row],[Expiry]]&amp;""&amp;"C"&amp;Table13345678[[#This Row],[Spot]]+Table13345678[[#This Row],[step]])</f>
        <v>N/A</v>
      </c>
      <c r="E156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2" s="17" cm="1">
        <f t="array" aca="1" ref="H1562" ca="1">IndividualLegIVCore($A$4, Table13345678[[#This Row],[Strike]], 0.0411, Table13345678[[#This Row],[T]], ((Table13345678[[#This Row],[BIDC]]+Table13345678[[#This Row],[ASKC]])/2), TRUE)</f>
        <v>0.01</v>
      </c>
      <c r="I156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2" s="17"/>
      <c r="M1562" s="1">
        <f t="shared" si="155"/>
        <v>0</v>
      </c>
      <c r="N1562" t="b">
        <f t="shared" si="156"/>
        <v>0</v>
      </c>
      <c r="P1562" s="17" cm="1">
        <f t="array" aca="1" ref="P1562" ca="1">IndividualLegIVCore($A$4, Table13345678[[#This Row],[Strike]], 0.0411, Table13345678[[#This Row],[T]], ((Table13345678[[#This Row],[BIDP]]+Table13345678[[#This Row],[ASKP]])/2), FALSE)</f>
        <v>0.01</v>
      </c>
      <c r="Q156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2" s="17"/>
      <c r="T156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2" s="19">
        <f>15.5* IF($M$1="NDX", 10, IF(OR($M$1="SPX", $M$1="RUT"), 2, 1))</f>
        <v>31</v>
      </c>
      <c r="Z1562">
        <f ca="1">IFERROR(Table13345678[[#This Row],[call gamma]]*(Table13345678[[#This Row],[Open.Int]])*$A$4^2,0)</f>
        <v>0</v>
      </c>
      <c r="AA1562">
        <f ca="1">IFERROR(((Table13345678[[#This Row],[Open.Int8]])*Table13345678[[#This Row],[Put gamma]])*-1*$A$4^2,0)</f>
        <v>0</v>
      </c>
      <c r="AB1562">
        <f ca="1">(Table13345678[[#This Row],[Call Gex]]+Table13345678[[#This Row],[Put Gex]])</f>
        <v>0</v>
      </c>
      <c r="AC1562">
        <f ca="1">Table13345678[[#This Row],[put delta adj]]+Table13345678[[#This Row],[call delta adj]]</f>
        <v>0</v>
      </c>
      <c r="AD1562">
        <f ca="1">Table13345678[[#This Row],[Put Gex]]*Table13345678[[#This Row],[DeltaP]]*-1</f>
        <v>0</v>
      </c>
      <c r="AE1562">
        <f ca="1">Table13345678[[#This Row],[Call Gex]]*Table13345678[[#This Row],[DeltaC]]</f>
        <v>0</v>
      </c>
      <c r="AF1562">
        <f>IF(Table13345678[[#This Row],[DeltaC]]-ABS(Table13345678[[#This Row],[DeltaP]])="0","0.01",Table13345678[[#This Row],[DeltaC]]-ABS(Table13345678[[#This Row],[DeltaP]]))</f>
        <v>0</v>
      </c>
      <c r="AG156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2" t="e">
        <f ca="1">(EXP(-(AG1562^2)/2)/SQRT(2*PI())*EXP(0*SQRT(Table13345678[[#This Row],[T]]))/$A$4*18%*SQRT(SQRT(Table13345678[[#This Row],[T]])))</f>
        <v>#DIV/0!</v>
      </c>
      <c r="AJ1562" t="e">
        <f ca="1">(EXP(-(AH1562^2)/2)/SQRT(2*PI())*EXP(0*SQRT(Table13345678[[#This Row],[T]]))/$A$4*18%*SQRT(SQRT(Table13345678[[#This Row],[T]])))</f>
        <v>#DIV/0!</v>
      </c>
      <c r="AK1562" t="e">
        <f ca="1">Table13345678[[#This Row],[Call D1]]-Table13345678[[#This Row],[IV Calc C]]*SQRT(Table13345678[[#This Row],[T]])</f>
        <v>#DIV/0!</v>
      </c>
      <c r="AL1562" t="e">
        <f ca="1">Table13345678[[#This Row],[Put D1]]-Table13345678[[#This Row],[IV Calc P]]*SQRT(Table13345678[[#This Row],[T]])</f>
        <v>#DIV/0!</v>
      </c>
      <c r="AM1562" t="e">
        <f ca="1">EXP(-0.5*Table13345678[[#This Row],[Call D1]]^2)/SQRT(2*PI())</f>
        <v>#DIV/0!</v>
      </c>
      <c r="AN1562" t="e">
        <f ca="1">EXP(-0.5*Table13345678[[#This Row],[Put D1]]^2)/SQRT(2*PI())</f>
        <v>#DIV/0!</v>
      </c>
      <c r="AO156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2">
        <f ca="1">((Table13345678[[#This Row],[call vanna]]+Table13345678[[#This Row],[put vanna]])*$A$4)</f>
        <v>0</v>
      </c>
      <c r="AR156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2" s="9" t="str" cm="1">
        <f t="array" ref="AT1562">_xlfn.IFS(     $M$1="SPX","SPXW",     $M$1="RUT","RUTW",  $M$1="NDX","NDXP",   TRUE,$M$1 )</f>
        <v>SPXW</v>
      </c>
      <c r="AU1562" s="2">
        <f t="shared" si="157"/>
        <v>6915</v>
      </c>
      <c r="AV1562" t="str">
        <f t="shared" si="158"/>
        <v>000100</v>
      </c>
      <c r="AY156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2">
        <f>((Table13345678[[#This Row],[High C]]+Table13345678[[#This Row],[Low C]])/2)*Table13345678[[#This Row],[gammac]]*Table13345678[[#This Row],[Volume]]</f>
        <v>0</v>
      </c>
      <c r="BD1562">
        <f>((Table13345678[[#This Row],[High P]]+Table13345678[[#This Row],[Low P]])/2)*Table13345678[[#This Row],[gammap]]*Table13345678[[#This Row],[Volume9]]*-1</f>
        <v>0</v>
      </c>
      <c r="BE1562">
        <f>(Table13345678[[#This Row],[SgammaC]]+Table13345678[[#This Row],[SgammaP]])*$A$4*-100</f>
        <v>0</v>
      </c>
      <c r="BF1562">
        <f>Table13345678[[#This Row],[DEXc]]+Table13345678[[#This Row],[DEXp]]</f>
        <v>0</v>
      </c>
      <c r="BG1562" s="78">
        <f>IFERROR(Table13345678[[#This Row],[DeltaC]]*Table13345678[[#This Row],[Open.Int]]*$A$4,0)</f>
        <v>0</v>
      </c>
      <c r="BH1562">
        <f>IFERROR(Table13345678[[#This Row],[DeltaP]]*Table13345678[[#This Row],[Open.Int8]]*$A$4,0)</f>
        <v>0</v>
      </c>
      <c r="BI156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2">
        <f ca="1">Table13345678[[#This Row],[charmc]]+Table13345678[[#This Row],[charmp]]</f>
        <v>0</v>
      </c>
      <c r="BL156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2" s="78">
        <f ca="1">Table13345678[[#This Row],[call helper]]+Table13345678[[#This Row],[put helper]]</f>
        <v>0</v>
      </c>
      <c r="BP156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3" spans="1:68" x14ac:dyDescent="0.25">
      <c r="A1563" s="14">
        <f t="shared" ca="1" si="154"/>
        <v>-126.14810350076104</v>
      </c>
      <c r="C1563" s="17"/>
      <c r="D1563" t="str">
        <f>RTD("tos.rtd", , "OPEN_INT", "."&amp;Table13345678[[#This Row],[Ticker]]&amp;Table13345678[[#This Row],[Expiry]]&amp;""&amp;"C"&amp;Table13345678[[#This Row],[Spot]]+Table13345678[[#This Row],[step]])</f>
        <v>N/A</v>
      </c>
      <c r="E156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3" s="17" cm="1">
        <f t="array" aca="1" ref="H1563" ca="1">IndividualLegIVCore($A$4, Table13345678[[#This Row],[Strike]], 0.0411, Table13345678[[#This Row],[T]], ((Table13345678[[#This Row],[BIDC]]+Table13345678[[#This Row],[ASKC]])/2), TRUE)</f>
        <v>0.01</v>
      </c>
      <c r="I156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3" s="17"/>
      <c r="M1563" s="1">
        <f t="shared" si="155"/>
        <v>0</v>
      </c>
      <c r="N1563" t="b">
        <f t="shared" si="156"/>
        <v>0</v>
      </c>
      <c r="P1563" s="17" cm="1">
        <f t="array" aca="1" ref="P1563" ca="1">IndividualLegIVCore($A$4, Table13345678[[#This Row],[Strike]], 0.0411, Table13345678[[#This Row],[T]], ((Table13345678[[#This Row],[BIDP]]+Table13345678[[#This Row],[ASKP]])/2), FALSE)</f>
        <v>0.01</v>
      </c>
      <c r="Q156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3" s="17"/>
      <c r="T156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3" s="19">
        <f>16* IF($M$1="NDX", 10, IF(OR($M$1="SPX", $M$1="RUT"), 2, 1))</f>
        <v>32</v>
      </c>
      <c r="Z1563">
        <f ca="1">IFERROR(Table13345678[[#This Row],[call gamma]]*(Table13345678[[#This Row],[Open.Int]])*$A$4^2,0)</f>
        <v>0</v>
      </c>
      <c r="AA1563">
        <f ca="1">IFERROR(((Table13345678[[#This Row],[Open.Int8]])*Table13345678[[#This Row],[Put gamma]])*-1*$A$4^2,0)</f>
        <v>0</v>
      </c>
      <c r="AB1563">
        <f ca="1">(Table13345678[[#This Row],[Call Gex]]+Table13345678[[#This Row],[Put Gex]])</f>
        <v>0</v>
      </c>
      <c r="AC1563">
        <f ca="1">Table13345678[[#This Row],[put delta adj]]+Table13345678[[#This Row],[call delta adj]]</f>
        <v>0</v>
      </c>
      <c r="AD1563">
        <f ca="1">Table13345678[[#This Row],[Put Gex]]*Table13345678[[#This Row],[DeltaP]]*-1</f>
        <v>0</v>
      </c>
      <c r="AE1563">
        <f ca="1">Table13345678[[#This Row],[Call Gex]]*Table13345678[[#This Row],[DeltaC]]</f>
        <v>0</v>
      </c>
      <c r="AF1563">
        <f>IF(Table13345678[[#This Row],[DeltaC]]-ABS(Table13345678[[#This Row],[DeltaP]])="0","0.01",Table13345678[[#This Row],[DeltaC]]-ABS(Table13345678[[#This Row],[DeltaP]]))</f>
        <v>0</v>
      </c>
      <c r="AG156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3" t="e">
        <f ca="1">(EXP(-(AG1563^2)/2)/SQRT(2*PI())*EXP(0*SQRT(Table13345678[[#This Row],[T]]))/$A$4*18%*SQRT(SQRT(Table13345678[[#This Row],[T]])))</f>
        <v>#DIV/0!</v>
      </c>
      <c r="AJ1563" t="e">
        <f ca="1">(EXP(-(AH1563^2)/2)/SQRT(2*PI())*EXP(0*SQRT(Table13345678[[#This Row],[T]]))/$A$4*18%*SQRT(SQRT(Table13345678[[#This Row],[T]])))</f>
        <v>#DIV/0!</v>
      </c>
      <c r="AK1563" t="e">
        <f ca="1">Table13345678[[#This Row],[Call D1]]-Table13345678[[#This Row],[IV Calc C]]*SQRT(Table13345678[[#This Row],[T]])</f>
        <v>#DIV/0!</v>
      </c>
      <c r="AL1563" t="e">
        <f ca="1">Table13345678[[#This Row],[Put D1]]-Table13345678[[#This Row],[IV Calc P]]*SQRT(Table13345678[[#This Row],[T]])</f>
        <v>#DIV/0!</v>
      </c>
      <c r="AM1563" t="e">
        <f ca="1">EXP(-0.5*Table13345678[[#This Row],[Call D1]]^2)/SQRT(2*PI())</f>
        <v>#DIV/0!</v>
      </c>
      <c r="AN1563" t="e">
        <f ca="1">EXP(-0.5*Table13345678[[#This Row],[Put D1]]^2)/SQRT(2*PI())</f>
        <v>#DIV/0!</v>
      </c>
      <c r="AO156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3">
        <f ca="1">((Table13345678[[#This Row],[call vanna]]+Table13345678[[#This Row],[put vanna]])*$A$4)</f>
        <v>0</v>
      </c>
      <c r="AR156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3" s="9" t="str" cm="1">
        <f t="array" ref="AT1563">_xlfn.IFS(     $M$1="SPX","SPXW",     $M$1="RUT","RUTW",  $M$1="NDX","NDXP",   TRUE,$M$1 )</f>
        <v>SPXW</v>
      </c>
      <c r="AU1563" s="2">
        <f t="shared" si="157"/>
        <v>6915</v>
      </c>
      <c r="AV1563" t="str">
        <f t="shared" si="158"/>
        <v>000100</v>
      </c>
      <c r="AY156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3">
        <f>((Table13345678[[#This Row],[High C]]+Table13345678[[#This Row],[Low C]])/2)*Table13345678[[#This Row],[gammac]]*Table13345678[[#This Row],[Volume]]</f>
        <v>0</v>
      </c>
      <c r="BD1563">
        <f>((Table13345678[[#This Row],[High P]]+Table13345678[[#This Row],[Low P]])/2)*Table13345678[[#This Row],[gammap]]*Table13345678[[#This Row],[Volume9]]*-1</f>
        <v>0</v>
      </c>
      <c r="BE1563">
        <f>(Table13345678[[#This Row],[SgammaC]]+Table13345678[[#This Row],[SgammaP]])*$A$4*-100</f>
        <v>0</v>
      </c>
      <c r="BF1563">
        <f>Table13345678[[#This Row],[DEXc]]+Table13345678[[#This Row],[DEXp]]</f>
        <v>0</v>
      </c>
      <c r="BG1563" s="78">
        <f>IFERROR(Table13345678[[#This Row],[DeltaC]]*Table13345678[[#This Row],[Open.Int]]*$A$4,0)</f>
        <v>0</v>
      </c>
      <c r="BH1563">
        <f>IFERROR(Table13345678[[#This Row],[DeltaP]]*Table13345678[[#This Row],[Open.Int8]]*$A$4,0)</f>
        <v>0</v>
      </c>
      <c r="BI156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3">
        <f ca="1">Table13345678[[#This Row],[charmc]]+Table13345678[[#This Row],[charmp]]</f>
        <v>0</v>
      </c>
      <c r="BL156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3" s="78">
        <f ca="1">Table13345678[[#This Row],[call helper]]+Table13345678[[#This Row],[put helper]]</f>
        <v>0</v>
      </c>
      <c r="BP156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4" spans="1:68" x14ac:dyDescent="0.25">
      <c r="A1564" s="14">
        <f t="shared" ca="1" si="154"/>
        <v>-126.14810350076104</v>
      </c>
      <c r="C1564" s="17"/>
      <c r="D1564" t="str">
        <f>RTD("tos.rtd", , "OPEN_INT", "."&amp;Table13345678[[#This Row],[Ticker]]&amp;Table13345678[[#This Row],[Expiry]]&amp;""&amp;"C"&amp;Table13345678[[#This Row],[Spot]]+Table13345678[[#This Row],[step]])</f>
        <v>N/A</v>
      </c>
      <c r="E156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4" s="17" cm="1">
        <f t="array" aca="1" ref="H1564" ca="1">IndividualLegIVCore($A$4, Table13345678[[#This Row],[Strike]], 0.0411, Table13345678[[#This Row],[T]], ((Table13345678[[#This Row],[BIDC]]+Table13345678[[#This Row],[ASKC]])/2), TRUE)</f>
        <v>0.01</v>
      </c>
      <c r="I156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4" s="17"/>
      <c r="M1564" s="1">
        <f t="shared" si="155"/>
        <v>0</v>
      </c>
      <c r="N1564" t="b">
        <f t="shared" si="156"/>
        <v>0</v>
      </c>
      <c r="P1564" s="17" cm="1">
        <f t="array" aca="1" ref="P1564" ca="1">IndividualLegIVCore($A$4, Table13345678[[#This Row],[Strike]], 0.0411, Table13345678[[#This Row],[T]], ((Table13345678[[#This Row],[BIDP]]+Table13345678[[#This Row],[ASKP]])/2), FALSE)</f>
        <v>0.01</v>
      </c>
      <c r="Q156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4" s="17"/>
      <c r="T156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4" s="19">
        <f>16.5* IF($M$1="NDX", 10, IF(OR($M$1="SPX", $M$1="RUT"), 2, 1))</f>
        <v>33</v>
      </c>
      <c r="Z1564">
        <f ca="1">IFERROR(Table13345678[[#This Row],[call gamma]]*(Table13345678[[#This Row],[Open.Int]])*$A$4^2,0)</f>
        <v>0</v>
      </c>
      <c r="AA1564">
        <f ca="1">IFERROR(((Table13345678[[#This Row],[Open.Int8]])*Table13345678[[#This Row],[Put gamma]])*-1*$A$4^2,0)</f>
        <v>0</v>
      </c>
      <c r="AB1564">
        <f ca="1">(Table13345678[[#This Row],[Call Gex]]+Table13345678[[#This Row],[Put Gex]])</f>
        <v>0</v>
      </c>
      <c r="AC1564">
        <f ca="1">Table13345678[[#This Row],[put delta adj]]+Table13345678[[#This Row],[call delta adj]]</f>
        <v>0</v>
      </c>
      <c r="AD1564">
        <f ca="1">Table13345678[[#This Row],[Put Gex]]*Table13345678[[#This Row],[DeltaP]]*-1</f>
        <v>0</v>
      </c>
      <c r="AE1564">
        <f ca="1">Table13345678[[#This Row],[Call Gex]]*Table13345678[[#This Row],[DeltaC]]</f>
        <v>0</v>
      </c>
      <c r="AF1564">
        <f>IF(Table13345678[[#This Row],[DeltaC]]-ABS(Table13345678[[#This Row],[DeltaP]])="0","0.01",Table13345678[[#This Row],[DeltaC]]-ABS(Table13345678[[#This Row],[DeltaP]]))</f>
        <v>0</v>
      </c>
      <c r="AG156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4" t="e">
        <f ca="1">(EXP(-(AG1564^2)/2)/SQRT(2*PI())*EXP(0*SQRT(Table13345678[[#This Row],[T]]))/$A$4*18%*SQRT(SQRT(Table13345678[[#This Row],[T]])))</f>
        <v>#DIV/0!</v>
      </c>
      <c r="AJ1564" t="e">
        <f ca="1">(EXP(-(AH1564^2)/2)/SQRT(2*PI())*EXP(0*SQRT(Table13345678[[#This Row],[T]]))/$A$4*18%*SQRT(SQRT(Table13345678[[#This Row],[T]])))</f>
        <v>#DIV/0!</v>
      </c>
      <c r="AK1564" t="e">
        <f ca="1">Table13345678[[#This Row],[Call D1]]-Table13345678[[#This Row],[IV Calc C]]*SQRT(Table13345678[[#This Row],[T]])</f>
        <v>#DIV/0!</v>
      </c>
      <c r="AL1564" t="e">
        <f ca="1">Table13345678[[#This Row],[Put D1]]-Table13345678[[#This Row],[IV Calc P]]*SQRT(Table13345678[[#This Row],[T]])</f>
        <v>#DIV/0!</v>
      </c>
      <c r="AM1564" t="e">
        <f ca="1">EXP(-0.5*Table13345678[[#This Row],[Call D1]]^2)/SQRT(2*PI())</f>
        <v>#DIV/0!</v>
      </c>
      <c r="AN1564" t="e">
        <f ca="1">EXP(-0.5*Table13345678[[#This Row],[Put D1]]^2)/SQRT(2*PI())</f>
        <v>#DIV/0!</v>
      </c>
      <c r="AO156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4">
        <f ca="1">((Table13345678[[#This Row],[call vanna]]+Table13345678[[#This Row],[put vanna]])*$A$4)</f>
        <v>0</v>
      </c>
      <c r="AR156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4" s="9" t="str" cm="1">
        <f t="array" ref="AT1564">_xlfn.IFS(     $M$1="SPX","SPXW",     $M$1="RUT","RUTW",  $M$1="NDX","NDXP",   TRUE,$M$1 )</f>
        <v>SPXW</v>
      </c>
      <c r="AU1564" s="2">
        <f t="shared" si="157"/>
        <v>6915</v>
      </c>
      <c r="AV1564" t="str">
        <f t="shared" si="158"/>
        <v>000100</v>
      </c>
      <c r="AY156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4">
        <f>((Table13345678[[#This Row],[High C]]+Table13345678[[#This Row],[Low C]])/2)*Table13345678[[#This Row],[gammac]]*Table13345678[[#This Row],[Volume]]</f>
        <v>0</v>
      </c>
      <c r="BD1564">
        <f>((Table13345678[[#This Row],[High P]]+Table13345678[[#This Row],[Low P]])/2)*Table13345678[[#This Row],[gammap]]*Table13345678[[#This Row],[Volume9]]*-1</f>
        <v>0</v>
      </c>
      <c r="BE1564">
        <f>(Table13345678[[#This Row],[SgammaC]]+Table13345678[[#This Row],[SgammaP]])*$A$4*-100</f>
        <v>0</v>
      </c>
      <c r="BF1564">
        <f>Table13345678[[#This Row],[DEXc]]+Table13345678[[#This Row],[DEXp]]</f>
        <v>0</v>
      </c>
      <c r="BG1564" s="78">
        <f>IFERROR(Table13345678[[#This Row],[DeltaC]]*Table13345678[[#This Row],[Open.Int]]*$A$4,0)</f>
        <v>0</v>
      </c>
      <c r="BH1564">
        <f>IFERROR(Table13345678[[#This Row],[DeltaP]]*Table13345678[[#This Row],[Open.Int8]]*$A$4,0)</f>
        <v>0</v>
      </c>
      <c r="BI156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4">
        <f ca="1">Table13345678[[#This Row],[charmc]]+Table13345678[[#This Row],[charmp]]</f>
        <v>0</v>
      </c>
      <c r="BL156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4" s="78">
        <f ca="1">Table13345678[[#This Row],[call helper]]+Table13345678[[#This Row],[put helper]]</f>
        <v>0</v>
      </c>
      <c r="BP156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5" spans="1:68" x14ac:dyDescent="0.25">
      <c r="A1565" s="14">
        <f t="shared" ca="1" si="154"/>
        <v>-126.14810350076104</v>
      </c>
      <c r="C1565" s="17"/>
      <c r="D1565" t="str">
        <f>RTD("tos.rtd", , "OPEN_INT", "."&amp;Table13345678[[#This Row],[Ticker]]&amp;Table13345678[[#This Row],[Expiry]]&amp;""&amp;"C"&amp;Table13345678[[#This Row],[Spot]]+Table13345678[[#This Row],[step]])</f>
        <v>N/A</v>
      </c>
      <c r="E156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5" s="17" cm="1">
        <f t="array" aca="1" ref="H1565" ca="1">IndividualLegIVCore($A$4, Table13345678[[#This Row],[Strike]], 0.0411, Table13345678[[#This Row],[T]], ((Table13345678[[#This Row],[BIDC]]+Table13345678[[#This Row],[ASKC]])/2), TRUE)</f>
        <v>0.01</v>
      </c>
      <c r="I156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5" s="17"/>
      <c r="M1565" s="1">
        <f t="shared" si="155"/>
        <v>0</v>
      </c>
      <c r="N1565" t="b">
        <f t="shared" si="156"/>
        <v>0</v>
      </c>
      <c r="P1565" s="17" cm="1">
        <f t="array" aca="1" ref="P1565" ca="1">IndividualLegIVCore($A$4, Table13345678[[#This Row],[Strike]], 0.0411, Table13345678[[#This Row],[T]], ((Table13345678[[#This Row],[BIDP]]+Table13345678[[#This Row],[ASKP]])/2), FALSE)</f>
        <v>0.01</v>
      </c>
      <c r="Q156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5" s="17"/>
      <c r="T156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5" s="19">
        <f>17* IF($M$1="NDX", 10, IF(OR($M$1="SPX", $M$1="RUT"), 2, 1))</f>
        <v>34</v>
      </c>
      <c r="Z1565">
        <f ca="1">IFERROR(Table13345678[[#This Row],[call gamma]]*(Table13345678[[#This Row],[Open.Int]])*$A$4^2,0)</f>
        <v>0</v>
      </c>
      <c r="AA1565">
        <f ca="1">IFERROR(((Table13345678[[#This Row],[Open.Int8]])*Table13345678[[#This Row],[Put gamma]])*-1*$A$4^2,0)</f>
        <v>0</v>
      </c>
      <c r="AB1565">
        <f ca="1">(Table13345678[[#This Row],[Call Gex]]+Table13345678[[#This Row],[Put Gex]])</f>
        <v>0</v>
      </c>
      <c r="AC1565">
        <f ca="1">Table13345678[[#This Row],[put delta adj]]+Table13345678[[#This Row],[call delta adj]]</f>
        <v>0</v>
      </c>
      <c r="AD1565">
        <f ca="1">Table13345678[[#This Row],[Put Gex]]*Table13345678[[#This Row],[DeltaP]]*-1</f>
        <v>0</v>
      </c>
      <c r="AE1565">
        <f ca="1">Table13345678[[#This Row],[Call Gex]]*Table13345678[[#This Row],[DeltaC]]</f>
        <v>0</v>
      </c>
      <c r="AF1565">
        <f>IF(Table13345678[[#This Row],[DeltaC]]-ABS(Table13345678[[#This Row],[DeltaP]])="0","0.01",Table13345678[[#This Row],[DeltaC]]-ABS(Table13345678[[#This Row],[DeltaP]]))</f>
        <v>0</v>
      </c>
      <c r="AG156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5" t="e">
        <f ca="1">(EXP(-(AG1565^2)/2)/SQRT(2*PI())*EXP(0*SQRT(Table13345678[[#This Row],[T]]))/$A$4*18%*SQRT(SQRT(Table13345678[[#This Row],[T]])))</f>
        <v>#DIV/0!</v>
      </c>
      <c r="AJ1565" t="e">
        <f ca="1">(EXP(-(AH1565^2)/2)/SQRT(2*PI())*EXP(0*SQRT(Table13345678[[#This Row],[T]]))/$A$4*18%*SQRT(SQRT(Table13345678[[#This Row],[T]])))</f>
        <v>#DIV/0!</v>
      </c>
      <c r="AK1565" t="e">
        <f ca="1">Table13345678[[#This Row],[Call D1]]-Table13345678[[#This Row],[IV Calc C]]*SQRT(Table13345678[[#This Row],[T]])</f>
        <v>#DIV/0!</v>
      </c>
      <c r="AL1565" t="e">
        <f ca="1">Table13345678[[#This Row],[Put D1]]-Table13345678[[#This Row],[IV Calc P]]*SQRT(Table13345678[[#This Row],[T]])</f>
        <v>#DIV/0!</v>
      </c>
      <c r="AM1565" t="e">
        <f ca="1">EXP(-0.5*Table13345678[[#This Row],[Call D1]]^2)/SQRT(2*PI())</f>
        <v>#DIV/0!</v>
      </c>
      <c r="AN1565" t="e">
        <f ca="1">EXP(-0.5*Table13345678[[#This Row],[Put D1]]^2)/SQRT(2*PI())</f>
        <v>#DIV/0!</v>
      </c>
      <c r="AO156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5">
        <f ca="1">((Table13345678[[#This Row],[call vanna]]+Table13345678[[#This Row],[put vanna]])*$A$4)</f>
        <v>0</v>
      </c>
      <c r="AR156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5" s="9" t="str" cm="1">
        <f t="array" ref="AT1565">_xlfn.IFS(     $M$1="SPX","SPXW",     $M$1="RUT","RUTW",  $M$1="NDX","NDXP",   TRUE,$M$1 )</f>
        <v>SPXW</v>
      </c>
      <c r="AU1565" s="2">
        <f t="shared" si="157"/>
        <v>6915</v>
      </c>
      <c r="AV1565" t="str">
        <f t="shared" si="158"/>
        <v>000100</v>
      </c>
      <c r="AY156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5">
        <f>((Table13345678[[#This Row],[High C]]+Table13345678[[#This Row],[Low C]])/2)*Table13345678[[#This Row],[gammac]]*Table13345678[[#This Row],[Volume]]</f>
        <v>0</v>
      </c>
      <c r="BD1565">
        <f>((Table13345678[[#This Row],[High P]]+Table13345678[[#This Row],[Low P]])/2)*Table13345678[[#This Row],[gammap]]*Table13345678[[#This Row],[Volume9]]*-1</f>
        <v>0</v>
      </c>
      <c r="BE1565">
        <f>(Table13345678[[#This Row],[SgammaC]]+Table13345678[[#This Row],[SgammaP]])*$A$4*-100</f>
        <v>0</v>
      </c>
      <c r="BF1565">
        <f>Table13345678[[#This Row],[DEXc]]+Table13345678[[#This Row],[DEXp]]</f>
        <v>0</v>
      </c>
      <c r="BG1565" s="78">
        <f>IFERROR(Table13345678[[#This Row],[DeltaC]]*Table13345678[[#This Row],[Open.Int]]*$A$4,0)</f>
        <v>0</v>
      </c>
      <c r="BH1565">
        <f>IFERROR(Table13345678[[#This Row],[DeltaP]]*Table13345678[[#This Row],[Open.Int8]]*$A$4,0)</f>
        <v>0</v>
      </c>
      <c r="BI156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5">
        <f ca="1">Table13345678[[#This Row],[charmc]]+Table13345678[[#This Row],[charmp]]</f>
        <v>0</v>
      </c>
      <c r="BL156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5" s="78">
        <f ca="1">Table13345678[[#This Row],[call helper]]+Table13345678[[#This Row],[put helper]]</f>
        <v>0</v>
      </c>
      <c r="BP156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6" spans="1:68" x14ac:dyDescent="0.25">
      <c r="A1566" s="14">
        <f t="shared" ca="1" si="154"/>
        <v>-126.14810350076104</v>
      </c>
      <c r="C1566" s="17"/>
      <c r="D1566" t="str">
        <f>RTD("tos.rtd", , "OPEN_INT", "."&amp;Table13345678[[#This Row],[Ticker]]&amp;Table13345678[[#This Row],[Expiry]]&amp;""&amp;"C"&amp;Table13345678[[#This Row],[Spot]]+Table13345678[[#This Row],[step]])</f>
        <v>N/A</v>
      </c>
      <c r="E156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6" s="17" cm="1">
        <f t="array" aca="1" ref="H1566" ca="1">IndividualLegIVCore($A$4, Table13345678[[#This Row],[Strike]], 0.0411, Table13345678[[#This Row],[T]], ((Table13345678[[#This Row],[BIDC]]+Table13345678[[#This Row],[ASKC]])/2), TRUE)</f>
        <v>0.01</v>
      </c>
      <c r="I156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6" s="17"/>
      <c r="M1566" s="1">
        <f t="shared" si="155"/>
        <v>0</v>
      </c>
      <c r="N1566" t="b">
        <f t="shared" si="156"/>
        <v>0</v>
      </c>
      <c r="P1566" s="17" cm="1">
        <f t="array" aca="1" ref="P1566" ca="1">IndividualLegIVCore($A$4, Table13345678[[#This Row],[Strike]], 0.0411, Table13345678[[#This Row],[T]], ((Table13345678[[#This Row],[BIDP]]+Table13345678[[#This Row],[ASKP]])/2), FALSE)</f>
        <v>0.01</v>
      </c>
      <c r="Q156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6" s="17"/>
      <c r="T156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6" s="19">
        <f>17.5* IF($M$1="NDX", 10, IF(OR($M$1="SPX", $M$1="RUT"), 2, 1))</f>
        <v>35</v>
      </c>
      <c r="Z1566">
        <f ca="1">IFERROR(Table13345678[[#This Row],[call gamma]]*(Table13345678[[#This Row],[Open.Int]])*$A$4^2,0)</f>
        <v>0</v>
      </c>
      <c r="AA1566">
        <f ca="1">IFERROR(((Table13345678[[#This Row],[Open.Int8]])*Table13345678[[#This Row],[Put gamma]])*-1*$A$4^2,0)</f>
        <v>0</v>
      </c>
      <c r="AB1566">
        <f ca="1">(Table13345678[[#This Row],[Call Gex]]+Table13345678[[#This Row],[Put Gex]])</f>
        <v>0</v>
      </c>
      <c r="AC1566">
        <f ca="1">Table13345678[[#This Row],[put delta adj]]+Table13345678[[#This Row],[call delta adj]]</f>
        <v>0</v>
      </c>
      <c r="AD1566">
        <f ca="1">Table13345678[[#This Row],[Put Gex]]*Table13345678[[#This Row],[DeltaP]]*-1</f>
        <v>0</v>
      </c>
      <c r="AE1566">
        <f ca="1">Table13345678[[#This Row],[Call Gex]]*Table13345678[[#This Row],[DeltaC]]</f>
        <v>0</v>
      </c>
      <c r="AF1566">
        <f>IF(Table13345678[[#This Row],[DeltaC]]-ABS(Table13345678[[#This Row],[DeltaP]])="0","0.01",Table13345678[[#This Row],[DeltaC]]-ABS(Table13345678[[#This Row],[DeltaP]]))</f>
        <v>0</v>
      </c>
      <c r="AG156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6" t="e">
        <f ca="1">(EXP(-(AG1566^2)/2)/SQRT(2*PI())*EXP(0*SQRT(Table13345678[[#This Row],[T]]))/$A$4*18%*SQRT(SQRT(Table13345678[[#This Row],[T]])))</f>
        <v>#DIV/0!</v>
      </c>
      <c r="AJ1566" t="e">
        <f ca="1">(EXP(-(AH1566^2)/2)/SQRT(2*PI())*EXP(0*SQRT(Table13345678[[#This Row],[T]]))/$A$4*18%*SQRT(SQRT(Table13345678[[#This Row],[T]])))</f>
        <v>#DIV/0!</v>
      </c>
      <c r="AK1566" t="e">
        <f ca="1">Table13345678[[#This Row],[Call D1]]-Table13345678[[#This Row],[IV Calc C]]*SQRT(Table13345678[[#This Row],[T]])</f>
        <v>#DIV/0!</v>
      </c>
      <c r="AL1566" t="e">
        <f ca="1">Table13345678[[#This Row],[Put D1]]-Table13345678[[#This Row],[IV Calc P]]*SQRT(Table13345678[[#This Row],[T]])</f>
        <v>#DIV/0!</v>
      </c>
      <c r="AM1566" t="e">
        <f ca="1">EXP(-0.5*Table13345678[[#This Row],[Call D1]]^2)/SQRT(2*PI())</f>
        <v>#DIV/0!</v>
      </c>
      <c r="AN1566" t="e">
        <f ca="1">EXP(-0.5*Table13345678[[#This Row],[Put D1]]^2)/SQRT(2*PI())</f>
        <v>#DIV/0!</v>
      </c>
      <c r="AO156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6">
        <f ca="1">((Table13345678[[#This Row],[call vanna]]+Table13345678[[#This Row],[put vanna]])*$A$4)</f>
        <v>0</v>
      </c>
      <c r="AR156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6" s="9" t="str" cm="1">
        <f t="array" ref="AT1566">_xlfn.IFS(     $M$1="SPX","SPXW",     $M$1="RUT","RUTW",  $M$1="NDX","NDXP",   TRUE,$M$1 )</f>
        <v>SPXW</v>
      </c>
      <c r="AU1566" s="2">
        <f t="shared" si="157"/>
        <v>6915</v>
      </c>
      <c r="AV1566" t="str">
        <f t="shared" si="158"/>
        <v>000100</v>
      </c>
      <c r="AY156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6">
        <f>((Table13345678[[#This Row],[High C]]+Table13345678[[#This Row],[Low C]])/2)*Table13345678[[#This Row],[gammac]]*Table13345678[[#This Row],[Volume]]</f>
        <v>0</v>
      </c>
      <c r="BD1566">
        <f>((Table13345678[[#This Row],[High P]]+Table13345678[[#This Row],[Low P]])/2)*Table13345678[[#This Row],[gammap]]*Table13345678[[#This Row],[Volume9]]*-1</f>
        <v>0</v>
      </c>
      <c r="BE1566">
        <f>(Table13345678[[#This Row],[SgammaC]]+Table13345678[[#This Row],[SgammaP]])*$A$4*-100</f>
        <v>0</v>
      </c>
      <c r="BF1566">
        <f>Table13345678[[#This Row],[DEXc]]+Table13345678[[#This Row],[DEXp]]</f>
        <v>0</v>
      </c>
      <c r="BG1566" s="78">
        <f>IFERROR(Table13345678[[#This Row],[DeltaC]]*Table13345678[[#This Row],[Open.Int]]*$A$4,0)</f>
        <v>0</v>
      </c>
      <c r="BH1566">
        <f>IFERROR(Table13345678[[#This Row],[DeltaP]]*Table13345678[[#This Row],[Open.Int8]]*$A$4,0)</f>
        <v>0</v>
      </c>
      <c r="BI156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6">
        <f ca="1">Table13345678[[#This Row],[charmc]]+Table13345678[[#This Row],[charmp]]</f>
        <v>0</v>
      </c>
      <c r="BL156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6" s="78">
        <f ca="1">Table13345678[[#This Row],[call helper]]+Table13345678[[#This Row],[put helper]]</f>
        <v>0</v>
      </c>
      <c r="BP156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7" spans="1:68" x14ac:dyDescent="0.25">
      <c r="A1567" s="14">
        <f t="shared" ca="1" si="154"/>
        <v>-126.14810350076104</v>
      </c>
      <c r="C1567" s="17"/>
      <c r="D1567" t="str">
        <f>RTD("tos.rtd", , "OPEN_INT", "."&amp;Table13345678[[#This Row],[Ticker]]&amp;Table13345678[[#This Row],[Expiry]]&amp;""&amp;"C"&amp;Table13345678[[#This Row],[Spot]]+Table13345678[[#This Row],[step]])</f>
        <v>N/A</v>
      </c>
      <c r="E156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7" s="17" cm="1">
        <f t="array" aca="1" ref="H1567" ca="1">IndividualLegIVCore($A$4, Table13345678[[#This Row],[Strike]], 0.0411, Table13345678[[#This Row],[T]], ((Table13345678[[#This Row],[BIDC]]+Table13345678[[#This Row],[ASKC]])/2), TRUE)</f>
        <v>0.01</v>
      </c>
      <c r="I156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7" s="17"/>
      <c r="M1567" s="1">
        <f t="shared" si="155"/>
        <v>0</v>
      </c>
      <c r="N1567" t="b">
        <f t="shared" si="156"/>
        <v>0</v>
      </c>
      <c r="P1567" s="17" cm="1">
        <f t="array" aca="1" ref="P1567" ca="1">IndividualLegIVCore($A$4, Table13345678[[#This Row],[Strike]], 0.0411, Table13345678[[#This Row],[T]], ((Table13345678[[#This Row],[BIDP]]+Table13345678[[#This Row],[ASKP]])/2), FALSE)</f>
        <v>0.01</v>
      </c>
      <c r="Q156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7" s="17"/>
      <c r="T156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7" s="19">
        <f>18* IF($M$1="NDX", 10, IF(OR($M$1="SPX", $M$1="RUT"), 2, 1))</f>
        <v>36</v>
      </c>
      <c r="Z1567">
        <f ca="1">IFERROR(Table13345678[[#This Row],[call gamma]]*(Table13345678[[#This Row],[Open.Int]])*$A$4^2,0)</f>
        <v>0</v>
      </c>
      <c r="AA1567">
        <f ca="1">IFERROR(((Table13345678[[#This Row],[Open.Int8]])*Table13345678[[#This Row],[Put gamma]])*-1*$A$4^2,0)</f>
        <v>0</v>
      </c>
      <c r="AB1567">
        <f ca="1">(Table13345678[[#This Row],[Call Gex]]+Table13345678[[#This Row],[Put Gex]])</f>
        <v>0</v>
      </c>
      <c r="AC1567">
        <f ca="1">Table13345678[[#This Row],[put delta adj]]+Table13345678[[#This Row],[call delta adj]]</f>
        <v>0</v>
      </c>
      <c r="AD1567">
        <f ca="1">Table13345678[[#This Row],[Put Gex]]*Table13345678[[#This Row],[DeltaP]]*-1</f>
        <v>0</v>
      </c>
      <c r="AE1567">
        <f ca="1">Table13345678[[#This Row],[Call Gex]]*Table13345678[[#This Row],[DeltaC]]</f>
        <v>0</v>
      </c>
      <c r="AF1567">
        <f>IF(Table13345678[[#This Row],[DeltaC]]-ABS(Table13345678[[#This Row],[DeltaP]])="0","0.01",Table13345678[[#This Row],[DeltaC]]-ABS(Table13345678[[#This Row],[DeltaP]]))</f>
        <v>0</v>
      </c>
      <c r="AG156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7" t="e">
        <f ca="1">(EXP(-(AG1567^2)/2)/SQRT(2*PI())*EXP(0*SQRT(Table13345678[[#This Row],[T]]))/$A$4*18%*SQRT(SQRT(Table13345678[[#This Row],[T]])))</f>
        <v>#DIV/0!</v>
      </c>
      <c r="AJ1567" t="e">
        <f ca="1">(EXP(-(AH1567^2)/2)/SQRT(2*PI())*EXP(0*SQRT(Table13345678[[#This Row],[T]]))/$A$4*18%*SQRT(SQRT(Table13345678[[#This Row],[T]])))</f>
        <v>#DIV/0!</v>
      </c>
      <c r="AK1567" t="e">
        <f ca="1">Table13345678[[#This Row],[Call D1]]-Table13345678[[#This Row],[IV Calc C]]*SQRT(Table13345678[[#This Row],[T]])</f>
        <v>#DIV/0!</v>
      </c>
      <c r="AL1567" t="e">
        <f ca="1">Table13345678[[#This Row],[Put D1]]-Table13345678[[#This Row],[IV Calc P]]*SQRT(Table13345678[[#This Row],[T]])</f>
        <v>#DIV/0!</v>
      </c>
      <c r="AM1567" t="e">
        <f ca="1">EXP(-0.5*Table13345678[[#This Row],[Call D1]]^2)/SQRT(2*PI())</f>
        <v>#DIV/0!</v>
      </c>
      <c r="AN1567" t="e">
        <f ca="1">EXP(-0.5*Table13345678[[#This Row],[Put D1]]^2)/SQRT(2*PI())</f>
        <v>#DIV/0!</v>
      </c>
      <c r="AO156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7">
        <f ca="1">((Table13345678[[#This Row],[call vanna]]+Table13345678[[#This Row],[put vanna]])*$A$4)</f>
        <v>0</v>
      </c>
      <c r="AR156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7" s="9" t="str" cm="1">
        <f t="array" ref="AT1567">_xlfn.IFS(     $M$1="SPX","SPXW",     $M$1="RUT","RUTW",  $M$1="NDX","NDXP",   TRUE,$M$1 )</f>
        <v>SPXW</v>
      </c>
      <c r="AU1567" s="2">
        <f t="shared" si="157"/>
        <v>6915</v>
      </c>
      <c r="AV1567" t="str">
        <f t="shared" si="158"/>
        <v>000100</v>
      </c>
      <c r="AY156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7">
        <f>((Table13345678[[#This Row],[High C]]+Table13345678[[#This Row],[Low C]])/2)*Table13345678[[#This Row],[gammac]]*Table13345678[[#This Row],[Volume]]</f>
        <v>0</v>
      </c>
      <c r="BD1567">
        <f>((Table13345678[[#This Row],[High P]]+Table13345678[[#This Row],[Low P]])/2)*Table13345678[[#This Row],[gammap]]*Table13345678[[#This Row],[Volume9]]*-1</f>
        <v>0</v>
      </c>
      <c r="BE1567">
        <f>(Table13345678[[#This Row],[SgammaC]]+Table13345678[[#This Row],[SgammaP]])*$A$4*-100</f>
        <v>0</v>
      </c>
      <c r="BF1567">
        <f>Table13345678[[#This Row],[DEXc]]+Table13345678[[#This Row],[DEXp]]</f>
        <v>0</v>
      </c>
      <c r="BG1567" s="78">
        <f>IFERROR(Table13345678[[#This Row],[DeltaC]]*Table13345678[[#This Row],[Open.Int]]*$A$4,0)</f>
        <v>0</v>
      </c>
      <c r="BH1567">
        <f>IFERROR(Table13345678[[#This Row],[DeltaP]]*Table13345678[[#This Row],[Open.Int8]]*$A$4,0)</f>
        <v>0</v>
      </c>
      <c r="BI156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7">
        <f ca="1">Table13345678[[#This Row],[charmc]]+Table13345678[[#This Row],[charmp]]</f>
        <v>0</v>
      </c>
      <c r="BL156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7" s="78">
        <f ca="1">Table13345678[[#This Row],[call helper]]+Table13345678[[#This Row],[put helper]]</f>
        <v>0</v>
      </c>
      <c r="BP156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8" spans="1:68" x14ac:dyDescent="0.25">
      <c r="A1568" s="14">
        <f t="shared" ca="1" si="154"/>
        <v>-126.14810350076104</v>
      </c>
      <c r="C1568" s="17"/>
      <c r="D1568" t="str">
        <f>RTD("tos.rtd", , "OPEN_INT", "."&amp;Table13345678[[#This Row],[Ticker]]&amp;Table13345678[[#This Row],[Expiry]]&amp;""&amp;"C"&amp;Table13345678[[#This Row],[Spot]]+Table13345678[[#This Row],[step]])</f>
        <v>N/A</v>
      </c>
      <c r="E156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8" s="17" cm="1">
        <f t="array" aca="1" ref="H1568" ca="1">IndividualLegIVCore($A$4, Table13345678[[#This Row],[Strike]], 0.0411, Table13345678[[#This Row],[T]], ((Table13345678[[#This Row],[BIDC]]+Table13345678[[#This Row],[ASKC]])/2), TRUE)</f>
        <v>0.01</v>
      </c>
      <c r="I156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8" s="17"/>
      <c r="M1568" s="1">
        <f t="shared" si="155"/>
        <v>0</v>
      </c>
      <c r="N1568" t="b">
        <f t="shared" si="156"/>
        <v>0</v>
      </c>
      <c r="P1568" s="17" cm="1">
        <f t="array" aca="1" ref="P1568" ca="1">IndividualLegIVCore($A$4, Table13345678[[#This Row],[Strike]], 0.0411, Table13345678[[#This Row],[T]], ((Table13345678[[#This Row],[BIDP]]+Table13345678[[#This Row],[ASKP]])/2), FALSE)</f>
        <v>0.01</v>
      </c>
      <c r="Q156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8" s="17"/>
      <c r="T156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8" s="19">
        <f>18.5* IF($M$1="NDX", 10, IF(OR($M$1="SPX", $M$1="RUT"), 2, 1))</f>
        <v>37</v>
      </c>
      <c r="Z1568">
        <f ca="1">IFERROR(Table13345678[[#This Row],[call gamma]]*(Table13345678[[#This Row],[Open.Int]])*$A$4^2,0)</f>
        <v>0</v>
      </c>
      <c r="AA1568">
        <f ca="1">IFERROR(((Table13345678[[#This Row],[Open.Int8]])*Table13345678[[#This Row],[Put gamma]])*-1*$A$4^2,0)</f>
        <v>0</v>
      </c>
      <c r="AB1568">
        <f ca="1">(Table13345678[[#This Row],[Call Gex]]+Table13345678[[#This Row],[Put Gex]])</f>
        <v>0</v>
      </c>
      <c r="AC1568">
        <f ca="1">Table13345678[[#This Row],[put delta adj]]+Table13345678[[#This Row],[call delta adj]]</f>
        <v>0</v>
      </c>
      <c r="AD1568">
        <f ca="1">Table13345678[[#This Row],[Put Gex]]*Table13345678[[#This Row],[DeltaP]]*-1</f>
        <v>0</v>
      </c>
      <c r="AE1568">
        <f ca="1">Table13345678[[#This Row],[Call Gex]]*Table13345678[[#This Row],[DeltaC]]</f>
        <v>0</v>
      </c>
      <c r="AF1568">
        <f>IF(Table13345678[[#This Row],[DeltaC]]-ABS(Table13345678[[#This Row],[DeltaP]])="0","0.01",Table13345678[[#This Row],[DeltaC]]-ABS(Table13345678[[#This Row],[DeltaP]]))</f>
        <v>0</v>
      </c>
      <c r="AG156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8" t="e">
        <f ca="1">(EXP(-(AG1568^2)/2)/SQRT(2*PI())*EXP(0*SQRT(Table13345678[[#This Row],[T]]))/$A$4*18%*SQRT(SQRT(Table13345678[[#This Row],[T]])))</f>
        <v>#DIV/0!</v>
      </c>
      <c r="AJ1568" t="e">
        <f ca="1">(EXP(-(AH1568^2)/2)/SQRT(2*PI())*EXP(0*SQRT(Table13345678[[#This Row],[T]]))/$A$4*18%*SQRT(SQRT(Table13345678[[#This Row],[T]])))</f>
        <v>#DIV/0!</v>
      </c>
      <c r="AK1568" t="e">
        <f ca="1">Table13345678[[#This Row],[Call D1]]-Table13345678[[#This Row],[IV Calc C]]*SQRT(Table13345678[[#This Row],[T]])</f>
        <v>#DIV/0!</v>
      </c>
      <c r="AL1568" t="e">
        <f ca="1">Table13345678[[#This Row],[Put D1]]-Table13345678[[#This Row],[IV Calc P]]*SQRT(Table13345678[[#This Row],[T]])</f>
        <v>#DIV/0!</v>
      </c>
      <c r="AM1568" t="e">
        <f ca="1">EXP(-0.5*Table13345678[[#This Row],[Call D1]]^2)/SQRT(2*PI())</f>
        <v>#DIV/0!</v>
      </c>
      <c r="AN1568" t="e">
        <f ca="1">EXP(-0.5*Table13345678[[#This Row],[Put D1]]^2)/SQRT(2*PI())</f>
        <v>#DIV/0!</v>
      </c>
      <c r="AO156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8">
        <f ca="1">((Table13345678[[#This Row],[call vanna]]+Table13345678[[#This Row],[put vanna]])*$A$4)</f>
        <v>0</v>
      </c>
      <c r="AR156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8" s="9" t="str" cm="1">
        <f t="array" ref="AT1568">_xlfn.IFS(     $M$1="SPX","SPXW",     $M$1="RUT","RUTW",  $M$1="NDX","NDXP",   TRUE,$M$1 )</f>
        <v>SPXW</v>
      </c>
      <c r="AU1568" s="2">
        <f t="shared" si="157"/>
        <v>6915</v>
      </c>
      <c r="AV1568" t="str">
        <f t="shared" si="158"/>
        <v>000100</v>
      </c>
      <c r="AY156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8">
        <f>((Table13345678[[#This Row],[High C]]+Table13345678[[#This Row],[Low C]])/2)*Table13345678[[#This Row],[gammac]]*Table13345678[[#This Row],[Volume]]</f>
        <v>0</v>
      </c>
      <c r="BD1568">
        <f>((Table13345678[[#This Row],[High P]]+Table13345678[[#This Row],[Low P]])/2)*Table13345678[[#This Row],[gammap]]*Table13345678[[#This Row],[Volume9]]*-1</f>
        <v>0</v>
      </c>
      <c r="BE1568">
        <f>(Table13345678[[#This Row],[SgammaC]]+Table13345678[[#This Row],[SgammaP]])*$A$4*-100</f>
        <v>0</v>
      </c>
      <c r="BF1568">
        <f>Table13345678[[#This Row],[DEXc]]+Table13345678[[#This Row],[DEXp]]</f>
        <v>0</v>
      </c>
      <c r="BG1568" s="78">
        <f>IFERROR(Table13345678[[#This Row],[DeltaC]]*Table13345678[[#This Row],[Open.Int]]*$A$4,0)</f>
        <v>0</v>
      </c>
      <c r="BH1568">
        <f>IFERROR(Table13345678[[#This Row],[DeltaP]]*Table13345678[[#This Row],[Open.Int8]]*$A$4,0)</f>
        <v>0</v>
      </c>
      <c r="BI156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8">
        <f ca="1">Table13345678[[#This Row],[charmc]]+Table13345678[[#This Row],[charmp]]</f>
        <v>0</v>
      </c>
      <c r="BL156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8" s="78">
        <f ca="1">Table13345678[[#This Row],[call helper]]+Table13345678[[#This Row],[put helper]]</f>
        <v>0</v>
      </c>
      <c r="BP156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9" spans="1:68" x14ac:dyDescent="0.25">
      <c r="A1569" s="14">
        <f t="shared" ca="1" si="154"/>
        <v>-126.14810350076104</v>
      </c>
      <c r="C1569" s="17"/>
      <c r="D1569" t="str">
        <f>RTD("tos.rtd", , "OPEN_INT", "."&amp;Table13345678[[#This Row],[Ticker]]&amp;Table13345678[[#This Row],[Expiry]]&amp;""&amp;"C"&amp;Table13345678[[#This Row],[Spot]]+Table13345678[[#This Row],[step]])</f>
        <v>N/A</v>
      </c>
      <c r="E156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9" s="17" cm="1">
        <f t="array" aca="1" ref="H1569" ca="1">IndividualLegIVCore($A$4, Table13345678[[#This Row],[Strike]], 0.0411, Table13345678[[#This Row],[T]], ((Table13345678[[#This Row],[BIDC]]+Table13345678[[#This Row],[ASKC]])/2), TRUE)</f>
        <v>0.01</v>
      </c>
      <c r="I156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9" s="17"/>
      <c r="M1569" s="1">
        <f t="shared" si="155"/>
        <v>0</v>
      </c>
      <c r="N1569" t="b">
        <f t="shared" si="156"/>
        <v>0</v>
      </c>
      <c r="P1569" s="17" cm="1">
        <f t="array" aca="1" ref="P1569" ca="1">IndividualLegIVCore($A$4, Table13345678[[#This Row],[Strike]], 0.0411, Table13345678[[#This Row],[T]], ((Table13345678[[#This Row],[BIDP]]+Table13345678[[#This Row],[ASKP]])/2), FALSE)</f>
        <v>0.01</v>
      </c>
      <c r="Q156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9" s="17"/>
      <c r="T156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9" s="19">
        <f>19* IF($M$1="NDX", 10, IF(OR($M$1="SPX", $M$1="RUT"), 2, 1))</f>
        <v>38</v>
      </c>
      <c r="Z1569">
        <f ca="1">IFERROR(Table13345678[[#This Row],[call gamma]]*(Table13345678[[#This Row],[Open.Int]])*$A$4^2,0)</f>
        <v>0</v>
      </c>
      <c r="AA1569">
        <f ca="1">IFERROR(((Table13345678[[#This Row],[Open.Int8]])*Table13345678[[#This Row],[Put gamma]])*-1*$A$4^2,0)</f>
        <v>0</v>
      </c>
      <c r="AB1569">
        <f ca="1">(Table13345678[[#This Row],[Call Gex]]+Table13345678[[#This Row],[Put Gex]])</f>
        <v>0</v>
      </c>
      <c r="AC1569">
        <f ca="1">Table13345678[[#This Row],[put delta adj]]+Table13345678[[#This Row],[call delta adj]]</f>
        <v>0</v>
      </c>
      <c r="AD1569">
        <f ca="1">Table13345678[[#This Row],[Put Gex]]*Table13345678[[#This Row],[DeltaP]]*-1</f>
        <v>0</v>
      </c>
      <c r="AE1569">
        <f ca="1">Table13345678[[#This Row],[Call Gex]]*Table13345678[[#This Row],[DeltaC]]</f>
        <v>0</v>
      </c>
      <c r="AF1569">
        <f>IF(Table13345678[[#This Row],[DeltaC]]-ABS(Table13345678[[#This Row],[DeltaP]])="0","0.01",Table13345678[[#This Row],[DeltaC]]-ABS(Table13345678[[#This Row],[DeltaP]]))</f>
        <v>0</v>
      </c>
      <c r="AG156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9" t="e">
        <f ca="1">(EXP(-(AG1569^2)/2)/SQRT(2*PI())*EXP(0*SQRT(Table13345678[[#This Row],[T]]))/$A$4*18%*SQRT(SQRT(Table13345678[[#This Row],[T]])))</f>
        <v>#DIV/0!</v>
      </c>
      <c r="AJ1569" t="e">
        <f ca="1">(EXP(-(AH1569^2)/2)/SQRT(2*PI())*EXP(0*SQRT(Table13345678[[#This Row],[T]]))/$A$4*18%*SQRT(SQRT(Table13345678[[#This Row],[T]])))</f>
        <v>#DIV/0!</v>
      </c>
      <c r="AK1569" t="e">
        <f ca="1">Table13345678[[#This Row],[Call D1]]-Table13345678[[#This Row],[IV Calc C]]*SQRT(Table13345678[[#This Row],[T]])</f>
        <v>#DIV/0!</v>
      </c>
      <c r="AL1569" t="e">
        <f ca="1">Table13345678[[#This Row],[Put D1]]-Table13345678[[#This Row],[IV Calc P]]*SQRT(Table13345678[[#This Row],[T]])</f>
        <v>#DIV/0!</v>
      </c>
      <c r="AM1569" t="e">
        <f ca="1">EXP(-0.5*Table13345678[[#This Row],[Call D1]]^2)/SQRT(2*PI())</f>
        <v>#DIV/0!</v>
      </c>
      <c r="AN1569" t="e">
        <f ca="1">EXP(-0.5*Table13345678[[#This Row],[Put D1]]^2)/SQRT(2*PI())</f>
        <v>#DIV/0!</v>
      </c>
      <c r="AO156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9">
        <f ca="1">((Table13345678[[#This Row],[call vanna]]+Table13345678[[#This Row],[put vanna]])*$A$4)</f>
        <v>0</v>
      </c>
      <c r="AR156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9" s="9" t="str" cm="1">
        <f t="array" ref="AT1569">_xlfn.IFS(     $M$1="SPX","SPXW",     $M$1="RUT","RUTW",  $M$1="NDX","NDXP",   TRUE,$M$1 )</f>
        <v>SPXW</v>
      </c>
      <c r="AU1569" s="2">
        <f t="shared" si="157"/>
        <v>6915</v>
      </c>
      <c r="AV1569" t="str">
        <f t="shared" si="158"/>
        <v>000100</v>
      </c>
      <c r="AY156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9">
        <f>((Table13345678[[#This Row],[High C]]+Table13345678[[#This Row],[Low C]])/2)*Table13345678[[#This Row],[gammac]]*Table13345678[[#This Row],[Volume]]</f>
        <v>0</v>
      </c>
      <c r="BD1569">
        <f>((Table13345678[[#This Row],[High P]]+Table13345678[[#This Row],[Low P]])/2)*Table13345678[[#This Row],[gammap]]*Table13345678[[#This Row],[Volume9]]*-1</f>
        <v>0</v>
      </c>
      <c r="BE1569">
        <f>(Table13345678[[#This Row],[SgammaC]]+Table13345678[[#This Row],[SgammaP]])*$A$4*-100</f>
        <v>0</v>
      </c>
      <c r="BF1569">
        <f>Table13345678[[#This Row],[DEXc]]+Table13345678[[#This Row],[DEXp]]</f>
        <v>0</v>
      </c>
      <c r="BG1569" s="78">
        <f>IFERROR(Table13345678[[#This Row],[DeltaC]]*Table13345678[[#This Row],[Open.Int]]*$A$4,0)</f>
        <v>0</v>
      </c>
      <c r="BH1569">
        <f>IFERROR(Table13345678[[#This Row],[DeltaP]]*Table13345678[[#This Row],[Open.Int8]]*$A$4,0)</f>
        <v>0</v>
      </c>
      <c r="BI156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9">
        <f ca="1">Table13345678[[#This Row],[charmc]]+Table13345678[[#This Row],[charmp]]</f>
        <v>0</v>
      </c>
      <c r="BL156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9" s="78">
        <f ca="1">Table13345678[[#This Row],[call helper]]+Table13345678[[#This Row],[put helper]]</f>
        <v>0</v>
      </c>
      <c r="BP156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0" spans="1:68" x14ac:dyDescent="0.25">
      <c r="A1570" s="14">
        <f t="shared" ca="1" si="154"/>
        <v>-126.14810350076104</v>
      </c>
      <c r="C1570" s="17"/>
      <c r="D1570" t="str">
        <f>RTD("tos.rtd", , "OPEN_INT", "."&amp;Table13345678[[#This Row],[Ticker]]&amp;Table13345678[[#This Row],[Expiry]]&amp;""&amp;"C"&amp;Table13345678[[#This Row],[Spot]]+Table13345678[[#This Row],[step]])</f>
        <v>N/A</v>
      </c>
      <c r="E157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0" s="17" cm="1">
        <f t="array" aca="1" ref="H1570" ca="1">IndividualLegIVCore($A$4, Table13345678[[#This Row],[Strike]], 0.0411, Table13345678[[#This Row],[T]], ((Table13345678[[#This Row],[BIDC]]+Table13345678[[#This Row],[ASKC]])/2), TRUE)</f>
        <v>0.01</v>
      </c>
      <c r="I157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0" s="17"/>
      <c r="M1570" s="1">
        <f t="shared" si="155"/>
        <v>0</v>
      </c>
      <c r="N1570" t="b">
        <f t="shared" si="156"/>
        <v>0</v>
      </c>
      <c r="P1570" s="17" cm="1">
        <f t="array" aca="1" ref="P1570" ca="1">IndividualLegIVCore($A$4, Table13345678[[#This Row],[Strike]], 0.0411, Table13345678[[#This Row],[T]], ((Table13345678[[#This Row],[BIDP]]+Table13345678[[#This Row],[ASKP]])/2), FALSE)</f>
        <v>0.01</v>
      </c>
      <c r="Q157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0" s="17"/>
      <c r="T157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0" s="19">
        <f>19.5* IF($M$1="NDX", 10, IF(OR($M$1="SPX", $M$1="RUT"), 2, 1))</f>
        <v>39</v>
      </c>
      <c r="Z1570">
        <f ca="1">IFERROR(Table13345678[[#This Row],[call gamma]]*(Table13345678[[#This Row],[Open.Int]])*$A$4^2,0)</f>
        <v>0</v>
      </c>
      <c r="AA1570">
        <f ca="1">IFERROR(((Table13345678[[#This Row],[Open.Int8]])*Table13345678[[#This Row],[Put gamma]])*-1*$A$4^2,0)</f>
        <v>0</v>
      </c>
      <c r="AB1570">
        <f ca="1">(Table13345678[[#This Row],[Call Gex]]+Table13345678[[#This Row],[Put Gex]])</f>
        <v>0</v>
      </c>
      <c r="AC1570">
        <f ca="1">Table13345678[[#This Row],[put delta adj]]+Table13345678[[#This Row],[call delta adj]]</f>
        <v>0</v>
      </c>
      <c r="AD1570">
        <f ca="1">Table13345678[[#This Row],[Put Gex]]*Table13345678[[#This Row],[DeltaP]]*-1</f>
        <v>0</v>
      </c>
      <c r="AE1570">
        <f ca="1">Table13345678[[#This Row],[Call Gex]]*Table13345678[[#This Row],[DeltaC]]</f>
        <v>0</v>
      </c>
      <c r="AF1570">
        <f>IF(Table13345678[[#This Row],[DeltaC]]-ABS(Table13345678[[#This Row],[DeltaP]])="0","0.01",Table13345678[[#This Row],[DeltaC]]-ABS(Table13345678[[#This Row],[DeltaP]]))</f>
        <v>0</v>
      </c>
      <c r="AG157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0" t="e">
        <f ca="1">(EXP(-(AG1570^2)/2)/SQRT(2*PI())*EXP(0*SQRT(Table13345678[[#This Row],[T]]))/$A$4*18%*SQRT(SQRT(Table13345678[[#This Row],[T]])))</f>
        <v>#DIV/0!</v>
      </c>
      <c r="AJ1570" t="e">
        <f ca="1">(EXP(-(AH1570^2)/2)/SQRT(2*PI())*EXP(0*SQRT(Table13345678[[#This Row],[T]]))/$A$4*18%*SQRT(SQRT(Table13345678[[#This Row],[T]])))</f>
        <v>#DIV/0!</v>
      </c>
      <c r="AK1570" t="e">
        <f ca="1">Table13345678[[#This Row],[Call D1]]-Table13345678[[#This Row],[IV Calc C]]*SQRT(Table13345678[[#This Row],[T]])</f>
        <v>#DIV/0!</v>
      </c>
      <c r="AL1570" t="e">
        <f ca="1">Table13345678[[#This Row],[Put D1]]-Table13345678[[#This Row],[IV Calc P]]*SQRT(Table13345678[[#This Row],[T]])</f>
        <v>#DIV/0!</v>
      </c>
      <c r="AM1570" t="e">
        <f ca="1">EXP(-0.5*Table13345678[[#This Row],[Call D1]]^2)/SQRT(2*PI())</f>
        <v>#DIV/0!</v>
      </c>
      <c r="AN1570" t="e">
        <f ca="1">EXP(-0.5*Table13345678[[#This Row],[Put D1]]^2)/SQRT(2*PI())</f>
        <v>#DIV/0!</v>
      </c>
      <c r="AO157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0">
        <f ca="1">((Table13345678[[#This Row],[call vanna]]+Table13345678[[#This Row],[put vanna]])*$A$4)</f>
        <v>0</v>
      </c>
      <c r="AR157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0" s="9" t="str" cm="1">
        <f t="array" ref="AT1570">_xlfn.IFS(     $M$1="SPX","SPXW",     $M$1="RUT","RUTW",  $M$1="NDX","NDXP",   TRUE,$M$1 )</f>
        <v>SPXW</v>
      </c>
      <c r="AU1570" s="2">
        <f t="shared" si="157"/>
        <v>6915</v>
      </c>
      <c r="AV1570" t="str">
        <f t="shared" si="158"/>
        <v>000100</v>
      </c>
      <c r="AY157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0">
        <f>((Table13345678[[#This Row],[High C]]+Table13345678[[#This Row],[Low C]])/2)*Table13345678[[#This Row],[gammac]]*Table13345678[[#This Row],[Volume]]</f>
        <v>0</v>
      </c>
      <c r="BD1570">
        <f>((Table13345678[[#This Row],[High P]]+Table13345678[[#This Row],[Low P]])/2)*Table13345678[[#This Row],[gammap]]*Table13345678[[#This Row],[Volume9]]*-1</f>
        <v>0</v>
      </c>
      <c r="BE1570">
        <f>(Table13345678[[#This Row],[SgammaC]]+Table13345678[[#This Row],[SgammaP]])*$A$4*-100</f>
        <v>0</v>
      </c>
      <c r="BF1570">
        <f>Table13345678[[#This Row],[DEXc]]+Table13345678[[#This Row],[DEXp]]</f>
        <v>0</v>
      </c>
      <c r="BG1570" s="78">
        <f>IFERROR(Table13345678[[#This Row],[DeltaC]]*Table13345678[[#This Row],[Open.Int]]*$A$4,0)</f>
        <v>0</v>
      </c>
      <c r="BH1570">
        <f>IFERROR(Table13345678[[#This Row],[DeltaP]]*Table13345678[[#This Row],[Open.Int8]]*$A$4,0)</f>
        <v>0</v>
      </c>
      <c r="BI157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0">
        <f ca="1">Table13345678[[#This Row],[charmc]]+Table13345678[[#This Row],[charmp]]</f>
        <v>0</v>
      </c>
      <c r="BL157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0" s="78">
        <f ca="1">Table13345678[[#This Row],[call helper]]+Table13345678[[#This Row],[put helper]]</f>
        <v>0</v>
      </c>
      <c r="BP157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1" spans="1:68" x14ac:dyDescent="0.25">
      <c r="A1571" s="14">
        <f t="shared" ca="1" si="154"/>
        <v>-126.14810350076104</v>
      </c>
      <c r="C1571" s="17"/>
      <c r="D1571" t="str">
        <f>RTD("tos.rtd", , "OPEN_INT", "."&amp;Table13345678[[#This Row],[Ticker]]&amp;Table13345678[[#This Row],[Expiry]]&amp;""&amp;"C"&amp;Table13345678[[#This Row],[Spot]]+Table13345678[[#This Row],[step]])</f>
        <v>N/A</v>
      </c>
      <c r="E157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1" s="17" cm="1">
        <f t="array" aca="1" ref="H1571" ca="1">IndividualLegIVCore($A$4, Table13345678[[#This Row],[Strike]], 0.0411, Table13345678[[#This Row],[T]], ((Table13345678[[#This Row],[BIDC]]+Table13345678[[#This Row],[ASKC]])/2), TRUE)</f>
        <v>0.01</v>
      </c>
      <c r="I157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1" s="17"/>
      <c r="M1571" s="1">
        <f t="shared" si="155"/>
        <v>0</v>
      </c>
      <c r="N1571" t="b">
        <f t="shared" si="156"/>
        <v>0</v>
      </c>
      <c r="P1571" s="17" cm="1">
        <f t="array" aca="1" ref="P1571" ca="1">IndividualLegIVCore($A$4, Table13345678[[#This Row],[Strike]], 0.0411, Table13345678[[#This Row],[T]], ((Table13345678[[#This Row],[BIDP]]+Table13345678[[#This Row],[ASKP]])/2), FALSE)</f>
        <v>0.01</v>
      </c>
      <c r="Q157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1" s="17"/>
      <c r="T157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1" s="19">
        <f>20* IF($M$1="NDX", 10, IF(OR($M$1="SPX", $M$1="RUT"), 2, 1))</f>
        <v>40</v>
      </c>
      <c r="Z1571">
        <f ca="1">IFERROR(Table13345678[[#This Row],[call gamma]]*(Table13345678[[#This Row],[Open.Int]])*$A$4^2,0)</f>
        <v>0</v>
      </c>
      <c r="AA1571">
        <f ca="1">IFERROR(((Table13345678[[#This Row],[Open.Int8]])*Table13345678[[#This Row],[Put gamma]])*-1*$A$4^2,0)</f>
        <v>0</v>
      </c>
      <c r="AB1571">
        <f ca="1">(Table13345678[[#This Row],[Call Gex]]+Table13345678[[#This Row],[Put Gex]])</f>
        <v>0</v>
      </c>
      <c r="AC1571">
        <f ca="1">Table13345678[[#This Row],[put delta adj]]+Table13345678[[#This Row],[call delta adj]]</f>
        <v>0</v>
      </c>
      <c r="AD1571">
        <f ca="1">Table13345678[[#This Row],[Put Gex]]*Table13345678[[#This Row],[DeltaP]]*-1</f>
        <v>0</v>
      </c>
      <c r="AE1571">
        <f ca="1">Table13345678[[#This Row],[Call Gex]]*Table13345678[[#This Row],[DeltaC]]</f>
        <v>0</v>
      </c>
      <c r="AF1571">
        <f>IF(Table13345678[[#This Row],[DeltaC]]-ABS(Table13345678[[#This Row],[DeltaP]])="0","0.01",Table13345678[[#This Row],[DeltaC]]-ABS(Table13345678[[#This Row],[DeltaP]]))</f>
        <v>0</v>
      </c>
      <c r="AG157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1" t="e">
        <f ca="1">(EXP(-(AG1571^2)/2)/SQRT(2*PI())*EXP(0*SQRT(Table13345678[[#This Row],[T]]))/$A$4*18%*SQRT(SQRT(Table13345678[[#This Row],[T]])))</f>
        <v>#DIV/0!</v>
      </c>
      <c r="AJ1571" t="e">
        <f ca="1">(EXP(-(AH1571^2)/2)/SQRT(2*PI())*EXP(0*SQRT(Table13345678[[#This Row],[T]]))/$A$4*18%*SQRT(SQRT(Table13345678[[#This Row],[T]])))</f>
        <v>#DIV/0!</v>
      </c>
      <c r="AK1571" t="e">
        <f ca="1">Table13345678[[#This Row],[Call D1]]-Table13345678[[#This Row],[IV Calc C]]*SQRT(Table13345678[[#This Row],[T]])</f>
        <v>#DIV/0!</v>
      </c>
      <c r="AL1571" t="e">
        <f ca="1">Table13345678[[#This Row],[Put D1]]-Table13345678[[#This Row],[IV Calc P]]*SQRT(Table13345678[[#This Row],[T]])</f>
        <v>#DIV/0!</v>
      </c>
      <c r="AM1571" t="e">
        <f ca="1">EXP(-0.5*Table13345678[[#This Row],[Call D1]]^2)/SQRT(2*PI())</f>
        <v>#DIV/0!</v>
      </c>
      <c r="AN1571" t="e">
        <f ca="1">EXP(-0.5*Table13345678[[#This Row],[Put D1]]^2)/SQRT(2*PI())</f>
        <v>#DIV/0!</v>
      </c>
      <c r="AO157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1">
        <f ca="1">((Table13345678[[#This Row],[call vanna]]+Table13345678[[#This Row],[put vanna]])*$A$4)</f>
        <v>0</v>
      </c>
      <c r="AR157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1" s="9" t="str" cm="1">
        <f t="array" ref="AT1571">_xlfn.IFS(     $M$1="SPX","SPXW",     $M$1="RUT","RUTW",  $M$1="NDX","NDXP",   TRUE,$M$1 )</f>
        <v>SPXW</v>
      </c>
      <c r="AU1571" s="2">
        <f t="shared" si="157"/>
        <v>6915</v>
      </c>
      <c r="AV1571" t="str">
        <f t="shared" si="158"/>
        <v>000100</v>
      </c>
      <c r="AY157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1">
        <f>((Table13345678[[#This Row],[High C]]+Table13345678[[#This Row],[Low C]])/2)*Table13345678[[#This Row],[gammac]]*Table13345678[[#This Row],[Volume]]</f>
        <v>0</v>
      </c>
      <c r="BD1571">
        <f>((Table13345678[[#This Row],[High P]]+Table13345678[[#This Row],[Low P]])/2)*Table13345678[[#This Row],[gammap]]*Table13345678[[#This Row],[Volume9]]*-1</f>
        <v>0</v>
      </c>
      <c r="BE1571">
        <f>(Table13345678[[#This Row],[SgammaC]]+Table13345678[[#This Row],[SgammaP]])*$A$4*-100</f>
        <v>0</v>
      </c>
      <c r="BF1571">
        <f>Table13345678[[#This Row],[DEXc]]+Table13345678[[#This Row],[DEXp]]</f>
        <v>0</v>
      </c>
      <c r="BG1571" s="78">
        <f>IFERROR(Table13345678[[#This Row],[DeltaC]]*Table13345678[[#This Row],[Open.Int]]*$A$4,0)</f>
        <v>0</v>
      </c>
      <c r="BH1571">
        <f>IFERROR(Table13345678[[#This Row],[DeltaP]]*Table13345678[[#This Row],[Open.Int8]]*$A$4,0)</f>
        <v>0</v>
      </c>
      <c r="BI157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1">
        <f ca="1">Table13345678[[#This Row],[charmc]]+Table13345678[[#This Row],[charmp]]</f>
        <v>0</v>
      </c>
      <c r="BL157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1" s="78">
        <f ca="1">Table13345678[[#This Row],[call helper]]+Table13345678[[#This Row],[put helper]]</f>
        <v>0</v>
      </c>
      <c r="BP157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2" spans="1:68" x14ac:dyDescent="0.25">
      <c r="A1572" s="14">
        <f t="shared" ca="1" si="154"/>
        <v>-126.14810350076104</v>
      </c>
      <c r="C1572" s="17"/>
      <c r="D1572" t="str">
        <f>RTD("tos.rtd", , "OPEN_INT", "."&amp;Table13345678[[#This Row],[Ticker]]&amp;Table13345678[[#This Row],[Expiry]]&amp;""&amp;"C"&amp;Table13345678[[#This Row],[Spot]]+Table13345678[[#This Row],[step]])</f>
        <v>N/A</v>
      </c>
      <c r="E157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2" s="17" cm="1">
        <f t="array" aca="1" ref="H1572" ca="1">IndividualLegIVCore($A$4, Table13345678[[#This Row],[Strike]], 0.0411, Table13345678[[#This Row],[T]], ((Table13345678[[#This Row],[BIDC]]+Table13345678[[#This Row],[ASKC]])/2), TRUE)</f>
        <v>0.01</v>
      </c>
      <c r="I157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2" s="17"/>
      <c r="M1572" s="1">
        <f t="shared" si="155"/>
        <v>0</v>
      </c>
      <c r="N1572" t="b">
        <f t="shared" si="156"/>
        <v>0</v>
      </c>
      <c r="P1572" s="17" cm="1">
        <f t="array" aca="1" ref="P1572" ca="1">IndividualLegIVCore($A$4, Table13345678[[#This Row],[Strike]], 0.0411, Table13345678[[#This Row],[T]], ((Table13345678[[#This Row],[BIDP]]+Table13345678[[#This Row],[ASKP]])/2), FALSE)</f>
        <v>0.01</v>
      </c>
      <c r="Q157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2" s="17"/>
      <c r="T157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2" s="19">
        <f>20.5* IF($M$1="NDX", 10, IF(OR($M$1="SPX", $M$1="RUT"), 2, 1))</f>
        <v>41</v>
      </c>
      <c r="Z1572">
        <f ca="1">IFERROR(Table13345678[[#This Row],[call gamma]]*(Table13345678[[#This Row],[Open.Int]])*$A$4^2,0)</f>
        <v>0</v>
      </c>
      <c r="AA1572">
        <f ca="1">IFERROR(((Table13345678[[#This Row],[Open.Int8]])*Table13345678[[#This Row],[Put gamma]])*-1*$A$4^2,0)</f>
        <v>0</v>
      </c>
      <c r="AB1572">
        <f ca="1">(Table13345678[[#This Row],[Call Gex]]+Table13345678[[#This Row],[Put Gex]])</f>
        <v>0</v>
      </c>
      <c r="AC1572">
        <f ca="1">Table13345678[[#This Row],[put delta adj]]+Table13345678[[#This Row],[call delta adj]]</f>
        <v>0</v>
      </c>
      <c r="AD1572">
        <f ca="1">Table13345678[[#This Row],[Put Gex]]*Table13345678[[#This Row],[DeltaP]]*-1</f>
        <v>0</v>
      </c>
      <c r="AE1572">
        <f ca="1">Table13345678[[#This Row],[Call Gex]]*Table13345678[[#This Row],[DeltaC]]</f>
        <v>0</v>
      </c>
      <c r="AF1572">
        <f>IF(Table13345678[[#This Row],[DeltaC]]-ABS(Table13345678[[#This Row],[DeltaP]])="0","0.01",Table13345678[[#This Row],[DeltaC]]-ABS(Table13345678[[#This Row],[DeltaP]]))</f>
        <v>0</v>
      </c>
      <c r="AG157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2" t="e">
        <f ca="1">(EXP(-(AG1572^2)/2)/SQRT(2*PI())*EXP(0*SQRT(Table13345678[[#This Row],[T]]))/$A$4*18%*SQRT(SQRT(Table13345678[[#This Row],[T]])))</f>
        <v>#DIV/0!</v>
      </c>
      <c r="AJ1572" t="e">
        <f ca="1">(EXP(-(AH1572^2)/2)/SQRT(2*PI())*EXP(0*SQRT(Table13345678[[#This Row],[T]]))/$A$4*18%*SQRT(SQRT(Table13345678[[#This Row],[T]])))</f>
        <v>#DIV/0!</v>
      </c>
      <c r="AK1572" t="e">
        <f ca="1">Table13345678[[#This Row],[Call D1]]-Table13345678[[#This Row],[IV Calc C]]*SQRT(Table13345678[[#This Row],[T]])</f>
        <v>#DIV/0!</v>
      </c>
      <c r="AL1572" t="e">
        <f ca="1">Table13345678[[#This Row],[Put D1]]-Table13345678[[#This Row],[IV Calc P]]*SQRT(Table13345678[[#This Row],[T]])</f>
        <v>#DIV/0!</v>
      </c>
      <c r="AM1572" t="e">
        <f ca="1">EXP(-0.5*Table13345678[[#This Row],[Call D1]]^2)/SQRT(2*PI())</f>
        <v>#DIV/0!</v>
      </c>
      <c r="AN1572" t="e">
        <f ca="1">EXP(-0.5*Table13345678[[#This Row],[Put D1]]^2)/SQRT(2*PI())</f>
        <v>#DIV/0!</v>
      </c>
      <c r="AO157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2">
        <f ca="1">((Table13345678[[#This Row],[call vanna]]+Table13345678[[#This Row],[put vanna]])*$A$4)</f>
        <v>0</v>
      </c>
      <c r="AR157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2" s="9" t="str" cm="1">
        <f t="array" ref="AT1572">_xlfn.IFS(     $M$1="SPX","SPXW",     $M$1="RUT","RUTW",  $M$1="NDX","NDXP",   TRUE,$M$1 )</f>
        <v>SPXW</v>
      </c>
      <c r="AU1572" s="2">
        <f t="shared" si="157"/>
        <v>6915</v>
      </c>
      <c r="AV1572" t="str">
        <f t="shared" si="158"/>
        <v>000100</v>
      </c>
      <c r="AY157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2">
        <f>((Table13345678[[#This Row],[High C]]+Table13345678[[#This Row],[Low C]])/2)*Table13345678[[#This Row],[gammac]]*Table13345678[[#This Row],[Volume]]</f>
        <v>0</v>
      </c>
      <c r="BD1572">
        <f>((Table13345678[[#This Row],[High P]]+Table13345678[[#This Row],[Low P]])/2)*Table13345678[[#This Row],[gammap]]*Table13345678[[#This Row],[Volume9]]*-1</f>
        <v>0</v>
      </c>
      <c r="BE1572">
        <f>(Table13345678[[#This Row],[SgammaC]]+Table13345678[[#This Row],[SgammaP]])*$A$4*-100</f>
        <v>0</v>
      </c>
      <c r="BF1572">
        <f>Table13345678[[#This Row],[DEXc]]+Table13345678[[#This Row],[DEXp]]</f>
        <v>0</v>
      </c>
      <c r="BG1572" s="78">
        <f>IFERROR(Table13345678[[#This Row],[DeltaC]]*Table13345678[[#This Row],[Open.Int]]*$A$4,0)</f>
        <v>0</v>
      </c>
      <c r="BH1572">
        <f>IFERROR(Table13345678[[#This Row],[DeltaP]]*Table13345678[[#This Row],[Open.Int8]]*$A$4,0)</f>
        <v>0</v>
      </c>
      <c r="BI157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2">
        <f ca="1">Table13345678[[#This Row],[charmc]]+Table13345678[[#This Row],[charmp]]</f>
        <v>0</v>
      </c>
      <c r="BL157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2" s="78">
        <f ca="1">Table13345678[[#This Row],[call helper]]+Table13345678[[#This Row],[put helper]]</f>
        <v>0</v>
      </c>
      <c r="BP157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3" spans="1:68" x14ac:dyDescent="0.25">
      <c r="A1573" s="14">
        <f t="shared" ca="1" si="154"/>
        <v>-126.14810350076104</v>
      </c>
      <c r="C1573" s="17"/>
      <c r="D1573" t="str">
        <f>RTD("tos.rtd", , "OPEN_INT", "."&amp;Table13345678[[#This Row],[Ticker]]&amp;Table13345678[[#This Row],[Expiry]]&amp;""&amp;"C"&amp;Table13345678[[#This Row],[Spot]]+Table13345678[[#This Row],[step]])</f>
        <v>N/A</v>
      </c>
      <c r="E157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3" s="17" cm="1">
        <f t="array" aca="1" ref="H1573" ca="1">IndividualLegIVCore($A$4, Table13345678[[#This Row],[Strike]], 0.0411, Table13345678[[#This Row],[T]], ((Table13345678[[#This Row],[BIDC]]+Table13345678[[#This Row],[ASKC]])/2), TRUE)</f>
        <v>0.01</v>
      </c>
      <c r="I157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3" s="17"/>
      <c r="M1573" s="1">
        <f t="shared" si="155"/>
        <v>0</v>
      </c>
      <c r="N1573" t="b">
        <f t="shared" si="156"/>
        <v>0</v>
      </c>
      <c r="P1573" s="17" cm="1">
        <f t="array" aca="1" ref="P1573" ca="1">IndividualLegIVCore($A$4, Table13345678[[#This Row],[Strike]], 0.0411, Table13345678[[#This Row],[T]], ((Table13345678[[#This Row],[BIDP]]+Table13345678[[#This Row],[ASKP]])/2), FALSE)</f>
        <v>0.01</v>
      </c>
      <c r="Q157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3" s="17"/>
      <c r="T157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3" s="19">
        <f>21* IF($M$1="NDX", 10, IF(OR($M$1="SPX", $M$1="RUT"), 2, 1))</f>
        <v>42</v>
      </c>
      <c r="Z1573">
        <f ca="1">IFERROR(Table13345678[[#This Row],[call gamma]]*(Table13345678[[#This Row],[Open.Int]])*$A$4^2,0)</f>
        <v>0</v>
      </c>
      <c r="AA1573">
        <f ca="1">IFERROR(((Table13345678[[#This Row],[Open.Int8]])*Table13345678[[#This Row],[Put gamma]])*-1*$A$4^2,0)</f>
        <v>0</v>
      </c>
      <c r="AB1573">
        <f ca="1">(Table13345678[[#This Row],[Call Gex]]+Table13345678[[#This Row],[Put Gex]])</f>
        <v>0</v>
      </c>
      <c r="AC1573">
        <f ca="1">Table13345678[[#This Row],[put delta adj]]+Table13345678[[#This Row],[call delta adj]]</f>
        <v>0</v>
      </c>
      <c r="AD1573">
        <f ca="1">Table13345678[[#This Row],[Put Gex]]*Table13345678[[#This Row],[DeltaP]]*-1</f>
        <v>0</v>
      </c>
      <c r="AE1573">
        <f ca="1">Table13345678[[#This Row],[Call Gex]]*Table13345678[[#This Row],[DeltaC]]</f>
        <v>0</v>
      </c>
      <c r="AF1573">
        <f>IF(Table13345678[[#This Row],[DeltaC]]-ABS(Table13345678[[#This Row],[DeltaP]])="0","0.01",Table13345678[[#This Row],[DeltaC]]-ABS(Table13345678[[#This Row],[DeltaP]]))</f>
        <v>0</v>
      </c>
      <c r="AG157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3" t="e">
        <f ca="1">(EXP(-(AG1573^2)/2)/SQRT(2*PI())*EXP(0*SQRT(Table13345678[[#This Row],[T]]))/$A$4*18%*SQRT(SQRT(Table13345678[[#This Row],[T]])))</f>
        <v>#DIV/0!</v>
      </c>
      <c r="AJ1573" t="e">
        <f ca="1">(EXP(-(AH1573^2)/2)/SQRT(2*PI())*EXP(0*SQRT(Table13345678[[#This Row],[T]]))/$A$4*18%*SQRT(SQRT(Table13345678[[#This Row],[T]])))</f>
        <v>#DIV/0!</v>
      </c>
      <c r="AK1573" t="e">
        <f ca="1">Table13345678[[#This Row],[Call D1]]-Table13345678[[#This Row],[IV Calc C]]*SQRT(Table13345678[[#This Row],[T]])</f>
        <v>#DIV/0!</v>
      </c>
      <c r="AL1573" t="e">
        <f ca="1">Table13345678[[#This Row],[Put D1]]-Table13345678[[#This Row],[IV Calc P]]*SQRT(Table13345678[[#This Row],[T]])</f>
        <v>#DIV/0!</v>
      </c>
      <c r="AM1573" t="e">
        <f ca="1">EXP(-0.5*Table13345678[[#This Row],[Call D1]]^2)/SQRT(2*PI())</f>
        <v>#DIV/0!</v>
      </c>
      <c r="AN1573" t="e">
        <f ca="1">EXP(-0.5*Table13345678[[#This Row],[Put D1]]^2)/SQRT(2*PI())</f>
        <v>#DIV/0!</v>
      </c>
      <c r="AO157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3">
        <f ca="1">((Table13345678[[#This Row],[call vanna]]+Table13345678[[#This Row],[put vanna]])*$A$4)</f>
        <v>0</v>
      </c>
      <c r="AR157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3" s="9" t="str" cm="1">
        <f t="array" ref="AT1573">_xlfn.IFS(     $M$1="SPX","SPXW",     $M$1="RUT","RUTW",  $M$1="NDX","NDXP",   TRUE,$M$1 )</f>
        <v>SPXW</v>
      </c>
      <c r="AU1573" s="2">
        <f t="shared" si="157"/>
        <v>6915</v>
      </c>
      <c r="AV1573" t="str">
        <f t="shared" si="158"/>
        <v>000100</v>
      </c>
      <c r="AY157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3">
        <f>((Table13345678[[#This Row],[High C]]+Table13345678[[#This Row],[Low C]])/2)*Table13345678[[#This Row],[gammac]]*Table13345678[[#This Row],[Volume]]</f>
        <v>0</v>
      </c>
      <c r="BD1573">
        <f>((Table13345678[[#This Row],[High P]]+Table13345678[[#This Row],[Low P]])/2)*Table13345678[[#This Row],[gammap]]*Table13345678[[#This Row],[Volume9]]*-1</f>
        <v>0</v>
      </c>
      <c r="BE1573">
        <f>(Table13345678[[#This Row],[SgammaC]]+Table13345678[[#This Row],[SgammaP]])*$A$4*-100</f>
        <v>0</v>
      </c>
      <c r="BF1573">
        <f>Table13345678[[#This Row],[DEXc]]+Table13345678[[#This Row],[DEXp]]</f>
        <v>0</v>
      </c>
      <c r="BG1573" s="78">
        <f>IFERROR(Table13345678[[#This Row],[DeltaC]]*Table13345678[[#This Row],[Open.Int]]*$A$4,0)</f>
        <v>0</v>
      </c>
      <c r="BH1573">
        <f>IFERROR(Table13345678[[#This Row],[DeltaP]]*Table13345678[[#This Row],[Open.Int8]]*$A$4,0)</f>
        <v>0</v>
      </c>
      <c r="BI157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3">
        <f ca="1">Table13345678[[#This Row],[charmc]]+Table13345678[[#This Row],[charmp]]</f>
        <v>0</v>
      </c>
      <c r="BL157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3" s="78">
        <f ca="1">Table13345678[[#This Row],[call helper]]+Table13345678[[#This Row],[put helper]]</f>
        <v>0</v>
      </c>
      <c r="BP157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4" spans="1:68" x14ac:dyDescent="0.25">
      <c r="A1574" s="14">
        <f t="shared" ca="1" si="154"/>
        <v>-126.14810350076104</v>
      </c>
      <c r="C1574" s="17"/>
      <c r="D1574" t="str">
        <f>RTD("tos.rtd", , "OPEN_INT", "."&amp;Table13345678[[#This Row],[Ticker]]&amp;Table13345678[[#This Row],[Expiry]]&amp;""&amp;"C"&amp;Table13345678[[#This Row],[Spot]]+Table13345678[[#This Row],[step]])</f>
        <v>N/A</v>
      </c>
      <c r="E157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4" s="17" cm="1">
        <f t="array" aca="1" ref="H1574" ca="1">IndividualLegIVCore($A$4, Table13345678[[#This Row],[Strike]], 0.0411, Table13345678[[#This Row],[T]], ((Table13345678[[#This Row],[BIDC]]+Table13345678[[#This Row],[ASKC]])/2), TRUE)</f>
        <v>0.01</v>
      </c>
      <c r="I157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4" s="17"/>
      <c r="M1574" s="1">
        <f t="shared" si="155"/>
        <v>0</v>
      </c>
      <c r="N1574" t="b">
        <f t="shared" si="156"/>
        <v>0</v>
      </c>
      <c r="P1574" s="17" cm="1">
        <f t="array" aca="1" ref="P1574" ca="1">IndividualLegIVCore($A$4, Table13345678[[#This Row],[Strike]], 0.0411, Table13345678[[#This Row],[T]], ((Table13345678[[#This Row],[BIDP]]+Table13345678[[#This Row],[ASKP]])/2), FALSE)</f>
        <v>0.01</v>
      </c>
      <c r="Q157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4" s="17"/>
      <c r="T157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4" s="19">
        <f>21.5* IF($M$1="NDX", 10, IF(OR($M$1="SPX", $M$1="RUT"), 2, 1))</f>
        <v>43</v>
      </c>
      <c r="Z1574">
        <f ca="1">IFERROR(Table13345678[[#This Row],[call gamma]]*(Table13345678[[#This Row],[Open.Int]])*$A$4^2,0)</f>
        <v>0</v>
      </c>
      <c r="AA1574">
        <f ca="1">IFERROR(((Table13345678[[#This Row],[Open.Int8]])*Table13345678[[#This Row],[Put gamma]])*-1*$A$4^2,0)</f>
        <v>0</v>
      </c>
      <c r="AB1574">
        <f ca="1">(Table13345678[[#This Row],[Call Gex]]+Table13345678[[#This Row],[Put Gex]])</f>
        <v>0</v>
      </c>
      <c r="AC1574">
        <f ca="1">Table13345678[[#This Row],[put delta adj]]+Table13345678[[#This Row],[call delta adj]]</f>
        <v>0</v>
      </c>
      <c r="AD1574">
        <f ca="1">Table13345678[[#This Row],[Put Gex]]*Table13345678[[#This Row],[DeltaP]]*-1</f>
        <v>0</v>
      </c>
      <c r="AE1574">
        <f ca="1">Table13345678[[#This Row],[Call Gex]]*Table13345678[[#This Row],[DeltaC]]</f>
        <v>0</v>
      </c>
      <c r="AF1574">
        <f>IF(Table13345678[[#This Row],[DeltaC]]-ABS(Table13345678[[#This Row],[DeltaP]])="0","0.01",Table13345678[[#This Row],[DeltaC]]-ABS(Table13345678[[#This Row],[DeltaP]]))</f>
        <v>0</v>
      </c>
      <c r="AG157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4" t="e">
        <f ca="1">(EXP(-(AG1574^2)/2)/SQRT(2*PI())*EXP(0*SQRT(Table13345678[[#This Row],[T]]))/$A$4*18%*SQRT(SQRT(Table13345678[[#This Row],[T]])))</f>
        <v>#DIV/0!</v>
      </c>
      <c r="AJ1574" t="e">
        <f ca="1">(EXP(-(AH1574^2)/2)/SQRT(2*PI())*EXP(0*SQRT(Table13345678[[#This Row],[T]]))/$A$4*18%*SQRT(SQRT(Table13345678[[#This Row],[T]])))</f>
        <v>#DIV/0!</v>
      </c>
      <c r="AK1574" t="e">
        <f ca="1">Table13345678[[#This Row],[Call D1]]-Table13345678[[#This Row],[IV Calc C]]*SQRT(Table13345678[[#This Row],[T]])</f>
        <v>#DIV/0!</v>
      </c>
      <c r="AL1574" t="e">
        <f ca="1">Table13345678[[#This Row],[Put D1]]-Table13345678[[#This Row],[IV Calc P]]*SQRT(Table13345678[[#This Row],[T]])</f>
        <v>#DIV/0!</v>
      </c>
      <c r="AM1574" t="e">
        <f ca="1">EXP(-0.5*Table13345678[[#This Row],[Call D1]]^2)/SQRT(2*PI())</f>
        <v>#DIV/0!</v>
      </c>
      <c r="AN1574" t="e">
        <f ca="1">EXP(-0.5*Table13345678[[#This Row],[Put D1]]^2)/SQRT(2*PI())</f>
        <v>#DIV/0!</v>
      </c>
      <c r="AO157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4">
        <f ca="1">((Table13345678[[#This Row],[call vanna]]+Table13345678[[#This Row],[put vanna]])*$A$4)</f>
        <v>0</v>
      </c>
      <c r="AR157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4" s="9" t="str" cm="1">
        <f t="array" ref="AT1574">_xlfn.IFS(     $M$1="SPX","SPXW",     $M$1="RUT","RUTW",  $M$1="NDX","NDXP",   TRUE,$M$1 )</f>
        <v>SPXW</v>
      </c>
      <c r="AU1574" s="2">
        <f t="shared" si="157"/>
        <v>6915</v>
      </c>
      <c r="AV1574" t="str">
        <f t="shared" si="158"/>
        <v>000100</v>
      </c>
      <c r="AY157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4">
        <f>((Table13345678[[#This Row],[High C]]+Table13345678[[#This Row],[Low C]])/2)*Table13345678[[#This Row],[gammac]]*Table13345678[[#This Row],[Volume]]</f>
        <v>0</v>
      </c>
      <c r="BD1574">
        <f>((Table13345678[[#This Row],[High P]]+Table13345678[[#This Row],[Low P]])/2)*Table13345678[[#This Row],[gammap]]*Table13345678[[#This Row],[Volume9]]*-1</f>
        <v>0</v>
      </c>
      <c r="BE1574">
        <f>(Table13345678[[#This Row],[SgammaC]]+Table13345678[[#This Row],[SgammaP]])*$A$4*-100</f>
        <v>0</v>
      </c>
      <c r="BF1574">
        <f>Table13345678[[#This Row],[DEXc]]+Table13345678[[#This Row],[DEXp]]</f>
        <v>0</v>
      </c>
      <c r="BG1574" s="78">
        <f>IFERROR(Table13345678[[#This Row],[DeltaC]]*Table13345678[[#This Row],[Open.Int]]*$A$4,0)</f>
        <v>0</v>
      </c>
      <c r="BH1574">
        <f>IFERROR(Table13345678[[#This Row],[DeltaP]]*Table13345678[[#This Row],[Open.Int8]]*$A$4,0)</f>
        <v>0</v>
      </c>
      <c r="BI157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4">
        <f ca="1">Table13345678[[#This Row],[charmc]]+Table13345678[[#This Row],[charmp]]</f>
        <v>0</v>
      </c>
      <c r="BL157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4" s="78">
        <f ca="1">Table13345678[[#This Row],[call helper]]+Table13345678[[#This Row],[put helper]]</f>
        <v>0</v>
      </c>
      <c r="BP157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5" spans="1:68" x14ac:dyDescent="0.25">
      <c r="A1575" s="14">
        <f t="shared" ca="1" si="154"/>
        <v>-126.14810350076104</v>
      </c>
      <c r="C1575" s="17"/>
      <c r="D1575" t="str">
        <f>RTD("tos.rtd", , "OPEN_INT", "."&amp;Table13345678[[#This Row],[Ticker]]&amp;Table13345678[[#This Row],[Expiry]]&amp;""&amp;"C"&amp;Table13345678[[#This Row],[Spot]]+Table13345678[[#This Row],[step]])</f>
        <v>N/A</v>
      </c>
      <c r="E157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5" s="17" cm="1">
        <f t="array" aca="1" ref="H1575" ca="1">IndividualLegIVCore($A$4, Table13345678[[#This Row],[Strike]], 0.0411, Table13345678[[#This Row],[T]], ((Table13345678[[#This Row],[BIDC]]+Table13345678[[#This Row],[ASKC]])/2), TRUE)</f>
        <v>0.01</v>
      </c>
      <c r="I157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5" s="17"/>
      <c r="M1575" s="1">
        <f t="shared" si="155"/>
        <v>0</v>
      </c>
      <c r="N1575" t="b">
        <f t="shared" si="156"/>
        <v>0</v>
      </c>
      <c r="P1575" s="17" cm="1">
        <f t="array" aca="1" ref="P1575" ca="1">IndividualLegIVCore($A$4, Table13345678[[#This Row],[Strike]], 0.0411, Table13345678[[#This Row],[T]], ((Table13345678[[#This Row],[BIDP]]+Table13345678[[#This Row],[ASKP]])/2), FALSE)</f>
        <v>0.01</v>
      </c>
      <c r="Q157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5" s="17"/>
      <c r="T157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5" s="19">
        <f>22* IF($M$1="NDX", 10, IF(OR($M$1="SPX", $M$1="RUT"), 2, 1))</f>
        <v>44</v>
      </c>
      <c r="Z1575">
        <f ca="1">IFERROR(Table13345678[[#This Row],[call gamma]]*(Table13345678[[#This Row],[Open.Int]])*$A$4^2,0)</f>
        <v>0</v>
      </c>
      <c r="AA1575">
        <f ca="1">IFERROR(((Table13345678[[#This Row],[Open.Int8]])*Table13345678[[#This Row],[Put gamma]])*-1*$A$4^2,0)</f>
        <v>0</v>
      </c>
      <c r="AB1575">
        <f ca="1">(Table13345678[[#This Row],[Call Gex]]+Table13345678[[#This Row],[Put Gex]])</f>
        <v>0</v>
      </c>
      <c r="AC1575">
        <f ca="1">Table13345678[[#This Row],[put delta adj]]+Table13345678[[#This Row],[call delta adj]]</f>
        <v>0</v>
      </c>
      <c r="AD1575">
        <f ca="1">Table13345678[[#This Row],[Put Gex]]*Table13345678[[#This Row],[DeltaP]]*-1</f>
        <v>0</v>
      </c>
      <c r="AE1575">
        <f ca="1">Table13345678[[#This Row],[Call Gex]]*Table13345678[[#This Row],[DeltaC]]</f>
        <v>0</v>
      </c>
      <c r="AF1575">
        <f>IF(Table13345678[[#This Row],[DeltaC]]-ABS(Table13345678[[#This Row],[DeltaP]])="0","0.01",Table13345678[[#This Row],[DeltaC]]-ABS(Table13345678[[#This Row],[DeltaP]]))</f>
        <v>0</v>
      </c>
      <c r="AG157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5" t="e">
        <f ca="1">(EXP(-(AG1575^2)/2)/SQRT(2*PI())*EXP(0*SQRT(Table13345678[[#This Row],[T]]))/$A$4*18%*SQRT(SQRT(Table13345678[[#This Row],[T]])))</f>
        <v>#DIV/0!</v>
      </c>
      <c r="AJ1575" t="e">
        <f ca="1">(EXP(-(AH1575^2)/2)/SQRT(2*PI())*EXP(0*SQRT(Table13345678[[#This Row],[T]]))/$A$4*18%*SQRT(SQRT(Table13345678[[#This Row],[T]])))</f>
        <v>#DIV/0!</v>
      </c>
      <c r="AK1575" t="e">
        <f ca="1">Table13345678[[#This Row],[Call D1]]-Table13345678[[#This Row],[IV Calc C]]*SQRT(Table13345678[[#This Row],[T]])</f>
        <v>#DIV/0!</v>
      </c>
      <c r="AL1575" t="e">
        <f ca="1">Table13345678[[#This Row],[Put D1]]-Table13345678[[#This Row],[IV Calc P]]*SQRT(Table13345678[[#This Row],[T]])</f>
        <v>#DIV/0!</v>
      </c>
      <c r="AM1575" t="e">
        <f ca="1">EXP(-0.5*Table13345678[[#This Row],[Call D1]]^2)/SQRT(2*PI())</f>
        <v>#DIV/0!</v>
      </c>
      <c r="AN1575" t="e">
        <f ca="1">EXP(-0.5*Table13345678[[#This Row],[Put D1]]^2)/SQRT(2*PI())</f>
        <v>#DIV/0!</v>
      </c>
      <c r="AO157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5">
        <f ca="1">((Table13345678[[#This Row],[call vanna]]+Table13345678[[#This Row],[put vanna]])*$A$4)</f>
        <v>0</v>
      </c>
      <c r="AR157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5" s="9" t="str" cm="1">
        <f t="array" ref="AT1575">_xlfn.IFS(     $M$1="SPX","SPXW",     $M$1="RUT","RUTW",  $M$1="NDX","NDXP",   TRUE,$M$1 )</f>
        <v>SPXW</v>
      </c>
      <c r="AU1575" s="2">
        <f t="shared" si="157"/>
        <v>6915</v>
      </c>
      <c r="AV1575" t="str">
        <f t="shared" si="158"/>
        <v>000100</v>
      </c>
      <c r="AY157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5">
        <f>((Table13345678[[#This Row],[High C]]+Table13345678[[#This Row],[Low C]])/2)*Table13345678[[#This Row],[gammac]]*Table13345678[[#This Row],[Volume]]</f>
        <v>0</v>
      </c>
      <c r="BD1575">
        <f>((Table13345678[[#This Row],[High P]]+Table13345678[[#This Row],[Low P]])/2)*Table13345678[[#This Row],[gammap]]*Table13345678[[#This Row],[Volume9]]*-1</f>
        <v>0</v>
      </c>
      <c r="BE1575">
        <f>(Table13345678[[#This Row],[SgammaC]]+Table13345678[[#This Row],[SgammaP]])*$A$4*-100</f>
        <v>0</v>
      </c>
      <c r="BF1575">
        <f>Table13345678[[#This Row],[DEXc]]+Table13345678[[#This Row],[DEXp]]</f>
        <v>0</v>
      </c>
      <c r="BG1575" s="78">
        <f>IFERROR(Table13345678[[#This Row],[DeltaC]]*Table13345678[[#This Row],[Open.Int]]*$A$4,0)</f>
        <v>0</v>
      </c>
      <c r="BH1575">
        <f>IFERROR(Table13345678[[#This Row],[DeltaP]]*Table13345678[[#This Row],[Open.Int8]]*$A$4,0)</f>
        <v>0</v>
      </c>
      <c r="BI157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5">
        <f ca="1">Table13345678[[#This Row],[charmc]]+Table13345678[[#This Row],[charmp]]</f>
        <v>0</v>
      </c>
      <c r="BL157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5" s="78">
        <f ca="1">Table13345678[[#This Row],[call helper]]+Table13345678[[#This Row],[put helper]]</f>
        <v>0</v>
      </c>
      <c r="BP157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6" spans="1:68" x14ac:dyDescent="0.25">
      <c r="A1576" s="14">
        <f t="shared" ca="1" si="154"/>
        <v>-126.14810350076104</v>
      </c>
      <c r="C1576" s="17"/>
      <c r="D1576" t="str">
        <f>RTD("tos.rtd", , "OPEN_INT", "."&amp;Table13345678[[#This Row],[Ticker]]&amp;Table13345678[[#This Row],[Expiry]]&amp;""&amp;"C"&amp;Table13345678[[#This Row],[Spot]]+Table13345678[[#This Row],[step]])</f>
        <v>N/A</v>
      </c>
      <c r="E157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6" s="17" cm="1">
        <f t="array" aca="1" ref="H1576" ca="1">IndividualLegIVCore($A$4, Table13345678[[#This Row],[Strike]], 0.0411, Table13345678[[#This Row],[T]], ((Table13345678[[#This Row],[BIDC]]+Table13345678[[#This Row],[ASKC]])/2), TRUE)</f>
        <v>0.01</v>
      </c>
      <c r="I157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6" s="17"/>
      <c r="M1576" s="1">
        <f t="shared" si="155"/>
        <v>0</v>
      </c>
      <c r="N1576" t="b">
        <f t="shared" si="156"/>
        <v>0</v>
      </c>
      <c r="P1576" s="17" cm="1">
        <f t="array" aca="1" ref="P1576" ca="1">IndividualLegIVCore($A$4, Table13345678[[#This Row],[Strike]], 0.0411, Table13345678[[#This Row],[T]], ((Table13345678[[#This Row],[BIDP]]+Table13345678[[#This Row],[ASKP]])/2), FALSE)</f>
        <v>0.01</v>
      </c>
      <c r="Q157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6" s="17"/>
      <c r="T157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6" s="19">
        <f>22.5* IF($M$1="NDX", 10, IF(OR($M$1="SPX", $M$1="RUT"), 2, 1))</f>
        <v>45</v>
      </c>
      <c r="Z1576">
        <f ca="1">IFERROR(Table13345678[[#This Row],[call gamma]]*(Table13345678[[#This Row],[Open.Int]])*$A$4^2,0)</f>
        <v>0</v>
      </c>
      <c r="AA1576">
        <f ca="1">IFERROR(((Table13345678[[#This Row],[Open.Int8]])*Table13345678[[#This Row],[Put gamma]])*-1*$A$4^2,0)</f>
        <v>0</v>
      </c>
      <c r="AB1576">
        <f ca="1">(Table13345678[[#This Row],[Call Gex]]+Table13345678[[#This Row],[Put Gex]])</f>
        <v>0</v>
      </c>
      <c r="AC1576">
        <f ca="1">Table13345678[[#This Row],[put delta adj]]+Table13345678[[#This Row],[call delta adj]]</f>
        <v>0</v>
      </c>
      <c r="AD1576">
        <f ca="1">Table13345678[[#This Row],[Put Gex]]*Table13345678[[#This Row],[DeltaP]]*-1</f>
        <v>0</v>
      </c>
      <c r="AE1576">
        <f ca="1">Table13345678[[#This Row],[Call Gex]]*Table13345678[[#This Row],[DeltaC]]</f>
        <v>0</v>
      </c>
      <c r="AF1576">
        <f>IF(Table13345678[[#This Row],[DeltaC]]-ABS(Table13345678[[#This Row],[DeltaP]])="0","0.01",Table13345678[[#This Row],[DeltaC]]-ABS(Table13345678[[#This Row],[DeltaP]]))</f>
        <v>0</v>
      </c>
      <c r="AG157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6" t="e">
        <f ca="1">(EXP(-(AG1576^2)/2)/SQRT(2*PI())*EXP(0*SQRT(Table13345678[[#This Row],[T]]))/$A$4*18%*SQRT(SQRT(Table13345678[[#This Row],[T]])))</f>
        <v>#DIV/0!</v>
      </c>
      <c r="AJ1576" t="e">
        <f ca="1">(EXP(-(AH1576^2)/2)/SQRT(2*PI())*EXP(0*SQRT(Table13345678[[#This Row],[T]]))/$A$4*18%*SQRT(SQRT(Table13345678[[#This Row],[T]])))</f>
        <v>#DIV/0!</v>
      </c>
      <c r="AK1576" t="e">
        <f ca="1">Table13345678[[#This Row],[Call D1]]-Table13345678[[#This Row],[IV Calc C]]*SQRT(Table13345678[[#This Row],[T]])</f>
        <v>#DIV/0!</v>
      </c>
      <c r="AL1576" t="e">
        <f ca="1">Table13345678[[#This Row],[Put D1]]-Table13345678[[#This Row],[IV Calc P]]*SQRT(Table13345678[[#This Row],[T]])</f>
        <v>#DIV/0!</v>
      </c>
      <c r="AM1576" t="e">
        <f ca="1">EXP(-0.5*Table13345678[[#This Row],[Call D1]]^2)/SQRT(2*PI())</f>
        <v>#DIV/0!</v>
      </c>
      <c r="AN1576" t="e">
        <f ca="1">EXP(-0.5*Table13345678[[#This Row],[Put D1]]^2)/SQRT(2*PI())</f>
        <v>#DIV/0!</v>
      </c>
      <c r="AO157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6">
        <f ca="1">((Table13345678[[#This Row],[call vanna]]+Table13345678[[#This Row],[put vanna]])*$A$4)</f>
        <v>0</v>
      </c>
      <c r="AR157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6" s="9" t="str" cm="1">
        <f t="array" ref="AT1576">_xlfn.IFS(     $M$1="SPX","SPXW",     $M$1="RUT","RUTW",  $M$1="NDX","NDXP",   TRUE,$M$1 )</f>
        <v>SPXW</v>
      </c>
      <c r="AU1576" s="2">
        <f t="shared" si="157"/>
        <v>6915</v>
      </c>
      <c r="AV1576" t="str">
        <f t="shared" si="158"/>
        <v>000100</v>
      </c>
      <c r="AY157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6">
        <f>((Table13345678[[#This Row],[High C]]+Table13345678[[#This Row],[Low C]])/2)*Table13345678[[#This Row],[gammac]]*Table13345678[[#This Row],[Volume]]</f>
        <v>0</v>
      </c>
      <c r="BD1576">
        <f>((Table13345678[[#This Row],[High P]]+Table13345678[[#This Row],[Low P]])/2)*Table13345678[[#This Row],[gammap]]*Table13345678[[#This Row],[Volume9]]*-1</f>
        <v>0</v>
      </c>
      <c r="BE1576">
        <f>(Table13345678[[#This Row],[SgammaC]]+Table13345678[[#This Row],[SgammaP]])*$A$4*-100</f>
        <v>0</v>
      </c>
      <c r="BF1576">
        <f>Table13345678[[#This Row],[DEXc]]+Table13345678[[#This Row],[DEXp]]</f>
        <v>0</v>
      </c>
      <c r="BG1576" s="78">
        <f>IFERROR(Table13345678[[#This Row],[DeltaC]]*Table13345678[[#This Row],[Open.Int]]*$A$4,0)</f>
        <v>0</v>
      </c>
      <c r="BH1576">
        <f>IFERROR(Table13345678[[#This Row],[DeltaP]]*Table13345678[[#This Row],[Open.Int8]]*$A$4,0)</f>
        <v>0</v>
      </c>
      <c r="BI157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6">
        <f ca="1">Table13345678[[#This Row],[charmc]]+Table13345678[[#This Row],[charmp]]</f>
        <v>0</v>
      </c>
      <c r="BL157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6" s="78">
        <f ca="1">Table13345678[[#This Row],[call helper]]+Table13345678[[#This Row],[put helper]]</f>
        <v>0</v>
      </c>
      <c r="BP157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7" spans="1:68" x14ac:dyDescent="0.25">
      <c r="A1577" s="14">
        <f t="shared" ca="1" si="154"/>
        <v>-126.14810350076104</v>
      </c>
      <c r="C1577" s="17"/>
      <c r="D1577" t="str">
        <f>RTD("tos.rtd", , "OPEN_INT", "."&amp;Table13345678[[#This Row],[Ticker]]&amp;Table13345678[[#This Row],[Expiry]]&amp;""&amp;"C"&amp;Table13345678[[#This Row],[Spot]]+Table13345678[[#This Row],[step]])</f>
        <v>N/A</v>
      </c>
      <c r="E157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7" s="17" cm="1">
        <f t="array" aca="1" ref="H1577" ca="1">IndividualLegIVCore($A$4, Table13345678[[#This Row],[Strike]], 0.0411, Table13345678[[#This Row],[T]], ((Table13345678[[#This Row],[BIDC]]+Table13345678[[#This Row],[ASKC]])/2), TRUE)</f>
        <v>0.01</v>
      </c>
      <c r="I157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7" s="17"/>
      <c r="M1577" s="1">
        <f t="shared" si="155"/>
        <v>0</v>
      </c>
      <c r="N1577" t="b">
        <f t="shared" si="156"/>
        <v>0</v>
      </c>
      <c r="P1577" s="17" cm="1">
        <f t="array" aca="1" ref="P1577" ca="1">IndividualLegIVCore($A$4, Table13345678[[#This Row],[Strike]], 0.0411, Table13345678[[#This Row],[T]], ((Table13345678[[#This Row],[BIDP]]+Table13345678[[#This Row],[ASKP]])/2), FALSE)</f>
        <v>0.01</v>
      </c>
      <c r="Q157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7" s="17"/>
      <c r="T157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7" s="19">
        <f>23* IF($M$1="NDX", 10, IF(OR($M$1="SPX", $M$1="RUT"), 2, 1))</f>
        <v>46</v>
      </c>
      <c r="Z1577">
        <f ca="1">IFERROR(Table13345678[[#This Row],[call gamma]]*(Table13345678[[#This Row],[Open.Int]])*$A$4^2,0)</f>
        <v>0</v>
      </c>
      <c r="AA1577">
        <f ca="1">IFERROR(((Table13345678[[#This Row],[Open.Int8]])*Table13345678[[#This Row],[Put gamma]])*-1*$A$4^2,0)</f>
        <v>0</v>
      </c>
      <c r="AB1577">
        <f ca="1">(Table13345678[[#This Row],[Call Gex]]+Table13345678[[#This Row],[Put Gex]])</f>
        <v>0</v>
      </c>
      <c r="AC1577">
        <f ca="1">Table13345678[[#This Row],[put delta adj]]+Table13345678[[#This Row],[call delta adj]]</f>
        <v>0</v>
      </c>
      <c r="AD1577">
        <f ca="1">Table13345678[[#This Row],[Put Gex]]*Table13345678[[#This Row],[DeltaP]]*-1</f>
        <v>0</v>
      </c>
      <c r="AE1577">
        <f ca="1">Table13345678[[#This Row],[Call Gex]]*Table13345678[[#This Row],[DeltaC]]</f>
        <v>0</v>
      </c>
      <c r="AF1577">
        <f>IF(Table13345678[[#This Row],[DeltaC]]-ABS(Table13345678[[#This Row],[DeltaP]])="0","0.01",Table13345678[[#This Row],[DeltaC]]-ABS(Table13345678[[#This Row],[DeltaP]]))</f>
        <v>0</v>
      </c>
      <c r="AG157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7" t="e">
        <f ca="1">(EXP(-(AG1577^2)/2)/SQRT(2*PI())*EXP(0*SQRT(Table13345678[[#This Row],[T]]))/$A$4*18%*SQRT(SQRT(Table13345678[[#This Row],[T]])))</f>
        <v>#DIV/0!</v>
      </c>
      <c r="AJ1577" t="e">
        <f ca="1">(EXP(-(AH1577^2)/2)/SQRT(2*PI())*EXP(0*SQRT(Table13345678[[#This Row],[T]]))/$A$4*18%*SQRT(SQRT(Table13345678[[#This Row],[T]])))</f>
        <v>#DIV/0!</v>
      </c>
      <c r="AK1577" t="e">
        <f ca="1">Table13345678[[#This Row],[Call D1]]-Table13345678[[#This Row],[IV Calc C]]*SQRT(Table13345678[[#This Row],[T]])</f>
        <v>#DIV/0!</v>
      </c>
      <c r="AL1577" t="e">
        <f ca="1">Table13345678[[#This Row],[Put D1]]-Table13345678[[#This Row],[IV Calc P]]*SQRT(Table13345678[[#This Row],[T]])</f>
        <v>#DIV/0!</v>
      </c>
      <c r="AM1577" t="e">
        <f ca="1">EXP(-0.5*Table13345678[[#This Row],[Call D1]]^2)/SQRT(2*PI())</f>
        <v>#DIV/0!</v>
      </c>
      <c r="AN1577" t="e">
        <f ca="1">EXP(-0.5*Table13345678[[#This Row],[Put D1]]^2)/SQRT(2*PI())</f>
        <v>#DIV/0!</v>
      </c>
      <c r="AO157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7">
        <f ca="1">((Table13345678[[#This Row],[call vanna]]+Table13345678[[#This Row],[put vanna]])*$A$4)</f>
        <v>0</v>
      </c>
      <c r="AR157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7" s="9" t="str" cm="1">
        <f t="array" ref="AT1577">_xlfn.IFS(     $M$1="SPX","SPXW",     $M$1="RUT","RUTW",  $M$1="NDX","NDXP",   TRUE,$M$1 )</f>
        <v>SPXW</v>
      </c>
      <c r="AU1577" s="2">
        <f t="shared" si="157"/>
        <v>6915</v>
      </c>
      <c r="AV1577" t="str">
        <f t="shared" si="158"/>
        <v>000100</v>
      </c>
      <c r="AY157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7">
        <f>((Table13345678[[#This Row],[High C]]+Table13345678[[#This Row],[Low C]])/2)*Table13345678[[#This Row],[gammac]]*Table13345678[[#This Row],[Volume]]</f>
        <v>0</v>
      </c>
      <c r="BD1577">
        <f>((Table13345678[[#This Row],[High P]]+Table13345678[[#This Row],[Low P]])/2)*Table13345678[[#This Row],[gammap]]*Table13345678[[#This Row],[Volume9]]*-1</f>
        <v>0</v>
      </c>
      <c r="BE1577">
        <f>(Table13345678[[#This Row],[SgammaC]]+Table13345678[[#This Row],[SgammaP]])*$A$4*-100</f>
        <v>0</v>
      </c>
      <c r="BF1577">
        <f>Table13345678[[#This Row],[DEXc]]+Table13345678[[#This Row],[DEXp]]</f>
        <v>0</v>
      </c>
      <c r="BG1577" s="78">
        <f>IFERROR(Table13345678[[#This Row],[DeltaC]]*Table13345678[[#This Row],[Open.Int]]*$A$4,0)</f>
        <v>0</v>
      </c>
      <c r="BH1577">
        <f>IFERROR(Table13345678[[#This Row],[DeltaP]]*Table13345678[[#This Row],[Open.Int8]]*$A$4,0)</f>
        <v>0</v>
      </c>
      <c r="BI157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7">
        <f ca="1">Table13345678[[#This Row],[charmc]]+Table13345678[[#This Row],[charmp]]</f>
        <v>0</v>
      </c>
      <c r="BL157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7" s="78">
        <f ca="1">Table13345678[[#This Row],[call helper]]+Table13345678[[#This Row],[put helper]]</f>
        <v>0</v>
      </c>
      <c r="BP157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8" spans="1:68" x14ac:dyDescent="0.25">
      <c r="A1578" s="14">
        <f t="shared" ca="1" si="154"/>
        <v>-126.14810350076104</v>
      </c>
      <c r="C1578" s="17"/>
      <c r="D1578" t="str">
        <f>RTD("tos.rtd", , "OPEN_INT", "."&amp;Table13345678[[#This Row],[Ticker]]&amp;Table13345678[[#This Row],[Expiry]]&amp;""&amp;"C"&amp;Table13345678[[#This Row],[Spot]]+Table13345678[[#This Row],[step]])</f>
        <v>N/A</v>
      </c>
      <c r="E157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8" s="17" cm="1">
        <f t="array" aca="1" ref="H1578" ca="1">IndividualLegIVCore($A$4, Table13345678[[#This Row],[Strike]], 0.0411, Table13345678[[#This Row],[T]], ((Table13345678[[#This Row],[BIDC]]+Table13345678[[#This Row],[ASKC]])/2), TRUE)</f>
        <v>0.01</v>
      </c>
      <c r="I157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8" s="17"/>
      <c r="M1578" s="1">
        <f t="shared" si="155"/>
        <v>0</v>
      </c>
      <c r="N1578" t="b">
        <f t="shared" si="156"/>
        <v>0</v>
      </c>
      <c r="P1578" s="17" cm="1">
        <f t="array" aca="1" ref="P1578" ca="1">IndividualLegIVCore($A$4, Table13345678[[#This Row],[Strike]], 0.0411, Table13345678[[#This Row],[T]], ((Table13345678[[#This Row],[BIDP]]+Table13345678[[#This Row],[ASKP]])/2), FALSE)</f>
        <v>0.01</v>
      </c>
      <c r="Q157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8" s="17"/>
      <c r="T157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8" s="19">
        <f>23.5* IF($M$1="NDX", 10, IF(OR($M$1="SPX", $M$1="RUT"), 2, 1))</f>
        <v>47</v>
      </c>
      <c r="Z1578">
        <f ca="1">IFERROR(Table13345678[[#This Row],[call gamma]]*(Table13345678[[#This Row],[Open.Int]])*$A$4^2,0)</f>
        <v>0</v>
      </c>
      <c r="AA1578">
        <f ca="1">IFERROR(((Table13345678[[#This Row],[Open.Int8]])*Table13345678[[#This Row],[Put gamma]])*-1*$A$4^2,0)</f>
        <v>0</v>
      </c>
      <c r="AB1578">
        <f ca="1">(Table13345678[[#This Row],[Call Gex]]+Table13345678[[#This Row],[Put Gex]])</f>
        <v>0</v>
      </c>
      <c r="AC1578">
        <f ca="1">Table13345678[[#This Row],[put delta adj]]+Table13345678[[#This Row],[call delta adj]]</f>
        <v>0</v>
      </c>
      <c r="AD1578">
        <f ca="1">Table13345678[[#This Row],[Put Gex]]*Table13345678[[#This Row],[DeltaP]]*-1</f>
        <v>0</v>
      </c>
      <c r="AE1578">
        <f ca="1">Table13345678[[#This Row],[Call Gex]]*Table13345678[[#This Row],[DeltaC]]</f>
        <v>0</v>
      </c>
      <c r="AF1578">
        <f>IF(Table13345678[[#This Row],[DeltaC]]-ABS(Table13345678[[#This Row],[DeltaP]])="0","0.01",Table13345678[[#This Row],[DeltaC]]-ABS(Table13345678[[#This Row],[DeltaP]]))</f>
        <v>0</v>
      </c>
      <c r="AG157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8" t="e">
        <f ca="1">(EXP(-(AG1578^2)/2)/SQRT(2*PI())*EXP(0*SQRT(Table13345678[[#This Row],[T]]))/$A$4*18%*SQRT(SQRT(Table13345678[[#This Row],[T]])))</f>
        <v>#DIV/0!</v>
      </c>
      <c r="AJ1578" t="e">
        <f ca="1">(EXP(-(AH1578^2)/2)/SQRT(2*PI())*EXP(0*SQRT(Table13345678[[#This Row],[T]]))/$A$4*18%*SQRT(SQRT(Table13345678[[#This Row],[T]])))</f>
        <v>#DIV/0!</v>
      </c>
      <c r="AK1578" t="e">
        <f ca="1">Table13345678[[#This Row],[Call D1]]-Table13345678[[#This Row],[IV Calc C]]*SQRT(Table13345678[[#This Row],[T]])</f>
        <v>#DIV/0!</v>
      </c>
      <c r="AL1578" t="e">
        <f ca="1">Table13345678[[#This Row],[Put D1]]-Table13345678[[#This Row],[IV Calc P]]*SQRT(Table13345678[[#This Row],[T]])</f>
        <v>#DIV/0!</v>
      </c>
      <c r="AM1578" t="e">
        <f ca="1">EXP(-0.5*Table13345678[[#This Row],[Call D1]]^2)/SQRT(2*PI())</f>
        <v>#DIV/0!</v>
      </c>
      <c r="AN1578" t="e">
        <f ca="1">EXP(-0.5*Table13345678[[#This Row],[Put D1]]^2)/SQRT(2*PI())</f>
        <v>#DIV/0!</v>
      </c>
      <c r="AO157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8">
        <f ca="1">((Table13345678[[#This Row],[call vanna]]+Table13345678[[#This Row],[put vanna]])*$A$4)</f>
        <v>0</v>
      </c>
      <c r="AR157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8" s="9" t="str" cm="1">
        <f t="array" ref="AT1578">_xlfn.IFS(     $M$1="SPX","SPXW",     $M$1="RUT","RUTW",  $M$1="NDX","NDXP",   TRUE,$M$1 )</f>
        <v>SPXW</v>
      </c>
      <c r="AU1578" s="2">
        <f t="shared" si="157"/>
        <v>6915</v>
      </c>
      <c r="AV1578" t="str">
        <f t="shared" si="158"/>
        <v>000100</v>
      </c>
      <c r="AY157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8">
        <f>((Table13345678[[#This Row],[High C]]+Table13345678[[#This Row],[Low C]])/2)*Table13345678[[#This Row],[gammac]]*Table13345678[[#This Row],[Volume]]</f>
        <v>0</v>
      </c>
      <c r="BD1578">
        <f>((Table13345678[[#This Row],[High P]]+Table13345678[[#This Row],[Low P]])/2)*Table13345678[[#This Row],[gammap]]*Table13345678[[#This Row],[Volume9]]*-1</f>
        <v>0</v>
      </c>
      <c r="BE1578">
        <f>(Table13345678[[#This Row],[SgammaC]]+Table13345678[[#This Row],[SgammaP]])*$A$4*-100</f>
        <v>0</v>
      </c>
      <c r="BF1578">
        <f>Table13345678[[#This Row],[DEXc]]+Table13345678[[#This Row],[DEXp]]</f>
        <v>0</v>
      </c>
      <c r="BG1578" s="78">
        <f>IFERROR(Table13345678[[#This Row],[DeltaC]]*Table13345678[[#This Row],[Open.Int]]*$A$4,0)</f>
        <v>0</v>
      </c>
      <c r="BH1578">
        <f>IFERROR(Table13345678[[#This Row],[DeltaP]]*Table13345678[[#This Row],[Open.Int8]]*$A$4,0)</f>
        <v>0</v>
      </c>
      <c r="BI157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8">
        <f ca="1">Table13345678[[#This Row],[charmc]]+Table13345678[[#This Row],[charmp]]</f>
        <v>0</v>
      </c>
      <c r="BL157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8" s="78">
        <f ca="1">Table13345678[[#This Row],[call helper]]+Table13345678[[#This Row],[put helper]]</f>
        <v>0</v>
      </c>
      <c r="BP157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9" spans="1:68" x14ac:dyDescent="0.25">
      <c r="A1579" s="14">
        <f t="shared" ca="1" si="154"/>
        <v>-126.14810350076104</v>
      </c>
      <c r="C1579" s="17"/>
      <c r="D1579" t="str">
        <f>RTD("tos.rtd", , "OPEN_INT", "."&amp;Table13345678[[#This Row],[Ticker]]&amp;Table13345678[[#This Row],[Expiry]]&amp;""&amp;"C"&amp;Table13345678[[#This Row],[Spot]]+Table13345678[[#This Row],[step]])</f>
        <v>N/A</v>
      </c>
      <c r="E157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9" s="17" cm="1">
        <f t="array" aca="1" ref="H1579" ca="1">IndividualLegIVCore($A$4, Table13345678[[#This Row],[Strike]], 0.0411, Table13345678[[#This Row],[T]], ((Table13345678[[#This Row],[BIDC]]+Table13345678[[#This Row],[ASKC]])/2), TRUE)</f>
        <v>0.01</v>
      </c>
      <c r="I157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9" s="17"/>
      <c r="M1579" s="1">
        <f t="shared" si="155"/>
        <v>0</v>
      </c>
      <c r="N1579" t="b">
        <f t="shared" si="156"/>
        <v>0</v>
      </c>
      <c r="P1579" s="17" cm="1">
        <f t="array" aca="1" ref="P1579" ca="1">IndividualLegIVCore($A$4, Table13345678[[#This Row],[Strike]], 0.0411, Table13345678[[#This Row],[T]], ((Table13345678[[#This Row],[BIDP]]+Table13345678[[#This Row],[ASKP]])/2), FALSE)</f>
        <v>0.01</v>
      </c>
      <c r="Q157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9" s="17"/>
      <c r="T157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9" s="19">
        <f>24* IF($M$1="NDX", 10, IF(OR($M$1="SPX", $M$1="RUT"), 2, 1))</f>
        <v>48</v>
      </c>
      <c r="Z1579">
        <f ca="1">IFERROR(Table13345678[[#This Row],[call gamma]]*(Table13345678[[#This Row],[Open.Int]])*$A$4^2,0)</f>
        <v>0</v>
      </c>
      <c r="AA1579">
        <f ca="1">IFERROR(((Table13345678[[#This Row],[Open.Int8]])*Table13345678[[#This Row],[Put gamma]])*-1*$A$4^2,0)</f>
        <v>0</v>
      </c>
      <c r="AB1579">
        <f ca="1">(Table13345678[[#This Row],[Call Gex]]+Table13345678[[#This Row],[Put Gex]])</f>
        <v>0</v>
      </c>
      <c r="AC1579">
        <f ca="1">Table13345678[[#This Row],[put delta adj]]+Table13345678[[#This Row],[call delta adj]]</f>
        <v>0</v>
      </c>
      <c r="AD1579">
        <f ca="1">Table13345678[[#This Row],[Put Gex]]*Table13345678[[#This Row],[DeltaP]]*-1</f>
        <v>0</v>
      </c>
      <c r="AE1579">
        <f ca="1">Table13345678[[#This Row],[Call Gex]]*Table13345678[[#This Row],[DeltaC]]</f>
        <v>0</v>
      </c>
      <c r="AF1579">
        <f>IF(Table13345678[[#This Row],[DeltaC]]-ABS(Table13345678[[#This Row],[DeltaP]])="0","0.01",Table13345678[[#This Row],[DeltaC]]-ABS(Table13345678[[#This Row],[DeltaP]]))</f>
        <v>0</v>
      </c>
      <c r="AG157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9" t="e">
        <f ca="1">(EXP(-(AG1579^2)/2)/SQRT(2*PI())*EXP(0*SQRT(Table13345678[[#This Row],[T]]))/$A$4*18%*SQRT(SQRT(Table13345678[[#This Row],[T]])))</f>
        <v>#DIV/0!</v>
      </c>
      <c r="AJ1579" t="e">
        <f ca="1">(EXP(-(AH1579^2)/2)/SQRT(2*PI())*EXP(0*SQRT(Table13345678[[#This Row],[T]]))/$A$4*18%*SQRT(SQRT(Table13345678[[#This Row],[T]])))</f>
        <v>#DIV/0!</v>
      </c>
      <c r="AK1579" t="e">
        <f ca="1">Table13345678[[#This Row],[Call D1]]-Table13345678[[#This Row],[IV Calc C]]*SQRT(Table13345678[[#This Row],[T]])</f>
        <v>#DIV/0!</v>
      </c>
      <c r="AL1579" t="e">
        <f ca="1">Table13345678[[#This Row],[Put D1]]-Table13345678[[#This Row],[IV Calc P]]*SQRT(Table13345678[[#This Row],[T]])</f>
        <v>#DIV/0!</v>
      </c>
      <c r="AM1579" t="e">
        <f ca="1">EXP(-0.5*Table13345678[[#This Row],[Call D1]]^2)/SQRT(2*PI())</f>
        <v>#DIV/0!</v>
      </c>
      <c r="AN1579" t="e">
        <f ca="1">EXP(-0.5*Table13345678[[#This Row],[Put D1]]^2)/SQRT(2*PI())</f>
        <v>#DIV/0!</v>
      </c>
      <c r="AO157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9">
        <f ca="1">((Table13345678[[#This Row],[call vanna]]+Table13345678[[#This Row],[put vanna]])*$A$4)</f>
        <v>0</v>
      </c>
      <c r="AR157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9" s="9" t="str" cm="1">
        <f t="array" ref="AT1579">_xlfn.IFS(     $M$1="SPX","SPXW",     $M$1="RUT","RUTW",  $M$1="NDX","NDXP",   TRUE,$M$1 )</f>
        <v>SPXW</v>
      </c>
      <c r="AU1579" s="2">
        <f t="shared" si="157"/>
        <v>6915</v>
      </c>
      <c r="AV1579" t="str">
        <f t="shared" si="158"/>
        <v>000100</v>
      </c>
      <c r="AY157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9">
        <f>((Table13345678[[#This Row],[High C]]+Table13345678[[#This Row],[Low C]])/2)*Table13345678[[#This Row],[gammac]]*Table13345678[[#This Row],[Volume]]</f>
        <v>0</v>
      </c>
      <c r="BD1579">
        <f>((Table13345678[[#This Row],[High P]]+Table13345678[[#This Row],[Low P]])/2)*Table13345678[[#This Row],[gammap]]*Table13345678[[#This Row],[Volume9]]*-1</f>
        <v>0</v>
      </c>
      <c r="BE1579">
        <f>(Table13345678[[#This Row],[SgammaC]]+Table13345678[[#This Row],[SgammaP]])*$A$4*-100</f>
        <v>0</v>
      </c>
      <c r="BF1579">
        <f>Table13345678[[#This Row],[DEXc]]+Table13345678[[#This Row],[DEXp]]</f>
        <v>0</v>
      </c>
      <c r="BG1579" s="78">
        <f>IFERROR(Table13345678[[#This Row],[DeltaC]]*Table13345678[[#This Row],[Open.Int]]*$A$4,0)</f>
        <v>0</v>
      </c>
      <c r="BH1579">
        <f>IFERROR(Table13345678[[#This Row],[DeltaP]]*Table13345678[[#This Row],[Open.Int8]]*$A$4,0)</f>
        <v>0</v>
      </c>
      <c r="BI157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9">
        <f ca="1">Table13345678[[#This Row],[charmc]]+Table13345678[[#This Row],[charmp]]</f>
        <v>0</v>
      </c>
      <c r="BL157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9" s="78">
        <f ca="1">Table13345678[[#This Row],[call helper]]+Table13345678[[#This Row],[put helper]]</f>
        <v>0</v>
      </c>
      <c r="BP157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0" spans="1:68" x14ac:dyDescent="0.25">
      <c r="A1580" s="14">
        <f t="shared" ca="1" si="154"/>
        <v>-126.14810350076104</v>
      </c>
      <c r="C1580" s="17"/>
      <c r="D1580" t="str">
        <f>RTD("tos.rtd", , "OPEN_INT", "."&amp;Table13345678[[#This Row],[Ticker]]&amp;Table13345678[[#This Row],[Expiry]]&amp;""&amp;"C"&amp;Table13345678[[#This Row],[Spot]]+Table13345678[[#This Row],[step]])</f>
        <v>N/A</v>
      </c>
      <c r="E158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0" s="17" cm="1">
        <f t="array" aca="1" ref="H1580" ca="1">IndividualLegIVCore($A$4, Table13345678[[#This Row],[Strike]], 0.0411, Table13345678[[#This Row],[T]], ((Table13345678[[#This Row],[BIDC]]+Table13345678[[#This Row],[ASKC]])/2), TRUE)</f>
        <v>0.01</v>
      </c>
      <c r="I158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0" s="17"/>
      <c r="M1580" s="1">
        <f t="shared" si="155"/>
        <v>0</v>
      </c>
      <c r="N1580" t="b">
        <f t="shared" si="156"/>
        <v>0</v>
      </c>
      <c r="P1580" s="17" cm="1">
        <f t="array" aca="1" ref="P1580" ca="1">IndividualLegIVCore($A$4, Table13345678[[#This Row],[Strike]], 0.0411, Table13345678[[#This Row],[T]], ((Table13345678[[#This Row],[BIDP]]+Table13345678[[#This Row],[ASKP]])/2), FALSE)</f>
        <v>0.01</v>
      </c>
      <c r="Q158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0" s="17"/>
      <c r="T158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0" s="19">
        <f>24.5* IF($M$1="NDX", 10, IF(OR($M$1="SPX", $M$1="RUT"), 2, 1))</f>
        <v>49</v>
      </c>
      <c r="Z1580">
        <f ca="1">IFERROR(Table13345678[[#This Row],[call gamma]]*(Table13345678[[#This Row],[Open.Int]])*$A$4^2,0)</f>
        <v>0</v>
      </c>
      <c r="AA1580">
        <f ca="1">IFERROR(((Table13345678[[#This Row],[Open.Int8]])*Table13345678[[#This Row],[Put gamma]])*-1*$A$4^2,0)</f>
        <v>0</v>
      </c>
      <c r="AB1580">
        <f ca="1">(Table13345678[[#This Row],[Call Gex]]+Table13345678[[#This Row],[Put Gex]])</f>
        <v>0</v>
      </c>
      <c r="AC1580">
        <f ca="1">Table13345678[[#This Row],[put delta adj]]+Table13345678[[#This Row],[call delta adj]]</f>
        <v>0</v>
      </c>
      <c r="AD1580">
        <f ca="1">Table13345678[[#This Row],[Put Gex]]*Table13345678[[#This Row],[DeltaP]]*-1</f>
        <v>0</v>
      </c>
      <c r="AE1580">
        <f ca="1">Table13345678[[#This Row],[Call Gex]]*Table13345678[[#This Row],[DeltaC]]</f>
        <v>0</v>
      </c>
      <c r="AF1580">
        <f>IF(Table13345678[[#This Row],[DeltaC]]-ABS(Table13345678[[#This Row],[DeltaP]])="0","0.01",Table13345678[[#This Row],[DeltaC]]-ABS(Table13345678[[#This Row],[DeltaP]]))</f>
        <v>0</v>
      </c>
      <c r="AG158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0" t="e">
        <f ca="1">(EXP(-(AG1580^2)/2)/SQRT(2*PI())*EXP(0*SQRT(Table13345678[[#This Row],[T]]))/$A$4*18%*SQRT(SQRT(Table13345678[[#This Row],[T]])))</f>
        <v>#DIV/0!</v>
      </c>
      <c r="AJ1580" t="e">
        <f ca="1">(EXP(-(AH1580^2)/2)/SQRT(2*PI())*EXP(0*SQRT(Table13345678[[#This Row],[T]]))/$A$4*18%*SQRT(SQRT(Table13345678[[#This Row],[T]])))</f>
        <v>#DIV/0!</v>
      </c>
      <c r="AK1580" t="e">
        <f ca="1">Table13345678[[#This Row],[Call D1]]-Table13345678[[#This Row],[IV Calc C]]*SQRT(Table13345678[[#This Row],[T]])</f>
        <v>#DIV/0!</v>
      </c>
      <c r="AL1580" t="e">
        <f ca="1">Table13345678[[#This Row],[Put D1]]-Table13345678[[#This Row],[IV Calc P]]*SQRT(Table13345678[[#This Row],[T]])</f>
        <v>#DIV/0!</v>
      </c>
      <c r="AM1580" t="e">
        <f ca="1">EXP(-0.5*Table13345678[[#This Row],[Call D1]]^2)/SQRT(2*PI())</f>
        <v>#DIV/0!</v>
      </c>
      <c r="AN1580" t="e">
        <f ca="1">EXP(-0.5*Table13345678[[#This Row],[Put D1]]^2)/SQRT(2*PI())</f>
        <v>#DIV/0!</v>
      </c>
      <c r="AO158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0">
        <f ca="1">((Table13345678[[#This Row],[call vanna]]+Table13345678[[#This Row],[put vanna]])*$A$4)</f>
        <v>0</v>
      </c>
      <c r="AR158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0" s="9" t="str" cm="1">
        <f t="array" ref="AT1580">_xlfn.IFS(     $M$1="SPX","SPXW",     $M$1="RUT","RUTW",  $M$1="NDX","NDXP",   TRUE,$M$1 )</f>
        <v>SPXW</v>
      </c>
      <c r="AU1580" s="2">
        <f t="shared" si="157"/>
        <v>6915</v>
      </c>
      <c r="AV1580" t="str">
        <f t="shared" si="158"/>
        <v>000100</v>
      </c>
      <c r="AY158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0">
        <f>((Table13345678[[#This Row],[High C]]+Table13345678[[#This Row],[Low C]])/2)*Table13345678[[#This Row],[gammac]]*Table13345678[[#This Row],[Volume]]</f>
        <v>0</v>
      </c>
      <c r="BD1580">
        <f>((Table13345678[[#This Row],[High P]]+Table13345678[[#This Row],[Low P]])/2)*Table13345678[[#This Row],[gammap]]*Table13345678[[#This Row],[Volume9]]*-1</f>
        <v>0</v>
      </c>
      <c r="BE1580">
        <f>(Table13345678[[#This Row],[SgammaC]]+Table13345678[[#This Row],[SgammaP]])*$A$4*-100</f>
        <v>0</v>
      </c>
      <c r="BF1580">
        <f>Table13345678[[#This Row],[DEXc]]+Table13345678[[#This Row],[DEXp]]</f>
        <v>0</v>
      </c>
      <c r="BG1580" s="78">
        <f>IFERROR(Table13345678[[#This Row],[DeltaC]]*Table13345678[[#This Row],[Open.Int]]*$A$4,0)</f>
        <v>0</v>
      </c>
      <c r="BH1580">
        <f>IFERROR(Table13345678[[#This Row],[DeltaP]]*Table13345678[[#This Row],[Open.Int8]]*$A$4,0)</f>
        <v>0</v>
      </c>
      <c r="BI158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0">
        <f ca="1">Table13345678[[#This Row],[charmc]]+Table13345678[[#This Row],[charmp]]</f>
        <v>0</v>
      </c>
      <c r="BL158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0" s="78">
        <f ca="1">Table13345678[[#This Row],[call helper]]+Table13345678[[#This Row],[put helper]]</f>
        <v>0</v>
      </c>
      <c r="BP158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1" spans="1:68" x14ac:dyDescent="0.25">
      <c r="A1581" s="14">
        <f t="shared" ca="1" si="154"/>
        <v>-126.14810350076104</v>
      </c>
      <c r="C1581" s="17"/>
      <c r="D1581" t="str">
        <f>RTD("tos.rtd", , "OPEN_INT", "."&amp;Table13345678[[#This Row],[Ticker]]&amp;Table13345678[[#This Row],[Expiry]]&amp;""&amp;"C"&amp;Table13345678[[#This Row],[Spot]]+Table13345678[[#This Row],[step]])</f>
        <v>N/A</v>
      </c>
      <c r="E158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1" s="17" cm="1">
        <f t="array" aca="1" ref="H1581" ca="1">IndividualLegIVCore($A$4, Table13345678[[#This Row],[Strike]], 0.0411, Table13345678[[#This Row],[T]], ((Table13345678[[#This Row],[BIDC]]+Table13345678[[#This Row],[ASKC]])/2), TRUE)</f>
        <v>0.01</v>
      </c>
      <c r="I158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1" s="17"/>
      <c r="M1581" s="1">
        <f t="shared" si="155"/>
        <v>0</v>
      </c>
      <c r="N1581" t="b">
        <f t="shared" si="156"/>
        <v>0</v>
      </c>
      <c r="P1581" s="17" cm="1">
        <f t="array" aca="1" ref="P1581" ca="1">IndividualLegIVCore($A$4, Table13345678[[#This Row],[Strike]], 0.0411, Table13345678[[#This Row],[T]], ((Table13345678[[#This Row],[BIDP]]+Table13345678[[#This Row],[ASKP]])/2), FALSE)</f>
        <v>0.01</v>
      </c>
      <c r="Q158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1" s="17"/>
      <c r="T158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1" s="19">
        <f>25* IF($M$1="NDX", 10, IF(OR($M$1="SPX", $M$1="RUT"), 2, 1))</f>
        <v>50</v>
      </c>
      <c r="Z1581">
        <f ca="1">IFERROR(Table13345678[[#This Row],[call gamma]]*(Table13345678[[#This Row],[Open.Int]])*$A$4^2,0)</f>
        <v>0</v>
      </c>
      <c r="AA1581">
        <f ca="1">IFERROR(((Table13345678[[#This Row],[Open.Int8]])*Table13345678[[#This Row],[Put gamma]])*-1*$A$4^2,0)</f>
        <v>0</v>
      </c>
      <c r="AB1581">
        <f ca="1">(Table13345678[[#This Row],[Call Gex]]+Table13345678[[#This Row],[Put Gex]])</f>
        <v>0</v>
      </c>
      <c r="AC1581">
        <f ca="1">Table13345678[[#This Row],[put delta adj]]+Table13345678[[#This Row],[call delta adj]]</f>
        <v>0</v>
      </c>
      <c r="AD1581">
        <f ca="1">Table13345678[[#This Row],[Put Gex]]*Table13345678[[#This Row],[DeltaP]]*-1</f>
        <v>0</v>
      </c>
      <c r="AE1581">
        <f ca="1">Table13345678[[#This Row],[Call Gex]]*Table13345678[[#This Row],[DeltaC]]</f>
        <v>0</v>
      </c>
      <c r="AF1581">
        <f>IF(Table13345678[[#This Row],[DeltaC]]-ABS(Table13345678[[#This Row],[DeltaP]])="0","0.01",Table13345678[[#This Row],[DeltaC]]-ABS(Table13345678[[#This Row],[DeltaP]]))</f>
        <v>0</v>
      </c>
      <c r="AG158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1" t="e">
        <f ca="1">(EXP(-(AG1581^2)/2)/SQRT(2*PI())*EXP(0*SQRT(Table13345678[[#This Row],[T]]))/$A$4*18%*SQRT(SQRT(Table13345678[[#This Row],[T]])))</f>
        <v>#DIV/0!</v>
      </c>
      <c r="AJ1581" t="e">
        <f ca="1">(EXP(-(AH1581^2)/2)/SQRT(2*PI())*EXP(0*SQRT(Table13345678[[#This Row],[T]]))/$A$4*18%*SQRT(SQRT(Table13345678[[#This Row],[T]])))</f>
        <v>#DIV/0!</v>
      </c>
      <c r="AK1581" t="e">
        <f ca="1">Table13345678[[#This Row],[Call D1]]-Table13345678[[#This Row],[IV Calc C]]*SQRT(Table13345678[[#This Row],[T]])</f>
        <v>#DIV/0!</v>
      </c>
      <c r="AL1581" t="e">
        <f ca="1">Table13345678[[#This Row],[Put D1]]-Table13345678[[#This Row],[IV Calc P]]*SQRT(Table13345678[[#This Row],[T]])</f>
        <v>#DIV/0!</v>
      </c>
      <c r="AM1581" t="e">
        <f ca="1">EXP(-0.5*Table13345678[[#This Row],[Call D1]]^2)/SQRT(2*PI())</f>
        <v>#DIV/0!</v>
      </c>
      <c r="AN1581" t="e">
        <f ca="1">EXP(-0.5*Table13345678[[#This Row],[Put D1]]^2)/SQRT(2*PI())</f>
        <v>#DIV/0!</v>
      </c>
      <c r="AO158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1">
        <f ca="1">((Table13345678[[#This Row],[call vanna]]+Table13345678[[#This Row],[put vanna]])*$A$4)</f>
        <v>0</v>
      </c>
      <c r="AR158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1" s="9" t="str" cm="1">
        <f t="array" ref="AT1581">_xlfn.IFS(     $M$1="SPX","SPXW",     $M$1="RUT","RUTW",  $M$1="NDX","NDXP",   TRUE,$M$1 )</f>
        <v>SPXW</v>
      </c>
      <c r="AU1581" s="2">
        <f t="shared" si="157"/>
        <v>6915</v>
      </c>
      <c r="AV1581" t="str">
        <f t="shared" si="158"/>
        <v>000100</v>
      </c>
      <c r="AY158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1">
        <f>((Table13345678[[#This Row],[High C]]+Table13345678[[#This Row],[Low C]])/2)*Table13345678[[#This Row],[gammac]]*Table13345678[[#This Row],[Volume]]</f>
        <v>0</v>
      </c>
      <c r="BD1581">
        <f>((Table13345678[[#This Row],[High P]]+Table13345678[[#This Row],[Low P]])/2)*Table13345678[[#This Row],[gammap]]*Table13345678[[#This Row],[Volume9]]*-1</f>
        <v>0</v>
      </c>
      <c r="BE1581">
        <f>(Table13345678[[#This Row],[SgammaC]]+Table13345678[[#This Row],[SgammaP]])*$A$4*-100</f>
        <v>0</v>
      </c>
      <c r="BF1581">
        <f>Table13345678[[#This Row],[DEXc]]+Table13345678[[#This Row],[DEXp]]</f>
        <v>0</v>
      </c>
      <c r="BG1581" s="78">
        <f>IFERROR(Table13345678[[#This Row],[DeltaC]]*Table13345678[[#This Row],[Open.Int]]*$A$4,0)</f>
        <v>0</v>
      </c>
      <c r="BH1581">
        <f>IFERROR(Table13345678[[#This Row],[DeltaP]]*Table13345678[[#This Row],[Open.Int8]]*$A$4,0)</f>
        <v>0</v>
      </c>
      <c r="BI158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1">
        <f ca="1">Table13345678[[#This Row],[charmc]]+Table13345678[[#This Row],[charmp]]</f>
        <v>0</v>
      </c>
      <c r="BL158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1" s="78">
        <f ca="1">Table13345678[[#This Row],[call helper]]+Table13345678[[#This Row],[put helper]]</f>
        <v>0</v>
      </c>
      <c r="BP158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2" spans="1:68" x14ac:dyDescent="0.25">
      <c r="A1582" s="14">
        <f t="shared" ca="1" si="154"/>
        <v>-126.14810350076104</v>
      </c>
      <c r="C1582" s="17"/>
      <c r="D1582" t="str">
        <f>RTD("tos.rtd", , "OPEN_INT", "."&amp;Table13345678[[#This Row],[Ticker]]&amp;Table13345678[[#This Row],[Expiry]]&amp;""&amp;"C"&amp;Table13345678[[#This Row],[Spot]]+Table13345678[[#This Row],[step]])</f>
        <v>N/A</v>
      </c>
      <c r="E158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2" s="17" cm="1">
        <f t="array" aca="1" ref="H1582" ca="1">IndividualLegIVCore($A$4, Table13345678[[#This Row],[Strike]], 0.0411, Table13345678[[#This Row],[T]], ((Table13345678[[#This Row],[BIDC]]+Table13345678[[#This Row],[ASKC]])/2), TRUE)</f>
        <v>0.01</v>
      </c>
      <c r="I158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2" s="17"/>
      <c r="M1582" s="1">
        <f t="shared" si="155"/>
        <v>0</v>
      </c>
      <c r="N1582" t="b">
        <f t="shared" si="156"/>
        <v>0</v>
      </c>
      <c r="P1582" s="17" cm="1">
        <f t="array" aca="1" ref="P1582" ca="1">IndividualLegIVCore($A$4, Table13345678[[#This Row],[Strike]], 0.0411, Table13345678[[#This Row],[T]], ((Table13345678[[#This Row],[BIDP]]+Table13345678[[#This Row],[ASKP]])/2), FALSE)</f>
        <v>0.01</v>
      </c>
      <c r="Q158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2" s="17"/>
      <c r="T158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2" s="19">
        <f>25.5* IF($M$1="NDX", 10, IF(OR($M$1="SPX", $M$1="RUT"), 2, 1))</f>
        <v>51</v>
      </c>
      <c r="Z1582">
        <f ca="1">IFERROR(Table13345678[[#This Row],[call gamma]]*(Table13345678[[#This Row],[Open.Int]])*$A$4^2,0)</f>
        <v>0</v>
      </c>
      <c r="AA1582">
        <f ca="1">IFERROR(((Table13345678[[#This Row],[Open.Int8]])*Table13345678[[#This Row],[Put gamma]])*-1*$A$4^2,0)</f>
        <v>0</v>
      </c>
      <c r="AB1582">
        <f ca="1">(Table13345678[[#This Row],[Call Gex]]+Table13345678[[#This Row],[Put Gex]])</f>
        <v>0</v>
      </c>
      <c r="AC1582">
        <f ca="1">Table13345678[[#This Row],[put delta adj]]+Table13345678[[#This Row],[call delta adj]]</f>
        <v>0</v>
      </c>
      <c r="AD1582">
        <f ca="1">Table13345678[[#This Row],[Put Gex]]*Table13345678[[#This Row],[DeltaP]]*-1</f>
        <v>0</v>
      </c>
      <c r="AE1582">
        <f ca="1">Table13345678[[#This Row],[Call Gex]]*Table13345678[[#This Row],[DeltaC]]</f>
        <v>0</v>
      </c>
      <c r="AF1582">
        <f>IF(Table13345678[[#This Row],[DeltaC]]-ABS(Table13345678[[#This Row],[DeltaP]])="0","0.01",Table13345678[[#This Row],[DeltaC]]-ABS(Table13345678[[#This Row],[DeltaP]]))</f>
        <v>0</v>
      </c>
      <c r="AG158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2" t="e">
        <f ca="1">(EXP(-(AG1582^2)/2)/SQRT(2*PI())*EXP(0*SQRT(Table13345678[[#This Row],[T]]))/$A$4*18%*SQRT(SQRT(Table13345678[[#This Row],[T]])))</f>
        <v>#DIV/0!</v>
      </c>
      <c r="AJ1582" t="e">
        <f ca="1">(EXP(-(AH1582^2)/2)/SQRT(2*PI())*EXP(0*SQRT(Table13345678[[#This Row],[T]]))/$A$4*18%*SQRT(SQRT(Table13345678[[#This Row],[T]])))</f>
        <v>#DIV/0!</v>
      </c>
      <c r="AK1582" t="e">
        <f ca="1">Table13345678[[#This Row],[Call D1]]-Table13345678[[#This Row],[IV Calc C]]*SQRT(Table13345678[[#This Row],[T]])</f>
        <v>#DIV/0!</v>
      </c>
      <c r="AL1582" t="e">
        <f ca="1">Table13345678[[#This Row],[Put D1]]-Table13345678[[#This Row],[IV Calc P]]*SQRT(Table13345678[[#This Row],[T]])</f>
        <v>#DIV/0!</v>
      </c>
      <c r="AM1582" t="e">
        <f ca="1">EXP(-0.5*Table13345678[[#This Row],[Call D1]]^2)/SQRT(2*PI())</f>
        <v>#DIV/0!</v>
      </c>
      <c r="AN1582" t="e">
        <f ca="1">EXP(-0.5*Table13345678[[#This Row],[Put D1]]^2)/SQRT(2*PI())</f>
        <v>#DIV/0!</v>
      </c>
      <c r="AO158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2">
        <f ca="1">((Table13345678[[#This Row],[call vanna]]+Table13345678[[#This Row],[put vanna]])*$A$4)</f>
        <v>0</v>
      </c>
      <c r="AR158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2" s="9" t="str" cm="1">
        <f t="array" ref="AT1582">_xlfn.IFS(     $M$1="SPX","SPXW",     $M$1="RUT","RUTW",  $M$1="NDX","NDXP",   TRUE,$M$1 )</f>
        <v>SPXW</v>
      </c>
      <c r="AU1582" s="2">
        <f t="shared" si="157"/>
        <v>6915</v>
      </c>
      <c r="AV1582" t="str">
        <f t="shared" si="158"/>
        <v>000100</v>
      </c>
      <c r="AY158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2">
        <f>((Table13345678[[#This Row],[High C]]+Table13345678[[#This Row],[Low C]])/2)*Table13345678[[#This Row],[gammac]]*Table13345678[[#This Row],[Volume]]</f>
        <v>0</v>
      </c>
      <c r="BD1582">
        <f>((Table13345678[[#This Row],[High P]]+Table13345678[[#This Row],[Low P]])/2)*Table13345678[[#This Row],[gammap]]*Table13345678[[#This Row],[Volume9]]*-1</f>
        <v>0</v>
      </c>
      <c r="BE1582">
        <f>(Table13345678[[#This Row],[SgammaC]]+Table13345678[[#This Row],[SgammaP]])*$A$4*-100</f>
        <v>0</v>
      </c>
      <c r="BF1582">
        <f>Table13345678[[#This Row],[DEXc]]+Table13345678[[#This Row],[DEXp]]</f>
        <v>0</v>
      </c>
      <c r="BG1582" s="78">
        <f>IFERROR(Table13345678[[#This Row],[DeltaC]]*Table13345678[[#This Row],[Open.Int]]*$A$4,0)</f>
        <v>0</v>
      </c>
      <c r="BH1582">
        <f>IFERROR(Table13345678[[#This Row],[DeltaP]]*Table13345678[[#This Row],[Open.Int8]]*$A$4,0)</f>
        <v>0</v>
      </c>
      <c r="BI158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2">
        <f ca="1">Table13345678[[#This Row],[charmc]]+Table13345678[[#This Row],[charmp]]</f>
        <v>0</v>
      </c>
      <c r="BL158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2" s="78">
        <f ca="1">Table13345678[[#This Row],[call helper]]+Table13345678[[#This Row],[put helper]]</f>
        <v>0</v>
      </c>
      <c r="BP158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3" spans="1:68" x14ac:dyDescent="0.25">
      <c r="A1583" s="14">
        <f t="shared" ca="1" si="154"/>
        <v>-126.14810350076104</v>
      </c>
      <c r="C1583" s="17"/>
      <c r="D1583" t="str">
        <f>RTD("tos.rtd", , "OPEN_INT", "."&amp;Table13345678[[#This Row],[Ticker]]&amp;Table13345678[[#This Row],[Expiry]]&amp;""&amp;"C"&amp;Table13345678[[#This Row],[Spot]]+Table13345678[[#This Row],[step]])</f>
        <v>N/A</v>
      </c>
      <c r="E158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3" s="17" cm="1">
        <f t="array" aca="1" ref="H1583" ca="1">IndividualLegIVCore($A$4, Table13345678[[#This Row],[Strike]], 0.0411, Table13345678[[#This Row],[T]], ((Table13345678[[#This Row],[BIDC]]+Table13345678[[#This Row],[ASKC]])/2), TRUE)</f>
        <v>0.01</v>
      </c>
      <c r="I158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3" s="17"/>
      <c r="M1583" s="1">
        <f t="shared" si="155"/>
        <v>0</v>
      </c>
      <c r="N1583" t="b">
        <f t="shared" si="156"/>
        <v>0</v>
      </c>
      <c r="P1583" s="17" cm="1">
        <f t="array" aca="1" ref="P1583" ca="1">IndividualLegIVCore($A$4, Table13345678[[#This Row],[Strike]], 0.0411, Table13345678[[#This Row],[T]], ((Table13345678[[#This Row],[BIDP]]+Table13345678[[#This Row],[ASKP]])/2), FALSE)</f>
        <v>0.01</v>
      </c>
      <c r="Q158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3" s="17"/>
      <c r="T158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3" s="19">
        <f>26* IF($M$1="NDX", 10, IF(OR($M$1="SPX", $M$1="RUT"), 2, 1))</f>
        <v>52</v>
      </c>
      <c r="Z1583">
        <f ca="1">IFERROR(Table13345678[[#This Row],[call gamma]]*(Table13345678[[#This Row],[Open.Int]])*$A$4^2,0)</f>
        <v>0</v>
      </c>
      <c r="AA1583">
        <f ca="1">IFERROR(((Table13345678[[#This Row],[Open.Int8]])*Table13345678[[#This Row],[Put gamma]])*-1*$A$4^2,0)</f>
        <v>0</v>
      </c>
      <c r="AB1583">
        <f ca="1">(Table13345678[[#This Row],[Call Gex]]+Table13345678[[#This Row],[Put Gex]])</f>
        <v>0</v>
      </c>
      <c r="AC1583">
        <f ca="1">Table13345678[[#This Row],[put delta adj]]+Table13345678[[#This Row],[call delta adj]]</f>
        <v>0</v>
      </c>
      <c r="AD1583">
        <f ca="1">Table13345678[[#This Row],[Put Gex]]*Table13345678[[#This Row],[DeltaP]]*-1</f>
        <v>0</v>
      </c>
      <c r="AE1583">
        <f ca="1">Table13345678[[#This Row],[Call Gex]]*Table13345678[[#This Row],[DeltaC]]</f>
        <v>0</v>
      </c>
      <c r="AF1583">
        <f>IF(Table13345678[[#This Row],[DeltaC]]-ABS(Table13345678[[#This Row],[DeltaP]])="0","0.01",Table13345678[[#This Row],[DeltaC]]-ABS(Table13345678[[#This Row],[DeltaP]]))</f>
        <v>0</v>
      </c>
      <c r="AG158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3" t="e">
        <f ca="1">(EXP(-(AG1583^2)/2)/SQRT(2*PI())*EXP(0*SQRT(Table13345678[[#This Row],[T]]))/$A$4*18%*SQRT(SQRT(Table13345678[[#This Row],[T]])))</f>
        <v>#DIV/0!</v>
      </c>
      <c r="AJ1583" t="e">
        <f ca="1">(EXP(-(AH1583^2)/2)/SQRT(2*PI())*EXP(0*SQRT(Table13345678[[#This Row],[T]]))/$A$4*18%*SQRT(SQRT(Table13345678[[#This Row],[T]])))</f>
        <v>#DIV/0!</v>
      </c>
      <c r="AK1583" t="e">
        <f ca="1">Table13345678[[#This Row],[Call D1]]-Table13345678[[#This Row],[IV Calc C]]*SQRT(Table13345678[[#This Row],[T]])</f>
        <v>#DIV/0!</v>
      </c>
      <c r="AL1583" t="e">
        <f ca="1">Table13345678[[#This Row],[Put D1]]-Table13345678[[#This Row],[IV Calc P]]*SQRT(Table13345678[[#This Row],[T]])</f>
        <v>#DIV/0!</v>
      </c>
      <c r="AM1583" t="e">
        <f ca="1">EXP(-0.5*Table13345678[[#This Row],[Call D1]]^2)/SQRT(2*PI())</f>
        <v>#DIV/0!</v>
      </c>
      <c r="AN1583" t="e">
        <f ca="1">EXP(-0.5*Table13345678[[#This Row],[Put D1]]^2)/SQRT(2*PI())</f>
        <v>#DIV/0!</v>
      </c>
      <c r="AO158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3">
        <f ca="1">((Table13345678[[#This Row],[call vanna]]+Table13345678[[#This Row],[put vanna]])*$A$4)</f>
        <v>0</v>
      </c>
      <c r="AR158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3" s="9" t="str" cm="1">
        <f t="array" ref="AT1583">_xlfn.IFS(     $M$1="SPX","SPXW",     $M$1="RUT","RUTW",  $M$1="NDX","NDXP",   TRUE,$M$1 )</f>
        <v>SPXW</v>
      </c>
      <c r="AU1583" s="2">
        <f t="shared" si="157"/>
        <v>6915</v>
      </c>
      <c r="AV1583" t="str">
        <f t="shared" si="158"/>
        <v>000100</v>
      </c>
      <c r="AY158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3">
        <f>((Table13345678[[#This Row],[High C]]+Table13345678[[#This Row],[Low C]])/2)*Table13345678[[#This Row],[gammac]]*Table13345678[[#This Row],[Volume]]</f>
        <v>0</v>
      </c>
      <c r="BD1583">
        <f>((Table13345678[[#This Row],[High P]]+Table13345678[[#This Row],[Low P]])/2)*Table13345678[[#This Row],[gammap]]*Table13345678[[#This Row],[Volume9]]*-1</f>
        <v>0</v>
      </c>
      <c r="BE1583">
        <f>(Table13345678[[#This Row],[SgammaC]]+Table13345678[[#This Row],[SgammaP]])*$A$4*-100</f>
        <v>0</v>
      </c>
      <c r="BF1583">
        <f>Table13345678[[#This Row],[DEXc]]+Table13345678[[#This Row],[DEXp]]</f>
        <v>0</v>
      </c>
      <c r="BG1583" s="78">
        <f>IFERROR(Table13345678[[#This Row],[DeltaC]]*Table13345678[[#This Row],[Open.Int]]*$A$4,0)</f>
        <v>0</v>
      </c>
      <c r="BH1583">
        <f>IFERROR(Table13345678[[#This Row],[DeltaP]]*Table13345678[[#This Row],[Open.Int8]]*$A$4,0)</f>
        <v>0</v>
      </c>
      <c r="BI158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3">
        <f ca="1">Table13345678[[#This Row],[charmc]]+Table13345678[[#This Row],[charmp]]</f>
        <v>0</v>
      </c>
      <c r="BL158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3" s="78">
        <f ca="1">Table13345678[[#This Row],[call helper]]+Table13345678[[#This Row],[put helper]]</f>
        <v>0</v>
      </c>
      <c r="BP158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4" spans="1:68" x14ac:dyDescent="0.25">
      <c r="A1584" s="14">
        <f t="shared" ca="1" si="154"/>
        <v>-126.14810350076104</v>
      </c>
      <c r="C1584" s="17"/>
      <c r="D1584" t="str">
        <f>RTD("tos.rtd", , "OPEN_INT", "."&amp;Table13345678[[#This Row],[Ticker]]&amp;Table13345678[[#This Row],[Expiry]]&amp;""&amp;"C"&amp;Table13345678[[#This Row],[Spot]]+Table13345678[[#This Row],[step]])</f>
        <v>N/A</v>
      </c>
      <c r="E158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4" s="17" cm="1">
        <f t="array" aca="1" ref="H1584" ca="1">IndividualLegIVCore($A$4, Table13345678[[#This Row],[Strike]], 0.0411, Table13345678[[#This Row],[T]], ((Table13345678[[#This Row],[BIDC]]+Table13345678[[#This Row],[ASKC]])/2), TRUE)</f>
        <v>0.01</v>
      </c>
      <c r="I158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4" s="17"/>
      <c r="M1584" s="1">
        <f t="shared" si="155"/>
        <v>0</v>
      </c>
      <c r="N1584" t="b">
        <f t="shared" si="156"/>
        <v>0</v>
      </c>
      <c r="P1584" s="17" cm="1">
        <f t="array" aca="1" ref="P1584" ca="1">IndividualLegIVCore($A$4, Table13345678[[#This Row],[Strike]], 0.0411, Table13345678[[#This Row],[T]], ((Table13345678[[#This Row],[BIDP]]+Table13345678[[#This Row],[ASKP]])/2), FALSE)</f>
        <v>0.01</v>
      </c>
      <c r="Q158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4" s="17"/>
      <c r="T158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4" s="19">
        <f>26.5* IF($M$1="NDX", 10, IF(OR($M$1="SPX", $M$1="RUT"), 2, 1))</f>
        <v>53</v>
      </c>
      <c r="Z1584">
        <f ca="1">IFERROR(Table13345678[[#This Row],[call gamma]]*(Table13345678[[#This Row],[Open.Int]])*$A$4^2,0)</f>
        <v>0</v>
      </c>
      <c r="AA1584">
        <f ca="1">IFERROR(((Table13345678[[#This Row],[Open.Int8]])*Table13345678[[#This Row],[Put gamma]])*-1*$A$4^2,0)</f>
        <v>0</v>
      </c>
      <c r="AB1584">
        <f ca="1">(Table13345678[[#This Row],[Call Gex]]+Table13345678[[#This Row],[Put Gex]])</f>
        <v>0</v>
      </c>
      <c r="AC1584">
        <f ca="1">Table13345678[[#This Row],[put delta adj]]+Table13345678[[#This Row],[call delta adj]]</f>
        <v>0</v>
      </c>
      <c r="AD1584">
        <f ca="1">Table13345678[[#This Row],[Put Gex]]*Table13345678[[#This Row],[DeltaP]]*-1</f>
        <v>0</v>
      </c>
      <c r="AE1584">
        <f ca="1">Table13345678[[#This Row],[Call Gex]]*Table13345678[[#This Row],[DeltaC]]</f>
        <v>0</v>
      </c>
      <c r="AF1584">
        <f>IF(Table13345678[[#This Row],[DeltaC]]-ABS(Table13345678[[#This Row],[DeltaP]])="0","0.01",Table13345678[[#This Row],[DeltaC]]-ABS(Table13345678[[#This Row],[DeltaP]]))</f>
        <v>0</v>
      </c>
      <c r="AG158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4" t="e">
        <f ca="1">(EXP(-(AG1584^2)/2)/SQRT(2*PI())*EXP(0*SQRT(Table13345678[[#This Row],[T]]))/$A$4*18%*SQRT(SQRT(Table13345678[[#This Row],[T]])))</f>
        <v>#DIV/0!</v>
      </c>
      <c r="AJ1584" t="e">
        <f ca="1">(EXP(-(AH1584^2)/2)/SQRT(2*PI())*EXP(0*SQRT(Table13345678[[#This Row],[T]]))/$A$4*18%*SQRT(SQRT(Table13345678[[#This Row],[T]])))</f>
        <v>#DIV/0!</v>
      </c>
      <c r="AK1584" t="e">
        <f ca="1">Table13345678[[#This Row],[Call D1]]-Table13345678[[#This Row],[IV Calc C]]*SQRT(Table13345678[[#This Row],[T]])</f>
        <v>#DIV/0!</v>
      </c>
      <c r="AL1584" t="e">
        <f ca="1">Table13345678[[#This Row],[Put D1]]-Table13345678[[#This Row],[IV Calc P]]*SQRT(Table13345678[[#This Row],[T]])</f>
        <v>#DIV/0!</v>
      </c>
      <c r="AM1584" t="e">
        <f ca="1">EXP(-0.5*Table13345678[[#This Row],[Call D1]]^2)/SQRT(2*PI())</f>
        <v>#DIV/0!</v>
      </c>
      <c r="AN1584" t="e">
        <f ca="1">EXP(-0.5*Table13345678[[#This Row],[Put D1]]^2)/SQRT(2*PI())</f>
        <v>#DIV/0!</v>
      </c>
      <c r="AO158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4">
        <f ca="1">((Table13345678[[#This Row],[call vanna]]+Table13345678[[#This Row],[put vanna]])*$A$4)</f>
        <v>0</v>
      </c>
      <c r="AR158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4" s="9" t="str" cm="1">
        <f t="array" ref="AT1584">_xlfn.IFS(     $M$1="SPX","SPXW",     $M$1="RUT","RUTW",  $M$1="NDX","NDXP",   TRUE,$M$1 )</f>
        <v>SPXW</v>
      </c>
      <c r="AU1584" s="2">
        <f t="shared" si="157"/>
        <v>6915</v>
      </c>
      <c r="AV1584" t="str">
        <f t="shared" si="158"/>
        <v>000100</v>
      </c>
      <c r="AY158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4">
        <f>((Table13345678[[#This Row],[High C]]+Table13345678[[#This Row],[Low C]])/2)*Table13345678[[#This Row],[gammac]]*Table13345678[[#This Row],[Volume]]</f>
        <v>0</v>
      </c>
      <c r="BD1584">
        <f>((Table13345678[[#This Row],[High P]]+Table13345678[[#This Row],[Low P]])/2)*Table13345678[[#This Row],[gammap]]*Table13345678[[#This Row],[Volume9]]*-1</f>
        <v>0</v>
      </c>
      <c r="BE1584">
        <f>(Table13345678[[#This Row],[SgammaC]]+Table13345678[[#This Row],[SgammaP]])*$A$4*-100</f>
        <v>0</v>
      </c>
      <c r="BF1584">
        <f>Table13345678[[#This Row],[DEXc]]+Table13345678[[#This Row],[DEXp]]</f>
        <v>0</v>
      </c>
      <c r="BG1584" s="78">
        <f>IFERROR(Table13345678[[#This Row],[DeltaC]]*Table13345678[[#This Row],[Open.Int]]*$A$4,0)</f>
        <v>0</v>
      </c>
      <c r="BH1584">
        <f>IFERROR(Table13345678[[#This Row],[DeltaP]]*Table13345678[[#This Row],[Open.Int8]]*$A$4,0)</f>
        <v>0</v>
      </c>
      <c r="BI158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4">
        <f ca="1">Table13345678[[#This Row],[charmc]]+Table13345678[[#This Row],[charmp]]</f>
        <v>0</v>
      </c>
      <c r="BL158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4" s="78">
        <f ca="1">Table13345678[[#This Row],[call helper]]+Table13345678[[#This Row],[put helper]]</f>
        <v>0</v>
      </c>
      <c r="BP158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5" spans="1:68" x14ac:dyDescent="0.25">
      <c r="A1585" s="14">
        <f t="shared" ca="1" si="154"/>
        <v>-126.14810350076104</v>
      </c>
      <c r="C1585" s="17"/>
      <c r="D1585" t="str">
        <f>RTD("tos.rtd", , "OPEN_INT", "."&amp;Table13345678[[#This Row],[Ticker]]&amp;Table13345678[[#This Row],[Expiry]]&amp;""&amp;"C"&amp;Table13345678[[#This Row],[Spot]]+Table13345678[[#This Row],[step]])</f>
        <v>N/A</v>
      </c>
      <c r="E158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5" s="17" cm="1">
        <f t="array" aca="1" ref="H1585" ca="1">IndividualLegIVCore($A$4, Table13345678[[#This Row],[Strike]], 0.0411, Table13345678[[#This Row],[T]], ((Table13345678[[#This Row],[BIDC]]+Table13345678[[#This Row],[ASKC]])/2), TRUE)</f>
        <v>0.01</v>
      </c>
      <c r="I158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5" s="17"/>
      <c r="M1585" s="1">
        <f t="shared" si="155"/>
        <v>0</v>
      </c>
      <c r="N1585" t="b">
        <f t="shared" si="156"/>
        <v>0</v>
      </c>
      <c r="P1585" s="17" cm="1">
        <f t="array" aca="1" ref="P1585" ca="1">IndividualLegIVCore($A$4, Table13345678[[#This Row],[Strike]], 0.0411, Table13345678[[#This Row],[T]], ((Table13345678[[#This Row],[BIDP]]+Table13345678[[#This Row],[ASKP]])/2), FALSE)</f>
        <v>0.01</v>
      </c>
      <c r="Q158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5" s="17"/>
      <c r="T158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5" s="19">
        <f>27* IF($M$1="NDX", 10, IF(OR($M$1="SPX", $M$1="RUT"), 2, 1))</f>
        <v>54</v>
      </c>
      <c r="Z1585">
        <f ca="1">IFERROR(Table13345678[[#This Row],[call gamma]]*(Table13345678[[#This Row],[Open.Int]])*$A$4^2,0)</f>
        <v>0</v>
      </c>
      <c r="AA1585">
        <f ca="1">IFERROR(((Table13345678[[#This Row],[Open.Int8]])*Table13345678[[#This Row],[Put gamma]])*-1*$A$4^2,0)</f>
        <v>0</v>
      </c>
      <c r="AB1585">
        <f ca="1">(Table13345678[[#This Row],[Call Gex]]+Table13345678[[#This Row],[Put Gex]])</f>
        <v>0</v>
      </c>
      <c r="AC1585">
        <f ca="1">Table13345678[[#This Row],[put delta adj]]+Table13345678[[#This Row],[call delta adj]]</f>
        <v>0</v>
      </c>
      <c r="AD1585">
        <f ca="1">Table13345678[[#This Row],[Put Gex]]*Table13345678[[#This Row],[DeltaP]]*-1</f>
        <v>0</v>
      </c>
      <c r="AE1585">
        <f ca="1">Table13345678[[#This Row],[Call Gex]]*Table13345678[[#This Row],[DeltaC]]</f>
        <v>0</v>
      </c>
      <c r="AF1585">
        <f>IF(Table13345678[[#This Row],[DeltaC]]-ABS(Table13345678[[#This Row],[DeltaP]])="0","0.01",Table13345678[[#This Row],[DeltaC]]-ABS(Table13345678[[#This Row],[DeltaP]]))</f>
        <v>0</v>
      </c>
      <c r="AG158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5" t="e">
        <f ca="1">(EXP(-(AG1585^2)/2)/SQRT(2*PI())*EXP(0*SQRT(Table13345678[[#This Row],[T]]))/$A$4*18%*SQRT(SQRT(Table13345678[[#This Row],[T]])))</f>
        <v>#DIV/0!</v>
      </c>
      <c r="AJ1585" t="e">
        <f ca="1">(EXP(-(AH1585^2)/2)/SQRT(2*PI())*EXP(0*SQRT(Table13345678[[#This Row],[T]]))/$A$4*18%*SQRT(SQRT(Table13345678[[#This Row],[T]])))</f>
        <v>#DIV/0!</v>
      </c>
      <c r="AK1585" t="e">
        <f ca="1">Table13345678[[#This Row],[Call D1]]-Table13345678[[#This Row],[IV Calc C]]*SQRT(Table13345678[[#This Row],[T]])</f>
        <v>#DIV/0!</v>
      </c>
      <c r="AL1585" t="e">
        <f ca="1">Table13345678[[#This Row],[Put D1]]-Table13345678[[#This Row],[IV Calc P]]*SQRT(Table13345678[[#This Row],[T]])</f>
        <v>#DIV/0!</v>
      </c>
      <c r="AM1585" t="e">
        <f ca="1">EXP(-0.5*Table13345678[[#This Row],[Call D1]]^2)/SQRT(2*PI())</f>
        <v>#DIV/0!</v>
      </c>
      <c r="AN1585" t="e">
        <f ca="1">EXP(-0.5*Table13345678[[#This Row],[Put D1]]^2)/SQRT(2*PI())</f>
        <v>#DIV/0!</v>
      </c>
      <c r="AO158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5">
        <f ca="1">((Table13345678[[#This Row],[call vanna]]+Table13345678[[#This Row],[put vanna]])*$A$4)</f>
        <v>0</v>
      </c>
      <c r="AR158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5" s="9" t="str" cm="1">
        <f t="array" ref="AT1585">_xlfn.IFS(     $M$1="SPX","SPXW",     $M$1="RUT","RUTW",  $M$1="NDX","NDXP",   TRUE,$M$1 )</f>
        <v>SPXW</v>
      </c>
      <c r="AU1585" s="2">
        <f t="shared" si="157"/>
        <v>6915</v>
      </c>
      <c r="AV1585" t="str">
        <f t="shared" si="158"/>
        <v>000100</v>
      </c>
      <c r="AY158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5">
        <f>((Table13345678[[#This Row],[High C]]+Table13345678[[#This Row],[Low C]])/2)*Table13345678[[#This Row],[gammac]]*Table13345678[[#This Row],[Volume]]</f>
        <v>0</v>
      </c>
      <c r="BD1585">
        <f>((Table13345678[[#This Row],[High P]]+Table13345678[[#This Row],[Low P]])/2)*Table13345678[[#This Row],[gammap]]*Table13345678[[#This Row],[Volume9]]*-1</f>
        <v>0</v>
      </c>
      <c r="BE1585">
        <f>(Table13345678[[#This Row],[SgammaC]]+Table13345678[[#This Row],[SgammaP]])*$A$4*-100</f>
        <v>0</v>
      </c>
      <c r="BF1585">
        <f>Table13345678[[#This Row],[DEXc]]+Table13345678[[#This Row],[DEXp]]</f>
        <v>0</v>
      </c>
      <c r="BG1585" s="78">
        <f>IFERROR(Table13345678[[#This Row],[DeltaC]]*Table13345678[[#This Row],[Open.Int]]*$A$4,0)</f>
        <v>0</v>
      </c>
      <c r="BH1585">
        <f>IFERROR(Table13345678[[#This Row],[DeltaP]]*Table13345678[[#This Row],[Open.Int8]]*$A$4,0)</f>
        <v>0</v>
      </c>
      <c r="BI158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5">
        <f ca="1">Table13345678[[#This Row],[charmc]]+Table13345678[[#This Row],[charmp]]</f>
        <v>0</v>
      </c>
      <c r="BL158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5" s="78">
        <f ca="1">Table13345678[[#This Row],[call helper]]+Table13345678[[#This Row],[put helper]]</f>
        <v>0</v>
      </c>
      <c r="BP158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6" spans="1:68" x14ac:dyDescent="0.25">
      <c r="A1586" s="14">
        <f t="shared" ca="1" si="154"/>
        <v>-126.14810350076104</v>
      </c>
      <c r="C1586" s="17"/>
      <c r="D1586" t="str">
        <f>RTD("tos.rtd", , "OPEN_INT", "."&amp;Table13345678[[#This Row],[Ticker]]&amp;Table13345678[[#This Row],[Expiry]]&amp;""&amp;"C"&amp;Table13345678[[#This Row],[Spot]]+Table13345678[[#This Row],[step]])</f>
        <v>N/A</v>
      </c>
      <c r="E158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6" s="17" cm="1">
        <f t="array" aca="1" ref="H1586" ca="1">IndividualLegIVCore($A$4, Table13345678[[#This Row],[Strike]], 0.0411, Table13345678[[#This Row],[T]], ((Table13345678[[#This Row],[BIDC]]+Table13345678[[#This Row],[ASKC]])/2), TRUE)</f>
        <v>0.01</v>
      </c>
      <c r="I158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6" s="17"/>
      <c r="M1586" s="1">
        <f t="shared" si="155"/>
        <v>0</v>
      </c>
      <c r="N1586" t="b">
        <f t="shared" si="156"/>
        <v>0</v>
      </c>
      <c r="P1586" s="17" cm="1">
        <f t="array" aca="1" ref="P1586" ca="1">IndividualLegIVCore($A$4, Table13345678[[#This Row],[Strike]], 0.0411, Table13345678[[#This Row],[T]], ((Table13345678[[#This Row],[BIDP]]+Table13345678[[#This Row],[ASKP]])/2), FALSE)</f>
        <v>0.01</v>
      </c>
      <c r="Q158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6" s="17"/>
      <c r="T158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6" s="19">
        <f>27.5* IF($M$1="NDX", 10, IF(OR($M$1="SPX", $M$1="RUT"), 2, 1))</f>
        <v>55</v>
      </c>
      <c r="Z1586">
        <f ca="1">IFERROR(Table13345678[[#This Row],[call gamma]]*(Table13345678[[#This Row],[Open.Int]])*$A$4^2,0)</f>
        <v>0</v>
      </c>
      <c r="AA1586">
        <f ca="1">IFERROR(((Table13345678[[#This Row],[Open.Int8]])*Table13345678[[#This Row],[Put gamma]])*-1*$A$4^2,0)</f>
        <v>0</v>
      </c>
      <c r="AB1586">
        <f ca="1">(Table13345678[[#This Row],[Call Gex]]+Table13345678[[#This Row],[Put Gex]])</f>
        <v>0</v>
      </c>
      <c r="AC1586">
        <f ca="1">Table13345678[[#This Row],[put delta adj]]+Table13345678[[#This Row],[call delta adj]]</f>
        <v>0</v>
      </c>
      <c r="AD1586">
        <f ca="1">Table13345678[[#This Row],[Put Gex]]*Table13345678[[#This Row],[DeltaP]]*-1</f>
        <v>0</v>
      </c>
      <c r="AE1586">
        <f ca="1">Table13345678[[#This Row],[Call Gex]]*Table13345678[[#This Row],[DeltaC]]</f>
        <v>0</v>
      </c>
      <c r="AF1586">
        <f>IF(Table13345678[[#This Row],[DeltaC]]-ABS(Table13345678[[#This Row],[DeltaP]])="0","0.01",Table13345678[[#This Row],[DeltaC]]-ABS(Table13345678[[#This Row],[DeltaP]]))</f>
        <v>0</v>
      </c>
      <c r="AG158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6" t="e">
        <f ca="1">(EXP(-(AG1586^2)/2)/SQRT(2*PI())*EXP(0*SQRT(Table13345678[[#This Row],[T]]))/$A$4*18%*SQRT(SQRT(Table13345678[[#This Row],[T]])))</f>
        <v>#DIV/0!</v>
      </c>
      <c r="AJ1586" t="e">
        <f ca="1">(EXP(-(AH1586^2)/2)/SQRT(2*PI())*EXP(0*SQRT(Table13345678[[#This Row],[T]]))/$A$4*18%*SQRT(SQRT(Table13345678[[#This Row],[T]])))</f>
        <v>#DIV/0!</v>
      </c>
      <c r="AK1586" t="e">
        <f ca="1">Table13345678[[#This Row],[Call D1]]-Table13345678[[#This Row],[IV Calc C]]*SQRT(Table13345678[[#This Row],[T]])</f>
        <v>#DIV/0!</v>
      </c>
      <c r="AL1586" t="e">
        <f ca="1">Table13345678[[#This Row],[Put D1]]-Table13345678[[#This Row],[IV Calc P]]*SQRT(Table13345678[[#This Row],[T]])</f>
        <v>#DIV/0!</v>
      </c>
      <c r="AM1586" t="e">
        <f ca="1">EXP(-0.5*Table13345678[[#This Row],[Call D1]]^2)/SQRT(2*PI())</f>
        <v>#DIV/0!</v>
      </c>
      <c r="AN1586" t="e">
        <f ca="1">EXP(-0.5*Table13345678[[#This Row],[Put D1]]^2)/SQRT(2*PI())</f>
        <v>#DIV/0!</v>
      </c>
      <c r="AO158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6">
        <f ca="1">((Table13345678[[#This Row],[call vanna]]+Table13345678[[#This Row],[put vanna]])*$A$4)</f>
        <v>0</v>
      </c>
      <c r="AR158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6" s="9" t="str" cm="1">
        <f t="array" ref="AT1586">_xlfn.IFS(     $M$1="SPX","SPXW",     $M$1="RUT","RUTW",  $M$1="NDX","NDXP",   TRUE,$M$1 )</f>
        <v>SPXW</v>
      </c>
      <c r="AU1586" s="2">
        <f t="shared" si="157"/>
        <v>6915</v>
      </c>
      <c r="AV1586" t="str">
        <f t="shared" si="158"/>
        <v>000100</v>
      </c>
      <c r="AY158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6">
        <f>((Table13345678[[#This Row],[High C]]+Table13345678[[#This Row],[Low C]])/2)*Table13345678[[#This Row],[gammac]]*Table13345678[[#This Row],[Volume]]</f>
        <v>0</v>
      </c>
      <c r="BD1586">
        <f>((Table13345678[[#This Row],[High P]]+Table13345678[[#This Row],[Low P]])/2)*Table13345678[[#This Row],[gammap]]*Table13345678[[#This Row],[Volume9]]*-1</f>
        <v>0</v>
      </c>
      <c r="BE1586">
        <f>(Table13345678[[#This Row],[SgammaC]]+Table13345678[[#This Row],[SgammaP]])*$A$4*-100</f>
        <v>0</v>
      </c>
      <c r="BF1586">
        <f>Table13345678[[#This Row],[DEXc]]+Table13345678[[#This Row],[DEXp]]</f>
        <v>0</v>
      </c>
      <c r="BG1586" s="78">
        <f>IFERROR(Table13345678[[#This Row],[DeltaC]]*Table13345678[[#This Row],[Open.Int]]*$A$4,0)</f>
        <v>0</v>
      </c>
      <c r="BH1586">
        <f>IFERROR(Table13345678[[#This Row],[DeltaP]]*Table13345678[[#This Row],[Open.Int8]]*$A$4,0)</f>
        <v>0</v>
      </c>
      <c r="BI158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6">
        <f ca="1">Table13345678[[#This Row],[charmc]]+Table13345678[[#This Row],[charmp]]</f>
        <v>0</v>
      </c>
      <c r="BL158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6" s="78">
        <f ca="1">Table13345678[[#This Row],[call helper]]+Table13345678[[#This Row],[put helper]]</f>
        <v>0</v>
      </c>
      <c r="BP158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7" spans="1:68" x14ac:dyDescent="0.25">
      <c r="A1587" s="14">
        <f t="shared" ca="1" si="154"/>
        <v>-126.14810350076104</v>
      </c>
      <c r="C1587" s="17"/>
      <c r="D1587" t="str">
        <f>RTD("tos.rtd", , "OPEN_INT", "."&amp;Table13345678[[#This Row],[Ticker]]&amp;Table13345678[[#This Row],[Expiry]]&amp;""&amp;"C"&amp;Table13345678[[#This Row],[Spot]]+Table13345678[[#This Row],[step]])</f>
        <v>N/A</v>
      </c>
      <c r="E158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7" s="17" cm="1">
        <f t="array" aca="1" ref="H1587" ca="1">IndividualLegIVCore($A$4, Table13345678[[#This Row],[Strike]], 0.0411, Table13345678[[#This Row],[T]], ((Table13345678[[#This Row],[BIDC]]+Table13345678[[#This Row],[ASKC]])/2), TRUE)</f>
        <v>0.01</v>
      </c>
      <c r="I158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7" s="17"/>
      <c r="M1587" s="1">
        <f t="shared" si="155"/>
        <v>0</v>
      </c>
      <c r="N1587" t="b">
        <f t="shared" si="156"/>
        <v>0</v>
      </c>
      <c r="P1587" s="17" cm="1">
        <f t="array" aca="1" ref="P1587" ca="1">IndividualLegIVCore($A$4, Table13345678[[#This Row],[Strike]], 0.0411, Table13345678[[#This Row],[T]], ((Table13345678[[#This Row],[BIDP]]+Table13345678[[#This Row],[ASKP]])/2), FALSE)</f>
        <v>0.01</v>
      </c>
      <c r="Q158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7" s="17"/>
      <c r="T158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7" s="19">
        <f>28* IF($M$1="NDX", 10, IF(OR($M$1="SPX", $M$1="RUT"), 2, 1))</f>
        <v>56</v>
      </c>
      <c r="Z1587">
        <f ca="1">IFERROR(Table13345678[[#This Row],[call gamma]]*(Table13345678[[#This Row],[Open.Int]])*$A$4^2,0)</f>
        <v>0</v>
      </c>
      <c r="AA1587">
        <f ca="1">IFERROR(((Table13345678[[#This Row],[Open.Int8]])*Table13345678[[#This Row],[Put gamma]])*-1*$A$4^2,0)</f>
        <v>0</v>
      </c>
      <c r="AB1587">
        <f ca="1">(Table13345678[[#This Row],[Call Gex]]+Table13345678[[#This Row],[Put Gex]])</f>
        <v>0</v>
      </c>
      <c r="AC1587">
        <f ca="1">Table13345678[[#This Row],[put delta adj]]+Table13345678[[#This Row],[call delta adj]]</f>
        <v>0</v>
      </c>
      <c r="AD1587">
        <f ca="1">Table13345678[[#This Row],[Put Gex]]*Table13345678[[#This Row],[DeltaP]]*-1</f>
        <v>0</v>
      </c>
      <c r="AE1587">
        <f ca="1">Table13345678[[#This Row],[Call Gex]]*Table13345678[[#This Row],[DeltaC]]</f>
        <v>0</v>
      </c>
      <c r="AF1587">
        <f>IF(Table13345678[[#This Row],[DeltaC]]-ABS(Table13345678[[#This Row],[DeltaP]])="0","0.01",Table13345678[[#This Row],[DeltaC]]-ABS(Table13345678[[#This Row],[DeltaP]]))</f>
        <v>0</v>
      </c>
      <c r="AG158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7" t="e">
        <f ca="1">(EXP(-(AG1587^2)/2)/SQRT(2*PI())*EXP(0*SQRT(Table13345678[[#This Row],[T]]))/$A$4*18%*SQRT(SQRT(Table13345678[[#This Row],[T]])))</f>
        <v>#DIV/0!</v>
      </c>
      <c r="AJ1587" t="e">
        <f ca="1">(EXP(-(AH1587^2)/2)/SQRT(2*PI())*EXP(0*SQRT(Table13345678[[#This Row],[T]]))/$A$4*18%*SQRT(SQRT(Table13345678[[#This Row],[T]])))</f>
        <v>#DIV/0!</v>
      </c>
      <c r="AK1587" t="e">
        <f ca="1">Table13345678[[#This Row],[Call D1]]-Table13345678[[#This Row],[IV Calc C]]*SQRT(Table13345678[[#This Row],[T]])</f>
        <v>#DIV/0!</v>
      </c>
      <c r="AL1587" t="e">
        <f ca="1">Table13345678[[#This Row],[Put D1]]-Table13345678[[#This Row],[IV Calc P]]*SQRT(Table13345678[[#This Row],[T]])</f>
        <v>#DIV/0!</v>
      </c>
      <c r="AM1587" t="e">
        <f ca="1">EXP(-0.5*Table13345678[[#This Row],[Call D1]]^2)/SQRT(2*PI())</f>
        <v>#DIV/0!</v>
      </c>
      <c r="AN1587" t="e">
        <f ca="1">EXP(-0.5*Table13345678[[#This Row],[Put D1]]^2)/SQRT(2*PI())</f>
        <v>#DIV/0!</v>
      </c>
      <c r="AO158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7">
        <f ca="1">((Table13345678[[#This Row],[call vanna]]+Table13345678[[#This Row],[put vanna]])*$A$4)</f>
        <v>0</v>
      </c>
      <c r="AR158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7" s="9" t="str" cm="1">
        <f t="array" ref="AT1587">_xlfn.IFS(     $M$1="SPX","SPXW",     $M$1="RUT","RUTW",  $M$1="NDX","NDXP",   TRUE,$M$1 )</f>
        <v>SPXW</v>
      </c>
      <c r="AU1587" s="2">
        <f t="shared" si="157"/>
        <v>6915</v>
      </c>
      <c r="AV1587" t="str">
        <f t="shared" si="158"/>
        <v>000100</v>
      </c>
      <c r="AY158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7">
        <f>((Table13345678[[#This Row],[High C]]+Table13345678[[#This Row],[Low C]])/2)*Table13345678[[#This Row],[gammac]]*Table13345678[[#This Row],[Volume]]</f>
        <v>0</v>
      </c>
      <c r="BD1587">
        <f>((Table13345678[[#This Row],[High P]]+Table13345678[[#This Row],[Low P]])/2)*Table13345678[[#This Row],[gammap]]*Table13345678[[#This Row],[Volume9]]*-1</f>
        <v>0</v>
      </c>
      <c r="BE1587">
        <f>(Table13345678[[#This Row],[SgammaC]]+Table13345678[[#This Row],[SgammaP]])*$A$4*-100</f>
        <v>0</v>
      </c>
      <c r="BF1587">
        <f>Table13345678[[#This Row],[DEXc]]+Table13345678[[#This Row],[DEXp]]</f>
        <v>0</v>
      </c>
      <c r="BG1587" s="78">
        <f>IFERROR(Table13345678[[#This Row],[DeltaC]]*Table13345678[[#This Row],[Open.Int]]*$A$4,0)</f>
        <v>0</v>
      </c>
      <c r="BH1587">
        <f>IFERROR(Table13345678[[#This Row],[DeltaP]]*Table13345678[[#This Row],[Open.Int8]]*$A$4,0)</f>
        <v>0</v>
      </c>
      <c r="BI158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7">
        <f ca="1">Table13345678[[#This Row],[charmc]]+Table13345678[[#This Row],[charmp]]</f>
        <v>0</v>
      </c>
      <c r="BL158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7" s="78">
        <f ca="1">Table13345678[[#This Row],[call helper]]+Table13345678[[#This Row],[put helper]]</f>
        <v>0</v>
      </c>
      <c r="BP158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8" spans="1:68" x14ac:dyDescent="0.25">
      <c r="A1588" s="14">
        <f t="shared" ca="1" si="154"/>
        <v>-126.14810350076104</v>
      </c>
      <c r="C1588" s="17"/>
      <c r="D1588" t="str">
        <f>RTD("tos.rtd", , "OPEN_INT", "."&amp;Table13345678[[#This Row],[Ticker]]&amp;Table13345678[[#This Row],[Expiry]]&amp;""&amp;"C"&amp;Table13345678[[#This Row],[Spot]]+Table13345678[[#This Row],[step]])</f>
        <v>N/A</v>
      </c>
      <c r="E158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8" s="17" cm="1">
        <f t="array" aca="1" ref="H1588" ca="1">IndividualLegIVCore($A$4, Table13345678[[#This Row],[Strike]], 0.0411, Table13345678[[#This Row],[T]], ((Table13345678[[#This Row],[BIDC]]+Table13345678[[#This Row],[ASKC]])/2), TRUE)</f>
        <v>0.01</v>
      </c>
      <c r="I158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8" s="17"/>
      <c r="M1588" s="1">
        <f t="shared" si="155"/>
        <v>0</v>
      </c>
      <c r="N1588" t="b">
        <f t="shared" si="156"/>
        <v>0</v>
      </c>
      <c r="P1588" s="17" cm="1">
        <f t="array" aca="1" ref="P1588" ca="1">IndividualLegIVCore($A$4, Table13345678[[#This Row],[Strike]], 0.0411, Table13345678[[#This Row],[T]], ((Table13345678[[#This Row],[BIDP]]+Table13345678[[#This Row],[ASKP]])/2), FALSE)</f>
        <v>0.01</v>
      </c>
      <c r="Q158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8" s="17"/>
      <c r="T158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8" s="19">
        <f>28.5* IF($M$1="NDX", 10, IF(OR($M$1="SPX", $M$1="RUT"), 2, 1))</f>
        <v>57</v>
      </c>
      <c r="Z1588">
        <f ca="1">IFERROR(Table13345678[[#This Row],[call gamma]]*(Table13345678[[#This Row],[Open.Int]])*$A$4^2,0)</f>
        <v>0</v>
      </c>
      <c r="AA1588">
        <f ca="1">IFERROR(((Table13345678[[#This Row],[Open.Int8]])*Table13345678[[#This Row],[Put gamma]])*-1*$A$4^2,0)</f>
        <v>0</v>
      </c>
      <c r="AB1588">
        <f ca="1">(Table13345678[[#This Row],[Call Gex]]+Table13345678[[#This Row],[Put Gex]])</f>
        <v>0</v>
      </c>
      <c r="AC1588">
        <f ca="1">Table13345678[[#This Row],[put delta adj]]+Table13345678[[#This Row],[call delta adj]]</f>
        <v>0</v>
      </c>
      <c r="AD1588">
        <f ca="1">Table13345678[[#This Row],[Put Gex]]*Table13345678[[#This Row],[DeltaP]]*-1</f>
        <v>0</v>
      </c>
      <c r="AE1588">
        <f ca="1">Table13345678[[#This Row],[Call Gex]]*Table13345678[[#This Row],[DeltaC]]</f>
        <v>0</v>
      </c>
      <c r="AF1588">
        <f>IF(Table13345678[[#This Row],[DeltaC]]-ABS(Table13345678[[#This Row],[DeltaP]])="0","0.01",Table13345678[[#This Row],[DeltaC]]-ABS(Table13345678[[#This Row],[DeltaP]]))</f>
        <v>0</v>
      </c>
      <c r="AG158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8" t="e">
        <f ca="1">(EXP(-(AG1588^2)/2)/SQRT(2*PI())*EXP(0*SQRT(Table13345678[[#This Row],[T]]))/$A$4*18%*SQRT(SQRT(Table13345678[[#This Row],[T]])))</f>
        <v>#DIV/0!</v>
      </c>
      <c r="AJ1588" t="e">
        <f ca="1">(EXP(-(AH1588^2)/2)/SQRT(2*PI())*EXP(0*SQRT(Table13345678[[#This Row],[T]]))/$A$4*18%*SQRT(SQRT(Table13345678[[#This Row],[T]])))</f>
        <v>#DIV/0!</v>
      </c>
      <c r="AK1588" t="e">
        <f ca="1">Table13345678[[#This Row],[Call D1]]-Table13345678[[#This Row],[IV Calc C]]*SQRT(Table13345678[[#This Row],[T]])</f>
        <v>#DIV/0!</v>
      </c>
      <c r="AL1588" t="e">
        <f ca="1">Table13345678[[#This Row],[Put D1]]-Table13345678[[#This Row],[IV Calc P]]*SQRT(Table13345678[[#This Row],[T]])</f>
        <v>#DIV/0!</v>
      </c>
      <c r="AM1588" t="e">
        <f ca="1">EXP(-0.5*Table13345678[[#This Row],[Call D1]]^2)/SQRT(2*PI())</f>
        <v>#DIV/0!</v>
      </c>
      <c r="AN1588" t="e">
        <f ca="1">EXP(-0.5*Table13345678[[#This Row],[Put D1]]^2)/SQRT(2*PI())</f>
        <v>#DIV/0!</v>
      </c>
      <c r="AO158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8">
        <f ca="1">((Table13345678[[#This Row],[call vanna]]+Table13345678[[#This Row],[put vanna]])*$A$4)</f>
        <v>0</v>
      </c>
      <c r="AR158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8" s="9" t="str" cm="1">
        <f t="array" ref="AT1588">_xlfn.IFS(     $M$1="SPX","SPXW",     $M$1="RUT","RUTW",  $M$1="NDX","NDXP",   TRUE,$M$1 )</f>
        <v>SPXW</v>
      </c>
      <c r="AU1588" s="2">
        <f t="shared" si="157"/>
        <v>6915</v>
      </c>
      <c r="AV1588" t="str">
        <f t="shared" si="158"/>
        <v>000100</v>
      </c>
      <c r="AY158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8">
        <f>((Table13345678[[#This Row],[High C]]+Table13345678[[#This Row],[Low C]])/2)*Table13345678[[#This Row],[gammac]]*Table13345678[[#This Row],[Volume]]</f>
        <v>0</v>
      </c>
      <c r="BD1588">
        <f>((Table13345678[[#This Row],[High P]]+Table13345678[[#This Row],[Low P]])/2)*Table13345678[[#This Row],[gammap]]*Table13345678[[#This Row],[Volume9]]*-1</f>
        <v>0</v>
      </c>
      <c r="BE1588">
        <f>(Table13345678[[#This Row],[SgammaC]]+Table13345678[[#This Row],[SgammaP]])*$A$4*-100</f>
        <v>0</v>
      </c>
      <c r="BF1588">
        <f>Table13345678[[#This Row],[DEXc]]+Table13345678[[#This Row],[DEXp]]</f>
        <v>0</v>
      </c>
      <c r="BG1588" s="78">
        <f>IFERROR(Table13345678[[#This Row],[DeltaC]]*Table13345678[[#This Row],[Open.Int]]*$A$4,0)</f>
        <v>0</v>
      </c>
      <c r="BH1588">
        <f>IFERROR(Table13345678[[#This Row],[DeltaP]]*Table13345678[[#This Row],[Open.Int8]]*$A$4,0)</f>
        <v>0</v>
      </c>
      <c r="BI158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8">
        <f ca="1">Table13345678[[#This Row],[charmc]]+Table13345678[[#This Row],[charmp]]</f>
        <v>0</v>
      </c>
      <c r="BL158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8" s="78">
        <f ca="1">Table13345678[[#This Row],[call helper]]+Table13345678[[#This Row],[put helper]]</f>
        <v>0</v>
      </c>
      <c r="BP158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9" spans="1:68" x14ac:dyDescent="0.25">
      <c r="A1589" s="24">
        <f t="shared" ca="1" si="154"/>
        <v>-126.14810350076104</v>
      </c>
      <c r="B1589" s="13"/>
      <c r="C1589" s="17"/>
      <c r="D1589" t="str">
        <f>RTD("tos.rtd", , "OPEN_INT", "."&amp;Table13345678[[#This Row],[Ticker]]&amp;Table13345678[[#This Row],[Expiry]]&amp;""&amp;"C"&amp;Table13345678[[#This Row],[Spot]]+Table13345678[[#This Row],[step]])</f>
        <v>N/A</v>
      </c>
      <c r="E158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9" s="17" cm="1">
        <f t="array" aca="1" ref="H1589" ca="1">IndividualLegIVCore($A$4, Table13345678[[#This Row],[Strike]], 0.0411, Table13345678[[#This Row],[T]], ((Table13345678[[#This Row],[BIDC]]+Table13345678[[#This Row],[ASKC]])/2), TRUE)</f>
        <v>0.01</v>
      </c>
      <c r="I158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9" s="17"/>
      <c r="M1589" s="1">
        <f t="shared" si="155"/>
        <v>0</v>
      </c>
      <c r="N1589" t="b">
        <f t="shared" si="156"/>
        <v>0</v>
      </c>
      <c r="P1589" s="17" cm="1">
        <f t="array" aca="1" ref="P1589" ca="1">IndividualLegIVCore($A$4, Table13345678[[#This Row],[Strike]], 0.0411, Table13345678[[#This Row],[T]], ((Table13345678[[#This Row],[BIDP]]+Table13345678[[#This Row],[ASKP]])/2), FALSE)</f>
        <v>0.01</v>
      </c>
      <c r="Q158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9" s="17"/>
      <c r="T158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589" s="13"/>
      <c r="Y1589" s="19">
        <f>29* IF($M$1="NDX", 10, IF(OR($M$1="SPX", $M$1="RUT"), 2, 1))</f>
        <v>58</v>
      </c>
      <c r="Z1589">
        <f ca="1">IFERROR(Table13345678[[#This Row],[call gamma]]*(Table13345678[[#This Row],[Open.Int]])*$A$4^2,0)</f>
        <v>0</v>
      </c>
      <c r="AA1589">
        <f ca="1">IFERROR(((Table13345678[[#This Row],[Open.Int8]])*Table13345678[[#This Row],[Put gamma]])*-1*$A$4^2,0)</f>
        <v>0</v>
      </c>
      <c r="AB1589">
        <f ca="1">(Table13345678[[#This Row],[Call Gex]]+Table13345678[[#This Row],[Put Gex]])</f>
        <v>0</v>
      </c>
      <c r="AC1589">
        <f ca="1">Table13345678[[#This Row],[put delta adj]]+Table13345678[[#This Row],[call delta adj]]</f>
        <v>0</v>
      </c>
      <c r="AD1589">
        <f ca="1">Table13345678[[#This Row],[Put Gex]]*Table13345678[[#This Row],[DeltaP]]*-1</f>
        <v>0</v>
      </c>
      <c r="AE1589">
        <f ca="1">Table13345678[[#This Row],[Call Gex]]*Table13345678[[#This Row],[DeltaC]]</f>
        <v>0</v>
      </c>
      <c r="AF1589">
        <f>IF(Table13345678[[#This Row],[DeltaC]]-ABS(Table13345678[[#This Row],[DeltaP]])="0","0.01",Table13345678[[#This Row],[DeltaC]]-ABS(Table13345678[[#This Row],[DeltaP]]))</f>
        <v>0</v>
      </c>
      <c r="AG158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9" t="e">
        <f ca="1">(EXP(-(AG1589^2)/2)/SQRT(2*PI())*EXP(0*SQRT(Table13345678[[#This Row],[T]]))/$A$4*18%*SQRT(SQRT(Table13345678[[#This Row],[T]])))</f>
        <v>#DIV/0!</v>
      </c>
      <c r="AJ1589" t="e">
        <f ca="1">(EXP(-(AH1589^2)/2)/SQRT(2*PI())*EXP(0*SQRT(Table13345678[[#This Row],[T]]))/$A$4*18%*SQRT(SQRT(Table13345678[[#This Row],[T]])))</f>
        <v>#DIV/0!</v>
      </c>
      <c r="AK1589" t="e">
        <f ca="1">Table13345678[[#This Row],[Call D1]]-Table13345678[[#This Row],[IV Calc C]]*SQRT(Table13345678[[#This Row],[T]])</f>
        <v>#DIV/0!</v>
      </c>
      <c r="AL1589" t="e">
        <f ca="1">Table13345678[[#This Row],[Put D1]]-Table13345678[[#This Row],[IV Calc P]]*SQRT(Table13345678[[#This Row],[T]])</f>
        <v>#DIV/0!</v>
      </c>
      <c r="AM1589" t="e">
        <f ca="1">EXP(-0.5*Table13345678[[#This Row],[Call D1]]^2)/SQRT(2*PI())</f>
        <v>#DIV/0!</v>
      </c>
      <c r="AN1589" t="e">
        <f ca="1">EXP(-0.5*Table13345678[[#This Row],[Put D1]]^2)/SQRT(2*PI())</f>
        <v>#DIV/0!</v>
      </c>
      <c r="AO158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9">
        <f ca="1">((Table13345678[[#This Row],[call vanna]]+Table13345678[[#This Row],[put vanna]])*$A$4)</f>
        <v>0</v>
      </c>
      <c r="AR158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9" s="22" t="str" cm="1">
        <f t="array" ref="AT1589">_xlfn.IFS(     $M$1="SPX","SPXW",     $M$1="RUT","RUTW",  $M$1="NDX","NDXP",   TRUE,$M$1 )</f>
        <v>SPXW</v>
      </c>
      <c r="AU1589" s="23">
        <f t="shared" si="157"/>
        <v>6915</v>
      </c>
      <c r="AV1589" s="13" t="str">
        <f t="shared" si="158"/>
        <v>000100</v>
      </c>
      <c r="AY158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9">
        <f>((Table13345678[[#This Row],[High C]]+Table13345678[[#This Row],[Low C]])/2)*Table13345678[[#This Row],[gammac]]*Table13345678[[#This Row],[Volume]]</f>
        <v>0</v>
      </c>
      <c r="BD1589">
        <f>((Table13345678[[#This Row],[High P]]+Table13345678[[#This Row],[Low P]])/2)*Table13345678[[#This Row],[gammap]]*Table13345678[[#This Row],[Volume9]]*-1</f>
        <v>0</v>
      </c>
      <c r="BE1589">
        <f>(Table13345678[[#This Row],[SgammaC]]+Table13345678[[#This Row],[SgammaP]])*$A$4*-100</f>
        <v>0</v>
      </c>
      <c r="BF1589">
        <f>Table13345678[[#This Row],[DEXc]]+Table13345678[[#This Row],[DEXp]]</f>
        <v>0</v>
      </c>
      <c r="BG1589" s="78">
        <f>IFERROR(Table13345678[[#This Row],[DeltaC]]*Table13345678[[#This Row],[Open.Int]]*$A$4,0)</f>
        <v>0</v>
      </c>
      <c r="BH1589">
        <f>IFERROR(Table13345678[[#This Row],[DeltaP]]*Table13345678[[#This Row],[Open.Int8]]*$A$4,0)</f>
        <v>0</v>
      </c>
      <c r="BI158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9">
        <f ca="1">Table13345678[[#This Row],[charmc]]+Table13345678[[#This Row],[charmp]]</f>
        <v>0</v>
      </c>
      <c r="BL158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9" s="78">
        <f ca="1">Table13345678[[#This Row],[call helper]]+Table13345678[[#This Row],[put helper]]</f>
        <v>0</v>
      </c>
      <c r="BP158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0" spans="1:68" x14ac:dyDescent="0.25">
      <c r="A1590" s="14">
        <f t="shared" ca="1" si="154"/>
        <v>-126.14810350076104</v>
      </c>
      <c r="C1590" s="17"/>
      <c r="D1590" t="str">
        <f>RTD("tos.rtd", , "OPEN_INT", "."&amp;Table13345678[[#This Row],[Ticker]]&amp;Table13345678[[#This Row],[Expiry]]&amp;""&amp;"C"&amp;Table13345678[[#This Row],[Spot]]+Table13345678[[#This Row],[step]])</f>
        <v>N/A</v>
      </c>
      <c r="E159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0" s="17" cm="1">
        <f t="array" aca="1" ref="H1590" ca="1">IndividualLegIVCore($A$4, Table13345678[[#This Row],[Strike]], 0.0411, Table13345678[[#This Row],[T]], ((Table13345678[[#This Row],[BIDC]]+Table13345678[[#This Row],[ASKC]])/2), TRUE)</f>
        <v>0.01</v>
      </c>
      <c r="I159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0" s="17"/>
      <c r="M1590" s="1">
        <f t="shared" si="155"/>
        <v>0</v>
      </c>
      <c r="N1590" t="b">
        <f t="shared" si="156"/>
        <v>0</v>
      </c>
      <c r="P1590" s="17" cm="1">
        <f t="array" aca="1" ref="P1590" ca="1">IndividualLegIVCore($A$4, Table13345678[[#This Row],[Strike]], 0.0411, Table13345678[[#This Row],[T]], ((Table13345678[[#This Row],[BIDP]]+Table13345678[[#This Row],[ASKP]])/2), FALSE)</f>
        <v>0.01</v>
      </c>
      <c r="Q159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0" s="17"/>
      <c r="T159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0" s="19">
        <f>29.5* IF($M$1="NDX", 10, IF(OR($M$1="SPX", $M$1="RUT"), 2, 1))</f>
        <v>59</v>
      </c>
      <c r="Z1590">
        <f ca="1">IFERROR(Table13345678[[#This Row],[call gamma]]*(Table13345678[[#This Row],[Open.Int]])*$A$4^2,0)</f>
        <v>0</v>
      </c>
      <c r="AA1590">
        <f ca="1">IFERROR(((Table13345678[[#This Row],[Open.Int8]])*Table13345678[[#This Row],[Put gamma]])*-1*$A$4^2,0)</f>
        <v>0</v>
      </c>
      <c r="AB1590">
        <f ca="1">(Table13345678[[#This Row],[Call Gex]]+Table13345678[[#This Row],[Put Gex]])</f>
        <v>0</v>
      </c>
      <c r="AC1590">
        <f ca="1">Table13345678[[#This Row],[put delta adj]]+Table13345678[[#This Row],[call delta adj]]</f>
        <v>0</v>
      </c>
      <c r="AD1590">
        <f ca="1">Table13345678[[#This Row],[Put Gex]]*Table13345678[[#This Row],[DeltaP]]*-1</f>
        <v>0</v>
      </c>
      <c r="AE1590">
        <f ca="1">Table13345678[[#This Row],[Call Gex]]*Table13345678[[#This Row],[DeltaC]]</f>
        <v>0</v>
      </c>
      <c r="AF1590">
        <f>IF(Table13345678[[#This Row],[DeltaC]]-ABS(Table13345678[[#This Row],[DeltaP]])="0","0.01",Table13345678[[#This Row],[DeltaC]]-ABS(Table13345678[[#This Row],[DeltaP]]))</f>
        <v>0</v>
      </c>
      <c r="AG159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0" t="e">
        <f ca="1">(EXP(-(AG1590^2)/2)/SQRT(2*PI())*EXP(0*SQRT(Table13345678[[#This Row],[T]]))/$A$4*18%*SQRT(SQRT(Table13345678[[#This Row],[T]])))</f>
        <v>#DIV/0!</v>
      </c>
      <c r="AJ1590" t="e">
        <f ca="1">(EXP(-(AH1590^2)/2)/SQRT(2*PI())*EXP(0*SQRT(Table13345678[[#This Row],[T]]))/$A$4*18%*SQRT(SQRT(Table13345678[[#This Row],[T]])))</f>
        <v>#DIV/0!</v>
      </c>
      <c r="AK1590" t="e">
        <f ca="1">Table13345678[[#This Row],[Call D1]]-Table13345678[[#This Row],[IV Calc C]]*SQRT(Table13345678[[#This Row],[T]])</f>
        <v>#DIV/0!</v>
      </c>
      <c r="AL1590" t="e">
        <f ca="1">Table13345678[[#This Row],[Put D1]]-Table13345678[[#This Row],[IV Calc P]]*SQRT(Table13345678[[#This Row],[T]])</f>
        <v>#DIV/0!</v>
      </c>
      <c r="AM1590" t="e">
        <f ca="1">EXP(-0.5*Table13345678[[#This Row],[Call D1]]^2)/SQRT(2*PI())</f>
        <v>#DIV/0!</v>
      </c>
      <c r="AN1590" t="e">
        <f ca="1">EXP(-0.5*Table13345678[[#This Row],[Put D1]]^2)/SQRT(2*PI())</f>
        <v>#DIV/0!</v>
      </c>
      <c r="AO159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0">
        <f ca="1">((Table13345678[[#This Row],[call vanna]]+Table13345678[[#This Row],[put vanna]])*$A$4)</f>
        <v>0</v>
      </c>
      <c r="AR159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0" s="9" t="str" cm="1">
        <f t="array" ref="AT1590">_xlfn.IFS(     $M$1="SPX","SPXW",     $M$1="RUT","RUTW",  $M$1="NDX","NDXP",   TRUE,$M$1 )</f>
        <v>SPXW</v>
      </c>
      <c r="AU1590" s="2">
        <f t="shared" si="157"/>
        <v>6915</v>
      </c>
      <c r="AV1590" t="str">
        <f t="shared" si="158"/>
        <v>000100</v>
      </c>
      <c r="AY159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0">
        <f>((Table13345678[[#This Row],[High C]]+Table13345678[[#This Row],[Low C]])/2)*Table13345678[[#This Row],[gammac]]*Table13345678[[#This Row],[Volume]]</f>
        <v>0</v>
      </c>
      <c r="BD1590">
        <f>((Table13345678[[#This Row],[High P]]+Table13345678[[#This Row],[Low P]])/2)*Table13345678[[#This Row],[gammap]]*Table13345678[[#This Row],[Volume9]]*-1</f>
        <v>0</v>
      </c>
      <c r="BE1590">
        <f>(Table13345678[[#This Row],[SgammaC]]+Table13345678[[#This Row],[SgammaP]])*$A$4*-100</f>
        <v>0</v>
      </c>
      <c r="BF1590">
        <f>Table13345678[[#This Row],[DEXc]]+Table13345678[[#This Row],[DEXp]]</f>
        <v>0</v>
      </c>
      <c r="BG1590" s="78">
        <f>IFERROR(Table13345678[[#This Row],[DeltaC]]*Table13345678[[#This Row],[Open.Int]]*$A$4,0)</f>
        <v>0</v>
      </c>
      <c r="BH1590">
        <f>IFERROR(Table13345678[[#This Row],[DeltaP]]*Table13345678[[#This Row],[Open.Int8]]*$A$4,0)</f>
        <v>0</v>
      </c>
      <c r="BI159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0">
        <f ca="1">Table13345678[[#This Row],[charmc]]+Table13345678[[#This Row],[charmp]]</f>
        <v>0</v>
      </c>
      <c r="BL159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0" s="78">
        <f ca="1">Table13345678[[#This Row],[call helper]]+Table13345678[[#This Row],[put helper]]</f>
        <v>0</v>
      </c>
      <c r="BP159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1" spans="1:68" x14ac:dyDescent="0.25">
      <c r="A1591" s="14">
        <f t="shared" ca="1" si="154"/>
        <v>-126.14810350076104</v>
      </c>
      <c r="C1591" s="17"/>
      <c r="D1591" t="str">
        <f>RTD("tos.rtd", , "OPEN_INT", "."&amp;Table13345678[[#This Row],[Ticker]]&amp;Table13345678[[#This Row],[Expiry]]&amp;""&amp;"C"&amp;Table13345678[[#This Row],[Spot]]+Table13345678[[#This Row],[step]])</f>
        <v>N/A</v>
      </c>
      <c r="E159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1" s="17" cm="1">
        <f t="array" aca="1" ref="H1591" ca="1">IndividualLegIVCore($A$4, Table13345678[[#This Row],[Strike]], 0.0411, Table13345678[[#This Row],[T]], ((Table13345678[[#This Row],[BIDC]]+Table13345678[[#This Row],[ASKC]])/2), TRUE)</f>
        <v>0.01</v>
      </c>
      <c r="I159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1" s="17"/>
      <c r="M1591" s="1">
        <f t="shared" si="155"/>
        <v>0</v>
      </c>
      <c r="N1591" t="b">
        <f t="shared" si="156"/>
        <v>0</v>
      </c>
      <c r="P1591" s="17" cm="1">
        <f t="array" aca="1" ref="P1591" ca="1">IndividualLegIVCore($A$4, Table13345678[[#This Row],[Strike]], 0.0411, Table13345678[[#This Row],[T]], ((Table13345678[[#This Row],[BIDP]]+Table13345678[[#This Row],[ASKP]])/2), FALSE)</f>
        <v>0.01</v>
      </c>
      <c r="Q159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1" s="17"/>
      <c r="T159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1" s="21">
        <f>30* IF($M$1="NDX", 10, IF(OR($M$1="SPX", $M$1="RUT"), 2, 1))</f>
        <v>60</v>
      </c>
      <c r="Z1591">
        <f ca="1">IFERROR(Table13345678[[#This Row],[call gamma]]*(Table13345678[[#This Row],[Open.Int]])*$A$4^2,0)</f>
        <v>0</v>
      </c>
      <c r="AA1591">
        <f ca="1">IFERROR(((Table13345678[[#This Row],[Open.Int8]])*Table13345678[[#This Row],[Put gamma]])*-1*$A$4^2,0)</f>
        <v>0</v>
      </c>
      <c r="AB1591">
        <f ca="1">(Table13345678[[#This Row],[Call Gex]]+Table13345678[[#This Row],[Put Gex]])</f>
        <v>0</v>
      </c>
      <c r="AC1591">
        <f ca="1">Table13345678[[#This Row],[put delta adj]]+Table13345678[[#This Row],[call delta adj]]</f>
        <v>0</v>
      </c>
      <c r="AD1591">
        <f ca="1">Table13345678[[#This Row],[Put Gex]]*Table13345678[[#This Row],[DeltaP]]*-1</f>
        <v>0</v>
      </c>
      <c r="AE1591">
        <f ca="1">Table13345678[[#This Row],[Call Gex]]*Table13345678[[#This Row],[DeltaC]]</f>
        <v>0</v>
      </c>
      <c r="AF1591">
        <f>IF(Table13345678[[#This Row],[DeltaC]]-ABS(Table13345678[[#This Row],[DeltaP]])="0","0.01",Table13345678[[#This Row],[DeltaC]]-ABS(Table13345678[[#This Row],[DeltaP]]))</f>
        <v>0</v>
      </c>
      <c r="AG159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1" t="e">
        <f ca="1">(EXP(-(AG1591^2)/2)/SQRT(2*PI())*EXP(0*SQRT(Table13345678[[#This Row],[T]]))/$A$4*18%*SQRT(SQRT(Table13345678[[#This Row],[T]])))</f>
        <v>#DIV/0!</v>
      </c>
      <c r="AJ1591" t="e">
        <f ca="1">(EXP(-(AH1591^2)/2)/SQRT(2*PI())*EXP(0*SQRT(Table13345678[[#This Row],[T]]))/$A$4*18%*SQRT(SQRT(Table13345678[[#This Row],[T]])))</f>
        <v>#DIV/0!</v>
      </c>
      <c r="AK1591" t="e">
        <f ca="1">Table13345678[[#This Row],[Call D1]]-Table13345678[[#This Row],[IV Calc C]]*SQRT(Table13345678[[#This Row],[T]])</f>
        <v>#DIV/0!</v>
      </c>
      <c r="AL1591" t="e">
        <f ca="1">Table13345678[[#This Row],[Put D1]]-Table13345678[[#This Row],[IV Calc P]]*SQRT(Table13345678[[#This Row],[T]])</f>
        <v>#DIV/0!</v>
      </c>
      <c r="AM1591" t="e">
        <f ca="1">EXP(-0.5*Table13345678[[#This Row],[Call D1]]^2)/SQRT(2*PI())</f>
        <v>#DIV/0!</v>
      </c>
      <c r="AN1591" t="e">
        <f ca="1">EXP(-0.5*Table13345678[[#This Row],[Put D1]]^2)/SQRT(2*PI())</f>
        <v>#DIV/0!</v>
      </c>
      <c r="AO159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1">
        <f ca="1">((Table13345678[[#This Row],[call vanna]]+Table13345678[[#This Row],[put vanna]])*$A$4)</f>
        <v>0</v>
      </c>
      <c r="AR159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1" s="9" t="str" cm="1">
        <f t="array" ref="AT1591">_xlfn.IFS(     $M$1="SPX","SPXW",     $M$1="RUT","RUTW",  $M$1="NDX","NDXP",   TRUE,$M$1 )</f>
        <v>SPXW</v>
      </c>
      <c r="AU1591" s="2">
        <f t="shared" si="157"/>
        <v>6915</v>
      </c>
      <c r="AV1591" t="str">
        <f t="shared" si="158"/>
        <v>000100</v>
      </c>
      <c r="AY159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1">
        <f>((Table13345678[[#This Row],[High C]]+Table13345678[[#This Row],[Low C]])/2)*Table13345678[[#This Row],[gammac]]*Table13345678[[#This Row],[Volume]]</f>
        <v>0</v>
      </c>
      <c r="BD1591">
        <f>((Table13345678[[#This Row],[High P]]+Table13345678[[#This Row],[Low P]])/2)*Table13345678[[#This Row],[gammap]]*Table13345678[[#This Row],[Volume9]]*-1</f>
        <v>0</v>
      </c>
      <c r="BE1591">
        <f>(Table13345678[[#This Row],[SgammaC]]+Table13345678[[#This Row],[SgammaP]])*$A$4*-100</f>
        <v>0</v>
      </c>
      <c r="BF1591">
        <f>Table13345678[[#This Row],[DEXc]]+Table13345678[[#This Row],[DEXp]]</f>
        <v>0</v>
      </c>
      <c r="BG1591" s="78">
        <f>IFERROR(Table13345678[[#This Row],[DeltaC]]*Table13345678[[#This Row],[Open.Int]]*$A$4,0)</f>
        <v>0</v>
      </c>
      <c r="BH1591">
        <f>IFERROR(Table13345678[[#This Row],[DeltaP]]*Table13345678[[#This Row],[Open.Int8]]*$A$4,0)</f>
        <v>0</v>
      </c>
      <c r="BI159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1">
        <f ca="1">Table13345678[[#This Row],[charmc]]+Table13345678[[#This Row],[charmp]]</f>
        <v>0</v>
      </c>
      <c r="BL159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1" s="78">
        <f ca="1">Table13345678[[#This Row],[call helper]]+Table13345678[[#This Row],[put helper]]</f>
        <v>0</v>
      </c>
      <c r="BP159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2" spans="1:68" x14ac:dyDescent="0.25">
      <c r="A1592" s="14">
        <f t="shared" ca="1" si="154"/>
        <v>-126.14810350076104</v>
      </c>
      <c r="C1592" s="17"/>
      <c r="D1592" t="str">
        <f>RTD("tos.rtd", , "OPEN_INT", "."&amp;Table13345678[[#This Row],[Ticker]]&amp;Table13345678[[#This Row],[Expiry]]&amp;""&amp;"C"&amp;Table13345678[[#This Row],[Spot]]+Table13345678[[#This Row],[step]])</f>
        <v>N/A</v>
      </c>
      <c r="E159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2" s="17" cm="1">
        <f t="array" aca="1" ref="H1592" ca="1">IndividualLegIVCore($A$4, Table13345678[[#This Row],[Strike]], 0.0411, Table13345678[[#This Row],[T]], ((Table13345678[[#This Row],[BIDC]]+Table13345678[[#This Row],[ASKC]])/2), TRUE)</f>
        <v>0.01</v>
      </c>
      <c r="I159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2" s="17"/>
      <c r="M1592" s="1">
        <f t="shared" si="155"/>
        <v>0</v>
      </c>
      <c r="N1592" t="b">
        <f t="shared" si="156"/>
        <v>0</v>
      </c>
      <c r="P1592" s="17" cm="1">
        <f t="array" aca="1" ref="P1592" ca="1">IndividualLegIVCore($A$4, Table13345678[[#This Row],[Strike]], 0.0411, Table13345678[[#This Row],[T]], ((Table13345678[[#This Row],[BIDP]]+Table13345678[[#This Row],[ASKP]])/2), FALSE)</f>
        <v>0.01</v>
      </c>
      <c r="Q159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2" s="17"/>
      <c r="T159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2" s="19">
        <f>30.5* IF($M$1="NDX", 10, IF(OR($M$1="SPX", $M$1="RUT"), 2, 1))</f>
        <v>61</v>
      </c>
      <c r="Z1592">
        <f ca="1">IFERROR(Table13345678[[#This Row],[call gamma]]*(Table13345678[[#This Row],[Open.Int]])*$A$4^2,0)</f>
        <v>0</v>
      </c>
      <c r="AA1592">
        <f ca="1">IFERROR(((Table13345678[[#This Row],[Open.Int8]])*Table13345678[[#This Row],[Put gamma]])*-1*$A$4^2,0)</f>
        <v>0</v>
      </c>
      <c r="AB1592">
        <f ca="1">(Table13345678[[#This Row],[Call Gex]]+Table13345678[[#This Row],[Put Gex]])</f>
        <v>0</v>
      </c>
      <c r="AC1592">
        <f ca="1">Table13345678[[#This Row],[put delta adj]]+Table13345678[[#This Row],[call delta adj]]</f>
        <v>0</v>
      </c>
      <c r="AD1592">
        <f ca="1">Table13345678[[#This Row],[Put Gex]]*Table13345678[[#This Row],[DeltaP]]*-1</f>
        <v>0</v>
      </c>
      <c r="AE1592">
        <f ca="1">Table13345678[[#This Row],[Call Gex]]*Table13345678[[#This Row],[DeltaC]]</f>
        <v>0</v>
      </c>
      <c r="AF1592">
        <f>IF(Table13345678[[#This Row],[DeltaC]]-ABS(Table13345678[[#This Row],[DeltaP]])="0","0.01",Table13345678[[#This Row],[DeltaC]]-ABS(Table13345678[[#This Row],[DeltaP]]))</f>
        <v>0</v>
      </c>
      <c r="AG159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2" t="e">
        <f ca="1">(EXP(-(AG1592^2)/2)/SQRT(2*PI())*EXP(0*SQRT(Table13345678[[#This Row],[T]]))/$A$4*18%*SQRT(SQRT(Table13345678[[#This Row],[T]])))</f>
        <v>#DIV/0!</v>
      </c>
      <c r="AJ1592" t="e">
        <f ca="1">(EXP(-(AH1592^2)/2)/SQRT(2*PI())*EXP(0*SQRT(Table13345678[[#This Row],[T]]))/$A$4*18%*SQRT(SQRT(Table13345678[[#This Row],[T]])))</f>
        <v>#DIV/0!</v>
      </c>
      <c r="AK1592" t="e">
        <f ca="1">Table13345678[[#This Row],[Call D1]]-Table13345678[[#This Row],[IV Calc C]]*SQRT(Table13345678[[#This Row],[T]])</f>
        <v>#DIV/0!</v>
      </c>
      <c r="AL1592" t="e">
        <f ca="1">Table13345678[[#This Row],[Put D1]]-Table13345678[[#This Row],[IV Calc P]]*SQRT(Table13345678[[#This Row],[T]])</f>
        <v>#DIV/0!</v>
      </c>
      <c r="AM1592" t="e">
        <f ca="1">EXP(-0.5*Table13345678[[#This Row],[Call D1]]^2)/SQRT(2*PI())</f>
        <v>#DIV/0!</v>
      </c>
      <c r="AN1592" t="e">
        <f ca="1">EXP(-0.5*Table13345678[[#This Row],[Put D1]]^2)/SQRT(2*PI())</f>
        <v>#DIV/0!</v>
      </c>
      <c r="AO159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2">
        <f ca="1">((Table13345678[[#This Row],[call vanna]]+Table13345678[[#This Row],[put vanna]])*$A$4)</f>
        <v>0</v>
      </c>
      <c r="AR159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2" s="9" t="str" cm="1">
        <f t="array" ref="AT1592">_xlfn.IFS(     $M$1="SPX","SPXW",     $M$1="RUT","RUTW",  $M$1="NDX","NDXP",   TRUE,$M$1 )</f>
        <v>SPXW</v>
      </c>
      <c r="AU1592" s="2">
        <f t="shared" si="157"/>
        <v>6915</v>
      </c>
      <c r="AV1592" t="str">
        <f t="shared" si="158"/>
        <v>000100</v>
      </c>
      <c r="AY159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2">
        <f>((Table13345678[[#This Row],[High C]]+Table13345678[[#This Row],[Low C]])/2)*Table13345678[[#This Row],[gammac]]*Table13345678[[#This Row],[Volume]]</f>
        <v>0</v>
      </c>
      <c r="BD1592">
        <f>((Table13345678[[#This Row],[High P]]+Table13345678[[#This Row],[Low P]])/2)*Table13345678[[#This Row],[gammap]]*Table13345678[[#This Row],[Volume9]]*-1</f>
        <v>0</v>
      </c>
      <c r="BE1592">
        <f>(Table13345678[[#This Row],[SgammaC]]+Table13345678[[#This Row],[SgammaP]])*$A$4*-100</f>
        <v>0</v>
      </c>
      <c r="BF1592">
        <f>Table13345678[[#This Row],[DEXc]]+Table13345678[[#This Row],[DEXp]]</f>
        <v>0</v>
      </c>
      <c r="BG1592" s="78">
        <f>IFERROR(Table13345678[[#This Row],[DeltaC]]*Table13345678[[#This Row],[Open.Int]]*$A$4,0)</f>
        <v>0</v>
      </c>
      <c r="BH1592">
        <f>IFERROR(Table13345678[[#This Row],[DeltaP]]*Table13345678[[#This Row],[Open.Int8]]*$A$4,0)</f>
        <v>0</v>
      </c>
      <c r="BI159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2">
        <f ca="1">Table13345678[[#This Row],[charmc]]+Table13345678[[#This Row],[charmp]]</f>
        <v>0</v>
      </c>
      <c r="BL159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2" s="78">
        <f ca="1">Table13345678[[#This Row],[call helper]]+Table13345678[[#This Row],[put helper]]</f>
        <v>0</v>
      </c>
      <c r="BP159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3" spans="1:68" x14ac:dyDescent="0.25">
      <c r="A1593" s="14">
        <f t="shared" ca="1" si="154"/>
        <v>-126.14810350076104</v>
      </c>
      <c r="C1593" s="17"/>
      <c r="D1593" t="str">
        <f>RTD("tos.rtd", , "OPEN_INT", "."&amp;Table13345678[[#This Row],[Ticker]]&amp;Table13345678[[#This Row],[Expiry]]&amp;""&amp;"C"&amp;Table13345678[[#This Row],[Spot]]+Table13345678[[#This Row],[step]])</f>
        <v>N/A</v>
      </c>
      <c r="E159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3" s="17" cm="1">
        <f t="array" aca="1" ref="H1593" ca="1">IndividualLegIVCore($A$4, Table13345678[[#This Row],[Strike]], 0.0411, Table13345678[[#This Row],[T]], ((Table13345678[[#This Row],[BIDC]]+Table13345678[[#This Row],[ASKC]])/2), TRUE)</f>
        <v>0.01</v>
      </c>
      <c r="I159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3" s="17"/>
      <c r="M1593" s="1">
        <f t="shared" si="155"/>
        <v>0</v>
      </c>
      <c r="N1593" t="b">
        <f t="shared" si="156"/>
        <v>0</v>
      </c>
      <c r="P1593" s="17" cm="1">
        <f t="array" aca="1" ref="P1593" ca="1">IndividualLegIVCore($A$4, Table13345678[[#This Row],[Strike]], 0.0411, Table13345678[[#This Row],[T]], ((Table13345678[[#This Row],[BIDP]]+Table13345678[[#This Row],[ASKP]])/2), FALSE)</f>
        <v>0.01</v>
      </c>
      <c r="Q159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3" s="17"/>
      <c r="T159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3" s="19">
        <f>31* IF($M$1="NDX", 10, IF(OR($M$1="SPX", $M$1="RUT"), 2, 1))</f>
        <v>62</v>
      </c>
      <c r="Z1593">
        <f ca="1">IFERROR(Table13345678[[#This Row],[call gamma]]*(Table13345678[[#This Row],[Open.Int]])*$A$4^2,0)</f>
        <v>0</v>
      </c>
      <c r="AA1593">
        <f ca="1">IFERROR(((Table13345678[[#This Row],[Open.Int8]])*Table13345678[[#This Row],[Put gamma]])*-1*$A$4^2,0)</f>
        <v>0</v>
      </c>
      <c r="AB1593">
        <f ca="1">(Table13345678[[#This Row],[Call Gex]]+Table13345678[[#This Row],[Put Gex]])</f>
        <v>0</v>
      </c>
      <c r="AC1593">
        <f ca="1">Table13345678[[#This Row],[put delta adj]]+Table13345678[[#This Row],[call delta adj]]</f>
        <v>0</v>
      </c>
      <c r="AD1593">
        <f ca="1">Table13345678[[#This Row],[Put Gex]]*Table13345678[[#This Row],[DeltaP]]*-1</f>
        <v>0</v>
      </c>
      <c r="AE1593">
        <f ca="1">Table13345678[[#This Row],[Call Gex]]*Table13345678[[#This Row],[DeltaC]]</f>
        <v>0</v>
      </c>
      <c r="AF1593">
        <f>IF(Table13345678[[#This Row],[DeltaC]]-ABS(Table13345678[[#This Row],[DeltaP]])="0","0.01",Table13345678[[#This Row],[DeltaC]]-ABS(Table13345678[[#This Row],[DeltaP]]))</f>
        <v>0</v>
      </c>
      <c r="AG159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3" t="e">
        <f ca="1">(EXP(-(AG1593^2)/2)/SQRT(2*PI())*EXP(0*SQRT(Table13345678[[#This Row],[T]]))/$A$4*18%*SQRT(SQRT(Table13345678[[#This Row],[T]])))</f>
        <v>#DIV/0!</v>
      </c>
      <c r="AJ1593" t="e">
        <f ca="1">(EXP(-(AH1593^2)/2)/SQRT(2*PI())*EXP(0*SQRT(Table13345678[[#This Row],[T]]))/$A$4*18%*SQRT(SQRT(Table13345678[[#This Row],[T]])))</f>
        <v>#DIV/0!</v>
      </c>
      <c r="AK1593" t="e">
        <f ca="1">Table13345678[[#This Row],[Call D1]]-Table13345678[[#This Row],[IV Calc C]]*SQRT(Table13345678[[#This Row],[T]])</f>
        <v>#DIV/0!</v>
      </c>
      <c r="AL1593" t="e">
        <f ca="1">Table13345678[[#This Row],[Put D1]]-Table13345678[[#This Row],[IV Calc P]]*SQRT(Table13345678[[#This Row],[T]])</f>
        <v>#DIV/0!</v>
      </c>
      <c r="AM1593" t="e">
        <f ca="1">EXP(-0.5*Table13345678[[#This Row],[Call D1]]^2)/SQRT(2*PI())</f>
        <v>#DIV/0!</v>
      </c>
      <c r="AN1593" t="e">
        <f ca="1">EXP(-0.5*Table13345678[[#This Row],[Put D1]]^2)/SQRT(2*PI())</f>
        <v>#DIV/0!</v>
      </c>
      <c r="AO159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3">
        <f ca="1">((Table13345678[[#This Row],[call vanna]]+Table13345678[[#This Row],[put vanna]])*$A$4)</f>
        <v>0</v>
      </c>
      <c r="AR159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3" s="9" t="str" cm="1">
        <f t="array" ref="AT1593">_xlfn.IFS(     $M$1="SPX","SPXW",     $M$1="RUT","RUTW",  $M$1="NDX","NDXP",   TRUE,$M$1 )</f>
        <v>SPXW</v>
      </c>
      <c r="AU1593" s="2">
        <f t="shared" si="157"/>
        <v>6915</v>
      </c>
      <c r="AV1593" t="str">
        <f t="shared" si="158"/>
        <v>000100</v>
      </c>
      <c r="AY159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3">
        <f>((Table13345678[[#This Row],[High C]]+Table13345678[[#This Row],[Low C]])/2)*Table13345678[[#This Row],[gammac]]*Table13345678[[#This Row],[Volume]]</f>
        <v>0</v>
      </c>
      <c r="BD1593">
        <f>((Table13345678[[#This Row],[High P]]+Table13345678[[#This Row],[Low P]])/2)*Table13345678[[#This Row],[gammap]]*Table13345678[[#This Row],[Volume9]]*-1</f>
        <v>0</v>
      </c>
      <c r="BE1593">
        <f>(Table13345678[[#This Row],[SgammaC]]+Table13345678[[#This Row],[SgammaP]])*$A$4*-100</f>
        <v>0</v>
      </c>
      <c r="BF1593">
        <f>Table13345678[[#This Row],[DEXc]]+Table13345678[[#This Row],[DEXp]]</f>
        <v>0</v>
      </c>
      <c r="BG1593" s="78">
        <f>IFERROR(Table13345678[[#This Row],[DeltaC]]*Table13345678[[#This Row],[Open.Int]]*$A$4,0)</f>
        <v>0</v>
      </c>
      <c r="BH1593">
        <f>IFERROR(Table13345678[[#This Row],[DeltaP]]*Table13345678[[#This Row],[Open.Int8]]*$A$4,0)</f>
        <v>0</v>
      </c>
      <c r="BI159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3">
        <f ca="1">Table13345678[[#This Row],[charmc]]+Table13345678[[#This Row],[charmp]]</f>
        <v>0</v>
      </c>
      <c r="BL159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3" s="78">
        <f ca="1">Table13345678[[#This Row],[call helper]]+Table13345678[[#This Row],[put helper]]</f>
        <v>0</v>
      </c>
      <c r="BP159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4" spans="1:68" x14ac:dyDescent="0.25">
      <c r="A1594" s="14">
        <f t="shared" ca="1" si="154"/>
        <v>-126.14810350076104</v>
      </c>
      <c r="C1594" s="17"/>
      <c r="D1594" t="str">
        <f>RTD("tos.rtd", , "OPEN_INT", "."&amp;Table13345678[[#This Row],[Ticker]]&amp;Table13345678[[#This Row],[Expiry]]&amp;""&amp;"C"&amp;Table13345678[[#This Row],[Spot]]+Table13345678[[#This Row],[step]])</f>
        <v>N/A</v>
      </c>
      <c r="E159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4" s="17" cm="1">
        <f t="array" aca="1" ref="H1594" ca="1">IndividualLegIVCore($A$4, Table13345678[[#This Row],[Strike]], 0.0411, Table13345678[[#This Row],[T]], ((Table13345678[[#This Row],[BIDC]]+Table13345678[[#This Row],[ASKC]])/2), TRUE)</f>
        <v>0.01</v>
      </c>
      <c r="I159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4" s="17"/>
      <c r="M1594" s="1">
        <f t="shared" si="155"/>
        <v>0</v>
      </c>
      <c r="N1594" t="b">
        <f t="shared" si="156"/>
        <v>0</v>
      </c>
      <c r="P1594" s="17" cm="1">
        <f t="array" aca="1" ref="P1594" ca="1">IndividualLegIVCore($A$4, Table13345678[[#This Row],[Strike]], 0.0411, Table13345678[[#This Row],[T]], ((Table13345678[[#This Row],[BIDP]]+Table13345678[[#This Row],[ASKP]])/2), FALSE)</f>
        <v>0.01</v>
      </c>
      <c r="Q159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4" s="17"/>
      <c r="T159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4" s="19">
        <f>31.5* IF($M$1="NDX", 10, IF(OR($M$1="SPX", $M$1="RUT"), 2, 1))</f>
        <v>63</v>
      </c>
      <c r="Z1594">
        <f ca="1">IFERROR(Table13345678[[#This Row],[call gamma]]*(Table13345678[[#This Row],[Open.Int]])*$A$4^2,0)</f>
        <v>0</v>
      </c>
      <c r="AA1594">
        <f ca="1">IFERROR(((Table13345678[[#This Row],[Open.Int8]])*Table13345678[[#This Row],[Put gamma]])*-1*$A$4^2,0)</f>
        <v>0</v>
      </c>
      <c r="AB1594">
        <f ca="1">(Table13345678[[#This Row],[Call Gex]]+Table13345678[[#This Row],[Put Gex]])</f>
        <v>0</v>
      </c>
      <c r="AC1594">
        <f ca="1">Table13345678[[#This Row],[put delta adj]]+Table13345678[[#This Row],[call delta adj]]</f>
        <v>0</v>
      </c>
      <c r="AD1594">
        <f ca="1">Table13345678[[#This Row],[Put Gex]]*Table13345678[[#This Row],[DeltaP]]*-1</f>
        <v>0</v>
      </c>
      <c r="AE1594">
        <f ca="1">Table13345678[[#This Row],[Call Gex]]*Table13345678[[#This Row],[DeltaC]]</f>
        <v>0</v>
      </c>
      <c r="AF1594">
        <f>IF(Table13345678[[#This Row],[DeltaC]]-ABS(Table13345678[[#This Row],[DeltaP]])="0","0.01",Table13345678[[#This Row],[DeltaC]]-ABS(Table13345678[[#This Row],[DeltaP]]))</f>
        <v>0</v>
      </c>
      <c r="AG159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4" t="e">
        <f ca="1">(EXP(-(AG1594^2)/2)/SQRT(2*PI())*EXP(0*SQRT(Table13345678[[#This Row],[T]]))/$A$4*18%*SQRT(SQRT(Table13345678[[#This Row],[T]])))</f>
        <v>#DIV/0!</v>
      </c>
      <c r="AJ1594" t="e">
        <f ca="1">(EXP(-(AH1594^2)/2)/SQRT(2*PI())*EXP(0*SQRT(Table13345678[[#This Row],[T]]))/$A$4*18%*SQRT(SQRT(Table13345678[[#This Row],[T]])))</f>
        <v>#DIV/0!</v>
      </c>
      <c r="AK1594" t="e">
        <f ca="1">Table13345678[[#This Row],[Call D1]]-Table13345678[[#This Row],[IV Calc C]]*SQRT(Table13345678[[#This Row],[T]])</f>
        <v>#DIV/0!</v>
      </c>
      <c r="AL1594" t="e">
        <f ca="1">Table13345678[[#This Row],[Put D1]]-Table13345678[[#This Row],[IV Calc P]]*SQRT(Table13345678[[#This Row],[T]])</f>
        <v>#DIV/0!</v>
      </c>
      <c r="AM1594" t="e">
        <f ca="1">EXP(-0.5*Table13345678[[#This Row],[Call D1]]^2)/SQRT(2*PI())</f>
        <v>#DIV/0!</v>
      </c>
      <c r="AN1594" t="e">
        <f ca="1">EXP(-0.5*Table13345678[[#This Row],[Put D1]]^2)/SQRT(2*PI())</f>
        <v>#DIV/0!</v>
      </c>
      <c r="AO159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4">
        <f ca="1">((Table13345678[[#This Row],[call vanna]]+Table13345678[[#This Row],[put vanna]])*$A$4)</f>
        <v>0</v>
      </c>
      <c r="AR159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4" s="9" t="str" cm="1">
        <f t="array" ref="AT1594">_xlfn.IFS(     $M$1="SPX","SPXW",     $M$1="RUT","RUTW",  $M$1="NDX","NDXP",   TRUE,$M$1 )</f>
        <v>SPXW</v>
      </c>
      <c r="AU1594" s="2">
        <f t="shared" si="157"/>
        <v>6915</v>
      </c>
      <c r="AV1594" t="str">
        <f t="shared" si="158"/>
        <v>000100</v>
      </c>
      <c r="AY159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4">
        <f>((Table13345678[[#This Row],[High C]]+Table13345678[[#This Row],[Low C]])/2)*Table13345678[[#This Row],[gammac]]*Table13345678[[#This Row],[Volume]]</f>
        <v>0</v>
      </c>
      <c r="BD1594">
        <f>((Table13345678[[#This Row],[High P]]+Table13345678[[#This Row],[Low P]])/2)*Table13345678[[#This Row],[gammap]]*Table13345678[[#This Row],[Volume9]]*-1</f>
        <v>0</v>
      </c>
      <c r="BE1594">
        <f>(Table13345678[[#This Row],[SgammaC]]+Table13345678[[#This Row],[SgammaP]])*$A$4*-100</f>
        <v>0</v>
      </c>
      <c r="BF1594">
        <f>Table13345678[[#This Row],[DEXc]]+Table13345678[[#This Row],[DEXp]]</f>
        <v>0</v>
      </c>
      <c r="BG1594" s="78">
        <f>IFERROR(Table13345678[[#This Row],[DeltaC]]*Table13345678[[#This Row],[Open.Int]]*$A$4,0)</f>
        <v>0</v>
      </c>
      <c r="BH1594">
        <f>IFERROR(Table13345678[[#This Row],[DeltaP]]*Table13345678[[#This Row],[Open.Int8]]*$A$4,0)</f>
        <v>0</v>
      </c>
      <c r="BI159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4">
        <f ca="1">Table13345678[[#This Row],[charmc]]+Table13345678[[#This Row],[charmp]]</f>
        <v>0</v>
      </c>
      <c r="BL159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4" s="78">
        <f ca="1">Table13345678[[#This Row],[call helper]]+Table13345678[[#This Row],[put helper]]</f>
        <v>0</v>
      </c>
      <c r="BP159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5" spans="1:68" x14ac:dyDescent="0.25">
      <c r="A1595" s="14">
        <f t="shared" ca="1" si="154"/>
        <v>-126.14810350076104</v>
      </c>
      <c r="C1595" s="17"/>
      <c r="D1595" t="str">
        <f>RTD("tos.rtd", , "OPEN_INT", "."&amp;Table13345678[[#This Row],[Ticker]]&amp;Table13345678[[#This Row],[Expiry]]&amp;""&amp;"C"&amp;Table13345678[[#This Row],[Spot]]+Table13345678[[#This Row],[step]])</f>
        <v>N/A</v>
      </c>
      <c r="E159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5" s="17" cm="1">
        <f t="array" aca="1" ref="H1595" ca="1">IndividualLegIVCore($A$4, Table13345678[[#This Row],[Strike]], 0.0411, Table13345678[[#This Row],[T]], ((Table13345678[[#This Row],[BIDC]]+Table13345678[[#This Row],[ASKC]])/2), TRUE)</f>
        <v>0.01</v>
      </c>
      <c r="I159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5" s="17"/>
      <c r="M1595" s="1">
        <f t="shared" si="155"/>
        <v>0</v>
      </c>
      <c r="N1595" t="b">
        <f t="shared" si="156"/>
        <v>0</v>
      </c>
      <c r="P1595" s="17" cm="1">
        <f t="array" aca="1" ref="P1595" ca="1">IndividualLegIVCore($A$4, Table13345678[[#This Row],[Strike]], 0.0411, Table13345678[[#This Row],[T]], ((Table13345678[[#This Row],[BIDP]]+Table13345678[[#This Row],[ASKP]])/2), FALSE)</f>
        <v>0.01</v>
      </c>
      <c r="Q159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5" s="17"/>
      <c r="T159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5" s="19">
        <f>32* IF($M$1="NDX", 10, IF(OR($M$1="SPX", $M$1="RUT"), 2, 1))</f>
        <v>64</v>
      </c>
      <c r="Z1595">
        <f ca="1">IFERROR(Table13345678[[#This Row],[call gamma]]*(Table13345678[[#This Row],[Open.Int]])*$A$4^2,0)</f>
        <v>0</v>
      </c>
      <c r="AA1595">
        <f ca="1">IFERROR(((Table13345678[[#This Row],[Open.Int8]])*Table13345678[[#This Row],[Put gamma]])*-1*$A$4^2,0)</f>
        <v>0</v>
      </c>
      <c r="AB1595">
        <f ca="1">(Table13345678[[#This Row],[Call Gex]]+Table13345678[[#This Row],[Put Gex]])</f>
        <v>0</v>
      </c>
      <c r="AC1595">
        <f ca="1">Table13345678[[#This Row],[put delta adj]]+Table13345678[[#This Row],[call delta adj]]</f>
        <v>0</v>
      </c>
      <c r="AD1595">
        <f ca="1">Table13345678[[#This Row],[Put Gex]]*Table13345678[[#This Row],[DeltaP]]*-1</f>
        <v>0</v>
      </c>
      <c r="AE1595">
        <f ca="1">Table13345678[[#This Row],[Call Gex]]*Table13345678[[#This Row],[DeltaC]]</f>
        <v>0</v>
      </c>
      <c r="AF1595">
        <f>IF(Table13345678[[#This Row],[DeltaC]]-ABS(Table13345678[[#This Row],[DeltaP]])="0","0.01",Table13345678[[#This Row],[DeltaC]]-ABS(Table13345678[[#This Row],[DeltaP]]))</f>
        <v>0</v>
      </c>
      <c r="AG159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5" t="e">
        <f ca="1">(EXP(-(AG1595^2)/2)/SQRT(2*PI())*EXP(0*SQRT(Table13345678[[#This Row],[T]]))/$A$4*18%*SQRT(SQRT(Table13345678[[#This Row],[T]])))</f>
        <v>#DIV/0!</v>
      </c>
      <c r="AJ1595" t="e">
        <f ca="1">(EXP(-(AH1595^2)/2)/SQRT(2*PI())*EXP(0*SQRT(Table13345678[[#This Row],[T]]))/$A$4*18%*SQRT(SQRT(Table13345678[[#This Row],[T]])))</f>
        <v>#DIV/0!</v>
      </c>
      <c r="AK1595" t="e">
        <f ca="1">Table13345678[[#This Row],[Call D1]]-Table13345678[[#This Row],[IV Calc C]]*SQRT(Table13345678[[#This Row],[T]])</f>
        <v>#DIV/0!</v>
      </c>
      <c r="AL1595" t="e">
        <f ca="1">Table13345678[[#This Row],[Put D1]]-Table13345678[[#This Row],[IV Calc P]]*SQRT(Table13345678[[#This Row],[T]])</f>
        <v>#DIV/0!</v>
      </c>
      <c r="AM1595" t="e">
        <f ca="1">EXP(-0.5*Table13345678[[#This Row],[Call D1]]^2)/SQRT(2*PI())</f>
        <v>#DIV/0!</v>
      </c>
      <c r="AN1595" t="e">
        <f ca="1">EXP(-0.5*Table13345678[[#This Row],[Put D1]]^2)/SQRT(2*PI())</f>
        <v>#DIV/0!</v>
      </c>
      <c r="AO159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5">
        <f ca="1">((Table13345678[[#This Row],[call vanna]]+Table13345678[[#This Row],[put vanna]])*$A$4)</f>
        <v>0</v>
      </c>
      <c r="AR159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5" s="9" t="str" cm="1">
        <f t="array" ref="AT1595">_xlfn.IFS(     $M$1="SPX","SPXW",     $M$1="RUT","RUTW",  $M$1="NDX","NDXP",   TRUE,$M$1 )</f>
        <v>SPXW</v>
      </c>
      <c r="AU1595" s="2">
        <f t="shared" si="157"/>
        <v>6915</v>
      </c>
      <c r="AV1595" t="str">
        <f t="shared" si="158"/>
        <v>000100</v>
      </c>
      <c r="AY159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5">
        <f>((Table13345678[[#This Row],[High C]]+Table13345678[[#This Row],[Low C]])/2)*Table13345678[[#This Row],[gammac]]*Table13345678[[#This Row],[Volume]]</f>
        <v>0</v>
      </c>
      <c r="BD1595">
        <f>((Table13345678[[#This Row],[High P]]+Table13345678[[#This Row],[Low P]])/2)*Table13345678[[#This Row],[gammap]]*Table13345678[[#This Row],[Volume9]]*-1</f>
        <v>0</v>
      </c>
      <c r="BE1595">
        <f>(Table13345678[[#This Row],[SgammaC]]+Table13345678[[#This Row],[SgammaP]])*$A$4*-100</f>
        <v>0</v>
      </c>
      <c r="BF1595">
        <f>Table13345678[[#This Row],[DEXc]]+Table13345678[[#This Row],[DEXp]]</f>
        <v>0</v>
      </c>
      <c r="BG1595" s="78">
        <f>IFERROR(Table13345678[[#This Row],[DeltaC]]*Table13345678[[#This Row],[Open.Int]]*$A$4,0)</f>
        <v>0</v>
      </c>
      <c r="BH1595">
        <f>IFERROR(Table13345678[[#This Row],[DeltaP]]*Table13345678[[#This Row],[Open.Int8]]*$A$4,0)</f>
        <v>0</v>
      </c>
      <c r="BI159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5">
        <f ca="1">Table13345678[[#This Row],[charmc]]+Table13345678[[#This Row],[charmp]]</f>
        <v>0</v>
      </c>
      <c r="BL159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5" s="78">
        <f ca="1">Table13345678[[#This Row],[call helper]]+Table13345678[[#This Row],[put helper]]</f>
        <v>0</v>
      </c>
      <c r="BP159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6" spans="1:68" x14ac:dyDescent="0.25">
      <c r="A1596" s="14">
        <f t="shared" ca="1" si="154"/>
        <v>-126.14810350076104</v>
      </c>
      <c r="C1596" s="17"/>
      <c r="D1596" t="str">
        <f>RTD("tos.rtd", , "OPEN_INT", "."&amp;Table13345678[[#This Row],[Ticker]]&amp;Table13345678[[#This Row],[Expiry]]&amp;""&amp;"C"&amp;Table13345678[[#This Row],[Spot]]+Table13345678[[#This Row],[step]])</f>
        <v>N/A</v>
      </c>
      <c r="E159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6" s="17" cm="1">
        <f t="array" aca="1" ref="H1596" ca="1">IndividualLegIVCore($A$4, Table13345678[[#This Row],[Strike]], 0.0411, Table13345678[[#This Row],[T]], ((Table13345678[[#This Row],[BIDC]]+Table13345678[[#This Row],[ASKC]])/2), TRUE)</f>
        <v>0.01</v>
      </c>
      <c r="I159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6" s="17"/>
      <c r="M1596" s="1">
        <f t="shared" si="155"/>
        <v>0</v>
      </c>
      <c r="N1596" t="b">
        <f t="shared" si="156"/>
        <v>0</v>
      </c>
      <c r="P1596" s="17" cm="1">
        <f t="array" aca="1" ref="P1596" ca="1">IndividualLegIVCore($A$4, Table13345678[[#This Row],[Strike]], 0.0411, Table13345678[[#This Row],[T]], ((Table13345678[[#This Row],[BIDP]]+Table13345678[[#This Row],[ASKP]])/2), FALSE)</f>
        <v>0.01</v>
      </c>
      <c r="Q159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6" s="17"/>
      <c r="T159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6" s="19">
        <f>32.5* IF($M$1="NDX", 10, IF(OR($M$1="SPX", $M$1="RUT"), 2, 1))</f>
        <v>65</v>
      </c>
      <c r="Z1596">
        <f ca="1">IFERROR(Table13345678[[#This Row],[call gamma]]*(Table13345678[[#This Row],[Open.Int]])*$A$4^2,0)</f>
        <v>0</v>
      </c>
      <c r="AA1596">
        <f ca="1">IFERROR(((Table13345678[[#This Row],[Open.Int8]])*Table13345678[[#This Row],[Put gamma]])*-1*$A$4^2,0)</f>
        <v>0</v>
      </c>
      <c r="AB1596">
        <f ca="1">(Table13345678[[#This Row],[Call Gex]]+Table13345678[[#This Row],[Put Gex]])</f>
        <v>0</v>
      </c>
      <c r="AC1596">
        <f ca="1">Table13345678[[#This Row],[put delta adj]]+Table13345678[[#This Row],[call delta adj]]</f>
        <v>0</v>
      </c>
      <c r="AD1596">
        <f ca="1">Table13345678[[#This Row],[Put Gex]]*Table13345678[[#This Row],[DeltaP]]*-1</f>
        <v>0</v>
      </c>
      <c r="AE1596">
        <f ca="1">Table13345678[[#This Row],[Call Gex]]*Table13345678[[#This Row],[DeltaC]]</f>
        <v>0</v>
      </c>
      <c r="AF1596">
        <f>IF(Table13345678[[#This Row],[DeltaC]]-ABS(Table13345678[[#This Row],[DeltaP]])="0","0.01",Table13345678[[#This Row],[DeltaC]]-ABS(Table13345678[[#This Row],[DeltaP]]))</f>
        <v>0</v>
      </c>
      <c r="AG159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6" t="e">
        <f ca="1">(EXP(-(AG1596^2)/2)/SQRT(2*PI())*EXP(0*SQRT(Table13345678[[#This Row],[T]]))/$A$4*18%*SQRT(SQRT(Table13345678[[#This Row],[T]])))</f>
        <v>#DIV/0!</v>
      </c>
      <c r="AJ1596" t="e">
        <f ca="1">(EXP(-(AH1596^2)/2)/SQRT(2*PI())*EXP(0*SQRT(Table13345678[[#This Row],[T]]))/$A$4*18%*SQRT(SQRT(Table13345678[[#This Row],[T]])))</f>
        <v>#DIV/0!</v>
      </c>
      <c r="AK1596" t="e">
        <f ca="1">Table13345678[[#This Row],[Call D1]]-Table13345678[[#This Row],[IV Calc C]]*SQRT(Table13345678[[#This Row],[T]])</f>
        <v>#DIV/0!</v>
      </c>
      <c r="AL1596" t="e">
        <f ca="1">Table13345678[[#This Row],[Put D1]]-Table13345678[[#This Row],[IV Calc P]]*SQRT(Table13345678[[#This Row],[T]])</f>
        <v>#DIV/0!</v>
      </c>
      <c r="AM1596" t="e">
        <f ca="1">EXP(-0.5*Table13345678[[#This Row],[Call D1]]^2)/SQRT(2*PI())</f>
        <v>#DIV/0!</v>
      </c>
      <c r="AN1596" t="e">
        <f ca="1">EXP(-0.5*Table13345678[[#This Row],[Put D1]]^2)/SQRT(2*PI())</f>
        <v>#DIV/0!</v>
      </c>
      <c r="AO159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6">
        <f ca="1">((Table13345678[[#This Row],[call vanna]]+Table13345678[[#This Row],[put vanna]])*$A$4)</f>
        <v>0</v>
      </c>
      <c r="AR159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6" s="9" t="str" cm="1">
        <f t="array" ref="AT1596">_xlfn.IFS(     $M$1="SPX","SPXW",     $M$1="RUT","RUTW",  $M$1="NDX","NDXP",   TRUE,$M$1 )</f>
        <v>SPXW</v>
      </c>
      <c r="AU1596" s="2">
        <f t="shared" si="157"/>
        <v>6915</v>
      </c>
      <c r="AV1596" t="str">
        <f t="shared" si="158"/>
        <v>000100</v>
      </c>
      <c r="AY159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6">
        <f>((Table13345678[[#This Row],[High C]]+Table13345678[[#This Row],[Low C]])/2)*Table13345678[[#This Row],[gammac]]*Table13345678[[#This Row],[Volume]]</f>
        <v>0</v>
      </c>
      <c r="BD1596">
        <f>((Table13345678[[#This Row],[High P]]+Table13345678[[#This Row],[Low P]])/2)*Table13345678[[#This Row],[gammap]]*Table13345678[[#This Row],[Volume9]]*-1</f>
        <v>0</v>
      </c>
      <c r="BE1596">
        <f>(Table13345678[[#This Row],[SgammaC]]+Table13345678[[#This Row],[SgammaP]])*$A$4*-100</f>
        <v>0</v>
      </c>
      <c r="BF1596">
        <f>Table13345678[[#This Row],[DEXc]]+Table13345678[[#This Row],[DEXp]]</f>
        <v>0</v>
      </c>
      <c r="BG1596" s="78">
        <f>IFERROR(Table13345678[[#This Row],[DeltaC]]*Table13345678[[#This Row],[Open.Int]]*$A$4,0)</f>
        <v>0</v>
      </c>
      <c r="BH1596">
        <f>IFERROR(Table13345678[[#This Row],[DeltaP]]*Table13345678[[#This Row],[Open.Int8]]*$A$4,0)</f>
        <v>0</v>
      </c>
      <c r="BI159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6">
        <f ca="1">Table13345678[[#This Row],[charmc]]+Table13345678[[#This Row],[charmp]]</f>
        <v>0</v>
      </c>
      <c r="BL159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6" s="78">
        <f ca="1">Table13345678[[#This Row],[call helper]]+Table13345678[[#This Row],[put helper]]</f>
        <v>0</v>
      </c>
      <c r="BP159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7" spans="1:68" x14ac:dyDescent="0.25">
      <c r="A1597" s="14">
        <f t="shared" ca="1" si="154"/>
        <v>-126.14810350076104</v>
      </c>
      <c r="C1597" s="17"/>
      <c r="D1597" t="str">
        <f>RTD("tos.rtd", , "OPEN_INT", "."&amp;Table13345678[[#This Row],[Ticker]]&amp;Table13345678[[#This Row],[Expiry]]&amp;""&amp;"C"&amp;Table13345678[[#This Row],[Spot]]+Table13345678[[#This Row],[step]])</f>
        <v>N/A</v>
      </c>
      <c r="E159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7" s="17" cm="1">
        <f t="array" aca="1" ref="H1597" ca="1">IndividualLegIVCore($A$4, Table13345678[[#This Row],[Strike]], 0.0411, Table13345678[[#This Row],[T]], ((Table13345678[[#This Row],[BIDC]]+Table13345678[[#This Row],[ASKC]])/2), TRUE)</f>
        <v>0.01</v>
      </c>
      <c r="I159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7" s="17"/>
      <c r="M1597" s="1">
        <f t="shared" si="155"/>
        <v>0</v>
      </c>
      <c r="N1597" t="b">
        <f t="shared" si="156"/>
        <v>0</v>
      </c>
      <c r="P1597" s="17" cm="1">
        <f t="array" aca="1" ref="P1597" ca="1">IndividualLegIVCore($A$4, Table13345678[[#This Row],[Strike]], 0.0411, Table13345678[[#This Row],[T]], ((Table13345678[[#This Row],[BIDP]]+Table13345678[[#This Row],[ASKP]])/2), FALSE)</f>
        <v>0.01</v>
      </c>
      <c r="Q159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7" s="17"/>
      <c r="T159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7" s="19">
        <f>33* IF($M$1="NDX", 10, IF(OR($M$1="SPX", $M$1="RUT"), 2, 1))</f>
        <v>66</v>
      </c>
      <c r="Z1597">
        <f ca="1">IFERROR(Table13345678[[#This Row],[call gamma]]*(Table13345678[[#This Row],[Open.Int]])*$A$4^2,0)</f>
        <v>0</v>
      </c>
      <c r="AA1597">
        <f ca="1">IFERROR(((Table13345678[[#This Row],[Open.Int8]])*Table13345678[[#This Row],[Put gamma]])*-1*$A$4^2,0)</f>
        <v>0</v>
      </c>
      <c r="AB1597">
        <f ca="1">(Table13345678[[#This Row],[Call Gex]]+Table13345678[[#This Row],[Put Gex]])</f>
        <v>0</v>
      </c>
      <c r="AC1597">
        <f ca="1">Table13345678[[#This Row],[put delta adj]]+Table13345678[[#This Row],[call delta adj]]</f>
        <v>0</v>
      </c>
      <c r="AD1597">
        <f ca="1">Table13345678[[#This Row],[Put Gex]]*Table13345678[[#This Row],[DeltaP]]*-1</f>
        <v>0</v>
      </c>
      <c r="AE1597">
        <f ca="1">Table13345678[[#This Row],[Call Gex]]*Table13345678[[#This Row],[DeltaC]]</f>
        <v>0</v>
      </c>
      <c r="AF1597">
        <f>IF(Table13345678[[#This Row],[DeltaC]]-ABS(Table13345678[[#This Row],[DeltaP]])="0","0.01",Table13345678[[#This Row],[DeltaC]]-ABS(Table13345678[[#This Row],[DeltaP]]))</f>
        <v>0</v>
      </c>
      <c r="AG159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7" t="e">
        <f ca="1">(EXP(-(AG1597^2)/2)/SQRT(2*PI())*EXP(0*SQRT(Table13345678[[#This Row],[T]]))/$A$4*18%*SQRT(SQRT(Table13345678[[#This Row],[T]])))</f>
        <v>#DIV/0!</v>
      </c>
      <c r="AJ1597" t="e">
        <f ca="1">(EXP(-(AH1597^2)/2)/SQRT(2*PI())*EXP(0*SQRT(Table13345678[[#This Row],[T]]))/$A$4*18%*SQRT(SQRT(Table13345678[[#This Row],[T]])))</f>
        <v>#DIV/0!</v>
      </c>
      <c r="AK1597" t="e">
        <f ca="1">Table13345678[[#This Row],[Call D1]]-Table13345678[[#This Row],[IV Calc C]]*SQRT(Table13345678[[#This Row],[T]])</f>
        <v>#DIV/0!</v>
      </c>
      <c r="AL1597" t="e">
        <f ca="1">Table13345678[[#This Row],[Put D1]]-Table13345678[[#This Row],[IV Calc P]]*SQRT(Table13345678[[#This Row],[T]])</f>
        <v>#DIV/0!</v>
      </c>
      <c r="AM1597" t="e">
        <f ca="1">EXP(-0.5*Table13345678[[#This Row],[Call D1]]^2)/SQRT(2*PI())</f>
        <v>#DIV/0!</v>
      </c>
      <c r="AN1597" t="e">
        <f ca="1">EXP(-0.5*Table13345678[[#This Row],[Put D1]]^2)/SQRT(2*PI())</f>
        <v>#DIV/0!</v>
      </c>
      <c r="AO159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7">
        <f ca="1">((Table13345678[[#This Row],[call vanna]]+Table13345678[[#This Row],[put vanna]])*$A$4)</f>
        <v>0</v>
      </c>
      <c r="AR159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7" s="9" t="str" cm="1">
        <f t="array" ref="AT1597">_xlfn.IFS(     $M$1="SPX","SPXW",     $M$1="RUT","RUTW",  $M$1="NDX","NDXP",   TRUE,$M$1 )</f>
        <v>SPXW</v>
      </c>
      <c r="AU1597" s="2">
        <f t="shared" si="157"/>
        <v>6915</v>
      </c>
      <c r="AV1597" t="str">
        <f t="shared" si="158"/>
        <v>000100</v>
      </c>
      <c r="AY159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7">
        <f>((Table13345678[[#This Row],[High C]]+Table13345678[[#This Row],[Low C]])/2)*Table13345678[[#This Row],[gammac]]*Table13345678[[#This Row],[Volume]]</f>
        <v>0</v>
      </c>
      <c r="BD1597">
        <f>((Table13345678[[#This Row],[High P]]+Table13345678[[#This Row],[Low P]])/2)*Table13345678[[#This Row],[gammap]]*Table13345678[[#This Row],[Volume9]]*-1</f>
        <v>0</v>
      </c>
      <c r="BE1597">
        <f>(Table13345678[[#This Row],[SgammaC]]+Table13345678[[#This Row],[SgammaP]])*$A$4*-100</f>
        <v>0</v>
      </c>
      <c r="BF1597">
        <f>Table13345678[[#This Row],[DEXc]]+Table13345678[[#This Row],[DEXp]]</f>
        <v>0</v>
      </c>
      <c r="BG1597" s="78">
        <f>IFERROR(Table13345678[[#This Row],[DeltaC]]*Table13345678[[#This Row],[Open.Int]]*$A$4,0)</f>
        <v>0</v>
      </c>
      <c r="BH1597">
        <f>IFERROR(Table13345678[[#This Row],[DeltaP]]*Table13345678[[#This Row],[Open.Int8]]*$A$4,0)</f>
        <v>0</v>
      </c>
      <c r="BI159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7">
        <f ca="1">Table13345678[[#This Row],[charmc]]+Table13345678[[#This Row],[charmp]]</f>
        <v>0</v>
      </c>
      <c r="BL159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7" s="78">
        <f ca="1">Table13345678[[#This Row],[call helper]]+Table13345678[[#This Row],[put helper]]</f>
        <v>0</v>
      </c>
      <c r="BP159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8" spans="1:68" x14ac:dyDescent="0.25">
      <c r="A1598" s="14">
        <f t="shared" ca="1" si="154"/>
        <v>-126.14810350076104</v>
      </c>
      <c r="C1598" s="17"/>
      <c r="D1598" t="str">
        <f>RTD("tos.rtd", , "OPEN_INT", "."&amp;Table13345678[[#This Row],[Ticker]]&amp;Table13345678[[#This Row],[Expiry]]&amp;""&amp;"C"&amp;Table13345678[[#This Row],[Spot]]+Table13345678[[#This Row],[step]])</f>
        <v>N/A</v>
      </c>
      <c r="E159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8" s="17" cm="1">
        <f t="array" aca="1" ref="H1598" ca="1">IndividualLegIVCore($A$4, Table13345678[[#This Row],[Strike]], 0.0411, Table13345678[[#This Row],[T]], ((Table13345678[[#This Row],[BIDC]]+Table13345678[[#This Row],[ASKC]])/2), TRUE)</f>
        <v>0.01</v>
      </c>
      <c r="I159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8" s="17"/>
      <c r="M1598" s="1">
        <f t="shared" si="155"/>
        <v>0</v>
      </c>
      <c r="N1598" t="b">
        <f t="shared" si="156"/>
        <v>0</v>
      </c>
      <c r="P1598" s="17" cm="1">
        <f t="array" aca="1" ref="P1598" ca="1">IndividualLegIVCore($A$4, Table13345678[[#This Row],[Strike]], 0.0411, Table13345678[[#This Row],[T]], ((Table13345678[[#This Row],[BIDP]]+Table13345678[[#This Row],[ASKP]])/2), FALSE)</f>
        <v>0.01</v>
      </c>
      <c r="Q159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8" s="17"/>
      <c r="T159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8" s="19">
        <f>33.5* IF($M$1="NDX", 10, IF(OR($M$1="SPX", $M$1="RUT"), 2, 1))</f>
        <v>67</v>
      </c>
      <c r="Z1598">
        <f ca="1">IFERROR(Table13345678[[#This Row],[call gamma]]*(Table13345678[[#This Row],[Open.Int]])*$A$4^2,0)</f>
        <v>0</v>
      </c>
      <c r="AA1598">
        <f ca="1">IFERROR(((Table13345678[[#This Row],[Open.Int8]])*Table13345678[[#This Row],[Put gamma]])*-1*$A$4^2,0)</f>
        <v>0</v>
      </c>
      <c r="AB1598">
        <f ca="1">(Table13345678[[#This Row],[Call Gex]]+Table13345678[[#This Row],[Put Gex]])</f>
        <v>0</v>
      </c>
      <c r="AC1598">
        <f ca="1">Table13345678[[#This Row],[put delta adj]]+Table13345678[[#This Row],[call delta adj]]</f>
        <v>0</v>
      </c>
      <c r="AD1598">
        <f ca="1">Table13345678[[#This Row],[Put Gex]]*Table13345678[[#This Row],[DeltaP]]*-1</f>
        <v>0</v>
      </c>
      <c r="AE1598">
        <f ca="1">Table13345678[[#This Row],[Call Gex]]*Table13345678[[#This Row],[DeltaC]]</f>
        <v>0</v>
      </c>
      <c r="AF1598">
        <f>IF(Table13345678[[#This Row],[DeltaC]]-ABS(Table13345678[[#This Row],[DeltaP]])="0","0.01",Table13345678[[#This Row],[DeltaC]]-ABS(Table13345678[[#This Row],[DeltaP]]))</f>
        <v>0</v>
      </c>
      <c r="AG159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8" t="e">
        <f ca="1">(EXP(-(AG1598^2)/2)/SQRT(2*PI())*EXP(0*SQRT(Table13345678[[#This Row],[T]]))/$A$4*18%*SQRT(SQRT(Table13345678[[#This Row],[T]])))</f>
        <v>#DIV/0!</v>
      </c>
      <c r="AJ1598" t="e">
        <f ca="1">(EXP(-(AH1598^2)/2)/SQRT(2*PI())*EXP(0*SQRT(Table13345678[[#This Row],[T]]))/$A$4*18%*SQRT(SQRT(Table13345678[[#This Row],[T]])))</f>
        <v>#DIV/0!</v>
      </c>
      <c r="AK1598" t="e">
        <f ca="1">Table13345678[[#This Row],[Call D1]]-Table13345678[[#This Row],[IV Calc C]]*SQRT(Table13345678[[#This Row],[T]])</f>
        <v>#DIV/0!</v>
      </c>
      <c r="AL1598" t="e">
        <f ca="1">Table13345678[[#This Row],[Put D1]]-Table13345678[[#This Row],[IV Calc P]]*SQRT(Table13345678[[#This Row],[T]])</f>
        <v>#DIV/0!</v>
      </c>
      <c r="AM1598" t="e">
        <f ca="1">EXP(-0.5*Table13345678[[#This Row],[Call D1]]^2)/SQRT(2*PI())</f>
        <v>#DIV/0!</v>
      </c>
      <c r="AN1598" t="e">
        <f ca="1">EXP(-0.5*Table13345678[[#This Row],[Put D1]]^2)/SQRT(2*PI())</f>
        <v>#DIV/0!</v>
      </c>
      <c r="AO159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8">
        <f ca="1">((Table13345678[[#This Row],[call vanna]]+Table13345678[[#This Row],[put vanna]])*$A$4)</f>
        <v>0</v>
      </c>
      <c r="AR159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8" s="9" t="str" cm="1">
        <f t="array" ref="AT1598">_xlfn.IFS(     $M$1="SPX","SPXW",     $M$1="RUT","RUTW",  $M$1="NDX","NDXP",   TRUE,$M$1 )</f>
        <v>SPXW</v>
      </c>
      <c r="AU1598" s="2">
        <f t="shared" si="157"/>
        <v>6915</v>
      </c>
      <c r="AV1598" t="str">
        <f t="shared" si="158"/>
        <v>000100</v>
      </c>
      <c r="AY159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8">
        <f>((Table13345678[[#This Row],[High C]]+Table13345678[[#This Row],[Low C]])/2)*Table13345678[[#This Row],[gammac]]*Table13345678[[#This Row],[Volume]]</f>
        <v>0</v>
      </c>
      <c r="BD1598">
        <f>((Table13345678[[#This Row],[High P]]+Table13345678[[#This Row],[Low P]])/2)*Table13345678[[#This Row],[gammap]]*Table13345678[[#This Row],[Volume9]]*-1</f>
        <v>0</v>
      </c>
      <c r="BE1598">
        <f>(Table13345678[[#This Row],[SgammaC]]+Table13345678[[#This Row],[SgammaP]])*$A$4*-100</f>
        <v>0</v>
      </c>
      <c r="BF1598">
        <f>Table13345678[[#This Row],[DEXc]]+Table13345678[[#This Row],[DEXp]]</f>
        <v>0</v>
      </c>
      <c r="BG1598" s="78">
        <f>IFERROR(Table13345678[[#This Row],[DeltaC]]*Table13345678[[#This Row],[Open.Int]]*$A$4,0)</f>
        <v>0</v>
      </c>
      <c r="BH1598">
        <f>IFERROR(Table13345678[[#This Row],[DeltaP]]*Table13345678[[#This Row],[Open.Int8]]*$A$4,0)</f>
        <v>0</v>
      </c>
      <c r="BI159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8">
        <f ca="1">Table13345678[[#This Row],[charmc]]+Table13345678[[#This Row],[charmp]]</f>
        <v>0</v>
      </c>
      <c r="BL159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8" s="78">
        <f ca="1">Table13345678[[#This Row],[call helper]]+Table13345678[[#This Row],[put helper]]</f>
        <v>0</v>
      </c>
      <c r="BP159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9" spans="1:68" x14ac:dyDescent="0.25">
      <c r="A1599" s="14">
        <f t="shared" ca="1" si="154"/>
        <v>-126.14810350076104</v>
      </c>
      <c r="C1599" s="17"/>
      <c r="D1599" t="str">
        <f>RTD("tos.rtd", , "OPEN_INT", "."&amp;Table13345678[[#This Row],[Ticker]]&amp;Table13345678[[#This Row],[Expiry]]&amp;""&amp;"C"&amp;Table13345678[[#This Row],[Spot]]+Table13345678[[#This Row],[step]])</f>
        <v>N/A</v>
      </c>
      <c r="E159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9" s="17" cm="1">
        <f t="array" aca="1" ref="H1599" ca="1">IndividualLegIVCore($A$4, Table13345678[[#This Row],[Strike]], 0.0411, Table13345678[[#This Row],[T]], ((Table13345678[[#This Row],[BIDC]]+Table13345678[[#This Row],[ASKC]])/2), TRUE)</f>
        <v>0.01</v>
      </c>
      <c r="I159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9" s="17"/>
      <c r="M1599" s="1">
        <f t="shared" si="155"/>
        <v>0</v>
      </c>
      <c r="N1599" t="b">
        <f t="shared" si="156"/>
        <v>0</v>
      </c>
      <c r="P1599" s="17" cm="1">
        <f t="array" aca="1" ref="P1599" ca="1">IndividualLegIVCore($A$4, Table13345678[[#This Row],[Strike]], 0.0411, Table13345678[[#This Row],[T]], ((Table13345678[[#This Row],[BIDP]]+Table13345678[[#This Row],[ASKP]])/2), FALSE)</f>
        <v>0.01</v>
      </c>
      <c r="Q159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9" s="17"/>
      <c r="T159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9" s="19">
        <f>34* IF($M$1="NDX", 10, IF(OR($M$1="SPX", $M$1="RUT"), 2, 1))</f>
        <v>68</v>
      </c>
      <c r="Z1599">
        <f ca="1">IFERROR(Table13345678[[#This Row],[call gamma]]*(Table13345678[[#This Row],[Open.Int]])*$A$4^2,0)</f>
        <v>0</v>
      </c>
      <c r="AA1599">
        <f ca="1">IFERROR(((Table13345678[[#This Row],[Open.Int8]])*Table13345678[[#This Row],[Put gamma]])*-1*$A$4^2,0)</f>
        <v>0</v>
      </c>
      <c r="AB1599">
        <f ca="1">(Table13345678[[#This Row],[Call Gex]]+Table13345678[[#This Row],[Put Gex]])</f>
        <v>0</v>
      </c>
      <c r="AC1599">
        <f ca="1">Table13345678[[#This Row],[put delta adj]]+Table13345678[[#This Row],[call delta adj]]</f>
        <v>0</v>
      </c>
      <c r="AD1599">
        <f ca="1">Table13345678[[#This Row],[Put Gex]]*Table13345678[[#This Row],[DeltaP]]*-1</f>
        <v>0</v>
      </c>
      <c r="AE1599">
        <f ca="1">Table13345678[[#This Row],[Call Gex]]*Table13345678[[#This Row],[DeltaC]]</f>
        <v>0</v>
      </c>
      <c r="AF1599">
        <f>IF(Table13345678[[#This Row],[DeltaC]]-ABS(Table13345678[[#This Row],[DeltaP]])="0","0.01",Table13345678[[#This Row],[DeltaC]]-ABS(Table13345678[[#This Row],[DeltaP]]))</f>
        <v>0</v>
      </c>
      <c r="AG159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9" t="e">
        <f ca="1">(EXP(-(AG1599^2)/2)/SQRT(2*PI())*EXP(0*SQRT(Table13345678[[#This Row],[T]]))/$A$4*18%*SQRT(SQRT(Table13345678[[#This Row],[T]])))</f>
        <v>#DIV/0!</v>
      </c>
      <c r="AJ1599" t="e">
        <f ca="1">(EXP(-(AH1599^2)/2)/SQRT(2*PI())*EXP(0*SQRT(Table13345678[[#This Row],[T]]))/$A$4*18%*SQRT(SQRT(Table13345678[[#This Row],[T]])))</f>
        <v>#DIV/0!</v>
      </c>
      <c r="AK1599" t="e">
        <f ca="1">Table13345678[[#This Row],[Call D1]]-Table13345678[[#This Row],[IV Calc C]]*SQRT(Table13345678[[#This Row],[T]])</f>
        <v>#DIV/0!</v>
      </c>
      <c r="AL1599" t="e">
        <f ca="1">Table13345678[[#This Row],[Put D1]]-Table13345678[[#This Row],[IV Calc P]]*SQRT(Table13345678[[#This Row],[T]])</f>
        <v>#DIV/0!</v>
      </c>
      <c r="AM1599" t="e">
        <f ca="1">EXP(-0.5*Table13345678[[#This Row],[Call D1]]^2)/SQRT(2*PI())</f>
        <v>#DIV/0!</v>
      </c>
      <c r="AN1599" t="e">
        <f ca="1">EXP(-0.5*Table13345678[[#This Row],[Put D1]]^2)/SQRT(2*PI())</f>
        <v>#DIV/0!</v>
      </c>
      <c r="AO159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9">
        <f ca="1">((Table13345678[[#This Row],[call vanna]]+Table13345678[[#This Row],[put vanna]])*$A$4)</f>
        <v>0</v>
      </c>
      <c r="AR159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9" s="9" t="str" cm="1">
        <f t="array" ref="AT1599">_xlfn.IFS(     $M$1="SPX","SPXW",     $M$1="RUT","RUTW",  $M$1="NDX","NDXP",   TRUE,$M$1 )</f>
        <v>SPXW</v>
      </c>
      <c r="AU1599" s="2">
        <f t="shared" si="157"/>
        <v>6915</v>
      </c>
      <c r="AV1599" t="str">
        <f t="shared" si="158"/>
        <v>000100</v>
      </c>
      <c r="AY159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9">
        <f>((Table13345678[[#This Row],[High C]]+Table13345678[[#This Row],[Low C]])/2)*Table13345678[[#This Row],[gammac]]*Table13345678[[#This Row],[Volume]]</f>
        <v>0</v>
      </c>
      <c r="BD1599">
        <f>((Table13345678[[#This Row],[High P]]+Table13345678[[#This Row],[Low P]])/2)*Table13345678[[#This Row],[gammap]]*Table13345678[[#This Row],[Volume9]]*-1</f>
        <v>0</v>
      </c>
      <c r="BE1599">
        <f>(Table13345678[[#This Row],[SgammaC]]+Table13345678[[#This Row],[SgammaP]])*$A$4*-100</f>
        <v>0</v>
      </c>
      <c r="BF1599">
        <f>Table13345678[[#This Row],[DEXc]]+Table13345678[[#This Row],[DEXp]]</f>
        <v>0</v>
      </c>
      <c r="BG1599" s="78">
        <f>IFERROR(Table13345678[[#This Row],[DeltaC]]*Table13345678[[#This Row],[Open.Int]]*$A$4,0)</f>
        <v>0</v>
      </c>
      <c r="BH1599">
        <f>IFERROR(Table13345678[[#This Row],[DeltaP]]*Table13345678[[#This Row],[Open.Int8]]*$A$4,0)</f>
        <v>0</v>
      </c>
      <c r="BI159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9">
        <f ca="1">Table13345678[[#This Row],[charmc]]+Table13345678[[#This Row],[charmp]]</f>
        <v>0</v>
      </c>
      <c r="BL159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9" s="78">
        <f ca="1">Table13345678[[#This Row],[call helper]]+Table13345678[[#This Row],[put helper]]</f>
        <v>0</v>
      </c>
      <c r="BP159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0" spans="1:68" x14ac:dyDescent="0.25">
      <c r="A1600" s="14">
        <f t="shared" ca="1" si="154"/>
        <v>-126.14810350076104</v>
      </c>
      <c r="C1600" s="17"/>
      <c r="D1600" t="str">
        <f>RTD("tos.rtd", , "OPEN_INT", "."&amp;Table13345678[[#This Row],[Ticker]]&amp;Table13345678[[#This Row],[Expiry]]&amp;""&amp;"C"&amp;Table13345678[[#This Row],[Spot]]+Table13345678[[#This Row],[step]])</f>
        <v>N/A</v>
      </c>
      <c r="E160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0" s="17" cm="1">
        <f t="array" aca="1" ref="H1600" ca="1">IndividualLegIVCore($A$4, Table13345678[[#This Row],[Strike]], 0.0411, Table13345678[[#This Row],[T]], ((Table13345678[[#This Row],[BIDC]]+Table13345678[[#This Row],[ASKC]])/2), TRUE)</f>
        <v>0.01</v>
      </c>
      <c r="I160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0" s="17"/>
      <c r="M1600" s="1">
        <f t="shared" si="155"/>
        <v>0</v>
      </c>
      <c r="N1600" t="b">
        <f t="shared" si="156"/>
        <v>0</v>
      </c>
      <c r="P1600" s="17" cm="1">
        <f t="array" aca="1" ref="P1600" ca="1">IndividualLegIVCore($A$4, Table13345678[[#This Row],[Strike]], 0.0411, Table13345678[[#This Row],[T]], ((Table13345678[[#This Row],[BIDP]]+Table13345678[[#This Row],[ASKP]])/2), FALSE)</f>
        <v>0.01</v>
      </c>
      <c r="Q160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0" s="17"/>
      <c r="T160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0" s="19">
        <f>34.5* IF($M$1="NDX", 10, IF(OR($M$1="SPX", $M$1="RUT"), 2, 1))</f>
        <v>69</v>
      </c>
      <c r="Z1600">
        <f ca="1">IFERROR(Table13345678[[#This Row],[call gamma]]*(Table13345678[[#This Row],[Open.Int]])*$A$4^2,0)</f>
        <v>0</v>
      </c>
      <c r="AA1600">
        <f ca="1">IFERROR(((Table13345678[[#This Row],[Open.Int8]])*Table13345678[[#This Row],[Put gamma]])*-1*$A$4^2,0)</f>
        <v>0</v>
      </c>
      <c r="AB1600">
        <f ca="1">(Table13345678[[#This Row],[Call Gex]]+Table13345678[[#This Row],[Put Gex]])</f>
        <v>0</v>
      </c>
      <c r="AC1600">
        <f ca="1">Table13345678[[#This Row],[put delta adj]]+Table13345678[[#This Row],[call delta adj]]</f>
        <v>0</v>
      </c>
      <c r="AD1600">
        <f ca="1">Table13345678[[#This Row],[Put Gex]]*Table13345678[[#This Row],[DeltaP]]*-1</f>
        <v>0</v>
      </c>
      <c r="AE1600">
        <f ca="1">Table13345678[[#This Row],[Call Gex]]*Table13345678[[#This Row],[DeltaC]]</f>
        <v>0</v>
      </c>
      <c r="AF1600">
        <f>IF(Table13345678[[#This Row],[DeltaC]]-ABS(Table13345678[[#This Row],[DeltaP]])="0","0.01",Table13345678[[#This Row],[DeltaC]]-ABS(Table13345678[[#This Row],[DeltaP]]))</f>
        <v>0</v>
      </c>
      <c r="AG160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0" t="e">
        <f ca="1">(EXP(-(AG1600^2)/2)/SQRT(2*PI())*EXP(0*SQRT(Table13345678[[#This Row],[T]]))/$A$4*18%*SQRT(SQRT(Table13345678[[#This Row],[T]])))</f>
        <v>#DIV/0!</v>
      </c>
      <c r="AJ1600" t="e">
        <f ca="1">(EXP(-(AH1600^2)/2)/SQRT(2*PI())*EXP(0*SQRT(Table13345678[[#This Row],[T]]))/$A$4*18%*SQRT(SQRT(Table13345678[[#This Row],[T]])))</f>
        <v>#DIV/0!</v>
      </c>
      <c r="AK1600" t="e">
        <f ca="1">Table13345678[[#This Row],[Call D1]]-Table13345678[[#This Row],[IV Calc C]]*SQRT(Table13345678[[#This Row],[T]])</f>
        <v>#DIV/0!</v>
      </c>
      <c r="AL1600" t="e">
        <f ca="1">Table13345678[[#This Row],[Put D1]]-Table13345678[[#This Row],[IV Calc P]]*SQRT(Table13345678[[#This Row],[T]])</f>
        <v>#DIV/0!</v>
      </c>
      <c r="AM1600" t="e">
        <f ca="1">EXP(-0.5*Table13345678[[#This Row],[Call D1]]^2)/SQRT(2*PI())</f>
        <v>#DIV/0!</v>
      </c>
      <c r="AN1600" t="e">
        <f ca="1">EXP(-0.5*Table13345678[[#This Row],[Put D1]]^2)/SQRT(2*PI())</f>
        <v>#DIV/0!</v>
      </c>
      <c r="AO160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0">
        <f ca="1">((Table13345678[[#This Row],[call vanna]]+Table13345678[[#This Row],[put vanna]])*$A$4)</f>
        <v>0</v>
      </c>
      <c r="AR160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0" s="9" t="str" cm="1">
        <f t="array" ref="AT1600">_xlfn.IFS(     $M$1="SPX","SPXW",     $M$1="RUT","RUTW",  $M$1="NDX","NDXP",   TRUE,$M$1 )</f>
        <v>SPXW</v>
      </c>
      <c r="AU1600" s="2">
        <f t="shared" si="157"/>
        <v>6915</v>
      </c>
      <c r="AV1600" t="str">
        <f t="shared" si="158"/>
        <v>000100</v>
      </c>
      <c r="AY160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0">
        <f>((Table13345678[[#This Row],[High C]]+Table13345678[[#This Row],[Low C]])/2)*Table13345678[[#This Row],[gammac]]*Table13345678[[#This Row],[Volume]]</f>
        <v>0</v>
      </c>
      <c r="BD1600">
        <f>((Table13345678[[#This Row],[High P]]+Table13345678[[#This Row],[Low P]])/2)*Table13345678[[#This Row],[gammap]]*Table13345678[[#This Row],[Volume9]]*-1</f>
        <v>0</v>
      </c>
      <c r="BE1600">
        <f>(Table13345678[[#This Row],[SgammaC]]+Table13345678[[#This Row],[SgammaP]])*$A$4*-100</f>
        <v>0</v>
      </c>
      <c r="BF1600">
        <f>Table13345678[[#This Row],[DEXc]]+Table13345678[[#This Row],[DEXp]]</f>
        <v>0</v>
      </c>
      <c r="BG1600" s="78">
        <f>IFERROR(Table13345678[[#This Row],[DeltaC]]*Table13345678[[#This Row],[Open.Int]]*$A$4,0)</f>
        <v>0</v>
      </c>
      <c r="BH1600">
        <f>IFERROR(Table13345678[[#This Row],[DeltaP]]*Table13345678[[#This Row],[Open.Int8]]*$A$4,0)</f>
        <v>0</v>
      </c>
      <c r="BI160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0">
        <f ca="1">Table13345678[[#This Row],[charmc]]+Table13345678[[#This Row],[charmp]]</f>
        <v>0</v>
      </c>
      <c r="BL160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0" s="78">
        <f ca="1">Table13345678[[#This Row],[call helper]]+Table13345678[[#This Row],[put helper]]</f>
        <v>0</v>
      </c>
      <c r="BP160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1" spans="1:68" x14ac:dyDescent="0.25">
      <c r="A1601" s="14">
        <f t="shared" ca="1" si="154"/>
        <v>-126.14810350076104</v>
      </c>
      <c r="C1601" s="17"/>
      <c r="D1601" t="str">
        <f>RTD("tos.rtd", , "OPEN_INT", "."&amp;Table13345678[[#This Row],[Ticker]]&amp;Table13345678[[#This Row],[Expiry]]&amp;""&amp;"C"&amp;Table13345678[[#This Row],[Spot]]+Table13345678[[#This Row],[step]])</f>
        <v>N/A</v>
      </c>
      <c r="E160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1" s="17" cm="1">
        <f t="array" aca="1" ref="H1601" ca="1">IndividualLegIVCore($A$4, Table13345678[[#This Row],[Strike]], 0.0411, Table13345678[[#This Row],[T]], ((Table13345678[[#This Row],[BIDC]]+Table13345678[[#This Row],[ASKC]])/2), TRUE)</f>
        <v>0.01</v>
      </c>
      <c r="I160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1" s="17"/>
      <c r="M1601" s="1">
        <f t="shared" si="155"/>
        <v>0</v>
      </c>
      <c r="N1601" t="b">
        <f t="shared" si="156"/>
        <v>0</v>
      </c>
      <c r="P1601" s="17" cm="1">
        <f t="array" aca="1" ref="P1601" ca="1">IndividualLegIVCore($A$4, Table13345678[[#This Row],[Strike]], 0.0411, Table13345678[[#This Row],[T]], ((Table13345678[[#This Row],[BIDP]]+Table13345678[[#This Row],[ASKP]])/2), FALSE)</f>
        <v>0.01</v>
      </c>
      <c r="Q160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1" s="17"/>
      <c r="T160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1" s="19">
        <f>35* IF($M$1="NDX", 10, IF(OR($M$1="SPX", $M$1="RUT"), 2, 1))</f>
        <v>70</v>
      </c>
      <c r="Z1601">
        <f ca="1">IFERROR(Table13345678[[#This Row],[call gamma]]*(Table13345678[[#This Row],[Open.Int]])*$A$4^2,0)</f>
        <v>0</v>
      </c>
      <c r="AA1601">
        <f ca="1">IFERROR(((Table13345678[[#This Row],[Open.Int8]])*Table13345678[[#This Row],[Put gamma]])*-1*$A$4^2,0)</f>
        <v>0</v>
      </c>
      <c r="AB1601">
        <f ca="1">(Table13345678[[#This Row],[Call Gex]]+Table13345678[[#This Row],[Put Gex]])</f>
        <v>0</v>
      </c>
      <c r="AC1601">
        <f ca="1">Table13345678[[#This Row],[put delta adj]]+Table13345678[[#This Row],[call delta adj]]</f>
        <v>0</v>
      </c>
      <c r="AD1601">
        <f ca="1">Table13345678[[#This Row],[Put Gex]]*Table13345678[[#This Row],[DeltaP]]*-1</f>
        <v>0</v>
      </c>
      <c r="AE1601">
        <f ca="1">Table13345678[[#This Row],[Call Gex]]*Table13345678[[#This Row],[DeltaC]]</f>
        <v>0</v>
      </c>
      <c r="AF1601">
        <f>IF(Table13345678[[#This Row],[DeltaC]]-ABS(Table13345678[[#This Row],[DeltaP]])="0","0.01",Table13345678[[#This Row],[DeltaC]]-ABS(Table13345678[[#This Row],[DeltaP]]))</f>
        <v>0</v>
      </c>
      <c r="AG160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1" t="e">
        <f ca="1">(EXP(-(AG1601^2)/2)/SQRT(2*PI())*EXP(0*SQRT(Table13345678[[#This Row],[T]]))/$A$4*18%*SQRT(SQRT(Table13345678[[#This Row],[T]])))</f>
        <v>#DIV/0!</v>
      </c>
      <c r="AJ1601" t="e">
        <f ca="1">(EXP(-(AH1601^2)/2)/SQRT(2*PI())*EXP(0*SQRT(Table13345678[[#This Row],[T]]))/$A$4*18%*SQRT(SQRT(Table13345678[[#This Row],[T]])))</f>
        <v>#DIV/0!</v>
      </c>
      <c r="AK1601" t="e">
        <f ca="1">Table13345678[[#This Row],[Call D1]]-Table13345678[[#This Row],[IV Calc C]]*SQRT(Table13345678[[#This Row],[T]])</f>
        <v>#DIV/0!</v>
      </c>
      <c r="AL1601" t="e">
        <f ca="1">Table13345678[[#This Row],[Put D1]]-Table13345678[[#This Row],[IV Calc P]]*SQRT(Table13345678[[#This Row],[T]])</f>
        <v>#DIV/0!</v>
      </c>
      <c r="AM1601" t="e">
        <f ca="1">EXP(-0.5*Table13345678[[#This Row],[Call D1]]^2)/SQRT(2*PI())</f>
        <v>#DIV/0!</v>
      </c>
      <c r="AN1601" t="e">
        <f ca="1">EXP(-0.5*Table13345678[[#This Row],[Put D1]]^2)/SQRT(2*PI())</f>
        <v>#DIV/0!</v>
      </c>
      <c r="AO160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1">
        <f ca="1">((Table13345678[[#This Row],[call vanna]]+Table13345678[[#This Row],[put vanna]])*$A$4)</f>
        <v>0</v>
      </c>
      <c r="AR160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1" s="9" t="str" cm="1">
        <f t="array" ref="AT1601">_xlfn.IFS(     $M$1="SPX","SPXW",     $M$1="RUT","RUTW",  $M$1="NDX","NDXP",   TRUE,$M$1 )</f>
        <v>SPXW</v>
      </c>
      <c r="AU1601" s="2">
        <f t="shared" si="157"/>
        <v>6915</v>
      </c>
      <c r="AV1601" t="str">
        <f t="shared" si="158"/>
        <v>000100</v>
      </c>
      <c r="AY160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1">
        <f>((Table13345678[[#This Row],[High C]]+Table13345678[[#This Row],[Low C]])/2)*Table13345678[[#This Row],[gammac]]*Table13345678[[#This Row],[Volume]]</f>
        <v>0</v>
      </c>
      <c r="BD1601">
        <f>((Table13345678[[#This Row],[High P]]+Table13345678[[#This Row],[Low P]])/2)*Table13345678[[#This Row],[gammap]]*Table13345678[[#This Row],[Volume9]]*-1</f>
        <v>0</v>
      </c>
      <c r="BE1601">
        <f>(Table13345678[[#This Row],[SgammaC]]+Table13345678[[#This Row],[SgammaP]])*$A$4*-100</f>
        <v>0</v>
      </c>
      <c r="BF1601">
        <f>Table13345678[[#This Row],[DEXc]]+Table13345678[[#This Row],[DEXp]]</f>
        <v>0</v>
      </c>
      <c r="BG1601" s="78">
        <f>IFERROR(Table13345678[[#This Row],[DeltaC]]*Table13345678[[#This Row],[Open.Int]]*$A$4,0)</f>
        <v>0</v>
      </c>
      <c r="BH1601">
        <f>IFERROR(Table13345678[[#This Row],[DeltaP]]*Table13345678[[#This Row],[Open.Int8]]*$A$4,0)</f>
        <v>0</v>
      </c>
      <c r="BI160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1">
        <f ca="1">Table13345678[[#This Row],[charmc]]+Table13345678[[#This Row],[charmp]]</f>
        <v>0</v>
      </c>
      <c r="BL160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1" s="78">
        <f ca="1">Table13345678[[#This Row],[call helper]]+Table13345678[[#This Row],[put helper]]</f>
        <v>0</v>
      </c>
      <c r="BP160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2" spans="1:68" x14ac:dyDescent="0.25">
      <c r="A1602" s="14">
        <f t="shared" ca="1" si="154"/>
        <v>-126.14810350076104</v>
      </c>
      <c r="C1602" s="17"/>
      <c r="D1602" t="str">
        <f>RTD("tos.rtd", , "OPEN_INT", "."&amp;Table13345678[[#This Row],[Ticker]]&amp;Table13345678[[#This Row],[Expiry]]&amp;""&amp;"C"&amp;Table13345678[[#This Row],[Spot]]+Table13345678[[#This Row],[step]])</f>
        <v>N/A</v>
      </c>
      <c r="E160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2" s="17" cm="1">
        <f t="array" aca="1" ref="H1602" ca="1">IndividualLegIVCore($A$4, Table13345678[[#This Row],[Strike]], 0.0411, Table13345678[[#This Row],[T]], ((Table13345678[[#This Row],[BIDC]]+Table13345678[[#This Row],[ASKC]])/2), TRUE)</f>
        <v>0.01</v>
      </c>
      <c r="I160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2" s="17"/>
      <c r="M1602" s="1">
        <f t="shared" si="155"/>
        <v>0</v>
      </c>
      <c r="N1602" t="b">
        <f t="shared" si="156"/>
        <v>0</v>
      </c>
      <c r="P1602" s="17" cm="1">
        <f t="array" aca="1" ref="P1602" ca="1">IndividualLegIVCore($A$4, Table13345678[[#This Row],[Strike]], 0.0411, Table13345678[[#This Row],[T]], ((Table13345678[[#This Row],[BIDP]]+Table13345678[[#This Row],[ASKP]])/2), FALSE)</f>
        <v>0.01</v>
      </c>
      <c r="Q160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2" s="17"/>
      <c r="T160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2" s="19">
        <f>35.5* IF($M$1="NDX", 10, IF(OR($M$1="SPX", $M$1="RUT"), 2, 1))</f>
        <v>71</v>
      </c>
      <c r="Z1602">
        <f ca="1">IFERROR(Table13345678[[#This Row],[call gamma]]*(Table13345678[[#This Row],[Open.Int]])*$A$4^2,0)</f>
        <v>0</v>
      </c>
      <c r="AA1602">
        <f ca="1">IFERROR(((Table13345678[[#This Row],[Open.Int8]])*Table13345678[[#This Row],[Put gamma]])*-1*$A$4^2,0)</f>
        <v>0</v>
      </c>
      <c r="AB1602">
        <f ca="1">(Table13345678[[#This Row],[Call Gex]]+Table13345678[[#This Row],[Put Gex]])</f>
        <v>0</v>
      </c>
      <c r="AC1602">
        <f ca="1">Table13345678[[#This Row],[put delta adj]]+Table13345678[[#This Row],[call delta adj]]</f>
        <v>0</v>
      </c>
      <c r="AD1602">
        <f ca="1">Table13345678[[#This Row],[Put Gex]]*Table13345678[[#This Row],[DeltaP]]*-1</f>
        <v>0</v>
      </c>
      <c r="AE1602">
        <f ca="1">Table13345678[[#This Row],[Call Gex]]*Table13345678[[#This Row],[DeltaC]]</f>
        <v>0</v>
      </c>
      <c r="AF1602">
        <f>IF(Table13345678[[#This Row],[DeltaC]]-ABS(Table13345678[[#This Row],[DeltaP]])="0","0.01",Table13345678[[#This Row],[DeltaC]]-ABS(Table13345678[[#This Row],[DeltaP]]))</f>
        <v>0</v>
      </c>
      <c r="AG160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2" t="e">
        <f ca="1">(EXP(-(AG1602^2)/2)/SQRT(2*PI())*EXP(0*SQRT(Table13345678[[#This Row],[T]]))/$A$4*18%*SQRT(SQRT(Table13345678[[#This Row],[T]])))</f>
        <v>#DIV/0!</v>
      </c>
      <c r="AJ1602" t="e">
        <f ca="1">(EXP(-(AH1602^2)/2)/SQRT(2*PI())*EXP(0*SQRT(Table13345678[[#This Row],[T]]))/$A$4*18%*SQRT(SQRT(Table13345678[[#This Row],[T]])))</f>
        <v>#DIV/0!</v>
      </c>
      <c r="AK1602" t="e">
        <f ca="1">Table13345678[[#This Row],[Call D1]]-Table13345678[[#This Row],[IV Calc C]]*SQRT(Table13345678[[#This Row],[T]])</f>
        <v>#DIV/0!</v>
      </c>
      <c r="AL1602" t="e">
        <f ca="1">Table13345678[[#This Row],[Put D1]]-Table13345678[[#This Row],[IV Calc P]]*SQRT(Table13345678[[#This Row],[T]])</f>
        <v>#DIV/0!</v>
      </c>
      <c r="AM1602" t="e">
        <f ca="1">EXP(-0.5*Table13345678[[#This Row],[Call D1]]^2)/SQRT(2*PI())</f>
        <v>#DIV/0!</v>
      </c>
      <c r="AN1602" t="e">
        <f ca="1">EXP(-0.5*Table13345678[[#This Row],[Put D1]]^2)/SQRT(2*PI())</f>
        <v>#DIV/0!</v>
      </c>
      <c r="AO160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2">
        <f ca="1">((Table13345678[[#This Row],[call vanna]]+Table13345678[[#This Row],[put vanna]])*$A$4)</f>
        <v>0</v>
      </c>
      <c r="AR160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2" s="9" t="str" cm="1">
        <f t="array" ref="AT1602">_xlfn.IFS(     $M$1="SPX","SPXW",     $M$1="RUT","RUTW",  $M$1="NDX","NDXP",   TRUE,$M$1 )</f>
        <v>SPXW</v>
      </c>
      <c r="AU1602" s="2">
        <f t="shared" si="157"/>
        <v>6915</v>
      </c>
      <c r="AV1602" t="str">
        <f t="shared" si="158"/>
        <v>000100</v>
      </c>
      <c r="AY160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2">
        <f>((Table13345678[[#This Row],[High C]]+Table13345678[[#This Row],[Low C]])/2)*Table13345678[[#This Row],[gammac]]*Table13345678[[#This Row],[Volume]]</f>
        <v>0</v>
      </c>
      <c r="BD1602">
        <f>((Table13345678[[#This Row],[High P]]+Table13345678[[#This Row],[Low P]])/2)*Table13345678[[#This Row],[gammap]]*Table13345678[[#This Row],[Volume9]]*-1</f>
        <v>0</v>
      </c>
      <c r="BE1602">
        <f>(Table13345678[[#This Row],[SgammaC]]+Table13345678[[#This Row],[SgammaP]])*$A$4*-100</f>
        <v>0</v>
      </c>
      <c r="BF1602">
        <f>Table13345678[[#This Row],[DEXc]]+Table13345678[[#This Row],[DEXp]]</f>
        <v>0</v>
      </c>
      <c r="BG1602" s="78">
        <f>IFERROR(Table13345678[[#This Row],[DeltaC]]*Table13345678[[#This Row],[Open.Int]]*$A$4,0)</f>
        <v>0</v>
      </c>
      <c r="BH1602">
        <f>IFERROR(Table13345678[[#This Row],[DeltaP]]*Table13345678[[#This Row],[Open.Int8]]*$A$4,0)</f>
        <v>0</v>
      </c>
      <c r="BI160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2">
        <f ca="1">Table13345678[[#This Row],[charmc]]+Table13345678[[#This Row],[charmp]]</f>
        <v>0</v>
      </c>
      <c r="BL160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2" s="78">
        <f ca="1">Table13345678[[#This Row],[call helper]]+Table13345678[[#This Row],[put helper]]</f>
        <v>0</v>
      </c>
      <c r="BP160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3" spans="1:68" x14ac:dyDescent="0.25">
      <c r="A1603" s="14">
        <f t="shared" ca="1" si="154"/>
        <v>-126.14810350076104</v>
      </c>
      <c r="C1603" s="17"/>
      <c r="D1603" t="str">
        <f>RTD("tos.rtd", , "OPEN_INT", "."&amp;Table13345678[[#This Row],[Ticker]]&amp;Table13345678[[#This Row],[Expiry]]&amp;""&amp;"C"&amp;Table13345678[[#This Row],[Spot]]+Table13345678[[#This Row],[step]])</f>
        <v>N/A</v>
      </c>
      <c r="E160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3" s="17" cm="1">
        <f t="array" aca="1" ref="H1603" ca="1">IndividualLegIVCore($A$4, Table13345678[[#This Row],[Strike]], 0.0411, Table13345678[[#This Row],[T]], ((Table13345678[[#This Row],[BIDC]]+Table13345678[[#This Row],[ASKC]])/2), TRUE)</f>
        <v>0.01</v>
      </c>
      <c r="I160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3" s="17"/>
      <c r="M1603" s="1">
        <f t="shared" si="155"/>
        <v>0</v>
      </c>
      <c r="N1603" t="b">
        <f t="shared" si="156"/>
        <v>0</v>
      </c>
      <c r="P1603" s="17" cm="1">
        <f t="array" aca="1" ref="P1603" ca="1">IndividualLegIVCore($A$4, Table13345678[[#This Row],[Strike]], 0.0411, Table13345678[[#This Row],[T]], ((Table13345678[[#This Row],[BIDP]]+Table13345678[[#This Row],[ASKP]])/2), FALSE)</f>
        <v>0.01</v>
      </c>
      <c r="Q160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3" s="17"/>
      <c r="T160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3" s="19">
        <f>36* IF($M$1="NDX", 10, IF(OR($M$1="SPX", $M$1="RUT"), 2, 1))</f>
        <v>72</v>
      </c>
      <c r="Z1603">
        <f ca="1">IFERROR(Table13345678[[#This Row],[call gamma]]*(Table13345678[[#This Row],[Open.Int]])*$A$4^2,0)</f>
        <v>0</v>
      </c>
      <c r="AA1603">
        <f ca="1">IFERROR(((Table13345678[[#This Row],[Open.Int8]])*Table13345678[[#This Row],[Put gamma]])*-1*$A$4^2,0)</f>
        <v>0</v>
      </c>
      <c r="AB1603">
        <f ca="1">(Table13345678[[#This Row],[Call Gex]]+Table13345678[[#This Row],[Put Gex]])</f>
        <v>0</v>
      </c>
      <c r="AC1603">
        <f ca="1">Table13345678[[#This Row],[put delta adj]]+Table13345678[[#This Row],[call delta adj]]</f>
        <v>0</v>
      </c>
      <c r="AD1603">
        <f ca="1">Table13345678[[#This Row],[Put Gex]]*Table13345678[[#This Row],[DeltaP]]*-1</f>
        <v>0</v>
      </c>
      <c r="AE1603">
        <f ca="1">Table13345678[[#This Row],[Call Gex]]*Table13345678[[#This Row],[DeltaC]]</f>
        <v>0</v>
      </c>
      <c r="AF1603">
        <f>IF(Table13345678[[#This Row],[DeltaC]]-ABS(Table13345678[[#This Row],[DeltaP]])="0","0.01",Table13345678[[#This Row],[DeltaC]]-ABS(Table13345678[[#This Row],[DeltaP]]))</f>
        <v>0</v>
      </c>
      <c r="AG160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3" t="e">
        <f ca="1">(EXP(-(AG1603^2)/2)/SQRT(2*PI())*EXP(0*SQRT(Table13345678[[#This Row],[T]]))/$A$4*18%*SQRT(SQRT(Table13345678[[#This Row],[T]])))</f>
        <v>#DIV/0!</v>
      </c>
      <c r="AJ1603" t="e">
        <f ca="1">(EXP(-(AH1603^2)/2)/SQRT(2*PI())*EXP(0*SQRT(Table13345678[[#This Row],[T]]))/$A$4*18%*SQRT(SQRT(Table13345678[[#This Row],[T]])))</f>
        <v>#DIV/0!</v>
      </c>
      <c r="AK1603" t="e">
        <f ca="1">Table13345678[[#This Row],[Call D1]]-Table13345678[[#This Row],[IV Calc C]]*SQRT(Table13345678[[#This Row],[T]])</f>
        <v>#DIV/0!</v>
      </c>
      <c r="AL1603" t="e">
        <f ca="1">Table13345678[[#This Row],[Put D1]]-Table13345678[[#This Row],[IV Calc P]]*SQRT(Table13345678[[#This Row],[T]])</f>
        <v>#DIV/0!</v>
      </c>
      <c r="AM1603" t="e">
        <f ca="1">EXP(-0.5*Table13345678[[#This Row],[Call D1]]^2)/SQRT(2*PI())</f>
        <v>#DIV/0!</v>
      </c>
      <c r="AN1603" t="e">
        <f ca="1">EXP(-0.5*Table13345678[[#This Row],[Put D1]]^2)/SQRT(2*PI())</f>
        <v>#DIV/0!</v>
      </c>
      <c r="AO160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3">
        <f ca="1">((Table13345678[[#This Row],[call vanna]]+Table13345678[[#This Row],[put vanna]])*$A$4)</f>
        <v>0</v>
      </c>
      <c r="AR160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3" s="9" t="str" cm="1">
        <f t="array" ref="AT1603">_xlfn.IFS(     $M$1="SPX","SPXW",     $M$1="RUT","RUTW",  $M$1="NDX","NDXP",   TRUE,$M$1 )</f>
        <v>SPXW</v>
      </c>
      <c r="AU1603" s="2">
        <f t="shared" si="157"/>
        <v>6915</v>
      </c>
      <c r="AV1603" t="str">
        <f t="shared" si="158"/>
        <v>000100</v>
      </c>
      <c r="AY160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3">
        <f>((Table13345678[[#This Row],[High C]]+Table13345678[[#This Row],[Low C]])/2)*Table13345678[[#This Row],[gammac]]*Table13345678[[#This Row],[Volume]]</f>
        <v>0</v>
      </c>
      <c r="BD1603">
        <f>((Table13345678[[#This Row],[High P]]+Table13345678[[#This Row],[Low P]])/2)*Table13345678[[#This Row],[gammap]]*Table13345678[[#This Row],[Volume9]]*-1</f>
        <v>0</v>
      </c>
      <c r="BE1603">
        <f>(Table13345678[[#This Row],[SgammaC]]+Table13345678[[#This Row],[SgammaP]])*$A$4*-100</f>
        <v>0</v>
      </c>
      <c r="BF1603">
        <f>Table13345678[[#This Row],[DEXc]]+Table13345678[[#This Row],[DEXp]]</f>
        <v>0</v>
      </c>
      <c r="BG1603" s="78">
        <f>IFERROR(Table13345678[[#This Row],[DeltaC]]*Table13345678[[#This Row],[Open.Int]]*$A$4,0)</f>
        <v>0</v>
      </c>
      <c r="BH1603">
        <f>IFERROR(Table13345678[[#This Row],[DeltaP]]*Table13345678[[#This Row],[Open.Int8]]*$A$4,0)</f>
        <v>0</v>
      </c>
      <c r="BI160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3">
        <f ca="1">Table13345678[[#This Row],[charmc]]+Table13345678[[#This Row],[charmp]]</f>
        <v>0</v>
      </c>
      <c r="BL160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3" s="78">
        <f ca="1">Table13345678[[#This Row],[call helper]]+Table13345678[[#This Row],[put helper]]</f>
        <v>0</v>
      </c>
      <c r="BP160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4" spans="1:68" x14ac:dyDescent="0.25">
      <c r="A1604" s="14">
        <f t="shared" ca="1" si="154"/>
        <v>-126.14810350076104</v>
      </c>
      <c r="C1604" s="17"/>
      <c r="D1604" t="str">
        <f>RTD("tos.rtd", , "OPEN_INT", "."&amp;Table13345678[[#This Row],[Ticker]]&amp;Table13345678[[#This Row],[Expiry]]&amp;""&amp;"C"&amp;Table13345678[[#This Row],[Spot]]+Table13345678[[#This Row],[step]])</f>
        <v>N/A</v>
      </c>
      <c r="E160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4" s="17" cm="1">
        <f t="array" aca="1" ref="H1604" ca="1">IndividualLegIVCore($A$4, Table13345678[[#This Row],[Strike]], 0.0411, Table13345678[[#This Row],[T]], ((Table13345678[[#This Row],[BIDC]]+Table13345678[[#This Row],[ASKC]])/2), TRUE)</f>
        <v>0.01</v>
      </c>
      <c r="I160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4" s="17"/>
      <c r="M1604" s="1">
        <f t="shared" si="155"/>
        <v>0</v>
      </c>
      <c r="N1604" t="b">
        <f t="shared" si="156"/>
        <v>0</v>
      </c>
      <c r="P1604" s="17" cm="1">
        <f t="array" aca="1" ref="P1604" ca="1">IndividualLegIVCore($A$4, Table13345678[[#This Row],[Strike]], 0.0411, Table13345678[[#This Row],[T]], ((Table13345678[[#This Row],[BIDP]]+Table13345678[[#This Row],[ASKP]])/2), FALSE)</f>
        <v>0.01</v>
      </c>
      <c r="Q160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4" s="17"/>
      <c r="T160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4" s="19">
        <f>36.5* IF($M$1="NDX", 10, IF(OR($M$1="SPX", $M$1="RUT"), 2, 1))</f>
        <v>73</v>
      </c>
      <c r="Z1604">
        <f ca="1">IFERROR(Table13345678[[#This Row],[call gamma]]*(Table13345678[[#This Row],[Open.Int]])*$A$4^2,0)</f>
        <v>0</v>
      </c>
      <c r="AA1604">
        <f ca="1">IFERROR(((Table13345678[[#This Row],[Open.Int8]])*Table13345678[[#This Row],[Put gamma]])*-1*$A$4^2,0)</f>
        <v>0</v>
      </c>
      <c r="AB1604">
        <f ca="1">(Table13345678[[#This Row],[Call Gex]]+Table13345678[[#This Row],[Put Gex]])</f>
        <v>0</v>
      </c>
      <c r="AC1604">
        <f ca="1">Table13345678[[#This Row],[put delta adj]]+Table13345678[[#This Row],[call delta adj]]</f>
        <v>0</v>
      </c>
      <c r="AD1604">
        <f ca="1">Table13345678[[#This Row],[Put Gex]]*Table13345678[[#This Row],[DeltaP]]*-1</f>
        <v>0</v>
      </c>
      <c r="AE1604">
        <f ca="1">Table13345678[[#This Row],[Call Gex]]*Table13345678[[#This Row],[DeltaC]]</f>
        <v>0</v>
      </c>
      <c r="AF1604">
        <f>IF(Table13345678[[#This Row],[DeltaC]]-ABS(Table13345678[[#This Row],[DeltaP]])="0","0.01",Table13345678[[#This Row],[DeltaC]]-ABS(Table13345678[[#This Row],[DeltaP]]))</f>
        <v>0</v>
      </c>
      <c r="AG160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4" t="e">
        <f ca="1">(EXP(-(AG1604^2)/2)/SQRT(2*PI())*EXP(0*SQRT(Table13345678[[#This Row],[T]]))/$A$4*18%*SQRT(SQRT(Table13345678[[#This Row],[T]])))</f>
        <v>#DIV/0!</v>
      </c>
      <c r="AJ1604" t="e">
        <f ca="1">(EXP(-(AH1604^2)/2)/SQRT(2*PI())*EXP(0*SQRT(Table13345678[[#This Row],[T]]))/$A$4*18%*SQRT(SQRT(Table13345678[[#This Row],[T]])))</f>
        <v>#DIV/0!</v>
      </c>
      <c r="AK1604" t="e">
        <f ca="1">Table13345678[[#This Row],[Call D1]]-Table13345678[[#This Row],[IV Calc C]]*SQRT(Table13345678[[#This Row],[T]])</f>
        <v>#DIV/0!</v>
      </c>
      <c r="AL1604" t="e">
        <f ca="1">Table13345678[[#This Row],[Put D1]]-Table13345678[[#This Row],[IV Calc P]]*SQRT(Table13345678[[#This Row],[T]])</f>
        <v>#DIV/0!</v>
      </c>
      <c r="AM1604" t="e">
        <f ca="1">EXP(-0.5*Table13345678[[#This Row],[Call D1]]^2)/SQRT(2*PI())</f>
        <v>#DIV/0!</v>
      </c>
      <c r="AN1604" t="e">
        <f ca="1">EXP(-0.5*Table13345678[[#This Row],[Put D1]]^2)/SQRT(2*PI())</f>
        <v>#DIV/0!</v>
      </c>
      <c r="AO160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4">
        <f ca="1">((Table13345678[[#This Row],[call vanna]]+Table13345678[[#This Row],[put vanna]])*$A$4)</f>
        <v>0</v>
      </c>
      <c r="AR160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4" s="9" t="str" cm="1">
        <f t="array" ref="AT1604">_xlfn.IFS(     $M$1="SPX","SPXW",     $M$1="RUT","RUTW",  $M$1="NDX","NDXP",   TRUE,$M$1 )</f>
        <v>SPXW</v>
      </c>
      <c r="AU1604" s="2">
        <f t="shared" si="157"/>
        <v>6915</v>
      </c>
      <c r="AV1604" t="str">
        <f t="shared" si="158"/>
        <v>000100</v>
      </c>
      <c r="AY160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4">
        <f>((Table13345678[[#This Row],[High C]]+Table13345678[[#This Row],[Low C]])/2)*Table13345678[[#This Row],[gammac]]*Table13345678[[#This Row],[Volume]]</f>
        <v>0</v>
      </c>
      <c r="BD1604">
        <f>((Table13345678[[#This Row],[High P]]+Table13345678[[#This Row],[Low P]])/2)*Table13345678[[#This Row],[gammap]]*Table13345678[[#This Row],[Volume9]]*-1</f>
        <v>0</v>
      </c>
      <c r="BE1604">
        <f>(Table13345678[[#This Row],[SgammaC]]+Table13345678[[#This Row],[SgammaP]])*$A$4*-100</f>
        <v>0</v>
      </c>
      <c r="BF1604">
        <f>Table13345678[[#This Row],[DEXc]]+Table13345678[[#This Row],[DEXp]]</f>
        <v>0</v>
      </c>
      <c r="BG1604" s="78">
        <f>IFERROR(Table13345678[[#This Row],[DeltaC]]*Table13345678[[#This Row],[Open.Int]]*$A$4,0)</f>
        <v>0</v>
      </c>
      <c r="BH1604">
        <f>IFERROR(Table13345678[[#This Row],[DeltaP]]*Table13345678[[#This Row],[Open.Int8]]*$A$4,0)</f>
        <v>0</v>
      </c>
      <c r="BI160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4">
        <f ca="1">Table13345678[[#This Row],[charmc]]+Table13345678[[#This Row],[charmp]]</f>
        <v>0</v>
      </c>
      <c r="BL160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4" s="78">
        <f ca="1">Table13345678[[#This Row],[call helper]]+Table13345678[[#This Row],[put helper]]</f>
        <v>0</v>
      </c>
      <c r="BP160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5" spans="1:68" x14ac:dyDescent="0.25">
      <c r="A1605" s="14">
        <f t="shared" ca="1" si="154"/>
        <v>-126.14810350076104</v>
      </c>
      <c r="C1605" s="17"/>
      <c r="D1605" t="str">
        <f>RTD("tos.rtd", , "OPEN_INT", "."&amp;Table13345678[[#This Row],[Ticker]]&amp;Table13345678[[#This Row],[Expiry]]&amp;""&amp;"C"&amp;Table13345678[[#This Row],[Spot]]+Table13345678[[#This Row],[step]])</f>
        <v>N/A</v>
      </c>
      <c r="E160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5" s="17" cm="1">
        <f t="array" aca="1" ref="H1605" ca="1">IndividualLegIVCore($A$4, Table13345678[[#This Row],[Strike]], 0.0411, Table13345678[[#This Row],[T]], ((Table13345678[[#This Row],[BIDC]]+Table13345678[[#This Row],[ASKC]])/2), TRUE)</f>
        <v>0.01</v>
      </c>
      <c r="I160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5" s="17"/>
      <c r="M1605" s="1">
        <f t="shared" si="155"/>
        <v>0</v>
      </c>
      <c r="N1605" t="b">
        <f t="shared" si="156"/>
        <v>0</v>
      </c>
      <c r="P1605" s="17" cm="1">
        <f t="array" aca="1" ref="P1605" ca="1">IndividualLegIVCore($A$4, Table13345678[[#This Row],[Strike]], 0.0411, Table13345678[[#This Row],[T]], ((Table13345678[[#This Row],[BIDP]]+Table13345678[[#This Row],[ASKP]])/2), FALSE)</f>
        <v>0.01</v>
      </c>
      <c r="Q160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5" s="17"/>
      <c r="T160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5" s="19">
        <f>37* IF($M$1="NDX", 10, IF(OR($M$1="SPX", $M$1="RUT"), 2, 1))</f>
        <v>74</v>
      </c>
      <c r="Z1605">
        <f ca="1">IFERROR(Table13345678[[#This Row],[call gamma]]*(Table13345678[[#This Row],[Open.Int]])*$A$4^2,0)</f>
        <v>0</v>
      </c>
      <c r="AA1605">
        <f ca="1">IFERROR(((Table13345678[[#This Row],[Open.Int8]])*Table13345678[[#This Row],[Put gamma]])*-1*$A$4^2,0)</f>
        <v>0</v>
      </c>
      <c r="AB1605">
        <f ca="1">(Table13345678[[#This Row],[Call Gex]]+Table13345678[[#This Row],[Put Gex]])</f>
        <v>0</v>
      </c>
      <c r="AC1605">
        <f ca="1">Table13345678[[#This Row],[put delta adj]]+Table13345678[[#This Row],[call delta adj]]</f>
        <v>0</v>
      </c>
      <c r="AD1605">
        <f ca="1">Table13345678[[#This Row],[Put Gex]]*Table13345678[[#This Row],[DeltaP]]*-1</f>
        <v>0</v>
      </c>
      <c r="AE1605">
        <f ca="1">Table13345678[[#This Row],[Call Gex]]*Table13345678[[#This Row],[DeltaC]]</f>
        <v>0</v>
      </c>
      <c r="AF1605">
        <f>IF(Table13345678[[#This Row],[DeltaC]]-ABS(Table13345678[[#This Row],[DeltaP]])="0","0.01",Table13345678[[#This Row],[DeltaC]]-ABS(Table13345678[[#This Row],[DeltaP]]))</f>
        <v>0</v>
      </c>
      <c r="AG160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5" t="e">
        <f ca="1">(EXP(-(AG1605^2)/2)/SQRT(2*PI())*EXP(0*SQRT(Table13345678[[#This Row],[T]]))/$A$4*18%*SQRT(SQRT(Table13345678[[#This Row],[T]])))</f>
        <v>#DIV/0!</v>
      </c>
      <c r="AJ1605" t="e">
        <f ca="1">(EXP(-(AH1605^2)/2)/SQRT(2*PI())*EXP(0*SQRT(Table13345678[[#This Row],[T]]))/$A$4*18%*SQRT(SQRT(Table13345678[[#This Row],[T]])))</f>
        <v>#DIV/0!</v>
      </c>
      <c r="AK1605" t="e">
        <f ca="1">Table13345678[[#This Row],[Call D1]]-Table13345678[[#This Row],[IV Calc C]]*SQRT(Table13345678[[#This Row],[T]])</f>
        <v>#DIV/0!</v>
      </c>
      <c r="AL1605" t="e">
        <f ca="1">Table13345678[[#This Row],[Put D1]]-Table13345678[[#This Row],[IV Calc P]]*SQRT(Table13345678[[#This Row],[T]])</f>
        <v>#DIV/0!</v>
      </c>
      <c r="AM1605" t="e">
        <f ca="1">EXP(-0.5*Table13345678[[#This Row],[Call D1]]^2)/SQRT(2*PI())</f>
        <v>#DIV/0!</v>
      </c>
      <c r="AN1605" t="e">
        <f ca="1">EXP(-0.5*Table13345678[[#This Row],[Put D1]]^2)/SQRT(2*PI())</f>
        <v>#DIV/0!</v>
      </c>
      <c r="AO160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5">
        <f ca="1">((Table13345678[[#This Row],[call vanna]]+Table13345678[[#This Row],[put vanna]])*$A$4)</f>
        <v>0</v>
      </c>
      <c r="AR160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5" s="9" t="str" cm="1">
        <f t="array" ref="AT1605">_xlfn.IFS(     $M$1="SPX","SPXW",     $M$1="RUT","RUTW",  $M$1="NDX","NDXP",   TRUE,$M$1 )</f>
        <v>SPXW</v>
      </c>
      <c r="AU1605" s="2">
        <f t="shared" si="157"/>
        <v>6915</v>
      </c>
      <c r="AV1605" t="str">
        <f t="shared" si="158"/>
        <v>000100</v>
      </c>
      <c r="AY160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5">
        <f>((Table13345678[[#This Row],[High C]]+Table13345678[[#This Row],[Low C]])/2)*Table13345678[[#This Row],[gammac]]*Table13345678[[#This Row],[Volume]]</f>
        <v>0</v>
      </c>
      <c r="BD1605">
        <f>((Table13345678[[#This Row],[High P]]+Table13345678[[#This Row],[Low P]])/2)*Table13345678[[#This Row],[gammap]]*Table13345678[[#This Row],[Volume9]]*-1</f>
        <v>0</v>
      </c>
      <c r="BE1605">
        <f>(Table13345678[[#This Row],[SgammaC]]+Table13345678[[#This Row],[SgammaP]])*$A$4*-100</f>
        <v>0</v>
      </c>
      <c r="BF1605">
        <f>Table13345678[[#This Row],[DEXc]]+Table13345678[[#This Row],[DEXp]]</f>
        <v>0</v>
      </c>
      <c r="BG1605" s="78">
        <f>IFERROR(Table13345678[[#This Row],[DeltaC]]*Table13345678[[#This Row],[Open.Int]]*$A$4,0)</f>
        <v>0</v>
      </c>
      <c r="BH1605">
        <f>IFERROR(Table13345678[[#This Row],[DeltaP]]*Table13345678[[#This Row],[Open.Int8]]*$A$4,0)</f>
        <v>0</v>
      </c>
      <c r="BI160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5">
        <f ca="1">Table13345678[[#This Row],[charmc]]+Table13345678[[#This Row],[charmp]]</f>
        <v>0</v>
      </c>
      <c r="BL160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5" s="78">
        <f ca="1">Table13345678[[#This Row],[call helper]]+Table13345678[[#This Row],[put helper]]</f>
        <v>0</v>
      </c>
      <c r="BP160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6" spans="1:68" x14ac:dyDescent="0.25">
      <c r="A1606" s="14">
        <f t="shared" ca="1" si="154"/>
        <v>-126.14810350076104</v>
      </c>
      <c r="C1606" s="17"/>
      <c r="D1606" t="str">
        <f>RTD("tos.rtd", , "OPEN_INT", "."&amp;Table13345678[[#This Row],[Ticker]]&amp;Table13345678[[#This Row],[Expiry]]&amp;""&amp;"C"&amp;Table13345678[[#This Row],[Spot]]+Table13345678[[#This Row],[step]])</f>
        <v>N/A</v>
      </c>
      <c r="E160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6" s="17" cm="1">
        <f t="array" aca="1" ref="H1606" ca="1">IndividualLegIVCore($A$4, Table13345678[[#This Row],[Strike]], 0.0411, Table13345678[[#This Row],[T]], ((Table13345678[[#This Row],[BIDC]]+Table13345678[[#This Row],[ASKC]])/2), TRUE)</f>
        <v>0.01</v>
      </c>
      <c r="I160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6" s="17"/>
      <c r="M1606" s="1">
        <f t="shared" si="155"/>
        <v>0</v>
      </c>
      <c r="N1606" t="b">
        <f t="shared" si="156"/>
        <v>0</v>
      </c>
      <c r="P1606" s="17" cm="1">
        <f t="array" aca="1" ref="P1606" ca="1">IndividualLegIVCore($A$4, Table13345678[[#This Row],[Strike]], 0.0411, Table13345678[[#This Row],[T]], ((Table13345678[[#This Row],[BIDP]]+Table13345678[[#This Row],[ASKP]])/2), FALSE)</f>
        <v>0.01</v>
      </c>
      <c r="Q160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6" s="17"/>
      <c r="T160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6" s="19">
        <f>37.5* IF($M$1="NDX", 10, IF(OR($M$1="SPX", $M$1="RUT"), 2, 1))</f>
        <v>75</v>
      </c>
      <c r="Z1606">
        <f ca="1">IFERROR(Table13345678[[#This Row],[call gamma]]*(Table13345678[[#This Row],[Open.Int]])*$A$4^2,0)</f>
        <v>0</v>
      </c>
      <c r="AA1606">
        <f ca="1">IFERROR(((Table13345678[[#This Row],[Open.Int8]])*Table13345678[[#This Row],[Put gamma]])*-1*$A$4^2,0)</f>
        <v>0</v>
      </c>
      <c r="AB1606">
        <f ca="1">(Table13345678[[#This Row],[Call Gex]]+Table13345678[[#This Row],[Put Gex]])</f>
        <v>0</v>
      </c>
      <c r="AC1606">
        <f ca="1">Table13345678[[#This Row],[put delta adj]]+Table13345678[[#This Row],[call delta adj]]</f>
        <v>0</v>
      </c>
      <c r="AD1606">
        <f ca="1">Table13345678[[#This Row],[Put Gex]]*Table13345678[[#This Row],[DeltaP]]*-1</f>
        <v>0</v>
      </c>
      <c r="AE1606">
        <f ca="1">Table13345678[[#This Row],[Call Gex]]*Table13345678[[#This Row],[DeltaC]]</f>
        <v>0</v>
      </c>
      <c r="AF1606">
        <f>IF(Table13345678[[#This Row],[DeltaC]]-ABS(Table13345678[[#This Row],[DeltaP]])="0","0.01",Table13345678[[#This Row],[DeltaC]]-ABS(Table13345678[[#This Row],[DeltaP]]))</f>
        <v>0</v>
      </c>
      <c r="AG160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6" t="e">
        <f ca="1">(EXP(-(AG1606^2)/2)/SQRT(2*PI())*EXP(0*SQRT(Table13345678[[#This Row],[T]]))/$A$4*18%*SQRT(SQRT(Table13345678[[#This Row],[T]])))</f>
        <v>#DIV/0!</v>
      </c>
      <c r="AJ1606" t="e">
        <f ca="1">(EXP(-(AH1606^2)/2)/SQRT(2*PI())*EXP(0*SQRT(Table13345678[[#This Row],[T]]))/$A$4*18%*SQRT(SQRT(Table13345678[[#This Row],[T]])))</f>
        <v>#DIV/0!</v>
      </c>
      <c r="AK1606" t="e">
        <f ca="1">Table13345678[[#This Row],[Call D1]]-Table13345678[[#This Row],[IV Calc C]]*SQRT(Table13345678[[#This Row],[T]])</f>
        <v>#DIV/0!</v>
      </c>
      <c r="AL1606" t="e">
        <f ca="1">Table13345678[[#This Row],[Put D1]]-Table13345678[[#This Row],[IV Calc P]]*SQRT(Table13345678[[#This Row],[T]])</f>
        <v>#DIV/0!</v>
      </c>
      <c r="AM1606" t="e">
        <f ca="1">EXP(-0.5*Table13345678[[#This Row],[Call D1]]^2)/SQRT(2*PI())</f>
        <v>#DIV/0!</v>
      </c>
      <c r="AN1606" t="e">
        <f ca="1">EXP(-0.5*Table13345678[[#This Row],[Put D1]]^2)/SQRT(2*PI())</f>
        <v>#DIV/0!</v>
      </c>
      <c r="AO160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6">
        <f ca="1">((Table13345678[[#This Row],[call vanna]]+Table13345678[[#This Row],[put vanna]])*$A$4)</f>
        <v>0</v>
      </c>
      <c r="AR160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6" s="9" t="str" cm="1">
        <f t="array" ref="AT1606">_xlfn.IFS(     $M$1="SPX","SPXW",     $M$1="RUT","RUTW",  $M$1="NDX","NDXP",   TRUE,$M$1 )</f>
        <v>SPXW</v>
      </c>
      <c r="AU1606" s="2">
        <f t="shared" si="157"/>
        <v>6915</v>
      </c>
      <c r="AV1606" t="str">
        <f t="shared" si="158"/>
        <v>000100</v>
      </c>
      <c r="AY160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6">
        <f>((Table13345678[[#This Row],[High C]]+Table13345678[[#This Row],[Low C]])/2)*Table13345678[[#This Row],[gammac]]*Table13345678[[#This Row],[Volume]]</f>
        <v>0</v>
      </c>
      <c r="BD1606">
        <f>((Table13345678[[#This Row],[High P]]+Table13345678[[#This Row],[Low P]])/2)*Table13345678[[#This Row],[gammap]]*Table13345678[[#This Row],[Volume9]]*-1</f>
        <v>0</v>
      </c>
      <c r="BE1606">
        <f>(Table13345678[[#This Row],[SgammaC]]+Table13345678[[#This Row],[SgammaP]])*$A$4*-100</f>
        <v>0</v>
      </c>
      <c r="BF1606">
        <f>Table13345678[[#This Row],[DEXc]]+Table13345678[[#This Row],[DEXp]]</f>
        <v>0</v>
      </c>
      <c r="BG1606" s="78">
        <f>IFERROR(Table13345678[[#This Row],[DeltaC]]*Table13345678[[#This Row],[Open.Int]]*$A$4,0)</f>
        <v>0</v>
      </c>
      <c r="BH1606">
        <f>IFERROR(Table13345678[[#This Row],[DeltaP]]*Table13345678[[#This Row],[Open.Int8]]*$A$4,0)</f>
        <v>0</v>
      </c>
      <c r="BI160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6">
        <f ca="1">Table13345678[[#This Row],[charmc]]+Table13345678[[#This Row],[charmp]]</f>
        <v>0</v>
      </c>
      <c r="BL160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6" s="78">
        <f ca="1">Table13345678[[#This Row],[call helper]]+Table13345678[[#This Row],[put helper]]</f>
        <v>0</v>
      </c>
      <c r="BP160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7" spans="1:68" x14ac:dyDescent="0.25">
      <c r="A1607" s="14">
        <f t="shared" ca="1" si="154"/>
        <v>-126.14810350076104</v>
      </c>
      <c r="C1607" s="17"/>
      <c r="D1607" t="str">
        <f>RTD("tos.rtd", , "OPEN_INT", "."&amp;Table13345678[[#This Row],[Ticker]]&amp;Table13345678[[#This Row],[Expiry]]&amp;""&amp;"C"&amp;Table13345678[[#This Row],[Spot]]+Table13345678[[#This Row],[step]])</f>
        <v>N/A</v>
      </c>
      <c r="E160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7" s="17" cm="1">
        <f t="array" aca="1" ref="H1607" ca="1">IndividualLegIVCore($A$4, Table13345678[[#This Row],[Strike]], 0.0411, Table13345678[[#This Row],[T]], ((Table13345678[[#This Row],[BIDC]]+Table13345678[[#This Row],[ASKC]])/2), TRUE)</f>
        <v>0.01</v>
      </c>
      <c r="I160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7" s="17"/>
      <c r="M1607" s="1">
        <f t="shared" si="155"/>
        <v>0</v>
      </c>
      <c r="N1607" t="b">
        <f t="shared" si="156"/>
        <v>0</v>
      </c>
      <c r="P1607" s="17" cm="1">
        <f t="array" aca="1" ref="P1607" ca="1">IndividualLegIVCore($A$4, Table13345678[[#This Row],[Strike]], 0.0411, Table13345678[[#This Row],[T]], ((Table13345678[[#This Row],[BIDP]]+Table13345678[[#This Row],[ASKP]])/2), FALSE)</f>
        <v>0.01</v>
      </c>
      <c r="Q160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7" s="17"/>
      <c r="T160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7" s="19">
        <f>38* IF($M$1="NDX", 10, IF(OR($M$1="SPX", $M$1="RUT"), 2, 1))</f>
        <v>76</v>
      </c>
      <c r="Z1607">
        <f ca="1">IFERROR(Table13345678[[#This Row],[call gamma]]*(Table13345678[[#This Row],[Open.Int]])*$A$4^2,0)</f>
        <v>0</v>
      </c>
      <c r="AA1607">
        <f ca="1">IFERROR(((Table13345678[[#This Row],[Open.Int8]])*Table13345678[[#This Row],[Put gamma]])*-1*$A$4^2,0)</f>
        <v>0</v>
      </c>
      <c r="AB1607">
        <f ca="1">(Table13345678[[#This Row],[Call Gex]]+Table13345678[[#This Row],[Put Gex]])</f>
        <v>0</v>
      </c>
      <c r="AC1607">
        <f ca="1">Table13345678[[#This Row],[put delta adj]]+Table13345678[[#This Row],[call delta adj]]</f>
        <v>0</v>
      </c>
      <c r="AD1607">
        <f ca="1">Table13345678[[#This Row],[Put Gex]]*Table13345678[[#This Row],[DeltaP]]*-1</f>
        <v>0</v>
      </c>
      <c r="AE1607">
        <f ca="1">Table13345678[[#This Row],[Call Gex]]*Table13345678[[#This Row],[DeltaC]]</f>
        <v>0</v>
      </c>
      <c r="AF1607">
        <f>IF(Table13345678[[#This Row],[DeltaC]]-ABS(Table13345678[[#This Row],[DeltaP]])="0","0.01",Table13345678[[#This Row],[DeltaC]]-ABS(Table13345678[[#This Row],[DeltaP]]))</f>
        <v>0</v>
      </c>
      <c r="AG160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7" t="e">
        <f ca="1">(EXP(-(AG1607^2)/2)/SQRT(2*PI())*EXP(0*SQRT(Table13345678[[#This Row],[T]]))/$A$4*18%*SQRT(SQRT(Table13345678[[#This Row],[T]])))</f>
        <v>#DIV/0!</v>
      </c>
      <c r="AJ1607" t="e">
        <f ca="1">(EXP(-(AH1607^2)/2)/SQRT(2*PI())*EXP(0*SQRT(Table13345678[[#This Row],[T]]))/$A$4*18%*SQRT(SQRT(Table13345678[[#This Row],[T]])))</f>
        <v>#DIV/0!</v>
      </c>
      <c r="AK1607" t="e">
        <f ca="1">Table13345678[[#This Row],[Call D1]]-Table13345678[[#This Row],[IV Calc C]]*SQRT(Table13345678[[#This Row],[T]])</f>
        <v>#DIV/0!</v>
      </c>
      <c r="AL1607" t="e">
        <f ca="1">Table13345678[[#This Row],[Put D1]]-Table13345678[[#This Row],[IV Calc P]]*SQRT(Table13345678[[#This Row],[T]])</f>
        <v>#DIV/0!</v>
      </c>
      <c r="AM1607" t="e">
        <f ca="1">EXP(-0.5*Table13345678[[#This Row],[Call D1]]^2)/SQRT(2*PI())</f>
        <v>#DIV/0!</v>
      </c>
      <c r="AN1607" t="e">
        <f ca="1">EXP(-0.5*Table13345678[[#This Row],[Put D1]]^2)/SQRT(2*PI())</f>
        <v>#DIV/0!</v>
      </c>
      <c r="AO160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7">
        <f ca="1">((Table13345678[[#This Row],[call vanna]]+Table13345678[[#This Row],[put vanna]])*$A$4)</f>
        <v>0</v>
      </c>
      <c r="AR160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7" s="9" t="str" cm="1">
        <f t="array" ref="AT1607">_xlfn.IFS(     $M$1="SPX","SPXW",     $M$1="RUT","RUTW",  $M$1="NDX","NDXP",   TRUE,$M$1 )</f>
        <v>SPXW</v>
      </c>
      <c r="AU1607" s="2">
        <f t="shared" si="157"/>
        <v>6915</v>
      </c>
      <c r="AV1607" t="str">
        <f t="shared" si="158"/>
        <v>000100</v>
      </c>
      <c r="AY160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7">
        <f>((Table13345678[[#This Row],[High C]]+Table13345678[[#This Row],[Low C]])/2)*Table13345678[[#This Row],[gammac]]*Table13345678[[#This Row],[Volume]]</f>
        <v>0</v>
      </c>
      <c r="BD1607">
        <f>((Table13345678[[#This Row],[High P]]+Table13345678[[#This Row],[Low P]])/2)*Table13345678[[#This Row],[gammap]]*Table13345678[[#This Row],[Volume9]]*-1</f>
        <v>0</v>
      </c>
      <c r="BE1607">
        <f>(Table13345678[[#This Row],[SgammaC]]+Table13345678[[#This Row],[SgammaP]])*$A$4*-100</f>
        <v>0</v>
      </c>
      <c r="BF1607">
        <f>Table13345678[[#This Row],[DEXc]]+Table13345678[[#This Row],[DEXp]]</f>
        <v>0</v>
      </c>
      <c r="BG1607" s="78">
        <f>IFERROR(Table13345678[[#This Row],[DeltaC]]*Table13345678[[#This Row],[Open.Int]]*$A$4,0)</f>
        <v>0</v>
      </c>
      <c r="BH1607">
        <f>IFERROR(Table13345678[[#This Row],[DeltaP]]*Table13345678[[#This Row],[Open.Int8]]*$A$4,0)</f>
        <v>0</v>
      </c>
      <c r="BI160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7">
        <f ca="1">Table13345678[[#This Row],[charmc]]+Table13345678[[#This Row],[charmp]]</f>
        <v>0</v>
      </c>
      <c r="BL160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7" s="78">
        <f ca="1">Table13345678[[#This Row],[call helper]]+Table13345678[[#This Row],[put helper]]</f>
        <v>0</v>
      </c>
      <c r="BP160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8" spans="1:68" x14ac:dyDescent="0.25">
      <c r="A1608" s="14">
        <f t="shared" ca="1" si="154"/>
        <v>-126.14810350076104</v>
      </c>
      <c r="C1608" s="17"/>
      <c r="D1608" t="str">
        <f>RTD("tos.rtd", , "OPEN_INT", "."&amp;Table13345678[[#This Row],[Ticker]]&amp;Table13345678[[#This Row],[Expiry]]&amp;""&amp;"C"&amp;Table13345678[[#This Row],[Spot]]+Table13345678[[#This Row],[step]])</f>
        <v>N/A</v>
      </c>
      <c r="E160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8" s="17" cm="1">
        <f t="array" aca="1" ref="H1608" ca="1">IndividualLegIVCore($A$4, Table13345678[[#This Row],[Strike]], 0.0411, Table13345678[[#This Row],[T]], ((Table13345678[[#This Row],[BIDC]]+Table13345678[[#This Row],[ASKC]])/2), TRUE)</f>
        <v>0.01</v>
      </c>
      <c r="I160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8" s="17"/>
      <c r="M1608" s="1">
        <f t="shared" si="155"/>
        <v>0</v>
      </c>
      <c r="N1608" t="b">
        <f t="shared" si="156"/>
        <v>0</v>
      </c>
      <c r="P1608" s="17" cm="1">
        <f t="array" aca="1" ref="P1608" ca="1">IndividualLegIVCore($A$4, Table13345678[[#This Row],[Strike]], 0.0411, Table13345678[[#This Row],[T]], ((Table13345678[[#This Row],[BIDP]]+Table13345678[[#This Row],[ASKP]])/2), FALSE)</f>
        <v>0.01</v>
      </c>
      <c r="Q160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8" s="17"/>
      <c r="T160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8" s="19">
        <f>38.5* IF($M$1="NDX", 10, IF(OR($M$1="SPX", $M$1="RUT"), 2, 1))</f>
        <v>77</v>
      </c>
      <c r="Z1608">
        <f ca="1">IFERROR(Table13345678[[#This Row],[call gamma]]*(Table13345678[[#This Row],[Open.Int]])*$A$4^2,0)</f>
        <v>0</v>
      </c>
      <c r="AA1608">
        <f ca="1">IFERROR(((Table13345678[[#This Row],[Open.Int8]])*Table13345678[[#This Row],[Put gamma]])*-1*$A$4^2,0)</f>
        <v>0</v>
      </c>
      <c r="AB1608">
        <f ca="1">(Table13345678[[#This Row],[Call Gex]]+Table13345678[[#This Row],[Put Gex]])</f>
        <v>0</v>
      </c>
      <c r="AC1608">
        <f ca="1">Table13345678[[#This Row],[put delta adj]]+Table13345678[[#This Row],[call delta adj]]</f>
        <v>0</v>
      </c>
      <c r="AD1608">
        <f ca="1">Table13345678[[#This Row],[Put Gex]]*Table13345678[[#This Row],[DeltaP]]*-1</f>
        <v>0</v>
      </c>
      <c r="AE1608">
        <f ca="1">Table13345678[[#This Row],[Call Gex]]*Table13345678[[#This Row],[DeltaC]]</f>
        <v>0</v>
      </c>
      <c r="AF1608">
        <f>IF(Table13345678[[#This Row],[DeltaC]]-ABS(Table13345678[[#This Row],[DeltaP]])="0","0.01",Table13345678[[#This Row],[DeltaC]]-ABS(Table13345678[[#This Row],[DeltaP]]))</f>
        <v>0</v>
      </c>
      <c r="AG160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8" t="e">
        <f ca="1">(EXP(-(AG1608^2)/2)/SQRT(2*PI())*EXP(0*SQRT(Table13345678[[#This Row],[T]]))/$A$4*18%*SQRT(SQRT(Table13345678[[#This Row],[T]])))</f>
        <v>#DIV/0!</v>
      </c>
      <c r="AJ1608" t="e">
        <f ca="1">(EXP(-(AH1608^2)/2)/SQRT(2*PI())*EXP(0*SQRT(Table13345678[[#This Row],[T]]))/$A$4*18%*SQRT(SQRT(Table13345678[[#This Row],[T]])))</f>
        <v>#DIV/0!</v>
      </c>
      <c r="AK1608" t="e">
        <f ca="1">Table13345678[[#This Row],[Call D1]]-Table13345678[[#This Row],[IV Calc C]]*SQRT(Table13345678[[#This Row],[T]])</f>
        <v>#DIV/0!</v>
      </c>
      <c r="AL1608" t="e">
        <f ca="1">Table13345678[[#This Row],[Put D1]]-Table13345678[[#This Row],[IV Calc P]]*SQRT(Table13345678[[#This Row],[T]])</f>
        <v>#DIV/0!</v>
      </c>
      <c r="AM1608" t="e">
        <f ca="1">EXP(-0.5*Table13345678[[#This Row],[Call D1]]^2)/SQRT(2*PI())</f>
        <v>#DIV/0!</v>
      </c>
      <c r="AN1608" t="e">
        <f ca="1">EXP(-0.5*Table13345678[[#This Row],[Put D1]]^2)/SQRT(2*PI())</f>
        <v>#DIV/0!</v>
      </c>
      <c r="AO160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8">
        <f ca="1">((Table13345678[[#This Row],[call vanna]]+Table13345678[[#This Row],[put vanna]])*$A$4)</f>
        <v>0</v>
      </c>
      <c r="AR160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8" s="9" t="str" cm="1">
        <f t="array" ref="AT1608">_xlfn.IFS(     $M$1="SPX","SPXW",     $M$1="RUT","RUTW",  $M$1="NDX","NDXP",   TRUE,$M$1 )</f>
        <v>SPXW</v>
      </c>
      <c r="AU1608" s="2">
        <f t="shared" si="157"/>
        <v>6915</v>
      </c>
      <c r="AV1608" t="str">
        <f t="shared" si="158"/>
        <v>000100</v>
      </c>
      <c r="AY160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8">
        <f>((Table13345678[[#This Row],[High C]]+Table13345678[[#This Row],[Low C]])/2)*Table13345678[[#This Row],[gammac]]*Table13345678[[#This Row],[Volume]]</f>
        <v>0</v>
      </c>
      <c r="BD1608">
        <f>((Table13345678[[#This Row],[High P]]+Table13345678[[#This Row],[Low P]])/2)*Table13345678[[#This Row],[gammap]]*Table13345678[[#This Row],[Volume9]]*-1</f>
        <v>0</v>
      </c>
      <c r="BE1608">
        <f>(Table13345678[[#This Row],[SgammaC]]+Table13345678[[#This Row],[SgammaP]])*$A$4*-100</f>
        <v>0</v>
      </c>
      <c r="BF1608">
        <f>Table13345678[[#This Row],[DEXc]]+Table13345678[[#This Row],[DEXp]]</f>
        <v>0</v>
      </c>
      <c r="BG1608" s="78">
        <f>IFERROR(Table13345678[[#This Row],[DeltaC]]*Table13345678[[#This Row],[Open.Int]]*$A$4,0)</f>
        <v>0</v>
      </c>
      <c r="BH1608">
        <f>IFERROR(Table13345678[[#This Row],[DeltaP]]*Table13345678[[#This Row],[Open.Int8]]*$A$4,0)</f>
        <v>0</v>
      </c>
      <c r="BI160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8">
        <f ca="1">Table13345678[[#This Row],[charmc]]+Table13345678[[#This Row],[charmp]]</f>
        <v>0</v>
      </c>
      <c r="BL160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8" s="78">
        <f ca="1">Table13345678[[#This Row],[call helper]]+Table13345678[[#This Row],[put helper]]</f>
        <v>0</v>
      </c>
      <c r="BP160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9" spans="1:68" x14ac:dyDescent="0.25">
      <c r="A1609" s="14">
        <f t="shared" ca="1" si="154"/>
        <v>-126.14810350076104</v>
      </c>
      <c r="C1609" s="17"/>
      <c r="D1609" t="str">
        <f>RTD("tos.rtd", , "OPEN_INT", "."&amp;Table13345678[[#This Row],[Ticker]]&amp;Table13345678[[#This Row],[Expiry]]&amp;""&amp;"C"&amp;Table13345678[[#This Row],[Spot]]+Table13345678[[#This Row],[step]])</f>
        <v>N/A</v>
      </c>
      <c r="E160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9" s="17" cm="1">
        <f t="array" aca="1" ref="H1609" ca="1">IndividualLegIVCore($A$4, Table13345678[[#This Row],[Strike]], 0.0411, Table13345678[[#This Row],[T]], ((Table13345678[[#This Row],[BIDC]]+Table13345678[[#This Row],[ASKC]])/2), TRUE)</f>
        <v>0.01</v>
      </c>
      <c r="I160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9" s="17"/>
      <c r="M1609" s="1">
        <f t="shared" si="155"/>
        <v>0</v>
      </c>
      <c r="N1609" t="b">
        <f t="shared" si="156"/>
        <v>0</v>
      </c>
      <c r="P1609" s="17" cm="1">
        <f t="array" aca="1" ref="P1609" ca="1">IndividualLegIVCore($A$4, Table13345678[[#This Row],[Strike]], 0.0411, Table13345678[[#This Row],[T]], ((Table13345678[[#This Row],[BIDP]]+Table13345678[[#This Row],[ASKP]])/2), FALSE)</f>
        <v>0.01</v>
      </c>
      <c r="Q160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9" s="17"/>
      <c r="T160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9" s="19">
        <f>39* IF($M$1="NDX", 10, IF(OR($M$1="SPX", $M$1="RUT"), 2, 1))</f>
        <v>78</v>
      </c>
      <c r="Z1609">
        <f ca="1">IFERROR(Table13345678[[#This Row],[call gamma]]*(Table13345678[[#This Row],[Open.Int]])*$A$4^2,0)</f>
        <v>0</v>
      </c>
      <c r="AA1609">
        <f ca="1">IFERROR(((Table13345678[[#This Row],[Open.Int8]])*Table13345678[[#This Row],[Put gamma]])*-1*$A$4^2,0)</f>
        <v>0</v>
      </c>
      <c r="AB1609">
        <f ca="1">(Table13345678[[#This Row],[Call Gex]]+Table13345678[[#This Row],[Put Gex]])</f>
        <v>0</v>
      </c>
      <c r="AC1609">
        <f ca="1">Table13345678[[#This Row],[put delta adj]]+Table13345678[[#This Row],[call delta adj]]</f>
        <v>0</v>
      </c>
      <c r="AD1609">
        <f ca="1">Table13345678[[#This Row],[Put Gex]]*Table13345678[[#This Row],[DeltaP]]*-1</f>
        <v>0</v>
      </c>
      <c r="AE1609">
        <f ca="1">Table13345678[[#This Row],[Call Gex]]*Table13345678[[#This Row],[DeltaC]]</f>
        <v>0</v>
      </c>
      <c r="AF1609">
        <f>IF(Table13345678[[#This Row],[DeltaC]]-ABS(Table13345678[[#This Row],[DeltaP]])="0","0.01",Table13345678[[#This Row],[DeltaC]]-ABS(Table13345678[[#This Row],[DeltaP]]))</f>
        <v>0</v>
      </c>
      <c r="AG160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9" t="e">
        <f ca="1">(EXP(-(AG1609^2)/2)/SQRT(2*PI())*EXP(0*SQRT(Table13345678[[#This Row],[T]]))/$A$4*18%*SQRT(SQRT(Table13345678[[#This Row],[T]])))</f>
        <v>#DIV/0!</v>
      </c>
      <c r="AJ1609" t="e">
        <f ca="1">(EXP(-(AH1609^2)/2)/SQRT(2*PI())*EXP(0*SQRT(Table13345678[[#This Row],[T]]))/$A$4*18%*SQRT(SQRT(Table13345678[[#This Row],[T]])))</f>
        <v>#DIV/0!</v>
      </c>
      <c r="AK1609" t="e">
        <f ca="1">Table13345678[[#This Row],[Call D1]]-Table13345678[[#This Row],[IV Calc C]]*SQRT(Table13345678[[#This Row],[T]])</f>
        <v>#DIV/0!</v>
      </c>
      <c r="AL1609" t="e">
        <f ca="1">Table13345678[[#This Row],[Put D1]]-Table13345678[[#This Row],[IV Calc P]]*SQRT(Table13345678[[#This Row],[T]])</f>
        <v>#DIV/0!</v>
      </c>
      <c r="AM1609" t="e">
        <f ca="1">EXP(-0.5*Table13345678[[#This Row],[Call D1]]^2)/SQRT(2*PI())</f>
        <v>#DIV/0!</v>
      </c>
      <c r="AN1609" t="e">
        <f ca="1">EXP(-0.5*Table13345678[[#This Row],[Put D1]]^2)/SQRT(2*PI())</f>
        <v>#DIV/0!</v>
      </c>
      <c r="AO160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9">
        <f ca="1">((Table13345678[[#This Row],[call vanna]]+Table13345678[[#This Row],[put vanna]])*$A$4)</f>
        <v>0</v>
      </c>
      <c r="AR160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9" s="9" t="str" cm="1">
        <f t="array" ref="AT1609">_xlfn.IFS(     $M$1="SPX","SPXW",     $M$1="RUT","RUTW",  $M$1="NDX","NDXP",   TRUE,$M$1 )</f>
        <v>SPXW</v>
      </c>
      <c r="AU1609" s="2">
        <f t="shared" si="157"/>
        <v>6915</v>
      </c>
      <c r="AV1609" t="str">
        <f t="shared" si="158"/>
        <v>000100</v>
      </c>
      <c r="AY160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9">
        <f>((Table13345678[[#This Row],[High C]]+Table13345678[[#This Row],[Low C]])/2)*Table13345678[[#This Row],[gammac]]*Table13345678[[#This Row],[Volume]]</f>
        <v>0</v>
      </c>
      <c r="BD1609">
        <f>((Table13345678[[#This Row],[High P]]+Table13345678[[#This Row],[Low P]])/2)*Table13345678[[#This Row],[gammap]]*Table13345678[[#This Row],[Volume9]]*-1</f>
        <v>0</v>
      </c>
      <c r="BE1609">
        <f>(Table13345678[[#This Row],[SgammaC]]+Table13345678[[#This Row],[SgammaP]])*$A$4*-100</f>
        <v>0</v>
      </c>
      <c r="BF1609">
        <f>Table13345678[[#This Row],[DEXc]]+Table13345678[[#This Row],[DEXp]]</f>
        <v>0</v>
      </c>
      <c r="BG1609" s="78">
        <f>IFERROR(Table13345678[[#This Row],[DeltaC]]*Table13345678[[#This Row],[Open.Int]]*$A$4,0)</f>
        <v>0</v>
      </c>
      <c r="BH1609">
        <f>IFERROR(Table13345678[[#This Row],[DeltaP]]*Table13345678[[#This Row],[Open.Int8]]*$A$4,0)</f>
        <v>0</v>
      </c>
      <c r="BI160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9">
        <f ca="1">Table13345678[[#This Row],[charmc]]+Table13345678[[#This Row],[charmp]]</f>
        <v>0</v>
      </c>
      <c r="BL160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9" s="78">
        <f ca="1">Table13345678[[#This Row],[call helper]]+Table13345678[[#This Row],[put helper]]</f>
        <v>0</v>
      </c>
      <c r="BP160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0" spans="1:68" x14ac:dyDescent="0.25">
      <c r="A1610" s="14">
        <f t="shared" ca="1" si="154"/>
        <v>-126.14810350076104</v>
      </c>
      <c r="C1610" s="17"/>
      <c r="D1610" t="str">
        <f>RTD("tos.rtd", , "OPEN_INT", "."&amp;Table13345678[[#This Row],[Ticker]]&amp;Table13345678[[#This Row],[Expiry]]&amp;""&amp;"C"&amp;Table13345678[[#This Row],[Spot]]+Table13345678[[#This Row],[step]])</f>
        <v>N/A</v>
      </c>
      <c r="E161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0" s="17" cm="1">
        <f t="array" aca="1" ref="H1610" ca="1">IndividualLegIVCore($A$4, Table13345678[[#This Row],[Strike]], 0.0411, Table13345678[[#This Row],[T]], ((Table13345678[[#This Row],[BIDC]]+Table13345678[[#This Row],[ASKC]])/2), TRUE)</f>
        <v>0.01</v>
      </c>
      <c r="I161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0" s="17"/>
      <c r="M1610" s="1">
        <f t="shared" si="155"/>
        <v>0</v>
      </c>
      <c r="N1610" t="b">
        <f t="shared" si="156"/>
        <v>0</v>
      </c>
      <c r="P1610" s="17" cm="1">
        <f t="array" aca="1" ref="P1610" ca="1">IndividualLegIVCore($A$4, Table13345678[[#This Row],[Strike]], 0.0411, Table13345678[[#This Row],[T]], ((Table13345678[[#This Row],[BIDP]]+Table13345678[[#This Row],[ASKP]])/2), FALSE)</f>
        <v>0.01</v>
      </c>
      <c r="Q161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0" s="17"/>
      <c r="T161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0" s="19">
        <f>39.5* IF($M$1="NDX", 10, IF(OR($M$1="SPX", $M$1="RUT"), 2, 1))</f>
        <v>79</v>
      </c>
      <c r="Z1610">
        <f ca="1">IFERROR(Table13345678[[#This Row],[call gamma]]*(Table13345678[[#This Row],[Open.Int]])*$A$4^2,0)</f>
        <v>0</v>
      </c>
      <c r="AA1610">
        <f ca="1">IFERROR(((Table13345678[[#This Row],[Open.Int8]])*Table13345678[[#This Row],[Put gamma]])*-1*$A$4^2,0)</f>
        <v>0</v>
      </c>
      <c r="AB1610">
        <f ca="1">(Table13345678[[#This Row],[Call Gex]]+Table13345678[[#This Row],[Put Gex]])</f>
        <v>0</v>
      </c>
      <c r="AC1610">
        <f ca="1">Table13345678[[#This Row],[put delta adj]]+Table13345678[[#This Row],[call delta adj]]</f>
        <v>0</v>
      </c>
      <c r="AD1610">
        <f ca="1">Table13345678[[#This Row],[Put Gex]]*Table13345678[[#This Row],[DeltaP]]*-1</f>
        <v>0</v>
      </c>
      <c r="AE1610">
        <f ca="1">Table13345678[[#This Row],[Call Gex]]*Table13345678[[#This Row],[DeltaC]]</f>
        <v>0</v>
      </c>
      <c r="AF1610">
        <f>IF(Table13345678[[#This Row],[DeltaC]]-ABS(Table13345678[[#This Row],[DeltaP]])="0","0.01",Table13345678[[#This Row],[DeltaC]]-ABS(Table13345678[[#This Row],[DeltaP]]))</f>
        <v>0</v>
      </c>
      <c r="AG161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0" t="e">
        <f ca="1">(EXP(-(AG1610^2)/2)/SQRT(2*PI())*EXP(0*SQRT(Table13345678[[#This Row],[T]]))/$A$4*18%*SQRT(SQRT(Table13345678[[#This Row],[T]])))</f>
        <v>#DIV/0!</v>
      </c>
      <c r="AJ1610" t="e">
        <f ca="1">(EXP(-(AH1610^2)/2)/SQRT(2*PI())*EXP(0*SQRT(Table13345678[[#This Row],[T]]))/$A$4*18%*SQRT(SQRT(Table13345678[[#This Row],[T]])))</f>
        <v>#DIV/0!</v>
      </c>
      <c r="AK1610" t="e">
        <f ca="1">Table13345678[[#This Row],[Call D1]]-Table13345678[[#This Row],[IV Calc C]]*SQRT(Table13345678[[#This Row],[T]])</f>
        <v>#DIV/0!</v>
      </c>
      <c r="AL1610" t="e">
        <f ca="1">Table13345678[[#This Row],[Put D1]]-Table13345678[[#This Row],[IV Calc P]]*SQRT(Table13345678[[#This Row],[T]])</f>
        <v>#DIV/0!</v>
      </c>
      <c r="AM1610" t="e">
        <f ca="1">EXP(-0.5*Table13345678[[#This Row],[Call D1]]^2)/SQRT(2*PI())</f>
        <v>#DIV/0!</v>
      </c>
      <c r="AN1610" t="e">
        <f ca="1">EXP(-0.5*Table13345678[[#This Row],[Put D1]]^2)/SQRT(2*PI())</f>
        <v>#DIV/0!</v>
      </c>
      <c r="AO161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0">
        <f ca="1">((Table13345678[[#This Row],[call vanna]]+Table13345678[[#This Row],[put vanna]])*$A$4)</f>
        <v>0</v>
      </c>
      <c r="AR161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0" s="9" t="str" cm="1">
        <f t="array" ref="AT1610">_xlfn.IFS(     $M$1="SPX","SPXW",     $M$1="RUT","RUTW",  $M$1="NDX","NDXP",   TRUE,$M$1 )</f>
        <v>SPXW</v>
      </c>
      <c r="AU1610" s="2">
        <f t="shared" si="157"/>
        <v>6915</v>
      </c>
      <c r="AV1610" t="str">
        <f t="shared" si="158"/>
        <v>000100</v>
      </c>
      <c r="AY161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0">
        <f>((Table13345678[[#This Row],[High C]]+Table13345678[[#This Row],[Low C]])/2)*Table13345678[[#This Row],[gammac]]*Table13345678[[#This Row],[Volume]]</f>
        <v>0</v>
      </c>
      <c r="BD1610">
        <f>((Table13345678[[#This Row],[High P]]+Table13345678[[#This Row],[Low P]])/2)*Table13345678[[#This Row],[gammap]]*Table13345678[[#This Row],[Volume9]]*-1</f>
        <v>0</v>
      </c>
      <c r="BE1610">
        <f>(Table13345678[[#This Row],[SgammaC]]+Table13345678[[#This Row],[SgammaP]])*$A$4*-100</f>
        <v>0</v>
      </c>
      <c r="BF1610">
        <f>Table13345678[[#This Row],[DEXc]]+Table13345678[[#This Row],[DEXp]]</f>
        <v>0</v>
      </c>
      <c r="BG1610" s="78">
        <f>IFERROR(Table13345678[[#This Row],[DeltaC]]*Table13345678[[#This Row],[Open.Int]]*$A$4,0)</f>
        <v>0</v>
      </c>
      <c r="BH1610">
        <f>IFERROR(Table13345678[[#This Row],[DeltaP]]*Table13345678[[#This Row],[Open.Int8]]*$A$4,0)</f>
        <v>0</v>
      </c>
      <c r="BI161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0">
        <f ca="1">Table13345678[[#This Row],[charmc]]+Table13345678[[#This Row],[charmp]]</f>
        <v>0</v>
      </c>
      <c r="BL161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0" s="78">
        <f ca="1">Table13345678[[#This Row],[call helper]]+Table13345678[[#This Row],[put helper]]</f>
        <v>0</v>
      </c>
      <c r="BP161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1" spans="1:68" x14ac:dyDescent="0.25">
      <c r="A1611" s="14">
        <f t="shared" ca="1" si="154"/>
        <v>-126.14810350076104</v>
      </c>
      <c r="C1611" s="17"/>
      <c r="D1611" t="str">
        <f>RTD("tos.rtd", , "OPEN_INT", "."&amp;Table13345678[[#This Row],[Ticker]]&amp;Table13345678[[#This Row],[Expiry]]&amp;""&amp;"C"&amp;Table13345678[[#This Row],[Spot]]+Table13345678[[#This Row],[step]])</f>
        <v>N/A</v>
      </c>
      <c r="E161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1" s="17" cm="1">
        <f t="array" aca="1" ref="H1611" ca="1">IndividualLegIVCore($A$4, Table13345678[[#This Row],[Strike]], 0.0411, Table13345678[[#This Row],[T]], ((Table13345678[[#This Row],[BIDC]]+Table13345678[[#This Row],[ASKC]])/2), TRUE)</f>
        <v>0.01</v>
      </c>
      <c r="I161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1" s="17"/>
      <c r="M1611" s="1">
        <f t="shared" si="155"/>
        <v>0</v>
      </c>
      <c r="N1611" t="b">
        <f t="shared" si="156"/>
        <v>0</v>
      </c>
      <c r="P1611" s="17" cm="1">
        <f t="array" aca="1" ref="P1611" ca="1">IndividualLegIVCore($A$4, Table13345678[[#This Row],[Strike]], 0.0411, Table13345678[[#This Row],[T]], ((Table13345678[[#This Row],[BIDP]]+Table13345678[[#This Row],[ASKP]])/2), FALSE)</f>
        <v>0.01</v>
      </c>
      <c r="Q161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1" s="17"/>
      <c r="T161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1" s="19">
        <f>40* IF($M$1="NDX", 10, IF(OR($M$1="SPX", $M$1="RUT"), 2, 1))</f>
        <v>80</v>
      </c>
      <c r="Z1611">
        <f ca="1">IFERROR(Table13345678[[#This Row],[call gamma]]*(Table13345678[[#This Row],[Open.Int]])*$A$4^2,0)</f>
        <v>0</v>
      </c>
      <c r="AA1611">
        <f ca="1">IFERROR(((Table13345678[[#This Row],[Open.Int8]])*Table13345678[[#This Row],[Put gamma]])*-1*$A$4^2,0)</f>
        <v>0</v>
      </c>
      <c r="AB1611">
        <f ca="1">(Table13345678[[#This Row],[Call Gex]]+Table13345678[[#This Row],[Put Gex]])</f>
        <v>0</v>
      </c>
      <c r="AC1611">
        <f ca="1">Table13345678[[#This Row],[put delta adj]]+Table13345678[[#This Row],[call delta adj]]</f>
        <v>0</v>
      </c>
      <c r="AD1611">
        <f ca="1">Table13345678[[#This Row],[Put Gex]]*Table13345678[[#This Row],[DeltaP]]*-1</f>
        <v>0</v>
      </c>
      <c r="AE1611">
        <f ca="1">Table13345678[[#This Row],[Call Gex]]*Table13345678[[#This Row],[DeltaC]]</f>
        <v>0</v>
      </c>
      <c r="AF1611">
        <f>IF(Table13345678[[#This Row],[DeltaC]]-ABS(Table13345678[[#This Row],[DeltaP]])="0","0.01",Table13345678[[#This Row],[DeltaC]]-ABS(Table13345678[[#This Row],[DeltaP]]))</f>
        <v>0</v>
      </c>
      <c r="AG161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1" t="e">
        <f ca="1">(EXP(-(AG1611^2)/2)/SQRT(2*PI())*EXP(0*SQRT(Table13345678[[#This Row],[T]]))/$A$4*18%*SQRT(SQRT(Table13345678[[#This Row],[T]])))</f>
        <v>#DIV/0!</v>
      </c>
      <c r="AJ1611" t="e">
        <f ca="1">(EXP(-(AH1611^2)/2)/SQRT(2*PI())*EXP(0*SQRT(Table13345678[[#This Row],[T]]))/$A$4*18%*SQRT(SQRT(Table13345678[[#This Row],[T]])))</f>
        <v>#DIV/0!</v>
      </c>
      <c r="AK1611" t="e">
        <f ca="1">Table13345678[[#This Row],[Call D1]]-Table13345678[[#This Row],[IV Calc C]]*SQRT(Table13345678[[#This Row],[T]])</f>
        <v>#DIV/0!</v>
      </c>
      <c r="AL1611" t="e">
        <f ca="1">Table13345678[[#This Row],[Put D1]]-Table13345678[[#This Row],[IV Calc P]]*SQRT(Table13345678[[#This Row],[T]])</f>
        <v>#DIV/0!</v>
      </c>
      <c r="AM1611" t="e">
        <f ca="1">EXP(-0.5*Table13345678[[#This Row],[Call D1]]^2)/SQRT(2*PI())</f>
        <v>#DIV/0!</v>
      </c>
      <c r="AN1611" t="e">
        <f ca="1">EXP(-0.5*Table13345678[[#This Row],[Put D1]]^2)/SQRT(2*PI())</f>
        <v>#DIV/0!</v>
      </c>
      <c r="AO161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1">
        <f ca="1">((Table13345678[[#This Row],[call vanna]]+Table13345678[[#This Row],[put vanna]])*$A$4)</f>
        <v>0</v>
      </c>
      <c r="AR161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1" s="9" t="str" cm="1">
        <f t="array" ref="AT1611">_xlfn.IFS(     $M$1="SPX","SPXW",     $M$1="RUT","RUTW",  $M$1="NDX","NDXP",   TRUE,$M$1 )</f>
        <v>SPXW</v>
      </c>
      <c r="AU1611" s="2">
        <f t="shared" si="157"/>
        <v>6915</v>
      </c>
      <c r="AV1611" t="str">
        <f t="shared" si="158"/>
        <v>000100</v>
      </c>
      <c r="AY161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1">
        <f>((Table13345678[[#This Row],[High C]]+Table13345678[[#This Row],[Low C]])/2)*Table13345678[[#This Row],[gammac]]*Table13345678[[#This Row],[Volume]]</f>
        <v>0</v>
      </c>
      <c r="BD1611">
        <f>((Table13345678[[#This Row],[High P]]+Table13345678[[#This Row],[Low P]])/2)*Table13345678[[#This Row],[gammap]]*Table13345678[[#This Row],[Volume9]]*-1</f>
        <v>0</v>
      </c>
      <c r="BE1611">
        <f>(Table13345678[[#This Row],[SgammaC]]+Table13345678[[#This Row],[SgammaP]])*$A$4*-100</f>
        <v>0</v>
      </c>
      <c r="BF1611">
        <f>Table13345678[[#This Row],[DEXc]]+Table13345678[[#This Row],[DEXp]]</f>
        <v>0</v>
      </c>
      <c r="BG1611" s="78">
        <f>IFERROR(Table13345678[[#This Row],[DeltaC]]*Table13345678[[#This Row],[Open.Int]]*$A$4,0)</f>
        <v>0</v>
      </c>
      <c r="BH1611">
        <f>IFERROR(Table13345678[[#This Row],[DeltaP]]*Table13345678[[#This Row],[Open.Int8]]*$A$4,0)</f>
        <v>0</v>
      </c>
      <c r="BI161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1">
        <f ca="1">Table13345678[[#This Row],[charmc]]+Table13345678[[#This Row],[charmp]]</f>
        <v>0</v>
      </c>
      <c r="BL161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1" s="78">
        <f ca="1">Table13345678[[#This Row],[call helper]]+Table13345678[[#This Row],[put helper]]</f>
        <v>0</v>
      </c>
      <c r="BP161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2" spans="1:68" x14ac:dyDescent="0.25">
      <c r="A1612" s="14">
        <f t="shared" ca="1" si="154"/>
        <v>-126.14810350076104</v>
      </c>
      <c r="C1612" s="17"/>
      <c r="D1612" t="str">
        <f>RTD("tos.rtd", , "OPEN_INT", "."&amp;Table13345678[[#This Row],[Ticker]]&amp;Table13345678[[#This Row],[Expiry]]&amp;""&amp;"C"&amp;Table13345678[[#This Row],[Spot]]+Table13345678[[#This Row],[step]])</f>
        <v>N/A</v>
      </c>
      <c r="E161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2" s="17" cm="1">
        <f t="array" aca="1" ref="H1612" ca="1">IndividualLegIVCore($A$4, Table13345678[[#This Row],[Strike]], 0.0411, Table13345678[[#This Row],[T]], ((Table13345678[[#This Row],[BIDC]]+Table13345678[[#This Row],[ASKC]])/2), TRUE)</f>
        <v>0.01</v>
      </c>
      <c r="I161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2" s="17"/>
      <c r="M1612" s="1">
        <f t="shared" si="155"/>
        <v>0</v>
      </c>
      <c r="N1612" t="b">
        <f t="shared" si="156"/>
        <v>0</v>
      </c>
      <c r="P1612" s="17" cm="1">
        <f t="array" aca="1" ref="P1612" ca="1">IndividualLegIVCore($A$4, Table13345678[[#This Row],[Strike]], 0.0411, Table13345678[[#This Row],[T]], ((Table13345678[[#This Row],[BIDP]]+Table13345678[[#This Row],[ASKP]])/2), FALSE)</f>
        <v>0.01</v>
      </c>
      <c r="Q161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2" s="17"/>
      <c r="T161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2" s="19">
        <f>40.5* IF($M$1="NDX", 10, IF(OR($M$1="SPX", $M$1="RUT"), 2, 1))</f>
        <v>81</v>
      </c>
      <c r="Z1612">
        <f ca="1">IFERROR(Table13345678[[#This Row],[call gamma]]*(Table13345678[[#This Row],[Open.Int]])*$A$4^2,0)</f>
        <v>0</v>
      </c>
      <c r="AA1612">
        <f ca="1">IFERROR(((Table13345678[[#This Row],[Open.Int8]])*Table13345678[[#This Row],[Put gamma]])*-1*$A$4^2,0)</f>
        <v>0</v>
      </c>
      <c r="AB1612">
        <f ca="1">(Table13345678[[#This Row],[Call Gex]]+Table13345678[[#This Row],[Put Gex]])</f>
        <v>0</v>
      </c>
      <c r="AC1612">
        <f ca="1">Table13345678[[#This Row],[put delta adj]]+Table13345678[[#This Row],[call delta adj]]</f>
        <v>0</v>
      </c>
      <c r="AD1612">
        <f ca="1">Table13345678[[#This Row],[Put Gex]]*Table13345678[[#This Row],[DeltaP]]*-1</f>
        <v>0</v>
      </c>
      <c r="AE1612">
        <f ca="1">Table13345678[[#This Row],[Call Gex]]*Table13345678[[#This Row],[DeltaC]]</f>
        <v>0</v>
      </c>
      <c r="AF1612">
        <f>IF(Table13345678[[#This Row],[DeltaC]]-ABS(Table13345678[[#This Row],[DeltaP]])="0","0.01",Table13345678[[#This Row],[DeltaC]]-ABS(Table13345678[[#This Row],[DeltaP]]))</f>
        <v>0</v>
      </c>
      <c r="AG161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2" t="e">
        <f ca="1">(EXP(-(AG1612^2)/2)/SQRT(2*PI())*EXP(0*SQRT(Table13345678[[#This Row],[T]]))/$A$4*18%*SQRT(SQRT(Table13345678[[#This Row],[T]])))</f>
        <v>#DIV/0!</v>
      </c>
      <c r="AJ1612" t="e">
        <f ca="1">(EXP(-(AH1612^2)/2)/SQRT(2*PI())*EXP(0*SQRT(Table13345678[[#This Row],[T]]))/$A$4*18%*SQRT(SQRT(Table13345678[[#This Row],[T]])))</f>
        <v>#DIV/0!</v>
      </c>
      <c r="AK1612" t="e">
        <f ca="1">Table13345678[[#This Row],[Call D1]]-Table13345678[[#This Row],[IV Calc C]]*SQRT(Table13345678[[#This Row],[T]])</f>
        <v>#DIV/0!</v>
      </c>
      <c r="AL1612" t="e">
        <f ca="1">Table13345678[[#This Row],[Put D1]]-Table13345678[[#This Row],[IV Calc P]]*SQRT(Table13345678[[#This Row],[T]])</f>
        <v>#DIV/0!</v>
      </c>
      <c r="AM1612" t="e">
        <f ca="1">EXP(-0.5*Table13345678[[#This Row],[Call D1]]^2)/SQRT(2*PI())</f>
        <v>#DIV/0!</v>
      </c>
      <c r="AN1612" t="e">
        <f ca="1">EXP(-0.5*Table13345678[[#This Row],[Put D1]]^2)/SQRT(2*PI())</f>
        <v>#DIV/0!</v>
      </c>
      <c r="AO161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2">
        <f ca="1">((Table13345678[[#This Row],[call vanna]]+Table13345678[[#This Row],[put vanna]])*$A$4)</f>
        <v>0</v>
      </c>
      <c r="AR161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2" s="9" t="str" cm="1">
        <f t="array" ref="AT1612">_xlfn.IFS(     $M$1="SPX","SPXW",     $M$1="RUT","RUTW",  $M$1="NDX","NDXP",   TRUE,$M$1 )</f>
        <v>SPXW</v>
      </c>
      <c r="AU1612" s="2">
        <f t="shared" si="157"/>
        <v>6915</v>
      </c>
      <c r="AV1612" t="str">
        <f t="shared" si="158"/>
        <v>000100</v>
      </c>
      <c r="AY161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2">
        <f>((Table13345678[[#This Row],[High C]]+Table13345678[[#This Row],[Low C]])/2)*Table13345678[[#This Row],[gammac]]*Table13345678[[#This Row],[Volume]]</f>
        <v>0</v>
      </c>
      <c r="BD1612">
        <f>((Table13345678[[#This Row],[High P]]+Table13345678[[#This Row],[Low P]])/2)*Table13345678[[#This Row],[gammap]]*Table13345678[[#This Row],[Volume9]]*-1</f>
        <v>0</v>
      </c>
      <c r="BE1612">
        <f>(Table13345678[[#This Row],[SgammaC]]+Table13345678[[#This Row],[SgammaP]])*$A$4*-100</f>
        <v>0</v>
      </c>
      <c r="BF1612">
        <f>Table13345678[[#This Row],[DEXc]]+Table13345678[[#This Row],[DEXp]]</f>
        <v>0</v>
      </c>
      <c r="BG1612" s="78">
        <f>IFERROR(Table13345678[[#This Row],[DeltaC]]*Table13345678[[#This Row],[Open.Int]]*$A$4,0)</f>
        <v>0</v>
      </c>
      <c r="BH1612">
        <f>IFERROR(Table13345678[[#This Row],[DeltaP]]*Table13345678[[#This Row],[Open.Int8]]*$A$4,0)</f>
        <v>0</v>
      </c>
      <c r="BI161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2">
        <f ca="1">Table13345678[[#This Row],[charmc]]+Table13345678[[#This Row],[charmp]]</f>
        <v>0</v>
      </c>
      <c r="BL161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2" s="78">
        <f ca="1">Table13345678[[#This Row],[call helper]]+Table13345678[[#This Row],[put helper]]</f>
        <v>0</v>
      </c>
      <c r="BP161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3" spans="1:68" x14ac:dyDescent="0.25">
      <c r="A1613" s="14">
        <f t="shared" ca="1" si="154"/>
        <v>-126.14810350076104</v>
      </c>
      <c r="C1613" s="17"/>
      <c r="D1613" t="str">
        <f>RTD("tos.rtd", , "OPEN_INT", "."&amp;Table13345678[[#This Row],[Ticker]]&amp;Table13345678[[#This Row],[Expiry]]&amp;""&amp;"C"&amp;Table13345678[[#This Row],[Spot]]+Table13345678[[#This Row],[step]])</f>
        <v>N/A</v>
      </c>
      <c r="E161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3" s="17" cm="1">
        <f t="array" aca="1" ref="H1613" ca="1">IndividualLegIVCore($A$4, Table13345678[[#This Row],[Strike]], 0.0411, Table13345678[[#This Row],[T]], ((Table13345678[[#This Row],[BIDC]]+Table13345678[[#This Row],[ASKC]])/2), TRUE)</f>
        <v>0.01</v>
      </c>
      <c r="I161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3" s="17"/>
      <c r="M1613" s="1">
        <f t="shared" si="155"/>
        <v>0</v>
      </c>
      <c r="N1613" t="b">
        <f t="shared" si="156"/>
        <v>0</v>
      </c>
      <c r="P1613" s="17" cm="1">
        <f t="array" aca="1" ref="P1613" ca="1">IndividualLegIVCore($A$4, Table13345678[[#This Row],[Strike]], 0.0411, Table13345678[[#This Row],[T]], ((Table13345678[[#This Row],[BIDP]]+Table13345678[[#This Row],[ASKP]])/2), FALSE)</f>
        <v>0.01</v>
      </c>
      <c r="Q161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3" s="17"/>
      <c r="T161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3" s="19">
        <f>41* IF($M$1="NDX", 10, IF(OR($M$1="SPX", $M$1="RUT"), 2, 1))</f>
        <v>82</v>
      </c>
      <c r="Z1613">
        <f ca="1">IFERROR(Table13345678[[#This Row],[call gamma]]*(Table13345678[[#This Row],[Open.Int]])*$A$4^2,0)</f>
        <v>0</v>
      </c>
      <c r="AA1613">
        <f ca="1">IFERROR(((Table13345678[[#This Row],[Open.Int8]])*Table13345678[[#This Row],[Put gamma]])*-1*$A$4^2,0)</f>
        <v>0</v>
      </c>
      <c r="AB1613">
        <f ca="1">(Table13345678[[#This Row],[Call Gex]]+Table13345678[[#This Row],[Put Gex]])</f>
        <v>0</v>
      </c>
      <c r="AC1613">
        <f ca="1">Table13345678[[#This Row],[put delta adj]]+Table13345678[[#This Row],[call delta adj]]</f>
        <v>0</v>
      </c>
      <c r="AD1613">
        <f ca="1">Table13345678[[#This Row],[Put Gex]]*Table13345678[[#This Row],[DeltaP]]*-1</f>
        <v>0</v>
      </c>
      <c r="AE1613">
        <f ca="1">Table13345678[[#This Row],[Call Gex]]*Table13345678[[#This Row],[DeltaC]]</f>
        <v>0</v>
      </c>
      <c r="AF1613">
        <f>IF(Table13345678[[#This Row],[DeltaC]]-ABS(Table13345678[[#This Row],[DeltaP]])="0","0.01",Table13345678[[#This Row],[DeltaC]]-ABS(Table13345678[[#This Row],[DeltaP]]))</f>
        <v>0</v>
      </c>
      <c r="AG161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3" t="e">
        <f ca="1">(EXP(-(AG1613^2)/2)/SQRT(2*PI())*EXP(0*SQRT(Table13345678[[#This Row],[T]]))/$A$4*18%*SQRT(SQRT(Table13345678[[#This Row],[T]])))</f>
        <v>#DIV/0!</v>
      </c>
      <c r="AJ1613" t="e">
        <f ca="1">(EXP(-(AH1613^2)/2)/SQRT(2*PI())*EXP(0*SQRT(Table13345678[[#This Row],[T]]))/$A$4*18%*SQRT(SQRT(Table13345678[[#This Row],[T]])))</f>
        <v>#DIV/0!</v>
      </c>
      <c r="AK1613" t="e">
        <f ca="1">Table13345678[[#This Row],[Call D1]]-Table13345678[[#This Row],[IV Calc C]]*SQRT(Table13345678[[#This Row],[T]])</f>
        <v>#DIV/0!</v>
      </c>
      <c r="AL1613" t="e">
        <f ca="1">Table13345678[[#This Row],[Put D1]]-Table13345678[[#This Row],[IV Calc P]]*SQRT(Table13345678[[#This Row],[T]])</f>
        <v>#DIV/0!</v>
      </c>
      <c r="AM1613" t="e">
        <f ca="1">EXP(-0.5*Table13345678[[#This Row],[Call D1]]^2)/SQRT(2*PI())</f>
        <v>#DIV/0!</v>
      </c>
      <c r="AN1613" t="e">
        <f ca="1">EXP(-0.5*Table13345678[[#This Row],[Put D1]]^2)/SQRT(2*PI())</f>
        <v>#DIV/0!</v>
      </c>
      <c r="AO161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3">
        <f ca="1">((Table13345678[[#This Row],[call vanna]]+Table13345678[[#This Row],[put vanna]])*$A$4)</f>
        <v>0</v>
      </c>
      <c r="AR161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3" s="9" t="str" cm="1">
        <f t="array" ref="AT1613">_xlfn.IFS(     $M$1="SPX","SPXW",     $M$1="RUT","RUTW",  $M$1="NDX","NDXP",   TRUE,$M$1 )</f>
        <v>SPXW</v>
      </c>
      <c r="AU1613" s="2">
        <f t="shared" si="157"/>
        <v>6915</v>
      </c>
      <c r="AV1613" t="str">
        <f t="shared" si="158"/>
        <v>000100</v>
      </c>
      <c r="AY161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3">
        <f>((Table13345678[[#This Row],[High C]]+Table13345678[[#This Row],[Low C]])/2)*Table13345678[[#This Row],[gammac]]*Table13345678[[#This Row],[Volume]]</f>
        <v>0</v>
      </c>
      <c r="BD1613">
        <f>((Table13345678[[#This Row],[High P]]+Table13345678[[#This Row],[Low P]])/2)*Table13345678[[#This Row],[gammap]]*Table13345678[[#This Row],[Volume9]]*-1</f>
        <v>0</v>
      </c>
      <c r="BE1613">
        <f>(Table13345678[[#This Row],[SgammaC]]+Table13345678[[#This Row],[SgammaP]])*$A$4*-100</f>
        <v>0</v>
      </c>
      <c r="BF1613">
        <f>Table13345678[[#This Row],[DEXc]]+Table13345678[[#This Row],[DEXp]]</f>
        <v>0</v>
      </c>
      <c r="BG1613" s="78">
        <f>IFERROR(Table13345678[[#This Row],[DeltaC]]*Table13345678[[#This Row],[Open.Int]]*$A$4,0)</f>
        <v>0</v>
      </c>
      <c r="BH1613">
        <f>IFERROR(Table13345678[[#This Row],[DeltaP]]*Table13345678[[#This Row],[Open.Int8]]*$A$4,0)</f>
        <v>0</v>
      </c>
      <c r="BI161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3">
        <f ca="1">Table13345678[[#This Row],[charmc]]+Table13345678[[#This Row],[charmp]]</f>
        <v>0</v>
      </c>
      <c r="BL161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3" s="78">
        <f ca="1">Table13345678[[#This Row],[call helper]]+Table13345678[[#This Row],[put helper]]</f>
        <v>0</v>
      </c>
      <c r="BP161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4" spans="1:68" x14ac:dyDescent="0.25">
      <c r="A1614" s="14">
        <f t="shared" ca="1" si="154"/>
        <v>-126.14810350076104</v>
      </c>
      <c r="C1614" s="17"/>
      <c r="D1614" t="str">
        <f>RTD("tos.rtd", , "OPEN_INT", "."&amp;Table13345678[[#This Row],[Ticker]]&amp;Table13345678[[#This Row],[Expiry]]&amp;""&amp;"C"&amp;Table13345678[[#This Row],[Spot]]+Table13345678[[#This Row],[step]])</f>
        <v>N/A</v>
      </c>
      <c r="E161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4" s="17" cm="1">
        <f t="array" aca="1" ref="H1614" ca="1">IndividualLegIVCore($A$4, Table13345678[[#This Row],[Strike]], 0.0411, Table13345678[[#This Row],[T]], ((Table13345678[[#This Row],[BIDC]]+Table13345678[[#This Row],[ASKC]])/2), TRUE)</f>
        <v>0.01</v>
      </c>
      <c r="I161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4" s="17"/>
      <c r="M1614" s="1">
        <f t="shared" si="155"/>
        <v>0</v>
      </c>
      <c r="N1614" t="b">
        <f t="shared" si="156"/>
        <v>0</v>
      </c>
      <c r="P1614" s="17" cm="1">
        <f t="array" aca="1" ref="P1614" ca="1">IndividualLegIVCore($A$4, Table13345678[[#This Row],[Strike]], 0.0411, Table13345678[[#This Row],[T]], ((Table13345678[[#This Row],[BIDP]]+Table13345678[[#This Row],[ASKP]])/2), FALSE)</f>
        <v>0.01</v>
      </c>
      <c r="Q161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4" s="17"/>
      <c r="T161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4" s="19">
        <f>41.5* IF($M$1="NDX", 10, IF(OR($M$1="SPX", $M$1="RUT"), 2, 1))</f>
        <v>83</v>
      </c>
      <c r="Z1614">
        <f ca="1">IFERROR(Table13345678[[#This Row],[call gamma]]*(Table13345678[[#This Row],[Open.Int]])*$A$4^2,0)</f>
        <v>0</v>
      </c>
      <c r="AA1614">
        <f ca="1">IFERROR(((Table13345678[[#This Row],[Open.Int8]])*Table13345678[[#This Row],[Put gamma]])*-1*$A$4^2,0)</f>
        <v>0</v>
      </c>
      <c r="AB1614">
        <f ca="1">(Table13345678[[#This Row],[Call Gex]]+Table13345678[[#This Row],[Put Gex]])</f>
        <v>0</v>
      </c>
      <c r="AC1614">
        <f ca="1">Table13345678[[#This Row],[put delta adj]]+Table13345678[[#This Row],[call delta adj]]</f>
        <v>0</v>
      </c>
      <c r="AD1614">
        <f ca="1">Table13345678[[#This Row],[Put Gex]]*Table13345678[[#This Row],[DeltaP]]*-1</f>
        <v>0</v>
      </c>
      <c r="AE1614">
        <f ca="1">Table13345678[[#This Row],[Call Gex]]*Table13345678[[#This Row],[DeltaC]]</f>
        <v>0</v>
      </c>
      <c r="AF1614">
        <f>IF(Table13345678[[#This Row],[DeltaC]]-ABS(Table13345678[[#This Row],[DeltaP]])="0","0.01",Table13345678[[#This Row],[DeltaC]]-ABS(Table13345678[[#This Row],[DeltaP]]))</f>
        <v>0</v>
      </c>
      <c r="AG161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4" t="e">
        <f ca="1">(EXP(-(AG1614^2)/2)/SQRT(2*PI())*EXP(0*SQRT(Table13345678[[#This Row],[T]]))/$A$4*18%*SQRT(SQRT(Table13345678[[#This Row],[T]])))</f>
        <v>#DIV/0!</v>
      </c>
      <c r="AJ1614" t="e">
        <f ca="1">(EXP(-(AH1614^2)/2)/SQRT(2*PI())*EXP(0*SQRT(Table13345678[[#This Row],[T]]))/$A$4*18%*SQRT(SQRT(Table13345678[[#This Row],[T]])))</f>
        <v>#DIV/0!</v>
      </c>
      <c r="AK1614" t="e">
        <f ca="1">Table13345678[[#This Row],[Call D1]]-Table13345678[[#This Row],[IV Calc C]]*SQRT(Table13345678[[#This Row],[T]])</f>
        <v>#DIV/0!</v>
      </c>
      <c r="AL1614" t="e">
        <f ca="1">Table13345678[[#This Row],[Put D1]]-Table13345678[[#This Row],[IV Calc P]]*SQRT(Table13345678[[#This Row],[T]])</f>
        <v>#DIV/0!</v>
      </c>
      <c r="AM1614" t="e">
        <f ca="1">EXP(-0.5*Table13345678[[#This Row],[Call D1]]^2)/SQRT(2*PI())</f>
        <v>#DIV/0!</v>
      </c>
      <c r="AN1614" t="e">
        <f ca="1">EXP(-0.5*Table13345678[[#This Row],[Put D1]]^2)/SQRT(2*PI())</f>
        <v>#DIV/0!</v>
      </c>
      <c r="AO161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4">
        <f ca="1">((Table13345678[[#This Row],[call vanna]]+Table13345678[[#This Row],[put vanna]])*$A$4)</f>
        <v>0</v>
      </c>
      <c r="AR161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4" s="9" t="str" cm="1">
        <f t="array" ref="AT1614">_xlfn.IFS(     $M$1="SPX","SPXW",     $M$1="RUT","RUTW",  $M$1="NDX","NDXP",   TRUE,$M$1 )</f>
        <v>SPXW</v>
      </c>
      <c r="AU1614" s="2">
        <f t="shared" si="157"/>
        <v>6915</v>
      </c>
      <c r="AV1614" t="str">
        <f t="shared" si="158"/>
        <v>000100</v>
      </c>
      <c r="AY161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4">
        <f>((Table13345678[[#This Row],[High C]]+Table13345678[[#This Row],[Low C]])/2)*Table13345678[[#This Row],[gammac]]*Table13345678[[#This Row],[Volume]]</f>
        <v>0</v>
      </c>
      <c r="BD1614">
        <f>((Table13345678[[#This Row],[High P]]+Table13345678[[#This Row],[Low P]])/2)*Table13345678[[#This Row],[gammap]]*Table13345678[[#This Row],[Volume9]]*-1</f>
        <v>0</v>
      </c>
      <c r="BE1614">
        <f>(Table13345678[[#This Row],[SgammaC]]+Table13345678[[#This Row],[SgammaP]])*$A$4*-100</f>
        <v>0</v>
      </c>
      <c r="BF1614">
        <f>Table13345678[[#This Row],[DEXc]]+Table13345678[[#This Row],[DEXp]]</f>
        <v>0</v>
      </c>
      <c r="BG1614" s="78">
        <f>IFERROR(Table13345678[[#This Row],[DeltaC]]*Table13345678[[#This Row],[Open.Int]]*$A$4,0)</f>
        <v>0</v>
      </c>
      <c r="BH1614">
        <f>IFERROR(Table13345678[[#This Row],[DeltaP]]*Table13345678[[#This Row],[Open.Int8]]*$A$4,0)</f>
        <v>0</v>
      </c>
      <c r="BI161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4">
        <f ca="1">Table13345678[[#This Row],[charmc]]+Table13345678[[#This Row],[charmp]]</f>
        <v>0</v>
      </c>
      <c r="BL161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4" s="78">
        <f ca="1">Table13345678[[#This Row],[call helper]]+Table13345678[[#This Row],[put helper]]</f>
        <v>0</v>
      </c>
      <c r="BP161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5" spans="1:68" x14ac:dyDescent="0.25">
      <c r="A1615" s="14">
        <f t="shared" ca="1" si="154"/>
        <v>-126.14810350076104</v>
      </c>
      <c r="C1615" s="17"/>
      <c r="D1615" t="str">
        <f>RTD("tos.rtd", , "OPEN_INT", "."&amp;Table13345678[[#This Row],[Ticker]]&amp;Table13345678[[#This Row],[Expiry]]&amp;""&amp;"C"&amp;Table13345678[[#This Row],[Spot]]+Table13345678[[#This Row],[step]])</f>
        <v>N/A</v>
      </c>
      <c r="E161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5" s="17" cm="1">
        <f t="array" aca="1" ref="H1615" ca="1">IndividualLegIVCore($A$4, Table13345678[[#This Row],[Strike]], 0.0411, Table13345678[[#This Row],[T]], ((Table13345678[[#This Row],[BIDC]]+Table13345678[[#This Row],[ASKC]])/2), TRUE)</f>
        <v>0.01</v>
      </c>
      <c r="I161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5" s="17"/>
      <c r="M1615" s="1">
        <f t="shared" si="155"/>
        <v>0</v>
      </c>
      <c r="N1615" t="b">
        <f t="shared" si="156"/>
        <v>0</v>
      </c>
      <c r="P1615" s="17" cm="1">
        <f t="array" aca="1" ref="P1615" ca="1">IndividualLegIVCore($A$4, Table13345678[[#This Row],[Strike]], 0.0411, Table13345678[[#This Row],[T]], ((Table13345678[[#This Row],[BIDP]]+Table13345678[[#This Row],[ASKP]])/2), FALSE)</f>
        <v>0.01</v>
      </c>
      <c r="Q161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5" s="17"/>
      <c r="T161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5" s="19">
        <f>42* IF($M$1="NDX", 10, IF(OR($M$1="SPX", $M$1="RUT"), 2, 1))</f>
        <v>84</v>
      </c>
      <c r="Z1615">
        <f ca="1">IFERROR(Table13345678[[#This Row],[call gamma]]*(Table13345678[[#This Row],[Open.Int]])*$A$4^2,0)</f>
        <v>0</v>
      </c>
      <c r="AA1615">
        <f ca="1">IFERROR(((Table13345678[[#This Row],[Open.Int8]])*Table13345678[[#This Row],[Put gamma]])*-1*$A$4^2,0)</f>
        <v>0</v>
      </c>
      <c r="AB1615">
        <f ca="1">(Table13345678[[#This Row],[Call Gex]]+Table13345678[[#This Row],[Put Gex]])</f>
        <v>0</v>
      </c>
      <c r="AC1615">
        <f ca="1">Table13345678[[#This Row],[put delta adj]]+Table13345678[[#This Row],[call delta adj]]</f>
        <v>0</v>
      </c>
      <c r="AD1615">
        <f ca="1">Table13345678[[#This Row],[Put Gex]]*Table13345678[[#This Row],[DeltaP]]*-1</f>
        <v>0</v>
      </c>
      <c r="AE1615">
        <f ca="1">Table13345678[[#This Row],[Call Gex]]*Table13345678[[#This Row],[DeltaC]]</f>
        <v>0</v>
      </c>
      <c r="AF1615">
        <f>IF(Table13345678[[#This Row],[DeltaC]]-ABS(Table13345678[[#This Row],[DeltaP]])="0","0.01",Table13345678[[#This Row],[DeltaC]]-ABS(Table13345678[[#This Row],[DeltaP]]))</f>
        <v>0</v>
      </c>
      <c r="AG161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5" t="e">
        <f ca="1">(EXP(-(AG1615^2)/2)/SQRT(2*PI())*EXP(0*SQRT(Table13345678[[#This Row],[T]]))/$A$4*18%*SQRT(SQRT(Table13345678[[#This Row],[T]])))</f>
        <v>#DIV/0!</v>
      </c>
      <c r="AJ1615" t="e">
        <f ca="1">(EXP(-(AH1615^2)/2)/SQRT(2*PI())*EXP(0*SQRT(Table13345678[[#This Row],[T]]))/$A$4*18%*SQRT(SQRT(Table13345678[[#This Row],[T]])))</f>
        <v>#DIV/0!</v>
      </c>
      <c r="AK1615" t="e">
        <f ca="1">Table13345678[[#This Row],[Call D1]]-Table13345678[[#This Row],[IV Calc C]]*SQRT(Table13345678[[#This Row],[T]])</f>
        <v>#DIV/0!</v>
      </c>
      <c r="AL1615" t="e">
        <f ca="1">Table13345678[[#This Row],[Put D1]]-Table13345678[[#This Row],[IV Calc P]]*SQRT(Table13345678[[#This Row],[T]])</f>
        <v>#DIV/0!</v>
      </c>
      <c r="AM1615" t="e">
        <f ca="1">EXP(-0.5*Table13345678[[#This Row],[Call D1]]^2)/SQRT(2*PI())</f>
        <v>#DIV/0!</v>
      </c>
      <c r="AN1615" t="e">
        <f ca="1">EXP(-0.5*Table13345678[[#This Row],[Put D1]]^2)/SQRT(2*PI())</f>
        <v>#DIV/0!</v>
      </c>
      <c r="AO161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5">
        <f ca="1">((Table13345678[[#This Row],[call vanna]]+Table13345678[[#This Row],[put vanna]])*$A$4)</f>
        <v>0</v>
      </c>
      <c r="AR161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5" s="9" t="str" cm="1">
        <f t="array" ref="AT1615">_xlfn.IFS(     $M$1="SPX","SPXW",     $M$1="RUT","RUTW",  $M$1="NDX","NDXP",   TRUE,$M$1 )</f>
        <v>SPXW</v>
      </c>
      <c r="AU1615" s="2">
        <f t="shared" si="157"/>
        <v>6915</v>
      </c>
      <c r="AV1615" t="str">
        <f t="shared" si="158"/>
        <v>000100</v>
      </c>
      <c r="AY161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5">
        <f>((Table13345678[[#This Row],[High C]]+Table13345678[[#This Row],[Low C]])/2)*Table13345678[[#This Row],[gammac]]*Table13345678[[#This Row],[Volume]]</f>
        <v>0</v>
      </c>
      <c r="BD1615">
        <f>((Table13345678[[#This Row],[High P]]+Table13345678[[#This Row],[Low P]])/2)*Table13345678[[#This Row],[gammap]]*Table13345678[[#This Row],[Volume9]]*-1</f>
        <v>0</v>
      </c>
      <c r="BE1615">
        <f>(Table13345678[[#This Row],[SgammaC]]+Table13345678[[#This Row],[SgammaP]])*$A$4*-100</f>
        <v>0</v>
      </c>
      <c r="BF1615">
        <f>Table13345678[[#This Row],[DEXc]]+Table13345678[[#This Row],[DEXp]]</f>
        <v>0</v>
      </c>
      <c r="BG1615" s="78">
        <f>IFERROR(Table13345678[[#This Row],[DeltaC]]*Table13345678[[#This Row],[Open.Int]]*$A$4,0)</f>
        <v>0</v>
      </c>
      <c r="BH1615">
        <f>IFERROR(Table13345678[[#This Row],[DeltaP]]*Table13345678[[#This Row],[Open.Int8]]*$A$4,0)</f>
        <v>0</v>
      </c>
      <c r="BI161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5">
        <f ca="1">Table13345678[[#This Row],[charmc]]+Table13345678[[#This Row],[charmp]]</f>
        <v>0</v>
      </c>
      <c r="BL161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5" s="78">
        <f ca="1">Table13345678[[#This Row],[call helper]]+Table13345678[[#This Row],[put helper]]</f>
        <v>0</v>
      </c>
      <c r="BP161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6" spans="1:68" x14ac:dyDescent="0.25">
      <c r="A1616" s="14">
        <f t="shared" ca="1" si="154"/>
        <v>-126.14810350076104</v>
      </c>
      <c r="C1616" s="17"/>
      <c r="D1616" t="str">
        <f>RTD("tos.rtd", , "OPEN_INT", "."&amp;Table13345678[[#This Row],[Ticker]]&amp;Table13345678[[#This Row],[Expiry]]&amp;""&amp;"C"&amp;Table13345678[[#This Row],[Spot]]+Table13345678[[#This Row],[step]])</f>
        <v>N/A</v>
      </c>
      <c r="E161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6" s="17" cm="1">
        <f t="array" aca="1" ref="H1616" ca="1">IndividualLegIVCore($A$4, Table13345678[[#This Row],[Strike]], 0.0411, Table13345678[[#This Row],[T]], ((Table13345678[[#This Row],[BIDC]]+Table13345678[[#This Row],[ASKC]])/2), TRUE)</f>
        <v>0.01</v>
      </c>
      <c r="I161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6" s="17"/>
      <c r="M1616" s="1">
        <f t="shared" si="155"/>
        <v>0</v>
      </c>
      <c r="N1616" t="b">
        <f t="shared" si="156"/>
        <v>0</v>
      </c>
      <c r="P1616" s="17" cm="1">
        <f t="array" aca="1" ref="P1616" ca="1">IndividualLegIVCore($A$4, Table13345678[[#This Row],[Strike]], 0.0411, Table13345678[[#This Row],[T]], ((Table13345678[[#This Row],[BIDP]]+Table13345678[[#This Row],[ASKP]])/2), FALSE)</f>
        <v>0.01</v>
      </c>
      <c r="Q161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6" s="17"/>
      <c r="T161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6" s="19">
        <f>42.5* IF($M$1="NDX", 10, IF(OR($M$1="SPX", $M$1="RUT"), 2, 1))</f>
        <v>85</v>
      </c>
      <c r="Z1616">
        <f ca="1">IFERROR(Table13345678[[#This Row],[call gamma]]*(Table13345678[[#This Row],[Open.Int]])*$A$4^2,0)</f>
        <v>0</v>
      </c>
      <c r="AA1616">
        <f ca="1">IFERROR(((Table13345678[[#This Row],[Open.Int8]])*Table13345678[[#This Row],[Put gamma]])*-1*$A$4^2,0)</f>
        <v>0</v>
      </c>
      <c r="AB1616">
        <f ca="1">(Table13345678[[#This Row],[Call Gex]]+Table13345678[[#This Row],[Put Gex]])</f>
        <v>0</v>
      </c>
      <c r="AC1616">
        <f ca="1">Table13345678[[#This Row],[put delta adj]]+Table13345678[[#This Row],[call delta adj]]</f>
        <v>0</v>
      </c>
      <c r="AD1616">
        <f ca="1">Table13345678[[#This Row],[Put Gex]]*Table13345678[[#This Row],[DeltaP]]*-1</f>
        <v>0</v>
      </c>
      <c r="AE1616">
        <f ca="1">Table13345678[[#This Row],[Call Gex]]*Table13345678[[#This Row],[DeltaC]]</f>
        <v>0</v>
      </c>
      <c r="AF1616">
        <f>IF(Table13345678[[#This Row],[DeltaC]]-ABS(Table13345678[[#This Row],[DeltaP]])="0","0.01",Table13345678[[#This Row],[DeltaC]]-ABS(Table13345678[[#This Row],[DeltaP]]))</f>
        <v>0</v>
      </c>
      <c r="AG161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6" t="e">
        <f ca="1">(EXP(-(AG1616^2)/2)/SQRT(2*PI())*EXP(0*SQRT(Table13345678[[#This Row],[T]]))/$A$4*18%*SQRT(SQRT(Table13345678[[#This Row],[T]])))</f>
        <v>#DIV/0!</v>
      </c>
      <c r="AJ1616" t="e">
        <f ca="1">(EXP(-(AH1616^2)/2)/SQRT(2*PI())*EXP(0*SQRT(Table13345678[[#This Row],[T]]))/$A$4*18%*SQRT(SQRT(Table13345678[[#This Row],[T]])))</f>
        <v>#DIV/0!</v>
      </c>
      <c r="AK1616" t="e">
        <f ca="1">Table13345678[[#This Row],[Call D1]]-Table13345678[[#This Row],[IV Calc C]]*SQRT(Table13345678[[#This Row],[T]])</f>
        <v>#DIV/0!</v>
      </c>
      <c r="AL1616" t="e">
        <f ca="1">Table13345678[[#This Row],[Put D1]]-Table13345678[[#This Row],[IV Calc P]]*SQRT(Table13345678[[#This Row],[T]])</f>
        <v>#DIV/0!</v>
      </c>
      <c r="AM1616" t="e">
        <f ca="1">EXP(-0.5*Table13345678[[#This Row],[Call D1]]^2)/SQRT(2*PI())</f>
        <v>#DIV/0!</v>
      </c>
      <c r="AN1616" t="e">
        <f ca="1">EXP(-0.5*Table13345678[[#This Row],[Put D1]]^2)/SQRT(2*PI())</f>
        <v>#DIV/0!</v>
      </c>
      <c r="AO161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6">
        <f ca="1">((Table13345678[[#This Row],[call vanna]]+Table13345678[[#This Row],[put vanna]])*$A$4)</f>
        <v>0</v>
      </c>
      <c r="AR161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6" s="9" t="str" cm="1">
        <f t="array" ref="AT1616">_xlfn.IFS(     $M$1="SPX","SPXW",     $M$1="RUT","RUTW",  $M$1="NDX","NDXP",   TRUE,$M$1 )</f>
        <v>SPXW</v>
      </c>
      <c r="AU1616" s="2">
        <f t="shared" si="157"/>
        <v>6915</v>
      </c>
      <c r="AV1616" t="str">
        <f t="shared" si="158"/>
        <v>000100</v>
      </c>
      <c r="AY161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6">
        <f>((Table13345678[[#This Row],[High C]]+Table13345678[[#This Row],[Low C]])/2)*Table13345678[[#This Row],[gammac]]*Table13345678[[#This Row],[Volume]]</f>
        <v>0</v>
      </c>
      <c r="BD1616">
        <f>((Table13345678[[#This Row],[High P]]+Table13345678[[#This Row],[Low P]])/2)*Table13345678[[#This Row],[gammap]]*Table13345678[[#This Row],[Volume9]]*-1</f>
        <v>0</v>
      </c>
      <c r="BE1616">
        <f>(Table13345678[[#This Row],[SgammaC]]+Table13345678[[#This Row],[SgammaP]])*$A$4*-100</f>
        <v>0</v>
      </c>
      <c r="BF1616">
        <f>Table13345678[[#This Row],[DEXc]]+Table13345678[[#This Row],[DEXp]]</f>
        <v>0</v>
      </c>
      <c r="BG1616" s="78">
        <f>IFERROR(Table13345678[[#This Row],[DeltaC]]*Table13345678[[#This Row],[Open.Int]]*$A$4,0)</f>
        <v>0</v>
      </c>
      <c r="BH1616">
        <f>IFERROR(Table13345678[[#This Row],[DeltaP]]*Table13345678[[#This Row],[Open.Int8]]*$A$4,0)</f>
        <v>0</v>
      </c>
      <c r="BI161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6">
        <f ca="1">Table13345678[[#This Row],[charmc]]+Table13345678[[#This Row],[charmp]]</f>
        <v>0</v>
      </c>
      <c r="BL161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6" s="78">
        <f ca="1">Table13345678[[#This Row],[call helper]]+Table13345678[[#This Row],[put helper]]</f>
        <v>0</v>
      </c>
      <c r="BP161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7" spans="1:68" x14ac:dyDescent="0.25">
      <c r="A1617" s="14">
        <f t="shared" ca="1" si="154"/>
        <v>-126.14810350076104</v>
      </c>
      <c r="C1617" s="17"/>
      <c r="D1617" t="str">
        <f>RTD("tos.rtd", , "OPEN_INT", "."&amp;Table13345678[[#This Row],[Ticker]]&amp;Table13345678[[#This Row],[Expiry]]&amp;""&amp;"C"&amp;Table13345678[[#This Row],[Spot]]+Table13345678[[#This Row],[step]])</f>
        <v>N/A</v>
      </c>
      <c r="E161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7" s="17" cm="1">
        <f t="array" aca="1" ref="H1617" ca="1">IndividualLegIVCore($A$4, Table13345678[[#This Row],[Strike]], 0.0411, Table13345678[[#This Row],[T]], ((Table13345678[[#This Row],[BIDC]]+Table13345678[[#This Row],[ASKC]])/2), TRUE)</f>
        <v>0.01</v>
      </c>
      <c r="I161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7" s="17"/>
      <c r="M1617" s="1">
        <f t="shared" si="155"/>
        <v>0</v>
      </c>
      <c r="N1617" t="b">
        <f t="shared" si="156"/>
        <v>0</v>
      </c>
      <c r="P1617" s="17" cm="1">
        <f t="array" aca="1" ref="P1617" ca="1">IndividualLegIVCore($A$4, Table13345678[[#This Row],[Strike]], 0.0411, Table13345678[[#This Row],[T]], ((Table13345678[[#This Row],[BIDP]]+Table13345678[[#This Row],[ASKP]])/2), FALSE)</f>
        <v>0.01</v>
      </c>
      <c r="Q161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7" s="17"/>
      <c r="T161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7" s="19">
        <f>43* IF($M$1="NDX", 10, IF(OR($M$1="SPX", $M$1="RUT"), 2, 1))</f>
        <v>86</v>
      </c>
      <c r="Z1617">
        <f ca="1">IFERROR(Table13345678[[#This Row],[call gamma]]*(Table13345678[[#This Row],[Open.Int]])*$A$4^2,0)</f>
        <v>0</v>
      </c>
      <c r="AA1617">
        <f ca="1">IFERROR(((Table13345678[[#This Row],[Open.Int8]])*Table13345678[[#This Row],[Put gamma]])*-1*$A$4^2,0)</f>
        <v>0</v>
      </c>
      <c r="AB1617">
        <f ca="1">(Table13345678[[#This Row],[Call Gex]]+Table13345678[[#This Row],[Put Gex]])</f>
        <v>0</v>
      </c>
      <c r="AC1617">
        <f ca="1">Table13345678[[#This Row],[put delta adj]]+Table13345678[[#This Row],[call delta adj]]</f>
        <v>0</v>
      </c>
      <c r="AD1617">
        <f ca="1">Table13345678[[#This Row],[Put Gex]]*Table13345678[[#This Row],[DeltaP]]*-1</f>
        <v>0</v>
      </c>
      <c r="AE1617">
        <f ca="1">Table13345678[[#This Row],[Call Gex]]*Table13345678[[#This Row],[DeltaC]]</f>
        <v>0</v>
      </c>
      <c r="AF1617">
        <f>IF(Table13345678[[#This Row],[DeltaC]]-ABS(Table13345678[[#This Row],[DeltaP]])="0","0.01",Table13345678[[#This Row],[DeltaC]]-ABS(Table13345678[[#This Row],[DeltaP]]))</f>
        <v>0</v>
      </c>
      <c r="AG161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7" t="e">
        <f ca="1">(EXP(-(AG1617^2)/2)/SQRT(2*PI())*EXP(0*SQRT(Table13345678[[#This Row],[T]]))/$A$4*18%*SQRT(SQRT(Table13345678[[#This Row],[T]])))</f>
        <v>#DIV/0!</v>
      </c>
      <c r="AJ1617" t="e">
        <f ca="1">(EXP(-(AH1617^2)/2)/SQRT(2*PI())*EXP(0*SQRT(Table13345678[[#This Row],[T]]))/$A$4*18%*SQRT(SQRT(Table13345678[[#This Row],[T]])))</f>
        <v>#DIV/0!</v>
      </c>
      <c r="AK1617" t="e">
        <f ca="1">Table13345678[[#This Row],[Call D1]]-Table13345678[[#This Row],[IV Calc C]]*SQRT(Table13345678[[#This Row],[T]])</f>
        <v>#DIV/0!</v>
      </c>
      <c r="AL1617" t="e">
        <f ca="1">Table13345678[[#This Row],[Put D1]]-Table13345678[[#This Row],[IV Calc P]]*SQRT(Table13345678[[#This Row],[T]])</f>
        <v>#DIV/0!</v>
      </c>
      <c r="AM1617" t="e">
        <f ca="1">EXP(-0.5*Table13345678[[#This Row],[Call D1]]^2)/SQRT(2*PI())</f>
        <v>#DIV/0!</v>
      </c>
      <c r="AN1617" t="e">
        <f ca="1">EXP(-0.5*Table13345678[[#This Row],[Put D1]]^2)/SQRT(2*PI())</f>
        <v>#DIV/0!</v>
      </c>
      <c r="AO161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7">
        <f ca="1">((Table13345678[[#This Row],[call vanna]]+Table13345678[[#This Row],[put vanna]])*$A$4)</f>
        <v>0</v>
      </c>
      <c r="AR161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7" s="9" t="str" cm="1">
        <f t="array" ref="AT1617">_xlfn.IFS(     $M$1="SPX","SPXW",     $M$1="RUT","RUTW",  $M$1="NDX","NDXP",   TRUE,$M$1 )</f>
        <v>SPXW</v>
      </c>
      <c r="AU1617" s="2">
        <f t="shared" si="157"/>
        <v>6915</v>
      </c>
      <c r="AV1617" t="str">
        <f t="shared" si="158"/>
        <v>000100</v>
      </c>
      <c r="AY161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7">
        <f>((Table13345678[[#This Row],[High C]]+Table13345678[[#This Row],[Low C]])/2)*Table13345678[[#This Row],[gammac]]*Table13345678[[#This Row],[Volume]]</f>
        <v>0</v>
      </c>
      <c r="BD1617">
        <f>((Table13345678[[#This Row],[High P]]+Table13345678[[#This Row],[Low P]])/2)*Table13345678[[#This Row],[gammap]]*Table13345678[[#This Row],[Volume9]]*-1</f>
        <v>0</v>
      </c>
      <c r="BE1617">
        <f>(Table13345678[[#This Row],[SgammaC]]+Table13345678[[#This Row],[SgammaP]])*$A$4*-100</f>
        <v>0</v>
      </c>
      <c r="BF1617">
        <f>Table13345678[[#This Row],[DEXc]]+Table13345678[[#This Row],[DEXp]]</f>
        <v>0</v>
      </c>
      <c r="BG1617" s="78">
        <f>IFERROR(Table13345678[[#This Row],[DeltaC]]*Table13345678[[#This Row],[Open.Int]]*$A$4,0)</f>
        <v>0</v>
      </c>
      <c r="BH1617">
        <f>IFERROR(Table13345678[[#This Row],[DeltaP]]*Table13345678[[#This Row],[Open.Int8]]*$A$4,0)</f>
        <v>0</v>
      </c>
      <c r="BI161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7">
        <f ca="1">Table13345678[[#This Row],[charmc]]+Table13345678[[#This Row],[charmp]]</f>
        <v>0</v>
      </c>
      <c r="BL161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7" s="78">
        <f ca="1">Table13345678[[#This Row],[call helper]]+Table13345678[[#This Row],[put helper]]</f>
        <v>0</v>
      </c>
      <c r="BP161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8" spans="1:68" x14ac:dyDescent="0.25">
      <c r="A1618" s="14">
        <f t="shared" ca="1" si="154"/>
        <v>-126.14810350076104</v>
      </c>
      <c r="C1618" s="17"/>
      <c r="D1618" t="str">
        <f>RTD("tos.rtd", , "OPEN_INT", "."&amp;Table13345678[[#This Row],[Ticker]]&amp;Table13345678[[#This Row],[Expiry]]&amp;""&amp;"C"&amp;Table13345678[[#This Row],[Spot]]+Table13345678[[#This Row],[step]])</f>
        <v>N/A</v>
      </c>
      <c r="E161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8" s="17" cm="1">
        <f t="array" aca="1" ref="H1618" ca="1">IndividualLegIVCore($A$4, Table13345678[[#This Row],[Strike]], 0.0411, Table13345678[[#This Row],[T]], ((Table13345678[[#This Row],[BIDC]]+Table13345678[[#This Row],[ASKC]])/2), TRUE)</f>
        <v>0.01</v>
      </c>
      <c r="I161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8" s="17"/>
      <c r="M1618" s="1">
        <f t="shared" si="155"/>
        <v>0</v>
      </c>
      <c r="N1618" t="b">
        <f t="shared" si="156"/>
        <v>0</v>
      </c>
      <c r="P1618" s="17" cm="1">
        <f t="array" aca="1" ref="P1618" ca="1">IndividualLegIVCore($A$4, Table13345678[[#This Row],[Strike]], 0.0411, Table13345678[[#This Row],[T]], ((Table13345678[[#This Row],[BIDP]]+Table13345678[[#This Row],[ASKP]])/2), FALSE)</f>
        <v>0.01</v>
      </c>
      <c r="Q161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8" s="17"/>
      <c r="T161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8" s="19">
        <f>43.5* IF($M$1="NDX", 10, IF(OR($M$1="SPX", $M$1="RUT"), 2, 1))</f>
        <v>87</v>
      </c>
      <c r="Z1618">
        <f ca="1">IFERROR(Table13345678[[#This Row],[call gamma]]*(Table13345678[[#This Row],[Open.Int]])*$A$4^2,0)</f>
        <v>0</v>
      </c>
      <c r="AA1618">
        <f ca="1">IFERROR(((Table13345678[[#This Row],[Open.Int8]])*Table13345678[[#This Row],[Put gamma]])*-1*$A$4^2,0)</f>
        <v>0</v>
      </c>
      <c r="AB1618">
        <f ca="1">(Table13345678[[#This Row],[Call Gex]]+Table13345678[[#This Row],[Put Gex]])</f>
        <v>0</v>
      </c>
      <c r="AC1618">
        <f ca="1">Table13345678[[#This Row],[put delta adj]]+Table13345678[[#This Row],[call delta adj]]</f>
        <v>0</v>
      </c>
      <c r="AD1618">
        <f ca="1">Table13345678[[#This Row],[Put Gex]]*Table13345678[[#This Row],[DeltaP]]*-1</f>
        <v>0</v>
      </c>
      <c r="AE1618">
        <f ca="1">Table13345678[[#This Row],[Call Gex]]*Table13345678[[#This Row],[DeltaC]]</f>
        <v>0</v>
      </c>
      <c r="AF1618">
        <f>IF(Table13345678[[#This Row],[DeltaC]]-ABS(Table13345678[[#This Row],[DeltaP]])="0","0.01",Table13345678[[#This Row],[DeltaC]]-ABS(Table13345678[[#This Row],[DeltaP]]))</f>
        <v>0</v>
      </c>
      <c r="AG161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8" t="e">
        <f ca="1">(EXP(-(AG1618^2)/2)/SQRT(2*PI())*EXP(0*SQRT(Table13345678[[#This Row],[T]]))/$A$4*18%*SQRT(SQRT(Table13345678[[#This Row],[T]])))</f>
        <v>#DIV/0!</v>
      </c>
      <c r="AJ1618" t="e">
        <f ca="1">(EXP(-(AH1618^2)/2)/SQRT(2*PI())*EXP(0*SQRT(Table13345678[[#This Row],[T]]))/$A$4*18%*SQRT(SQRT(Table13345678[[#This Row],[T]])))</f>
        <v>#DIV/0!</v>
      </c>
      <c r="AK1618" t="e">
        <f ca="1">Table13345678[[#This Row],[Call D1]]-Table13345678[[#This Row],[IV Calc C]]*SQRT(Table13345678[[#This Row],[T]])</f>
        <v>#DIV/0!</v>
      </c>
      <c r="AL1618" t="e">
        <f ca="1">Table13345678[[#This Row],[Put D1]]-Table13345678[[#This Row],[IV Calc P]]*SQRT(Table13345678[[#This Row],[T]])</f>
        <v>#DIV/0!</v>
      </c>
      <c r="AM1618" t="e">
        <f ca="1">EXP(-0.5*Table13345678[[#This Row],[Call D1]]^2)/SQRT(2*PI())</f>
        <v>#DIV/0!</v>
      </c>
      <c r="AN1618" t="e">
        <f ca="1">EXP(-0.5*Table13345678[[#This Row],[Put D1]]^2)/SQRT(2*PI())</f>
        <v>#DIV/0!</v>
      </c>
      <c r="AO161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8">
        <f ca="1">((Table13345678[[#This Row],[call vanna]]+Table13345678[[#This Row],[put vanna]])*$A$4)</f>
        <v>0</v>
      </c>
      <c r="AR161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8" s="9" t="str" cm="1">
        <f t="array" ref="AT1618">_xlfn.IFS(     $M$1="SPX","SPXW",     $M$1="RUT","RUTW",  $M$1="NDX","NDXP",   TRUE,$M$1 )</f>
        <v>SPXW</v>
      </c>
      <c r="AU1618" s="2">
        <f t="shared" si="157"/>
        <v>6915</v>
      </c>
      <c r="AV1618" t="str">
        <f t="shared" si="158"/>
        <v>000100</v>
      </c>
      <c r="AY161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8">
        <f>((Table13345678[[#This Row],[High C]]+Table13345678[[#This Row],[Low C]])/2)*Table13345678[[#This Row],[gammac]]*Table13345678[[#This Row],[Volume]]</f>
        <v>0</v>
      </c>
      <c r="BD1618">
        <f>((Table13345678[[#This Row],[High P]]+Table13345678[[#This Row],[Low P]])/2)*Table13345678[[#This Row],[gammap]]*Table13345678[[#This Row],[Volume9]]*-1</f>
        <v>0</v>
      </c>
      <c r="BE1618">
        <f>(Table13345678[[#This Row],[SgammaC]]+Table13345678[[#This Row],[SgammaP]])*$A$4*-100</f>
        <v>0</v>
      </c>
      <c r="BF1618">
        <f>Table13345678[[#This Row],[DEXc]]+Table13345678[[#This Row],[DEXp]]</f>
        <v>0</v>
      </c>
      <c r="BG1618" s="78">
        <f>IFERROR(Table13345678[[#This Row],[DeltaC]]*Table13345678[[#This Row],[Open.Int]]*$A$4,0)</f>
        <v>0</v>
      </c>
      <c r="BH1618">
        <f>IFERROR(Table13345678[[#This Row],[DeltaP]]*Table13345678[[#This Row],[Open.Int8]]*$A$4,0)</f>
        <v>0</v>
      </c>
      <c r="BI161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8">
        <f ca="1">Table13345678[[#This Row],[charmc]]+Table13345678[[#This Row],[charmp]]</f>
        <v>0</v>
      </c>
      <c r="BL161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8" s="78">
        <f ca="1">Table13345678[[#This Row],[call helper]]+Table13345678[[#This Row],[put helper]]</f>
        <v>0</v>
      </c>
      <c r="BP161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9" spans="1:68" x14ac:dyDescent="0.25">
      <c r="A1619" s="14">
        <f t="shared" ca="1" si="154"/>
        <v>-126.14810350076104</v>
      </c>
      <c r="C1619" s="17"/>
      <c r="D1619" t="str">
        <f>RTD("tos.rtd", , "OPEN_INT", "."&amp;Table13345678[[#This Row],[Ticker]]&amp;Table13345678[[#This Row],[Expiry]]&amp;""&amp;"C"&amp;Table13345678[[#This Row],[Spot]]+Table13345678[[#This Row],[step]])</f>
        <v>N/A</v>
      </c>
      <c r="E161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9" s="17" cm="1">
        <f t="array" aca="1" ref="H1619" ca="1">IndividualLegIVCore($A$4, Table13345678[[#This Row],[Strike]], 0.0411, Table13345678[[#This Row],[T]], ((Table13345678[[#This Row],[BIDC]]+Table13345678[[#This Row],[ASKC]])/2), TRUE)</f>
        <v>0.01</v>
      </c>
      <c r="I161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9" s="17"/>
      <c r="M1619" s="1">
        <f t="shared" si="155"/>
        <v>0</v>
      </c>
      <c r="N1619" t="b">
        <f t="shared" si="156"/>
        <v>0</v>
      </c>
      <c r="P1619" s="17" cm="1">
        <f t="array" aca="1" ref="P1619" ca="1">IndividualLegIVCore($A$4, Table13345678[[#This Row],[Strike]], 0.0411, Table13345678[[#This Row],[T]], ((Table13345678[[#This Row],[BIDP]]+Table13345678[[#This Row],[ASKP]])/2), FALSE)</f>
        <v>0.01</v>
      </c>
      <c r="Q161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9" s="17"/>
      <c r="T161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9" s="19">
        <f>44* IF($M$1="NDX", 10, IF(OR($M$1="SPX", $M$1="RUT"), 2, 1))</f>
        <v>88</v>
      </c>
      <c r="Z1619">
        <f ca="1">IFERROR(Table13345678[[#This Row],[call gamma]]*(Table13345678[[#This Row],[Open.Int]])*$A$4^2,0)</f>
        <v>0</v>
      </c>
      <c r="AA1619">
        <f ca="1">IFERROR(((Table13345678[[#This Row],[Open.Int8]])*Table13345678[[#This Row],[Put gamma]])*-1*$A$4^2,0)</f>
        <v>0</v>
      </c>
      <c r="AB1619">
        <f ca="1">(Table13345678[[#This Row],[Call Gex]]+Table13345678[[#This Row],[Put Gex]])</f>
        <v>0</v>
      </c>
      <c r="AC1619">
        <f ca="1">Table13345678[[#This Row],[put delta adj]]+Table13345678[[#This Row],[call delta adj]]</f>
        <v>0</v>
      </c>
      <c r="AD1619">
        <f ca="1">Table13345678[[#This Row],[Put Gex]]*Table13345678[[#This Row],[DeltaP]]*-1</f>
        <v>0</v>
      </c>
      <c r="AE1619">
        <f ca="1">Table13345678[[#This Row],[Call Gex]]*Table13345678[[#This Row],[DeltaC]]</f>
        <v>0</v>
      </c>
      <c r="AF1619">
        <f>IF(Table13345678[[#This Row],[DeltaC]]-ABS(Table13345678[[#This Row],[DeltaP]])="0","0.01",Table13345678[[#This Row],[DeltaC]]-ABS(Table13345678[[#This Row],[DeltaP]]))</f>
        <v>0</v>
      </c>
      <c r="AG161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9" t="e">
        <f ca="1">(EXP(-(AG1619^2)/2)/SQRT(2*PI())*EXP(0*SQRT(Table13345678[[#This Row],[T]]))/$A$4*18%*SQRT(SQRT(Table13345678[[#This Row],[T]])))</f>
        <v>#DIV/0!</v>
      </c>
      <c r="AJ1619" t="e">
        <f ca="1">(EXP(-(AH1619^2)/2)/SQRT(2*PI())*EXP(0*SQRT(Table13345678[[#This Row],[T]]))/$A$4*18%*SQRT(SQRT(Table13345678[[#This Row],[T]])))</f>
        <v>#DIV/0!</v>
      </c>
      <c r="AK1619" t="e">
        <f ca="1">Table13345678[[#This Row],[Call D1]]-Table13345678[[#This Row],[IV Calc C]]*SQRT(Table13345678[[#This Row],[T]])</f>
        <v>#DIV/0!</v>
      </c>
      <c r="AL1619" t="e">
        <f ca="1">Table13345678[[#This Row],[Put D1]]-Table13345678[[#This Row],[IV Calc P]]*SQRT(Table13345678[[#This Row],[T]])</f>
        <v>#DIV/0!</v>
      </c>
      <c r="AM1619" t="e">
        <f ca="1">EXP(-0.5*Table13345678[[#This Row],[Call D1]]^2)/SQRT(2*PI())</f>
        <v>#DIV/0!</v>
      </c>
      <c r="AN1619" t="e">
        <f ca="1">EXP(-0.5*Table13345678[[#This Row],[Put D1]]^2)/SQRT(2*PI())</f>
        <v>#DIV/0!</v>
      </c>
      <c r="AO161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9">
        <f ca="1">((Table13345678[[#This Row],[call vanna]]+Table13345678[[#This Row],[put vanna]])*$A$4)</f>
        <v>0</v>
      </c>
      <c r="AR161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9" s="9" t="str" cm="1">
        <f t="array" ref="AT1619">_xlfn.IFS(     $M$1="SPX","SPXW",     $M$1="RUT","RUTW",  $M$1="NDX","NDXP",   TRUE,$M$1 )</f>
        <v>SPXW</v>
      </c>
      <c r="AU1619" s="2">
        <f t="shared" si="157"/>
        <v>6915</v>
      </c>
      <c r="AV1619" t="str">
        <f t="shared" si="158"/>
        <v>000100</v>
      </c>
      <c r="AY161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9">
        <f>((Table13345678[[#This Row],[High C]]+Table13345678[[#This Row],[Low C]])/2)*Table13345678[[#This Row],[gammac]]*Table13345678[[#This Row],[Volume]]</f>
        <v>0</v>
      </c>
      <c r="BD1619">
        <f>((Table13345678[[#This Row],[High P]]+Table13345678[[#This Row],[Low P]])/2)*Table13345678[[#This Row],[gammap]]*Table13345678[[#This Row],[Volume9]]*-1</f>
        <v>0</v>
      </c>
      <c r="BE1619">
        <f>(Table13345678[[#This Row],[SgammaC]]+Table13345678[[#This Row],[SgammaP]])*$A$4*-100</f>
        <v>0</v>
      </c>
      <c r="BF1619">
        <f>Table13345678[[#This Row],[DEXc]]+Table13345678[[#This Row],[DEXp]]</f>
        <v>0</v>
      </c>
      <c r="BG1619" s="78">
        <f>IFERROR(Table13345678[[#This Row],[DeltaC]]*Table13345678[[#This Row],[Open.Int]]*$A$4,0)</f>
        <v>0</v>
      </c>
      <c r="BH1619">
        <f>IFERROR(Table13345678[[#This Row],[DeltaP]]*Table13345678[[#This Row],[Open.Int8]]*$A$4,0)</f>
        <v>0</v>
      </c>
      <c r="BI161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9">
        <f ca="1">Table13345678[[#This Row],[charmc]]+Table13345678[[#This Row],[charmp]]</f>
        <v>0</v>
      </c>
      <c r="BL161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9" s="78">
        <f ca="1">Table13345678[[#This Row],[call helper]]+Table13345678[[#This Row],[put helper]]</f>
        <v>0</v>
      </c>
      <c r="BP161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0" spans="1:68" x14ac:dyDescent="0.25">
      <c r="A1620" s="14">
        <f t="shared" ca="1" si="154"/>
        <v>-126.14810350076104</v>
      </c>
      <c r="C1620" s="17"/>
      <c r="D1620" t="str">
        <f>RTD("tos.rtd", , "OPEN_INT", "."&amp;Table13345678[[#This Row],[Ticker]]&amp;Table13345678[[#This Row],[Expiry]]&amp;""&amp;"C"&amp;Table13345678[[#This Row],[Spot]]+Table13345678[[#This Row],[step]])</f>
        <v>N/A</v>
      </c>
      <c r="E162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0" s="17" cm="1">
        <f t="array" aca="1" ref="H1620" ca="1">IndividualLegIVCore($A$4, Table13345678[[#This Row],[Strike]], 0.0411, Table13345678[[#This Row],[T]], ((Table13345678[[#This Row],[BIDC]]+Table13345678[[#This Row],[ASKC]])/2), TRUE)</f>
        <v>0.01</v>
      </c>
      <c r="I162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0" s="17"/>
      <c r="M1620" s="1">
        <f t="shared" si="155"/>
        <v>0</v>
      </c>
      <c r="N1620" t="b">
        <f t="shared" si="156"/>
        <v>0</v>
      </c>
      <c r="P1620" s="17" cm="1">
        <f t="array" aca="1" ref="P1620" ca="1">IndividualLegIVCore($A$4, Table13345678[[#This Row],[Strike]], 0.0411, Table13345678[[#This Row],[T]], ((Table13345678[[#This Row],[BIDP]]+Table13345678[[#This Row],[ASKP]])/2), FALSE)</f>
        <v>0.01</v>
      </c>
      <c r="Q162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0" s="17"/>
      <c r="T162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0" s="19">
        <f>44.5* IF($M$1="NDX", 10, IF(OR($M$1="SPX", $M$1="RUT"), 2, 1))</f>
        <v>89</v>
      </c>
      <c r="Z1620">
        <f ca="1">IFERROR(Table13345678[[#This Row],[call gamma]]*(Table13345678[[#This Row],[Open.Int]])*$A$4^2,0)</f>
        <v>0</v>
      </c>
      <c r="AA1620">
        <f ca="1">IFERROR(((Table13345678[[#This Row],[Open.Int8]])*Table13345678[[#This Row],[Put gamma]])*-1*$A$4^2,0)</f>
        <v>0</v>
      </c>
      <c r="AB1620">
        <f ca="1">(Table13345678[[#This Row],[Call Gex]]+Table13345678[[#This Row],[Put Gex]])</f>
        <v>0</v>
      </c>
      <c r="AC1620">
        <f ca="1">Table13345678[[#This Row],[put delta adj]]+Table13345678[[#This Row],[call delta adj]]</f>
        <v>0</v>
      </c>
      <c r="AD1620">
        <f ca="1">Table13345678[[#This Row],[Put Gex]]*Table13345678[[#This Row],[DeltaP]]*-1</f>
        <v>0</v>
      </c>
      <c r="AE1620">
        <f ca="1">Table13345678[[#This Row],[Call Gex]]*Table13345678[[#This Row],[DeltaC]]</f>
        <v>0</v>
      </c>
      <c r="AF1620">
        <f>IF(Table13345678[[#This Row],[DeltaC]]-ABS(Table13345678[[#This Row],[DeltaP]])="0","0.01",Table13345678[[#This Row],[DeltaC]]-ABS(Table13345678[[#This Row],[DeltaP]]))</f>
        <v>0</v>
      </c>
      <c r="AG162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0" t="e">
        <f ca="1">(EXP(-(AG1620^2)/2)/SQRT(2*PI())*EXP(0*SQRT(Table13345678[[#This Row],[T]]))/$A$4*18%*SQRT(SQRT(Table13345678[[#This Row],[T]])))</f>
        <v>#DIV/0!</v>
      </c>
      <c r="AJ1620" t="e">
        <f ca="1">(EXP(-(AH1620^2)/2)/SQRT(2*PI())*EXP(0*SQRT(Table13345678[[#This Row],[T]]))/$A$4*18%*SQRT(SQRT(Table13345678[[#This Row],[T]])))</f>
        <v>#DIV/0!</v>
      </c>
      <c r="AK1620" t="e">
        <f ca="1">Table13345678[[#This Row],[Call D1]]-Table13345678[[#This Row],[IV Calc C]]*SQRT(Table13345678[[#This Row],[T]])</f>
        <v>#DIV/0!</v>
      </c>
      <c r="AL1620" t="e">
        <f ca="1">Table13345678[[#This Row],[Put D1]]-Table13345678[[#This Row],[IV Calc P]]*SQRT(Table13345678[[#This Row],[T]])</f>
        <v>#DIV/0!</v>
      </c>
      <c r="AM1620" t="e">
        <f ca="1">EXP(-0.5*Table13345678[[#This Row],[Call D1]]^2)/SQRT(2*PI())</f>
        <v>#DIV/0!</v>
      </c>
      <c r="AN1620" t="e">
        <f ca="1">EXP(-0.5*Table13345678[[#This Row],[Put D1]]^2)/SQRT(2*PI())</f>
        <v>#DIV/0!</v>
      </c>
      <c r="AO162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0">
        <f ca="1">((Table13345678[[#This Row],[call vanna]]+Table13345678[[#This Row],[put vanna]])*$A$4)</f>
        <v>0</v>
      </c>
      <c r="AR162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0" s="9" t="str" cm="1">
        <f t="array" ref="AT1620">_xlfn.IFS(     $M$1="SPX","SPXW",     $M$1="RUT","RUTW",  $M$1="NDX","NDXP",   TRUE,$M$1 )</f>
        <v>SPXW</v>
      </c>
      <c r="AU1620" s="2">
        <f t="shared" si="157"/>
        <v>6915</v>
      </c>
      <c r="AV1620" t="str">
        <f t="shared" si="158"/>
        <v>000100</v>
      </c>
      <c r="AY162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0">
        <f>((Table13345678[[#This Row],[High C]]+Table13345678[[#This Row],[Low C]])/2)*Table13345678[[#This Row],[gammac]]*Table13345678[[#This Row],[Volume]]</f>
        <v>0</v>
      </c>
      <c r="BD1620">
        <f>((Table13345678[[#This Row],[High P]]+Table13345678[[#This Row],[Low P]])/2)*Table13345678[[#This Row],[gammap]]*Table13345678[[#This Row],[Volume9]]*-1</f>
        <v>0</v>
      </c>
      <c r="BE1620">
        <f>(Table13345678[[#This Row],[SgammaC]]+Table13345678[[#This Row],[SgammaP]])*$A$4*-100</f>
        <v>0</v>
      </c>
      <c r="BF1620">
        <f>Table13345678[[#This Row],[DEXc]]+Table13345678[[#This Row],[DEXp]]</f>
        <v>0</v>
      </c>
      <c r="BG1620" s="78">
        <f>IFERROR(Table13345678[[#This Row],[DeltaC]]*Table13345678[[#This Row],[Open.Int]]*$A$4,0)</f>
        <v>0</v>
      </c>
      <c r="BH1620">
        <f>IFERROR(Table13345678[[#This Row],[DeltaP]]*Table13345678[[#This Row],[Open.Int8]]*$A$4,0)</f>
        <v>0</v>
      </c>
      <c r="BI162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0">
        <f ca="1">Table13345678[[#This Row],[charmc]]+Table13345678[[#This Row],[charmp]]</f>
        <v>0</v>
      </c>
      <c r="BL162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0" s="78">
        <f ca="1">Table13345678[[#This Row],[call helper]]+Table13345678[[#This Row],[put helper]]</f>
        <v>0</v>
      </c>
      <c r="BP162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1" spans="1:68" x14ac:dyDescent="0.25">
      <c r="A1621" s="14">
        <f t="shared" ca="1" si="154"/>
        <v>-126.14810350076104</v>
      </c>
      <c r="C1621" s="17"/>
      <c r="D1621" t="str">
        <f>RTD("tos.rtd", , "OPEN_INT", "."&amp;Table13345678[[#This Row],[Ticker]]&amp;Table13345678[[#This Row],[Expiry]]&amp;""&amp;"C"&amp;Table13345678[[#This Row],[Spot]]+Table13345678[[#This Row],[step]])</f>
        <v>N/A</v>
      </c>
      <c r="E162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1" s="17" cm="1">
        <f t="array" aca="1" ref="H1621" ca="1">IndividualLegIVCore($A$4, Table13345678[[#This Row],[Strike]], 0.0411, Table13345678[[#This Row],[T]], ((Table13345678[[#This Row],[BIDC]]+Table13345678[[#This Row],[ASKC]])/2), TRUE)</f>
        <v>0.01</v>
      </c>
      <c r="I162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1" s="17"/>
      <c r="M1621" s="1">
        <f t="shared" si="155"/>
        <v>0</v>
      </c>
      <c r="N1621" t="b">
        <f t="shared" si="156"/>
        <v>0</v>
      </c>
      <c r="P1621" s="17" cm="1">
        <f t="array" aca="1" ref="P1621" ca="1">IndividualLegIVCore($A$4, Table13345678[[#This Row],[Strike]], 0.0411, Table13345678[[#This Row],[T]], ((Table13345678[[#This Row],[BIDP]]+Table13345678[[#This Row],[ASKP]])/2), FALSE)</f>
        <v>0.01</v>
      </c>
      <c r="Q162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1" s="17"/>
      <c r="T162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1" s="20">
        <f>45* IF($M$1="NDX", 10, IF(OR($M$1="SPX", $M$1="RUT"), 2, 1))</f>
        <v>90</v>
      </c>
      <c r="Z1621">
        <f ca="1">IFERROR(Table13345678[[#This Row],[call gamma]]*(Table13345678[[#This Row],[Open.Int]])*$A$4^2,0)</f>
        <v>0</v>
      </c>
      <c r="AA1621">
        <f ca="1">IFERROR(((Table13345678[[#This Row],[Open.Int8]])*Table13345678[[#This Row],[Put gamma]])*-1*$A$4^2,0)</f>
        <v>0</v>
      </c>
      <c r="AB1621">
        <f ca="1">(Table13345678[[#This Row],[Call Gex]]+Table13345678[[#This Row],[Put Gex]])</f>
        <v>0</v>
      </c>
      <c r="AC1621">
        <f ca="1">Table13345678[[#This Row],[put delta adj]]+Table13345678[[#This Row],[call delta adj]]</f>
        <v>0</v>
      </c>
      <c r="AD1621">
        <f ca="1">Table13345678[[#This Row],[Put Gex]]*Table13345678[[#This Row],[DeltaP]]*-1</f>
        <v>0</v>
      </c>
      <c r="AE1621">
        <f ca="1">Table13345678[[#This Row],[Call Gex]]*Table13345678[[#This Row],[DeltaC]]</f>
        <v>0</v>
      </c>
      <c r="AF1621">
        <f>IF(Table13345678[[#This Row],[DeltaC]]-ABS(Table13345678[[#This Row],[DeltaP]])="0","0.01",Table13345678[[#This Row],[DeltaC]]-ABS(Table13345678[[#This Row],[DeltaP]]))</f>
        <v>0</v>
      </c>
      <c r="AG162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1" t="e">
        <f ca="1">(EXP(-(AG1621^2)/2)/SQRT(2*PI())*EXP(0*SQRT(Table13345678[[#This Row],[T]]))/$A$4*18%*SQRT(SQRT(Table13345678[[#This Row],[T]])))</f>
        <v>#DIV/0!</v>
      </c>
      <c r="AJ1621" t="e">
        <f ca="1">(EXP(-(AH1621^2)/2)/SQRT(2*PI())*EXP(0*SQRT(Table13345678[[#This Row],[T]]))/$A$4*18%*SQRT(SQRT(Table13345678[[#This Row],[T]])))</f>
        <v>#DIV/0!</v>
      </c>
      <c r="AK1621" t="e">
        <f ca="1">Table13345678[[#This Row],[Call D1]]-Table13345678[[#This Row],[IV Calc C]]*SQRT(Table13345678[[#This Row],[T]])</f>
        <v>#DIV/0!</v>
      </c>
      <c r="AL1621" t="e">
        <f ca="1">Table13345678[[#This Row],[Put D1]]-Table13345678[[#This Row],[IV Calc P]]*SQRT(Table13345678[[#This Row],[T]])</f>
        <v>#DIV/0!</v>
      </c>
      <c r="AM1621" t="e">
        <f ca="1">EXP(-0.5*Table13345678[[#This Row],[Call D1]]^2)/SQRT(2*PI())</f>
        <v>#DIV/0!</v>
      </c>
      <c r="AN1621" t="e">
        <f ca="1">EXP(-0.5*Table13345678[[#This Row],[Put D1]]^2)/SQRT(2*PI())</f>
        <v>#DIV/0!</v>
      </c>
      <c r="AO162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1">
        <f ca="1">((Table13345678[[#This Row],[call vanna]]+Table13345678[[#This Row],[put vanna]])*$A$4)</f>
        <v>0</v>
      </c>
      <c r="AR162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1" s="9" t="str" cm="1">
        <f t="array" ref="AT1621">_xlfn.IFS(     $M$1="SPX","SPXW",     $M$1="RUT","RUTW",  $M$1="NDX","NDXP",   TRUE,$M$1 )</f>
        <v>SPXW</v>
      </c>
      <c r="AU1621" s="2">
        <f t="shared" si="157"/>
        <v>6915</v>
      </c>
      <c r="AV1621" t="str">
        <f t="shared" si="158"/>
        <v>000100</v>
      </c>
      <c r="AY162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1">
        <f>((Table13345678[[#This Row],[High C]]+Table13345678[[#This Row],[Low C]])/2)*Table13345678[[#This Row],[gammac]]*Table13345678[[#This Row],[Volume]]</f>
        <v>0</v>
      </c>
      <c r="BD1621">
        <f>((Table13345678[[#This Row],[High P]]+Table13345678[[#This Row],[Low P]])/2)*Table13345678[[#This Row],[gammap]]*Table13345678[[#This Row],[Volume9]]*-1</f>
        <v>0</v>
      </c>
      <c r="BE1621">
        <f>(Table13345678[[#This Row],[SgammaC]]+Table13345678[[#This Row],[SgammaP]])*$A$4*-100</f>
        <v>0</v>
      </c>
      <c r="BF1621">
        <f>Table13345678[[#This Row],[DEXc]]+Table13345678[[#This Row],[DEXp]]</f>
        <v>0</v>
      </c>
      <c r="BG1621" s="78">
        <f>IFERROR(Table13345678[[#This Row],[DeltaC]]*Table13345678[[#This Row],[Open.Int]]*$A$4,0)</f>
        <v>0</v>
      </c>
      <c r="BH1621">
        <f>IFERROR(Table13345678[[#This Row],[DeltaP]]*Table13345678[[#This Row],[Open.Int8]]*$A$4,0)</f>
        <v>0</v>
      </c>
      <c r="BI162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1">
        <f ca="1">Table13345678[[#This Row],[charmc]]+Table13345678[[#This Row],[charmp]]</f>
        <v>0</v>
      </c>
      <c r="BL162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1" s="78">
        <f ca="1">Table13345678[[#This Row],[call helper]]+Table13345678[[#This Row],[put helper]]</f>
        <v>0</v>
      </c>
      <c r="BP162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2" spans="1:68" x14ac:dyDescent="0.25">
      <c r="A1622" s="14">
        <f t="shared" ca="1" si="154"/>
        <v>-126.14810350076104</v>
      </c>
      <c r="C1622" s="17"/>
      <c r="D1622" t="str">
        <f>RTD("tos.rtd", , "OPEN_INT", "."&amp;Table13345678[[#This Row],[Ticker]]&amp;Table13345678[[#This Row],[Expiry]]&amp;""&amp;"C"&amp;Table13345678[[#This Row],[Spot]]+Table13345678[[#This Row],[step]])</f>
        <v>N/A</v>
      </c>
      <c r="E162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2" s="17" cm="1">
        <f t="array" aca="1" ref="H1622" ca="1">IndividualLegIVCore($A$4, Table13345678[[#This Row],[Strike]], 0.0411, Table13345678[[#This Row],[T]], ((Table13345678[[#This Row],[BIDC]]+Table13345678[[#This Row],[ASKC]])/2), TRUE)</f>
        <v>0.01</v>
      </c>
      <c r="I162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2" s="17"/>
      <c r="M1622" s="1">
        <f t="shared" si="155"/>
        <v>0</v>
      </c>
      <c r="N1622" t="b">
        <f t="shared" si="156"/>
        <v>0</v>
      </c>
      <c r="P1622" s="17" cm="1">
        <f t="array" aca="1" ref="P1622" ca="1">IndividualLegIVCore($A$4, Table13345678[[#This Row],[Strike]], 0.0411, Table13345678[[#This Row],[T]], ((Table13345678[[#This Row],[BIDP]]+Table13345678[[#This Row],[ASKP]])/2), FALSE)</f>
        <v>0.01</v>
      </c>
      <c r="Q162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2" s="17"/>
      <c r="T162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2" s="19">
        <f>45.5* IF($M$1="NDX", 10, IF(OR($M$1="SPX", $M$1="RUT"), 2, 1))</f>
        <v>91</v>
      </c>
      <c r="Z1622">
        <f ca="1">IFERROR(Table13345678[[#This Row],[call gamma]]*(Table13345678[[#This Row],[Open.Int]])*$A$4^2,0)</f>
        <v>0</v>
      </c>
      <c r="AA1622">
        <f ca="1">IFERROR(((Table13345678[[#This Row],[Open.Int8]])*Table13345678[[#This Row],[Put gamma]])*-1*$A$4^2,0)</f>
        <v>0</v>
      </c>
      <c r="AB1622">
        <f ca="1">(Table13345678[[#This Row],[Call Gex]]+Table13345678[[#This Row],[Put Gex]])</f>
        <v>0</v>
      </c>
      <c r="AC1622">
        <f ca="1">Table13345678[[#This Row],[put delta adj]]+Table13345678[[#This Row],[call delta adj]]</f>
        <v>0</v>
      </c>
      <c r="AD1622">
        <f ca="1">Table13345678[[#This Row],[Put Gex]]*Table13345678[[#This Row],[DeltaP]]*-1</f>
        <v>0</v>
      </c>
      <c r="AE1622">
        <f ca="1">Table13345678[[#This Row],[Call Gex]]*Table13345678[[#This Row],[DeltaC]]</f>
        <v>0</v>
      </c>
      <c r="AF1622">
        <f>IF(Table13345678[[#This Row],[DeltaC]]-ABS(Table13345678[[#This Row],[DeltaP]])="0","0.01",Table13345678[[#This Row],[DeltaC]]-ABS(Table13345678[[#This Row],[DeltaP]]))</f>
        <v>0</v>
      </c>
      <c r="AG162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2" t="e">
        <f ca="1">(EXP(-(AG1622^2)/2)/SQRT(2*PI())*EXP(0*SQRT(Table13345678[[#This Row],[T]]))/$A$4*18%*SQRT(SQRT(Table13345678[[#This Row],[T]])))</f>
        <v>#DIV/0!</v>
      </c>
      <c r="AJ1622" t="e">
        <f ca="1">(EXP(-(AH1622^2)/2)/SQRT(2*PI())*EXP(0*SQRT(Table13345678[[#This Row],[T]]))/$A$4*18%*SQRT(SQRT(Table13345678[[#This Row],[T]])))</f>
        <v>#DIV/0!</v>
      </c>
      <c r="AK1622" t="e">
        <f ca="1">Table13345678[[#This Row],[Call D1]]-Table13345678[[#This Row],[IV Calc C]]*SQRT(Table13345678[[#This Row],[T]])</f>
        <v>#DIV/0!</v>
      </c>
      <c r="AL1622" t="e">
        <f ca="1">Table13345678[[#This Row],[Put D1]]-Table13345678[[#This Row],[IV Calc P]]*SQRT(Table13345678[[#This Row],[T]])</f>
        <v>#DIV/0!</v>
      </c>
      <c r="AM1622" t="e">
        <f ca="1">EXP(-0.5*Table13345678[[#This Row],[Call D1]]^2)/SQRT(2*PI())</f>
        <v>#DIV/0!</v>
      </c>
      <c r="AN1622" t="e">
        <f ca="1">EXP(-0.5*Table13345678[[#This Row],[Put D1]]^2)/SQRT(2*PI())</f>
        <v>#DIV/0!</v>
      </c>
      <c r="AO162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2">
        <f ca="1">((Table13345678[[#This Row],[call vanna]]+Table13345678[[#This Row],[put vanna]])*$A$4)</f>
        <v>0</v>
      </c>
      <c r="AR162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2" s="9" t="str" cm="1">
        <f t="array" ref="AT1622">_xlfn.IFS(     $M$1="SPX","SPXW",     $M$1="RUT","RUTW",  $M$1="NDX","NDXP",   TRUE,$M$1 )</f>
        <v>SPXW</v>
      </c>
      <c r="AU1622" s="2">
        <f t="shared" si="157"/>
        <v>6915</v>
      </c>
      <c r="AV1622" t="str">
        <f t="shared" si="158"/>
        <v>000100</v>
      </c>
      <c r="AY162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2">
        <f>((Table13345678[[#This Row],[High C]]+Table13345678[[#This Row],[Low C]])/2)*Table13345678[[#This Row],[gammac]]*Table13345678[[#This Row],[Volume]]</f>
        <v>0</v>
      </c>
      <c r="BD1622">
        <f>((Table13345678[[#This Row],[High P]]+Table13345678[[#This Row],[Low P]])/2)*Table13345678[[#This Row],[gammap]]*Table13345678[[#This Row],[Volume9]]*-1</f>
        <v>0</v>
      </c>
      <c r="BE1622">
        <f>(Table13345678[[#This Row],[SgammaC]]+Table13345678[[#This Row],[SgammaP]])*$A$4*-100</f>
        <v>0</v>
      </c>
      <c r="BF1622">
        <f>Table13345678[[#This Row],[DEXc]]+Table13345678[[#This Row],[DEXp]]</f>
        <v>0</v>
      </c>
      <c r="BG1622" s="78">
        <f>IFERROR(Table13345678[[#This Row],[DeltaC]]*Table13345678[[#This Row],[Open.Int]]*$A$4,0)</f>
        <v>0</v>
      </c>
      <c r="BH1622">
        <f>IFERROR(Table13345678[[#This Row],[DeltaP]]*Table13345678[[#This Row],[Open.Int8]]*$A$4,0)</f>
        <v>0</v>
      </c>
      <c r="BI162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2">
        <f ca="1">Table13345678[[#This Row],[charmc]]+Table13345678[[#This Row],[charmp]]</f>
        <v>0</v>
      </c>
      <c r="BL1622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2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2" s="78">
        <f ca="1">Table13345678[[#This Row],[call helper]]+Table13345678[[#This Row],[put helper]]</f>
        <v>0</v>
      </c>
      <c r="BP162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3" spans="1:68" x14ac:dyDescent="0.25">
      <c r="A1623" s="14">
        <f t="shared" ref="A1623:A1631" ca="1" si="159">$V$3</f>
        <v>-126.14810350076104</v>
      </c>
      <c r="C1623" s="17"/>
      <c r="D1623" t="str">
        <f>RTD("tos.rtd", , "OPEN_INT", "."&amp;Table13345678[[#This Row],[Ticker]]&amp;Table13345678[[#This Row],[Expiry]]&amp;""&amp;"C"&amp;Table13345678[[#This Row],[Spot]]+Table13345678[[#This Row],[step]])</f>
        <v>N/A</v>
      </c>
      <c r="E162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3" s="17" cm="1">
        <f t="array" aca="1" ref="H1623" ca="1">IndividualLegIVCore($A$4, Table13345678[[#This Row],[Strike]], 0.0411, Table13345678[[#This Row],[T]], ((Table13345678[[#This Row],[BIDC]]+Table13345678[[#This Row],[ASKC]])/2), TRUE)</f>
        <v>0.01</v>
      </c>
      <c r="I162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3" s="17"/>
      <c r="M1623" s="1">
        <f t="shared" ref="M1623:M1631" si="160">$V$1</f>
        <v>0</v>
      </c>
      <c r="N1623" t="b">
        <f t="shared" ref="N1623:N1631" si="161">IF(ISNUMBER($BP1623), $BP1623, FALSE)</f>
        <v>0</v>
      </c>
      <c r="P1623" s="17" cm="1">
        <f t="array" aca="1" ref="P1623" ca="1">IndividualLegIVCore($A$4, Table13345678[[#This Row],[Strike]], 0.0411, Table13345678[[#This Row],[T]], ((Table13345678[[#This Row],[BIDP]]+Table13345678[[#This Row],[ASKP]])/2), FALSE)</f>
        <v>0.01</v>
      </c>
      <c r="Q162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3" s="17"/>
      <c r="T162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3">
        <f>46* IF($M$1="NDX", 10, IF(OR($M$1="SPX", $M$1="RUT"), 2, 1))</f>
        <v>92</v>
      </c>
      <c r="Z1623">
        <f ca="1">IFERROR(Table13345678[[#This Row],[call gamma]]*(Table13345678[[#This Row],[Open.Int]])*$A$4^2,0)</f>
        <v>0</v>
      </c>
      <c r="AA1623">
        <f ca="1">IFERROR(((Table13345678[[#This Row],[Open.Int8]])*Table13345678[[#This Row],[Put gamma]])*-1*$A$4^2,0)</f>
        <v>0</v>
      </c>
      <c r="AB1623">
        <f ca="1">(Table13345678[[#This Row],[Call Gex]]+Table13345678[[#This Row],[Put Gex]])</f>
        <v>0</v>
      </c>
      <c r="AC1623">
        <f ca="1">Table13345678[[#This Row],[put delta adj]]+Table13345678[[#This Row],[call delta adj]]</f>
        <v>0</v>
      </c>
      <c r="AD1623">
        <f ca="1">Table13345678[[#This Row],[Put Gex]]*Table13345678[[#This Row],[DeltaP]]*-1</f>
        <v>0</v>
      </c>
      <c r="AE1623">
        <f ca="1">Table13345678[[#This Row],[Call Gex]]*Table13345678[[#This Row],[DeltaC]]</f>
        <v>0</v>
      </c>
      <c r="AF1623">
        <f>IF(Table13345678[[#This Row],[DeltaC]]-ABS(Table13345678[[#This Row],[DeltaP]])="0","0.01",Table13345678[[#This Row],[DeltaC]]-ABS(Table13345678[[#This Row],[DeltaP]]))</f>
        <v>0</v>
      </c>
      <c r="AG162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3" t="e">
        <f ca="1">(EXP(-(AG1623^2)/2)/SQRT(2*PI())*EXP(0*SQRT(Table13345678[[#This Row],[T]]))/$A$4*18%*SQRT(SQRT(Table13345678[[#This Row],[T]])))</f>
        <v>#DIV/0!</v>
      </c>
      <c r="AJ1623" t="e">
        <f ca="1">(EXP(-(AH1623^2)/2)/SQRT(2*PI())*EXP(0*SQRT(Table13345678[[#This Row],[T]]))/$A$4*18%*SQRT(SQRT(Table13345678[[#This Row],[T]])))</f>
        <v>#DIV/0!</v>
      </c>
      <c r="AK1623" t="e">
        <f ca="1">Table13345678[[#This Row],[Call D1]]-Table13345678[[#This Row],[IV Calc C]]*SQRT(Table13345678[[#This Row],[T]])</f>
        <v>#DIV/0!</v>
      </c>
      <c r="AL1623" t="e">
        <f ca="1">Table13345678[[#This Row],[Put D1]]-Table13345678[[#This Row],[IV Calc P]]*SQRT(Table13345678[[#This Row],[T]])</f>
        <v>#DIV/0!</v>
      </c>
      <c r="AM1623" t="e">
        <f ca="1">EXP(-0.5*Table13345678[[#This Row],[Call D1]]^2)/SQRT(2*PI())</f>
        <v>#DIV/0!</v>
      </c>
      <c r="AN1623" t="e">
        <f ca="1">EXP(-0.5*Table13345678[[#This Row],[Put D1]]^2)/SQRT(2*PI())</f>
        <v>#DIV/0!</v>
      </c>
      <c r="AO162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3">
        <f ca="1">((Table13345678[[#This Row],[call vanna]]+Table13345678[[#This Row],[put vanna]])*$A$4)</f>
        <v>0</v>
      </c>
      <c r="AR162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3" s="9" t="str" cm="1">
        <f t="array" ref="AT1623">_xlfn.IFS(     $M$1="SPX","SPXW",     $M$1="RUT","RUTW",  $M$1="NDX","NDXP",   TRUE,$M$1 )</f>
        <v>SPXW</v>
      </c>
      <c r="AU1623" s="2">
        <f t="shared" ref="AU1623:AU1631" si="162">$N$1</f>
        <v>6915</v>
      </c>
      <c r="AV1623" t="str">
        <f t="shared" ref="AV1623:AV1631" si="163">$V$2</f>
        <v>000100</v>
      </c>
      <c r="AY162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3">
        <f>((Table13345678[[#This Row],[High C]]+Table13345678[[#This Row],[Low C]])/2)*Table13345678[[#This Row],[gammac]]*Table13345678[[#This Row],[Volume]]</f>
        <v>0</v>
      </c>
      <c r="BD1623">
        <f>((Table13345678[[#This Row],[High P]]+Table13345678[[#This Row],[Low P]])/2)*Table13345678[[#This Row],[gammap]]*Table13345678[[#This Row],[Volume9]]*-1</f>
        <v>0</v>
      </c>
      <c r="BE1623">
        <f>(Table13345678[[#This Row],[SgammaC]]+Table13345678[[#This Row],[SgammaP]])*$A$4*-100</f>
        <v>0</v>
      </c>
      <c r="BF1623">
        <f>Table13345678[[#This Row],[DEXc]]+Table13345678[[#This Row],[DEXp]]</f>
        <v>0</v>
      </c>
      <c r="BG1623" s="78">
        <f>IFERROR(Table13345678[[#This Row],[DeltaC]]*Table13345678[[#This Row],[Open.Int]]*$A$4,0)</f>
        <v>0</v>
      </c>
      <c r="BH1623">
        <f>IFERROR(Table13345678[[#This Row],[DeltaP]]*Table13345678[[#This Row],[Open.Int8]]*$A$4,0)</f>
        <v>0</v>
      </c>
      <c r="BI162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3">
        <f ca="1">Table13345678[[#This Row],[charmc]]+Table13345678[[#This Row],[charmp]]</f>
        <v>0</v>
      </c>
      <c r="BL1623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3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3" s="78">
        <f ca="1">Table13345678[[#This Row],[call helper]]+Table13345678[[#This Row],[put helper]]</f>
        <v>0</v>
      </c>
      <c r="BP162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4" spans="1:68" x14ac:dyDescent="0.25">
      <c r="A1624" s="14">
        <f t="shared" ca="1" si="159"/>
        <v>-126.14810350076104</v>
      </c>
      <c r="C1624" s="17"/>
      <c r="D1624" t="str">
        <f>RTD("tos.rtd", , "OPEN_INT", "."&amp;Table13345678[[#This Row],[Ticker]]&amp;Table13345678[[#This Row],[Expiry]]&amp;""&amp;"C"&amp;Table13345678[[#This Row],[Spot]]+Table13345678[[#This Row],[step]])</f>
        <v>N/A</v>
      </c>
      <c r="E162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4" s="17" cm="1">
        <f t="array" aca="1" ref="H1624" ca="1">IndividualLegIVCore($A$4, Table13345678[[#This Row],[Strike]], 0.0411, Table13345678[[#This Row],[T]], ((Table13345678[[#This Row],[BIDC]]+Table13345678[[#This Row],[ASKC]])/2), TRUE)</f>
        <v>0.01</v>
      </c>
      <c r="I162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4" s="17"/>
      <c r="M1624" s="1">
        <f t="shared" si="160"/>
        <v>0</v>
      </c>
      <c r="N1624" t="b">
        <f t="shared" si="161"/>
        <v>0</v>
      </c>
      <c r="P1624" s="17" cm="1">
        <f t="array" aca="1" ref="P1624" ca="1">IndividualLegIVCore($A$4, Table13345678[[#This Row],[Strike]], 0.0411, Table13345678[[#This Row],[T]], ((Table13345678[[#This Row],[BIDP]]+Table13345678[[#This Row],[ASKP]])/2), FALSE)</f>
        <v>0.01</v>
      </c>
      <c r="Q162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4" s="17"/>
      <c r="T162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4">
        <f>46.5* IF($M$1="NDX", 10, IF(OR($M$1="SPX", $M$1="RUT"), 2, 1))</f>
        <v>93</v>
      </c>
      <c r="Z1624">
        <f ca="1">IFERROR(Table13345678[[#This Row],[call gamma]]*(Table13345678[[#This Row],[Open.Int]])*$A$4^2,0)</f>
        <v>0</v>
      </c>
      <c r="AA1624">
        <f ca="1">IFERROR(((Table13345678[[#This Row],[Open.Int8]])*Table13345678[[#This Row],[Put gamma]])*-1*$A$4^2,0)</f>
        <v>0</v>
      </c>
      <c r="AB1624">
        <f ca="1">(Table13345678[[#This Row],[Call Gex]]+Table13345678[[#This Row],[Put Gex]])</f>
        <v>0</v>
      </c>
      <c r="AC1624">
        <f ca="1">Table13345678[[#This Row],[put delta adj]]+Table13345678[[#This Row],[call delta adj]]</f>
        <v>0</v>
      </c>
      <c r="AD1624">
        <f ca="1">Table13345678[[#This Row],[Put Gex]]*Table13345678[[#This Row],[DeltaP]]*-1</f>
        <v>0</v>
      </c>
      <c r="AE1624">
        <f ca="1">Table13345678[[#This Row],[Call Gex]]*Table13345678[[#This Row],[DeltaC]]</f>
        <v>0</v>
      </c>
      <c r="AF1624">
        <f>IF(Table13345678[[#This Row],[DeltaC]]-ABS(Table13345678[[#This Row],[DeltaP]])="0","0.01",Table13345678[[#This Row],[DeltaC]]-ABS(Table13345678[[#This Row],[DeltaP]]))</f>
        <v>0</v>
      </c>
      <c r="AG162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4" t="e">
        <f ca="1">(EXP(-(AG1624^2)/2)/SQRT(2*PI())*EXP(0*SQRT(Table13345678[[#This Row],[T]]))/$A$4*18%*SQRT(SQRT(Table13345678[[#This Row],[T]])))</f>
        <v>#DIV/0!</v>
      </c>
      <c r="AJ1624" t="e">
        <f ca="1">(EXP(-(AH1624^2)/2)/SQRT(2*PI())*EXP(0*SQRT(Table13345678[[#This Row],[T]]))/$A$4*18%*SQRT(SQRT(Table13345678[[#This Row],[T]])))</f>
        <v>#DIV/0!</v>
      </c>
      <c r="AK1624" t="e">
        <f ca="1">Table13345678[[#This Row],[Call D1]]-Table13345678[[#This Row],[IV Calc C]]*SQRT(Table13345678[[#This Row],[T]])</f>
        <v>#DIV/0!</v>
      </c>
      <c r="AL1624" t="e">
        <f ca="1">Table13345678[[#This Row],[Put D1]]-Table13345678[[#This Row],[IV Calc P]]*SQRT(Table13345678[[#This Row],[T]])</f>
        <v>#DIV/0!</v>
      </c>
      <c r="AM1624" t="e">
        <f ca="1">EXP(-0.5*Table13345678[[#This Row],[Call D1]]^2)/SQRT(2*PI())</f>
        <v>#DIV/0!</v>
      </c>
      <c r="AN1624" t="e">
        <f ca="1">EXP(-0.5*Table13345678[[#This Row],[Put D1]]^2)/SQRT(2*PI())</f>
        <v>#DIV/0!</v>
      </c>
      <c r="AO162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4">
        <f ca="1">((Table13345678[[#This Row],[call vanna]]+Table13345678[[#This Row],[put vanna]])*$A$4)</f>
        <v>0</v>
      </c>
      <c r="AR162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4" s="9" t="str" cm="1">
        <f t="array" ref="AT1624">_xlfn.IFS(     $M$1="SPX","SPXW",     $M$1="RUT","RUTW",  $M$1="NDX","NDXP",   TRUE,$M$1 )</f>
        <v>SPXW</v>
      </c>
      <c r="AU1624" s="2">
        <f t="shared" si="162"/>
        <v>6915</v>
      </c>
      <c r="AV1624" t="str">
        <f t="shared" si="163"/>
        <v>000100</v>
      </c>
      <c r="AY162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4">
        <f>((Table13345678[[#This Row],[High C]]+Table13345678[[#This Row],[Low C]])/2)*Table13345678[[#This Row],[gammac]]*Table13345678[[#This Row],[Volume]]</f>
        <v>0</v>
      </c>
      <c r="BD1624">
        <f>((Table13345678[[#This Row],[High P]]+Table13345678[[#This Row],[Low P]])/2)*Table13345678[[#This Row],[gammap]]*Table13345678[[#This Row],[Volume9]]*-1</f>
        <v>0</v>
      </c>
      <c r="BE1624">
        <f>(Table13345678[[#This Row],[SgammaC]]+Table13345678[[#This Row],[SgammaP]])*$A$4*-100</f>
        <v>0</v>
      </c>
      <c r="BF1624">
        <f>Table13345678[[#This Row],[DEXc]]+Table13345678[[#This Row],[DEXp]]</f>
        <v>0</v>
      </c>
      <c r="BG1624" s="78">
        <f>IFERROR(Table13345678[[#This Row],[DeltaC]]*Table13345678[[#This Row],[Open.Int]]*$A$4,0)</f>
        <v>0</v>
      </c>
      <c r="BH1624">
        <f>IFERROR(Table13345678[[#This Row],[DeltaP]]*Table13345678[[#This Row],[Open.Int8]]*$A$4,0)</f>
        <v>0</v>
      </c>
      <c r="BI162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4">
        <f ca="1">Table13345678[[#This Row],[charmc]]+Table13345678[[#This Row],[charmp]]</f>
        <v>0</v>
      </c>
      <c r="BL1624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4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4" s="78">
        <f ca="1">Table13345678[[#This Row],[call helper]]+Table13345678[[#This Row],[put helper]]</f>
        <v>0</v>
      </c>
      <c r="BP162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5" spans="1:68" x14ac:dyDescent="0.25">
      <c r="A1625" s="14">
        <f t="shared" ca="1" si="159"/>
        <v>-126.14810350076104</v>
      </c>
      <c r="C1625" s="17"/>
      <c r="D1625" t="str">
        <f>RTD("tos.rtd", , "OPEN_INT", "."&amp;Table13345678[[#This Row],[Ticker]]&amp;Table13345678[[#This Row],[Expiry]]&amp;""&amp;"C"&amp;Table13345678[[#This Row],[Spot]]+Table13345678[[#This Row],[step]])</f>
        <v>N/A</v>
      </c>
      <c r="E162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5" s="17" cm="1">
        <f t="array" aca="1" ref="H1625" ca="1">IndividualLegIVCore($A$4, Table13345678[[#This Row],[Strike]], 0.0411, Table13345678[[#This Row],[T]], ((Table13345678[[#This Row],[BIDC]]+Table13345678[[#This Row],[ASKC]])/2), TRUE)</f>
        <v>0.01</v>
      </c>
      <c r="I162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5" s="17"/>
      <c r="M1625" s="1">
        <f t="shared" si="160"/>
        <v>0</v>
      </c>
      <c r="N1625" t="b">
        <f t="shared" si="161"/>
        <v>0</v>
      </c>
      <c r="P1625" s="17" cm="1">
        <f t="array" aca="1" ref="P1625" ca="1">IndividualLegIVCore($A$4, Table13345678[[#This Row],[Strike]], 0.0411, Table13345678[[#This Row],[T]], ((Table13345678[[#This Row],[BIDP]]+Table13345678[[#This Row],[ASKP]])/2), FALSE)</f>
        <v>0.01</v>
      </c>
      <c r="Q162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5" s="17"/>
      <c r="T162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5">
        <f>47* IF($M$1="NDX", 10, IF(OR($M$1="SPX", $M$1="RUT"), 2, 1))</f>
        <v>94</v>
      </c>
      <c r="Z1625">
        <f ca="1">IFERROR(Table13345678[[#This Row],[call gamma]]*(Table13345678[[#This Row],[Open.Int]])*$A$4^2,0)</f>
        <v>0</v>
      </c>
      <c r="AA1625">
        <f ca="1">IFERROR(((Table13345678[[#This Row],[Open.Int8]])*Table13345678[[#This Row],[Put gamma]])*-1*$A$4^2,0)</f>
        <v>0</v>
      </c>
      <c r="AB1625">
        <f ca="1">(Table13345678[[#This Row],[Call Gex]]+Table13345678[[#This Row],[Put Gex]])</f>
        <v>0</v>
      </c>
      <c r="AC1625">
        <f ca="1">Table13345678[[#This Row],[put delta adj]]+Table13345678[[#This Row],[call delta adj]]</f>
        <v>0</v>
      </c>
      <c r="AD1625">
        <f ca="1">Table13345678[[#This Row],[Put Gex]]*Table13345678[[#This Row],[DeltaP]]*-1</f>
        <v>0</v>
      </c>
      <c r="AE1625">
        <f ca="1">Table13345678[[#This Row],[Call Gex]]*Table13345678[[#This Row],[DeltaC]]</f>
        <v>0</v>
      </c>
      <c r="AF1625">
        <f>IF(Table13345678[[#This Row],[DeltaC]]-ABS(Table13345678[[#This Row],[DeltaP]])="0","0.01",Table13345678[[#This Row],[DeltaC]]-ABS(Table13345678[[#This Row],[DeltaP]]))</f>
        <v>0</v>
      </c>
      <c r="AG162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5" t="e">
        <f ca="1">(EXP(-(AG1625^2)/2)/SQRT(2*PI())*EXP(0*SQRT(Table13345678[[#This Row],[T]]))/$A$4*18%*SQRT(SQRT(Table13345678[[#This Row],[T]])))</f>
        <v>#DIV/0!</v>
      </c>
      <c r="AJ1625" t="e">
        <f ca="1">(EXP(-(AH1625^2)/2)/SQRT(2*PI())*EXP(0*SQRT(Table13345678[[#This Row],[T]]))/$A$4*18%*SQRT(SQRT(Table13345678[[#This Row],[T]])))</f>
        <v>#DIV/0!</v>
      </c>
      <c r="AK1625" t="e">
        <f ca="1">Table13345678[[#This Row],[Call D1]]-Table13345678[[#This Row],[IV Calc C]]*SQRT(Table13345678[[#This Row],[T]])</f>
        <v>#DIV/0!</v>
      </c>
      <c r="AL1625" t="e">
        <f ca="1">Table13345678[[#This Row],[Put D1]]-Table13345678[[#This Row],[IV Calc P]]*SQRT(Table13345678[[#This Row],[T]])</f>
        <v>#DIV/0!</v>
      </c>
      <c r="AM1625" t="e">
        <f ca="1">EXP(-0.5*Table13345678[[#This Row],[Call D1]]^2)/SQRT(2*PI())</f>
        <v>#DIV/0!</v>
      </c>
      <c r="AN1625" t="e">
        <f ca="1">EXP(-0.5*Table13345678[[#This Row],[Put D1]]^2)/SQRT(2*PI())</f>
        <v>#DIV/0!</v>
      </c>
      <c r="AO162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5">
        <f ca="1">((Table13345678[[#This Row],[call vanna]]+Table13345678[[#This Row],[put vanna]])*$A$4)</f>
        <v>0</v>
      </c>
      <c r="AR162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5" s="9" t="str" cm="1">
        <f t="array" ref="AT1625">_xlfn.IFS(     $M$1="SPX","SPXW",     $M$1="RUT","RUTW",  $M$1="NDX","NDXP",   TRUE,$M$1 )</f>
        <v>SPXW</v>
      </c>
      <c r="AU1625" s="2">
        <f t="shared" si="162"/>
        <v>6915</v>
      </c>
      <c r="AV1625" t="str">
        <f t="shared" si="163"/>
        <v>000100</v>
      </c>
      <c r="AY162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5">
        <f>((Table13345678[[#This Row],[High C]]+Table13345678[[#This Row],[Low C]])/2)*Table13345678[[#This Row],[gammac]]*Table13345678[[#This Row],[Volume]]</f>
        <v>0</v>
      </c>
      <c r="BD1625">
        <f>((Table13345678[[#This Row],[High P]]+Table13345678[[#This Row],[Low P]])/2)*Table13345678[[#This Row],[gammap]]*Table13345678[[#This Row],[Volume9]]*-1</f>
        <v>0</v>
      </c>
      <c r="BE1625">
        <f>(Table13345678[[#This Row],[SgammaC]]+Table13345678[[#This Row],[SgammaP]])*$A$4*-100</f>
        <v>0</v>
      </c>
      <c r="BF1625">
        <f>Table13345678[[#This Row],[DEXc]]+Table13345678[[#This Row],[DEXp]]</f>
        <v>0</v>
      </c>
      <c r="BG1625" s="78">
        <f>IFERROR(Table13345678[[#This Row],[DeltaC]]*Table13345678[[#This Row],[Open.Int]]*$A$4,0)</f>
        <v>0</v>
      </c>
      <c r="BH1625">
        <f>IFERROR(Table13345678[[#This Row],[DeltaP]]*Table13345678[[#This Row],[Open.Int8]]*$A$4,0)</f>
        <v>0</v>
      </c>
      <c r="BI162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5">
        <f ca="1">Table13345678[[#This Row],[charmc]]+Table13345678[[#This Row],[charmp]]</f>
        <v>0</v>
      </c>
      <c r="BL1625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5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5" s="78">
        <f ca="1">Table13345678[[#This Row],[call helper]]+Table13345678[[#This Row],[put helper]]</f>
        <v>0</v>
      </c>
      <c r="BP162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6" spans="1:68" x14ac:dyDescent="0.25">
      <c r="A1626" s="14">
        <f t="shared" ca="1" si="159"/>
        <v>-126.14810350076104</v>
      </c>
      <c r="C1626" s="17"/>
      <c r="D1626" t="str">
        <f>RTD("tos.rtd", , "OPEN_INT", "."&amp;Table13345678[[#This Row],[Ticker]]&amp;Table13345678[[#This Row],[Expiry]]&amp;""&amp;"C"&amp;Table13345678[[#This Row],[Spot]]+Table13345678[[#This Row],[step]])</f>
        <v>N/A</v>
      </c>
      <c r="E162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6" s="17" cm="1">
        <f t="array" aca="1" ref="H1626" ca="1">IndividualLegIVCore($A$4, Table13345678[[#This Row],[Strike]], 0.0411, Table13345678[[#This Row],[T]], ((Table13345678[[#This Row],[BIDC]]+Table13345678[[#This Row],[ASKC]])/2), TRUE)</f>
        <v>0.01</v>
      </c>
      <c r="I162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6" s="17"/>
      <c r="M1626" s="1">
        <f t="shared" si="160"/>
        <v>0</v>
      </c>
      <c r="N1626" t="b">
        <f t="shared" si="161"/>
        <v>0</v>
      </c>
      <c r="P1626" s="17" cm="1">
        <f t="array" aca="1" ref="P1626" ca="1">IndividualLegIVCore($A$4, Table13345678[[#This Row],[Strike]], 0.0411, Table13345678[[#This Row],[T]], ((Table13345678[[#This Row],[BIDP]]+Table13345678[[#This Row],[ASKP]])/2), FALSE)</f>
        <v>0.01</v>
      </c>
      <c r="Q162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6" s="17"/>
      <c r="T162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6">
        <f>47.5* IF($M$1="NDX", 10, IF(OR($M$1="SPX", $M$1="RUT"), 2, 1))</f>
        <v>95</v>
      </c>
      <c r="Z1626">
        <f ca="1">IFERROR(Table13345678[[#This Row],[call gamma]]*(Table13345678[[#This Row],[Open.Int]])*$A$4^2,0)</f>
        <v>0</v>
      </c>
      <c r="AA1626">
        <f ca="1">IFERROR(((Table13345678[[#This Row],[Open.Int8]])*Table13345678[[#This Row],[Put gamma]])*-1*$A$4^2,0)</f>
        <v>0</v>
      </c>
      <c r="AB1626">
        <f ca="1">(Table13345678[[#This Row],[Call Gex]]+Table13345678[[#This Row],[Put Gex]])</f>
        <v>0</v>
      </c>
      <c r="AC1626">
        <f ca="1">Table13345678[[#This Row],[put delta adj]]+Table13345678[[#This Row],[call delta adj]]</f>
        <v>0</v>
      </c>
      <c r="AD1626">
        <f ca="1">Table13345678[[#This Row],[Put Gex]]*Table13345678[[#This Row],[DeltaP]]*-1</f>
        <v>0</v>
      </c>
      <c r="AE1626">
        <f ca="1">Table13345678[[#This Row],[Call Gex]]*Table13345678[[#This Row],[DeltaC]]</f>
        <v>0</v>
      </c>
      <c r="AF1626">
        <f>IF(Table13345678[[#This Row],[DeltaC]]-ABS(Table13345678[[#This Row],[DeltaP]])="0","0.01",Table13345678[[#This Row],[DeltaC]]-ABS(Table13345678[[#This Row],[DeltaP]]))</f>
        <v>0</v>
      </c>
      <c r="AG162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6" t="e">
        <f ca="1">(EXP(-(AG1626^2)/2)/SQRT(2*PI())*EXP(0*SQRT(Table13345678[[#This Row],[T]]))/$A$4*18%*SQRT(SQRT(Table13345678[[#This Row],[T]])))</f>
        <v>#DIV/0!</v>
      </c>
      <c r="AJ1626" t="e">
        <f ca="1">(EXP(-(AH1626^2)/2)/SQRT(2*PI())*EXP(0*SQRT(Table13345678[[#This Row],[T]]))/$A$4*18%*SQRT(SQRT(Table13345678[[#This Row],[T]])))</f>
        <v>#DIV/0!</v>
      </c>
      <c r="AK1626" t="e">
        <f ca="1">Table13345678[[#This Row],[Call D1]]-Table13345678[[#This Row],[IV Calc C]]*SQRT(Table13345678[[#This Row],[T]])</f>
        <v>#DIV/0!</v>
      </c>
      <c r="AL1626" t="e">
        <f ca="1">Table13345678[[#This Row],[Put D1]]-Table13345678[[#This Row],[IV Calc P]]*SQRT(Table13345678[[#This Row],[T]])</f>
        <v>#DIV/0!</v>
      </c>
      <c r="AM1626" t="e">
        <f ca="1">EXP(-0.5*Table13345678[[#This Row],[Call D1]]^2)/SQRT(2*PI())</f>
        <v>#DIV/0!</v>
      </c>
      <c r="AN1626" t="e">
        <f ca="1">EXP(-0.5*Table13345678[[#This Row],[Put D1]]^2)/SQRT(2*PI())</f>
        <v>#DIV/0!</v>
      </c>
      <c r="AO162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6">
        <f ca="1">((Table13345678[[#This Row],[call vanna]]+Table13345678[[#This Row],[put vanna]])*$A$4)</f>
        <v>0</v>
      </c>
      <c r="AR162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6" s="9" t="str" cm="1">
        <f t="array" ref="AT1626">_xlfn.IFS(     $M$1="SPX","SPXW",     $M$1="RUT","RUTW",  $M$1="NDX","NDXP",   TRUE,$M$1 )</f>
        <v>SPXW</v>
      </c>
      <c r="AU1626" s="2">
        <f t="shared" si="162"/>
        <v>6915</v>
      </c>
      <c r="AV1626" t="str">
        <f t="shared" si="163"/>
        <v>000100</v>
      </c>
      <c r="AY162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6">
        <f>((Table13345678[[#This Row],[High C]]+Table13345678[[#This Row],[Low C]])/2)*Table13345678[[#This Row],[gammac]]*Table13345678[[#This Row],[Volume]]</f>
        <v>0</v>
      </c>
      <c r="BD1626">
        <f>((Table13345678[[#This Row],[High P]]+Table13345678[[#This Row],[Low P]])/2)*Table13345678[[#This Row],[gammap]]*Table13345678[[#This Row],[Volume9]]*-1</f>
        <v>0</v>
      </c>
      <c r="BE1626">
        <f>(Table13345678[[#This Row],[SgammaC]]+Table13345678[[#This Row],[SgammaP]])*$A$4*-100</f>
        <v>0</v>
      </c>
      <c r="BF1626">
        <f>Table13345678[[#This Row],[DEXc]]+Table13345678[[#This Row],[DEXp]]</f>
        <v>0</v>
      </c>
      <c r="BG1626" s="78">
        <f>IFERROR(Table13345678[[#This Row],[DeltaC]]*Table13345678[[#This Row],[Open.Int]]*$A$4,0)</f>
        <v>0</v>
      </c>
      <c r="BH1626">
        <f>IFERROR(Table13345678[[#This Row],[DeltaP]]*Table13345678[[#This Row],[Open.Int8]]*$A$4,0)</f>
        <v>0</v>
      </c>
      <c r="BI162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6">
        <f ca="1">Table13345678[[#This Row],[charmc]]+Table13345678[[#This Row],[charmp]]</f>
        <v>0</v>
      </c>
      <c r="BL1626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6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6" s="78">
        <f ca="1">Table13345678[[#This Row],[call helper]]+Table13345678[[#This Row],[put helper]]</f>
        <v>0</v>
      </c>
      <c r="BP162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7" spans="1:68" x14ac:dyDescent="0.25">
      <c r="A1627" s="14">
        <f t="shared" ca="1" si="159"/>
        <v>-126.14810350076104</v>
      </c>
      <c r="C1627" s="17"/>
      <c r="D1627" t="str">
        <f>RTD("tos.rtd", , "OPEN_INT", "."&amp;Table13345678[[#This Row],[Ticker]]&amp;Table13345678[[#This Row],[Expiry]]&amp;""&amp;"C"&amp;Table13345678[[#This Row],[Spot]]+Table13345678[[#This Row],[step]])</f>
        <v>N/A</v>
      </c>
      <c r="E162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7" s="17" cm="1">
        <f t="array" aca="1" ref="H1627" ca="1">IndividualLegIVCore($A$4, Table13345678[[#This Row],[Strike]], 0.0411, Table13345678[[#This Row],[T]], ((Table13345678[[#This Row],[BIDC]]+Table13345678[[#This Row],[ASKC]])/2), TRUE)</f>
        <v>0.01</v>
      </c>
      <c r="I162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7" s="17"/>
      <c r="M1627" s="1">
        <f t="shared" si="160"/>
        <v>0</v>
      </c>
      <c r="N1627" t="b">
        <f t="shared" si="161"/>
        <v>0</v>
      </c>
      <c r="P1627" s="17" cm="1">
        <f t="array" aca="1" ref="P1627" ca="1">IndividualLegIVCore($A$4, Table13345678[[#This Row],[Strike]], 0.0411, Table13345678[[#This Row],[T]], ((Table13345678[[#This Row],[BIDP]]+Table13345678[[#This Row],[ASKP]])/2), FALSE)</f>
        <v>0.01</v>
      </c>
      <c r="Q162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7" s="17"/>
      <c r="T162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7">
        <f>48* IF($M$1="NDX", 10, IF(OR($M$1="SPX", $M$1="RUT"), 2, 1))</f>
        <v>96</v>
      </c>
      <c r="Z1627">
        <f ca="1">IFERROR(Table13345678[[#This Row],[call gamma]]*(Table13345678[[#This Row],[Open.Int]])*$A$4^2,0)</f>
        <v>0</v>
      </c>
      <c r="AA1627">
        <f ca="1">IFERROR(((Table13345678[[#This Row],[Open.Int8]])*Table13345678[[#This Row],[Put gamma]])*-1*$A$4^2,0)</f>
        <v>0</v>
      </c>
      <c r="AB1627">
        <f ca="1">(Table13345678[[#This Row],[Call Gex]]+Table13345678[[#This Row],[Put Gex]])</f>
        <v>0</v>
      </c>
      <c r="AC1627">
        <f ca="1">Table13345678[[#This Row],[put delta adj]]+Table13345678[[#This Row],[call delta adj]]</f>
        <v>0</v>
      </c>
      <c r="AD1627">
        <f ca="1">Table13345678[[#This Row],[Put Gex]]*Table13345678[[#This Row],[DeltaP]]*-1</f>
        <v>0</v>
      </c>
      <c r="AE1627">
        <f ca="1">Table13345678[[#This Row],[Call Gex]]*Table13345678[[#This Row],[DeltaC]]</f>
        <v>0</v>
      </c>
      <c r="AF1627">
        <f>IF(Table13345678[[#This Row],[DeltaC]]-ABS(Table13345678[[#This Row],[DeltaP]])="0","0.01",Table13345678[[#This Row],[DeltaC]]-ABS(Table13345678[[#This Row],[DeltaP]]))</f>
        <v>0</v>
      </c>
      <c r="AG162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7" t="e">
        <f ca="1">(EXP(-(AG1627^2)/2)/SQRT(2*PI())*EXP(0*SQRT(Table13345678[[#This Row],[T]]))/$A$4*18%*SQRT(SQRT(Table13345678[[#This Row],[T]])))</f>
        <v>#DIV/0!</v>
      </c>
      <c r="AJ1627" t="e">
        <f ca="1">(EXP(-(AH1627^2)/2)/SQRT(2*PI())*EXP(0*SQRT(Table13345678[[#This Row],[T]]))/$A$4*18%*SQRT(SQRT(Table13345678[[#This Row],[T]])))</f>
        <v>#DIV/0!</v>
      </c>
      <c r="AK1627" t="e">
        <f ca="1">Table13345678[[#This Row],[Call D1]]-Table13345678[[#This Row],[IV Calc C]]*SQRT(Table13345678[[#This Row],[T]])</f>
        <v>#DIV/0!</v>
      </c>
      <c r="AL1627" t="e">
        <f ca="1">Table13345678[[#This Row],[Put D1]]-Table13345678[[#This Row],[IV Calc P]]*SQRT(Table13345678[[#This Row],[T]])</f>
        <v>#DIV/0!</v>
      </c>
      <c r="AM1627" t="e">
        <f ca="1">EXP(-0.5*Table13345678[[#This Row],[Call D1]]^2)/SQRT(2*PI())</f>
        <v>#DIV/0!</v>
      </c>
      <c r="AN1627" t="e">
        <f ca="1">EXP(-0.5*Table13345678[[#This Row],[Put D1]]^2)/SQRT(2*PI())</f>
        <v>#DIV/0!</v>
      </c>
      <c r="AO162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7">
        <f ca="1">((Table13345678[[#This Row],[call vanna]]+Table13345678[[#This Row],[put vanna]])*$A$4)</f>
        <v>0</v>
      </c>
      <c r="AR162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7" s="9" t="str" cm="1">
        <f t="array" ref="AT1627">_xlfn.IFS(     $M$1="SPX","SPXW",     $M$1="RUT","RUTW",  $M$1="NDX","NDXP",   TRUE,$M$1 )</f>
        <v>SPXW</v>
      </c>
      <c r="AU1627" s="2">
        <f t="shared" si="162"/>
        <v>6915</v>
      </c>
      <c r="AV1627" t="str">
        <f t="shared" si="163"/>
        <v>000100</v>
      </c>
      <c r="AY162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7">
        <f>((Table13345678[[#This Row],[High C]]+Table13345678[[#This Row],[Low C]])/2)*Table13345678[[#This Row],[gammac]]*Table13345678[[#This Row],[Volume]]</f>
        <v>0</v>
      </c>
      <c r="BD1627">
        <f>((Table13345678[[#This Row],[High P]]+Table13345678[[#This Row],[Low P]])/2)*Table13345678[[#This Row],[gammap]]*Table13345678[[#This Row],[Volume9]]*-1</f>
        <v>0</v>
      </c>
      <c r="BE1627">
        <f>(Table13345678[[#This Row],[SgammaC]]+Table13345678[[#This Row],[SgammaP]])*$A$4*-100</f>
        <v>0</v>
      </c>
      <c r="BF1627">
        <f>Table13345678[[#This Row],[DEXc]]+Table13345678[[#This Row],[DEXp]]</f>
        <v>0</v>
      </c>
      <c r="BG1627" s="78">
        <f>IFERROR(Table13345678[[#This Row],[DeltaC]]*Table13345678[[#This Row],[Open.Int]]*$A$4,0)</f>
        <v>0</v>
      </c>
      <c r="BH1627">
        <f>IFERROR(Table13345678[[#This Row],[DeltaP]]*Table13345678[[#This Row],[Open.Int8]]*$A$4,0)</f>
        <v>0</v>
      </c>
      <c r="BI162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7">
        <f ca="1">Table13345678[[#This Row],[charmc]]+Table13345678[[#This Row],[charmp]]</f>
        <v>0</v>
      </c>
      <c r="BL1627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7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7" s="78">
        <f ca="1">Table13345678[[#This Row],[call helper]]+Table13345678[[#This Row],[put helper]]</f>
        <v>0</v>
      </c>
      <c r="BP162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8" spans="1:68" x14ac:dyDescent="0.25">
      <c r="A1628" s="14">
        <f t="shared" ca="1" si="159"/>
        <v>-126.14810350076104</v>
      </c>
      <c r="C1628" s="17"/>
      <c r="D1628" t="str">
        <f>RTD("tos.rtd", , "OPEN_INT", "."&amp;Table13345678[[#This Row],[Ticker]]&amp;Table13345678[[#This Row],[Expiry]]&amp;""&amp;"C"&amp;Table13345678[[#This Row],[Spot]]+Table13345678[[#This Row],[step]])</f>
        <v>N/A</v>
      </c>
      <c r="E162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8" s="17" cm="1">
        <f t="array" aca="1" ref="H1628" ca="1">IndividualLegIVCore($A$4, Table13345678[[#This Row],[Strike]], 0.0411, Table13345678[[#This Row],[T]], ((Table13345678[[#This Row],[BIDC]]+Table13345678[[#This Row],[ASKC]])/2), TRUE)</f>
        <v>0.01</v>
      </c>
      <c r="I162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8" s="17"/>
      <c r="M1628" s="1">
        <f t="shared" si="160"/>
        <v>0</v>
      </c>
      <c r="N1628" t="b">
        <f t="shared" si="161"/>
        <v>0</v>
      </c>
      <c r="P1628" s="17" cm="1">
        <f t="array" aca="1" ref="P1628" ca="1">IndividualLegIVCore($A$4, Table13345678[[#This Row],[Strike]], 0.0411, Table13345678[[#This Row],[T]], ((Table13345678[[#This Row],[BIDP]]+Table13345678[[#This Row],[ASKP]])/2), FALSE)</f>
        <v>0.01</v>
      </c>
      <c r="Q162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8" s="17"/>
      <c r="T162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8">
        <f>48.5* IF($M$1="NDX", 10, IF(OR($M$1="SPX", $M$1="RUT"), 2, 1))</f>
        <v>97</v>
      </c>
      <c r="Z1628">
        <f ca="1">IFERROR(Table13345678[[#This Row],[call gamma]]*(Table13345678[[#This Row],[Open.Int]])*$A$4^2,0)</f>
        <v>0</v>
      </c>
      <c r="AA1628">
        <f ca="1">IFERROR(((Table13345678[[#This Row],[Open.Int8]])*Table13345678[[#This Row],[Put gamma]])*-1*$A$4^2,0)</f>
        <v>0</v>
      </c>
      <c r="AB1628">
        <f ca="1">(Table13345678[[#This Row],[Call Gex]]+Table13345678[[#This Row],[Put Gex]])</f>
        <v>0</v>
      </c>
      <c r="AC1628">
        <f ca="1">Table13345678[[#This Row],[put delta adj]]+Table13345678[[#This Row],[call delta adj]]</f>
        <v>0</v>
      </c>
      <c r="AD1628">
        <f ca="1">Table13345678[[#This Row],[Put Gex]]*Table13345678[[#This Row],[DeltaP]]*-1</f>
        <v>0</v>
      </c>
      <c r="AE1628">
        <f ca="1">Table13345678[[#This Row],[Call Gex]]*Table13345678[[#This Row],[DeltaC]]</f>
        <v>0</v>
      </c>
      <c r="AF1628">
        <f>IF(Table13345678[[#This Row],[DeltaC]]-ABS(Table13345678[[#This Row],[DeltaP]])="0","0.01",Table13345678[[#This Row],[DeltaC]]-ABS(Table13345678[[#This Row],[DeltaP]]))</f>
        <v>0</v>
      </c>
      <c r="AG162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8" t="e">
        <f ca="1">(EXP(-(AG1628^2)/2)/SQRT(2*PI())*EXP(0*SQRT(Table13345678[[#This Row],[T]]))/$A$4*18%*SQRT(SQRT(Table13345678[[#This Row],[T]])))</f>
        <v>#DIV/0!</v>
      </c>
      <c r="AJ1628" t="e">
        <f ca="1">(EXP(-(AH1628^2)/2)/SQRT(2*PI())*EXP(0*SQRT(Table13345678[[#This Row],[T]]))/$A$4*18%*SQRT(SQRT(Table13345678[[#This Row],[T]])))</f>
        <v>#DIV/0!</v>
      </c>
      <c r="AK1628" t="e">
        <f ca="1">Table13345678[[#This Row],[Call D1]]-Table13345678[[#This Row],[IV Calc C]]*SQRT(Table13345678[[#This Row],[T]])</f>
        <v>#DIV/0!</v>
      </c>
      <c r="AL1628" t="e">
        <f ca="1">Table13345678[[#This Row],[Put D1]]-Table13345678[[#This Row],[IV Calc P]]*SQRT(Table13345678[[#This Row],[T]])</f>
        <v>#DIV/0!</v>
      </c>
      <c r="AM1628" t="e">
        <f ca="1">EXP(-0.5*Table13345678[[#This Row],[Call D1]]^2)/SQRT(2*PI())</f>
        <v>#DIV/0!</v>
      </c>
      <c r="AN1628" t="e">
        <f ca="1">EXP(-0.5*Table13345678[[#This Row],[Put D1]]^2)/SQRT(2*PI())</f>
        <v>#DIV/0!</v>
      </c>
      <c r="AO162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8">
        <f ca="1">((Table13345678[[#This Row],[call vanna]]+Table13345678[[#This Row],[put vanna]])*$A$4)</f>
        <v>0</v>
      </c>
      <c r="AR162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8" s="9" t="str" cm="1">
        <f t="array" ref="AT1628">_xlfn.IFS(     $M$1="SPX","SPXW",     $M$1="RUT","RUTW",  $M$1="NDX","NDXP",   TRUE,$M$1 )</f>
        <v>SPXW</v>
      </c>
      <c r="AU1628" s="2">
        <f t="shared" si="162"/>
        <v>6915</v>
      </c>
      <c r="AV1628" t="str">
        <f t="shared" si="163"/>
        <v>000100</v>
      </c>
      <c r="AY162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8">
        <f>((Table13345678[[#This Row],[High C]]+Table13345678[[#This Row],[Low C]])/2)*Table13345678[[#This Row],[gammac]]*Table13345678[[#This Row],[Volume]]</f>
        <v>0</v>
      </c>
      <c r="BD1628">
        <f>((Table13345678[[#This Row],[High P]]+Table13345678[[#This Row],[Low P]])/2)*Table13345678[[#This Row],[gammap]]*Table13345678[[#This Row],[Volume9]]*-1</f>
        <v>0</v>
      </c>
      <c r="BE1628">
        <f>(Table13345678[[#This Row],[SgammaC]]+Table13345678[[#This Row],[SgammaP]])*$A$4*-100</f>
        <v>0</v>
      </c>
      <c r="BF1628">
        <f>Table13345678[[#This Row],[DEXc]]+Table13345678[[#This Row],[DEXp]]</f>
        <v>0</v>
      </c>
      <c r="BG1628" s="78">
        <f>IFERROR(Table13345678[[#This Row],[DeltaC]]*Table13345678[[#This Row],[Open.Int]]*$A$4,0)</f>
        <v>0</v>
      </c>
      <c r="BH1628">
        <f>IFERROR(Table13345678[[#This Row],[DeltaP]]*Table13345678[[#This Row],[Open.Int8]]*$A$4,0)</f>
        <v>0</v>
      </c>
      <c r="BI162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8">
        <f ca="1">Table13345678[[#This Row],[charmc]]+Table13345678[[#This Row],[charmp]]</f>
        <v>0</v>
      </c>
      <c r="BL1628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8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8" s="78">
        <f ca="1">Table13345678[[#This Row],[call helper]]+Table13345678[[#This Row],[put helper]]</f>
        <v>0</v>
      </c>
      <c r="BP162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9" spans="1:68" x14ac:dyDescent="0.25">
      <c r="A1629" s="14">
        <f t="shared" ca="1" si="159"/>
        <v>-126.14810350076104</v>
      </c>
      <c r="C1629" s="17"/>
      <c r="D1629" t="str">
        <f>RTD("tos.rtd", , "OPEN_INT", "."&amp;Table13345678[[#This Row],[Ticker]]&amp;Table13345678[[#This Row],[Expiry]]&amp;""&amp;"C"&amp;Table13345678[[#This Row],[Spot]]+Table13345678[[#This Row],[step]])</f>
        <v>N/A</v>
      </c>
      <c r="E162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9" s="17" cm="1">
        <f t="array" aca="1" ref="H1629" ca="1">IndividualLegIVCore($A$4, Table13345678[[#This Row],[Strike]], 0.0411, Table13345678[[#This Row],[T]], ((Table13345678[[#This Row],[BIDC]]+Table13345678[[#This Row],[ASKC]])/2), TRUE)</f>
        <v>0.01</v>
      </c>
      <c r="I162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9" s="17"/>
      <c r="M1629" s="1">
        <f t="shared" si="160"/>
        <v>0</v>
      </c>
      <c r="N1629" t="b">
        <f t="shared" si="161"/>
        <v>0</v>
      </c>
      <c r="P1629" s="17" cm="1">
        <f t="array" aca="1" ref="P1629" ca="1">IndividualLegIVCore($A$4, Table13345678[[#This Row],[Strike]], 0.0411, Table13345678[[#This Row],[T]], ((Table13345678[[#This Row],[BIDP]]+Table13345678[[#This Row],[ASKP]])/2), FALSE)</f>
        <v>0.01</v>
      </c>
      <c r="Q162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9" s="17"/>
      <c r="T162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9">
        <f>49* IF($M$1="NDX", 10, IF(OR($M$1="SPX", $M$1="RUT"), 2, 1))</f>
        <v>98</v>
      </c>
      <c r="Z1629">
        <f ca="1">IFERROR(Table13345678[[#This Row],[call gamma]]*(Table13345678[[#This Row],[Open.Int]])*$A$4^2,0)</f>
        <v>0</v>
      </c>
      <c r="AA1629">
        <f ca="1">IFERROR(((Table13345678[[#This Row],[Open.Int8]])*Table13345678[[#This Row],[Put gamma]])*-1*$A$4^2,0)</f>
        <v>0</v>
      </c>
      <c r="AB1629">
        <f ca="1">(Table13345678[[#This Row],[Call Gex]]+Table13345678[[#This Row],[Put Gex]])</f>
        <v>0</v>
      </c>
      <c r="AC1629">
        <f ca="1">Table13345678[[#This Row],[put delta adj]]+Table13345678[[#This Row],[call delta adj]]</f>
        <v>0</v>
      </c>
      <c r="AD1629">
        <f ca="1">Table13345678[[#This Row],[Put Gex]]*Table13345678[[#This Row],[DeltaP]]*-1</f>
        <v>0</v>
      </c>
      <c r="AE1629">
        <f ca="1">Table13345678[[#This Row],[Call Gex]]*Table13345678[[#This Row],[DeltaC]]</f>
        <v>0</v>
      </c>
      <c r="AF1629">
        <f>IF(Table13345678[[#This Row],[DeltaC]]-ABS(Table13345678[[#This Row],[DeltaP]])="0","0.01",Table13345678[[#This Row],[DeltaC]]-ABS(Table13345678[[#This Row],[DeltaP]]))</f>
        <v>0</v>
      </c>
      <c r="AG162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9" t="e">
        <f ca="1">(EXP(-(AG1629^2)/2)/SQRT(2*PI())*EXP(0*SQRT(Table13345678[[#This Row],[T]]))/$A$4*18%*SQRT(SQRT(Table13345678[[#This Row],[T]])))</f>
        <v>#DIV/0!</v>
      </c>
      <c r="AJ1629" t="e">
        <f ca="1">(EXP(-(AH1629^2)/2)/SQRT(2*PI())*EXP(0*SQRT(Table13345678[[#This Row],[T]]))/$A$4*18%*SQRT(SQRT(Table13345678[[#This Row],[T]])))</f>
        <v>#DIV/0!</v>
      </c>
      <c r="AK1629" t="e">
        <f ca="1">Table13345678[[#This Row],[Call D1]]-Table13345678[[#This Row],[IV Calc C]]*SQRT(Table13345678[[#This Row],[T]])</f>
        <v>#DIV/0!</v>
      </c>
      <c r="AL1629" t="e">
        <f ca="1">Table13345678[[#This Row],[Put D1]]-Table13345678[[#This Row],[IV Calc P]]*SQRT(Table13345678[[#This Row],[T]])</f>
        <v>#DIV/0!</v>
      </c>
      <c r="AM1629" t="e">
        <f ca="1">EXP(-0.5*Table13345678[[#This Row],[Call D1]]^2)/SQRT(2*PI())</f>
        <v>#DIV/0!</v>
      </c>
      <c r="AN1629" t="e">
        <f ca="1">EXP(-0.5*Table13345678[[#This Row],[Put D1]]^2)/SQRT(2*PI())</f>
        <v>#DIV/0!</v>
      </c>
      <c r="AO162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9">
        <f ca="1">((Table13345678[[#This Row],[call vanna]]+Table13345678[[#This Row],[put vanna]])*$A$4)</f>
        <v>0</v>
      </c>
      <c r="AR162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9" s="9" t="str" cm="1">
        <f t="array" ref="AT1629">_xlfn.IFS(     $M$1="SPX","SPXW",     $M$1="RUT","RUTW",  $M$1="NDX","NDXP",   TRUE,$M$1 )</f>
        <v>SPXW</v>
      </c>
      <c r="AU1629" s="2">
        <f t="shared" si="162"/>
        <v>6915</v>
      </c>
      <c r="AV1629" t="str">
        <f t="shared" si="163"/>
        <v>000100</v>
      </c>
      <c r="AY162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9">
        <f>((Table13345678[[#This Row],[High C]]+Table13345678[[#This Row],[Low C]])/2)*Table13345678[[#This Row],[gammac]]*Table13345678[[#This Row],[Volume]]</f>
        <v>0</v>
      </c>
      <c r="BD1629">
        <f>((Table13345678[[#This Row],[High P]]+Table13345678[[#This Row],[Low P]])/2)*Table13345678[[#This Row],[gammap]]*Table13345678[[#This Row],[Volume9]]*-1</f>
        <v>0</v>
      </c>
      <c r="BE1629">
        <f>(Table13345678[[#This Row],[SgammaC]]+Table13345678[[#This Row],[SgammaP]])*$A$4*-100</f>
        <v>0</v>
      </c>
      <c r="BF1629">
        <f>Table13345678[[#This Row],[DEXc]]+Table13345678[[#This Row],[DEXp]]</f>
        <v>0</v>
      </c>
      <c r="BG1629" s="78">
        <f>IFERROR(Table13345678[[#This Row],[DeltaC]]*Table13345678[[#This Row],[Open.Int]]*$A$4,0)</f>
        <v>0</v>
      </c>
      <c r="BH1629">
        <f>IFERROR(Table13345678[[#This Row],[DeltaP]]*Table13345678[[#This Row],[Open.Int8]]*$A$4,0)</f>
        <v>0</v>
      </c>
      <c r="BI162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9">
        <f ca="1">Table13345678[[#This Row],[charmc]]+Table13345678[[#This Row],[charmp]]</f>
        <v>0</v>
      </c>
      <c r="BL1629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9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9" s="78">
        <f ca="1">Table13345678[[#This Row],[call helper]]+Table13345678[[#This Row],[put helper]]</f>
        <v>0</v>
      </c>
      <c r="BP162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0" spans="1:68" x14ac:dyDescent="0.25">
      <c r="A1630" s="14">
        <f t="shared" ca="1" si="159"/>
        <v>-126.14810350076104</v>
      </c>
      <c r="C1630" s="17"/>
      <c r="D1630" t="str">
        <f>RTD("tos.rtd", , "OPEN_INT", "."&amp;Table13345678[[#This Row],[Ticker]]&amp;Table13345678[[#This Row],[Expiry]]&amp;""&amp;"C"&amp;Table13345678[[#This Row],[Spot]]+Table13345678[[#This Row],[step]])</f>
        <v>N/A</v>
      </c>
      <c r="E163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3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30" s="17" cm="1">
        <f t="array" aca="1" ref="H1630" ca="1">IndividualLegIVCore($A$4, Table13345678[[#This Row],[Strike]], 0.0411, Table13345678[[#This Row],[T]], ((Table13345678[[#This Row],[BIDC]]+Table13345678[[#This Row],[ASKC]])/2), TRUE)</f>
        <v>0.01</v>
      </c>
      <c r="I163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3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30" s="17"/>
      <c r="M1630" s="1">
        <f t="shared" si="160"/>
        <v>0</v>
      </c>
      <c r="N1630" t="b">
        <f t="shared" si="161"/>
        <v>0</v>
      </c>
      <c r="P1630" s="17" cm="1">
        <f t="array" aca="1" ref="P1630" ca="1">IndividualLegIVCore($A$4, Table13345678[[#This Row],[Strike]], 0.0411, Table13345678[[#This Row],[T]], ((Table13345678[[#This Row],[BIDP]]+Table13345678[[#This Row],[ASKP]])/2), FALSE)</f>
        <v>0.01</v>
      </c>
      <c r="Q163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3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30" s="17"/>
      <c r="T163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3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3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30">
        <f>49.5* IF($M$1="NDX", 10, IF(OR($M$1="SPX", $M$1="RUT"), 2, 1))</f>
        <v>99</v>
      </c>
      <c r="Z1630">
        <f ca="1">IFERROR(Table13345678[[#This Row],[call gamma]]*(Table13345678[[#This Row],[Open.Int]])*$A$4^2,0)</f>
        <v>0</v>
      </c>
      <c r="AA1630">
        <f ca="1">IFERROR(((Table13345678[[#This Row],[Open.Int8]])*Table13345678[[#This Row],[Put gamma]])*-1*$A$4^2,0)</f>
        <v>0</v>
      </c>
      <c r="AB1630">
        <f ca="1">(Table13345678[[#This Row],[Call Gex]]+Table13345678[[#This Row],[Put Gex]])</f>
        <v>0</v>
      </c>
      <c r="AC1630">
        <f ca="1">Table13345678[[#This Row],[put delta adj]]+Table13345678[[#This Row],[call delta adj]]</f>
        <v>0</v>
      </c>
      <c r="AD1630">
        <f ca="1">Table13345678[[#This Row],[Put Gex]]*Table13345678[[#This Row],[DeltaP]]*-1</f>
        <v>0</v>
      </c>
      <c r="AE1630">
        <f ca="1">Table13345678[[#This Row],[Call Gex]]*Table13345678[[#This Row],[DeltaC]]</f>
        <v>0</v>
      </c>
      <c r="AF1630">
        <f>IF(Table13345678[[#This Row],[DeltaC]]-ABS(Table13345678[[#This Row],[DeltaP]])="0","0.01",Table13345678[[#This Row],[DeltaC]]-ABS(Table13345678[[#This Row],[DeltaP]]))</f>
        <v>0</v>
      </c>
      <c r="AG163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3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30" t="e">
        <f ca="1">(EXP(-(AG1630^2)/2)/SQRT(2*PI())*EXP(0*SQRT(Table13345678[[#This Row],[T]]))/$A$4*18%*SQRT(SQRT(Table13345678[[#This Row],[T]])))</f>
        <v>#DIV/0!</v>
      </c>
      <c r="AJ1630" t="e">
        <f ca="1">(EXP(-(AH1630^2)/2)/SQRT(2*PI())*EXP(0*SQRT(Table13345678[[#This Row],[T]]))/$A$4*18%*SQRT(SQRT(Table13345678[[#This Row],[T]])))</f>
        <v>#DIV/0!</v>
      </c>
      <c r="AK1630" t="e">
        <f ca="1">Table13345678[[#This Row],[Call D1]]-Table13345678[[#This Row],[IV Calc C]]*SQRT(Table13345678[[#This Row],[T]])</f>
        <v>#DIV/0!</v>
      </c>
      <c r="AL1630" t="e">
        <f ca="1">Table13345678[[#This Row],[Put D1]]-Table13345678[[#This Row],[IV Calc P]]*SQRT(Table13345678[[#This Row],[T]])</f>
        <v>#DIV/0!</v>
      </c>
      <c r="AM1630" t="e">
        <f ca="1">EXP(-0.5*Table13345678[[#This Row],[Call D1]]^2)/SQRT(2*PI())</f>
        <v>#DIV/0!</v>
      </c>
      <c r="AN1630" t="e">
        <f ca="1">EXP(-0.5*Table13345678[[#This Row],[Put D1]]^2)/SQRT(2*PI())</f>
        <v>#DIV/0!</v>
      </c>
      <c r="AO163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3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30">
        <f ca="1">((Table13345678[[#This Row],[call vanna]]+Table13345678[[#This Row],[put vanna]])*$A$4)</f>
        <v>0</v>
      </c>
      <c r="AR163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3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30" s="9" t="str" cm="1">
        <f t="array" ref="AT1630">_xlfn.IFS(     $M$1="SPX","SPXW",     $M$1="RUT","RUTW",  $M$1="NDX","NDXP",   TRUE,$M$1 )</f>
        <v>SPXW</v>
      </c>
      <c r="AU1630" s="2">
        <f t="shared" si="162"/>
        <v>6915</v>
      </c>
      <c r="AV1630" t="str">
        <f t="shared" si="163"/>
        <v>000100</v>
      </c>
      <c r="AY163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3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3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3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30">
        <f>((Table13345678[[#This Row],[High C]]+Table13345678[[#This Row],[Low C]])/2)*Table13345678[[#This Row],[gammac]]*Table13345678[[#This Row],[Volume]]</f>
        <v>0</v>
      </c>
      <c r="BD1630">
        <f>((Table13345678[[#This Row],[High P]]+Table13345678[[#This Row],[Low P]])/2)*Table13345678[[#This Row],[gammap]]*Table13345678[[#This Row],[Volume9]]*-1</f>
        <v>0</v>
      </c>
      <c r="BE1630">
        <f>(Table13345678[[#This Row],[SgammaC]]+Table13345678[[#This Row],[SgammaP]])*$A$4*-100</f>
        <v>0</v>
      </c>
      <c r="BF1630">
        <f>Table13345678[[#This Row],[DEXc]]+Table13345678[[#This Row],[DEXp]]</f>
        <v>0</v>
      </c>
      <c r="BG1630" s="78">
        <f>IFERROR(Table13345678[[#This Row],[DeltaC]]*Table13345678[[#This Row],[Open.Int]]*$A$4,0)</f>
        <v>0</v>
      </c>
      <c r="BH1630">
        <f>IFERROR(Table13345678[[#This Row],[DeltaP]]*Table13345678[[#This Row],[Open.Int8]]*$A$4,0)</f>
        <v>0</v>
      </c>
      <c r="BI163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3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30">
        <f ca="1">Table13345678[[#This Row],[charmc]]+Table13345678[[#This Row],[charmp]]</f>
        <v>0</v>
      </c>
      <c r="BL1630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30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30" s="78">
        <f ca="1">Table13345678[[#This Row],[call helper]]+Table13345678[[#This Row],[put helper]]</f>
        <v>0</v>
      </c>
      <c r="BP163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1" spans="1:68" x14ac:dyDescent="0.25">
      <c r="A1631" s="14">
        <f t="shared" ca="1" si="159"/>
        <v>-126.14810350076104</v>
      </c>
      <c r="C1631" s="17"/>
      <c r="D1631" t="str">
        <f>RTD("tos.rtd", , "OPEN_INT", "."&amp;Table13345678[[#This Row],[Ticker]]&amp;Table13345678[[#This Row],[Expiry]]&amp;""&amp;"C"&amp;Table13345678[[#This Row],[Spot]]+Table13345678[[#This Row],[step]])</f>
        <v>N/A</v>
      </c>
      <c r="E16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31" s="17" cm="1">
        <f t="array" aca="1" ref="H1631" ca="1">IFERROR(
  IndividualLegIVCore(
    $A$4,
    Table13345678[[#This Row],[Strike]],
    0.0411,
    Table13345678[[#This Row],[T]],
    0,
    TRUE,
    0,
    0.001,
    5,
    0.0001,
    40,
    0,
    0.2,
    Table13345678[[#This Row],[BIDC]],
    Table13345678[[#This Row],[ASKC]],
    Table13345678[[#This Row],[Volume]]
  ),
  NA()
)</f>
        <v>0.2</v>
      </c>
      <c r="I16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31" s="17"/>
      <c r="M1631" s="1">
        <f t="shared" si="160"/>
        <v>0</v>
      </c>
      <c r="N1631" t="b">
        <f t="shared" si="161"/>
        <v>0</v>
      </c>
      <c r="P1631" s="17" cm="1">
        <f t="array" aca="1" ref="P1631" ca="1">IFERROR(
  IndividualLegIVCore(
    $A$4,
    Table13345678[[#This Row],[Strike]],
    0.0411,
    Table13345678[[#This Row],[T]],
    0,
    FALSE,
    0,
    0.001,
    5,
    0.0001,
    40,
    0,
    0,
    Table13345678[[#This Row],[BIDP]],
    Table13345678[[#This Row],[ASKP]],
    Table13345678[[#This Row],[Volume9]]
  ),
  NA()
)</f>
        <v>0.01</v>
      </c>
      <c r="Q16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31" s="17"/>
      <c r="T16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31">
        <f>50* IF($M$1="NDX", 10, IF(OR($M$1="SPX", $M$1="RUT"), 2, 1))</f>
        <v>100</v>
      </c>
      <c r="Z1631">
        <f ca="1">IFERROR(Table13345678[[#This Row],[call gamma]]*(Table13345678[[#This Row],[Open.Int]])*$A$4^2,0)</f>
        <v>0</v>
      </c>
      <c r="AA1631">
        <f ca="1">IFERROR(((Table13345678[[#This Row],[Open.Int8]])*Table13345678[[#This Row],[Put gamma]])*-1*$A$4^2,0)</f>
        <v>0</v>
      </c>
      <c r="AB1631">
        <f ca="1">(Table13345678[[#This Row],[Call Gex]]+Table13345678[[#This Row],[Put Gex]])</f>
        <v>0</v>
      </c>
      <c r="AC1631">
        <f ca="1">Table13345678[[#This Row],[put delta adj]]+Table13345678[[#This Row],[call delta adj]]</f>
        <v>0</v>
      </c>
      <c r="AD1631">
        <f ca="1">Table13345678[[#This Row],[Put Gex]]*Table13345678[[#This Row],[DeltaP]]*-1</f>
        <v>0</v>
      </c>
      <c r="AE1631">
        <f ca="1">Table13345678[[#This Row],[Call Gex]]*Table13345678[[#This Row],[DeltaC]]</f>
        <v>0</v>
      </c>
      <c r="AF1631">
        <f>IF(Table13345678[[#This Row],[DeltaC]]-ABS(Table13345678[[#This Row],[DeltaP]])="0","0.01",Table13345678[[#This Row],[DeltaC]]-ABS(Table13345678[[#This Row],[DeltaP]]))</f>
        <v>0</v>
      </c>
      <c r="AG16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31" t="e">
        <f ca="1">(EXP(-(AG1631^2)/2)/SQRT(2*PI())*EXP(0*SQRT(Table13345678[[#This Row],[T]]))/$A$4*18%*SQRT(SQRT(Table13345678[[#This Row],[T]])))</f>
        <v>#DIV/0!</v>
      </c>
      <c r="AJ1631" t="e">
        <f ca="1">(EXP(-(AH1631^2)/2)/SQRT(2*PI())*EXP(0*SQRT(Table13345678[[#This Row],[T]]))/$A$4*18%*SQRT(SQRT(Table13345678[[#This Row],[T]])))</f>
        <v>#DIV/0!</v>
      </c>
      <c r="AK1631" t="e">
        <f ca="1">Table13345678[[#This Row],[Call D1]]-Table13345678[[#This Row],[IV Calc C]]*SQRT(Table13345678[[#This Row],[T]])</f>
        <v>#DIV/0!</v>
      </c>
      <c r="AL1631" t="e">
        <f ca="1">Table13345678[[#This Row],[Put D1]]-Table13345678[[#This Row],[IV Calc P]]*SQRT(Table13345678[[#This Row],[T]])</f>
        <v>#DIV/0!</v>
      </c>
      <c r="AM1631" t="e">
        <f ca="1">EXP(-0.5*Table13345678[[#This Row],[Call D1]]^2)/SQRT(2*PI())</f>
        <v>#DIV/0!</v>
      </c>
      <c r="AN1631" t="e">
        <f ca="1">EXP(-0.5*Table13345678[[#This Row],[Put D1]]^2)/SQRT(2*PI())</f>
        <v>#DIV/0!</v>
      </c>
      <c r="AO16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31">
        <f ca="1">((Table13345678[[#This Row],[call vanna]]+Table13345678[[#This Row],[put vanna]])*$A$4)</f>
        <v>0</v>
      </c>
      <c r="AR16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31" s="9" t="str" cm="1">
        <f t="array" ref="AT1631">_xlfn.IFS(     $M$1="SPX","SPXW",     $M$1="RUT","RUTW",  $M$1="NDX","NDXP",   TRUE,$M$1 )</f>
        <v>SPXW</v>
      </c>
      <c r="AU1631" s="2">
        <f t="shared" si="162"/>
        <v>6915</v>
      </c>
      <c r="AV1631" t="str">
        <f t="shared" si="163"/>
        <v>000100</v>
      </c>
      <c r="AY16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31">
        <f>((Table13345678[[#This Row],[High C]]+Table13345678[[#This Row],[Low C]])/2)*Table13345678[[#This Row],[gammac]]*Table13345678[[#This Row],[Volume]]</f>
        <v>0</v>
      </c>
      <c r="BD1631">
        <f>((Table13345678[[#This Row],[High P]]+Table13345678[[#This Row],[Low P]])/2)*Table13345678[[#This Row],[gammap]]*Table13345678[[#This Row],[Volume9]]*-1</f>
        <v>0</v>
      </c>
      <c r="BE1631">
        <f>(Table13345678[[#This Row],[SgammaC]]+Table13345678[[#This Row],[SgammaP]])*$A$4*-100</f>
        <v>0</v>
      </c>
      <c r="BF1631">
        <f>Table13345678[[#This Row],[DEXc]]+Table13345678[[#This Row],[DEXp]]</f>
        <v>0</v>
      </c>
      <c r="BG1631" s="78">
        <f>IFERROR(Table13345678[[#This Row],[DeltaC]]*Table13345678[[#This Row],[Open.Int]]*$A$4,0)</f>
        <v>0</v>
      </c>
      <c r="BH1631">
        <f>IFERROR(Table13345678[[#This Row],[DeltaP]]*Table13345678[[#This Row],[Open.Int8]]*$A$4,0)</f>
        <v>0</v>
      </c>
      <c r="BI163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31">
        <f ca="1">Table13345678[[#This Row],[charmc]]+Table13345678[[#This Row],[charmp]]</f>
        <v>0</v>
      </c>
      <c r="BL1631" s="78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31" s="78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31" s="78">
        <f ca="1">Table13345678[[#This Row],[call helper]]+Table13345678[[#This Row],[put helper]]</f>
        <v>0</v>
      </c>
      <c r="BP163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3" spans="1:65" x14ac:dyDescent="0.25">
      <c r="AY1633" s="61"/>
      <c r="AZ1633" s="61"/>
      <c r="BA1633" s="61"/>
      <c r="BB1633" s="61"/>
      <c r="BC1633" s="61"/>
      <c r="BD1633" s="61"/>
      <c r="BE1633" s="61"/>
      <c r="BF1633" s="61"/>
      <c r="BG1633" s="61"/>
      <c r="BH1633" s="61"/>
      <c r="BI1633" s="61"/>
      <c r="BJ1633" s="61"/>
      <c r="BK1633" s="61"/>
      <c r="BL1633" s="89"/>
      <c r="BM1633" s="89"/>
    </row>
    <row r="1634" spans="1:65" x14ac:dyDescent="0.25">
      <c r="A1634" s="14"/>
      <c r="C1634" s="17"/>
      <c r="H1634" s="17"/>
      <c r="K1634" s="17"/>
      <c r="M1634" s="1"/>
      <c r="P1634" s="17"/>
      <c r="S1634" s="17"/>
      <c r="Y1634" s="19"/>
      <c r="AT1634" s="9"/>
      <c r="AU1634" s="2"/>
      <c r="BF1634" s="78"/>
      <c r="BG1634" s="78"/>
      <c r="BI1634" s="61"/>
    </row>
    <row r="1635" spans="1:65" x14ac:dyDescent="0.25">
      <c r="A1635" s="14"/>
      <c r="C1635" s="17"/>
      <c r="H1635" s="17"/>
      <c r="K1635" s="17"/>
      <c r="M1635" s="1"/>
      <c r="P1635" s="17"/>
      <c r="S1635" s="17"/>
      <c r="Y1635" s="19"/>
      <c r="AT1635" s="9"/>
      <c r="AU1635" s="2"/>
    </row>
    <row r="1636" spans="1:65" x14ac:dyDescent="0.25">
      <c r="A1636" s="14"/>
      <c r="C1636" s="17"/>
      <c r="H1636" s="17"/>
      <c r="K1636" s="17"/>
      <c r="M1636" s="1"/>
      <c r="P1636" s="17"/>
      <c r="S1636" s="17"/>
      <c r="Y1636" s="19"/>
      <c r="AT1636" s="9"/>
      <c r="AU1636" s="2"/>
    </row>
    <row r="1637" spans="1:65" x14ac:dyDescent="0.25">
      <c r="A1637" s="14"/>
      <c r="C1637" s="17"/>
      <c r="H1637" s="17"/>
      <c r="K1637" s="17"/>
      <c r="M1637" s="1"/>
      <c r="P1637" s="17"/>
      <c r="S1637" s="17"/>
      <c r="Y1637" s="19"/>
      <c r="AT1637" s="9"/>
      <c r="AU1637" s="2"/>
    </row>
    <row r="1638" spans="1:65" x14ac:dyDescent="0.25">
      <c r="A1638" s="14"/>
      <c r="C1638" s="17"/>
      <c r="H1638" s="17"/>
      <c r="K1638" s="17"/>
      <c r="M1638" s="1"/>
      <c r="P1638" s="17"/>
      <c r="S1638" s="17"/>
      <c r="Y1638" s="19"/>
      <c r="AT1638" s="9"/>
      <c r="AU1638" s="2"/>
    </row>
    <row r="1639" spans="1:65" x14ac:dyDescent="0.25">
      <c r="A1639" s="14"/>
      <c r="C1639" s="17"/>
      <c r="H1639" s="17"/>
      <c r="K1639" s="17"/>
      <c r="M1639" s="1"/>
      <c r="P1639" s="17"/>
      <c r="S1639" s="17"/>
      <c r="Y1639" s="19"/>
      <c r="AT1639" s="9"/>
      <c r="AU1639" s="2"/>
    </row>
    <row r="1640" spans="1:65" x14ac:dyDescent="0.25">
      <c r="A1640" s="14"/>
      <c r="C1640" s="17"/>
      <c r="H1640" s="17"/>
      <c r="K1640" s="17"/>
      <c r="M1640" s="1"/>
      <c r="P1640" s="17"/>
      <c r="S1640" s="17"/>
      <c r="Y1640" s="19"/>
      <c r="AT1640" s="9"/>
      <c r="AU1640" s="2"/>
    </row>
    <row r="1641" spans="1:65" x14ac:dyDescent="0.25">
      <c r="A1641" s="14"/>
      <c r="C1641" s="17"/>
      <c r="H1641" s="17"/>
      <c r="K1641" s="17"/>
      <c r="M1641" s="1"/>
      <c r="P1641" s="17"/>
      <c r="S1641" s="17"/>
      <c r="Y1641" s="19"/>
      <c r="AT1641" s="9"/>
      <c r="AU1641" s="2"/>
    </row>
    <row r="1642" spans="1:65" x14ac:dyDescent="0.25">
      <c r="A1642" s="14"/>
      <c r="C1642" s="17"/>
      <c r="H1642" s="17"/>
      <c r="K1642" s="17"/>
      <c r="M1642" s="1"/>
      <c r="P1642" s="17"/>
      <c r="S1642" s="17"/>
      <c r="Y1642" s="19"/>
      <c r="AT1642" s="9"/>
      <c r="AU1642" s="2"/>
    </row>
    <row r="1643" spans="1:65" x14ac:dyDescent="0.25">
      <c r="A1643" s="14"/>
      <c r="C1643" s="17"/>
      <c r="H1643" s="17"/>
      <c r="K1643" s="17"/>
      <c r="M1643" s="1"/>
      <c r="P1643" s="17"/>
      <c r="S1643" s="17"/>
      <c r="Y1643" s="19"/>
      <c r="AT1643" s="9"/>
      <c r="AU1643" s="2"/>
    </row>
    <row r="1644" spans="1:65" x14ac:dyDescent="0.25">
      <c r="A1644" s="14"/>
      <c r="C1644" s="17"/>
      <c r="H1644" s="17"/>
      <c r="K1644" s="17"/>
      <c r="M1644" s="1"/>
      <c r="P1644" s="17"/>
      <c r="S1644" s="17"/>
      <c r="Y1644" s="19"/>
      <c r="AT1644" s="9"/>
      <c r="AU1644" s="2"/>
    </row>
    <row r="1645" spans="1:65" x14ac:dyDescent="0.25">
      <c r="A1645" s="14"/>
      <c r="C1645" s="17"/>
      <c r="H1645" s="17"/>
      <c r="K1645" s="17"/>
      <c r="M1645" s="1"/>
      <c r="P1645" s="17"/>
      <c r="S1645" s="17"/>
      <c r="Y1645" s="19"/>
      <c r="AT1645" s="9"/>
      <c r="AU1645" s="2"/>
    </row>
    <row r="1646" spans="1:65" x14ac:dyDescent="0.25">
      <c r="A1646" s="14"/>
      <c r="C1646" s="17"/>
      <c r="H1646" s="17"/>
      <c r="K1646" s="17"/>
      <c r="M1646" s="1"/>
      <c r="P1646" s="17"/>
      <c r="S1646" s="17"/>
      <c r="Y1646" s="19"/>
      <c r="AT1646" s="9"/>
      <c r="AU1646" s="2"/>
    </row>
    <row r="1647" spans="1:65" x14ac:dyDescent="0.25">
      <c r="A1647" s="14"/>
      <c r="C1647" s="17"/>
      <c r="H1647" s="17"/>
      <c r="K1647" s="17"/>
      <c r="M1647" s="1"/>
      <c r="P1647" s="17"/>
      <c r="S1647" s="17"/>
      <c r="Y1647" s="19"/>
      <c r="AT1647" s="9"/>
      <c r="AU1647" s="2"/>
    </row>
    <row r="1648" spans="1:65" x14ac:dyDescent="0.25">
      <c r="A1648" s="14"/>
      <c r="C1648" s="17"/>
      <c r="H1648" s="17"/>
      <c r="K1648" s="17"/>
      <c r="M1648" s="1"/>
      <c r="P1648" s="17"/>
      <c r="S1648" s="17"/>
      <c r="Y1648" s="19"/>
      <c r="AT1648" s="9"/>
      <c r="AU1648" s="2"/>
    </row>
    <row r="1649" spans="1:47" x14ac:dyDescent="0.25">
      <c r="A1649" s="14"/>
      <c r="C1649" s="17"/>
      <c r="H1649" s="17"/>
      <c r="K1649" s="17"/>
      <c r="M1649" s="1"/>
      <c r="P1649" s="17"/>
      <c r="S1649" s="17"/>
      <c r="Y1649" s="19"/>
      <c r="AT1649" s="9"/>
      <c r="AU1649" s="2"/>
    </row>
    <row r="1650" spans="1:47" x14ac:dyDescent="0.25">
      <c r="A1650" s="14"/>
      <c r="C1650" s="17"/>
      <c r="H1650" s="17"/>
      <c r="K1650" s="17"/>
      <c r="M1650" s="1"/>
      <c r="P1650" s="17"/>
      <c r="S1650" s="17"/>
      <c r="Y1650" s="19"/>
      <c r="AT1650" s="9"/>
      <c r="AU1650" s="2"/>
    </row>
    <row r="1651" spans="1:47" x14ac:dyDescent="0.25">
      <c r="A1651" s="14"/>
      <c r="C1651" s="17"/>
      <c r="H1651" s="17"/>
      <c r="K1651" s="17"/>
      <c r="M1651" s="1"/>
      <c r="P1651" s="17"/>
      <c r="S1651" s="17"/>
      <c r="Y1651" s="19"/>
      <c r="AT1651" s="9"/>
      <c r="AU1651" s="2"/>
    </row>
    <row r="1652" spans="1:47" x14ac:dyDescent="0.25">
      <c r="A1652" s="14"/>
      <c r="C1652" s="17"/>
      <c r="H1652" s="17"/>
      <c r="K1652" s="17"/>
      <c r="M1652" s="1"/>
      <c r="P1652" s="17"/>
      <c r="S1652" s="17"/>
      <c r="Y1652" s="19"/>
      <c r="AT1652" s="9"/>
      <c r="AU1652" s="2"/>
    </row>
    <row r="1653" spans="1:47" x14ac:dyDescent="0.25">
      <c r="A1653" s="14"/>
      <c r="C1653" s="17"/>
      <c r="H1653" s="17"/>
      <c r="K1653" s="17"/>
      <c r="M1653" s="1"/>
      <c r="P1653" s="17"/>
      <c r="S1653" s="17"/>
      <c r="Y1653" s="19"/>
      <c r="AT1653" s="9"/>
      <c r="AU1653" s="2"/>
    </row>
    <row r="1654" spans="1:47" x14ac:dyDescent="0.25">
      <c r="A1654" s="14"/>
      <c r="C1654" s="17"/>
      <c r="H1654" s="17"/>
      <c r="K1654" s="17"/>
      <c r="M1654" s="1"/>
      <c r="P1654" s="17"/>
      <c r="S1654" s="17"/>
      <c r="Y1654" s="19"/>
      <c r="AT1654" s="9"/>
      <c r="AU1654" s="2"/>
    </row>
    <row r="1655" spans="1:47" x14ac:dyDescent="0.25">
      <c r="A1655" s="14"/>
      <c r="C1655" s="17"/>
      <c r="H1655" s="17"/>
      <c r="K1655" s="17"/>
      <c r="M1655" s="1"/>
      <c r="P1655" s="17"/>
      <c r="S1655" s="17"/>
      <c r="Y1655" s="19"/>
      <c r="AT1655" s="9"/>
      <c r="AU1655" s="2"/>
    </row>
    <row r="1656" spans="1:47" x14ac:dyDescent="0.25">
      <c r="A1656" s="14"/>
      <c r="C1656" s="17"/>
      <c r="H1656" s="17"/>
      <c r="K1656" s="17"/>
      <c r="M1656" s="1"/>
      <c r="P1656" s="17"/>
      <c r="S1656" s="17"/>
      <c r="Y1656" s="19"/>
      <c r="AT1656" s="9"/>
      <c r="AU1656" s="2"/>
    </row>
    <row r="1657" spans="1:47" x14ac:dyDescent="0.25">
      <c r="A1657" s="14"/>
      <c r="C1657" s="17"/>
      <c r="H1657" s="17"/>
      <c r="K1657" s="17"/>
      <c r="M1657" s="1"/>
      <c r="P1657" s="17"/>
      <c r="S1657" s="17"/>
      <c r="Y1657" s="19"/>
      <c r="AT1657" s="9"/>
      <c r="AU1657" s="2"/>
    </row>
    <row r="1658" spans="1:47" x14ac:dyDescent="0.25">
      <c r="A1658" s="14"/>
      <c r="C1658" s="17"/>
      <c r="H1658" s="17"/>
      <c r="K1658" s="17"/>
      <c r="M1658" s="1"/>
      <c r="P1658" s="17"/>
      <c r="S1658" s="17"/>
      <c r="Y1658" s="19"/>
      <c r="AT1658" s="9"/>
      <c r="AU1658" s="2"/>
    </row>
    <row r="1659" spans="1:47" x14ac:dyDescent="0.25">
      <c r="A1659" s="14"/>
      <c r="C1659" s="17"/>
      <c r="H1659" s="17"/>
      <c r="K1659" s="17"/>
      <c r="M1659" s="1"/>
      <c r="P1659" s="17"/>
      <c r="S1659" s="17"/>
      <c r="Y1659" s="19"/>
      <c r="AT1659" s="9"/>
      <c r="AU1659" s="2"/>
    </row>
    <row r="1660" spans="1:47" x14ac:dyDescent="0.25">
      <c r="A1660" s="14"/>
      <c r="C1660" s="17"/>
      <c r="H1660" s="17"/>
      <c r="K1660" s="17"/>
      <c r="M1660" s="1"/>
      <c r="P1660" s="17"/>
      <c r="S1660" s="17"/>
      <c r="Y1660" s="19"/>
      <c r="AT1660" s="9"/>
      <c r="AU1660" s="2"/>
    </row>
    <row r="1661" spans="1:47" x14ac:dyDescent="0.25">
      <c r="A1661" s="14"/>
      <c r="C1661" s="17"/>
      <c r="H1661" s="17"/>
      <c r="K1661" s="17"/>
      <c r="M1661" s="1"/>
      <c r="P1661" s="17"/>
      <c r="S1661" s="17"/>
      <c r="Y1661" s="19"/>
      <c r="AT1661" s="9"/>
      <c r="AU1661" s="2"/>
    </row>
    <row r="1662" spans="1:47" x14ac:dyDescent="0.25">
      <c r="A1662" s="14"/>
      <c r="C1662" s="17"/>
      <c r="H1662" s="17"/>
      <c r="K1662" s="17"/>
      <c r="M1662" s="1"/>
      <c r="P1662" s="17"/>
      <c r="S1662" s="17"/>
      <c r="Y1662" s="19"/>
      <c r="AT1662" s="9"/>
      <c r="AU1662" s="2"/>
    </row>
    <row r="1663" spans="1:47" x14ac:dyDescent="0.25">
      <c r="A1663" s="14"/>
      <c r="C1663" s="17"/>
      <c r="H1663" s="17"/>
      <c r="K1663" s="17"/>
      <c r="M1663" s="1"/>
      <c r="P1663" s="17"/>
      <c r="S1663" s="17"/>
      <c r="Y1663" s="19"/>
      <c r="AT1663" s="9"/>
      <c r="AU1663" s="2"/>
    </row>
    <row r="1664" spans="1:47" x14ac:dyDescent="0.25">
      <c r="A1664" s="14"/>
      <c r="C1664" s="17"/>
      <c r="H1664" s="17"/>
      <c r="K1664" s="17"/>
      <c r="M1664" s="1"/>
      <c r="P1664" s="17"/>
      <c r="S1664" s="17"/>
      <c r="Y1664" s="19"/>
      <c r="AT1664" s="9"/>
      <c r="AU1664" s="2"/>
    </row>
    <row r="1665" spans="1:47" x14ac:dyDescent="0.25">
      <c r="A1665" s="14"/>
      <c r="C1665" s="17"/>
      <c r="H1665" s="17"/>
      <c r="K1665" s="17"/>
      <c r="M1665" s="1"/>
      <c r="P1665" s="17"/>
      <c r="S1665" s="17"/>
      <c r="Y1665" s="19"/>
      <c r="AT1665" s="9"/>
      <c r="AU1665" s="2"/>
    </row>
    <row r="1666" spans="1:47" x14ac:dyDescent="0.25">
      <c r="A1666" s="14"/>
      <c r="C1666" s="17"/>
      <c r="H1666" s="17"/>
      <c r="K1666" s="17"/>
      <c r="M1666" s="1"/>
      <c r="P1666" s="17"/>
      <c r="S1666" s="17"/>
      <c r="Y1666" s="19"/>
      <c r="AT1666" s="9"/>
      <c r="AU1666" s="2"/>
    </row>
    <row r="1667" spans="1:47" x14ac:dyDescent="0.25">
      <c r="A1667" s="14"/>
      <c r="C1667" s="17"/>
      <c r="H1667" s="17"/>
      <c r="K1667" s="17"/>
      <c r="M1667" s="1"/>
      <c r="P1667" s="17"/>
      <c r="S1667" s="17"/>
      <c r="Y1667" s="19"/>
      <c r="AT1667" s="9"/>
      <c r="AU1667" s="2"/>
    </row>
    <row r="1668" spans="1:47" x14ac:dyDescent="0.25">
      <c r="A1668" s="14"/>
      <c r="C1668" s="17"/>
      <c r="H1668" s="17"/>
      <c r="K1668" s="17"/>
      <c r="M1668" s="1"/>
      <c r="P1668" s="17"/>
      <c r="S1668" s="17"/>
      <c r="Y1668" s="19"/>
      <c r="AT1668" s="9"/>
      <c r="AU1668" s="2"/>
    </row>
    <row r="1669" spans="1:47" x14ac:dyDescent="0.25">
      <c r="A1669" s="14"/>
      <c r="C1669" s="17"/>
      <c r="H1669" s="17"/>
      <c r="K1669" s="17"/>
      <c r="M1669" s="1"/>
      <c r="P1669" s="17"/>
      <c r="S1669" s="17"/>
      <c r="Y1669" s="19"/>
      <c r="AT1669" s="9"/>
      <c r="AU1669" s="2"/>
    </row>
    <row r="1670" spans="1:47" x14ac:dyDescent="0.25">
      <c r="A1670" s="14"/>
      <c r="C1670" s="17"/>
      <c r="H1670" s="17"/>
      <c r="K1670" s="17"/>
      <c r="M1670" s="1"/>
      <c r="P1670" s="17"/>
      <c r="S1670" s="17"/>
      <c r="Y1670" s="19"/>
      <c r="AT1670" s="9"/>
      <c r="AU1670" s="2"/>
    </row>
    <row r="1671" spans="1:47" x14ac:dyDescent="0.25">
      <c r="A1671" s="14"/>
      <c r="C1671" s="17"/>
      <c r="H1671" s="17"/>
      <c r="K1671" s="17"/>
      <c r="M1671" s="1"/>
      <c r="P1671" s="17"/>
      <c r="S1671" s="17"/>
      <c r="Y1671" s="19"/>
      <c r="AT1671" s="9"/>
      <c r="AU1671" s="2"/>
    </row>
    <row r="1672" spans="1:47" x14ac:dyDescent="0.25">
      <c r="A1672" s="14"/>
      <c r="C1672" s="17"/>
      <c r="H1672" s="17"/>
      <c r="K1672" s="17"/>
      <c r="M1672" s="1"/>
      <c r="P1672" s="17"/>
      <c r="S1672" s="17"/>
      <c r="Y1672" s="19"/>
      <c r="AT1672" s="9"/>
      <c r="AU1672" s="2"/>
    </row>
    <row r="1673" spans="1:47" x14ac:dyDescent="0.25">
      <c r="A1673" s="14"/>
      <c r="C1673" s="17"/>
      <c r="H1673" s="17"/>
      <c r="K1673" s="17"/>
      <c r="M1673" s="1"/>
      <c r="P1673" s="17"/>
      <c r="S1673" s="17"/>
      <c r="Y1673" s="19"/>
      <c r="AT1673" s="9"/>
      <c r="AU1673" s="2"/>
    </row>
    <row r="1674" spans="1:47" x14ac:dyDescent="0.25">
      <c r="A1674" s="14"/>
      <c r="C1674" s="17"/>
      <c r="H1674" s="17"/>
      <c r="K1674" s="17"/>
      <c r="M1674" s="1"/>
      <c r="P1674" s="17"/>
      <c r="S1674" s="17"/>
      <c r="Y1674" s="19"/>
      <c r="AT1674" s="9"/>
      <c r="AU1674" s="2"/>
    </row>
    <row r="1675" spans="1:47" x14ac:dyDescent="0.25">
      <c r="A1675" s="14"/>
      <c r="C1675" s="17"/>
      <c r="H1675" s="17"/>
      <c r="K1675" s="17"/>
      <c r="M1675" s="1"/>
      <c r="P1675" s="17"/>
      <c r="S1675" s="17"/>
      <c r="Y1675" s="19"/>
      <c r="AT1675" s="9"/>
      <c r="AU1675" s="2"/>
    </row>
    <row r="1676" spans="1:47" x14ac:dyDescent="0.25">
      <c r="A1676" s="14"/>
      <c r="C1676" s="17"/>
      <c r="H1676" s="17"/>
      <c r="K1676" s="17"/>
      <c r="M1676" s="1"/>
      <c r="P1676" s="17"/>
      <c r="S1676" s="17"/>
      <c r="Y1676" s="19"/>
      <c r="AT1676" s="9"/>
      <c r="AU1676" s="2"/>
    </row>
    <row r="1677" spans="1:47" x14ac:dyDescent="0.25">
      <c r="A1677" s="14"/>
      <c r="C1677" s="17"/>
      <c r="H1677" s="17"/>
      <c r="K1677" s="17"/>
      <c r="M1677" s="1"/>
      <c r="P1677" s="17"/>
      <c r="S1677" s="17"/>
      <c r="Y1677" s="19"/>
      <c r="AT1677" s="9"/>
      <c r="AU1677" s="2"/>
    </row>
    <row r="1678" spans="1:47" x14ac:dyDescent="0.25">
      <c r="A1678" s="14"/>
      <c r="C1678" s="17"/>
      <c r="H1678" s="17"/>
      <c r="K1678" s="17"/>
      <c r="M1678" s="1"/>
      <c r="P1678" s="17"/>
      <c r="S1678" s="17"/>
      <c r="Y1678" s="19"/>
      <c r="AT1678" s="9"/>
      <c r="AU1678" s="2"/>
    </row>
    <row r="1679" spans="1:47" x14ac:dyDescent="0.25">
      <c r="A1679" s="14"/>
      <c r="C1679" s="17"/>
      <c r="H1679" s="17"/>
      <c r="K1679" s="17"/>
      <c r="M1679" s="1"/>
      <c r="P1679" s="17"/>
      <c r="S1679" s="17"/>
      <c r="Y1679" s="19"/>
      <c r="AT1679" s="9"/>
      <c r="AU1679" s="2"/>
    </row>
    <row r="1680" spans="1:47" x14ac:dyDescent="0.25">
      <c r="A1680" s="14"/>
      <c r="C1680" s="17"/>
      <c r="H1680" s="17"/>
      <c r="K1680" s="17"/>
      <c r="M1680" s="1"/>
      <c r="P1680" s="17"/>
      <c r="S1680" s="17"/>
      <c r="Y1680" s="19"/>
      <c r="AT1680" s="9"/>
      <c r="AU1680" s="2"/>
    </row>
    <row r="1681" spans="1:47" x14ac:dyDescent="0.25">
      <c r="A1681" s="14"/>
      <c r="C1681" s="17"/>
      <c r="H1681" s="17"/>
      <c r="K1681" s="17"/>
      <c r="M1681" s="1"/>
      <c r="P1681" s="17"/>
      <c r="S1681" s="17"/>
      <c r="Y1681" s="19"/>
      <c r="AT1681" s="9"/>
      <c r="AU1681" s="2"/>
    </row>
    <row r="1682" spans="1:47" x14ac:dyDescent="0.25">
      <c r="A1682" s="14"/>
      <c r="C1682" s="17"/>
      <c r="H1682" s="17"/>
      <c r="K1682" s="17"/>
      <c r="M1682" s="1"/>
      <c r="P1682" s="17"/>
      <c r="S1682" s="17"/>
      <c r="Y1682" s="19"/>
      <c r="AT1682" s="9"/>
      <c r="AU1682" s="2"/>
    </row>
    <row r="1683" spans="1:47" x14ac:dyDescent="0.25">
      <c r="A1683" s="14"/>
      <c r="C1683" s="17"/>
      <c r="H1683" s="17"/>
      <c r="K1683" s="17"/>
      <c r="M1683" s="1"/>
      <c r="P1683" s="17"/>
      <c r="S1683" s="17"/>
      <c r="Y1683" s="19"/>
      <c r="AT1683" s="9"/>
      <c r="AU1683" s="2"/>
    </row>
    <row r="1684" spans="1:47" x14ac:dyDescent="0.25">
      <c r="A1684" s="14"/>
      <c r="C1684" s="17"/>
      <c r="H1684" s="17"/>
      <c r="K1684" s="17"/>
      <c r="M1684" s="1"/>
      <c r="P1684" s="17"/>
      <c r="S1684" s="17"/>
      <c r="Y1684" s="19"/>
      <c r="AT1684" s="9"/>
      <c r="AU1684" s="2"/>
    </row>
    <row r="1685" spans="1:47" x14ac:dyDescent="0.25">
      <c r="A1685" s="14"/>
      <c r="C1685" s="17"/>
      <c r="H1685" s="17"/>
      <c r="K1685" s="17"/>
      <c r="M1685" s="1"/>
      <c r="P1685" s="17"/>
      <c r="S1685" s="17"/>
      <c r="Y1685" s="19"/>
      <c r="AT1685" s="9"/>
      <c r="AU1685" s="2"/>
    </row>
    <row r="1686" spans="1:47" x14ac:dyDescent="0.25">
      <c r="A1686" s="14"/>
      <c r="C1686" s="17"/>
      <c r="H1686" s="17"/>
      <c r="K1686" s="17"/>
      <c r="M1686" s="1"/>
      <c r="P1686" s="17"/>
      <c r="S1686" s="17"/>
      <c r="Y1686" s="19"/>
      <c r="AT1686" s="9"/>
      <c r="AU1686" s="2"/>
    </row>
    <row r="1687" spans="1:47" x14ac:dyDescent="0.25">
      <c r="A1687" s="14"/>
      <c r="C1687" s="17"/>
      <c r="H1687" s="17"/>
      <c r="K1687" s="17"/>
      <c r="M1687" s="1"/>
      <c r="P1687" s="17"/>
      <c r="S1687" s="17"/>
      <c r="Y1687" s="19"/>
      <c r="AT1687" s="9"/>
      <c r="AU1687" s="2"/>
    </row>
    <row r="1688" spans="1:47" x14ac:dyDescent="0.25">
      <c r="A1688" s="14"/>
      <c r="C1688" s="17"/>
      <c r="H1688" s="17"/>
      <c r="K1688" s="17"/>
      <c r="M1688" s="1"/>
      <c r="P1688" s="17"/>
      <c r="S1688" s="17"/>
      <c r="Y1688" s="19"/>
      <c r="AT1688" s="9"/>
      <c r="AU1688" s="2"/>
    </row>
    <row r="1689" spans="1:47" x14ac:dyDescent="0.25">
      <c r="A1689" s="14"/>
      <c r="C1689" s="17"/>
      <c r="H1689" s="17"/>
      <c r="K1689" s="17"/>
      <c r="M1689" s="1"/>
      <c r="P1689" s="17"/>
      <c r="S1689" s="17"/>
      <c r="Y1689" s="19"/>
      <c r="AT1689" s="9"/>
      <c r="AU1689" s="2"/>
    </row>
    <row r="1690" spans="1:47" x14ac:dyDescent="0.25">
      <c r="A1690" s="14"/>
      <c r="C1690" s="17"/>
      <c r="H1690" s="17"/>
      <c r="K1690" s="17"/>
      <c r="M1690" s="1"/>
      <c r="P1690" s="17"/>
      <c r="S1690" s="17"/>
      <c r="Y1690" s="19"/>
      <c r="AT1690" s="9"/>
      <c r="AU1690" s="2"/>
    </row>
    <row r="1691" spans="1:47" x14ac:dyDescent="0.25">
      <c r="A1691" s="14"/>
      <c r="C1691" s="17"/>
      <c r="H1691" s="17"/>
      <c r="K1691" s="17"/>
      <c r="M1691" s="1"/>
      <c r="P1691" s="17"/>
      <c r="S1691" s="17"/>
      <c r="Y1691" s="19"/>
      <c r="AT1691" s="9"/>
      <c r="AU1691" s="2"/>
    </row>
    <row r="1692" spans="1:47" x14ac:dyDescent="0.25">
      <c r="A1692" s="14"/>
      <c r="C1692" s="17"/>
      <c r="H1692" s="17"/>
      <c r="K1692" s="17"/>
      <c r="M1692" s="1"/>
      <c r="P1692" s="17"/>
      <c r="S1692" s="17"/>
      <c r="Y1692" s="19"/>
      <c r="AT1692" s="9"/>
      <c r="AU1692" s="2"/>
    </row>
    <row r="1693" spans="1:47" x14ac:dyDescent="0.25">
      <c r="A1693" s="24"/>
      <c r="B1693" s="13"/>
      <c r="C1693" s="17"/>
      <c r="H1693" s="17"/>
      <c r="K1693" s="17"/>
      <c r="M1693" s="1"/>
      <c r="P1693" s="17"/>
      <c r="S1693" s="17"/>
      <c r="X1693" s="13"/>
      <c r="Y1693" s="19"/>
      <c r="AT1693" s="22"/>
      <c r="AU1693" s="2"/>
    </row>
    <row r="1694" spans="1:47" x14ac:dyDescent="0.25">
      <c r="A1694" s="14"/>
      <c r="C1694" s="17"/>
      <c r="H1694" s="17"/>
      <c r="K1694" s="17"/>
      <c r="M1694" s="1"/>
      <c r="P1694" s="17"/>
      <c r="S1694" s="17"/>
      <c r="Y1694" s="19"/>
      <c r="AT1694" s="9"/>
      <c r="AU1694" s="2"/>
    </row>
    <row r="1695" spans="1:47" x14ac:dyDescent="0.25">
      <c r="A1695" s="14"/>
      <c r="C1695" s="17"/>
      <c r="H1695" s="17"/>
      <c r="K1695" s="17"/>
      <c r="M1695" s="1"/>
      <c r="P1695" s="17"/>
      <c r="S1695" s="17"/>
      <c r="Y1695" s="19"/>
      <c r="AT1695" s="9"/>
      <c r="AU1695" s="2"/>
    </row>
    <row r="1696" spans="1:47" x14ac:dyDescent="0.25">
      <c r="A1696" s="14"/>
      <c r="C1696" s="17"/>
      <c r="H1696" s="17"/>
      <c r="K1696" s="17"/>
      <c r="M1696" s="1"/>
      <c r="P1696" s="17"/>
      <c r="S1696" s="17"/>
      <c r="Y1696" s="19"/>
      <c r="AT1696" s="9"/>
      <c r="AU1696" s="2"/>
    </row>
    <row r="1697" spans="1:47" x14ac:dyDescent="0.25">
      <c r="A1697" s="14"/>
      <c r="C1697" s="17"/>
      <c r="H1697" s="17"/>
      <c r="K1697" s="17"/>
      <c r="M1697" s="1"/>
      <c r="P1697" s="17"/>
      <c r="S1697" s="17"/>
      <c r="Y1697" s="19"/>
      <c r="AT1697" s="9"/>
      <c r="AU1697" s="2"/>
    </row>
    <row r="1698" spans="1:47" x14ac:dyDescent="0.25">
      <c r="A1698" s="14"/>
      <c r="C1698" s="17"/>
      <c r="H1698" s="17"/>
      <c r="K1698" s="17"/>
      <c r="M1698" s="1"/>
      <c r="P1698" s="17"/>
      <c r="S1698" s="17"/>
      <c r="Y1698" s="19"/>
      <c r="AT1698" s="9"/>
      <c r="AU1698" s="2"/>
    </row>
    <row r="1699" spans="1:47" x14ac:dyDescent="0.25">
      <c r="A1699" s="14"/>
      <c r="C1699" s="17"/>
      <c r="H1699" s="17"/>
      <c r="K1699" s="17"/>
      <c r="M1699" s="1"/>
      <c r="P1699" s="17"/>
      <c r="S1699" s="17"/>
      <c r="Y1699" s="19"/>
      <c r="AT1699" s="9"/>
      <c r="AU1699" s="2"/>
    </row>
    <row r="1700" spans="1:47" x14ac:dyDescent="0.25">
      <c r="A1700" s="14"/>
      <c r="C1700" s="17"/>
      <c r="H1700" s="17"/>
      <c r="K1700" s="17"/>
      <c r="M1700" s="1"/>
      <c r="P1700" s="17"/>
      <c r="S1700" s="17"/>
      <c r="Y1700" s="19"/>
      <c r="AT1700" s="9"/>
      <c r="AU1700" s="2"/>
    </row>
    <row r="1701" spans="1:47" x14ac:dyDescent="0.25">
      <c r="A1701" s="14"/>
      <c r="C1701" s="17"/>
      <c r="H1701" s="17"/>
      <c r="K1701" s="17"/>
      <c r="M1701" s="1"/>
      <c r="P1701" s="17"/>
      <c r="S1701" s="17"/>
      <c r="Y1701" s="19"/>
      <c r="AT1701" s="9"/>
      <c r="AU1701" s="2"/>
    </row>
    <row r="1702" spans="1:47" x14ac:dyDescent="0.25">
      <c r="A1702" s="14"/>
      <c r="C1702" s="17"/>
      <c r="H1702" s="17"/>
      <c r="K1702" s="17"/>
      <c r="M1702" s="1"/>
      <c r="P1702" s="17"/>
      <c r="S1702" s="17"/>
      <c r="Y1702" s="19"/>
      <c r="AT1702" s="9"/>
      <c r="AU1702" s="2"/>
    </row>
    <row r="1703" spans="1:47" x14ac:dyDescent="0.25">
      <c r="A1703" s="14"/>
      <c r="C1703" s="17"/>
      <c r="H1703" s="17"/>
      <c r="K1703" s="17"/>
      <c r="M1703" s="1"/>
      <c r="P1703" s="17"/>
      <c r="S1703" s="17"/>
      <c r="Y1703" s="21"/>
      <c r="AT1703" s="9"/>
      <c r="AU1703" s="2"/>
    </row>
    <row r="1704" spans="1:47" x14ac:dyDescent="0.25">
      <c r="A1704" s="14"/>
      <c r="C1704" s="17"/>
      <c r="H1704" s="17"/>
      <c r="K1704" s="17"/>
      <c r="M1704" s="1"/>
      <c r="P1704" s="17"/>
      <c r="S1704" s="17"/>
      <c r="Y1704" s="19"/>
      <c r="AT1704" s="9"/>
      <c r="AU1704" s="2"/>
    </row>
    <row r="1705" spans="1:47" x14ac:dyDescent="0.25">
      <c r="A1705" s="24"/>
      <c r="B1705" s="13"/>
      <c r="C1705" s="17"/>
      <c r="H1705" s="17"/>
      <c r="K1705" s="17"/>
      <c r="M1705" s="1"/>
      <c r="P1705" s="17"/>
      <c r="S1705" s="17"/>
      <c r="X1705" s="13"/>
      <c r="Y1705" s="19"/>
      <c r="AT1705" s="22"/>
      <c r="AU1705" s="2"/>
    </row>
    <row r="1706" spans="1:47" x14ac:dyDescent="0.25">
      <c r="A1706" s="14"/>
      <c r="C1706" s="17"/>
      <c r="H1706" s="17"/>
      <c r="K1706" s="17"/>
      <c r="M1706" s="1"/>
      <c r="P1706" s="17"/>
      <c r="S1706" s="17"/>
      <c r="Y1706" s="19"/>
      <c r="AT1706" s="9"/>
      <c r="AU1706" s="2"/>
    </row>
    <row r="1707" spans="1:47" x14ac:dyDescent="0.25">
      <c r="A1707" s="14"/>
      <c r="C1707" s="17"/>
      <c r="H1707" s="17"/>
      <c r="K1707" s="17"/>
      <c r="M1707" s="1"/>
      <c r="P1707" s="17"/>
      <c r="S1707" s="17"/>
      <c r="Y1707" s="19"/>
      <c r="AT1707" s="9"/>
      <c r="AU1707" s="2"/>
    </row>
    <row r="1708" spans="1:47" x14ac:dyDescent="0.25">
      <c r="A1708" s="14"/>
      <c r="C1708" s="17"/>
      <c r="H1708" s="17"/>
      <c r="K1708" s="17"/>
      <c r="M1708" s="1"/>
      <c r="P1708" s="17"/>
      <c r="S1708" s="17"/>
      <c r="Y1708" s="19"/>
      <c r="AT1708" s="9"/>
      <c r="AU1708" s="2"/>
    </row>
    <row r="1709" spans="1:47" x14ac:dyDescent="0.25">
      <c r="A1709" s="14"/>
      <c r="C1709" s="17"/>
      <c r="H1709" s="17"/>
      <c r="K1709" s="17"/>
      <c r="M1709" s="1"/>
      <c r="P1709" s="17"/>
      <c r="S1709" s="17"/>
      <c r="Y1709" s="19"/>
      <c r="AT1709" s="9"/>
      <c r="AU1709" s="2"/>
    </row>
    <row r="1710" spans="1:47" x14ac:dyDescent="0.25">
      <c r="A1710" s="14"/>
      <c r="C1710" s="17"/>
      <c r="H1710" s="17"/>
      <c r="K1710" s="17"/>
      <c r="M1710" s="1"/>
      <c r="P1710" s="17"/>
      <c r="S1710" s="17"/>
      <c r="Y1710" s="19"/>
      <c r="AT1710" s="9"/>
      <c r="AU1710" s="2"/>
    </row>
    <row r="1711" spans="1:47" x14ac:dyDescent="0.25">
      <c r="A1711" s="14"/>
      <c r="C1711" s="17"/>
      <c r="H1711" s="17"/>
      <c r="K1711" s="17"/>
      <c r="M1711" s="1"/>
      <c r="P1711" s="17"/>
      <c r="S1711" s="17"/>
      <c r="Y1711" s="19"/>
      <c r="AT1711" s="9"/>
      <c r="AU1711" s="2"/>
    </row>
    <row r="1712" spans="1:47" x14ac:dyDescent="0.25">
      <c r="A1712" s="14"/>
      <c r="C1712" s="17"/>
      <c r="H1712" s="17"/>
      <c r="K1712" s="17"/>
      <c r="M1712" s="1"/>
      <c r="P1712" s="17"/>
      <c r="S1712" s="17"/>
      <c r="Y1712" s="19"/>
      <c r="AT1712" s="9"/>
      <c r="AU1712" s="2"/>
    </row>
    <row r="1713" spans="1:47" x14ac:dyDescent="0.25">
      <c r="A1713" s="14"/>
      <c r="C1713" s="17"/>
      <c r="H1713" s="17"/>
      <c r="K1713" s="17"/>
      <c r="M1713" s="1"/>
      <c r="P1713" s="17"/>
      <c r="S1713" s="17"/>
      <c r="Y1713" s="19"/>
      <c r="AT1713" s="9"/>
      <c r="AU1713" s="2"/>
    </row>
    <row r="1714" spans="1:47" x14ac:dyDescent="0.25">
      <c r="A1714" s="14"/>
      <c r="C1714" s="17"/>
      <c r="H1714" s="17"/>
      <c r="K1714" s="17"/>
      <c r="M1714" s="1"/>
      <c r="P1714" s="17"/>
      <c r="S1714" s="17"/>
      <c r="Y1714" s="19"/>
      <c r="AT1714" s="9"/>
      <c r="AU1714" s="2"/>
    </row>
    <row r="1715" spans="1:47" x14ac:dyDescent="0.25">
      <c r="A1715" s="14"/>
      <c r="C1715" s="17"/>
      <c r="H1715" s="17"/>
      <c r="K1715" s="17"/>
      <c r="M1715" s="1"/>
      <c r="P1715" s="17"/>
      <c r="S1715" s="17"/>
      <c r="Y1715" s="21"/>
      <c r="AT1715" s="9"/>
      <c r="AU1715" s="2"/>
    </row>
    <row r="1716" spans="1:47" x14ac:dyDescent="0.25">
      <c r="A1716" s="14"/>
      <c r="C1716" s="17"/>
      <c r="H1716" s="17"/>
      <c r="K1716" s="17"/>
      <c r="M1716" s="1"/>
      <c r="P1716" s="17"/>
      <c r="S1716" s="17"/>
      <c r="Y1716" s="19"/>
      <c r="AT1716" s="9"/>
      <c r="AU1716" s="2"/>
    </row>
    <row r="1717" spans="1:47" x14ac:dyDescent="0.25">
      <c r="A1717" s="14"/>
      <c r="C1717" s="17"/>
      <c r="H1717" s="17"/>
      <c r="K1717" s="17"/>
      <c r="M1717" s="1"/>
      <c r="P1717" s="17"/>
      <c r="S1717" s="17"/>
      <c r="Y1717" s="19"/>
      <c r="AT1717" s="9"/>
      <c r="AU1717" s="2"/>
    </row>
    <row r="1718" spans="1:47" x14ac:dyDescent="0.25">
      <c r="A1718" s="14"/>
      <c r="C1718" s="17"/>
      <c r="H1718" s="17"/>
      <c r="K1718" s="17"/>
      <c r="M1718" s="1"/>
      <c r="P1718" s="17"/>
      <c r="S1718" s="17"/>
      <c r="Y1718" s="19"/>
      <c r="AT1718" s="9"/>
      <c r="AU1718" s="2"/>
    </row>
    <row r="1719" spans="1:47" x14ac:dyDescent="0.25">
      <c r="A1719" s="14"/>
      <c r="C1719" s="17"/>
      <c r="H1719" s="17"/>
      <c r="K1719" s="17"/>
      <c r="M1719" s="1"/>
      <c r="P1719" s="17"/>
      <c r="S1719" s="17"/>
      <c r="Y1719" s="19"/>
      <c r="AT1719" s="9"/>
      <c r="AU1719" s="2"/>
    </row>
    <row r="1720" spans="1:47" x14ac:dyDescent="0.25">
      <c r="A1720" s="14"/>
      <c r="C1720" s="17"/>
      <c r="H1720" s="17"/>
      <c r="K1720" s="17"/>
      <c r="M1720" s="1"/>
      <c r="P1720" s="17"/>
      <c r="S1720" s="17"/>
      <c r="Y1720" s="19"/>
      <c r="AT1720" s="9"/>
      <c r="AU1720" s="2"/>
    </row>
    <row r="1721" spans="1:47" x14ac:dyDescent="0.25">
      <c r="A1721" s="14"/>
      <c r="C1721" s="17"/>
      <c r="H1721" s="17"/>
      <c r="K1721" s="17"/>
      <c r="M1721" s="1"/>
      <c r="P1721" s="17"/>
      <c r="S1721" s="17"/>
      <c r="Y1721" s="19"/>
      <c r="AT1721" s="9"/>
      <c r="AU1721" s="2"/>
    </row>
    <row r="1722" spans="1:47" x14ac:dyDescent="0.25">
      <c r="A1722" s="14"/>
      <c r="C1722" s="17"/>
      <c r="H1722" s="17"/>
      <c r="K1722" s="17"/>
      <c r="M1722" s="1"/>
      <c r="P1722" s="17"/>
      <c r="S1722" s="17"/>
      <c r="Y1722" s="19"/>
      <c r="AT1722" s="9"/>
      <c r="AU1722" s="2"/>
    </row>
    <row r="1723" spans="1:47" x14ac:dyDescent="0.25">
      <c r="A1723" s="14"/>
      <c r="C1723" s="17"/>
      <c r="H1723" s="17"/>
      <c r="K1723" s="17"/>
      <c r="M1723" s="1"/>
      <c r="P1723" s="17"/>
      <c r="S1723" s="17"/>
      <c r="Y1723" s="19"/>
      <c r="AT1723" s="9"/>
      <c r="AU1723" s="2"/>
    </row>
    <row r="1724" spans="1:47" x14ac:dyDescent="0.25">
      <c r="A1724" s="14"/>
      <c r="C1724" s="17"/>
      <c r="H1724" s="17"/>
      <c r="K1724" s="17"/>
      <c r="M1724" s="1"/>
      <c r="P1724" s="17"/>
      <c r="S1724" s="17"/>
      <c r="Y1724" s="19"/>
      <c r="AT1724" s="9"/>
      <c r="AU1724" s="2"/>
    </row>
    <row r="1725" spans="1:47" x14ac:dyDescent="0.25">
      <c r="A1725" s="14"/>
      <c r="C1725" s="17"/>
      <c r="H1725" s="17"/>
      <c r="K1725" s="17"/>
      <c r="M1725" s="1"/>
      <c r="P1725" s="17"/>
      <c r="S1725" s="17"/>
      <c r="Y1725" s="19"/>
      <c r="AT1725" s="9"/>
      <c r="AU1725" s="2"/>
    </row>
    <row r="1726" spans="1:47" x14ac:dyDescent="0.25">
      <c r="A1726" s="14"/>
      <c r="C1726" s="17"/>
      <c r="H1726" s="17"/>
      <c r="K1726" s="17"/>
      <c r="M1726" s="1"/>
      <c r="P1726" s="17"/>
      <c r="S1726" s="17"/>
      <c r="Y1726" s="19"/>
      <c r="AT1726" s="9"/>
      <c r="AU1726" s="2"/>
    </row>
    <row r="1727" spans="1:47" x14ac:dyDescent="0.25">
      <c r="A1727" s="14"/>
      <c r="C1727" s="17"/>
      <c r="H1727" s="17"/>
      <c r="K1727" s="17"/>
      <c r="M1727" s="1"/>
      <c r="P1727" s="17"/>
      <c r="S1727" s="17"/>
      <c r="Y1727" s="19"/>
      <c r="AT1727" s="9"/>
      <c r="AU1727" s="2"/>
    </row>
    <row r="1728" spans="1:47" x14ac:dyDescent="0.25">
      <c r="A1728" s="14"/>
      <c r="C1728" s="17"/>
      <c r="H1728" s="17"/>
      <c r="K1728" s="17"/>
      <c r="M1728" s="1"/>
      <c r="P1728" s="17"/>
      <c r="S1728" s="17"/>
      <c r="Y1728" s="19"/>
      <c r="AT1728" s="9"/>
      <c r="AU1728" s="2"/>
    </row>
    <row r="1729" spans="1:47" x14ac:dyDescent="0.25">
      <c r="A1729" s="14"/>
      <c r="C1729" s="17"/>
      <c r="H1729" s="17"/>
      <c r="K1729" s="17"/>
      <c r="M1729" s="1"/>
      <c r="P1729" s="17"/>
      <c r="S1729" s="17"/>
      <c r="Y1729" s="19"/>
      <c r="AT1729" s="9"/>
      <c r="AU1729" s="2"/>
    </row>
    <row r="1730" spans="1:47" x14ac:dyDescent="0.25">
      <c r="A1730" s="14"/>
      <c r="C1730" s="17"/>
      <c r="H1730" s="17"/>
      <c r="K1730" s="17"/>
      <c r="M1730" s="1"/>
      <c r="P1730" s="17"/>
      <c r="S1730" s="17"/>
      <c r="Y1730" s="19"/>
      <c r="AT1730" s="9"/>
      <c r="AU1730" s="2"/>
    </row>
    <row r="1731" spans="1:47" x14ac:dyDescent="0.25">
      <c r="A1731" s="14"/>
      <c r="C1731" s="17"/>
      <c r="H1731" s="17"/>
      <c r="K1731" s="17"/>
      <c r="M1731" s="1"/>
      <c r="P1731" s="17"/>
      <c r="S1731" s="17"/>
      <c r="Y1731" s="19"/>
      <c r="AT1731" s="9"/>
      <c r="AU1731" s="2"/>
    </row>
    <row r="1732" spans="1:47" x14ac:dyDescent="0.25">
      <c r="A1732" s="14"/>
      <c r="C1732" s="17"/>
      <c r="H1732" s="17"/>
      <c r="K1732" s="17"/>
      <c r="M1732" s="1"/>
      <c r="P1732" s="17"/>
      <c r="S1732" s="17"/>
      <c r="Y1732" s="19"/>
      <c r="AT1732" s="9"/>
      <c r="AU1732" s="2"/>
    </row>
    <row r="1733" spans="1:47" x14ac:dyDescent="0.25">
      <c r="A1733" s="14"/>
      <c r="C1733" s="17"/>
      <c r="H1733" s="17"/>
      <c r="K1733" s="17"/>
      <c r="M1733" s="1"/>
      <c r="P1733" s="17"/>
      <c r="S1733" s="17"/>
      <c r="Y1733" s="19"/>
      <c r="AT1733" s="9"/>
      <c r="AU1733" s="2"/>
    </row>
    <row r="1734" spans="1:47" x14ac:dyDescent="0.25">
      <c r="A1734" s="14"/>
      <c r="C1734" s="17"/>
      <c r="H1734" s="17"/>
      <c r="K1734" s="17"/>
      <c r="M1734" s="1"/>
      <c r="P1734" s="17"/>
      <c r="S1734" s="17"/>
      <c r="Y1734" s="19"/>
      <c r="AT1734" s="9"/>
      <c r="AU1734" s="2"/>
    </row>
    <row r="1735" spans="1:47" x14ac:dyDescent="0.25">
      <c r="A1735" s="14"/>
      <c r="C1735" s="17"/>
      <c r="H1735" s="17"/>
      <c r="K1735" s="17"/>
      <c r="M1735" s="1"/>
      <c r="P1735" s="17"/>
      <c r="S1735" s="17"/>
      <c r="Y1735" s="19"/>
      <c r="AT1735" s="9"/>
      <c r="AU1735" s="2"/>
    </row>
    <row r="1736" spans="1:47" x14ac:dyDescent="0.25">
      <c r="A1736" s="14"/>
      <c r="C1736" s="17"/>
      <c r="H1736" s="17"/>
      <c r="K1736" s="17"/>
      <c r="M1736" s="1"/>
      <c r="P1736" s="17"/>
      <c r="S1736" s="17"/>
      <c r="Y1736" s="19"/>
      <c r="AT1736" s="9"/>
      <c r="AU1736" s="2"/>
    </row>
    <row r="1737" spans="1:47" x14ac:dyDescent="0.25">
      <c r="A1737" s="14"/>
      <c r="C1737" s="17"/>
      <c r="H1737" s="17"/>
      <c r="K1737" s="17"/>
      <c r="M1737" s="1"/>
      <c r="P1737" s="17"/>
      <c r="S1737" s="17"/>
      <c r="Y1737" s="19"/>
      <c r="AT1737" s="9"/>
      <c r="AU1737" s="2"/>
    </row>
    <row r="1738" spans="1:47" x14ac:dyDescent="0.25">
      <c r="A1738" s="14"/>
      <c r="C1738" s="17"/>
      <c r="H1738" s="17"/>
      <c r="K1738" s="17"/>
      <c r="M1738" s="1"/>
      <c r="P1738" s="17"/>
      <c r="S1738" s="17"/>
      <c r="Y1738" s="19"/>
      <c r="AT1738" s="9"/>
      <c r="AU1738" s="2"/>
    </row>
    <row r="1739" spans="1:47" x14ac:dyDescent="0.25">
      <c r="A1739" s="14"/>
      <c r="C1739" s="17"/>
      <c r="H1739" s="17"/>
      <c r="K1739" s="17"/>
      <c r="M1739" s="1"/>
      <c r="P1739" s="17"/>
      <c r="S1739" s="17"/>
      <c r="Y1739" s="19"/>
      <c r="AT1739" s="9"/>
      <c r="AU1739" s="2"/>
    </row>
    <row r="1740" spans="1:47" x14ac:dyDescent="0.25">
      <c r="A1740" s="14"/>
      <c r="C1740" s="17"/>
      <c r="H1740" s="17"/>
      <c r="K1740" s="17"/>
      <c r="M1740" s="1"/>
      <c r="P1740" s="17"/>
      <c r="S1740" s="17"/>
      <c r="Y1740" s="19"/>
      <c r="AT1740" s="9"/>
      <c r="AU1740" s="2"/>
    </row>
    <row r="1741" spans="1:47" x14ac:dyDescent="0.25">
      <c r="A1741" s="14"/>
      <c r="C1741" s="17"/>
      <c r="H1741" s="17"/>
      <c r="K1741" s="17"/>
      <c r="M1741" s="1"/>
      <c r="P1741" s="17"/>
      <c r="S1741" s="17"/>
      <c r="Y1741" s="19"/>
      <c r="AT1741" s="9"/>
      <c r="AU1741" s="2"/>
    </row>
    <row r="1742" spans="1:47" x14ac:dyDescent="0.25">
      <c r="A1742" s="14"/>
      <c r="C1742" s="17"/>
      <c r="H1742" s="17"/>
      <c r="K1742" s="17"/>
      <c r="M1742" s="1"/>
      <c r="P1742" s="17"/>
      <c r="S1742" s="17"/>
      <c r="Y1742" s="19"/>
      <c r="AT1742" s="9"/>
      <c r="AU1742" s="2"/>
    </row>
    <row r="1743" spans="1:47" x14ac:dyDescent="0.25">
      <c r="A1743" s="14"/>
      <c r="C1743" s="17"/>
      <c r="H1743" s="17"/>
      <c r="K1743" s="17"/>
      <c r="M1743" s="1"/>
      <c r="P1743" s="17"/>
      <c r="S1743" s="17"/>
      <c r="Y1743" s="19"/>
      <c r="AT1743" s="9"/>
      <c r="AU1743" s="2"/>
    </row>
    <row r="1744" spans="1:47" x14ac:dyDescent="0.25">
      <c r="A1744" s="14"/>
      <c r="C1744" s="17"/>
      <c r="H1744" s="17"/>
      <c r="K1744" s="17"/>
      <c r="M1744" s="1"/>
      <c r="P1744" s="17"/>
      <c r="S1744" s="17"/>
      <c r="Y1744" s="19"/>
      <c r="AT1744" s="9"/>
      <c r="AU1744" s="2"/>
    </row>
    <row r="1745" spans="1:47" x14ac:dyDescent="0.25">
      <c r="A1745" s="14"/>
      <c r="C1745" s="17"/>
      <c r="H1745" s="17"/>
      <c r="K1745" s="17"/>
      <c r="M1745" s="1"/>
      <c r="P1745" s="17"/>
      <c r="S1745" s="17"/>
      <c r="Y1745" s="19"/>
      <c r="AT1745" s="9"/>
      <c r="AU1745" s="2"/>
    </row>
    <row r="1746" spans="1:47" x14ac:dyDescent="0.25">
      <c r="A1746" s="14"/>
      <c r="C1746" s="17"/>
      <c r="H1746" s="17"/>
      <c r="K1746" s="17"/>
      <c r="M1746" s="1"/>
      <c r="P1746" s="17"/>
      <c r="S1746" s="17"/>
      <c r="Y1746" s="19"/>
      <c r="AT1746" s="9"/>
      <c r="AU1746" s="2"/>
    </row>
    <row r="1747" spans="1:47" x14ac:dyDescent="0.25">
      <c r="A1747" s="14"/>
      <c r="C1747" s="17"/>
      <c r="H1747" s="17"/>
      <c r="K1747" s="17"/>
      <c r="M1747" s="1"/>
      <c r="P1747" s="17"/>
      <c r="S1747" s="17"/>
      <c r="Y1747" s="19"/>
      <c r="AT1747" s="9"/>
      <c r="AU1747" s="2"/>
    </row>
    <row r="1748" spans="1:47" x14ac:dyDescent="0.25">
      <c r="A1748" s="14"/>
      <c r="C1748" s="17"/>
      <c r="H1748" s="17"/>
      <c r="K1748" s="17"/>
      <c r="M1748" s="1"/>
      <c r="P1748" s="17"/>
      <c r="S1748" s="17"/>
      <c r="Y1748" s="19"/>
      <c r="AT1748" s="9"/>
      <c r="AU1748" s="2"/>
    </row>
    <row r="1749" spans="1:47" x14ac:dyDescent="0.25">
      <c r="A1749" s="14"/>
      <c r="C1749" s="17"/>
      <c r="H1749" s="17"/>
      <c r="K1749" s="17"/>
      <c r="M1749" s="1"/>
      <c r="P1749" s="17"/>
      <c r="S1749" s="17"/>
      <c r="Y1749" s="19"/>
      <c r="AT1749" s="9"/>
      <c r="AU1749" s="2"/>
    </row>
    <row r="1750" spans="1:47" x14ac:dyDescent="0.25">
      <c r="A1750" s="14"/>
      <c r="C1750" s="17"/>
      <c r="H1750" s="17"/>
      <c r="K1750" s="17"/>
      <c r="M1750" s="1"/>
      <c r="P1750" s="17"/>
      <c r="S1750" s="17"/>
      <c r="Y1750" s="19"/>
      <c r="AT1750" s="9"/>
      <c r="AU1750" s="2"/>
    </row>
    <row r="1751" spans="1:47" x14ac:dyDescent="0.25">
      <c r="A1751" s="14"/>
      <c r="C1751" s="17"/>
      <c r="H1751" s="17"/>
      <c r="K1751" s="17"/>
      <c r="M1751" s="1"/>
      <c r="P1751" s="17"/>
      <c r="S1751" s="17"/>
      <c r="Y1751" s="19"/>
      <c r="AT1751" s="9"/>
      <c r="AU1751" s="2"/>
    </row>
    <row r="1752" spans="1:47" x14ac:dyDescent="0.25">
      <c r="A1752" s="14"/>
      <c r="C1752" s="17"/>
      <c r="H1752" s="17"/>
      <c r="K1752" s="17"/>
      <c r="M1752" s="1"/>
      <c r="P1752" s="17"/>
      <c r="S1752" s="17"/>
      <c r="Y1752" s="19"/>
      <c r="AT1752" s="9"/>
      <c r="AU1752" s="2"/>
    </row>
    <row r="1753" spans="1:47" x14ac:dyDescent="0.25">
      <c r="A1753" s="14"/>
      <c r="C1753" s="17"/>
      <c r="H1753" s="17"/>
      <c r="K1753" s="17"/>
      <c r="M1753" s="1"/>
      <c r="P1753" s="17"/>
      <c r="S1753" s="17"/>
      <c r="Y1753" s="19"/>
      <c r="AT1753" s="9"/>
      <c r="AU1753" s="2"/>
    </row>
    <row r="1754" spans="1:47" x14ac:dyDescent="0.25">
      <c r="A1754" s="14"/>
      <c r="C1754" s="17"/>
      <c r="H1754" s="17"/>
      <c r="K1754" s="17"/>
      <c r="M1754" s="1"/>
      <c r="P1754" s="17"/>
      <c r="S1754" s="17"/>
      <c r="Y1754" s="19"/>
      <c r="AT1754" s="9"/>
      <c r="AU1754" s="2"/>
    </row>
    <row r="1755" spans="1:47" x14ac:dyDescent="0.25">
      <c r="A1755" s="14"/>
      <c r="C1755" s="17"/>
      <c r="H1755" s="17"/>
      <c r="K1755" s="17"/>
      <c r="M1755" s="1"/>
      <c r="P1755" s="17"/>
      <c r="S1755" s="17"/>
      <c r="Y1755" s="19"/>
      <c r="AT1755" s="9"/>
      <c r="AU1755" s="2"/>
    </row>
    <row r="1756" spans="1:47" x14ac:dyDescent="0.25">
      <c r="A1756" s="14"/>
      <c r="C1756" s="17"/>
      <c r="H1756" s="17"/>
      <c r="K1756" s="17"/>
      <c r="M1756" s="1"/>
      <c r="P1756" s="17"/>
      <c r="S1756" s="17"/>
      <c r="Y1756" s="19"/>
      <c r="AT1756" s="9"/>
      <c r="AU1756" s="2"/>
    </row>
    <row r="1757" spans="1:47" x14ac:dyDescent="0.25">
      <c r="A1757" s="14"/>
      <c r="C1757" s="17"/>
      <c r="H1757" s="17"/>
      <c r="K1757" s="17"/>
      <c r="M1757" s="1"/>
      <c r="P1757" s="17"/>
      <c r="S1757" s="17"/>
      <c r="Y1757" s="19"/>
      <c r="AT1757" s="9"/>
      <c r="AU1757" s="2"/>
    </row>
    <row r="1758" spans="1:47" x14ac:dyDescent="0.25">
      <c r="A1758" s="14"/>
      <c r="C1758" s="17"/>
      <c r="H1758" s="17"/>
      <c r="K1758" s="17"/>
      <c r="M1758" s="1"/>
      <c r="P1758" s="17"/>
      <c r="S1758" s="17"/>
      <c r="Y1758" s="19"/>
      <c r="AT1758" s="9"/>
      <c r="AU1758" s="2"/>
    </row>
    <row r="1759" spans="1:47" x14ac:dyDescent="0.25">
      <c r="A1759" s="14"/>
      <c r="C1759" s="17"/>
      <c r="H1759" s="17"/>
      <c r="K1759" s="17"/>
      <c r="M1759" s="1"/>
      <c r="P1759" s="17"/>
      <c r="S1759" s="17"/>
      <c r="Y1759" s="19"/>
      <c r="AT1759" s="9"/>
      <c r="AU1759" s="2"/>
    </row>
    <row r="1760" spans="1:47" x14ac:dyDescent="0.25">
      <c r="A1760" s="14"/>
      <c r="C1760" s="17"/>
      <c r="H1760" s="17"/>
      <c r="K1760" s="17"/>
      <c r="M1760" s="1"/>
      <c r="P1760" s="17"/>
      <c r="S1760" s="17"/>
      <c r="Y1760" s="19"/>
      <c r="AT1760" s="9"/>
      <c r="AU1760" s="2"/>
    </row>
    <row r="1761" spans="1:47" x14ac:dyDescent="0.25">
      <c r="A1761" s="14"/>
      <c r="C1761" s="17"/>
      <c r="H1761" s="17"/>
      <c r="K1761" s="17"/>
      <c r="M1761" s="1"/>
      <c r="P1761" s="17"/>
      <c r="S1761" s="17"/>
      <c r="Y1761" s="19"/>
      <c r="AT1761" s="9"/>
      <c r="AU1761" s="2"/>
    </row>
    <row r="1762" spans="1:47" x14ac:dyDescent="0.25">
      <c r="A1762" s="14"/>
      <c r="C1762" s="17"/>
      <c r="H1762" s="17"/>
      <c r="K1762" s="17"/>
      <c r="M1762" s="1"/>
      <c r="P1762" s="17"/>
      <c r="S1762" s="17"/>
      <c r="Y1762" s="19"/>
      <c r="AT1762" s="9"/>
      <c r="AU1762" s="2"/>
    </row>
    <row r="1763" spans="1:47" x14ac:dyDescent="0.25">
      <c r="A1763" s="14"/>
      <c r="C1763" s="17"/>
      <c r="H1763" s="17"/>
      <c r="K1763" s="17"/>
      <c r="M1763" s="1"/>
      <c r="P1763" s="17"/>
      <c r="S1763" s="17"/>
      <c r="Y1763" s="19"/>
      <c r="AT1763" s="9"/>
      <c r="AU1763" s="2"/>
    </row>
    <row r="1764" spans="1:47" x14ac:dyDescent="0.25">
      <c r="A1764" s="14"/>
      <c r="C1764" s="17"/>
      <c r="H1764" s="17"/>
      <c r="K1764" s="17"/>
      <c r="M1764" s="1"/>
      <c r="P1764" s="17"/>
      <c r="S1764" s="17"/>
      <c r="Y1764" s="19"/>
      <c r="AT1764" s="9"/>
      <c r="AU1764" s="2"/>
    </row>
    <row r="1765" spans="1:47" x14ac:dyDescent="0.25">
      <c r="A1765" s="14"/>
      <c r="C1765" s="17"/>
      <c r="H1765" s="17"/>
      <c r="K1765" s="17"/>
      <c r="M1765" s="1"/>
      <c r="P1765" s="17"/>
      <c r="S1765" s="17"/>
      <c r="Y1765" s="19"/>
      <c r="AT1765" s="9"/>
      <c r="AU1765" s="2"/>
    </row>
    <row r="1766" spans="1:47" x14ac:dyDescent="0.25">
      <c r="A1766" s="14"/>
      <c r="C1766" s="17"/>
      <c r="H1766" s="17"/>
      <c r="K1766" s="17"/>
      <c r="M1766" s="1"/>
      <c r="P1766" s="17"/>
      <c r="S1766" s="17"/>
      <c r="Y1766" s="19"/>
      <c r="AT1766" s="9"/>
      <c r="AU1766" s="2"/>
    </row>
    <row r="1767" spans="1:47" x14ac:dyDescent="0.25">
      <c r="A1767" s="14"/>
      <c r="C1767" s="17"/>
      <c r="H1767" s="17"/>
      <c r="K1767" s="17"/>
      <c r="M1767" s="1"/>
      <c r="P1767" s="17"/>
      <c r="S1767" s="17"/>
      <c r="Y1767" s="19"/>
      <c r="AT1767" s="9"/>
      <c r="AU1767" s="2"/>
    </row>
    <row r="1768" spans="1:47" x14ac:dyDescent="0.25">
      <c r="A1768" s="14"/>
      <c r="C1768" s="17"/>
      <c r="H1768" s="17"/>
      <c r="K1768" s="17"/>
      <c r="M1768" s="1"/>
      <c r="P1768" s="17"/>
      <c r="S1768" s="17"/>
      <c r="Y1768" s="19"/>
      <c r="AT1768" s="9"/>
      <c r="AU1768" s="2"/>
    </row>
    <row r="1769" spans="1:47" x14ac:dyDescent="0.25">
      <c r="A1769" s="14"/>
      <c r="C1769" s="17"/>
      <c r="H1769" s="17"/>
      <c r="K1769" s="17"/>
      <c r="M1769" s="1"/>
      <c r="P1769" s="17"/>
      <c r="S1769" s="17"/>
      <c r="Y1769" s="19"/>
      <c r="AT1769" s="9"/>
      <c r="AU1769" s="2"/>
    </row>
    <row r="1770" spans="1:47" x14ac:dyDescent="0.25">
      <c r="A1770" s="14"/>
      <c r="C1770" s="17"/>
      <c r="H1770" s="17"/>
      <c r="K1770" s="17"/>
      <c r="M1770" s="1"/>
      <c r="P1770" s="17"/>
      <c r="S1770" s="17"/>
      <c r="Y1770" s="19"/>
      <c r="AT1770" s="9"/>
      <c r="AU1770" s="2"/>
    </row>
    <row r="1771" spans="1:47" x14ac:dyDescent="0.25">
      <c r="A1771" s="14"/>
      <c r="C1771" s="17"/>
      <c r="H1771" s="17"/>
      <c r="K1771" s="17"/>
      <c r="M1771" s="1"/>
      <c r="P1771" s="17"/>
      <c r="S1771" s="17"/>
      <c r="Y1771" s="19"/>
      <c r="AT1771" s="9"/>
      <c r="AU1771" s="2"/>
    </row>
    <row r="1772" spans="1:47" x14ac:dyDescent="0.25">
      <c r="A1772" s="14"/>
      <c r="C1772" s="17"/>
      <c r="H1772" s="17"/>
      <c r="K1772" s="17"/>
      <c r="M1772" s="1"/>
      <c r="P1772" s="17"/>
      <c r="S1772" s="17"/>
      <c r="Y1772" s="19"/>
      <c r="AT1772" s="9"/>
      <c r="AU1772" s="2"/>
    </row>
    <row r="1773" spans="1:47" x14ac:dyDescent="0.25">
      <c r="A1773" s="14"/>
      <c r="C1773" s="17"/>
      <c r="H1773" s="17"/>
      <c r="K1773" s="17"/>
      <c r="M1773" s="1"/>
      <c r="P1773" s="17"/>
      <c r="S1773" s="17"/>
      <c r="Y1773" s="19"/>
      <c r="AT1773" s="9"/>
      <c r="AU1773" s="2"/>
    </row>
    <row r="1774" spans="1:47" x14ac:dyDescent="0.25">
      <c r="A1774" s="14"/>
      <c r="C1774" s="17"/>
      <c r="H1774" s="17"/>
      <c r="K1774" s="17"/>
      <c r="M1774" s="1"/>
      <c r="P1774" s="17"/>
      <c r="S1774" s="17"/>
      <c r="Y1774" s="19"/>
      <c r="AT1774" s="9"/>
      <c r="AU1774" s="2"/>
    </row>
    <row r="1775" spans="1:47" x14ac:dyDescent="0.25">
      <c r="A1775" s="14"/>
      <c r="C1775" s="17"/>
      <c r="H1775" s="17"/>
      <c r="K1775" s="17"/>
      <c r="M1775" s="1"/>
      <c r="P1775" s="17"/>
      <c r="S1775" s="17"/>
      <c r="Y1775" s="19"/>
      <c r="AT1775" s="9"/>
      <c r="AU1775" s="2"/>
    </row>
    <row r="1776" spans="1:47" x14ac:dyDescent="0.25">
      <c r="A1776" s="14"/>
      <c r="C1776" s="17"/>
      <c r="H1776" s="17"/>
      <c r="K1776" s="17"/>
      <c r="M1776" s="1"/>
      <c r="P1776" s="17"/>
      <c r="S1776" s="17"/>
      <c r="Y1776" s="19"/>
      <c r="AT1776" s="9"/>
      <c r="AU1776" s="2"/>
    </row>
    <row r="1777" spans="1:48" x14ac:dyDescent="0.25">
      <c r="A1777" s="14"/>
      <c r="C1777" s="17"/>
      <c r="H1777" s="17"/>
      <c r="K1777" s="17"/>
      <c r="M1777" s="1"/>
      <c r="P1777" s="17"/>
      <c r="S1777" s="17"/>
      <c r="Y1777" s="19"/>
      <c r="AT1777" s="9"/>
      <c r="AU1777" s="2"/>
    </row>
    <row r="1778" spans="1:48" x14ac:dyDescent="0.25">
      <c r="A1778" s="14"/>
      <c r="C1778" s="17"/>
      <c r="H1778" s="17"/>
      <c r="K1778" s="17"/>
      <c r="M1778" s="1"/>
      <c r="P1778" s="17"/>
      <c r="S1778" s="17"/>
      <c r="Y1778" s="19"/>
      <c r="AT1778" s="9"/>
      <c r="AU1778" s="2"/>
    </row>
    <row r="1779" spans="1:48" x14ac:dyDescent="0.25">
      <c r="A1779" s="14"/>
      <c r="C1779" s="17"/>
      <c r="H1779" s="17"/>
      <c r="K1779" s="17"/>
      <c r="M1779" s="1"/>
      <c r="P1779" s="17"/>
      <c r="S1779" s="17"/>
      <c r="Y1779" s="19"/>
      <c r="AT1779" s="9"/>
      <c r="AU1779" s="2"/>
    </row>
    <row r="1780" spans="1:48" x14ac:dyDescent="0.25">
      <c r="A1780" s="14"/>
      <c r="C1780" s="17"/>
      <c r="H1780" s="17"/>
      <c r="K1780" s="17"/>
      <c r="M1780" s="1"/>
      <c r="P1780" s="17"/>
      <c r="S1780" s="17"/>
      <c r="Y1780" s="19"/>
      <c r="AT1780" s="9"/>
      <c r="AU1780" s="2"/>
    </row>
    <row r="1781" spans="1:48" x14ac:dyDescent="0.25">
      <c r="A1781" s="14"/>
      <c r="C1781" s="17"/>
      <c r="H1781" s="17"/>
      <c r="K1781" s="17"/>
      <c r="M1781" s="1"/>
      <c r="P1781" s="17"/>
      <c r="S1781" s="17"/>
      <c r="Y1781" s="19"/>
      <c r="AT1781" s="9"/>
      <c r="AU1781" s="2"/>
    </row>
    <row r="1782" spans="1:48" x14ac:dyDescent="0.25">
      <c r="A1782" s="14"/>
      <c r="C1782" s="17"/>
      <c r="H1782" s="17"/>
      <c r="K1782" s="17"/>
      <c r="M1782" s="1"/>
      <c r="P1782" s="17"/>
      <c r="S1782" s="17"/>
      <c r="Y1782" s="19"/>
      <c r="AT1782" s="9"/>
      <c r="AU1782" s="2"/>
    </row>
    <row r="1783" spans="1:48" x14ac:dyDescent="0.25">
      <c r="A1783" s="14"/>
      <c r="C1783" s="17"/>
      <c r="H1783" s="17"/>
      <c r="K1783" s="17"/>
      <c r="M1783" s="1"/>
      <c r="P1783" s="17"/>
      <c r="S1783" s="17"/>
      <c r="Y1783" s="19"/>
      <c r="AT1783" s="9"/>
      <c r="AU1783" s="2"/>
    </row>
    <row r="1784" spans="1:48" x14ac:dyDescent="0.25">
      <c r="A1784" s="14"/>
      <c r="C1784" s="17"/>
      <c r="H1784" s="17"/>
      <c r="K1784" s="17"/>
      <c r="M1784" s="1"/>
      <c r="P1784" s="17"/>
      <c r="S1784" s="17"/>
      <c r="Y1784" s="19"/>
      <c r="AT1784" s="9"/>
      <c r="AU1784" s="2"/>
    </row>
    <row r="1785" spans="1:48" x14ac:dyDescent="0.25">
      <c r="A1785" s="14"/>
      <c r="C1785" s="17"/>
      <c r="H1785" s="17"/>
      <c r="K1785" s="17"/>
      <c r="M1785" s="1"/>
      <c r="P1785" s="17"/>
      <c r="S1785" s="17"/>
      <c r="Y1785" s="19"/>
      <c r="AT1785" s="9"/>
      <c r="AU1785" s="2"/>
    </row>
    <row r="1786" spans="1:48" x14ac:dyDescent="0.25">
      <c r="A1786" s="14"/>
      <c r="C1786" s="17"/>
      <c r="H1786" s="17"/>
      <c r="K1786" s="17"/>
      <c r="M1786" s="1"/>
      <c r="P1786" s="17"/>
      <c r="S1786" s="17"/>
      <c r="Y1786" s="19"/>
      <c r="AT1786" s="9"/>
      <c r="AU1786" s="2"/>
    </row>
    <row r="1787" spans="1:48" x14ac:dyDescent="0.25">
      <c r="A1787" s="14"/>
      <c r="C1787" s="17"/>
      <c r="H1787" s="17"/>
      <c r="K1787" s="17"/>
      <c r="M1787" s="1"/>
      <c r="P1787" s="17"/>
      <c r="S1787" s="17"/>
      <c r="Y1787" s="19"/>
      <c r="AT1787" s="9"/>
      <c r="AU1787" s="2"/>
    </row>
    <row r="1788" spans="1:48" x14ac:dyDescent="0.25">
      <c r="A1788" s="14"/>
      <c r="C1788" s="17"/>
      <c r="H1788" s="17"/>
      <c r="K1788" s="17"/>
      <c r="M1788" s="1"/>
      <c r="P1788" s="17"/>
      <c r="S1788" s="17"/>
      <c r="Y1788" s="19"/>
      <c r="AT1788" s="9"/>
      <c r="AU1788" s="2"/>
    </row>
    <row r="1789" spans="1:48" x14ac:dyDescent="0.25">
      <c r="A1789" s="14"/>
      <c r="C1789" s="17"/>
      <c r="H1789" s="17"/>
      <c r="K1789" s="17"/>
      <c r="M1789" s="1"/>
      <c r="P1789" s="17"/>
      <c r="S1789" s="17"/>
      <c r="Y1789" s="19"/>
      <c r="AT1789" s="9"/>
      <c r="AU1789" s="2"/>
    </row>
    <row r="1790" spans="1:48" x14ac:dyDescent="0.25">
      <c r="A1790" s="14"/>
      <c r="C1790" s="17"/>
      <c r="H1790" s="17"/>
      <c r="K1790" s="17"/>
      <c r="M1790" s="1"/>
      <c r="P1790" s="17"/>
      <c r="S1790" s="17"/>
      <c r="Y1790" s="19"/>
      <c r="AT1790" s="9"/>
      <c r="AU1790" s="2"/>
    </row>
    <row r="1791" spans="1:48" x14ac:dyDescent="0.25">
      <c r="A1791" s="14"/>
      <c r="C1791" s="17"/>
      <c r="H1791" s="17"/>
      <c r="K1791" s="17"/>
      <c r="M1791" s="1"/>
      <c r="P1791" s="17"/>
      <c r="S1791" s="17"/>
      <c r="Y1791" s="19"/>
      <c r="AT1791" s="9"/>
      <c r="AU1791" s="2"/>
    </row>
    <row r="1792" spans="1:48" x14ac:dyDescent="0.25">
      <c r="A1792" s="24"/>
      <c r="B1792" s="13"/>
      <c r="C1792" s="17"/>
      <c r="H1792" s="17"/>
      <c r="K1792" s="17"/>
      <c r="M1792" s="1"/>
      <c r="P1792" s="17"/>
      <c r="S1792" s="17"/>
      <c r="X1792" s="13"/>
      <c r="Y1792" s="19"/>
      <c r="AT1792" s="22"/>
      <c r="AU1792" s="23"/>
      <c r="AV1792" s="13"/>
    </row>
    <row r="1793" spans="1:47" x14ac:dyDescent="0.25">
      <c r="A1793" s="14"/>
      <c r="C1793" s="17"/>
      <c r="H1793" s="17"/>
      <c r="K1793" s="17"/>
      <c r="M1793" s="1"/>
      <c r="P1793" s="17"/>
      <c r="S1793" s="17"/>
      <c r="Y1793" s="19"/>
      <c r="AT1793" s="9"/>
      <c r="AU1793" s="2"/>
    </row>
    <row r="1794" spans="1:47" x14ac:dyDescent="0.25">
      <c r="A1794" s="14"/>
      <c r="C1794" s="17"/>
      <c r="H1794" s="17"/>
      <c r="K1794" s="17"/>
      <c r="M1794" s="1"/>
      <c r="P1794" s="17"/>
      <c r="S1794" s="17"/>
      <c r="Y1794" s="21"/>
      <c r="AT1794" s="9"/>
      <c r="AU1794" s="2"/>
    </row>
    <row r="1795" spans="1:47" x14ac:dyDescent="0.25">
      <c r="A1795" s="14"/>
      <c r="C1795" s="17"/>
      <c r="H1795" s="17"/>
      <c r="K1795" s="17"/>
      <c r="M1795" s="1"/>
      <c r="P1795" s="17"/>
      <c r="S1795" s="17"/>
      <c r="Y1795" s="19"/>
      <c r="AT1795" s="9"/>
      <c r="AU1795" s="2"/>
    </row>
    <row r="1796" spans="1:47" x14ac:dyDescent="0.25">
      <c r="A1796" s="14"/>
      <c r="C1796" s="17"/>
      <c r="H1796" s="17"/>
      <c r="K1796" s="17"/>
      <c r="M1796" s="1"/>
      <c r="P1796" s="17"/>
      <c r="S1796" s="17"/>
      <c r="Y1796" s="19"/>
      <c r="AT1796" s="9"/>
      <c r="AU1796" s="2"/>
    </row>
    <row r="1797" spans="1:47" x14ac:dyDescent="0.25">
      <c r="A1797" s="14"/>
      <c r="C1797" s="17"/>
      <c r="H1797" s="17"/>
      <c r="K1797" s="17"/>
      <c r="M1797" s="1"/>
      <c r="P1797" s="17"/>
      <c r="S1797" s="17"/>
      <c r="Y1797" s="19"/>
      <c r="AT1797" s="9"/>
      <c r="AU1797" s="2"/>
    </row>
    <row r="1798" spans="1:47" x14ac:dyDescent="0.25">
      <c r="A1798" s="14"/>
      <c r="C1798" s="17"/>
      <c r="H1798" s="17"/>
      <c r="K1798" s="17"/>
      <c r="M1798" s="1"/>
      <c r="P1798" s="17"/>
      <c r="S1798" s="17"/>
      <c r="Y1798" s="19"/>
      <c r="AT1798" s="9"/>
      <c r="AU1798" s="2"/>
    </row>
    <row r="1799" spans="1:47" x14ac:dyDescent="0.25">
      <c r="A1799" s="14"/>
      <c r="C1799" s="17"/>
      <c r="H1799" s="17"/>
      <c r="K1799" s="17"/>
      <c r="M1799" s="1"/>
      <c r="P1799" s="17"/>
      <c r="S1799" s="17"/>
      <c r="Y1799" s="19"/>
      <c r="AT1799" s="9"/>
      <c r="AU1799" s="2"/>
    </row>
    <row r="1800" spans="1:47" x14ac:dyDescent="0.25">
      <c r="A1800" s="14"/>
      <c r="C1800" s="17"/>
      <c r="H1800" s="17"/>
      <c r="K1800" s="17"/>
      <c r="M1800" s="1"/>
      <c r="P1800" s="17"/>
      <c r="S1800" s="17"/>
      <c r="Y1800" s="19"/>
      <c r="AT1800" s="9"/>
      <c r="AU1800" s="2"/>
    </row>
    <row r="1801" spans="1:47" x14ac:dyDescent="0.25">
      <c r="A1801" s="14"/>
      <c r="C1801" s="17"/>
      <c r="H1801" s="17"/>
      <c r="K1801" s="17"/>
      <c r="M1801" s="1"/>
      <c r="P1801" s="17"/>
      <c r="S1801" s="17"/>
      <c r="Y1801" s="19"/>
      <c r="AT1801" s="9"/>
      <c r="AU1801" s="2"/>
    </row>
    <row r="1802" spans="1:47" x14ac:dyDescent="0.25">
      <c r="A1802" s="14"/>
      <c r="C1802" s="17"/>
      <c r="H1802" s="17"/>
      <c r="K1802" s="17"/>
      <c r="M1802" s="1"/>
      <c r="P1802" s="17"/>
      <c r="S1802" s="17"/>
      <c r="Y1802" s="19"/>
      <c r="AT1802" s="9"/>
      <c r="AU1802" s="2"/>
    </row>
    <row r="1803" spans="1:47" x14ac:dyDescent="0.25">
      <c r="A1803" s="14"/>
      <c r="C1803" s="17"/>
      <c r="H1803" s="17"/>
      <c r="K1803" s="17"/>
      <c r="M1803" s="1"/>
      <c r="P1803" s="17"/>
      <c r="S1803" s="17"/>
      <c r="Y1803" s="19"/>
      <c r="AT1803" s="9"/>
      <c r="AU1803" s="2"/>
    </row>
    <row r="1804" spans="1:47" x14ac:dyDescent="0.25">
      <c r="A1804" s="14"/>
      <c r="C1804" s="17"/>
      <c r="H1804" s="17"/>
      <c r="K1804" s="17"/>
      <c r="M1804" s="1"/>
      <c r="P1804" s="17"/>
      <c r="S1804" s="17"/>
      <c r="Y1804" s="19"/>
      <c r="AT1804" s="9"/>
      <c r="AU1804" s="2"/>
    </row>
    <row r="1805" spans="1:47" x14ac:dyDescent="0.25">
      <c r="A1805" s="14"/>
      <c r="C1805" s="17"/>
      <c r="H1805" s="17"/>
      <c r="K1805" s="17"/>
      <c r="M1805" s="1"/>
      <c r="P1805" s="17"/>
      <c r="S1805" s="17"/>
      <c r="Y1805" s="19"/>
      <c r="AT1805" s="9"/>
      <c r="AU1805" s="2"/>
    </row>
    <row r="1806" spans="1:47" x14ac:dyDescent="0.25">
      <c r="A1806" s="14"/>
      <c r="C1806" s="17"/>
      <c r="H1806" s="17"/>
      <c r="K1806" s="17"/>
      <c r="M1806" s="1"/>
      <c r="P1806" s="17"/>
      <c r="S1806" s="17"/>
      <c r="Y1806" s="19"/>
      <c r="AT1806" s="9"/>
      <c r="AU1806" s="2"/>
    </row>
    <row r="1807" spans="1:47" x14ac:dyDescent="0.25">
      <c r="A1807" s="14"/>
      <c r="C1807" s="17"/>
      <c r="H1807" s="17"/>
      <c r="K1807" s="17"/>
      <c r="M1807" s="1"/>
      <c r="P1807" s="17"/>
      <c r="S1807" s="17"/>
      <c r="Y1807" s="19"/>
      <c r="AT1807" s="9"/>
      <c r="AU1807" s="2"/>
    </row>
    <row r="1808" spans="1:47" x14ac:dyDescent="0.25">
      <c r="A1808" s="14"/>
      <c r="C1808" s="17"/>
      <c r="H1808" s="17"/>
      <c r="K1808" s="17"/>
      <c r="M1808" s="1"/>
      <c r="P1808" s="17"/>
      <c r="S1808" s="17"/>
      <c r="Y1808" s="19"/>
      <c r="AT1808" s="9"/>
      <c r="AU1808" s="2"/>
    </row>
    <row r="1809" spans="1:47" x14ac:dyDescent="0.25">
      <c r="A1809" s="14"/>
      <c r="C1809" s="17"/>
      <c r="H1809" s="17"/>
      <c r="K1809" s="17"/>
      <c r="M1809" s="1"/>
      <c r="P1809" s="17"/>
      <c r="S1809" s="17"/>
      <c r="Y1809" s="19"/>
      <c r="AT1809" s="9"/>
      <c r="AU1809" s="2"/>
    </row>
    <row r="1810" spans="1:47" x14ac:dyDescent="0.25">
      <c r="A1810" s="14"/>
      <c r="C1810" s="17"/>
      <c r="H1810" s="17"/>
      <c r="K1810" s="17"/>
      <c r="M1810" s="1"/>
      <c r="P1810" s="17"/>
      <c r="S1810" s="17"/>
      <c r="Y1810" s="19"/>
      <c r="AT1810" s="9"/>
      <c r="AU1810" s="2"/>
    </row>
    <row r="1811" spans="1:47" x14ac:dyDescent="0.25">
      <c r="A1811" s="14"/>
      <c r="C1811" s="17"/>
      <c r="H1811" s="17"/>
      <c r="K1811" s="17"/>
      <c r="M1811" s="1"/>
      <c r="P1811" s="17"/>
      <c r="S1811" s="17"/>
      <c r="Y1811" s="19"/>
      <c r="AT1811" s="9"/>
      <c r="AU1811" s="2"/>
    </row>
    <row r="1812" spans="1:47" x14ac:dyDescent="0.25">
      <c r="A1812" s="14"/>
      <c r="C1812" s="17"/>
      <c r="H1812" s="17"/>
      <c r="K1812" s="17"/>
      <c r="M1812" s="1"/>
      <c r="P1812" s="17"/>
      <c r="S1812" s="17"/>
      <c r="Y1812" s="19"/>
      <c r="AT1812" s="9"/>
      <c r="AU1812" s="2"/>
    </row>
    <row r="1813" spans="1:47" x14ac:dyDescent="0.25">
      <c r="A1813" s="14"/>
      <c r="C1813" s="17"/>
      <c r="H1813" s="17"/>
      <c r="K1813" s="17"/>
      <c r="M1813" s="1"/>
      <c r="P1813" s="17"/>
      <c r="S1813" s="17"/>
      <c r="Y1813" s="19"/>
      <c r="AT1813" s="9"/>
      <c r="AU1813" s="2"/>
    </row>
    <row r="1814" spans="1:47" x14ac:dyDescent="0.25">
      <c r="A1814" s="14"/>
      <c r="C1814" s="17"/>
      <c r="H1814" s="17"/>
      <c r="K1814" s="17"/>
      <c r="M1814" s="1"/>
      <c r="P1814" s="17"/>
      <c r="S1814" s="17"/>
      <c r="Y1814" s="19"/>
      <c r="AT1814" s="9"/>
      <c r="AU1814" s="2"/>
    </row>
    <row r="1815" spans="1:47" x14ac:dyDescent="0.25">
      <c r="A1815" s="14"/>
      <c r="C1815" s="17"/>
      <c r="H1815" s="17"/>
      <c r="K1815" s="17"/>
      <c r="M1815" s="1"/>
      <c r="P1815" s="17"/>
      <c r="S1815" s="17"/>
      <c r="Y1815" s="19"/>
      <c r="AT1815" s="9"/>
      <c r="AU1815" s="2"/>
    </row>
    <row r="1816" spans="1:47" x14ac:dyDescent="0.25">
      <c r="A1816" s="14"/>
      <c r="C1816" s="17"/>
      <c r="H1816" s="17"/>
      <c r="K1816" s="17"/>
      <c r="M1816" s="1"/>
      <c r="P1816" s="17"/>
      <c r="S1816" s="17"/>
      <c r="Y1816" s="19"/>
      <c r="AT1816" s="9"/>
      <c r="AU1816" s="2"/>
    </row>
    <row r="1817" spans="1:47" x14ac:dyDescent="0.25">
      <c r="A1817" s="14"/>
      <c r="C1817" s="17"/>
      <c r="H1817" s="17"/>
      <c r="K1817" s="17"/>
      <c r="M1817" s="1"/>
      <c r="P1817" s="17"/>
      <c r="S1817" s="17"/>
      <c r="Y1817" s="19"/>
      <c r="AT1817" s="9"/>
      <c r="AU1817" s="2"/>
    </row>
    <row r="1818" spans="1:47" x14ac:dyDescent="0.25">
      <c r="A1818" s="14"/>
      <c r="C1818" s="17"/>
      <c r="H1818" s="17"/>
      <c r="K1818" s="17"/>
      <c r="M1818" s="1"/>
      <c r="P1818" s="17"/>
      <c r="S1818" s="17"/>
      <c r="Y1818" s="19"/>
      <c r="AT1818" s="9"/>
      <c r="AU1818" s="2"/>
    </row>
    <row r="1819" spans="1:47" x14ac:dyDescent="0.25">
      <c r="A1819" s="14"/>
      <c r="C1819" s="17"/>
      <c r="H1819" s="17"/>
      <c r="K1819" s="17"/>
      <c r="M1819" s="1"/>
      <c r="P1819" s="17"/>
      <c r="S1819" s="17"/>
      <c r="Y1819" s="19"/>
      <c r="AT1819" s="9"/>
      <c r="AU1819" s="2"/>
    </row>
    <row r="1820" spans="1:47" x14ac:dyDescent="0.25">
      <c r="A1820" s="14"/>
      <c r="C1820" s="17"/>
      <c r="H1820" s="17"/>
      <c r="K1820" s="17"/>
      <c r="M1820" s="1"/>
      <c r="P1820" s="17"/>
      <c r="S1820" s="17"/>
      <c r="Y1820" s="19"/>
      <c r="AT1820" s="9"/>
      <c r="AU1820" s="2"/>
    </row>
    <row r="1821" spans="1:47" x14ac:dyDescent="0.25">
      <c r="A1821" s="14"/>
      <c r="C1821" s="17"/>
      <c r="H1821" s="17"/>
      <c r="K1821" s="17"/>
      <c r="M1821" s="1"/>
      <c r="P1821" s="17"/>
      <c r="S1821" s="17"/>
      <c r="Y1821" s="19"/>
      <c r="AT1821" s="9"/>
      <c r="AU1821" s="2"/>
    </row>
    <row r="1822" spans="1:47" x14ac:dyDescent="0.25">
      <c r="A1822" s="14"/>
      <c r="C1822" s="17"/>
      <c r="H1822" s="17"/>
      <c r="K1822" s="17"/>
      <c r="M1822" s="1"/>
      <c r="P1822" s="17"/>
      <c r="S1822" s="17"/>
      <c r="Y1822" s="19"/>
      <c r="AT1822" s="9"/>
      <c r="AU1822" s="2"/>
    </row>
    <row r="1823" spans="1:47" x14ac:dyDescent="0.25">
      <c r="A1823" s="14"/>
      <c r="C1823" s="17"/>
      <c r="H1823" s="17"/>
      <c r="K1823" s="17"/>
      <c r="M1823" s="1"/>
      <c r="P1823" s="17"/>
      <c r="S1823" s="17"/>
      <c r="Y1823" s="19"/>
      <c r="AT1823" s="9"/>
      <c r="AU1823" s="2"/>
    </row>
    <row r="1824" spans="1:47" x14ac:dyDescent="0.25">
      <c r="A1824" s="14"/>
      <c r="C1824" s="17"/>
      <c r="H1824" s="17"/>
      <c r="K1824" s="17"/>
      <c r="M1824" s="1"/>
      <c r="P1824" s="17"/>
      <c r="S1824" s="17"/>
      <c r="Y1824" s="20"/>
      <c r="AT1824" s="9"/>
      <c r="AU1824" s="2"/>
    </row>
    <row r="1825" spans="1:47" x14ac:dyDescent="0.25">
      <c r="A1825" s="14"/>
      <c r="C1825" s="17"/>
      <c r="H1825" s="17"/>
      <c r="K1825" s="17"/>
      <c r="M1825" s="1"/>
      <c r="P1825" s="17"/>
      <c r="S1825" s="17"/>
      <c r="Y1825" s="19"/>
      <c r="AT1825" s="9"/>
      <c r="AU1825" s="2"/>
    </row>
    <row r="1826" spans="1:47" x14ac:dyDescent="0.25">
      <c r="A1826" s="14"/>
      <c r="C1826" s="17"/>
      <c r="H1826" s="17"/>
      <c r="K1826" s="17"/>
      <c r="M1826" s="1"/>
      <c r="P1826" s="17"/>
      <c r="S1826" s="17"/>
      <c r="AT1826" s="9"/>
      <c r="AU1826" s="2"/>
    </row>
    <row r="1827" spans="1:47" x14ac:dyDescent="0.25">
      <c r="A1827" s="14"/>
      <c r="C1827" s="17"/>
      <c r="H1827" s="17"/>
      <c r="K1827" s="17"/>
      <c r="M1827" s="1"/>
      <c r="P1827" s="17"/>
      <c r="S1827" s="17"/>
      <c r="AT1827" s="9"/>
      <c r="AU1827" s="2"/>
    </row>
    <row r="1828" spans="1:47" x14ac:dyDescent="0.25">
      <c r="A1828" s="14"/>
      <c r="C1828" s="17"/>
      <c r="H1828" s="17"/>
      <c r="K1828" s="17"/>
      <c r="M1828" s="1"/>
      <c r="P1828" s="17"/>
      <c r="S1828" s="17"/>
      <c r="AT1828" s="9"/>
      <c r="AU1828" s="2"/>
    </row>
    <row r="1829" spans="1:47" x14ac:dyDescent="0.25">
      <c r="A1829" s="14"/>
      <c r="C1829" s="17"/>
      <c r="H1829" s="17"/>
      <c r="K1829" s="17"/>
      <c r="M1829" s="1"/>
      <c r="P1829" s="17"/>
      <c r="S1829" s="17"/>
      <c r="AT1829" s="9"/>
      <c r="AU1829" s="2"/>
    </row>
    <row r="1830" spans="1:47" x14ac:dyDescent="0.25">
      <c r="A1830" s="14"/>
      <c r="C1830" s="17"/>
      <c r="H1830" s="17"/>
      <c r="K1830" s="17"/>
      <c r="M1830" s="1"/>
      <c r="P1830" s="17"/>
      <c r="S1830" s="17"/>
      <c r="AT1830" s="9"/>
      <c r="AU1830" s="2"/>
    </row>
    <row r="1831" spans="1:47" x14ac:dyDescent="0.25">
      <c r="A1831" s="14"/>
      <c r="C1831" s="17"/>
      <c r="H1831" s="17"/>
      <c r="K1831" s="17"/>
      <c r="M1831" s="1"/>
      <c r="P1831" s="17"/>
      <c r="S1831" s="17"/>
      <c r="AT1831" s="9"/>
      <c r="AU1831" s="2"/>
    </row>
    <row r="1832" spans="1:47" x14ac:dyDescent="0.25">
      <c r="A1832" s="14"/>
      <c r="C1832" s="17"/>
      <c r="H1832" s="17"/>
      <c r="K1832" s="17"/>
      <c r="M1832" s="1"/>
      <c r="P1832" s="17"/>
      <c r="S1832" s="17"/>
      <c r="AT1832" s="9"/>
      <c r="AU1832" s="2"/>
    </row>
    <row r="1833" spans="1:47" x14ac:dyDescent="0.25">
      <c r="A1833" s="14"/>
      <c r="C1833" s="17"/>
      <c r="H1833" s="17"/>
      <c r="K1833" s="17"/>
      <c r="M1833" s="1"/>
      <c r="P1833" s="17"/>
      <c r="S1833" s="17"/>
      <c r="AT1833" s="9"/>
      <c r="AU1833" s="2"/>
    </row>
    <row r="1834" spans="1:47" x14ac:dyDescent="0.25">
      <c r="A1834" s="14"/>
      <c r="C1834" s="17"/>
      <c r="H1834" s="17"/>
      <c r="K1834" s="17"/>
      <c r="M1834" s="1"/>
      <c r="P1834" s="17"/>
      <c r="S1834" s="17"/>
      <c r="AT1834" s="9"/>
      <c r="AU1834" s="2"/>
    </row>
  </sheetData>
  <sortState xmlns:xlrd2="http://schemas.microsoft.com/office/spreadsheetml/2017/richdata2" ref="A613:AF673">
    <sortCondition ref="AF613:AF697"/>
  </sortState>
  <phoneticPr fontId="14" type="noConversion"/>
  <pageMargins left="0.7" right="0.7" top="0.75" bottom="0.75" header="0.3" footer="0.3"/>
  <pageSetup orientation="portrait" horizontalDpi="0" verticalDpi="0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Sheet</vt:lpstr>
      <vt:lpstr>Sheet1</vt:lpstr>
    </vt:vector>
  </TitlesOfParts>
  <Company>Cloutseekai.xyz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Cloutseeker</dc:title>
  <dc:subject>Market Maker Exposure Analysis</dc:subject>
  <dc:creator>Liquidose</dc:creator>
  <cp:lastModifiedBy>steven grimaud</cp:lastModifiedBy>
  <dcterms:created xsi:type="dcterms:W3CDTF">2025-10-23T14:55:30Z</dcterms:created>
  <dcterms:modified xsi:type="dcterms:W3CDTF">2026-01-22T22:23:14Z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ildVersion">
    <vt:lpwstr>8</vt:lpwstr>
  </property>
  <property fmtid="{D5CDD505-2E9C-101B-9397-08002B2CF9AE}" pid="3" name="BuildDate">
    <vt:lpwstr>2025-12-23 19:24</vt:lpwstr>
  </property>
</Properties>
</file>